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jvbuitrago\Desktop\PROCESO DE VENTA PRTAFOLIO MCL\Secundarios 2023\6 Data Room MCL - Available information\MCL07\"/>
    </mc:Choice>
  </mc:AlternateContent>
  <xr:revisionPtr revIDLastSave="0" documentId="8_{5B57D67C-8FFA-4039-9D57-362147063BE7}" xr6:coauthVersionLast="47" xr6:coauthVersionMax="47" xr10:uidLastSave="{00000000-0000-0000-0000-000000000000}"/>
  <bookViews>
    <workbookView xWindow="-110" yWindow="-110" windowWidth="19420" windowHeight="11620" tabRatio="722" firstSheet="3" activeTab="3" xr2:uid="{00000000-000D-0000-FFFF-FFFF00000000}"/>
  </bookViews>
  <sheets>
    <sheet name="Cover" sheetId="4" state="hidden" r:id="rId1"/>
    <sheet name="Disclaimer" sheetId="5" state="hidden" r:id="rId2"/>
    <sheet name="Control" sheetId="80" r:id="rId3"/>
    <sheet name="Annual FS" sheetId="1" r:id="rId4"/>
    <sheet name="Drivers" sheetId="3" r:id="rId5"/>
    <sheet name="Drivers Revenue" sheetId="77" r:id="rId6"/>
    <sheet name="Revenue" sheetId="12" state="veryHidden" r:id="rId7"/>
    <sheet name="Valuation" sheetId="81" state="hidden" r:id="rId8"/>
    <sheet name="WACC" sheetId="79" state="hidden" r:id="rId9"/>
    <sheet name="TGTbase2021" sheetId="91" r:id="rId10"/>
    <sheet name="TGTbase" sheetId="88" state="hidden" r:id="rId11"/>
    <sheet name="Leasing" sheetId="90" state="hidden" r:id="rId12"/>
    <sheet name="Creditos bancarios" sheetId="89" state="hidden" r:id="rId13"/>
    <sheet name="Reporte de Seguimiento_PyG20-06" sheetId="84" state="hidden" r:id="rId14"/>
    <sheet name="Reporte de Seguimiento_BG 20-06" sheetId="85" state="hidden" r:id="rId15"/>
    <sheet name="Reporte de Seguimiento_PyG19-12" sheetId="8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Fill" localSheetId="7" hidden="1">#REF!</definedName>
    <definedName name="_Fill" hidden="1">#REF!</definedName>
    <definedName name="_xlnm._FilterDatabase" localSheetId="10" hidden="1">TGTbase!$A$1:$LM$1</definedName>
    <definedName name="_xlnm._FilterDatabase" localSheetId="9" hidden="1">TGTbase2021!$A$1:$NC$1</definedName>
    <definedName name="_xlnm._FilterDatabase" localSheetId="7" hidden="1">'[1]46W9'!#REF!</definedName>
    <definedName name="_xlnm._FilterDatabase" localSheetId="8" hidden="1">'[1]46W9'!#REF!</definedName>
    <definedName name="_xlnm._FilterDatabase" hidden="1">'[1]46W9'!#REF!</definedName>
    <definedName name="_Key1" localSheetId="7" hidden="1">#REF!</definedName>
    <definedName name="_Key1" hidden="1">#REF!</definedName>
    <definedName name="_Key2" localSheetId="7" hidden="1">#REF!</definedName>
    <definedName name="_Key2" hidden="1">#REF!</definedName>
    <definedName name="_Order1" localSheetId="2" hidden="1">255</definedName>
    <definedName name="_Order1" localSheetId="7" hidden="1">255</definedName>
    <definedName name="_Order1" localSheetId="8" hidden="1">255</definedName>
    <definedName name="_Order1" hidden="1">0</definedName>
    <definedName name="_Order2" localSheetId="2" hidden="1">255</definedName>
    <definedName name="_Order2" localSheetId="7" hidden="1">255</definedName>
    <definedName name="_Order2" localSheetId="8" hidden="1">255</definedName>
    <definedName name="_Order2" hidden="1">0</definedName>
    <definedName name="_r" localSheetId="2" hidden="1">{#N/A,#N/A,FALSE,"Aging Summary";#N/A,#N/A,FALSE,"Ratio Analysis";#N/A,#N/A,FALSE,"Test 120 Day Accts";#N/A,#N/A,FALSE,"Tickmarks"}</definedName>
    <definedName name="_r" localSheetId="7" hidden="1">{#N/A,#N/A,FALSE,"Aging Summary";#N/A,#N/A,FALSE,"Ratio Analysis";#N/A,#N/A,FALSE,"Test 120 Day Accts";#N/A,#N/A,FALSE,"Tickmarks"}</definedName>
    <definedName name="_r" localSheetId="8" hidden="1">{#N/A,#N/A,FALSE,"Aging Summary";#N/A,#N/A,FALSE,"Ratio Analysis";#N/A,#N/A,FALSE,"Test 120 Day Accts";#N/A,#N/A,FALSE,"Tickmarks"}</definedName>
    <definedName name="_r" hidden="1">{#N/A,#N/A,FALSE,"Aging Summary";#N/A,#N/A,FALSE,"Ratio Analysis";#N/A,#N/A,FALSE,"Test 120 Day Accts";#N/A,#N/A,FALSE,"Tickmarks"}</definedName>
    <definedName name="_Regression_Int" hidden="1">1</definedName>
    <definedName name="_Regression_Out" localSheetId="7" hidden="1">#REF!</definedName>
    <definedName name="_Regression_Out" hidden="1">#REF!</definedName>
    <definedName name="_Regression_X" localSheetId="7" hidden="1">#REF!</definedName>
    <definedName name="_Regression_X" hidden="1">#REF!</definedName>
    <definedName name="_Regression_Y" localSheetId="7" hidden="1">#REF!</definedName>
    <definedName name="_Regression_Y" hidden="1">#REF!</definedName>
    <definedName name="_Sort" localSheetId="7" hidden="1">#REF!</definedName>
    <definedName name="_Sort" hidden="1">#REF!</definedName>
    <definedName name="_Table2_Out" localSheetId="7" hidden="1">#REF!</definedName>
    <definedName name="_Table2_Out" hidden="1">#REF!</definedName>
    <definedName name="a" localSheetId="2"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8" hidden="1">{#N/A,#N/A,FALSE,"Aging Summary";#N/A,#N/A,FALSE,"Ratio Analysis";#N/A,#N/A,FALSE,"Test 120 Day Accts";#N/A,#N/A,FALSE,"Tickmarks"}</definedName>
    <definedName name="a" hidden="1">{#N/A,#N/A,FALSE,"Aging Summary";#N/A,#N/A,FALSE,"Ratio Analysis";#N/A,#N/A,FALSE,"Test 120 Day Accts";#N/A,#N/A,FALSE,"Tickmarks"}</definedName>
    <definedName name="aa">'[2]DCF Valuation'!$I$4</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UMULADO2014">[3]Acumulado2014!$1:$1048576</definedName>
    <definedName name="Adj">'[4]Valuation Dama'!$E$6</definedName>
    <definedName name="ALFREDO">'[5]Control Panel'!$E$11</definedName>
    <definedName name="Alimentacion">'[6]COSTOS ASOCIADOS'!$E$7</definedName>
    <definedName name="amort">[7]Valuation!$O$10</definedName>
    <definedName name="_xlnm.Print_Area" localSheetId="2">Control!$A$1:$J$39</definedName>
    <definedName name="_xlnm.Print_Area" localSheetId="0">Cover!$B$3:$K$38</definedName>
    <definedName name="_xlnm.Print_Area" localSheetId="1">Disclaimer!$B$1:$B$9</definedName>
    <definedName name="_xlnm.Print_Area" localSheetId="8">WACC!$A$1:$L$55</definedName>
    <definedName name="ARKA">'[5]Control Panel'!$E$9</definedName>
    <definedName name="AS2DocOpenMode" hidden="1">"AS2DocumentEdit"</definedName>
    <definedName name="avinco">'[5]Control Panel'!$E$8</definedName>
    <definedName name="Beta">'[5]Kokoriko DCF Valuation'!$I$4</definedName>
    <definedName name="Beta.u">'[5]Kokoriko DCF Valuation'!$I$3</definedName>
    <definedName name="BPRUEBA">[8]BAL!$1:$1048576</definedName>
    <definedName name="CashIn">'[2]Deal Structure'!$L$22</definedName>
    <definedName name="CashOut">[2]InvReturn!$G$14</definedName>
    <definedName name="CdS_Depreciation">'[9]Inv Return'!$T$11</definedName>
    <definedName name="CIQWBGuid" localSheetId="2" hidden="1">"150216 - WACC Template.xlsx"</definedName>
    <definedName name="CIQWBGuid" localSheetId="15" hidden="1">"11e58328-5d40-4ce5-8717-b1ca24f7f54c"</definedName>
    <definedName name="CIQWBGuid" localSheetId="10" hidden="1">"11e58328-5d40-4ce5-8717-b1ca24f7f54c"</definedName>
    <definedName name="CIQWBGuid" localSheetId="9" hidden="1">"11e58328-5d40-4ce5-8717-b1ca24f7f54c"</definedName>
    <definedName name="CIQWBGuid" localSheetId="7" hidden="1">"150216 - WACC Template.xlsx"</definedName>
    <definedName name="CIQWBGuid" localSheetId="8" hidden="1">"150216 - WACC Template.xlsx"</definedName>
    <definedName name="CIQWBGuid" hidden="1">"d88551c1-b1f6-4fd0-9702-739370955077"</definedName>
    <definedName name="CyS" localSheetId="2" hidden="1">{#N/A,#N/A,FALSE,"Aging Summary";#N/A,#N/A,FALSE,"Ratio Analysis";#N/A,#N/A,FALSE,"Test 120 Day Accts";#N/A,#N/A,FALSE,"Tickmarks"}</definedName>
    <definedName name="CyS" localSheetId="7" hidden="1">{#N/A,#N/A,FALSE,"Aging Summary";#N/A,#N/A,FALSE,"Ratio Analysis";#N/A,#N/A,FALSE,"Test 120 Day Accts";#N/A,#N/A,FALSE,"Tickmarks"}</definedName>
    <definedName name="CyS" localSheetId="8" hidden="1">{#N/A,#N/A,FALSE,"Aging Summary";#N/A,#N/A,FALSE,"Ratio Analysis";#N/A,#N/A,FALSE,"Test 120 Day Accts";#N/A,#N/A,FALSE,"Tickmarks"}</definedName>
    <definedName name="CyS"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8" hidden="1">{#N/A,#N/A,FALSE,"Aging Summary";#N/A,#N/A,FALSE,"Ratio Analysis";#N/A,#N/A,FALSE,"Test 120 Day Accts";#N/A,#N/A,FALSE,"Tickmarks"}</definedName>
    <definedName name="d" hidden="1">{#N/A,#N/A,FALSE,"Aging Summary";#N/A,#N/A,FALSE,"Ratio Analysis";#N/A,#N/A,FALSE,"Test 120 Day Accts";#N/A,#N/A,FALSE,"Tickmarks"}</definedName>
    <definedName name="Debt_EBITDA">'[9]Inv Return'!$T$4</definedName>
    <definedName name="DebtIn">'[2]Deal Structure'!$L$21</definedName>
    <definedName name="depre">[7]Valuation!$O$11</definedName>
    <definedName name="Depreciation">'[10]Inv Return'!$T$3</definedName>
    <definedName name="Dilution0">'[2]Deal Structure'!$F$12</definedName>
    <definedName name="Dilution1">'[2]Deal Structure'!$F$34</definedName>
    <definedName name="EBITDA.Actual">[2]InvReturn!$P$16</definedName>
    <definedName name="EBITDA.Min">[2]InvReturn!$P$15</definedName>
    <definedName name="EBITDA.Target">[2]InvReturn!$P$14</definedName>
    <definedName name="EBITDA11">[2]IncStat!$G$39</definedName>
    <definedName name="EBITDA12">[2]IncStat!$H$39</definedName>
    <definedName name="empresas">'[11]Resumen empresas'!$BA$2:$BA$8</definedName>
    <definedName name="Exit.Year">[2]InvReturn!$L$4</definedName>
    <definedName name="FCFdev">[2]InvReturn!$G$34</definedName>
    <definedName name="FundShare0">'[2]Deal Structure'!$E$20</definedName>
    <definedName name="FundShare1">'[2]Deal Structure'!$E$38</definedName>
    <definedName name="FX" localSheetId="10">#REF!</definedName>
    <definedName name="FX">'[2]Deal Structure'!$H$3</definedName>
    <definedName name="g">'[5]Kokoriko DCF Valuation'!$F$9</definedName>
    <definedName name="gggg">'[2]DCF Valuation'!$I$9</definedName>
    <definedName name="IQ_ADDIN" hidden="1">"AUTO"</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H">110000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ONTRACTS_OTHER_COMMODITIES_EQUITIES._FDIC" hidden="1">"c6522"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Y">10000</definedName>
    <definedName name="IQ_DAILY">500000</definedName>
    <definedName name="IQ_DNTM" hidden="1">700000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FH">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OREIGN_BRANCHES_U.S._BANKS_LOANS_FDIC" hidden="1">"c6438"</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TM">2000</definedName>
    <definedName name="IQ_LTMMONTH" hidden="1">120000</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ONTH">15000</definedName>
    <definedName name="IQ_MTD" hidden="1">800000</definedName>
    <definedName name="IQ_NAMES_REVISION_DATE_" localSheetId="2" hidden="1">42257.5484837963</definedName>
    <definedName name="IQ_NAMES_REVISION_DATE_" localSheetId="15" hidden="1">42126.8834375</definedName>
    <definedName name="IQ_NAMES_REVISION_DATE_" localSheetId="10" hidden="1">"04/27/2015 15:43:06"</definedName>
    <definedName name="IQ_NAMES_REVISION_DATE_" localSheetId="9" hidden="1">"04/27/2015 15:43:06"</definedName>
    <definedName name="IQ_NAMES_REVISION_DATE_" localSheetId="7" hidden="1">42257.5484837963</definedName>
    <definedName name="IQ_NAMES_REVISION_DATE_" localSheetId="8" hidden="1">42257.5484837963</definedName>
    <definedName name="IQ_NAMES_REVISION_DATE_" hidden="1">"11/25/2015 00:08:08"</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6000</definedName>
    <definedName name="IQ_OPENED55" hidden="1">1</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SHAREOUTSTANDING" hidden="1">"c1347"</definedName>
    <definedName name="IQ_TODAY" hidden="1">0</definedName>
    <definedName name="IQ_WEEK">50000</definedName>
    <definedName name="IQ_YTD">3000</definedName>
    <definedName name="IQ_YTDMONTH" hidden="1">130000</definedName>
    <definedName name="IRR">[2]InvReturn!$L$19</definedName>
    <definedName name="Kd">'[5]Kokoriko DCF Valuation'!$I$9</definedName>
    <definedName name="Ke">'[5]Kokoriko DCF Valuation'!$I$8</definedName>
    <definedName name="Lev">'[5]Kokoriko DCF Valuation'!$I$6</definedName>
    <definedName name="LiqPrem">'[5]Kokoriko DCF Valuation'!$F$7</definedName>
    <definedName name="ListaEmpresas">'[12]BASE EMPRESAS'!$A$1:$A$65536</definedName>
    <definedName name="LOVERS">'[5]Control Panel'!$E$10</definedName>
    <definedName name="mario" localSheetId="2" hidden="1">{#N/A,#N/A,FALSE,"Aging Summary";#N/A,#N/A,FALSE,"Ratio Analysis";#N/A,#N/A,FALSE,"Test 120 Day Accts";#N/A,#N/A,FALSE,"Tickmarks"}</definedName>
    <definedName name="mario" localSheetId="7" hidden="1">{#N/A,#N/A,FALSE,"Aging Summary";#N/A,#N/A,FALSE,"Ratio Analysis";#N/A,#N/A,FALSE,"Test 120 Day Accts";#N/A,#N/A,FALSE,"Tickmarks"}</definedName>
    <definedName name="mario" localSheetId="8" hidden="1">{#N/A,#N/A,FALSE,"Aging Summary";#N/A,#N/A,FALSE,"Ratio Analysis";#N/A,#N/A,FALSE,"Test 120 Day Accts";#N/A,#N/A,FALSE,"Tickmarks"}</definedName>
    <definedName name="mario" hidden="1">{#N/A,#N/A,FALSE,"Aging Summary";#N/A,#N/A,FALSE,"Ratio Analysis";#N/A,#N/A,FALSE,"Test 120 Day Accts";#N/A,#N/A,FALSE,"Tickmarks"}</definedName>
    <definedName name="MCI">[2]InvReturn!$K$19</definedName>
    <definedName name="mecanico" localSheetId="2" hidden="1">{"CONCABL1.1",#N/A,FALSE,"1.1.1a1.1.3 ACSR";"AISL1.2",#N/A,FALSE,"1.1.1a1.1.3 ACSR";"torr1.1.3",#N/A,FALSE,"1.1.1a1.1.3 ACSR";"cm1.2",#N/A,FALSE,"1.2 ACSR";"cm2.2",#N/A,FALSE,"1.2 ACSR";#N/A,#N/A,FALSE,"1.3 ACSR";#N/A,#N/A,FALSE,"2.1.1A2.1.3 ACAR";"ac2.1",#N/A,FALSE,"1.2 ACAR";"ac2.2",#N/A,FALSE,"1.2 ACAR";#N/A,#N/A,FALSE,"2.3 ACAR"}</definedName>
    <definedName name="mecanico" localSheetId="7" hidden="1">{"CONCABL1.1",#N/A,FALSE,"1.1.1a1.1.3 ACSR";"AISL1.2",#N/A,FALSE,"1.1.1a1.1.3 ACSR";"torr1.1.3",#N/A,FALSE,"1.1.1a1.1.3 ACSR";"cm1.2",#N/A,FALSE,"1.2 ACSR";"cm2.2",#N/A,FALSE,"1.2 ACSR";#N/A,#N/A,FALSE,"1.3 ACSR";#N/A,#N/A,FALSE,"2.1.1A2.1.3 ACAR";"ac2.1",#N/A,FALSE,"1.2 ACAR";"ac2.2",#N/A,FALSE,"1.2 ACAR";#N/A,#N/A,FALSE,"2.3 ACAR"}</definedName>
    <definedName name="mecanico" localSheetId="8" hidden="1">{"CONCABL1.1",#N/A,FALSE,"1.1.1a1.1.3 ACSR";"AISL1.2",#N/A,FALSE,"1.1.1a1.1.3 ACSR";"torr1.1.3",#N/A,FALSE,"1.1.1a1.1.3 ACSR";"cm1.2",#N/A,FALSE,"1.2 ACSR";"cm2.2",#N/A,FALSE,"1.2 ACSR";#N/A,#N/A,FALSE,"1.3 ACSR";#N/A,#N/A,FALSE,"2.1.1A2.1.3 ACAR";"ac2.1",#N/A,FALSE,"1.2 ACAR";"ac2.2",#N/A,FALSE,"1.2 ACAR";#N/A,#N/A,FALSE,"2.3 ACAR"}</definedName>
    <definedName name="mecanico" hidden="1">{"CONCABL1.1",#N/A,FALSE,"1.1.1a1.1.3 ACSR";"AISL1.2",#N/A,FALSE,"1.1.1a1.1.3 ACSR";"torr1.1.3",#N/A,FALSE,"1.1.1a1.1.3 ACSR";"cm1.2",#N/A,FALSE,"1.2 ACSR";"cm2.2",#N/A,FALSE,"1.2 ACSR";#N/A,#N/A,FALSE,"1.3 ACSR";#N/A,#N/A,FALSE,"2.1.1A2.1.3 ACAR";"ac2.1",#N/A,FALSE,"1.2 ACAR";"ac2.2",#N/A,FALSE,"1.2 ACAR";#N/A,#N/A,FALSE,"2.3 ACAR"}</definedName>
    <definedName name="MIMOS">'[5]Control Panel'!$E$12</definedName>
    <definedName name="MIMOS_Synergies">'[5]Control Panel'!$E$17</definedName>
    <definedName name="n" localSheetId="2" hidden="1">{#N/A,#N/A,FALSE,"Aging Summary";#N/A,#N/A,FALSE,"Ratio Analysis";#N/A,#N/A,FALSE,"Test 120 Day Accts";#N/A,#N/A,FALSE,"Tickmarks"}</definedName>
    <definedName name="n" localSheetId="7" hidden="1">{#N/A,#N/A,FALSE,"Aging Summary";#N/A,#N/A,FALSE,"Ratio Analysis";#N/A,#N/A,FALSE,"Test 120 Day Accts";#N/A,#N/A,FALSE,"Tickmarks"}</definedName>
    <definedName name="n" localSheetId="8" hidden="1">{#N/A,#N/A,FALSE,"Aging Summary";#N/A,#N/A,FALSE,"Ratio Analysis";#N/A,#N/A,FALSE,"Test 120 Day Accts";#N/A,#N/A,FALSE,"Tickmarks"}</definedName>
    <definedName name="n" hidden="1">{#N/A,#N/A,FALSE,"Aging Summary";#N/A,#N/A,FALSE,"Ratio Analysis";#N/A,#N/A,FALSE,"Test 120 Day Accts";#N/A,#N/A,FALSE,"Tickmarks"}</definedName>
    <definedName name="NO" hidden="1">"354d8b0f-301d-4b47-860c-52ea42b07754"</definedName>
    <definedName name="NOO" localSheetId="10">#REF!</definedName>
    <definedName name="NOOO" hidden="1">"11/13/2015 20:05:53"</definedName>
    <definedName name="ñ" localSheetId="2" hidden="1">{#N/A,#N/A,FALSE,"Aging Summary";#N/A,#N/A,FALSE,"Ratio Analysis";#N/A,#N/A,FALSE,"Test 120 Day Accts";#N/A,#N/A,FALSE,"Tickmarks"}</definedName>
    <definedName name="ñ" localSheetId="7" hidden="1">{#N/A,#N/A,FALSE,"Aging Summary";#N/A,#N/A,FALSE,"Ratio Analysis";#N/A,#N/A,FALSE,"Test 120 Day Accts";#N/A,#N/A,FALSE,"Tickmarks"}</definedName>
    <definedName name="ñ" localSheetId="8" hidden="1">{#N/A,#N/A,FALSE,"Aging Summary";#N/A,#N/A,FALSE,"Ratio Analysis";#N/A,#N/A,FALSE,"Test 120 Day Accts";#N/A,#N/A,FALSE,"Tickmarks"}</definedName>
    <definedName name="ñ" hidden="1">{#N/A,#N/A,FALSE,"Aging Summary";#N/A,#N/A,FALSE,"Ratio Analysis";#N/A,#N/A,FALSE,"Test 120 Day Accts";#N/A,#N/A,FALSE,"Tickmarks"}</definedName>
    <definedName name="overdraft">'[13]Inv Return'!$T$4</definedName>
    <definedName name="Overhaul">[7]Valuation!$O$12</definedName>
    <definedName name="P_out">'[14]Inv Return'!$N$5</definedName>
    <definedName name="Payout">'[15]Investment return'!$N$4</definedName>
    <definedName name="Payout_Ratio">'[13]Inv Return'!$T$5</definedName>
    <definedName name="PDM">'[5]Control Panel'!$E$13</definedName>
    <definedName name="PDM_Synergies">'[5]Control Panel'!$E$18</definedName>
    <definedName name="PostMoney">'[2]Deal Structure'!$E$13</definedName>
    <definedName name="Precio.AjFinal">[2]InvReturn!$R$17</definedName>
    <definedName name="Precio.Ajuste">'[2]Deal Structure'!$D$8</definedName>
    <definedName name="Precio.Total">'[2]Deal Structure'!$D$9</definedName>
    <definedName name="PROVISIONALES" localSheetId="7" hidden="1">#REF!</definedName>
    <definedName name="PROVISIONALES" hidden="1">#REF!</definedName>
    <definedName name="q" localSheetId="2" hidden="1">{#N/A,#N/A,FALSE,"Aging Summary";#N/A,#N/A,FALSE,"Ratio Analysis";#N/A,#N/A,FALSE,"Test 120 Day Accts";#N/A,#N/A,FALSE,"Tickmarks"}</definedName>
    <definedName name="q" localSheetId="7" hidden="1">{#N/A,#N/A,FALSE,"Aging Summary";#N/A,#N/A,FALSE,"Ratio Analysis";#N/A,#N/A,FALSE,"Test 120 Day Accts";#N/A,#N/A,FALSE,"Tickmarks"}</definedName>
    <definedName name="q" localSheetId="8" hidden="1">{#N/A,#N/A,FALSE,"Aging Summary";#N/A,#N/A,FALSE,"Ratio Analysis";#N/A,#N/A,FALSE,"Test 120 Day Accts";#N/A,#N/A,FALSE,"Tickmarks"}</definedName>
    <definedName name="q" hidden="1">{#N/A,#N/A,FALSE,"Aging Summary";#N/A,#N/A,FALSE,"Ratio Analysis";#N/A,#N/A,FALSE,"Test 120 Day Accts";#N/A,#N/A,FALSE,"Tickmarks"}</definedName>
    <definedName name="repuestos2" localSheetId="2"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repuestos2" localSheetId="7"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repuestos2" localSheetId="8"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repuestos2"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Return">'[5]Control Panel'!$C$14</definedName>
    <definedName name="Rf">'[5]Kokoriko DCF Valuation'!$F$3</definedName>
    <definedName name="Sal_min">'[6]SALARIOS GASTO'!$F$4</definedName>
    <definedName name="Scen">[2]InvReturn!$P$8</definedName>
    <definedName name="Scenario" localSheetId="0">'[15]Investment return'!$N$25</definedName>
    <definedName name="Scenario" localSheetId="1">'[15]Investment return'!$N$25</definedName>
    <definedName name="Scenario">'[14]Inv Return'!$N$10</definedName>
    <definedName name="Scenario.Name">[5]InvReturn!$I$4&amp;" Case"</definedName>
    <definedName name="ScenarioName">'[4]Valuation Dama'!$C$6</definedName>
    <definedName name="SD">'[4]Valuation Dama'!$E$9</definedName>
    <definedName name="seller_finance">'[13]Inv Return'!$T$7</definedName>
    <definedName name="t" localSheetId="2" hidden="1">{#N/A,#N/A,FALSE,"Aging Summary";#N/A,#N/A,FALSE,"Ratio Analysis";#N/A,#N/A,FALSE,"Test 120 Day Accts";#N/A,#N/A,FALSE,"Tickmarks"}</definedName>
    <definedName name="t" localSheetId="7" hidden="1">{#N/A,#N/A,FALSE,"Aging Summary";#N/A,#N/A,FALSE,"Ratio Analysis";#N/A,#N/A,FALSE,"Test 120 Day Accts";#N/A,#N/A,FALSE,"Tickmarks"}</definedName>
    <definedName name="t" localSheetId="8" hidden="1">{#N/A,#N/A,FALSE,"Aging Summary";#N/A,#N/A,FALSE,"Ratio Analysis";#N/A,#N/A,FALSE,"Test 120 Day Accts";#N/A,#N/A,FALSE,"Tickmarks"}</definedName>
    <definedName name="t" hidden="1">{#N/A,#N/A,FALSE,"Aging Summary";#N/A,#N/A,FALSE,"Ratio Analysis";#N/A,#N/A,FALSE,"Test 120 Day Accts";#N/A,#N/A,FALSE,"Tickmarks"}</definedName>
    <definedName name="tab" localSheetId="2" hidden="1">{"CONCABL1.1",#N/A,FALSE,"1.1.1a1.1.3 ACSR";"AISL1.2",#N/A,FALSE,"1.1.1a1.1.3 ACSR";"torr1.1.3",#N/A,FALSE,"1.1.1a1.1.3 ACSR";"cm1.2",#N/A,FALSE,"1.2 ACSR";"cm2.2",#N/A,FALSE,"1.2 ACSR";#N/A,#N/A,FALSE,"1.3 ACSR";#N/A,#N/A,FALSE,"2.1.1A2.1.3 ACAR";"ac2.1",#N/A,FALSE,"1.2 ACAR";"ac2.2",#N/A,FALSE,"1.2 ACAR";#N/A,#N/A,FALSE,"2.3 ACAR"}</definedName>
    <definedName name="tab" localSheetId="7" hidden="1">{"CONCABL1.1",#N/A,FALSE,"1.1.1a1.1.3 ACSR";"AISL1.2",#N/A,FALSE,"1.1.1a1.1.3 ACSR";"torr1.1.3",#N/A,FALSE,"1.1.1a1.1.3 ACSR";"cm1.2",#N/A,FALSE,"1.2 ACSR";"cm2.2",#N/A,FALSE,"1.2 ACSR";#N/A,#N/A,FALSE,"1.3 ACSR";#N/A,#N/A,FALSE,"2.1.1A2.1.3 ACAR";"ac2.1",#N/A,FALSE,"1.2 ACAR";"ac2.2",#N/A,FALSE,"1.2 ACAR";#N/A,#N/A,FALSE,"2.3 ACAR"}</definedName>
    <definedName name="tab" localSheetId="8" hidden="1">{"CONCABL1.1",#N/A,FALSE,"1.1.1a1.1.3 ACSR";"AISL1.2",#N/A,FALSE,"1.1.1a1.1.3 ACSR";"torr1.1.3",#N/A,FALSE,"1.1.1a1.1.3 ACSR";"cm1.2",#N/A,FALSE,"1.2 ACSR";"cm2.2",#N/A,FALSE,"1.2 ACSR";#N/A,#N/A,FALSE,"1.3 ACSR";#N/A,#N/A,FALSE,"2.1.1A2.1.3 ACAR";"ac2.1",#N/A,FALSE,"1.2 ACAR";"ac2.2",#N/A,FALSE,"1.2 ACAR";#N/A,#N/A,FALSE,"2.3 ACAR"}</definedName>
    <definedName name="tab" hidden="1">{"CONCABL1.1",#N/A,FALSE,"1.1.1a1.1.3 ACSR";"AISL1.2",#N/A,FALSE,"1.1.1a1.1.3 ACSR";"torr1.1.3",#N/A,FALSE,"1.1.1a1.1.3 ACSR";"cm1.2",#N/A,FALSE,"1.2 ACSR";"cm2.2",#N/A,FALSE,"1.2 ACSR";#N/A,#N/A,FALSE,"1.3 ACSR";#N/A,#N/A,FALSE,"2.1.1A2.1.3 ACAR";"ac2.1",#N/A,FALSE,"1.2 ACAR";"ac2.2",#N/A,FALSE,"1.2 ACAR";#N/A,#N/A,FALSE,"2.3 ACAR"}</definedName>
    <definedName name="Tax">'[5]Kokoriko DCF Valuation'!$F$10</definedName>
    <definedName name="Trailers">'[15]Investment return'!$N$5</definedName>
    <definedName name="v" localSheetId="2" hidden="1">{#N/A,#N/A,FALSE,"Aging Summary";#N/A,#N/A,FALSE,"Ratio Analysis";#N/A,#N/A,FALSE,"Test 120 Day Accts";#N/A,#N/A,FALSE,"Tickmarks"}</definedName>
    <definedName name="v" localSheetId="7" hidden="1">{#N/A,#N/A,FALSE,"Aging Summary";#N/A,#N/A,FALSE,"Ratio Analysis";#N/A,#N/A,FALSE,"Test 120 Day Accts";#N/A,#N/A,FALSE,"Tickmarks"}</definedName>
    <definedName name="v" localSheetId="8" hidden="1">{#N/A,#N/A,FALSE,"Aging Summary";#N/A,#N/A,FALSE,"Ratio Analysis";#N/A,#N/A,FALSE,"Test 120 Day Accts";#N/A,#N/A,FALSE,"Tickmarks"}</definedName>
    <definedName name="v" hidden="1">{#N/A,#N/A,FALSE,"Aging Summary";#N/A,#N/A,FALSE,"Ratio Analysis";#N/A,#N/A,FALSE,"Test 120 Day Accts";#N/A,#N/A,FALSE,"Tickmarks"}</definedName>
    <definedName name="w" localSheetId="2" hidden="1">{#N/A,#N/A,FALSE,"Aging Summary";#N/A,#N/A,FALSE,"Ratio Analysis";#N/A,#N/A,FALSE,"Test 120 Day Accts";#N/A,#N/A,FALSE,"Tickmarks"}</definedName>
    <definedName name="w" localSheetId="7" hidden="1">{#N/A,#N/A,FALSE,"Aging Summary";#N/A,#N/A,FALSE,"Ratio Analysis";#N/A,#N/A,FALSE,"Test 120 Day Accts";#N/A,#N/A,FALSE,"Tickmarks"}</definedName>
    <definedName name="w" localSheetId="8" hidden="1">{#N/A,#N/A,FALSE,"Aging Summary";#N/A,#N/A,FALSE,"Ratio Analysis";#N/A,#N/A,FALSE,"Test 120 Day Accts";#N/A,#N/A,FALSE,"Tickmarks"}</definedName>
    <definedName name="w" hidden="1">{#N/A,#N/A,FALSE,"Aging Summary";#N/A,#N/A,FALSE,"Ratio Analysis";#N/A,#N/A,FALSE,"Test 120 Day Accts";#N/A,#N/A,FALSE,"Tickmarks"}</definedName>
    <definedName name="WACC">'[2]DCF Valuation'!$I$10</definedName>
    <definedName name="WACC_Col" localSheetId="7" hidden="1">#REF!</definedName>
    <definedName name="WACC_Col" hidden="1">#REF!</definedName>
    <definedName name="WKI" localSheetId="10">[16]Data!$G$2:$H$9</definedName>
    <definedName name="WKI" localSheetId="9">[16]Data!$G$2:$H$9</definedName>
    <definedName name="WKI">[17]Data!$G$2:$H$9</definedName>
    <definedName name="wrn.Aging._.and._.Trend._.Analysis." localSheetId="2"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precios." localSheetId="2" hidden="1">{"CONCABL1.1",#N/A,FALSE,"1.1.1a1.1.3 ACSR";"AISL1.2",#N/A,FALSE,"1.1.1a1.1.3 ACSR";"torr1.1.3",#N/A,FALSE,"1.1.1a1.1.3 ACSR";"cm1.2",#N/A,FALSE,"1.2 ACSR";"cm2.2",#N/A,FALSE,"1.2 ACSR";#N/A,#N/A,FALSE,"1.3 ACSR";#N/A,#N/A,FALSE,"2.1.1A2.1.3 ACAR";"ac2.1",#N/A,FALSE,"1.2 ACAR";"ac2.2",#N/A,FALSE,"1.2 ACAR";#N/A,#N/A,FALSE,"2.3 ACAR"}</definedName>
    <definedName name="wrn.precios." localSheetId="7" hidden="1">{"CONCABL1.1",#N/A,FALSE,"1.1.1a1.1.3 ACSR";"AISL1.2",#N/A,FALSE,"1.1.1a1.1.3 ACSR";"torr1.1.3",#N/A,FALSE,"1.1.1a1.1.3 ACSR";"cm1.2",#N/A,FALSE,"1.2 ACSR";"cm2.2",#N/A,FALSE,"1.2 ACSR";#N/A,#N/A,FALSE,"1.3 ACSR";#N/A,#N/A,FALSE,"2.1.1A2.1.3 ACAR";"ac2.1",#N/A,FALSE,"1.2 ACAR";"ac2.2",#N/A,FALSE,"1.2 ACAR";#N/A,#N/A,FALSE,"2.3 ACAR"}</definedName>
    <definedName name="wrn.precios." localSheetId="8" hidden="1">{"CONCABL1.1",#N/A,FALSE,"1.1.1a1.1.3 ACSR";"AISL1.2",#N/A,FALSE,"1.1.1a1.1.3 ACSR";"torr1.1.3",#N/A,FALSE,"1.1.1a1.1.3 ACSR";"cm1.2",#N/A,FALSE,"1.2 ACSR";"cm2.2",#N/A,FALSE,"1.2 ACSR";#N/A,#N/A,FALSE,"1.3 ACSR";#N/A,#N/A,FALSE,"2.1.1A2.1.3 ACAR";"ac2.1",#N/A,FALSE,"1.2 ACAR";"ac2.2",#N/A,FALSE,"1.2 ACAR";#N/A,#N/A,FALSE,"2.3 ACAR"}</definedName>
    <definedName name="wrn.precios." hidden="1">{"CONCABL1.1",#N/A,FALSE,"1.1.1a1.1.3 ACSR";"AISL1.2",#N/A,FALSE,"1.1.1a1.1.3 ACSR";"torr1.1.3",#N/A,FALSE,"1.1.1a1.1.3 ACSR";"cm1.2",#N/A,FALSE,"1.2 ACSR";"cm2.2",#N/A,FALSE,"1.2 ACSR";#N/A,#N/A,FALSE,"1.3 ACSR";#N/A,#N/A,FALSE,"2.1.1A2.1.3 ACAR";"ac2.1",#N/A,FALSE,"1.2 ACAR";"ac2.2",#N/A,FALSE,"1.2 ACAR";#N/A,#N/A,FALSE,"2.3 ACAR"}</definedName>
    <definedName name="wrn.Presupuesto." localSheetId="2"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wrn.Presupuesto." localSheetId="7"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wrn.Presupuesto." localSheetId="8"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wrn.Presupuesto." hidden="1">{#N/A,#N/A,FALSE,"Off C100-Project Management";#N/A,#N/A,FALSE,"C101-Engineering";#N/A,#N/A,FALSE,"Off C102-Procurement";#N/A,#N/A,FALSE,"Off C105-Electromechanical Work";#N/A,#N/A,FALSE,"On C100-Project Management";#N/A,#N/A,FALSE,"On C102-Procurement";#N/A,#N/A,FALSE,"C104-Civil Work";#N/A,#N/A,FALSE,"On C105-Electromechanical Work"}</definedName>
    <definedName name="wrn.QFP." localSheetId="14" hidden="1">{#N/A,#N/A,FALSE,"TOTAL LAM"}</definedName>
    <definedName name="wrn.QFP." localSheetId="15" hidden="1">{#N/A,#N/A,FALSE,"TOTAL LAM"}</definedName>
    <definedName name="wrn.QFP." hidden="1">{#N/A,#N/A,FALSE,"TOTAL LAM"}</definedName>
    <definedName name="wrn1.qfp" localSheetId="14" hidden="1">{#N/A,#N/A,FALSE,"TOTAL LAM"}</definedName>
    <definedName name="wrn1.qfp" localSheetId="15" hidden="1">{#N/A,#N/A,FALSE,"TOTAL LAM"}</definedName>
    <definedName name="wrn1.qfp" hidden="1">{#N/A,#N/A,FALSE,"TOTAL LAM"}</definedName>
    <definedName name="wwwwwwwwwwwww">'[2]DCF Valuation'!$F$6</definedName>
    <definedName name="x" localSheetId="2" hidden="1">{"CONCABL1.1",#N/A,FALSE,"1.1.1a1.1.3 ACSR";"AISL1.2",#N/A,FALSE,"1.1.1a1.1.3 ACSR";"torr1.1.3",#N/A,FALSE,"1.1.1a1.1.3 ACSR";"cm1.2",#N/A,FALSE,"1.2 ACSR";"cm2.2",#N/A,FALSE,"1.2 ACSR";#N/A,#N/A,FALSE,"1.3 ACSR";#N/A,#N/A,FALSE,"2.1.1A2.1.3 ACAR";"ac2.1",#N/A,FALSE,"1.2 ACAR";"ac2.2",#N/A,FALSE,"1.2 ACAR";#N/A,#N/A,FALSE,"2.3 ACAR"}</definedName>
    <definedName name="x" localSheetId="7" hidden="1">{"CONCABL1.1",#N/A,FALSE,"1.1.1a1.1.3 ACSR";"AISL1.2",#N/A,FALSE,"1.1.1a1.1.3 ACSR";"torr1.1.3",#N/A,FALSE,"1.1.1a1.1.3 ACSR";"cm1.2",#N/A,FALSE,"1.2 ACSR";"cm2.2",#N/A,FALSE,"1.2 ACSR";#N/A,#N/A,FALSE,"1.3 ACSR";#N/A,#N/A,FALSE,"2.1.1A2.1.3 ACAR";"ac2.1",#N/A,FALSE,"1.2 ACAR";"ac2.2",#N/A,FALSE,"1.2 ACAR";#N/A,#N/A,FALSE,"2.3 ACAR"}</definedName>
    <definedName name="x" localSheetId="8" hidden="1">{"CONCABL1.1",#N/A,FALSE,"1.1.1a1.1.3 ACSR";"AISL1.2",#N/A,FALSE,"1.1.1a1.1.3 ACSR";"torr1.1.3",#N/A,FALSE,"1.1.1a1.1.3 ACSR";"cm1.2",#N/A,FALSE,"1.2 ACSR";"cm2.2",#N/A,FALSE,"1.2 ACSR";#N/A,#N/A,FALSE,"1.3 ACSR";#N/A,#N/A,FALSE,"2.1.1A2.1.3 ACAR";"ac2.1",#N/A,FALSE,"1.2 ACAR";"ac2.2",#N/A,FALSE,"1.2 ACAR";#N/A,#N/A,FALSE,"2.3 ACAR"}</definedName>
    <definedName name="x" hidden="1">{"CONCABL1.1",#N/A,FALSE,"1.1.1a1.1.3 ACSR";"AISL1.2",#N/A,FALSE,"1.1.1a1.1.3 ACSR";"torr1.1.3",#N/A,FALSE,"1.1.1a1.1.3 ACSR";"cm1.2",#N/A,FALSE,"1.2 ACSR";"cm2.2",#N/A,FALSE,"1.2 ACSR";#N/A,#N/A,FALSE,"1.3 ACSR";#N/A,#N/A,FALSE,"2.1.1A2.1.3 ACAR";"ac2.1",#N/A,FALSE,"1.2 ACAR";"ac2.2",#N/A,FALSE,"1.2 ACAR";#N/A,#N/A,FALSE,"2.3 ACAR"}</definedName>
    <definedName name="y" localSheetId="2" hidden="1">{#N/A,#N/A,FALSE,"Aging Summary";#N/A,#N/A,FALSE,"Ratio Analysis";#N/A,#N/A,FALSE,"Test 120 Day Accts";#N/A,#N/A,FALSE,"Tickmarks"}</definedName>
    <definedName name="y" localSheetId="7" hidden="1">{#N/A,#N/A,FALSE,"Aging Summary";#N/A,#N/A,FALSE,"Ratio Analysis";#N/A,#N/A,FALSE,"Test 120 Day Accts";#N/A,#N/A,FALSE,"Tickmarks"}</definedName>
    <definedName name="y" localSheetId="8" hidden="1">{#N/A,#N/A,FALSE,"Aging Summary";#N/A,#N/A,FALSE,"Ratio Analysis";#N/A,#N/A,FALSE,"Test 120 Day Accts";#N/A,#N/A,FALSE,"Tickmarks"}</definedName>
    <definedName name="y" hidden="1">{#N/A,#N/A,FALSE,"Aging Summary";#N/A,#N/A,FALSE,"Ratio Analysis";#N/A,#N/A,FALSE,"Test 120 Day Accts";#N/A,#N/A,FALSE,"Tickmarks"}</definedName>
    <definedName name="Years_dep">'[15]Investment return'!$N$3</definedName>
    <definedName name="years_of_amo">'[13]Inv Return'!$T$6</definedName>
    <definedName name="years_of_dep">'[13]Inv Return'!$T$3</definedName>
    <definedName name="YofDep">'[14]Inv Return'!$N$3</definedName>
    <definedName name="z" localSheetId="2" hidden="1">{#N/A,#N/A,FALSE,"Aging Summary";#N/A,#N/A,FALSE,"Ratio Analysis";#N/A,#N/A,FALSE,"Test 120 Day Accts";#N/A,#N/A,FALSE,"Tickmarks"}</definedName>
    <definedName name="z" localSheetId="7" hidden="1">{#N/A,#N/A,FALSE,"Aging Summary";#N/A,#N/A,FALSE,"Ratio Analysis";#N/A,#N/A,FALSE,"Test 120 Day Accts";#N/A,#N/A,FALSE,"Tickmarks"}</definedName>
    <definedName name="z" localSheetId="8" hidden="1">{#N/A,#N/A,FALSE,"Aging Summary";#N/A,#N/A,FALSE,"Ratio Analysis";#N/A,#N/A,FALSE,"Test 120 Day Accts";#N/A,#N/A,FALSE,"Tickmarks"}</definedName>
    <definedName name="z" hidden="1">{#N/A,#N/A,FALSE,"Aging Summary";#N/A,#N/A,FALSE,"Ratio Analysis";#N/A,#N/A,FALSE,"Test 120 Day Accts";#N/A,#N/A,FALSE,"Tickmarks"}</definedName>
    <definedName name="Z_086A872D_15DF_436A_8459_CE22F6819FF4_.wvu.Rows" hidden="1">[1]Presentacion!#REF!</definedName>
    <definedName name="Z_D55C8B2E_861A_459E_9D09_3AF38A1DE99E_.wvu.Rows" hidden="1">[1]Presentacion!#REF!</definedName>
    <definedName name="Z_F540D718_D9AA_403F_AE49_60D937FD77E5_.wvu.Rows" hidden="1">[1]Presentacion!#REF!</definedName>
  </definedNames>
  <calcPr calcId="191028"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U204" i="91" l="1"/>
  <c r="EC202" i="91"/>
  <c r="F177" i="1"/>
  <c r="G177" i="1"/>
  <c r="H177" i="1"/>
  <c r="I177" i="1"/>
  <c r="J177" i="1"/>
  <c r="E177" i="1"/>
  <c r="F172" i="1"/>
  <c r="G172" i="1"/>
  <c r="H172" i="1"/>
  <c r="I172" i="1"/>
  <c r="J172" i="1"/>
  <c r="E172" i="1"/>
  <c r="M170" i="1"/>
  <c r="N170" i="1"/>
  <c r="F143" i="1"/>
  <c r="G143" i="1"/>
  <c r="H143" i="1"/>
  <c r="I143" i="1"/>
  <c r="J143" i="1"/>
  <c r="E143" i="1"/>
  <c r="E152" i="1"/>
  <c r="E176" i="1"/>
  <c r="E171" i="1"/>
  <c r="E169" i="1"/>
  <c r="E153" i="1"/>
  <c r="E150" i="1"/>
  <c r="E149" i="1"/>
  <c r="E148" i="1"/>
  <c r="E147" i="1"/>
  <c r="E146" i="1"/>
  <c r="E145" i="1"/>
  <c r="E144" i="1"/>
  <c r="E141" i="1"/>
  <c r="E140" i="1"/>
  <c r="E139" i="1"/>
  <c r="E154" i="1"/>
  <c r="DV213" i="91"/>
  <c r="DW213" i="91" s="1"/>
  <c r="DX213" i="91" s="1"/>
  <c r="DY213" i="91" s="1"/>
  <c r="DZ213" i="91" s="1"/>
  <c r="EA213" i="91" s="1"/>
  <c r="EB213" i="91" s="1"/>
  <c r="EC213" i="91" s="1"/>
  <c r="ED213" i="91" s="1"/>
  <c r="EE213" i="91" s="1"/>
  <c r="EF213" i="91" s="1"/>
  <c r="DV214" i="91"/>
  <c r="DW214" i="91" s="1"/>
  <c r="DX214" i="91" s="1"/>
  <c r="DY214" i="91" s="1"/>
  <c r="DZ214" i="91" s="1"/>
  <c r="EA214" i="91" s="1"/>
  <c r="EB214" i="91" s="1"/>
  <c r="EC214" i="91" s="1"/>
  <c r="ED214" i="91" s="1"/>
  <c r="EE214" i="91" s="1"/>
  <c r="EF214" i="91" s="1"/>
  <c r="DU213" i="91"/>
  <c r="DU214" i="91"/>
  <c r="EF202" i="91" l="1"/>
  <c r="O154" i="3"/>
  <c r="N157" i="3"/>
  <c r="N153" i="3"/>
  <c r="N149" i="3"/>
  <c r="HN112" i="91"/>
  <c r="HM112" i="91"/>
  <c r="HL112" i="91"/>
  <c r="HN40" i="91"/>
  <c r="HM40" i="91"/>
  <c r="HL40" i="91"/>
  <c r="HK40" i="91"/>
  <c r="HN75" i="91"/>
  <c r="HM75" i="91"/>
  <c r="HL75" i="91"/>
  <c r="HN106" i="91"/>
  <c r="HM106" i="91"/>
  <c r="HL106" i="91"/>
  <c r="O99" i="3"/>
  <c r="K97" i="3"/>
  <c r="J97" i="3"/>
  <c r="I97" i="3"/>
  <c r="H97" i="3"/>
  <c r="G97" i="3"/>
  <c r="F97" i="3"/>
  <c r="E97" i="3"/>
  <c r="D99" i="1"/>
  <c r="E99" i="1"/>
  <c r="E166" i="1" s="1"/>
  <c r="E165" i="1" s="1"/>
  <c r="F99" i="1"/>
  <c r="G99" i="1"/>
  <c r="H99" i="1"/>
  <c r="I99" i="1"/>
  <c r="J99" i="1"/>
  <c r="K99" i="1"/>
  <c r="P98" i="3"/>
  <c r="Q98" i="3" s="1"/>
  <c r="R98" i="3" s="1"/>
  <c r="S98" i="3" s="1"/>
  <c r="O262" i="3"/>
  <c r="O255" i="3"/>
  <c r="O302" i="3"/>
  <c r="O304" i="3"/>
  <c r="N69" i="3"/>
  <c r="M69" i="3"/>
  <c r="EF108" i="91"/>
  <c r="EF184" i="91"/>
  <c r="EF93" i="91"/>
  <c r="EE93" i="91"/>
  <c r="ED93" i="91"/>
  <c r="EC93" i="91"/>
  <c r="EB93" i="91"/>
  <c r="EA93" i="91"/>
  <c r="DZ93" i="91"/>
  <c r="DY93" i="91"/>
  <c r="DX93" i="91"/>
  <c r="DW93" i="91"/>
  <c r="DV93" i="91"/>
  <c r="DU93" i="91"/>
  <c r="K55" i="77" l="1"/>
  <c r="K54" i="77" s="1"/>
  <c r="L55" i="77"/>
  <c r="N55" i="77"/>
  <c r="N54" i="77" s="1"/>
  <c r="M55" i="77"/>
  <c r="M54" i="77" s="1"/>
  <c r="L54" i="77"/>
  <c r="S12" i="77" l="1"/>
  <c r="R12" i="77"/>
  <c r="O14" i="77"/>
  <c r="O59" i="77" s="1"/>
  <c r="D11" i="77"/>
  <c r="S6" i="3"/>
  <c r="S7" i="3"/>
  <c r="S8" i="3"/>
  <c r="R13" i="3"/>
  <c r="O10" i="3"/>
  <c r="P10" i="3" s="1"/>
  <c r="Q10" i="3" s="1"/>
  <c r="R10" i="3" s="1"/>
  <c r="S11" i="3"/>
  <c r="HJ213" i="91"/>
  <c r="HI213" i="91"/>
  <c r="HH213" i="91"/>
  <c r="HG213" i="91"/>
  <c r="HF213" i="91"/>
  <c r="HE213" i="91"/>
  <c r="HD213" i="91"/>
  <c r="N133" i="1"/>
  <c r="N130" i="1"/>
  <c r="N129" i="1"/>
  <c r="N128" i="1"/>
  <c r="N127" i="1"/>
  <c r="N126" i="1"/>
  <c r="N123" i="1"/>
  <c r="N122" i="1"/>
  <c r="N223" i="3" s="1"/>
  <c r="N120" i="1"/>
  <c r="N119" i="1"/>
  <c r="N115" i="1"/>
  <c r="N114" i="1"/>
  <c r="N113" i="1"/>
  <c r="N112" i="1"/>
  <c r="N99" i="1"/>
  <c r="N95" i="1"/>
  <c r="N91" i="1"/>
  <c r="N77" i="1"/>
  <c r="J62" i="77"/>
  <c r="I62" i="77"/>
  <c r="H62" i="77"/>
  <c r="G62" i="77"/>
  <c r="F62" i="77"/>
  <c r="E62" i="77"/>
  <c r="D62" i="77"/>
  <c r="LM216" i="91"/>
  <c r="LM215" i="91"/>
  <c r="LM212" i="91"/>
  <c r="LM211" i="91"/>
  <c r="LM210" i="91"/>
  <c r="LM209" i="91"/>
  <c r="LM208" i="91"/>
  <c r="LM207" i="91"/>
  <c r="LM206" i="91"/>
  <c r="LM205" i="91"/>
  <c r="LM200" i="91"/>
  <c r="LM199" i="91"/>
  <c r="LM198" i="91"/>
  <c r="LM197" i="91"/>
  <c r="LM195" i="91"/>
  <c r="LM194" i="91"/>
  <c r="LM193" i="91"/>
  <c r="LM192" i="91"/>
  <c r="LM191" i="91"/>
  <c r="LM188" i="91"/>
  <c r="LM187" i="91"/>
  <c r="LM186" i="91"/>
  <c r="LM185" i="91"/>
  <c r="LM184" i="91"/>
  <c r="LM182" i="91"/>
  <c r="LM181" i="91"/>
  <c r="LM180" i="91"/>
  <c r="LM179" i="91"/>
  <c r="LM178" i="91"/>
  <c r="LM177" i="91"/>
  <c r="LM176" i="91"/>
  <c r="LM175" i="91"/>
  <c r="LM174" i="91"/>
  <c r="LM173" i="91"/>
  <c r="LM172" i="91"/>
  <c r="LM171" i="91"/>
  <c r="LM170" i="91"/>
  <c r="LM169" i="91"/>
  <c r="LM164" i="91"/>
  <c r="LM163" i="91"/>
  <c r="LM162" i="91"/>
  <c r="LM161" i="91"/>
  <c r="LM160" i="91"/>
  <c r="LM159" i="91"/>
  <c r="LM157" i="91"/>
  <c r="LM156" i="91"/>
  <c r="LM155" i="91"/>
  <c r="LM154" i="91"/>
  <c r="LM153" i="91"/>
  <c r="LM152" i="91"/>
  <c r="LM151" i="91"/>
  <c r="LM150" i="91"/>
  <c r="LM148" i="91"/>
  <c r="LM147" i="91"/>
  <c r="LM146" i="91"/>
  <c r="LM144" i="91"/>
  <c r="LM143" i="91"/>
  <c r="LM142" i="91"/>
  <c r="LM141" i="91"/>
  <c r="LM140" i="91"/>
  <c r="LM135" i="91"/>
  <c r="LM134" i="91"/>
  <c r="LM133" i="91"/>
  <c r="LM132" i="91"/>
  <c r="LM131" i="91"/>
  <c r="LM130" i="91"/>
  <c r="LM129" i="91"/>
  <c r="LM128" i="91"/>
  <c r="LM127" i="91"/>
  <c r="LM126" i="91"/>
  <c r="LM123" i="91"/>
  <c r="LM122" i="91"/>
  <c r="LM121" i="91"/>
  <c r="LM120" i="91"/>
  <c r="LM119" i="91"/>
  <c r="LM118" i="91"/>
  <c r="LM108" i="91"/>
  <c r="LM103" i="91"/>
  <c r="LM102" i="91"/>
  <c r="LM101" i="91"/>
  <c r="LM100" i="91"/>
  <c r="LM98" i="91"/>
  <c r="LM97" i="91"/>
  <c r="LM96" i="91"/>
  <c r="LM95" i="91"/>
  <c r="LM94" i="91"/>
  <c r="LM93" i="91"/>
  <c r="LM90" i="91"/>
  <c r="LM89" i="91"/>
  <c r="LM88" i="91"/>
  <c r="LM86" i="91"/>
  <c r="LM85" i="91"/>
  <c r="LM82" i="91"/>
  <c r="LM81" i="91"/>
  <c r="LM80" i="91"/>
  <c r="LM79" i="91"/>
  <c r="LM71" i="91"/>
  <c r="LM70" i="91"/>
  <c r="LM69" i="91"/>
  <c r="LM68" i="91"/>
  <c r="LM66" i="91"/>
  <c r="LM65" i="91"/>
  <c r="LM58" i="91"/>
  <c r="LM57" i="91"/>
  <c r="LM56" i="91"/>
  <c r="LM55" i="91"/>
  <c r="LM54" i="91"/>
  <c r="LM53" i="91"/>
  <c r="LM52" i="91"/>
  <c r="LM51" i="91"/>
  <c r="LM50" i="91"/>
  <c r="LM49" i="91"/>
  <c r="LM48" i="91"/>
  <c r="LM46" i="91"/>
  <c r="LM45" i="91"/>
  <c r="LM44" i="91"/>
  <c r="LM43" i="91"/>
  <c r="LM37" i="91"/>
  <c r="LM36" i="91"/>
  <c r="LM35" i="91"/>
  <c r="LM34" i="91"/>
  <c r="LM33" i="91"/>
  <c r="LM32" i="91"/>
  <c r="LM31" i="91"/>
  <c r="LM30" i="91"/>
  <c r="LM29" i="91"/>
  <c r="LM28" i="91"/>
  <c r="LM27" i="91"/>
  <c r="LM26" i="91"/>
  <c r="LM25" i="91"/>
  <c r="LM24" i="91"/>
  <c r="LM23" i="91"/>
  <c r="LM22" i="91"/>
  <c r="LM19" i="91"/>
  <c r="LM18" i="91"/>
  <c r="LM17" i="91"/>
  <c r="LM16" i="91"/>
  <c r="LM14" i="91"/>
  <c r="LM12" i="91"/>
  <c r="LH218" i="91"/>
  <c r="LG218" i="91"/>
  <c r="LF218" i="91"/>
  <c r="LE218" i="91"/>
  <c r="LD218" i="91"/>
  <c r="LC218" i="91"/>
  <c r="LL216" i="91"/>
  <c r="LK216" i="91"/>
  <c r="LJ216" i="91"/>
  <c r="LI216" i="91"/>
  <c r="LH216" i="91"/>
  <c r="LG216" i="91"/>
  <c r="LF216" i="91"/>
  <c r="LE216" i="91"/>
  <c r="LD216" i="91"/>
  <c r="LC216" i="91"/>
  <c r="LL215" i="91"/>
  <c r="LK215" i="91"/>
  <c r="LJ215" i="91"/>
  <c r="LI215" i="91"/>
  <c r="LH215" i="91"/>
  <c r="LG215" i="91"/>
  <c r="LF215" i="91"/>
  <c r="LE215" i="91"/>
  <c r="LD215" i="91"/>
  <c r="LC215" i="91"/>
  <c r="LK214" i="91"/>
  <c r="LI214" i="91"/>
  <c r="LH214" i="91"/>
  <c r="LG214" i="91"/>
  <c r="LF214" i="91"/>
  <c r="LE214" i="91"/>
  <c r="LD214" i="91"/>
  <c r="LC214" i="91"/>
  <c r="LH213" i="91"/>
  <c r="LG213" i="91"/>
  <c r="LF213" i="91"/>
  <c r="LE213" i="91"/>
  <c r="LD213" i="91"/>
  <c r="LC213" i="91"/>
  <c r="LL212" i="91"/>
  <c r="LK212" i="91"/>
  <c r="LJ212" i="91"/>
  <c r="LI212" i="91"/>
  <c r="LH212" i="91"/>
  <c r="LG212" i="91"/>
  <c r="LF212" i="91"/>
  <c r="LE212" i="91"/>
  <c r="LD212" i="91"/>
  <c r="LC212" i="91"/>
  <c r="LL211" i="91"/>
  <c r="LK211" i="91"/>
  <c r="LJ211" i="91"/>
  <c r="LI211" i="91"/>
  <c r="LH211" i="91"/>
  <c r="LG211" i="91"/>
  <c r="LF211" i="91"/>
  <c r="LE211" i="91"/>
  <c r="LD211" i="91"/>
  <c r="LC211" i="91"/>
  <c r="LL210" i="91"/>
  <c r="LK210" i="91"/>
  <c r="LJ210" i="91"/>
  <c r="LI210" i="91"/>
  <c r="LH210" i="91"/>
  <c r="LG210" i="91"/>
  <c r="LF210" i="91"/>
  <c r="LE210" i="91"/>
  <c r="LD210" i="91"/>
  <c r="LC210" i="91"/>
  <c r="LL209" i="91"/>
  <c r="LK209" i="91"/>
  <c r="LJ209" i="91"/>
  <c r="LI209" i="91"/>
  <c r="LH209" i="91"/>
  <c r="LG209" i="91"/>
  <c r="LF209" i="91"/>
  <c r="LE209" i="91"/>
  <c r="LD209" i="91"/>
  <c r="LC209" i="91"/>
  <c r="LL208" i="91"/>
  <c r="LK208" i="91"/>
  <c r="LJ208" i="91"/>
  <c r="LI208" i="91"/>
  <c r="LH208" i="91"/>
  <c r="LG208" i="91"/>
  <c r="LF208" i="91"/>
  <c r="LE208" i="91"/>
  <c r="LD208" i="91"/>
  <c r="LC208" i="91"/>
  <c r="LL207" i="91"/>
  <c r="LK207" i="91"/>
  <c r="LJ207" i="91"/>
  <c r="LI207" i="91"/>
  <c r="LH207" i="91"/>
  <c r="LG207" i="91"/>
  <c r="LF207" i="91"/>
  <c r="LE207" i="91"/>
  <c r="LD207" i="91"/>
  <c r="LC207" i="91"/>
  <c r="LL206" i="91"/>
  <c r="LK206" i="91"/>
  <c r="LJ206" i="91"/>
  <c r="LI206" i="91"/>
  <c r="LH206" i="91"/>
  <c r="LG206" i="91"/>
  <c r="LF206" i="91"/>
  <c r="LE206" i="91"/>
  <c r="LD206" i="91"/>
  <c r="LC206" i="91"/>
  <c r="LL205" i="91"/>
  <c r="LK205" i="91"/>
  <c r="LJ205" i="91"/>
  <c r="LI205" i="91"/>
  <c r="LH205" i="91"/>
  <c r="LG205" i="91"/>
  <c r="LF205" i="91"/>
  <c r="LE205" i="91"/>
  <c r="LD205" i="91"/>
  <c r="LC205" i="91"/>
  <c r="LH204" i="91"/>
  <c r="LG204" i="91"/>
  <c r="LF204" i="91"/>
  <c r="LE204" i="91"/>
  <c r="LD204" i="91"/>
  <c r="LC204" i="91"/>
  <c r="LK202" i="91"/>
  <c r="LJ202" i="91"/>
  <c r="LI202" i="91"/>
  <c r="LH202" i="91"/>
  <c r="LG202" i="91"/>
  <c r="LF202" i="91"/>
  <c r="LE202" i="91"/>
  <c r="LD202" i="91"/>
  <c r="LC202" i="91"/>
  <c r="LL200" i="91"/>
  <c r="LK200" i="91"/>
  <c r="LJ200" i="91"/>
  <c r="LI200" i="91"/>
  <c r="LH200" i="91"/>
  <c r="LG200" i="91"/>
  <c r="LF200" i="91"/>
  <c r="LE200" i="91"/>
  <c r="LD200" i="91"/>
  <c r="LC200" i="91"/>
  <c r="LL199" i="91"/>
  <c r="LK199" i="91"/>
  <c r="LJ199" i="91"/>
  <c r="LI199" i="91"/>
  <c r="LH199" i="91"/>
  <c r="LG199" i="91"/>
  <c r="LF199" i="91"/>
  <c r="LE199" i="91"/>
  <c r="LD199" i="91"/>
  <c r="LC199" i="91"/>
  <c r="LL198" i="91"/>
  <c r="LK198" i="91"/>
  <c r="LJ198" i="91"/>
  <c r="LI198" i="91"/>
  <c r="LH198" i="91"/>
  <c r="LG198" i="91"/>
  <c r="LF198" i="91"/>
  <c r="LE198" i="91"/>
  <c r="LD198" i="91"/>
  <c r="LC198" i="91"/>
  <c r="LL197" i="91"/>
  <c r="LK197" i="91"/>
  <c r="LJ197" i="91"/>
  <c r="LI197" i="91"/>
  <c r="LH197" i="91"/>
  <c r="LG197" i="91"/>
  <c r="LF197" i="91"/>
  <c r="LE197" i="91"/>
  <c r="LD197" i="91"/>
  <c r="LC197" i="91"/>
  <c r="LL196" i="91"/>
  <c r="LK196" i="91"/>
  <c r="LJ196" i="91"/>
  <c r="LI196" i="91"/>
  <c r="LH196" i="91"/>
  <c r="LG196" i="91"/>
  <c r="LF196" i="91"/>
  <c r="LE196" i="91"/>
  <c r="LD196" i="91"/>
  <c r="LC196" i="91"/>
  <c r="LL195" i="91"/>
  <c r="LK195" i="91"/>
  <c r="LJ195" i="91"/>
  <c r="LI195" i="91"/>
  <c r="LH195" i="91"/>
  <c r="LG195" i="91"/>
  <c r="LF195" i="91"/>
  <c r="LE195" i="91"/>
  <c r="LD195" i="91"/>
  <c r="LC195" i="91"/>
  <c r="LL194" i="91"/>
  <c r="LK194" i="91"/>
  <c r="LJ194" i="91"/>
  <c r="LI194" i="91"/>
  <c r="LH194" i="91"/>
  <c r="LG194" i="91"/>
  <c r="LF194" i="91"/>
  <c r="LE194" i="91"/>
  <c r="LD194" i="91"/>
  <c r="LC194" i="91"/>
  <c r="LL193" i="91"/>
  <c r="LK193" i="91"/>
  <c r="LJ193" i="91"/>
  <c r="LI193" i="91"/>
  <c r="LH193" i="91"/>
  <c r="LG193" i="91"/>
  <c r="LF193" i="91"/>
  <c r="LE193" i="91"/>
  <c r="LD193" i="91"/>
  <c r="LC193" i="91"/>
  <c r="LL192" i="91"/>
  <c r="LK192" i="91"/>
  <c r="LJ192" i="91"/>
  <c r="LI192" i="91"/>
  <c r="LH192" i="91"/>
  <c r="LG192" i="91"/>
  <c r="LF192" i="91"/>
  <c r="LE192" i="91"/>
  <c r="LD192" i="91"/>
  <c r="LC192" i="91"/>
  <c r="LL191" i="91"/>
  <c r="LK191" i="91"/>
  <c r="LJ191" i="91"/>
  <c r="LI191" i="91"/>
  <c r="LH191" i="91"/>
  <c r="LG191" i="91"/>
  <c r="LF191" i="91"/>
  <c r="LE191" i="91"/>
  <c r="LD191" i="91"/>
  <c r="LC191" i="91"/>
  <c r="LK190" i="91"/>
  <c r="LJ190" i="91"/>
  <c r="LI190" i="91"/>
  <c r="LH190" i="91"/>
  <c r="LG190" i="91"/>
  <c r="LF190" i="91"/>
  <c r="LE190" i="91"/>
  <c r="LD190" i="91"/>
  <c r="LC190" i="91"/>
  <c r="LL188" i="91"/>
  <c r="LK188" i="91"/>
  <c r="LJ188" i="91"/>
  <c r="LI188" i="91"/>
  <c r="LH188" i="91"/>
  <c r="LG188" i="91"/>
  <c r="LF188" i="91"/>
  <c r="LE188" i="91"/>
  <c r="LD188" i="91"/>
  <c r="LC188" i="91"/>
  <c r="LL187" i="91"/>
  <c r="LK187" i="91"/>
  <c r="LJ187" i="91"/>
  <c r="LI187" i="91"/>
  <c r="LH187" i="91"/>
  <c r="LG187" i="91"/>
  <c r="LF187" i="91"/>
  <c r="LE187" i="91"/>
  <c r="LD187" i="91"/>
  <c r="LC187" i="91"/>
  <c r="LL186" i="91"/>
  <c r="LK186" i="91"/>
  <c r="LJ186" i="91"/>
  <c r="LI186" i="91"/>
  <c r="LH186" i="91"/>
  <c r="LG186" i="91"/>
  <c r="LF186" i="91"/>
  <c r="LE186" i="91"/>
  <c r="LD186" i="91"/>
  <c r="LC186" i="91"/>
  <c r="LL185" i="91"/>
  <c r="LK185" i="91"/>
  <c r="LJ185" i="91"/>
  <c r="LI185" i="91"/>
  <c r="LH185" i="91"/>
  <c r="LG185" i="91"/>
  <c r="LF185" i="91"/>
  <c r="LE185" i="91"/>
  <c r="LD185" i="91"/>
  <c r="LC185" i="91"/>
  <c r="LL184" i="91"/>
  <c r="LK184" i="91"/>
  <c r="LJ184" i="91"/>
  <c r="LI184" i="91"/>
  <c r="LH184" i="91"/>
  <c r="LG184" i="91"/>
  <c r="LF184" i="91"/>
  <c r="LE184" i="91"/>
  <c r="LD184" i="91"/>
  <c r="LC184" i="91"/>
  <c r="LK183" i="91"/>
  <c r="LJ183" i="91"/>
  <c r="LI183" i="91"/>
  <c r="LH183" i="91"/>
  <c r="LG183" i="91"/>
  <c r="LF183" i="91"/>
  <c r="LE183" i="91"/>
  <c r="LD183" i="91"/>
  <c r="LC183" i="91"/>
  <c r="LL182" i="91"/>
  <c r="LK182" i="91"/>
  <c r="LJ182" i="91"/>
  <c r="LI182" i="91"/>
  <c r="LH182" i="91"/>
  <c r="LG182" i="91"/>
  <c r="LF182" i="91"/>
  <c r="LE182" i="91"/>
  <c r="LD182" i="91"/>
  <c r="LC182" i="91"/>
  <c r="LL181" i="91"/>
  <c r="LK181" i="91"/>
  <c r="LJ181" i="91"/>
  <c r="LI181" i="91"/>
  <c r="LH181" i="91"/>
  <c r="LG181" i="91"/>
  <c r="LF181" i="91"/>
  <c r="LE181" i="91"/>
  <c r="LD181" i="91"/>
  <c r="LC181" i="91"/>
  <c r="LL180" i="91"/>
  <c r="LK180" i="91"/>
  <c r="LJ180" i="91"/>
  <c r="LI180" i="91"/>
  <c r="LH180" i="91"/>
  <c r="LG180" i="91"/>
  <c r="LF180" i="91"/>
  <c r="LE180" i="91"/>
  <c r="LD180" i="91"/>
  <c r="LC180" i="91"/>
  <c r="LL179" i="91"/>
  <c r="LK179" i="91"/>
  <c r="LJ179" i="91"/>
  <c r="LI179" i="91"/>
  <c r="LH179" i="91"/>
  <c r="LG179" i="91"/>
  <c r="LF179" i="91"/>
  <c r="LE179" i="91"/>
  <c r="LD179" i="91"/>
  <c r="LC179" i="91"/>
  <c r="LL178" i="91"/>
  <c r="LK178" i="91"/>
  <c r="LJ178" i="91"/>
  <c r="LI178" i="91"/>
  <c r="LH178" i="91"/>
  <c r="LG178" i="91"/>
  <c r="LF178" i="91"/>
  <c r="LE178" i="91"/>
  <c r="LD178" i="91"/>
  <c r="LC178" i="91"/>
  <c r="LL177" i="91"/>
  <c r="LK177" i="91"/>
  <c r="LJ177" i="91"/>
  <c r="LI177" i="91"/>
  <c r="LH177" i="91"/>
  <c r="LG177" i="91"/>
  <c r="LF177" i="91"/>
  <c r="LE177" i="91"/>
  <c r="LD177" i="91"/>
  <c r="LC177" i="91"/>
  <c r="LL176" i="91"/>
  <c r="LK176" i="91"/>
  <c r="LJ176" i="91"/>
  <c r="LI176" i="91"/>
  <c r="LH176" i="91"/>
  <c r="LG176" i="91"/>
  <c r="LF176" i="91"/>
  <c r="LE176" i="91"/>
  <c r="LD176" i="91"/>
  <c r="LC176" i="91"/>
  <c r="LL175" i="91"/>
  <c r="LK175" i="91"/>
  <c r="LJ175" i="91"/>
  <c r="LI175" i="91"/>
  <c r="LH175" i="91"/>
  <c r="LG175" i="91"/>
  <c r="LF175" i="91"/>
  <c r="LE175" i="91"/>
  <c r="LD175" i="91"/>
  <c r="LC175" i="91"/>
  <c r="LL174" i="91"/>
  <c r="LK174" i="91"/>
  <c r="LJ174" i="91"/>
  <c r="LI174" i="91"/>
  <c r="LH174" i="91"/>
  <c r="LG174" i="91"/>
  <c r="LF174" i="91"/>
  <c r="LE174" i="91"/>
  <c r="LD174" i="91"/>
  <c r="LC174" i="91"/>
  <c r="LL173" i="91"/>
  <c r="LK173" i="91"/>
  <c r="LJ173" i="91"/>
  <c r="LI173" i="91"/>
  <c r="LH173" i="91"/>
  <c r="LG173" i="91"/>
  <c r="LF173" i="91"/>
  <c r="LE173" i="91"/>
  <c r="LD173" i="91"/>
  <c r="LC173" i="91"/>
  <c r="LL172" i="91"/>
  <c r="LK172" i="91"/>
  <c r="LJ172" i="91"/>
  <c r="LI172" i="91"/>
  <c r="LH172" i="91"/>
  <c r="LG172" i="91"/>
  <c r="LF172" i="91"/>
  <c r="LE172" i="91"/>
  <c r="LD172" i="91"/>
  <c r="LC172" i="91"/>
  <c r="LL171" i="91"/>
  <c r="LK171" i="91"/>
  <c r="LJ171" i="91"/>
  <c r="LI171" i="91"/>
  <c r="LH171" i="91"/>
  <c r="LG171" i="91"/>
  <c r="LF171" i="91"/>
  <c r="LE171" i="91"/>
  <c r="LD171" i="91"/>
  <c r="LC171" i="91"/>
  <c r="LL170" i="91"/>
  <c r="LK170" i="91"/>
  <c r="LJ170" i="91"/>
  <c r="LI170" i="91"/>
  <c r="LH170" i="91"/>
  <c r="LG170" i="91"/>
  <c r="LF170" i="91"/>
  <c r="LE170" i="91"/>
  <c r="LD170" i="91"/>
  <c r="LC170" i="91"/>
  <c r="LL169" i="91"/>
  <c r="LK169" i="91"/>
  <c r="LJ169" i="91"/>
  <c r="LI169" i="91"/>
  <c r="LH169" i="91"/>
  <c r="LG169" i="91"/>
  <c r="LF169" i="91"/>
  <c r="LE169" i="91"/>
  <c r="LD169" i="91"/>
  <c r="LC169" i="91"/>
  <c r="LK168" i="91"/>
  <c r="LJ168" i="91"/>
  <c r="LI168" i="91"/>
  <c r="LH168" i="91"/>
  <c r="LG168" i="91"/>
  <c r="LF168" i="91"/>
  <c r="LE168" i="91"/>
  <c r="LD168" i="91"/>
  <c r="LC168" i="91"/>
  <c r="LK166" i="91"/>
  <c r="LJ166" i="91"/>
  <c r="LI166" i="91"/>
  <c r="LH166" i="91"/>
  <c r="LG166" i="91"/>
  <c r="LF166" i="91"/>
  <c r="LE166" i="91"/>
  <c r="LD166" i="91"/>
  <c r="LC166" i="91"/>
  <c r="LL164" i="91"/>
  <c r="LK164" i="91"/>
  <c r="LJ164" i="91"/>
  <c r="LI164" i="91"/>
  <c r="LH164" i="91"/>
  <c r="LG164" i="91"/>
  <c r="LF164" i="91"/>
  <c r="LE164" i="91"/>
  <c r="LD164" i="91"/>
  <c r="LC164" i="91"/>
  <c r="LL163" i="91"/>
  <c r="LK163" i="91"/>
  <c r="LJ163" i="91"/>
  <c r="LI163" i="91"/>
  <c r="LH163" i="91"/>
  <c r="LG163" i="91"/>
  <c r="LF163" i="91"/>
  <c r="LE163" i="91"/>
  <c r="LD163" i="91"/>
  <c r="LC163" i="91"/>
  <c r="LL162" i="91"/>
  <c r="LK162" i="91"/>
  <c r="LJ162" i="91"/>
  <c r="LI162" i="91"/>
  <c r="LH162" i="91"/>
  <c r="LG162" i="91"/>
  <c r="LF162" i="91"/>
  <c r="LE162" i="91"/>
  <c r="LD162" i="91"/>
  <c r="LC162" i="91"/>
  <c r="LL161" i="91"/>
  <c r="LK161" i="91"/>
  <c r="LJ161" i="91"/>
  <c r="LI161" i="91"/>
  <c r="LH161" i="91"/>
  <c r="LG161" i="91"/>
  <c r="LF161" i="91"/>
  <c r="LE161" i="91"/>
  <c r="LD161" i="91"/>
  <c r="LC161" i="91"/>
  <c r="LL160" i="91"/>
  <c r="LK160" i="91"/>
  <c r="LJ160" i="91"/>
  <c r="LI160" i="91"/>
  <c r="LH160" i="91"/>
  <c r="LG160" i="91"/>
  <c r="LF160" i="91"/>
  <c r="LE160" i="91"/>
  <c r="LD160" i="91"/>
  <c r="LC160" i="91"/>
  <c r="LL159" i="91"/>
  <c r="LK159" i="91"/>
  <c r="LJ159" i="91"/>
  <c r="LI159" i="91"/>
  <c r="LH159" i="91"/>
  <c r="LG159" i="91"/>
  <c r="LF159" i="91"/>
  <c r="LE159" i="91"/>
  <c r="LD159" i="91"/>
  <c r="LC159" i="91"/>
  <c r="LK158" i="91"/>
  <c r="LJ158" i="91"/>
  <c r="LI158" i="91"/>
  <c r="LH158" i="91"/>
  <c r="LG158" i="91"/>
  <c r="LF158" i="91"/>
  <c r="LE158" i="91"/>
  <c r="LD158" i="91"/>
  <c r="LC158" i="91"/>
  <c r="LL157" i="91"/>
  <c r="LK157" i="91"/>
  <c r="LJ157" i="91"/>
  <c r="LI157" i="91"/>
  <c r="LH157" i="91"/>
  <c r="LG157" i="91"/>
  <c r="LF157" i="91"/>
  <c r="LE157" i="91"/>
  <c r="LD157" i="91"/>
  <c r="LC157" i="91"/>
  <c r="LL156" i="91"/>
  <c r="LK156" i="91"/>
  <c r="LJ156" i="91"/>
  <c r="LI156" i="91"/>
  <c r="LH156" i="91"/>
  <c r="LG156" i="91"/>
  <c r="LF156" i="91"/>
  <c r="LE156" i="91"/>
  <c r="LD156" i="91"/>
  <c r="LC156" i="91"/>
  <c r="LL155" i="91"/>
  <c r="LK155" i="91"/>
  <c r="LJ155" i="91"/>
  <c r="LI155" i="91"/>
  <c r="LH155" i="91"/>
  <c r="LG155" i="91"/>
  <c r="LF155" i="91"/>
  <c r="LE155" i="91"/>
  <c r="LD155" i="91"/>
  <c r="LC155" i="91"/>
  <c r="LL154" i="91"/>
  <c r="LK154" i="91"/>
  <c r="LJ154" i="91"/>
  <c r="LI154" i="91"/>
  <c r="LH154" i="91"/>
  <c r="LG154" i="91"/>
  <c r="LF154" i="91"/>
  <c r="LE154" i="91"/>
  <c r="LD154" i="91"/>
  <c r="LC154" i="91"/>
  <c r="LL153" i="91"/>
  <c r="LK153" i="91"/>
  <c r="LJ153" i="91"/>
  <c r="LI153" i="91"/>
  <c r="LH153" i="91"/>
  <c r="LG153" i="91"/>
  <c r="LF153" i="91"/>
  <c r="LE153" i="91"/>
  <c r="LD153" i="91"/>
  <c r="LC153" i="91"/>
  <c r="LL152" i="91"/>
  <c r="LK152" i="91"/>
  <c r="LJ152" i="91"/>
  <c r="LI152" i="91"/>
  <c r="LH152" i="91"/>
  <c r="LG152" i="91"/>
  <c r="LF152" i="91"/>
  <c r="LE152" i="91"/>
  <c r="LD152" i="91"/>
  <c r="LC152" i="91"/>
  <c r="LL151" i="91"/>
  <c r="LK151" i="91"/>
  <c r="LJ151" i="91"/>
  <c r="LI151" i="91"/>
  <c r="LH151" i="91"/>
  <c r="LG151" i="91"/>
  <c r="LF151" i="91"/>
  <c r="LE151" i="91"/>
  <c r="LD151" i="91"/>
  <c r="LC151" i="91"/>
  <c r="LL150" i="91"/>
  <c r="LK150" i="91"/>
  <c r="LJ150" i="91"/>
  <c r="LI150" i="91"/>
  <c r="LH150" i="91"/>
  <c r="LG150" i="91"/>
  <c r="LF150" i="91"/>
  <c r="LE150" i="91"/>
  <c r="LD150" i="91"/>
  <c r="LC150" i="91"/>
  <c r="LK149" i="91"/>
  <c r="LJ149" i="91"/>
  <c r="LI149" i="91"/>
  <c r="LH149" i="91"/>
  <c r="LG149" i="91"/>
  <c r="LF149" i="91"/>
  <c r="LE149" i="91"/>
  <c r="LD149" i="91"/>
  <c r="LC149" i="91"/>
  <c r="LL148" i="91"/>
  <c r="LK148" i="91"/>
  <c r="LJ148" i="91"/>
  <c r="LI148" i="91"/>
  <c r="LH148" i="91"/>
  <c r="LG148" i="91"/>
  <c r="LF148" i="91"/>
  <c r="LE148" i="91"/>
  <c r="LD148" i="91"/>
  <c r="LC148" i="91"/>
  <c r="LL147" i="91"/>
  <c r="LK147" i="91"/>
  <c r="LJ147" i="91"/>
  <c r="LI147" i="91"/>
  <c r="LH147" i="91"/>
  <c r="LG147" i="91"/>
  <c r="LF147" i="91"/>
  <c r="LE147" i="91"/>
  <c r="LD147" i="91"/>
  <c r="LC147" i="91"/>
  <c r="LL146" i="91"/>
  <c r="LK146" i="91"/>
  <c r="LJ146" i="91"/>
  <c r="LI146" i="91"/>
  <c r="LH146" i="91"/>
  <c r="LG146" i="91"/>
  <c r="LF146" i="91"/>
  <c r="LE146" i="91"/>
  <c r="LD146" i="91"/>
  <c r="LC146" i="91"/>
  <c r="LK145" i="91"/>
  <c r="LJ145" i="91"/>
  <c r="LI145" i="91"/>
  <c r="LH145" i="91"/>
  <c r="LG145" i="91"/>
  <c r="LF145" i="91"/>
  <c r="LE145" i="91"/>
  <c r="LD145" i="91"/>
  <c r="LC145" i="91"/>
  <c r="LL144" i="91"/>
  <c r="LK144" i="91"/>
  <c r="LJ144" i="91"/>
  <c r="LI144" i="91"/>
  <c r="LH144" i="91"/>
  <c r="LG144" i="91"/>
  <c r="LF144" i="91"/>
  <c r="LE144" i="91"/>
  <c r="LD144" i="91"/>
  <c r="LC144" i="91"/>
  <c r="LL143" i="91"/>
  <c r="LK143" i="91"/>
  <c r="LJ143" i="91"/>
  <c r="LI143" i="91"/>
  <c r="LH143" i="91"/>
  <c r="LG143" i="91"/>
  <c r="LF143" i="91"/>
  <c r="LE143" i="91"/>
  <c r="LD143" i="91"/>
  <c r="LC143" i="91"/>
  <c r="LL142" i="91"/>
  <c r="LK142" i="91"/>
  <c r="LJ142" i="91"/>
  <c r="LI142" i="91"/>
  <c r="LH142" i="91"/>
  <c r="LG142" i="91"/>
  <c r="LF142" i="91"/>
  <c r="LE142" i="91"/>
  <c r="LD142" i="91"/>
  <c r="LC142" i="91"/>
  <c r="LK141" i="91"/>
  <c r="LJ141" i="91"/>
  <c r="LI141" i="91"/>
  <c r="LH141" i="91"/>
  <c r="LG141" i="91"/>
  <c r="LF141" i="91"/>
  <c r="LE141" i="91"/>
  <c r="LD141" i="91"/>
  <c r="LC141" i="91"/>
  <c r="LL140" i="91"/>
  <c r="LK140" i="91"/>
  <c r="LJ140" i="91"/>
  <c r="LI140" i="91"/>
  <c r="LH140" i="91"/>
  <c r="LG140" i="91"/>
  <c r="LF140" i="91"/>
  <c r="LE140" i="91"/>
  <c r="LD140" i="91"/>
  <c r="LC140" i="91"/>
  <c r="LK139" i="91"/>
  <c r="LJ139" i="91"/>
  <c r="LI139" i="91"/>
  <c r="LH139" i="91"/>
  <c r="LG139" i="91"/>
  <c r="LF139" i="91"/>
  <c r="LE139" i="91"/>
  <c r="LD139" i="91"/>
  <c r="LC139" i="91"/>
  <c r="LK138" i="91"/>
  <c r="LJ138" i="91"/>
  <c r="LI138" i="91"/>
  <c r="LH138" i="91"/>
  <c r="LG138" i="91"/>
  <c r="LF138" i="91"/>
  <c r="LE138" i="91"/>
  <c r="LD138" i="91"/>
  <c r="LC138" i="91"/>
  <c r="LK137" i="91"/>
  <c r="LJ137" i="91"/>
  <c r="LI137" i="91"/>
  <c r="LH137" i="91"/>
  <c r="LG137" i="91"/>
  <c r="LF137" i="91"/>
  <c r="LE137" i="91"/>
  <c r="LD137" i="91"/>
  <c r="LC137" i="91"/>
  <c r="LL135" i="91"/>
  <c r="LK135" i="91"/>
  <c r="LJ135" i="91"/>
  <c r="LI135" i="91"/>
  <c r="LH135" i="91"/>
  <c r="LG135" i="91"/>
  <c r="LF135" i="91"/>
  <c r="LE135" i="91"/>
  <c r="LD135" i="91"/>
  <c r="LC135" i="91"/>
  <c r="LL134" i="91"/>
  <c r="LK134" i="91"/>
  <c r="LJ134" i="91"/>
  <c r="LI134" i="91"/>
  <c r="LH134" i="91"/>
  <c r="LG134" i="91"/>
  <c r="LF134" i="91"/>
  <c r="LE134" i="91"/>
  <c r="LD134" i="91"/>
  <c r="LC134" i="91"/>
  <c r="LL133" i="91"/>
  <c r="LK133" i="91"/>
  <c r="LJ133" i="91"/>
  <c r="LI133" i="91"/>
  <c r="LH133" i="91"/>
  <c r="LG133" i="91"/>
  <c r="LF133" i="91"/>
  <c r="LE133" i="91"/>
  <c r="LD133" i="91"/>
  <c r="LC133" i="91"/>
  <c r="LL132" i="91"/>
  <c r="LK132" i="91"/>
  <c r="LJ132" i="91"/>
  <c r="LI132" i="91"/>
  <c r="LH132" i="91"/>
  <c r="LG132" i="91"/>
  <c r="LF132" i="91"/>
  <c r="LE132" i="91"/>
  <c r="LD132" i="91"/>
  <c r="LC132" i="91"/>
  <c r="LL131" i="91"/>
  <c r="LK131" i="91"/>
  <c r="LJ131" i="91"/>
  <c r="LI131" i="91"/>
  <c r="LH131" i="91"/>
  <c r="LG131" i="91"/>
  <c r="LF131" i="91"/>
  <c r="LE131" i="91"/>
  <c r="LD131" i="91"/>
  <c r="LC131" i="91"/>
  <c r="LL130" i="91"/>
  <c r="LK130" i="91"/>
  <c r="LJ130" i="91"/>
  <c r="LI130" i="91"/>
  <c r="LH130" i="91"/>
  <c r="LG130" i="91"/>
  <c r="LF130" i="91"/>
  <c r="LE130" i="91"/>
  <c r="LD130" i="91"/>
  <c r="LC130" i="91"/>
  <c r="LL129" i="91"/>
  <c r="LK129" i="91"/>
  <c r="LJ129" i="91"/>
  <c r="LI129" i="91"/>
  <c r="LH129" i="91"/>
  <c r="LG129" i="91"/>
  <c r="LF129" i="91"/>
  <c r="LE129" i="91"/>
  <c r="LD129" i="91"/>
  <c r="LC129" i="91"/>
  <c r="LL128" i="91"/>
  <c r="LK128" i="91"/>
  <c r="LJ128" i="91"/>
  <c r="LI128" i="91"/>
  <c r="LH128" i="91"/>
  <c r="LG128" i="91"/>
  <c r="LF128" i="91"/>
  <c r="LE128" i="91"/>
  <c r="LD128" i="91"/>
  <c r="LC128" i="91"/>
  <c r="LL127" i="91"/>
  <c r="LK127" i="91"/>
  <c r="LJ127" i="91"/>
  <c r="LI127" i="91"/>
  <c r="LH127" i="91"/>
  <c r="LG127" i="91"/>
  <c r="LF127" i="91"/>
  <c r="LE127" i="91"/>
  <c r="LD127" i="91"/>
  <c r="LC127" i="91"/>
  <c r="LL126" i="91"/>
  <c r="LK126" i="91"/>
  <c r="LJ126" i="91"/>
  <c r="LI126" i="91"/>
  <c r="LH126" i="91"/>
  <c r="LG126" i="91"/>
  <c r="LF126" i="91"/>
  <c r="LE126" i="91"/>
  <c r="LD126" i="91"/>
  <c r="LC126" i="91"/>
  <c r="LK125" i="91"/>
  <c r="LJ125" i="91"/>
  <c r="LI125" i="91"/>
  <c r="LH125" i="91"/>
  <c r="LG125" i="91"/>
  <c r="LF125" i="91"/>
  <c r="LE125" i="91"/>
  <c r="LD125" i="91"/>
  <c r="LC125" i="91"/>
  <c r="LK124" i="91"/>
  <c r="LJ124" i="91"/>
  <c r="LI124" i="91"/>
  <c r="LH124" i="91"/>
  <c r="LG124" i="91"/>
  <c r="LF124" i="91"/>
  <c r="LE124" i="91"/>
  <c r="LD124" i="91"/>
  <c r="LC124" i="91"/>
  <c r="LL123" i="91"/>
  <c r="LK123" i="91"/>
  <c r="LJ123" i="91"/>
  <c r="LI123" i="91"/>
  <c r="LH123" i="91"/>
  <c r="LG123" i="91"/>
  <c r="LF123" i="91"/>
  <c r="LE123" i="91"/>
  <c r="LD123" i="91"/>
  <c r="LC123" i="91"/>
  <c r="LL122" i="91"/>
  <c r="LK122" i="91"/>
  <c r="LJ122" i="91"/>
  <c r="LI122" i="91"/>
  <c r="LH122" i="91"/>
  <c r="LG122" i="91"/>
  <c r="LF122" i="91"/>
  <c r="LE122" i="91"/>
  <c r="LD122" i="91"/>
  <c r="LC122" i="91"/>
  <c r="LL121" i="91"/>
  <c r="LK121" i="91"/>
  <c r="LJ121" i="91"/>
  <c r="LI121" i="91"/>
  <c r="LH121" i="91"/>
  <c r="LG121" i="91"/>
  <c r="LF121" i="91"/>
  <c r="LE121" i="91"/>
  <c r="LD121" i="91"/>
  <c r="LC121" i="91"/>
  <c r="LL120" i="91"/>
  <c r="LK120" i="91"/>
  <c r="LJ120" i="91"/>
  <c r="LI120" i="91"/>
  <c r="LH120" i="91"/>
  <c r="LG120" i="91"/>
  <c r="LF120" i="91"/>
  <c r="LE120" i="91"/>
  <c r="LD120" i="91"/>
  <c r="LC120" i="91"/>
  <c r="LL119" i="91"/>
  <c r="LK119" i="91"/>
  <c r="LJ119" i="91"/>
  <c r="LI119" i="91"/>
  <c r="LH119" i="91"/>
  <c r="LG119" i="91"/>
  <c r="LF119" i="91"/>
  <c r="LE119" i="91"/>
  <c r="LD119" i="91"/>
  <c r="LC119" i="91"/>
  <c r="LL118" i="91"/>
  <c r="LK118" i="91"/>
  <c r="LJ118" i="91"/>
  <c r="LI118" i="91"/>
  <c r="LH118" i="91"/>
  <c r="LG118" i="91"/>
  <c r="LF118" i="91"/>
  <c r="LE118" i="91"/>
  <c r="LD118" i="91"/>
  <c r="LC118" i="91"/>
  <c r="LK117" i="91"/>
  <c r="LJ117" i="91"/>
  <c r="LI117" i="91"/>
  <c r="LH117" i="91"/>
  <c r="LG117" i="91"/>
  <c r="LF117" i="91"/>
  <c r="LE117" i="91"/>
  <c r="LD117" i="91"/>
  <c r="LC117" i="91"/>
  <c r="LB218" i="91"/>
  <c r="LB216" i="91"/>
  <c r="LB215" i="91"/>
  <c r="LB214" i="91"/>
  <c r="LB213" i="91"/>
  <c r="LB212" i="91"/>
  <c r="LB211" i="91"/>
  <c r="LB210" i="91"/>
  <c r="LB209" i="91"/>
  <c r="LB208" i="91"/>
  <c r="LB207" i="91"/>
  <c r="LB206" i="91"/>
  <c r="LB205" i="91"/>
  <c r="LB204" i="91"/>
  <c r="LB202" i="91"/>
  <c r="LB200" i="91"/>
  <c r="LB199" i="91"/>
  <c r="LB198" i="91"/>
  <c r="LB197" i="91"/>
  <c r="LB196" i="91"/>
  <c r="LB195" i="91"/>
  <c r="LB194" i="91"/>
  <c r="LB193" i="91"/>
  <c r="LB192" i="91"/>
  <c r="LB191" i="91"/>
  <c r="LB190" i="91"/>
  <c r="LB188" i="91"/>
  <c r="LB187" i="91"/>
  <c r="LB186" i="91"/>
  <c r="LB185" i="91"/>
  <c r="LB184" i="91"/>
  <c r="LB183" i="91"/>
  <c r="LB182" i="91"/>
  <c r="LB181" i="91"/>
  <c r="LB180" i="91"/>
  <c r="LB179" i="91"/>
  <c r="LB178" i="91"/>
  <c r="LB177" i="91"/>
  <c r="LB176" i="91"/>
  <c r="LB175" i="91"/>
  <c r="LB174" i="91"/>
  <c r="LB173" i="91"/>
  <c r="LB172" i="91"/>
  <c r="LB171" i="91"/>
  <c r="LB170" i="91"/>
  <c r="LB169" i="91"/>
  <c r="LB168" i="91"/>
  <c r="LB166" i="91"/>
  <c r="LB164" i="91"/>
  <c r="LB163" i="91"/>
  <c r="LB162" i="91"/>
  <c r="LB161" i="91"/>
  <c r="LB160" i="91"/>
  <c r="LB159" i="91"/>
  <c r="LB158" i="91"/>
  <c r="LB157" i="91"/>
  <c r="LB156" i="91"/>
  <c r="LB155" i="91"/>
  <c r="LB154" i="91"/>
  <c r="LB153" i="91"/>
  <c r="LB152" i="91"/>
  <c r="LB151" i="91"/>
  <c r="LB150" i="91"/>
  <c r="LB149" i="91"/>
  <c r="LB148" i="91"/>
  <c r="LB147" i="91"/>
  <c r="LB146" i="91"/>
  <c r="LB145" i="91"/>
  <c r="LB144" i="91"/>
  <c r="LB143" i="91"/>
  <c r="LB142" i="91"/>
  <c r="LB141" i="91"/>
  <c r="LB140" i="91"/>
  <c r="LB139" i="91"/>
  <c r="LB138" i="91"/>
  <c r="LB137" i="91"/>
  <c r="LB118" i="91"/>
  <c r="LB119" i="91"/>
  <c r="LB120" i="91"/>
  <c r="LB121" i="91"/>
  <c r="LB122" i="91"/>
  <c r="LB123" i="91"/>
  <c r="LB124" i="91"/>
  <c r="LB125" i="91"/>
  <c r="LB126" i="91"/>
  <c r="LB127" i="91"/>
  <c r="LB128" i="91"/>
  <c r="LB129" i="91"/>
  <c r="LB130" i="91"/>
  <c r="LB131" i="91"/>
  <c r="LB132" i="91"/>
  <c r="LB133" i="91"/>
  <c r="LB134" i="91"/>
  <c r="LB135" i="91"/>
  <c r="LB117" i="91"/>
  <c r="LH111" i="91"/>
  <c r="LG111" i="91"/>
  <c r="LF111" i="91"/>
  <c r="LE111" i="91"/>
  <c r="LD111" i="91"/>
  <c r="LC111" i="91"/>
  <c r="LL108" i="91"/>
  <c r="LK108" i="91"/>
  <c r="LJ108" i="91"/>
  <c r="LI108" i="91"/>
  <c r="LH108" i="91"/>
  <c r="LG108" i="91"/>
  <c r="LF108" i="91"/>
  <c r="LE108" i="91"/>
  <c r="LD108" i="91"/>
  <c r="LC108" i="91"/>
  <c r="LH105" i="91"/>
  <c r="LG105" i="91"/>
  <c r="LF105" i="91"/>
  <c r="LE105" i="91"/>
  <c r="LD105" i="91"/>
  <c r="LC105" i="91"/>
  <c r="LL103" i="91"/>
  <c r="LK103" i="91"/>
  <c r="LJ103" i="91"/>
  <c r="LI103" i="91"/>
  <c r="LH103" i="91"/>
  <c r="LG103" i="91"/>
  <c r="LF103" i="91"/>
  <c r="LE103" i="91"/>
  <c r="LD103" i="91"/>
  <c r="LC103" i="91"/>
  <c r="LL102" i="91"/>
  <c r="LK102" i="91"/>
  <c r="LJ102" i="91"/>
  <c r="LI102" i="91"/>
  <c r="LH102" i="91"/>
  <c r="LG102" i="91"/>
  <c r="LF102" i="91"/>
  <c r="LE102" i="91"/>
  <c r="LD102" i="91"/>
  <c r="LC102" i="91"/>
  <c r="LL101" i="91"/>
  <c r="LK101" i="91"/>
  <c r="LJ101" i="91"/>
  <c r="LI101" i="91"/>
  <c r="LH101" i="91"/>
  <c r="LG101" i="91"/>
  <c r="LF101" i="91"/>
  <c r="LE101" i="91"/>
  <c r="LD101" i="91"/>
  <c r="LC101" i="91"/>
  <c r="LL100" i="91"/>
  <c r="LK100" i="91"/>
  <c r="LJ100" i="91"/>
  <c r="LI100" i="91"/>
  <c r="LH100" i="91"/>
  <c r="LG100" i="91"/>
  <c r="LF100" i="91"/>
  <c r="LE100" i="91"/>
  <c r="LD100" i="91"/>
  <c r="LC100" i="91"/>
  <c r="LK99" i="91"/>
  <c r="LJ99" i="91"/>
  <c r="LI99" i="91"/>
  <c r="LH99" i="91"/>
  <c r="LG99" i="91"/>
  <c r="LF99" i="91"/>
  <c r="LE99" i="91"/>
  <c r="LD99" i="91"/>
  <c r="LC99" i="91"/>
  <c r="LL98" i="91"/>
  <c r="LK98" i="91"/>
  <c r="LJ98" i="91"/>
  <c r="LI98" i="91"/>
  <c r="LH98" i="91"/>
  <c r="LG98" i="91"/>
  <c r="LF98" i="91"/>
  <c r="LE98" i="91"/>
  <c r="LD98" i="91"/>
  <c r="LC98" i="91"/>
  <c r="LL97" i="91"/>
  <c r="LK97" i="91"/>
  <c r="LJ97" i="91"/>
  <c r="LI97" i="91"/>
  <c r="LH97" i="91"/>
  <c r="LG97" i="91"/>
  <c r="LF97" i="91"/>
  <c r="LE97" i="91"/>
  <c r="LD97" i="91"/>
  <c r="LC97" i="91"/>
  <c r="LL96" i="91"/>
  <c r="LK96" i="91"/>
  <c r="LJ96" i="91"/>
  <c r="LI96" i="91"/>
  <c r="LH96" i="91"/>
  <c r="LG96" i="91"/>
  <c r="LF96" i="91"/>
  <c r="LE96" i="91"/>
  <c r="LD96" i="91"/>
  <c r="LC96" i="91"/>
  <c r="LL95" i="91"/>
  <c r="LK95" i="91"/>
  <c r="LJ95" i="91"/>
  <c r="LI95" i="91"/>
  <c r="LH95" i="91"/>
  <c r="LG95" i="91"/>
  <c r="LF95" i="91"/>
  <c r="LE95" i="91"/>
  <c r="LD95" i="91"/>
  <c r="LC95" i="91"/>
  <c r="LL94" i="91"/>
  <c r="LK94" i="91"/>
  <c r="LJ94" i="91"/>
  <c r="LI94" i="91"/>
  <c r="LH94" i="91"/>
  <c r="LG94" i="91"/>
  <c r="LF94" i="91"/>
  <c r="LE94" i="91"/>
  <c r="LD94" i="91"/>
  <c r="LC94" i="91"/>
  <c r="LL93" i="91"/>
  <c r="LK93" i="91"/>
  <c r="LJ93" i="91"/>
  <c r="LI93" i="91"/>
  <c r="LH93" i="91"/>
  <c r="LG93" i="91"/>
  <c r="LF93" i="91"/>
  <c r="LE93" i="91"/>
  <c r="LD93" i="91"/>
  <c r="LC93" i="91"/>
  <c r="LK92" i="91"/>
  <c r="LJ92" i="91"/>
  <c r="LI92" i="91"/>
  <c r="LH92" i="91"/>
  <c r="LG92" i="91"/>
  <c r="LF92" i="91"/>
  <c r="LE92" i="91"/>
  <c r="LD92" i="91"/>
  <c r="LC92" i="91"/>
  <c r="LL90" i="91"/>
  <c r="LK90" i="91"/>
  <c r="LJ90" i="91"/>
  <c r="LI90" i="91"/>
  <c r="LH90" i="91"/>
  <c r="LG90" i="91"/>
  <c r="LF90" i="91"/>
  <c r="LE90" i="91"/>
  <c r="LD90" i="91"/>
  <c r="LC90" i="91"/>
  <c r="LL89" i="91"/>
  <c r="LK89" i="91"/>
  <c r="LJ89" i="91"/>
  <c r="LI89" i="91"/>
  <c r="LH89" i="91"/>
  <c r="LG89" i="91"/>
  <c r="LF89" i="91"/>
  <c r="LE89" i="91"/>
  <c r="LD89" i="91"/>
  <c r="LC89" i="91"/>
  <c r="LL88" i="91"/>
  <c r="LK88" i="91"/>
  <c r="LJ88" i="91"/>
  <c r="LI88" i="91"/>
  <c r="LH88" i="91"/>
  <c r="LG88" i="91"/>
  <c r="LF88" i="91"/>
  <c r="LE88" i="91"/>
  <c r="LD88" i="91"/>
  <c r="LC88" i="91"/>
  <c r="LL87" i="91"/>
  <c r="LK87" i="91"/>
  <c r="LJ87" i="91"/>
  <c r="LI87" i="91"/>
  <c r="LH87" i="91"/>
  <c r="LG87" i="91"/>
  <c r="LF87" i="91"/>
  <c r="LE87" i="91"/>
  <c r="LD87" i="91"/>
  <c r="LC87" i="91"/>
  <c r="LL86" i="91"/>
  <c r="LK86" i="91"/>
  <c r="LJ86" i="91"/>
  <c r="LI86" i="91"/>
  <c r="LH86" i="91"/>
  <c r="LG86" i="91"/>
  <c r="LF86" i="91"/>
  <c r="LE86" i="91"/>
  <c r="LD86" i="91"/>
  <c r="LC86" i="91"/>
  <c r="LL85" i="91"/>
  <c r="LK85" i="91"/>
  <c r="LJ85" i="91"/>
  <c r="LI85" i="91"/>
  <c r="LH85" i="91"/>
  <c r="LG85" i="91"/>
  <c r="LF85" i="91"/>
  <c r="LE85" i="91"/>
  <c r="LD85" i="91"/>
  <c r="LC85" i="91"/>
  <c r="LK84" i="91"/>
  <c r="LJ84" i="91"/>
  <c r="LI84" i="91"/>
  <c r="LH84" i="91"/>
  <c r="LG84" i="91"/>
  <c r="LF84" i="91"/>
  <c r="LE84" i="91"/>
  <c r="LD84" i="91"/>
  <c r="LC84" i="91"/>
  <c r="LK83" i="91"/>
  <c r="LJ83" i="91"/>
  <c r="LI83" i="91"/>
  <c r="LH83" i="91"/>
  <c r="LG83" i="91"/>
  <c r="LF83" i="91"/>
  <c r="LE83" i="91"/>
  <c r="LD83" i="91"/>
  <c r="LC83" i="91"/>
  <c r="LL82" i="91"/>
  <c r="LK82" i="91"/>
  <c r="LJ82" i="91"/>
  <c r="LI82" i="91"/>
  <c r="LH82" i="91"/>
  <c r="LG82" i="91"/>
  <c r="LF82" i="91"/>
  <c r="LE82" i="91"/>
  <c r="LD82" i="91"/>
  <c r="LC82" i="91"/>
  <c r="LL81" i="91"/>
  <c r="LK81" i="91"/>
  <c r="LJ81" i="91"/>
  <c r="LI81" i="91"/>
  <c r="LH81" i="91"/>
  <c r="LG81" i="91"/>
  <c r="LF81" i="91"/>
  <c r="LE81" i="91"/>
  <c r="LD81" i="91"/>
  <c r="LC81" i="91"/>
  <c r="LL80" i="91"/>
  <c r="LK80" i="91"/>
  <c r="LJ80" i="91"/>
  <c r="LI80" i="91"/>
  <c r="LH80" i="91"/>
  <c r="LG80" i="91"/>
  <c r="LF80" i="91"/>
  <c r="LE80" i="91"/>
  <c r="LD80" i="91"/>
  <c r="LC80" i="91"/>
  <c r="LL79" i="91"/>
  <c r="LK79" i="91"/>
  <c r="LJ79" i="91"/>
  <c r="LI79" i="91"/>
  <c r="LH79" i="91"/>
  <c r="LG79" i="91"/>
  <c r="LF79" i="91"/>
  <c r="LE79" i="91"/>
  <c r="LD79" i="91"/>
  <c r="LC79" i="91"/>
  <c r="LK78" i="91"/>
  <c r="LJ78" i="91"/>
  <c r="LI78" i="91"/>
  <c r="LH78" i="91"/>
  <c r="LG78" i="91"/>
  <c r="LF78" i="91"/>
  <c r="LE78" i="91"/>
  <c r="LD78" i="91"/>
  <c r="LC78" i="91"/>
  <c r="LK77" i="91"/>
  <c r="LJ77" i="91"/>
  <c r="LI77" i="91"/>
  <c r="LH77" i="91"/>
  <c r="LG77" i="91"/>
  <c r="LF77" i="91"/>
  <c r="LE77" i="91"/>
  <c r="LD77" i="91"/>
  <c r="LC77" i="91"/>
  <c r="LH74" i="91"/>
  <c r="LG74" i="91"/>
  <c r="LF74" i="91"/>
  <c r="LE74" i="91"/>
  <c r="LD74" i="91"/>
  <c r="LC74" i="91"/>
  <c r="LL71" i="91"/>
  <c r="LK71" i="91"/>
  <c r="LJ71" i="91"/>
  <c r="LI71" i="91"/>
  <c r="LH71" i="91"/>
  <c r="LG71" i="91"/>
  <c r="LF71" i="91"/>
  <c r="LE71" i="91"/>
  <c r="LD71" i="91"/>
  <c r="LC71" i="91"/>
  <c r="LL70" i="91"/>
  <c r="LK70" i="91"/>
  <c r="LJ70" i="91"/>
  <c r="LI70" i="91"/>
  <c r="LH70" i="91"/>
  <c r="LG70" i="91"/>
  <c r="LF70" i="91"/>
  <c r="LE70" i="91"/>
  <c r="LD70" i="91"/>
  <c r="LC70" i="91"/>
  <c r="LL69" i="91"/>
  <c r="LK69" i="91"/>
  <c r="LJ69" i="91"/>
  <c r="LI69" i="91"/>
  <c r="LH69" i="91"/>
  <c r="LG69" i="91"/>
  <c r="LF69" i="91"/>
  <c r="LE69" i="91"/>
  <c r="LD69" i="91"/>
  <c r="LC69" i="91"/>
  <c r="LL68" i="91"/>
  <c r="LK68" i="91"/>
  <c r="LJ68" i="91"/>
  <c r="LI68" i="91"/>
  <c r="LH68" i="91"/>
  <c r="LG68" i="91"/>
  <c r="LF68" i="91"/>
  <c r="LE68" i="91"/>
  <c r="LD68" i="91"/>
  <c r="LC68" i="91"/>
  <c r="LK67" i="91"/>
  <c r="LJ67" i="91"/>
  <c r="LI67" i="91"/>
  <c r="LH67" i="91"/>
  <c r="LG67" i="91"/>
  <c r="LF67" i="91"/>
  <c r="LE67" i="91"/>
  <c r="LD67" i="91"/>
  <c r="LC67" i="91"/>
  <c r="LL66" i="91"/>
  <c r="LK66" i="91"/>
  <c r="LJ66" i="91"/>
  <c r="LI66" i="91"/>
  <c r="LH66" i="91"/>
  <c r="LG66" i="91"/>
  <c r="LF66" i="91"/>
  <c r="LE66" i="91"/>
  <c r="LD66" i="91"/>
  <c r="LC66" i="91"/>
  <c r="LL65" i="91"/>
  <c r="LK65" i="91"/>
  <c r="LJ65" i="91"/>
  <c r="LI65" i="91"/>
  <c r="LH65" i="91"/>
  <c r="LG65" i="91"/>
  <c r="LF65" i="91"/>
  <c r="LE65" i="91"/>
  <c r="LD65" i="91"/>
  <c r="LC65" i="91"/>
  <c r="LK64" i="91"/>
  <c r="LJ64" i="91"/>
  <c r="LI64" i="91"/>
  <c r="LH64" i="91"/>
  <c r="LG64" i="91"/>
  <c r="LF64" i="91"/>
  <c r="LE64" i="91"/>
  <c r="LD64" i="91"/>
  <c r="LC64" i="91"/>
  <c r="LK63" i="91"/>
  <c r="LJ63" i="91"/>
  <c r="LI63" i="91"/>
  <c r="LH63" i="91"/>
  <c r="LG63" i="91"/>
  <c r="LF63" i="91"/>
  <c r="LE63" i="91"/>
  <c r="LD63" i="91"/>
  <c r="LC63" i="91"/>
  <c r="LH60" i="91"/>
  <c r="LG60" i="91"/>
  <c r="LF60" i="91"/>
  <c r="LE60" i="91"/>
  <c r="LD60" i="91"/>
  <c r="LC60" i="91"/>
  <c r="LL58" i="91"/>
  <c r="LK58" i="91"/>
  <c r="LJ58" i="91"/>
  <c r="LI58" i="91"/>
  <c r="LH58" i="91"/>
  <c r="LG58" i="91"/>
  <c r="LF58" i="91"/>
  <c r="LE58" i="91"/>
  <c r="LD58" i="91"/>
  <c r="LC58" i="91"/>
  <c r="LL57" i="91"/>
  <c r="LK57" i="91"/>
  <c r="LJ57" i="91"/>
  <c r="LI57" i="91"/>
  <c r="LH57" i="91"/>
  <c r="LG57" i="91"/>
  <c r="LF57" i="91"/>
  <c r="LE57" i="91"/>
  <c r="LD57" i="91"/>
  <c r="LC57" i="91"/>
  <c r="LL56" i="91"/>
  <c r="LK56" i="91"/>
  <c r="LJ56" i="91"/>
  <c r="LI56" i="91"/>
  <c r="LH56" i="91"/>
  <c r="LG56" i="91"/>
  <c r="LF56" i="91"/>
  <c r="LE56" i="91"/>
  <c r="LD56" i="91"/>
  <c r="LC56" i="91"/>
  <c r="LL55" i="91"/>
  <c r="LK55" i="91"/>
  <c r="LJ55" i="91"/>
  <c r="LI55" i="91"/>
  <c r="LH55" i="91"/>
  <c r="LG55" i="91"/>
  <c r="LF55" i="91"/>
  <c r="LE55" i="91"/>
  <c r="LD55" i="91"/>
  <c r="LC55" i="91"/>
  <c r="LL54" i="91"/>
  <c r="LK54" i="91"/>
  <c r="LJ54" i="91"/>
  <c r="LI54" i="91"/>
  <c r="LH54" i="91"/>
  <c r="LG54" i="91"/>
  <c r="LF54" i="91"/>
  <c r="LE54" i="91"/>
  <c r="LD54" i="91"/>
  <c r="LC54" i="91"/>
  <c r="LL53" i="91"/>
  <c r="LK53" i="91"/>
  <c r="LJ53" i="91"/>
  <c r="LI53" i="91"/>
  <c r="LH53" i="91"/>
  <c r="LG53" i="91"/>
  <c r="LF53" i="91"/>
  <c r="LE53" i="91"/>
  <c r="LD53" i="91"/>
  <c r="LC53" i="91"/>
  <c r="LL52" i="91"/>
  <c r="LK52" i="91"/>
  <c r="LJ52" i="91"/>
  <c r="LI52" i="91"/>
  <c r="LH52" i="91"/>
  <c r="LG52" i="91"/>
  <c r="LF52" i="91"/>
  <c r="LE52" i="91"/>
  <c r="LD52" i="91"/>
  <c r="LC52" i="91"/>
  <c r="LL51" i="91"/>
  <c r="LK51" i="91"/>
  <c r="LJ51" i="91"/>
  <c r="LI51" i="91"/>
  <c r="LH51" i="91"/>
  <c r="LG51" i="91"/>
  <c r="LF51" i="91"/>
  <c r="LE51" i="91"/>
  <c r="LD51" i="91"/>
  <c r="LC51" i="91"/>
  <c r="LL50" i="91"/>
  <c r="LK50" i="91"/>
  <c r="LJ50" i="91"/>
  <c r="LI50" i="91"/>
  <c r="LH50" i="91"/>
  <c r="LG50" i="91"/>
  <c r="LF50" i="91"/>
  <c r="LE50" i="91"/>
  <c r="LD50" i="91"/>
  <c r="LC50" i="91"/>
  <c r="LL49" i="91"/>
  <c r="LK49" i="91"/>
  <c r="LJ49" i="91"/>
  <c r="LI49" i="91"/>
  <c r="LH49" i="91"/>
  <c r="LG49" i="91"/>
  <c r="LF49" i="91"/>
  <c r="LE49" i="91"/>
  <c r="LD49" i="91"/>
  <c r="LC49" i="91"/>
  <c r="LL48" i="91"/>
  <c r="LK48" i="91"/>
  <c r="LJ48" i="91"/>
  <c r="LI48" i="91"/>
  <c r="LH48" i="91"/>
  <c r="LG48" i="91"/>
  <c r="LF48" i="91"/>
  <c r="LE48" i="91"/>
  <c r="LD48" i="91"/>
  <c r="LC48" i="91"/>
  <c r="LK47" i="91"/>
  <c r="LJ47" i="91"/>
  <c r="LI47" i="91"/>
  <c r="LH47" i="91"/>
  <c r="LG47" i="91"/>
  <c r="LF47" i="91"/>
  <c r="LE47" i="91"/>
  <c r="LD47" i="91"/>
  <c r="LC47" i="91"/>
  <c r="LL46" i="91"/>
  <c r="LK46" i="91"/>
  <c r="LJ46" i="91"/>
  <c r="LI46" i="91"/>
  <c r="LH46" i="91"/>
  <c r="LG46" i="91"/>
  <c r="LF46" i="91"/>
  <c r="LE46" i="91"/>
  <c r="LD46" i="91"/>
  <c r="LC46" i="91"/>
  <c r="LL45" i="91"/>
  <c r="LK45" i="91"/>
  <c r="LJ45" i="91"/>
  <c r="LI45" i="91"/>
  <c r="LH45" i="91"/>
  <c r="LG45" i="91"/>
  <c r="LF45" i="91"/>
  <c r="LE45" i="91"/>
  <c r="LD45" i="91"/>
  <c r="LC45" i="91"/>
  <c r="LL44" i="91"/>
  <c r="LK44" i="91"/>
  <c r="LJ44" i="91"/>
  <c r="LI44" i="91"/>
  <c r="LH44" i="91"/>
  <c r="LG44" i="91"/>
  <c r="LF44" i="91"/>
  <c r="LE44" i="91"/>
  <c r="LD44" i="91"/>
  <c r="LC44" i="91"/>
  <c r="LL43" i="91"/>
  <c r="LK43" i="91"/>
  <c r="LJ43" i="91"/>
  <c r="LI43" i="91"/>
  <c r="LH43" i="91"/>
  <c r="LG43" i="91"/>
  <c r="LF43" i="91"/>
  <c r="LE43" i="91"/>
  <c r="LD43" i="91"/>
  <c r="LC43" i="91"/>
  <c r="LK42" i="91"/>
  <c r="LJ42" i="91"/>
  <c r="LI42" i="91"/>
  <c r="LH42" i="91"/>
  <c r="LG42" i="91"/>
  <c r="LF42" i="91"/>
  <c r="LE42" i="91"/>
  <c r="LD42" i="91"/>
  <c r="LC42" i="91"/>
  <c r="LH39" i="91"/>
  <c r="LG39" i="91"/>
  <c r="LF39" i="91"/>
  <c r="LE39" i="91"/>
  <c r="LD39" i="91"/>
  <c r="LC39" i="91"/>
  <c r="LL37" i="91"/>
  <c r="LK37" i="91"/>
  <c r="LJ37" i="91"/>
  <c r="LI37" i="91"/>
  <c r="LH37" i="91"/>
  <c r="LG37" i="91"/>
  <c r="LF37" i="91"/>
  <c r="LE37" i="91"/>
  <c r="LD37" i="91"/>
  <c r="LC37" i="91"/>
  <c r="LL36" i="91"/>
  <c r="LK36" i="91"/>
  <c r="LJ36" i="91"/>
  <c r="LI36" i="91"/>
  <c r="LH36" i="91"/>
  <c r="LG36" i="91"/>
  <c r="LF36" i="91"/>
  <c r="LE36" i="91"/>
  <c r="LD36" i="91"/>
  <c r="LC36" i="91"/>
  <c r="LL35" i="91"/>
  <c r="LK35" i="91"/>
  <c r="LJ35" i="91"/>
  <c r="LI35" i="91"/>
  <c r="LH35" i="91"/>
  <c r="LG35" i="91"/>
  <c r="LF35" i="91"/>
  <c r="LE35" i="91"/>
  <c r="LD35" i="91"/>
  <c r="LC35" i="91"/>
  <c r="LL34" i="91"/>
  <c r="LK34" i="91"/>
  <c r="LJ34" i="91"/>
  <c r="LI34" i="91"/>
  <c r="LH34" i="91"/>
  <c r="LG34" i="91"/>
  <c r="LF34" i="91"/>
  <c r="LE34" i="91"/>
  <c r="LD34" i="91"/>
  <c r="LC34" i="91"/>
  <c r="LL33" i="91"/>
  <c r="LK33" i="91"/>
  <c r="LJ33" i="91"/>
  <c r="LI33" i="91"/>
  <c r="LH33" i="91"/>
  <c r="LG33" i="91"/>
  <c r="LF33" i="91"/>
  <c r="LE33" i="91"/>
  <c r="LD33" i="91"/>
  <c r="LC33" i="91"/>
  <c r="LL32" i="91"/>
  <c r="LK32" i="91"/>
  <c r="LJ32" i="91"/>
  <c r="LI32" i="91"/>
  <c r="LH32" i="91"/>
  <c r="LG32" i="91"/>
  <c r="LF32" i="91"/>
  <c r="LE32" i="91"/>
  <c r="LD32" i="91"/>
  <c r="LC32" i="91"/>
  <c r="LL31" i="91"/>
  <c r="LK31" i="91"/>
  <c r="LJ31" i="91"/>
  <c r="LI31" i="91"/>
  <c r="LH31" i="91"/>
  <c r="LG31" i="91"/>
  <c r="LF31" i="91"/>
  <c r="LE31" i="91"/>
  <c r="LD31" i="91"/>
  <c r="LC31" i="91"/>
  <c r="LL30" i="91"/>
  <c r="LK30" i="91"/>
  <c r="LJ30" i="91"/>
  <c r="LI30" i="91"/>
  <c r="LH30" i="91"/>
  <c r="LG30" i="91"/>
  <c r="LF30" i="91"/>
  <c r="LE30" i="91"/>
  <c r="LD30" i="91"/>
  <c r="LC30" i="91"/>
  <c r="LL29" i="91"/>
  <c r="LK29" i="91"/>
  <c r="LJ29" i="91"/>
  <c r="LI29" i="91"/>
  <c r="LH29" i="91"/>
  <c r="LG29" i="91"/>
  <c r="LF29" i="91"/>
  <c r="LE29" i="91"/>
  <c r="LD29" i="91"/>
  <c r="LC29" i="91"/>
  <c r="LL28" i="91"/>
  <c r="LK28" i="91"/>
  <c r="LJ28" i="91"/>
  <c r="LI28" i="91"/>
  <c r="LH28" i="91"/>
  <c r="LG28" i="91"/>
  <c r="LF28" i="91"/>
  <c r="LE28" i="91"/>
  <c r="LD28" i="91"/>
  <c r="LC28" i="91"/>
  <c r="LL27" i="91"/>
  <c r="LK27" i="91"/>
  <c r="LJ27" i="91"/>
  <c r="LI27" i="91"/>
  <c r="LH27" i="91"/>
  <c r="LG27" i="91"/>
  <c r="LF27" i="91"/>
  <c r="LE27" i="91"/>
  <c r="LD27" i="91"/>
  <c r="LC27" i="91"/>
  <c r="LL26" i="91"/>
  <c r="LK26" i="91"/>
  <c r="LJ26" i="91"/>
  <c r="LI26" i="91"/>
  <c r="LH26" i="91"/>
  <c r="LG26" i="91"/>
  <c r="LF26" i="91"/>
  <c r="LE26" i="91"/>
  <c r="LD26" i="91"/>
  <c r="LC26" i="91"/>
  <c r="LL25" i="91"/>
  <c r="LK25" i="91"/>
  <c r="LJ25" i="91"/>
  <c r="LI25" i="91"/>
  <c r="LH25" i="91"/>
  <c r="LG25" i="91"/>
  <c r="LF25" i="91"/>
  <c r="LE25" i="91"/>
  <c r="LD25" i="91"/>
  <c r="LC25" i="91"/>
  <c r="LL24" i="91"/>
  <c r="LK24" i="91"/>
  <c r="LJ24" i="91"/>
  <c r="LI24" i="91"/>
  <c r="LH24" i="91"/>
  <c r="LG24" i="91"/>
  <c r="LF24" i="91"/>
  <c r="LE24" i="91"/>
  <c r="LD24" i="91"/>
  <c r="LC24" i="91"/>
  <c r="LL23" i="91"/>
  <c r="LK23" i="91"/>
  <c r="LJ23" i="91"/>
  <c r="LI23" i="91"/>
  <c r="LH23" i="91"/>
  <c r="LG23" i="91"/>
  <c r="LF23" i="91"/>
  <c r="LE23" i="91"/>
  <c r="LD23" i="91"/>
  <c r="LC23" i="91"/>
  <c r="LL22" i="91"/>
  <c r="LK22" i="91"/>
  <c r="LJ22" i="91"/>
  <c r="LI22" i="91"/>
  <c r="LH22" i="91"/>
  <c r="LG22" i="91"/>
  <c r="LF22" i="91"/>
  <c r="LE22" i="91"/>
  <c r="LD22" i="91"/>
  <c r="LC22" i="91"/>
  <c r="LK21" i="91"/>
  <c r="LJ21" i="91"/>
  <c r="LI21" i="91"/>
  <c r="LH21" i="91"/>
  <c r="LG21" i="91"/>
  <c r="LF21" i="91"/>
  <c r="LE21" i="91"/>
  <c r="LD21" i="91"/>
  <c r="LC21" i="91"/>
  <c r="LL19" i="91"/>
  <c r="LK19" i="91"/>
  <c r="LJ19" i="91"/>
  <c r="LI19" i="91"/>
  <c r="LH19" i="91"/>
  <c r="LG19" i="91"/>
  <c r="LF19" i="91"/>
  <c r="LE19" i="91"/>
  <c r="LD19" i="91"/>
  <c r="LC19" i="91"/>
  <c r="LL18" i="91"/>
  <c r="LK18" i="91"/>
  <c r="LJ18" i="91"/>
  <c r="LI18" i="91"/>
  <c r="LH18" i="91"/>
  <c r="LG18" i="91"/>
  <c r="LF18" i="91"/>
  <c r="LE18" i="91"/>
  <c r="LD18" i="91"/>
  <c r="LC18" i="91"/>
  <c r="LL17" i="91"/>
  <c r="LK17" i="91"/>
  <c r="LJ17" i="91"/>
  <c r="LI17" i="91"/>
  <c r="LH17" i="91"/>
  <c r="LG17" i="91"/>
  <c r="LF17" i="91"/>
  <c r="LE17" i="91"/>
  <c r="LD17" i="91"/>
  <c r="LC17" i="91"/>
  <c r="LL16" i="91"/>
  <c r="LK16" i="91"/>
  <c r="LJ16" i="91"/>
  <c r="LI16" i="91"/>
  <c r="LH16" i="91"/>
  <c r="LG16" i="91"/>
  <c r="LF16" i="91"/>
  <c r="LE16" i="91"/>
  <c r="LD16" i="91"/>
  <c r="LC16" i="91"/>
  <c r="LK15" i="91"/>
  <c r="LJ15" i="91"/>
  <c r="LI15" i="91"/>
  <c r="LH15" i="91"/>
  <c r="LG15" i="91"/>
  <c r="LF15" i="91"/>
  <c r="LE15" i="91"/>
  <c r="LD15" i="91"/>
  <c r="LC15" i="91"/>
  <c r="LK14" i="91"/>
  <c r="LJ14" i="91"/>
  <c r="LI14" i="91"/>
  <c r="LH14" i="91"/>
  <c r="LG14" i="91"/>
  <c r="LF14" i="91"/>
  <c r="LE14" i="91"/>
  <c r="LD14" i="91"/>
  <c r="LC14" i="91"/>
  <c r="LL12" i="91"/>
  <c r="LK12" i="91"/>
  <c r="LJ12" i="91"/>
  <c r="LI12" i="91"/>
  <c r="LH12" i="91"/>
  <c r="LG12" i="91"/>
  <c r="LF12" i="91"/>
  <c r="LE12" i="91"/>
  <c r="LD12" i="91"/>
  <c r="LC12" i="91"/>
  <c r="LK11" i="91"/>
  <c r="LH11" i="91"/>
  <c r="LG11" i="91"/>
  <c r="LF11" i="91"/>
  <c r="LE11" i="91"/>
  <c r="LE40" i="91" s="1"/>
  <c r="LD11" i="91"/>
  <c r="LD40" i="91" s="1"/>
  <c r="LC11" i="91"/>
  <c r="LB111" i="91"/>
  <c r="LB108" i="91"/>
  <c r="LB105" i="91"/>
  <c r="LB103" i="91"/>
  <c r="LB102" i="91"/>
  <c r="LB101" i="91"/>
  <c r="LB100" i="91"/>
  <c r="LB99" i="91"/>
  <c r="LB98" i="91"/>
  <c r="LB97" i="91"/>
  <c r="LB96" i="91"/>
  <c r="LB95" i="91"/>
  <c r="LB94" i="91"/>
  <c r="LB93" i="91"/>
  <c r="LB92" i="91"/>
  <c r="LB90" i="91"/>
  <c r="LB89" i="91"/>
  <c r="LB88" i="91"/>
  <c r="LB87" i="91"/>
  <c r="LB86" i="91"/>
  <c r="LB85" i="91"/>
  <c r="LB84" i="91"/>
  <c r="LB83" i="91"/>
  <c r="LB82" i="91"/>
  <c r="LB81" i="91"/>
  <c r="LB80" i="91"/>
  <c r="LB79" i="91"/>
  <c r="LB78" i="91"/>
  <c r="LB77" i="91"/>
  <c r="LB74" i="91"/>
  <c r="LB71" i="91"/>
  <c r="LB70" i="91"/>
  <c r="LB69" i="91"/>
  <c r="LB68" i="91"/>
  <c r="LB67" i="91"/>
  <c r="LB66" i="91"/>
  <c r="LB65" i="91"/>
  <c r="LB64" i="91"/>
  <c r="LB63" i="91"/>
  <c r="LB60" i="91"/>
  <c r="LB58" i="91"/>
  <c r="LB57" i="91"/>
  <c r="LB56" i="91"/>
  <c r="LB55" i="91"/>
  <c r="LB54" i="91"/>
  <c r="LB53" i="91"/>
  <c r="LB52" i="91"/>
  <c r="LB51" i="91"/>
  <c r="LB50" i="91"/>
  <c r="LB49" i="91"/>
  <c r="LB48" i="91"/>
  <c r="LB47" i="91"/>
  <c r="LB46" i="91"/>
  <c r="LB45" i="91"/>
  <c r="LB44" i="91"/>
  <c r="LB43" i="91"/>
  <c r="LB42" i="91"/>
  <c r="LB39" i="91"/>
  <c r="LB37" i="91"/>
  <c r="LB36" i="91"/>
  <c r="LB35" i="91"/>
  <c r="LB34" i="91"/>
  <c r="LB33" i="91"/>
  <c r="LB32" i="91"/>
  <c r="LB31" i="91"/>
  <c r="LB30" i="91"/>
  <c r="LB29" i="91"/>
  <c r="LB28" i="91"/>
  <c r="LB27" i="91"/>
  <c r="LB26" i="91"/>
  <c r="LB25" i="91"/>
  <c r="LB24" i="91"/>
  <c r="LB23" i="91"/>
  <c r="LB22" i="91"/>
  <c r="LB21" i="91"/>
  <c r="LB19" i="91"/>
  <c r="LB18" i="91"/>
  <c r="LB17" i="91"/>
  <c r="LB16" i="91"/>
  <c r="LB15" i="91"/>
  <c r="LB14" i="91"/>
  <c r="LB12" i="91"/>
  <c r="LB11" i="91"/>
  <c r="HP220" i="91"/>
  <c r="HO220" i="91"/>
  <c r="HP218" i="91"/>
  <c r="HO218" i="91"/>
  <c r="JL216" i="91"/>
  <c r="JL215" i="91"/>
  <c r="JL212" i="91"/>
  <c r="JL211" i="91"/>
  <c r="JL210" i="91"/>
  <c r="JL209" i="91"/>
  <c r="JL207" i="91"/>
  <c r="JL206" i="91"/>
  <c r="JL205" i="91"/>
  <c r="JL200" i="91"/>
  <c r="JL199" i="91"/>
  <c r="JL198" i="91"/>
  <c r="JL197" i="91"/>
  <c r="JL195" i="91"/>
  <c r="JL194" i="91"/>
  <c r="JL192" i="91"/>
  <c r="JL191" i="91"/>
  <c r="JL188" i="91"/>
  <c r="JL187" i="91"/>
  <c r="JL186" i="91"/>
  <c r="JL185" i="91"/>
  <c r="JL184" i="91"/>
  <c r="JL182" i="91"/>
  <c r="JL181" i="91"/>
  <c r="JL180" i="91"/>
  <c r="JL178" i="91"/>
  <c r="JL177" i="91"/>
  <c r="JL175" i="91"/>
  <c r="JL174" i="91"/>
  <c r="JL173" i="91"/>
  <c r="JL172" i="91"/>
  <c r="JL171" i="91"/>
  <c r="JL170" i="91"/>
  <c r="JL164" i="91"/>
  <c r="JL163" i="91"/>
  <c r="JL162" i="91"/>
  <c r="JL161" i="91"/>
  <c r="JL160" i="91"/>
  <c r="JL159" i="91"/>
  <c r="JL157" i="91"/>
  <c r="JL156" i="91"/>
  <c r="JL155" i="91"/>
  <c r="JL154" i="91"/>
  <c r="JL153" i="91"/>
  <c r="JL152" i="91"/>
  <c r="JL151" i="91"/>
  <c r="JL150" i="91"/>
  <c r="JL148" i="91"/>
  <c r="JL147" i="91"/>
  <c r="JL146" i="91"/>
  <c r="JL144" i="91"/>
  <c r="JL143" i="91"/>
  <c r="JL142" i="91"/>
  <c r="JL140" i="91"/>
  <c r="JL135" i="91"/>
  <c r="JL134" i="91"/>
  <c r="JL133" i="91"/>
  <c r="JL132" i="91"/>
  <c r="JL131" i="91"/>
  <c r="JL130" i="91"/>
  <c r="JL129" i="91"/>
  <c r="JL128" i="91"/>
  <c r="JL127" i="91"/>
  <c r="JL126" i="91"/>
  <c r="JL123" i="91"/>
  <c r="JL122" i="91"/>
  <c r="JL121" i="91"/>
  <c r="JL120" i="91"/>
  <c r="JL119" i="91"/>
  <c r="JL118" i="91"/>
  <c r="JL108" i="91"/>
  <c r="JL103" i="91"/>
  <c r="JL102" i="91"/>
  <c r="JL101" i="91"/>
  <c r="JL100" i="91"/>
  <c r="JL98" i="91"/>
  <c r="JL97" i="91"/>
  <c r="JL96" i="91"/>
  <c r="JL95" i="91"/>
  <c r="JL94" i="91"/>
  <c r="JL93" i="91"/>
  <c r="JL90" i="91"/>
  <c r="JL89" i="91"/>
  <c r="JL88" i="91"/>
  <c r="JL86" i="91"/>
  <c r="JL85" i="91"/>
  <c r="JL82" i="91"/>
  <c r="JL81" i="91"/>
  <c r="JL80" i="91"/>
  <c r="JL79" i="91"/>
  <c r="JL72" i="91"/>
  <c r="JL71" i="91"/>
  <c r="JL70" i="91"/>
  <c r="JL69" i="91"/>
  <c r="JL68" i="91"/>
  <c r="JL66" i="91"/>
  <c r="JL65" i="91"/>
  <c r="JL58" i="91"/>
  <c r="JL57" i="91"/>
  <c r="JL56" i="91"/>
  <c r="JL55" i="91"/>
  <c r="JL54" i="91"/>
  <c r="JL53" i="91"/>
  <c r="JL52" i="91"/>
  <c r="JL51" i="91"/>
  <c r="JL50" i="91"/>
  <c r="JL49" i="91"/>
  <c r="JL48" i="91"/>
  <c r="JL46" i="91"/>
  <c r="JL45" i="91"/>
  <c r="JL44" i="91"/>
  <c r="JL43" i="91"/>
  <c r="JL37" i="91"/>
  <c r="JL36" i="91"/>
  <c r="JL35" i="91"/>
  <c r="JL34" i="91"/>
  <c r="JL33" i="91"/>
  <c r="JL32" i="91"/>
  <c r="JL30" i="91"/>
  <c r="JL29" i="91"/>
  <c r="JL28" i="91"/>
  <c r="JL27" i="91"/>
  <c r="JL26" i="91"/>
  <c r="JL25" i="91"/>
  <c r="JL24" i="91"/>
  <c r="JL23" i="91"/>
  <c r="JL22" i="91"/>
  <c r="JL19" i="91"/>
  <c r="JL18" i="91"/>
  <c r="JL17" i="91"/>
  <c r="JL16" i="91"/>
  <c r="JL12" i="91"/>
  <c r="JK216" i="91"/>
  <c r="JJ216" i="91"/>
  <c r="JI216" i="91"/>
  <c r="JH216" i="91"/>
  <c r="JG216" i="91"/>
  <c r="JF216" i="91"/>
  <c r="JE216" i="91"/>
  <c r="JD216" i="91"/>
  <c r="JC216" i="91"/>
  <c r="JB216" i="91"/>
  <c r="JK215" i="91"/>
  <c r="JJ215" i="91"/>
  <c r="JI215" i="91"/>
  <c r="JH215" i="91"/>
  <c r="JG215" i="91"/>
  <c r="JF215" i="91"/>
  <c r="JE215" i="91"/>
  <c r="JD215" i="91"/>
  <c r="JC215" i="91"/>
  <c r="JB215" i="91"/>
  <c r="JE214" i="91"/>
  <c r="JD214" i="91"/>
  <c r="JC214" i="91"/>
  <c r="JB214" i="91"/>
  <c r="JE213" i="91"/>
  <c r="JC213" i="91"/>
  <c r="JB213" i="91"/>
  <c r="JK212" i="91"/>
  <c r="JJ212" i="91"/>
  <c r="JI212" i="91"/>
  <c r="JH212" i="91"/>
  <c r="JG212" i="91"/>
  <c r="JF212" i="91"/>
  <c r="JE212" i="91"/>
  <c r="JD212" i="91"/>
  <c r="JC212" i="91"/>
  <c r="JB212" i="91"/>
  <c r="JK211" i="91"/>
  <c r="JJ211" i="91"/>
  <c r="JI211" i="91"/>
  <c r="JH211" i="91"/>
  <c r="JG211" i="91"/>
  <c r="JF211" i="91"/>
  <c r="JE211" i="91"/>
  <c r="JD211" i="91"/>
  <c r="JC211" i="91"/>
  <c r="JB211" i="91"/>
  <c r="JK210" i="91"/>
  <c r="JJ210" i="91"/>
  <c r="JI210" i="91"/>
  <c r="JH210" i="91"/>
  <c r="JG210" i="91"/>
  <c r="JF210" i="91"/>
  <c r="JE210" i="91"/>
  <c r="JD210" i="91"/>
  <c r="JC210" i="91"/>
  <c r="JB210" i="91"/>
  <c r="JK209" i="91"/>
  <c r="JJ209" i="91"/>
  <c r="JI209" i="91"/>
  <c r="JH209" i="91"/>
  <c r="JG209" i="91"/>
  <c r="JF209" i="91"/>
  <c r="JE209" i="91"/>
  <c r="JD209" i="91"/>
  <c r="JC209" i="91"/>
  <c r="JB209" i="91"/>
  <c r="JC208" i="91"/>
  <c r="JB208" i="91"/>
  <c r="JK207" i="91"/>
  <c r="JJ207" i="91"/>
  <c r="JI207" i="91"/>
  <c r="JH207" i="91"/>
  <c r="JG207" i="91"/>
  <c r="JF207" i="91"/>
  <c r="JE207" i="91"/>
  <c r="JD207" i="91"/>
  <c r="JC207" i="91"/>
  <c r="JB207" i="91"/>
  <c r="JK206" i="91"/>
  <c r="JJ206" i="91"/>
  <c r="JI206" i="91"/>
  <c r="JH206" i="91"/>
  <c r="JG206" i="91"/>
  <c r="JF206" i="91"/>
  <c r="JE206" i="91"/>
  <c r="JD206" i="91"/>
  <c r="JC206" i="91"/>
  <c r="JB206" i="91"/>
  <c r="JK205" i="91"/>
  <c r="JJ205" i="91"/>
  <c r="JI205" i="91"/>
  <c r="JH205" i="91"/>
  <c r="JG205" i="91"/>
  <c r="JF205" i="91"/>
  <c r="JE205" i="91"/>
  <c r="JD205" i="91"/>
  <c r="JC205" i="91"/>
  <c r="JB205" i="91"/>
  <c r="JK200" i="91"/>
  <c r="JJ200" i="91"/>
  <c r="JI200" i="91"/>
  <c r="JH200" i="91"/>
  <c r="JG200" i="91"/>
  <c r="JF200" i="91"/>
  <c r="JE200" i="91"/>
  <c r="JD200" i="91"/>
  <c r="JC200" i="91"/>
  <c r="JB200" i="91"/>
  <c r="JK199" i="91"/>
  <c r="JJ199" i="91"/>
  <c r="JI199" i="91"/>
  <c r="JH199" i="91"/>
  <c r="JG199" i="91"/>
  <c r="JF199" i="91"/>
  <c r="JE199" i="91"/>
  <c r="JD199" i="91"/>
  <c r="JC199" i="91"/>
  <c r="JB199" i="91"/>
  <c r="JK198" i="91"/>
  <c r="JJ198" i="91"/>
  <c r="JI198" i="91"/>
  <c r="JH198" i="91"/>
  <c r="JG198" i="91"/>
  <c r="JF198" i="91"/>
  <c r="JD198" i="91"/>
  <c r="JC198" i="91"/>
  <c r="JB198" i="91"/>
  <c r="JK197" i="91"/>
  <c r="JJ197" i="91"/>
  <c r="JI197" i="91"/>
  <c r="JH197" i="91"/>
  <c r="JG197" i="91"/>
  <c r="JF197" i="91"/>
  <c r="JD197" i="91"/>
  <c r="JC197" i="91"/>
  <c r="JB197" i="91"/>
  <c r="JC196" i="91"/>
  <c r="JB196" i="91"/>
  <c r="JK195" i="91"/>
  <c r="JJ195" i="91"/>
  <c r="JI195" i="91"/>
  <c r="JH195" i="91"/>
  <c r="JG195" i="91"/>
  <c r="JF195" i="91"/>
  <c r="JE195" i="91"/>
  <c r="JD195" i="91"/>
  <c r="JC195" i="91"/>
  <c r="JB195" i="91"/>
  <c r="JK194" i="91"/>
  <c r="JJ194" i="91"/>
  <c r="JI194" i="91"/>
  <c r="JH194" i="91"/>
  <c r="JG194" i="91"/>
  <c r="JF194" i="91"/>
  <c r="JE194" i="91"/>
  <c r="JD194" i="91"/>
  <c r="JC194" i="91"/>
  <c r="JB194" i="91"/>
  <c r="JE193" i="91"/>
  <c r="JC193" i="91"/>
  <c r="JB193" i="91"/>
  <c r="JK192" i="91"/>
  <c r="JJ192" i="91"/>
  <c r="JI192" i="91"/>
  <c r="JH192" i="91"/>
  <c r="JG192" i="91"/>
  <c r="JF192" i="91"/>
  <c r="JE192" i="91"/>
  <c r="JD192" i="91"/>
  <c r="JC192" i="91"/>
  <c r="JB192" i="91"/>
  <c r="JK191" i="91"/>
  <c r="JJ191" i="91"/>
  <c r="JI191" i="91"/>
  <c r="JH191" i="91"/>
  <c r="JG191" i="91"/>
  <c r="JF191" i="91"/>
  <c r="JE191" i="91"/>
  <c r="JD191" i="91"/>
  <c r="JC191" i="91"/>
  <c r="JB191" i="91"/>
  <c r="JK188" i="91"/>
  <c r="JJ188" i="91"/>
  <c r="JI188" i="91"/>
  <c r="JH188" i="91"/>
  <c r="JG188" i="91"/>
  <c r="JF188" i="91"/>
  <c r="JE188" i="91"/>
  <c r="JD188" i="91"/>
  <c r="JC188" i="91"/>
  <c r="JB188" i="91"/>
  <c r="JK187" i="91"/>
  <c r="JJ187" i="91"/>
  <c r="JI187" i="91"/>
  <c r="JH187" i="91"/>
  <c r="JG187" i="91"/>
  <c r="JF187" i="91"/>
  <c r="JE187" i="91"/>
  <c r="JD187" i="91"/>
  <c r="JC187" i="91"/>
  <c r="JB187" i="91"/>
  <c r="JK186" i="91"/>
  <c r="JJ186" i="91"/>
  <c r="JI186" i="91"/>
  <c r="JH186" i="91"/>
  <c r="JG186" i="91"/>
  <c r="JF186" i="91"/>
  <c r="JE186" i="91"/>
  <c r="JD186" i="91"/>
  <c r="JC186" i="91"/>
  <c r="JB186" i="91"/>
  <c r="JK185" i="91"/>
  <c r="JJ185" i="91"/>
  <c r="JI185" i="91"/>
  <c r="JH185" i="91"/>
  <c r="JG185" i="91"/>
  <c r="JF185" i="91"/>
  <c r="JE185" i="91"/>
  <c r="JD185" i="91"/>
  <c r="JC185" i="91"/>
  <c r="JB185" i="91"/>
  <c r="JK184" i="91"/>
  <c r="JJ184" i="91"/>
  <c r="JI184" i="91"/>
  <c r="JH184" i="91"/>
  <c r="JG184" i="91"/>
  <c r="JF184" i="91"/>
  <c r="JD184" i="91"/>
  <c r="JC184" i="91"/>
  <c r="JB184" i="91"/>
  <c r="JC183" i="91"/>
  <c r="JB183" i="91"/>
  <c r="JK182" i="91"/>
  <c r="JJ182" i="91"/>
  <c r="JI182" i="91"/>
  <c r="JH182" i="91"/>
  <c r="JG182" i="91"/>
  <c r="JF182" i="91"/>
  <c r="JE182" i="91"/>
  <c r="JD182" i="91"/>
  <c r="JC182" i="91"/>
  <c r="JB182" i="91"/>
  <c r="JK181" i="91"/>
  <c r="JJ181" i="91"/>
  <c r="JI181" i="91"/>
  <c r="JH181" i="91"/>
  <c r="JG181" i="91"/>
  <c r="JF181" i="91"/>
  <c r="JE181" i="91"/>
  <c r="JD181" i="91"/>
  <c r="JC181" i="91"/>
  <c r="JB181" i="91"/>
  <c r="JK180" i="91"/>
  <c r="JJ180" i="91"/>
  <c r="JI180" i="91"/>
  <c r="JH180" i="91"/>
  <c r="JG180" i="91"/>
  <c r="JF180" i="91"/>
  <c r="JE180" i="91"/>
  <c r="JD180" i="91"/>
  <c r="JC180" i="91"/>
  <c r="JB180" i="91"/>
  <c r="JC179" i="91"/>
  <c r="JB179" i="91"/>
  <c r="JK178" i="91"/>
  <c r="JJ178" i="91"/>
  <c r="JI178" i="91"/>
  <c r="JH178" i="91"/>
  <c r="JG178" i="91"/>
  <c r="JF178" i="91"/>
  <c r="JE178" i="91"/>
  <c r="JD178" i="91"/>
  <c r="JC178" i="91"/>
  <c r="JB178" i="91"/>
  <c r="JK177" i="91"/>
  <c r="JJ177" i="91"/>
  <c r="JI177" i="91"/>
  <c r="JH177" i="91"/>
  <c r="JG177" i="91"/>
  <c r="JF177" i="91"/>
  <c r="JE177" i="91"/>
  <c r="JD177" i="91"/>
  <c r="JC177" i="91"/>
  <c r="JB177" i="91"/>
  <c r="JC176" i="91"/>
  <c r="JB176" i="91"/>
  <c r="JK175" i="91"/>
  <c r="JJ175" i="91"/>
  <c r="JI175" i="91"/>
  <c r="JH175" i="91"/>
  <c r="JG175" i="91"/>
  <c r="JF175" i="91"/>
  <c r="JE175" i="91"/>
  <c r="JD175" i="91"/>
  <c r="JC175" i="91"/>
  <c r="JB175" i="91"/>
  <c r="JK174" i="91"/>
  <c r="JJ174" i="91"/>
  <c r="JI174" i="91"/>
  <c r="JH174" i="91"/>
  <c r="JG174" i="91"/>
  <c r="JF174" i="91"/>
  <c r="JE174" i="91"/>
  <c r="JD174" i="91"/>
  <c r="JC174" i="91"/>
  <c r="JB174" i="91"/>
  <c r="JK173" i="91"/>
  <c r="JJ173" i="91"/>
  <c r="JI173" i="91"/>
  <c r="JH173" i="91"/>
  <c r="JG173" i="91"/>
  <c r="JF173" i="91"/>
  <c r="JD173" i="91"/>
  <c r="JC173" i="91"/>
  <c r="JB173" i="91"/>
  <c r="JK172" i="91"/>
  <c r="JJ172" i="91"/>
  <c r="JI172" i="91"/>
  <c r="JH172" i="91"/>
  <c r="JG172" i="91"/>
  <c r="JF172" i="91"/>
  <c r="JE172" i="91"/>
  <c r="JD172" i="91"/>
  <c r="JC172" i="91"/>
  <c r="JB172" i="91"/>
  <c r="JK171" i="91"/>
  <c r="JJ171" i="91"/>
  <c r="JI171" i="91"/>
  <c r="JH171" i="91"/>
  <c r="JG171" i="91"/>
  <c r="JF171" i="91"/>
  <c r="JE171" i="91"/>
  <c r="JD171" i="91"/>
  <c r="JC171" i="91"/>
  <c r="JB171" i="91"/>
  <c r="JK170" i="91"/>
  <c r="JJ170" i="91"/>
  <c r="JI170" i="91"/>
  <c r="JH170" i="91"/>
  <c r="JG170" i="91"/>
  <c r="JF170" i="91"/>
  <c r="JE170" i="91"/>
  <c r="JD170" i="91"/>
  <c r="JC170" i="91"/>
  <c r="JB170" i="91"/>
  <c r="JC169" i="91"/>
  <c r="JB169" i="91"/>
  <c r="JK164" i="91"/>
  <c r="JJ164" i="91"/>
  <c r="JI164" i="91"/>
  <c r="JH164" i="91"/>
  <c r="JG164" i="91"/>
  <c r="JF164" i="91"/>
  <c r="JE164" i="91"/>
  <c r="JD164" i="91"/>
  <c r="JC164" i="91"/>
  <c r="JB164" i="91"/>
  <c r="JK163" i="91"/>
  <c r="JJ163" i="91"/>
  <c r="JI163" i="91"/>
  <c r="JH163" i="91"/>
  <c r="JG163" i="91"/>
  <c r="JF163" i="91"/>
  <c r="JE163" i="91"/>
  <c r="JD163" i="91"/>
  <c r="JC163" i="91"/>
  <c r="JB163" i="91"/>
  <c r="JK162" i="91"/>
  <c r="JJ162" i="91"/>
  <c r="JI162" i="91"/>
  <c r="JH162" i="91"/>
  <c r="JG162" i="91"/>
  <c r="JF162" i="91"/>
  <c r="JD162" i="91"/>
  <c r="JC162" i="91"/>
  <c r="JB162" i="91"/>
  <c r="JK161" i="91"/>
  <c r="JJ161" i="91"/>
  <c r="JI161" i="91"/>
  <c r="JH161" i="91"/>
  <c r="JG161" i="91"/>
  <c r="JF161" i="91"/>
  <c r="JE161" i="91"/>
  <c r="JD161" i="91"/>
  <c r="JC161" i="91"/>
  <c r="JB161" i="91"/>
  <c r="JK160" i="91"/>
  <c r="JJ160" i="91"/>
  <c r="JI160" i="91"/>
  <c r="JH160" i="91"/>
  <c r="JG160" i="91"/>
  <c r="JF160" i="91"/>
  <c r="JE160" i="91"/>
  <c r="JD160" i="91"/>
  <c r="JC160" i="91"/>
  <c r="JB160" i="91"/>
  <c r="JK159" i="91"/>
  <c r="JJ159" i="91"/>
  <c r="JI159" i="91"/>
  <c r="JH159" i="91"/>
  <c r="JG159" i="91"/>
  <c r="JF159" i="91"/>
  <c r="JE159" i="91"/>
  <c r="JD159" i="91"/>
  <c r="JC159" i="91"/>
  <c r="JB159" i="91"/>
  <c r="JE158" i="91"/>
  <c r="JC158" i="91"/>
  <c r="JB158" i="91"/>
  <c r="JK157" i="91"/>
  <c r="JJ157" i="91"/>
  <c r="JI157" i="91"/>
  <c r="JH157" i="91"/>
  <c r="JG157" i="91"/>
  <c r="JF157" i="91"/>
  <c r="JE157" i="91"/>
  <c r="JD157" i="91"/>
  <c r="JC157" i="91"/>
  <c r="JB157" i="91"/>
  <c r="JK156" i="91"/>
  <c r="JJ156" i="91"/>
  <c r="JI156" i="91"/>
  <c r="JH156" i="91"/>
  <c r="JG156" i="91"/>
  <c r="JF156" i="91"/>
  <c r="JD156" i="91"/>
  <c r="JC156" i="91"/>
  <c r="JB156" i="91"/>
  <c r="JK155" i="91"/>
  <c r="JJ155" i="91"/>
  <c r="JI155" i="91"/>
  <c r="JH155" i="91"/>
  <c r="JG155" i="91"/>
  <c r="JF155" i="91"/>
  <c r="JE155" i="91"/>
  <c r="JD155" i="91"/>
  <c r="JC155" i="91"/>
  <c r="JB155" i="91"/>
  <c r="JK154" i="91"/>
  <c r="JJ154" i="91"/>
  <c r="JI154" i="91"/>
  <c r="JH154" i="91"/>
  <c r="JG154" i="91"/>
  <c r="JF154" i="91"/>
  <c r="JE154" i="91"/>
  <c r="JD154" i="91"/>
  <c r="JC154" i="91"/>
  <c r="JB154" i="91"/>
  <c r="JK153" i="91"/>
  <c r="JJ153" i="91"/>
  <c r="JI153" i="91"/>
  <c r="JH153" i="91"/>
  <c r="JG153" i="91"/>
  <c r="JF153" i="91"/>
  <c r="JE153" i="91"/>
  <c r="JD153" i="91"/>
  <c r="JC153" i="91"/>
  <c r="JB153" i="91"/>
  <c r="JK152" i="91"/>
  <c r="JJ152" i="91"/>
  <c r="JI152" i="91"/>
  <c r="JH152" i="91"/>
  <c r="JG152" i="91"/>
  <c r="JF152" i="91"/>
  <c r="JE152" i="91"/>
  <c r="JD152" i="91"/>
  <c r="JC152" i="91"/>
  <c r="JB152" i="91"/>
  <c r="JK151" i="91"/>
  <c r="JJ151" i="91"/>
  <c r="JI151" i="91"/>
  <c r="JH151" i="91"/>
  <c r="JG151" i="91"/>
  <c r="JF151" i="91"/>
  <c r="JE151" i="91"/>
  <c r="JD151" i="91"/>
  <c r="JC151" i="91"/>
  <c r="JB151" i="91"/>
  <c r="JK150" i="91"/>
  <c r="JJ150" i="91"/>
  <c r="JI150" i="91"/>
  <c r="JH150" i="91"/>
  <c r="JG150" i="91"/>
  <c r="JF150" i="91"/>
  <c r="JE150" i="91"/>
  <c r="JD150" i="91"/>
  <c r="JC150" i="91"/>
  <c r="JB150" i="91"/>
  <c r="JE149" i="91"/>
  <c r="JC149" i="91"/>
  <c r="JB149" i="91"/>
  <c r="JK148" i="91"/>
  <c r="JJ148" i="91"/>
  <c r="JI148" i="91"/>
  <c r="JH148" i="91"/>
  <c r="JG148" i="91"/>
  <c r="JF148" i="91"/>
  <c r="JE148" i="91"/>
  <c r="JD148" i="91"/>
  <c r="JC148" i="91"/>
  <c r="JB148" i="91"/>
  <c r="JK147" i="91"/>
  <c r="JJ147" i="91"/>
  <c r="JI147" i="91"/>
  <c r="JH147" i="91"/>
  <c r="JG147" i="91"/>
  <c r="JF147" i="91"/>
  <c r="JE147" i="91"/>
  <c r="JD147" i="91"/>
  <c r="JC147" i="91"/>
  <c r="JB147" i="91"/>
  <c r="JK146" i="91"/>
  <c r="JJ146" i="91"/>
  <c r="JI146" i="91"/>
  <c r="JH146" i="91"/>
  <c r="JG146" i="91"/>
  <c r="JF146" i="91"/>
  <c r="JE146" i="91"/>
  <c r="JD146" i="91"/>
  <c r="JC146" i="91"/>
  <c r="JB146" i="91"/>
  <c r="JE145" i="91"/>
  <c r="JD145" i="91"/>
  <c r="JC145" i="91"/>
  <c r="JB145" i="91"/>
  <c r="JK144" i="91"/>
  <c r="JJ144" i="91"/>
  <c r="JI144" i="91"/>
  <c r="JH144" i="91"/>
  <c r="JG144" i="91"/>
  <c r="JF144" i="91"/>
  <c r="JE144" i="91"/>
  <c r="JD144" i="91"/>
  <c r="JC144" i="91"/>
  <c r="JB144" i="91"/>
  <c r="JK143" i="91"/>
  <c r="JJ143" i="91"/>
  <c r="JI143" i="91"/>
  <c r="JH143" i="91"/>
  <c r="JG143" i="91"/>
  <c r="JF143" i="91"/>
  <c r="JE143" i="91"/>
  <c r="JD143" i="91"/>
  <c r="JC143" i="91"/>
  <c r="JB143" i="91"/>
  <c r="JK142" i="91"/>
  <c r="JJ142" i="91"/>
  <c r="JI142" i="91"/>
  <c r="JH142" i="91"/>
  <c r="JG142" i="91"/>
  <c r="JF142" i="91"/>
  <c r="JE142" i="91"/>
  <c r="JC142" i="91"/>
  <c r="JB142" i="91"/>
  <c r="JE141" i="91"/>
  <c r="JD141" i="91"/>
  <c r="JC141" i="91"/>
  <c r="JB141" i="91"/>
  <c r="JK140" i="91"/>
  <c r="JJ140" i="91"/>
  <c r="JI140" i="91"/>
  <c r="JH140" i="91"/>
  <c r="JG140" i="91"/>
  <c r="JF140" i="91"/>
  <c r="JE140" i="91"/>
  <c r="JD140" i="91"/>
  <c r="JC140" i="91"/>
  <c r="JB140" i="91"/>
  <c r="JE139" i="91"/>
  <c r="JC139" i="91"/>
  <c r="JB139" i="91"/>
  <c r="JE138" i="91"/>
  <c r="JB138" i="91"/>
  <c r="JK135" i="91"/>
  <c r="JJ135" i="91"/>
  <c r="JI135" i="91"/>
  <c r="JH135" i="91"/>
  <c r="JG135" i="91"/>
  <c r="JF135" i="91"/>
  <c r="JE135" i="91"/>
  <c r="JC135" i="91"/>
  <c r="JB135" i="91"/>
  <c r="JK134" i="91"/>
  <c r="JJ134" i="91"/>
  <c r="JI134" i="91"/>
  <c r="JH134" i="91"/>
  <c r="JG134" i="91"/>
  <c r="JF134" i="91"/>
  <c r="JE134" i="91"/>
  <c r="JD134" i="91"/>
  <c r="JC134" i="91"/>
  <c r="JB134" i="91"/>
  <c r="JK133" i="91"/>
  <c r="JJ133" i="91"/>
  <c r="JI133" i="91"/>
  <c r="JH133" i="91"/>
  <c r="JG133" i="91"/>
  <c r="JF133" i="91"/>
  <c r="JE133" i="91"/>
  <c r="JD133" i="91"/>
  <c r="JC133" i="91"/>
  <c r="JB133" i="91"/>
  <c r="JK132" i="91"/>
  <c r="JJ132" i="91"/>
  <c r="JI132" i="91"/>
  <c r="JH132" i="91"/>
  <c r="JG132" i="91"/>
  <c r="JF132" i="91"/>
  <c r="JE132" i="91"/>
  <c r="JD132" i="91"/>
  <c r="JC132" i="91"/>
  <c r="JB132" i="91"/>
  <c r="JK131" i="91"/>
  <c r="JJ131" i="91"/>
  <c r="JI131" i="91"/>
  <c r="JH131" i="91"/>
  <c r="JG131" i="91"/>
  <c r="JF131" i="91"/>
  <c r="JE131" i="91"/>
  <c r="JC131" i="91"/>
  <c r="JB131" i="91"/>
  <c r="JK130" i="91"/>
  <c r="JJ130" i="91"/>
  <c r="JI130" i="91"/>
  <c r="JH130" i="91"/>
  <c r="JG130" i="91"/>
  <c r="JF130" i="91"/>
  <c r="JE130" i="91"/>
  <c r="JD130" i="91"/>
  <c r="JC130" i="91"/>
  <c r="JB130" i="91"/>
  <c r="JK129" i="91"/>
  <c r="JJ129" i="91"/>
  <c r="JI129" i="91"/>
  <c r="JH129" i="91"/>
  <c r="JG129" i="91"/>
  <c r="JF129" i="91"/>
  <c r="JE129" i="91"/>
  <c r="JD129" i="91"/>
  <c r="JC129" i="91"/>
  <c r="JB129" i="91"/>
  <c r="JK128" i="91"/>
  <c r="JJ128" i="91"/>
  <c r="JI128" i="91"/>
  <c r="JH128" i="91"/>
  <c r="JG128" i="91"/>
  <c r="JF128" i="91"/>
  <c r="JE128" i="91"/>
  <c r="JD128" i="91"/>
  <c r="JC128" i="91"/>
  <c r="JB128" i="91"/>
  <c r="JK127" i="91"/>
  <c r="JJ127" i="91"/>
  <c r="JI127" i="91"/>
  <c r="JH127" i="91"/>
  <c r="JG127" i="91"/>
  <c r="JF127" i="91"/>
  <c r="JE127" i="91"/>
  <c r="JD127" i="91"/>
  <c r="JC127" i="91"/>
  <c r="JB127" i="91"/>
  <c r="JK126" i="91"/>
  <c r="JJ126" i="91"/>
  <c r="JI126" i="91"/>
  <c r="JH126" i="91"/>
  <c r="JG126" i="91"/>
  <c r="JF126" i="91"/>
  <c r="JE126" i="91"/>
  <c r="JD126" i="91"/>
  <c r="JC126" i="91"/>
  <c r="JB126" i="91"/>
  <c r="JE125" i="91"/>
  <c r="JC125" i="91"/>
  <c r="JB125" i="91"/>
  <c r="JC124" i="91"/>
  <c r="JB124" i="91"/>
  <c r="JK123" i="91"/>
  <c r="JJ123" i="91"/>
  <c r="JI123" i="91"/>
  <c r="JH123" i="91"/>
  <c r="JG123" i="91"/>
  <c r="JF123" i="91"/>
  <c r="JE123" i="91"/>
  <c r="JC123" i="91"/>
  <c r="JB123" i="91"/>
  <c r="JK122" i="91"/>
  <c r="JJ122" i="91"/>
  <c r="JI122" i="91"/>
  <c r="JH122" i="91"/>
  <c r="JG122" i="91"/>
  <c r="JF122" i="91"/>
  <c r="JE122" i="91"/>
  <c r="JD122" i="91"/>
  <c r="JC122" i="91"/>
  <c r="JB122" i="91"/>
  <c r="JK121" i="91"/>
  <c r="JJ121" i="91"/>
  <c r="JI121" i="91"/>
  <c r="JH121" i="91"/>
  <c r="JG121" i="91"/>
  <c r="JF121" i="91"/>
  <c r="JD121" i="91"/>
  <c r="JC121" i="91"/>
  <c r="JB121" i="91"/>
  <c r="JK120" i="91"/>
  <c r="JJ120" i="91"/>
  <c r="JI120" i="91"/>
  <c r="JH120" i="91"/>
  <c r="JG120" i="91"/>
  <c r="JF120" i="91"/>
  <c r="JE120" i="91"/>
  <c r="JD120" i="91"/>
  <c r="JC120" i="91"/>
  <c r="JB120" i="91"/>
  <c r="JK119" i="91"/>
  <c r="JJ119" i="91"/>
  <c r="JI119" i="91"/>
  <c r="JH119" i="91"/>
  <c r="JG119" i="91"/>
  <c r="JF119" i="91"/>
  <c r="JE119" i="91"/>
  <c r="JD119" i="91"/>
  <c r="JC119" i="91"/>
  <c r="JB119" i="91"/>
  <c r="JK118" i="91"/>
  <c r="JJ118" i="91"/>
  <c r="JI118" i="91"/>
  <c r="JH118" i="91"/>
  <c r="JG118" i="91"/>
  <c r="JF118" i="91"/>
  <c r="JE118" i="91"/>
  <c r="JC118" i="91"/>
  <c r="JB118" i="91"/>
  <c r="JA216" i="91"/>
  <c r="JA215" i="91"/>
  <c r="JA214" i="91"/>
  <c r="JA213" i="91"/>
  <c r="JA212" i="91"/>
  <c r="JA211" i="91"/>
  <c r="JA210" i="91"/>
  <c r="JA209" i="91"/>
  <c r="JA208" i="91"/>
  <c r="JA207" i="91"/>
  <c r="JA206" i="91"/>
  <c r="JA205" i="91"/>
  <c r="JA200" i="91"/>
  <c r="JA199" i="91"/>
  <c r="JA198" i="91"/>
  <c r="JA197" i="91"/>
  <c r="JA196" i="91"/>
  <c r="JA195" i="91"/>
  <c r="JA194" i="91"/>
  <c r="JA193" i="91"/>
  <c r="JA192" i="91"/>
  <c r="JA191" i="91"/>
  <c r="JA188" i="91"/>
  <c r="JA187" i="91"/>
  <c r="JA186" i="91"/>
  <c r="JA185" i="91"/>
  <c r="JA184" i="91"/>
  <c r="JA183" i="91"/>
  <c r="JA182" i="91"/>
  <c r="JA181" i="91"/>
  <c r="JA180" i="91"/>
  <c r="JA179" i="91"/>
  <c r="JA178" i="91"/>
  <c r="JA177" i="91"/>
  <c r="JA176" i="91"/>
  <c r="JA175" i="91"/>
  <c r="JA174" i="91"/>
  <c r="JA173" i="91"/>
  <c r="JA172" i="91"/>
  <c r="JA171" i="91"/>
  <c r="JA170" i="91"/>
  <c r="JA169" i="91"/>
  <c r="JA164" i="91"/>
  <c r="JA163" i="91"/>
  <c r="JA162" i="91"/>
  <c r="JA161" i="91"/>
  <c r="JA160" i="91"/>
  <c r="JA159" i="91"/>
  <c r="JA158" i="91"/>
  <c r="JA157" i="91"/>
  <c r="JA156" i="91"/>
  <c r="JA155" i="91"/>
  <c r="JA154" i="91"/>
  <c r="JA153" i="91"/>
  <c r="JA152" i="91"/>
  <c r="JA151" i="91"/>
  <c r="JA150" i="91"/>
  <c r="JA149" i="91"/>
  <c r="JA148" i="91"/>
  <c r="JA147" i="91"/>
  <c r="JA146" i="91"/>
  <c r="JA145" i="91"/>
  <c r="JA144" i="91"/>
  <c r="JA143" i="91"/>
  <c r="JA142" i="91"/>
  <c r="JA141" i="91"/>
  <c r="JA140" i="91"/>
  <c r="JA139" i="91"/>
  <c r="JA138" i="91"/>
  <c r="JA118" i="91"/>
  <c r="JA119" i="91"/>
  <c r="JA120" i="91"/>
  <c r="JA121" i="91"/>
  <c r="JA122" i="91"/>
  <c r="JA123" i="91"/>
  <c r="JA124" i="91"/>
  <c r="JA125" i="91"/>
  <c r="JA126" i="91"/>
  <c r="JA127" i="91"/>
  <c r="JA128" i="91"/>
  <c r="JA129" i="91"/>
  <c r="JA130" i="91"/>
  <c r="JA131" i="91"/>
  <c r="JA132" i="91"/>
  <c r="JA133" i="91"/>
  <c r="JA134" i="91"/>
  <c r="JA135" i="91"/>
  <c r="JK108" i="91"/>
  <c r="JJ108" i="91"/>
  <c r="JI108" i="91"/>
  <c r="JH108" i="91"/>
  <c r="JG108" i="91"/>
  <c r="JF108" i="91"/>
  <c r="JD108" i="91"/>
  <c r="JC108" i="91"/>
  <c r="JB108" i="91"/>
  <c r="JK103" i="91"/>
  <c r="JJ103" i="91"/>
  <c r="JI103" i="91"/>
  <c r="JH103" i="91"/>
  <c r="JG103" i="91"/>
  <c r="JF103" i="91"/>
  <c r="JE103" i="91"/>
  <c r="JC103" i="91"/>
  <c r="JB103" i="91"/>
  <c r="JK102" i="91"/>
  <c r="JJ102" i="91"/>
  <c r="JI102" i="91"/>
  <c r="JH102" i="91"/>
  <c r="JG102" i="91"/>
  <c r="JF102" i="91"/>
  <c r="JE102" i="91"/>
  <c r="JC102" i="91"/>
  <c r="JB102" i="91"/>
  <c r="JK101" i="91"/>
  <c r="JJ101" i="91"/>
  <c r="JI101" i="91"/>
  <c r="JH101" i="91"/>
  <c r="JG101" i="91"/>
  <c r="JF101" i="91"/>
  <c r="JE101" i="91"/>
  <c r="JD101" i="91"/>
  <c r="JC101" i="91"/>
  <c r="JB101" i="91"/>
  <c r="JK100" i="91"/>
  <c r="JJ100" i="91"/>
  <c r="JI100" i="91"/>
  <c r="JH100" i="91"/>
  <c r="JG100" i="91"/>
  <c r="JF100" i="91"/>
  <c r="JE100" i="91"/>
  <c r="JC100" i="91"/>
  <c r="JB100" i="91"/>
  <c r="JE99" i="91"/>
  <c r="JC99" i="91"/>
  <c r="JB99" i="91"/>
  <c r="JK98" i="91"/>
  <c r="JJ98" i="91"/>
  <c r="JI98" i="91"/>
  <c r="JH98" i="91"/>
  <c r="JG98" i="91"/>
  <c r="JF98" i="91"/>
  <c r="JE98" i="91"/>
  <c r="JD98" i="91"/>
  <c r="JC98" i="91"/>
  <c r="JB98" i="91"/>
  <c r="JK97" i="91"/>
  <c r="JJ97" i="91"/>
  <c r="JI97" i="91"/>
  <c r="JH97" i="91"/>
  <c r="JG97" i="91"/>
  <c r="JF97" i="91"/>
  <c r="JE97" i="91"/>
  <c r="JC97" i="91"/>
  <c r="JB97" i="91"/>
  <c r="JK96" i="91"/>
  <c r="JJ96" i="91"/>
  <c r="JI96" i="91"/>
  <c r="JH96" i="91"/>
  <c r="JG96" i="91"/>
  <c r="JF96" i="91"/>
  <c r="JE96" i="91"/>
  <c r="JD96" i="91"/>
  <c r="JC96" i="91"/>
  <c r="JB96" i="91"/>
  <c r="JK95" i="91"/>
  <c r="JJ95" i="91"/>
  <c r="JI95" i="91"/>
  <c r="JH95" i="91"/>
  <c r="JG95" i="91"/>
  <c r="JF95" i="91"/>
  <c r="JE95" i="91"/>
  <c r="JD95" i="91"/>
  <c r="JC95" i="91"/>
  <c r="JB95" i="91"/>
  <c r="JK94" i="91"/>
  <c r="JJ94" i="91"/>
  <c r="JI94" i="91"/>
  <c r="JH94" i="91"/>
  <c r="JG94" i="91"/>
  <c r="JF94" i="91"/>
  <c r="JE94" i="91"/>
  <c r="JD94" i="91"/>
  <c r="JC94" i="91"/>
  <c r="JB94" i="91"/>
  <c r="JK93" i="91"/>
  <c r="JJ93" i="91"/>
  <c r="JI93" i="91"/>
  <c r="JH93" i="91"/>
  <c r="JG93" i="91"/>
  <c r="JF93" i="91"/>
  <c r="JE93" i="91"/>
  <c r="JC93" i="91"/>
  <c r="JB93" i="91"/>
  <c r="JK90" i="91"/>
  <c r="JJ90" i="91"/>
  <c r="JI90" i="91"/>
  <c r="JH90" i="91"/>
  <c r="JG90" i="91"/>
  <c r="JF90" i="91"/>
  <c r="JE90" i="91"/>
  <c r="JD90" i="91"/>
  <c r="JC90" i="91"/>
  <c r="JB90" i="91"/>
  <c r="JK89" i="91"/>
  <c r="JJ89" i="91"/>
  <c r="JI89" i="91"/>
  <c r="JH89" i="91"/>
  <c r="JG89" i="91"/>
  <c r="JF89" i="91"/>
  <c r="JE89" i="91"/>
  <c r="JD89" i="91"/>
  <c r="JC89" i="91"/>
  <c r="JB89" i="91"/>
  <c r="JK88" i="91"/>
  <c r="JJ88" i="91"/>
  <c r="JI88" i="91"/>
  <c r="JH88" i="91"/>
  <c r="JG88" i="91"/>
  <c r="JF88" i="91"/>
  <c r="JE88" i="91"/>
  <c r="JC88" i="91"/>
  <c r="JB88" i="91"/>
  <c r="JC87" i="91"/>
  <c r="JB87" i="91"/>
  <c r="JK86" i="91"/>
  <c r="JJ86" i="91"/>
  <c r="JI86" i="91"/>
  <c r="JH86" i="91"/>
  <c r="JG86" i="91"/>
  <c r="JF86" i="91"/>
  <c r="JC86" i="91"/>
  <c r="JB86" i="91"/>
  <c r="JK85" i="91"/>
  <c r="JJ85" i="91"/>
  <c r="JI85" i="91"/>
  <c r="JH85" i="91"/>
  <c r="JG85" i="91"/>
  <c r="JF85" i="91"/>
  <c r="JE85" i="91"/>
  <c r="JD85" i="91"/>
  <c r="JC85" i="91"/>
  <c r="JB85" i="91"/>
  <c r="JC84" i="91"/>
  <c r="JB84" i="91"/>
  <c r="JC83" i="91"/>
  <c r="JB83" i="91"/>
  <c r="JK82" i="91"/>
  <c r="JJ82" i="91"/>
  <c r="JI82" i="91"/>
  <c r="JH82" i="91"/>
  <c r="JG82" i="91"/>
  <c r="JF82" i="91"/>
  <c r="JE82" i="91"/>
  <c r="JC82" i="91"/>
  <c r="JB82" i="91"/>
  <c r="JK81" i="91"/>
  <c r="JJ81" i="91"/>
  <c r="JI81" i="91"/>
  <c r="JH81" i="91"/>
  <c r="JG81" i="91"/>
  <c r="JF81" i="91"/>
  <c r="JE81" i="91"/>
  <c r="JD81" i="91"/>
  <c r="JC81" i="91"/>
  <c r="JB81" i="91"/>
  <c r="JK80" i="91"/>
  <c r="JJ80" i="91"/>
  <c r="JI80" i="91"/>
  <c r="JH80" i="91"/>
  <c r="JG80" i="91"/>
  <c r="JF80" i="91"/>
  <c r="JE80" i="91"/>
  <c r="JD80" i="91"/>
  <c r="JC80" i="91"/>
  <c r="JB80" i="91"/>
  <c r="JK79" i="91"/>
  <c r="JJ79" i="91"/>
  <c r="JI79" i="91"/>
  <c r="JH79" i="91"/>
  <c r="JG79" i="91"/>
  <c r="JF79" i="91"/>
  <c r="JE79" i="91"/>
  <c r="JD79" i="91"/>
  <c r="JC79" i="91"/>
  <c r="JB79" i="91"/>
  <c r="JC78" i="91"/>
  <c r="JB78" i="91"/>
  <c r="JK72" i="91"/>
  <c r="JJ72" i="91"/>
  <c r="JI72" i="91"/>
  <c r="JH72" i="91"/>
  <c r="JF72" i="91"/>
  <c r="JE72" i="91"/>
  <c r="JD72" i="91"/>
  <c r="JC72" i="91"/>
  <c r="JB72" i="91"/>
  <c r="JK71" i="91"/>
  <c r="JJ71" i="91"/>
  <c r="JI71" i="91"/>
  <c r="JH71" i="91"/>
  <c r="JG71" i="91"/>
  <c r="JF71" i="91"/>
  <c r="JE71" i="91"/>
  <c r="JD71" i="91"/>
  <c r="JC71" i="91"/>
  <c r="JB71" i="91"/>
  <c r="JK70" i="91"/>
  <c r="JJ70" i="91"/>
  <c r="JI70" i="91"/>
  <c r="JH70" i="91"/>
  <c r="JG70" i="91"/>
  <c r="JF70" i="91"/>
  <c r="JE70" i="91"/>
  <c r="JD70" i="91"/>
  <c r="JC70" i="91"/>
  <c r="JB70" i="91"/>
  <c r="JK69" i="91"/>
  <c r="JJ69" i="91"/>
  <c r="JI69" i="91"/>
  <c r="JH69" i="91"/>
  <c r="JG69" i="91"/>
  <c r="JF69" i="91"/>
  <c r="JE69" i="91"/>
  <c r="JD69" i="91"/>
  <c r="JC69" i="91"/>
  <c r="JB69" i="91"/>
  <c r="JK68" i="91"/>
  <c r="JJ68" i="91"/>
  <c r="JI68" i="91"/>
  <c r="JH68" i="91"/>
  <c r="JG68" i="91"/>
  <c r="JF68" i="91"/>
  <c r="JE68" i="91"/>
  <c r="JC68" i="91"/>
  <c r="JB68" i="91"/>
  <c r="JE67" i="91"/>
  <c r="JC67" i="91"/>
  <c r="JB67" i="91"/>
  <c r="JK66" i="91"/>
  <c r="JJ66" i="91"/>
  <c r="JI66" i="91"/>
  <c r="JH66" i="91"/>
  <c r="JG66" i="91"/>
  <c r="JF66" i="91"/>
  <c r="JE66" i="91"/>
  <c r="JD66" i="91"/>
  <c r="JC66" i="91"/>
  <c r="JB66" i="91"/>
  <c r="JK65" i="91"/>
  <c r="JJ65" i="91"/>
  <c r="JI65" i="91"/>
  <c r="JH65" i="91"/>
  <c r="JG65" i="91"/>
  <c r="JF65" i="91"/>
  <c r="JE65" i="91"/>
  <c r="JC65" i="91"/>
  <c r="JB65" i="91"/>
  <c r="JE64" i="91"/>
  <c r="JC64" i="91"/>
  <c r="JB64" i="91"/>
  <c r="JK58" i="91"/>
  <c r="JJ58" i="91"/>
  <c r="JI58" i="91"/>
  <c r="JH58" i="91"/>
  <c r="JG58" i="91"/>
  <c r="JF58" i="91"/>
  <c r="JE58" i="91"/>
  <c r="JD58" i="91"/>
  <c r="JC58" i="91"/>
  <c r="JB58" i="91"/>
  <c r="JK57" i="91"/>
  <c r="JJ57" i="91"/>
  <c r="JI57" i="91"/>
  <c r="JH57" i="91"/>
  <c r="JG57" i="91"/>
  <c r="JF57" i="91"/>
  <c r="JE57" i="91"/>
  <c r="JC57" i="91"/>
  <c r="JB57" i="91"/>
  <c r="JK56" i="91"/>
  <c r="JJ56" i="91"/>
  <c r="JI56" i="91"/>
  <c r="JH56" i="91"/>
  <c r="JG56" i="91"/>
  <c r="JF56" i="91"/>
  <c r="JE56" i="91"/>
  <c r="JD56" i="91"/>
  <c r="JC56" i="91"/>
  <c r="JB56" i="91"/>
  <c r="JK55" i="91"/>
  <c r="JJ55" i="91"/>
  <c r="JI55" i="91"/>
  <c r="JH55" i="91"/>
  <c r="JG55" i="91"/>
  <c r="JF55" i="91"/>
  <c r="JE55" i="91"/>
  <c r="JD55" i="91"/>
  <c r="JC55" i="91"/>
  <c r="JB55" i="91"/>
  <c r="JK54" i="91"/>
  <c r="JJ54" i="91"/>
  <c r="JI54" i="91"/>
  <c r="JH54" i="91"/>
  <c r="JG54" i="91"/>
  <c r="JF54" i="91"/>
  <c r="JE54" i="91"/>
  <c r="JD54" i="91"/>
  <c r="JC54" i="91"/>
  <c r="JB54" i="91"/>
  <c r="JK53" i="91"/>
  <c r="JJ53" i="91"/>
  <c r="JI53" i="91"/>
  <c r="JH53" i="91"/>
  <c r="JG53" i="91"/>
  <c r="JF53" i="91"/>
  <c r="JE53" i="91"/>
  <c r="JD53" i="91"/>
  <c r="JC53" i="91"/>
  <c r="JB53" i="91"/>
  <c r="JK52" i="91"/>
  <c r="JJ52" i="91"/>
  <c r="JI52" i="91"/>
  <c r="JH52" i="91"/>
  <c r="JG52" i="91"/>
  <c r="JF52" i="91"/>
  <c r="JE52" i="91"/>
  <c r="JD52" i="91"/>
  <c r="JC52" i="91"/>
  <c r="JB52" i="91"/>
  <c r="JK51" i="91"/>
  <c r="JJ51" i="91"/>
  <c r="JI51" i="91"/>
  <c r="JH51" i="91"/>
  <c r="JG51" i="91"/>
  <c r="JF51" i="91"/>
  <c r="JE51" i="91"/>
  <c r="JD51" i="91"/>
  <c r="JC51" i="91"/>
  <c r="JB51" i="91"/>
  <c r="JK50" i="91"/>
  <c r="JJ50" i="91"/>
  <c r="JI50" i="91"/>
  <c r="JH50" i="91"/>
  <c r="JG50" i="91"/>
  <c r="JF50" i="91"/>
  <c r="JE50" i="91"/>
  <c r="JD50" i="91"/>
  <c r="JC50" i="91"/>
  <c r="JB50" i="91"/>
  <c r="JK49" i="91"/>
  <c r="JJ49" i="91"/>
  <c r="JI49" i="91"/>
  <c r="JH49" i="91"/>
  <c r="JG49" i="91"/>
  <c r="JF49" i="91"/>
  <c r="JE49" i="91"/>
  <c r="JD49" i="91"/>
  <c r="JC49" i="91"/>
  <c r="JB49" i="91"/>
  <c r="JK48" i="91"/>
  <c r="JJ48" i="91"/>
  <c r="JI48" i="91"/>
  <c r="JH48" i="91"/>
  <c r="JG48" i="91"/>
  <c r="JF48" i="91"/>
  <c r="JE48" i="91"/>
  <c r="JC48" i="91"/>
  <c r="JB48" i="91"/>
  <c r="JC47" i="91"/>
  <c r="JB47" i="91"/>
  <c r="JK46" i="91"/>
  <c r="JJ46" i="91"/>
  <c r="JI46" i="91"/>
  <c r="JH46" i="91"/>
  <c r="JG46" i="91"/>
  <c r="JF46" i="91"/>
  <c r="JE46" i="91"/>
  <c r="JD46" i="91"/>
  <c r="JC46" i="91"/>
  <c r="JB46" i="91"/>
  <c r="JK45" i="91"/>
  <c r="JJ45" i="91"/>
  <c r="JI45" i="91"/>
  <c r="JH45" i="91"/>
  <c r="JG45" i="91"/>
  <c r="JF45" i="91"/>
  <c r="JE45" i="91"/>
  <c r="JD45" i="91"/>
  <c r="JC45" i="91"/>
  <c r="JB45" i="91"/>
  <c r="JK44" i="91"/>
  <c r="JJ44" i="91"/>
  <c r="JI44" i="91"/>
  <c r="JH44" i="91"/>
  <c r="JG44" i="91"/>
  <c r="JF44" i="91"/>
  <c r="JE44" i="91"/>
  <c r="JD44" i="91"/>
  <c r="JC44" i="91"/>
  <c r="JB44" i="91"/>
  <c r="JK43" i="91"/>
  <c r="JJ43" i="91"/>
  <c r="JI43" i="91"/>
  <c r="JH43" i="91"/>
  <c r="JG43" i="91"/>
  <c r="JF43" i="91"/>
  <c r="JE43" i="91"/>
  <c r="JD43" i="91"/>
  <c r="JC43" i="91"/>
  <c r="JB43" i="91"/>
  <c r="JK37" i="91"/>
  <c r="JJ37" i="91"/>
  <c r="JI37" i="91"/>
  <c r="JH37" i="91"/>
  <c r="JG37" i="91"/>
  <c r="JF37" i="91"/>
  <c r="JE37" i="91"/>
  <c r="JD37" i="91"/>
  <c r="JC37" i="91"/>
  <c r="JB37" i="91"/>
  <c r="JK36" i="91"/>
  <c r="JJ36" i="91"/>
  <c r="JI36" i="91"/>
  <c r="JH36" i="91"/>
  <c r="JG36" i="91"/>
  <c r="JF36" i="91"/>
  <c r="JE36" i="91"/>
  <c r="JD36" i="91"/>
  <c r="JC36" i="91"/>
  <c r="JB36" i="91"/>
  <c r="JK35" i="91"/>
  <c r="JJ35" i="91"/>
  <c r="JI35" i="91"/>
  <c r="JH35" i="91"/>
  <c r="JG35" i="91"/>
  <c r="JF35" i="91"/>
  <c r="JE35" i="91"/>
  <c r="JD35" i="91"/>
  <c r="JC35" i="91"/>
  <c r="JB35" i="91"/>
  <c r="JK34" i="91"/>
  <c r="JJ34" i="91"/>
  <c r="JI34" i="91"/>
  <c r="JH34" i="91"/>
  <c r="JG34" i="91"/>
  <c r="JF34" i="91"/>
  <c r="JE34" i="91"/>
  <c r="JD34" i="91"/>
  <c r="JC34" i="91"/>
  <c r="JB34" i="91"/>
  <c r="JK33" i="91"/>
  <c r="JJ33" i="91"/>
  <c r="JI33" i="91"/>
  <c r="JH33" i="91"/>
  <c r="JG33" i="91"/>
  <c r="JF33" i="91"/>
  <c r="JE33" i="91"/>
  <c r="JD33" i="91"/>
  <c r="JC33" i="91"/>
  <c r="JB33" i="91"/>
  <c r="JK32" i="91"/>
  <c r="JJ32" i="91"/>
  <c r="JI32" i="91"/>
  <c r="JH32" i="91"/>
  <c r="JG32" i="91"/>
  <c r="JF32" i="91"/>
  <c r="JE32" i="91"/>
  <c r="JD32" i="91"/>
  <c r="JC32" i="91"/>
  <c r="JB32" i="91"/>
  <c r="JC31" i="91"/>
  <c r="JB31" i="91"/>
  <c r="JK30" i="91"/>
  <c r="JJ30" i="91"/>
  <c r="JI30" i="91"/>
  <c r="JH30" i="91"/>
  <c r="JG30" i="91"/>
  <c r="JF30" i="91"/>
  <c r="JE30" i="91"/>
  <c r="JD30" i="91"/>
  <c r="JC30" i="91"/>
  <c r="JB30" i="91"/>
  <c r="JK29" i="91"/>
  <c r="JJ29" i="91"/>
  <c r="JI29" i="91"/>
  <c r="JH29" i="91"/>
  <c r="JG29" i="91"/>
  <c r="JF29" i="91"/>
  <c r="JE29" i="91"/>
  <c r="JD29" i="91"/>
  <c r="JC29" i="91"/>
  <c r="JB29" i="91"/>
  <c r="JK28" i="91"/>
  <c r="JJ28" i="91"/>
  <c r="JI28" i="91"/>
  <c r="JH28" i="91"/>
  <c r="JG28" i="91"/>
  <c r="JF28" i="91"/>
  <c r="JE28" i="91"/>
  <c r="JD28" i="91"/>
  <c r="JC28" i="91"/>
  <c r="JB28" i="91"/>
  <c r="JK27" i="91"/>
  <c r="JJ27" i="91"/>
  <c r="JI27" i="91"/>
  <c r="JH27" i="91"/>
  <c r="JG27" i="91"/>
  <c r="JF27" i="91"/>
  <c r="JE27" i="91"/>
  <c r="JD27" i="91"/>
  <c r="JC27" i="91"/>
  <c r="JB27" i="91"/>
  <c r="JK26" i="91"/>
  <c r="JJ26" i="91"/>
  <c r="JI26" i="91"/>
  <c r="JH26" i="91"/>
  <c r="JG26" i="91"/>
  <c r="JF26" i="91"/>
  <c r="JE26" i="91"/>
  <c r="JD26" i="91"/>
  <c r="JC26" i="91"/>
  <c r="JB26" i="91"/>
  <c r="JK25" i="91"/>
  <c r="JJ25" i="91"/>
  <c r="JI25" i="91"/>
  <c r="JH25" i="91"/>
  <c r="JG25" i="91"/>
  <c r="JF25" i="91"/>
  <c r="JE25" i="91"/>
  <c r="JD25" i="91"/>
  <c r="JC25" i="91"/>
  <c r="JB25" i="91"/>
  <c r="JK24" i="91"/>
  <c r="JJ24" i="91"/>
  <c r="JI24" i="91"/>
  <c r="JH24" i="91"/>
  <c r="JG24" i="91"/>
  <c r="JF24" i="91"/>
  <c r="JE24" i="91"/>
  <c r="JD24" i="91"/>
  <c r="JC24" i="91"/>
  <c r="JB24" i="91"/>
  <c r="JK23" i="91"/>
  <c r="JJ23" i="91"/>
  <c r="JI23" i="91"/>
  <c r="JH23" i="91"/>
  <c r="JG23" i="91"/>
  <c r="JF23" i="91"/>
  <c r="JE23" i="91"/>
  <c r="JD23" i="91"/>
  <c r="JC23" i="91"/>
  <c r="JB23" i="91"/>
  <c r="JK22" i="91"/>
  <c r="JJ22" i="91"/>
  <c r="JI22" i="91"/>
  <c r="JH22" i="91"/>
  <c r="JG22" i="91"/>
  <c r="JF22" i="91"/>
  <c r="JE22" i="91"/>
  <c r="JD22" i="91"/>
  <c r="JC22" i="91"/>
  <c r="JB22" i="91"/>
  <c r="JK19" i="91"/>
  <c r="JJ19" i="91"/>
  <c r="JI19" i="91"/>
  <c r="JH19" i="91"/>
  <c r="JG19" i="91"/>
  <c r="JF19" i="91"/>
  <c r="JE19" i="91"/>
  <c r="JD19" i="91"/>
  <c r="JC19" i="91"/>
  <c r="JB19" i="91"/>
  <c r="JK18" i="91"/>
  <c r="JJ18" i="91"/>
  <c r="JI18" i="91"/>
  <c r="JH18" i="91"/>
  <c r="JG18" i="91"/>
  <c r="JF18" i="91"/>
  <c r="JE18" i="91"/>
  <c r="JD18" i="91"/>
  <c r="JC18" i="91"/>
  <c r="JB18" i="91"/>
  <c r="JK17" i="91"/>
  <c r="JJ17" i="91"/>
  <c r="JI17" i="91"/>
  <c r="JH17" i="91"/>
  <c r="JG17" i="91"/>
  <c r="JF17" i="91"/>
  <c r="JE17" i="91"/>
  <c r="JD17" i="91"/>
  <c r="JC17" i="91"/>
  <c r="JB17" i="91"/>
  <c r="JK16" i="91"/>
  <c r="JJ16" i="91"/>
  <c r="JI16" i="91"/>
  <c r="JH16" i="91"/>
  <c r="JG16" i="91"/>
  <c r="JF16" i="91"/>
  <c r="JE16" i="91"/>
  <c r="JD16" i="91"/>
  <c r="JC16" i="91"/>
  <c r="JB16" i="91"/>
  <c r="JB15" i="91"/>
  <c r="JB14" i="91"/>
  <c r="JK12" i="91"/>
  <c r="JJ12" i="91"/>
  <c r="JI12" i="91"/>
  <c r="JH12" i="91"/>
  <c r="JG12" i="91"/>
  <c r="JF12" i="91"/>
  <c r="JE12" i="91"/>
  <c r="JD12" i="91"/>
  <c r="JC12" i="91"/>
  <c r="JB12" i="91"/>
  <c r="JA108" i="91"/>
  <c r="JA103" i="91"/>
  <c r="JA102" i="91"/>
  <c r="JA101" i="91"/>
  <c r="JA100" i="91"/>
  <c r="JA99" i="91"/>
  <c r="JA98" i="91"/>
  <c r="JA97" i="91"/>
  <c r="JA96" i="91"/>
  <c r="JA95" i="91"/>
  <c r="JA94" i="91"/>
  <c r="JA93" i="91"/>
  <c r="JA90" i="91"/>
  <c r="JA89" i="91"/>
  <c r="JA88" i="91"/>
  <c r="JA87" i="91"/>
  <c r="JA86" i="91"/>
  <c r="JA85" i="91"/>
  <c r="JA84" i="91"/>
  <c r="JA83" i="91"/>
  <c r="JA82" i="91"/>
  <c r="JA81" i="91"/>
  <c r="JA80" i="91"/>
  <c r="JA79" i="91"/>
  <c r="JA78" i="91"/>
  <c r="JA72" i="91"/>
  <c r="JA71" i="91"/>
  <c r="JA70" i="91"/>
  <c r="JA69" i="91"/>
  <c r="JA68" i="91"/>
  <c r="JA67" i="91"/>
  <c r="JA66" i="91"/>
  <c r="JA65" i="91"/>
  <c r="JA64" i="91"/>
  <c r="JA58" i="91"/>
  <c r="JA57" i="91"/>
  <c r="JA56" i="91"/>
  <c r="JA55" i="91"/>
  <c r="JA54" i="91"/>
  <c r="JA53" i="91"/>
  <c r="JA52" i="91"/>
  <c r="JA51" i="91"/>
  <c r="JA50" i="91"/>
  <c r="JA49" i="91"/>
  <c r="JA48" i="91"/>
  <c r="JA47" i="91"/>
  <c r="JA46" i="91"/>
  <c r="JA45" i="91"/>
  <c r="JA44" i="91"/>
  <c r="JA43" i="91"/>
  <c r="JA37" i="91"/>
  <c r="JA36" i="91"/>
  <c r="JA35" i="91"/>
  <c r="JA34" i="91"/>
  <c r="JA33" i="91"/>
  <c r="JA32" i="91"/>
  <c r="JA31" i="91"/>
  <c r="JA30" i="91"/>
  <c r="JA29" i="91"/>
  <c r="JA28" i="91"/>
  <c r="JA27" i="91"/>
  <c r="JA26" i="91"/>
  <c r="JA25" i="91"/>
  <c r="JA24" i="91"/>
  <c r="JA23" i="91"/>
  <c r="JA22" i="91"/>
  <c r="JA19" i="91"/>
  <c r="JA18" i="91"/>
  <c r="JA17" i="91"/>
  <c r="JA16" i="91"/>
  <c r="JA15" i="91"/>
  <c r="JA14" i="91"/>
  <c r="JA12" i="91"/>
  <c r="HZ112" i="91"/>
  <c r="HN217" i="91"/>
  <c r="HN216" i="91"/>
  <c r="HN215" i="91"/>
  <c r="HN212" i="91"/>
  <c r="HN211" i="91"/>
  <c r="HN210" i="91"/>
  <c r="HN209" i="91"/>
  <c r="HN207" i="91"/>
  <c r="HN206" i="91"/>
  <c r="HN205" i="91"/>
  <c r="HN203" i="91"/>
  <c r="HN201" i="91"/>
  <c r="HN200" i="91"/>
  <c r="HN199" i="91"/>
  <c r="HN198" i="91"/>
  <c r="HN197" i="91"/>
  <c r="HN195" i="91"/>
  <c r="HN194" i="91"/>
  <c r="HN192" i="91"/>
  <c r="HN191" i="91"/>
  <c r="HN189" i="91"/>
  <c r="HN188" i="91"/>
  <c r="HN187" i="91"/>
  <c r="HN186" i="91"/>
  <c r="HN185" i="91"/>
  <c r="HN184" i="91"/>
  <c r="HN182" i="91"/>
  <c r="HN181" i="91"/>
  <c r="HN180" i="91"/>
  <c r="HN178" i="91"/>
  <c r="HN177" i="91"/>
  <c r="HN175" i="91"/>
  <c r="HN174" i="91"/>
  <c r="N111" i="1" s="1"/>
  <c r="HN173" i="91"/>
  <c r="N110" i="1" s="1"/>
  <c r="HN172" i="91"/>
  <c r="HN171" i="91"/>
  <c r="HN170" i="91"/>
  <c r="HN167" i="91"/>
  <c r="HN165" i="91"/>
  <c r="HN164" i="91"/>
  <c r="N106" i="1" s="1"/>
  <c r="HN163" i="91"/>
  <c r="N105" i="1" s="1"/>
  <c r="HN162" i="91"/>
  <c r="N104" i="1" s="1"/>
  <c r="N260" i="3" s="1"/>
  <c r="N264" i="3" s="1"/>
  <c r="O263" i="3" s="1"/>
  <c r="HN161" i="91"/>
  <c r="N103" i="1" s="1"/>
  <c r="N254" i="3" s="1"/>
  <c r="HN160" i="91"/>
  <c r="HN159" i="91"/>
  <c r="N101" i="1" s="1"/>
  <c r="HN157" i="91"/>
  <c r="HN156" i="91"/>
  <c r="N98" i="1" s="1"/>
  <c r="N247" i="3" s="1"/>
  <c r="HN155" i="91"/>
  <c r="N97" i="1" s="1"/>
  <c r="HN154" i="91"/>
  <c r="HN153" i="91"/>
  <c r="N96" i="1" s="1"/>
  <c r="HN152" i="91"/>
  <c r="HN151" i="91"/>
  <c r="HN150" i="91"/>
  <c r="HN148" i="91"/>
  <c r="HN147" i="91"/>
  <c r="HN146" i="91"/>
  <c r="HN144" i="91"/>
  <c r="HN143" i="91"/>
  <c r="HN142" i="91"/>
  <c r="HN140" i="91"/>
  <c r="HN136" i="91"/>
  <c r="HN135" i="91"/>
  <c r="N86" i="1" s="1"/>
  <c r="HN134" i="91"/>
  <c r="N85" i="1" s="1"/>
  <c r="HN133" i="91"/>
  <c r="N84" i="1" s="1"/>
  <c r="N198" i="3" s="1"/>
  <c r="HN132" i="91"/>
  <c r="HN131" i="91"/>
  <c r="N83" i="1" s="1"/>
  <c r="N197" i="3" s="1"/>
  <c r="HN130" i="91"/>
  <c r="N82" i="1" s="1"/>
  <c r="N196" i="3" s="1"/>
  <c r="HN129" i="91"/>
  <c r="HN128" i="91"/>
  <c r="HN127" i="91"/>
  <c r="HN126" i="91"/>
  <c r="HN123" i="91"/>
  <c r="N79" i="1" s="1"/>
  <c r="HN122" i="91"/>
  <c r="N78" i="1" s="1"/>
  <c r="HN121" i="91"/>
  <c r="HN120" i="91"/>
  <c r="HN119" i="91"/>
  <c r="N76" i="1" s="1"/>
  <c r="O181" i="1" s="1"/>
  <c r="HN118" i="91"/>
  <c r="N75" i="1" s="1"/>
  <c r="N190" i="3" s="1"/>
  <c r="HN108" i="91"/>
  <c r="N65" i="1" s="1"/>
  <c r="N154" i="1" s="1"/>
  <c r="HN104" i="91"/>
  <c r="HN103" i="91"/>
  <c r="HN102" i="91"/>
  <c r="HN101" i="91"/>
  <c r="HN100" i="91"/>
  <c r="HN98" i="91"/>
  <c r="HN97" i="91"/>
  <c r="HN96" i="91"/>
  <c r="HN95" i="91"/>
  <c r="HN94" i="91"/>
  <c r="HN93" i="91"/>
  <c r="N59" i="1" s="1"/>
  <c r="N171" i="1" s="1"/>
  <c r="HN90" i="91"/>
  <c r="HN89" i="91"/>
  <c r="HN88" i="91"/>
  <c r="HN86" i="91"/>
  <c r="HN85" i="91"/>
  <c r="HN82" i="91"/>
  <c r="N56" i="1" s="1"/>
  <c r="N93" i="3" s="1"/>
  <c r="HN80" i="91"/>
  <c r="HN79" i="91"/>
  <c r="HN71" i="91"/>
  <c r="HN70" i="91"/>
  <c r="HN69" i="91"/>
  <c r="HN68" i="91"/>
  <c r="HN66" i="91"/>
  <c r="HN65" i="91"/>
  <c r="HN58" i="91"/>
  <c r="HN57" i="91"/>
  <c r="HN56" i="91"/>
  <c r="N41" i="1" s="1"/>
  <c r="N68" i="3" s="1"/>
  <c r="HN55" i="91"/>
  <c r="N40" i="1" s="1"/>
  <c r="N67" i="3" s="1"/>
  <c r="HN54" i="91"/>
  <c r="N39" i="1" s="1"/>
  <c r="N66" i="3" s="1"/>
  <c r="HN53" i="91"/>
  <c r="N38" i="1" s="1"/>
  <c r="N65" i="3" s="1"/>
  <c r="HN52" i="91"/>
  <c r="N37" i="1" s="1"/>
  <c r="N63" i="3" s="1"/>
  <c r="HN51" i="91"/>
  <c r="N36" i="1" s="1"/>
  <c r="N62" i="3" s="1"/>
  <c r="HN50" i="91"/>
  <c r="N35" i="1" s="1"/>
  <c r="N61" i="3" s="1"/>
  <c r="HN49" i="91"/>
  <c r="N34" i="1" s="1"/>
  <c r="N60" i="3" s="1"/>
  <c r="HN48" i="91"/>
  <c r="N33" i="1" s="1"/>
  <c r="N59" i="3" s="1"/>
  <c r="HN46" i="91"/>
  <c r="N31" i="1" s="1"/>
  <c r="N57" i="3" s="1"/>
  <c r="HN45" i="91"/>
  <c r="N30" i="1" s="1"/>
  <c r="N56" i="3" s="1"/>
  <c r="HN44" i="91"/>
  <c r="N29" i="1" s="1"/>
  <c r="N55" i="3" s="1"/>
  <c r="HN43" i="91"/>
  <c r="N28" i="1" s="1"/>
  <c r="HN38" i="91"/>
  <c r="HN37" i="91"/>
  <c r="HN36" i="91"/>
  <c r="HN35" i="91"/>
  <c r="HN34" i="91"/>
  <c r="HN33" i="91"/>
  <c r="HN32" i="91"/>
  <c r="HN30" i="91"/>
  <c r="N21" i="1" s="1"/>
  <c r="N36" i="3" s="1"/>
  <c r="HN29" i="91"/>
  <c r="N20" i="1" s="1"/>
  <c r="N35" i="3" s="1"/>
  <c r="HN28" i="91"/>
  <c r="N19" i="1" s="1"/>
  <c r="N32" i="3" s="1"/>
  <c r="HN27" i="91"/>
  <c r="N18" i="1" s="1"/>
  <c r="N37" i="3" s="1"/>
  <c r="HN26" i="91"/>
  <c r="HN25" i="91"/>
  <c r="N17" i="1" s="1"/>
  <c r="N34" i="3" s="1"/>
  <c r="HN24" i="91"/>
  <c r="N16" i="1" s="1"/>
  <c r="N33" i="3" s="1"/>
  <c r="HN23" i="91"/>
  <c r="N15" i="1" s="1"/>
  <c r="N31" i="3" s="1"/>
  <c r="HN22" i="91"/>
  <c r="N14" i="1" s="1"/>
  <c r="HN19" i="91"/>
  <c r="HN18" i="91"/>
  <c r="HN17" i="91"/>
  <c r="HN16" i="91"/>
  <c r="HN13" i="91"/>
  <c r="HN12" i="91"/>
  <c r="N59" i="77" s="1"/>
  <c r="N14" i="77" s="1"/>
  <c r="BK314" i="91"/>
  <c r="BJ314" i="91"/>
  <c r="BI314" i="91"/>
  <c r="BH314" i="91"/>
  <c r="BG314" i="91"/>
  <c r="BF314" i="91"/>
  <c r="BE314" i="91"/>
  <c r="BD314" i="91"/>
  <c r="BC314" i="91"/>
  <c r="BB314" i="91"/>
  <c r="BA314" i="91"/>
  <c r="BK313" i="91"/>
  <c r="BJ313" i="91"/>
  <c r="BI313" i="91"/>
  <c r="BH313" i="91"/>
  <c r="BG313" i="91"/>
  <c r="BF313" i="91"/>
  <c r="BE313" i="91"/>
  <c r="BD313" i="91"/>
  <c r="BC313" i="91"/>
  <c r="BB313" i="91"/>
  <c r="BA313" i="91"/>
  <c r="BK312" i="91"/>
  <c r="BJ312" i="91"/>
  <c r="BI312" i="91"/>
  <c r="BH312" i="91"/>
  <c r="BG312" i="91"/>
  <c r="BF312" i="91"/>
  <c r="BE312" i="91"/>
  <c r="BD312" i="91"/>
  <c r="BC312" i="91"/>
  <c r="BB312" i="91"/>
  <c r="BA312" i="91"/>
  <c r="BK311" i="91"/>
  <c r="BJ311" i="91"/>
  <c r="BI311" i="91"/>
  <c r="BH311" i="91"/>
  <c r="BG311" i="91"/>
  <c r="BF311" i="91"/>
  <c r="BE311" i="91"/>
  <c r="BD311" i="91"/>
  <c r="BC311" i="91"/>
  <c r="BB311" i="91"/>
  <c r="BA311" i="91"/>
  <c r="BL310" i="91"/>
  <c r="BK310" i="91"/>
  <c r="BJ310" i="91"/>
  <c r="BI310" i="91"/>
  <c r="BH310" i="91"/>
  <c r="BG310" i="91"/>
  <c r="BF310" i="91"/>
  <c r="BE310" i="91"/>
  <c r="BD310" i="91"/>
  <c r="BC310" i="91"/>
  <c r="BB310" i="91"/>
  <c r="BA310" i="91"/>
  <c r="AN283" i="91"/>
  <c r="AM283" i="91"/>
  <c r="AL283" i="91"/>
  <c r="AK283" i="91"/>
  <c r="AJ283" i="91"/>
  <c r="AI283" i="91"/>
  <c r="AH283" i="91"/>
  <c r="AG283" i="91"/>
  <c r="AF283" i="91"/>
  <c r="AE283" i="91"/>
  <c r="AD283" i="91"/>
  <c r="AC283" i="91"/>
  <c r="AB283" i="91"/>
  <c r="AA283" i="91"/>
  <c r="Z283" i="91"/>
  <c r="Y283" i="91"/>
  <c r="X283" i="91"/>
  <c r="W283" i="91"/>
  <c r="V283" i="91"/>
  <c r="U283" i="91"/>
  <c r="T283" i="91"/>
  <c r="S283" i="91"/>
  <c r="R283" i="91"/>
  <c r="Q283" i="91"/>
  <c r="P283" i="91"/>
  <c r="O283" i="91"/>
  <c r="N283" i="91"/>
  <c r="M283" i="91"/>
  <c r="L283" i="91"/>
  <c r="K283" i="91"/>
  <c r="J283" i="91"/>
  <c r="I283" i="91"/>
  <c r="H283" i="91"/>
  <c r="G283" i="91"/>
  <c r="F283" i="91"/>
  <c r="E283" i="91"/>
  <c r="AN280" i="91"/>
  <c r="AM280" i="91"/>
  <c r="AL280" i="91"/>
  <c r="AK280" i="91"/>
  <c r="AJ280" i="91"/>
  <c r="AI280" i="91"/>
  <c r="AH280" i="91"/>
  <c r="AG280" i="91"/>
  <c r="AF280" i="91"/>
  <c r="AE280" i="91"/>
  <c r="AD280" i="91"/>
  <c r="AC280" i="91"/>
  <c r="AB280" i="91"/>
  <c r="AA280" i="91"/>
  <c r="Z280" i="91"/>
  <c r="Y280" i="91"/>
  <c r="X280" i="91"/>
  <c r="W280" i="91"/>
  <c r="V280" i="91"/>
  <c r="U280" i="91"/>
  <c r="T280" i="91"/>
  <c r="S280" i="91"/>
  <c r="R280" i="91"/>
  <c r="Q280" i="91"/>
  <c r="P280" i="91"/>
  <c r="O280" i="91"/>
  <c r="N280" i="91"/>
  <c r="M280" i="91"/>
  <c r="L280" i="91"/>
  <c r="K280" i="91"/>
  <c r="J280" i="91"/>
  <c r="I280" i="91"/>
  <c r="H280" i="91"/>
  <c r="G280" i="91"/>
  <c r="F280" i="91"/>
  <c r="E280" i="91"/>
  <c r="EF272" i="91"/>
  <c r="EE272" i="91"/>
  <c r="ED272" i="91"/>
  <c r="EC272" i="91"/>
  <c r="EB272" i="91"/>
  <c r="EA272" i="91"/>
  <c r="DZ272" i="91"/>
  <c r="DY272" i="91"/>
  <c r="DX272" i="91"/>
  <c r="DW272" i="91"/>
  <c r="DV272" i="91"/>
  <c r="DU272" i="91"/>
  <c r="DT272" i="91"/>
  <c r="DS272" i="91"/>
  <c r="DR272" i="91"/>
  <c r="DQ272" i="91"/>
  <c r="DP272" i="91"/>
  <c r="DO272" i="91"/>
  <c r="DN272" i="91"/>
  <c r="DM272" i="91"/>
  <c r="DL272" i="91"/>
  <c r="DK272" i="91"/>
  <c r="DJ272" i="91"/>
  <c r="DI272" i="91"/>
  <c r="DH272" i="91"/>
  <c r="DG272" i="91"/>
  <c r="DF272" i="91"/>
  <c r="DE272" i="91"/>
  <c r="DD272" i="91"/>
  <c r="DC272" i="91"/>
  <c r="DB272" i="91"/>
  <c r="DA272" i="91"/>
  <c r="CZ272" i="91"/>
  <c r="CY272" i="91"/>
  <c r="CX272" i="91"/>
  <c r="CW272" i="91"/>
  <c r="CV272" i="91"/>
  <c r="CU272" i="91"/>
  <c r="CT272" i="91"/>
  <c r="CS272" i="91"/>
  <c r="CR272" i="91"/>
  <c r="CQ272" i="91"/>
  <c r="CP272" i="91"/>
  <c r="CO272" i="91"/>
  <c r="CN272" i="91"/>
  <c r="CM272" i="91"/>
  <c r="CL272" i="91"/>
  <c r="CK272" i="91"/>
  <c r="CJ272" i="91"/>
  <c r="CI272" i="91"/>
  <c r="CH272" i="91"/>
  <c r="CG272" i="91"/>
  <c r="CF272" i="91"/>
  <c r="CE272" i="91"/>
  <c r="CD272" i="91"/>
  <c r="CC272" i="91"/>
  <c r="CB272" i="91"/>
  <c r="CA272" i="91"/>
  <c r="BZ272" i="91"/>
  <c r="BY272" i="91"/>
  <c r="BX272" i="91"/>
  <c r="BW272" i="91"/>
  <c r="BV272" i="91"/>
  <c r="BU272" i="91"/>
  <c r="BT272" i="91"/>
  <c r="BS272" i="91"/>
  <c r="BR272" i="91"/>
  <c r="BQ272" i="91"/>
  <c r="BP272" i="91"/>
  <c r="BO272" i="91"/>
  <c r="BN272" i="91"/>
  <c r="BM272" i="91"/>
  <c r="BF255" i="91"/>
  <c r="BE255" i="91"/>
  <c r="BD255" i="91"/>
  <c r="BC255" i="91"/>
  <c r="BB255" i="91"/>
  <c r="BA255" i="91"/>
  <c r="BM254" i="91"/>
  <c r="BN254" i="91" s="1"/>
  <c r="BN255" i="91" s="1"/>
  <c r="BL254" i="91"/>
  <c r="BL255" i="91" s="1"/>
  <c r="BK254" i="91"/>
  <c r="BK255" i="91" s="1"/>
  <c r="BJ254" i="91"/>
  <c r="BJ255" i="91" s="1"/>
  <c r="BI254" i="91"/>
  <c r="BI255" i="91" s="1"/>
  <c r="BH254" i="91"/>
  <c r="BH255" i="91" s="1"/>
  <c r="BG254" i="91"/>
  <c r="BG255" i="91" s="1"/>
  <c r="BL242" i="91"/>
  <c r="BK242" i="91"/>
  <c r="BJ242" i="91"/>
  <c r="BI242" i="91"/>
  <c r="BH242" i="91"/>
  <c r="BG242" i="91"/>
  <c r="BF242" i="91"/>
  <c r="BE242" i="91"/>
  <c r="BD242" i="91"/>
  <c r="BC242" i="91"/>
  <c r="BB242" i="91"/>
  <c r="BA242" i="91"/>
  <c r="BM239" i="91"/>
  <c r="DR214" i="91"/>
  <c r="DR237" i="91" s="1"/>
  <c r="BN214" i="91"/>
  <c r="BO214" i="91" s="1"/>
  <c r="EF208" i="91"/>
  <c r="EE208" i="91"/>
  <c r="ED208" i="91"/>
  <c r="EC208" i="91"/>
  <c r="EB208" i="91"/>
  <c r="EA208" i="91"/>
  <c r="DZ208" i="91"/>
  <c r="DY208" i="91"/>
  <c r="DX208" i="91"/>
  <c r="DW208" i="91"/>
  <c r="DV208" i="91"/>
  <c r="DU208" i="91"/>
  <c r="DT208" i="91"/>
  <c r="JJ208" i="91" s="1"/>
  <c r="DS208" i="91"/>
  <c r="DR208" i="91"/>
  <c r="DQ208" i="91"/>
  <c r="DP208" i="91"/>
  <c r="DO208" i="91"/>
  <c r="DN208" i="91"/>
  <c r="DM208" i="91"/>
  <c r="DL208" i="91"/>
  <c r="DK208" i="91"/>
  <c r="DJ208" i="91"/>
  <c r="DI208" i="91"/>
  <c r="DH208" i="91"/>
  <c r="JI208" i="91" s="1"/>
  <c r="DG208" i="91"/>
  <c r="DF208" i="91"/>
  <c r="DE208" i="91"/>
  <c r="DD208" i="91"/>
  <c r="DC208" i="91"/>
  <c r="DB208" i="91"/>
  <c r="DA208" i="91"/>
  <c r="CZ208" i="91"/>
  <c r="CY208" i="91"/>
  <c r="CX208" i="91"/>
  <c r="CW208" i="91"/>
  <c r="CV208" i="91"/>
  <c r="JH208" i="91" s="1"/>
  <c r="CU208" i="91"/>
  <c r="CT208" i="91"/>
  <c r="CS208" i="91"/>
  <c r="CR208" i="91"/>
  <c r="CQ208" i="91"/>
  <c r="CP208" i="91"/>
  <c r="CO208" i="91"/>
  <c r="CN208" i="91"/>
  <c r="CM208" i="91"/>
  <c r="CL208" i="91"/>
  <c r="CK208" i="91"/>
  <c r="CJ208" i="91"/>
  <c r="JG208" i="91" s="1"/>
  <c r="CI208" i="91"/>
  <c r="CH208" i="91"/>
  <c r="CG208" i="91"/>
  <c r="CF208" i="91"/>
  <c r="CE208" i="91"/>
  <c r="CD208" i="91"/>
  <c r="CC208" i="91"/>
  <c r="CB208" i="91"/>
  <c r="CA208" i="91"/>
  <c r="BZ208" i="91"/>
  <c r="BY208" i="91"/>
  <c r="BX208" i="91"/>
  <c r="JF208" i="91" s="1"/>
  <c r="BW208" i="91"/>
  <c r="BV208" i="91"/>
  <c r="BU208" i="91"/>
  <c r="BT208" i="91"/>
  <c r="BS208" i="91"/>
  <c r="BR208" i="91"/>
  <c r="BQ208" i="91"/>
  <c r="BP208" i="91"/>
  <c r="BO208" i="91"/>
  <c r="BN208" i="91"/>
  <c r="BM208" i="91"/>
  <c r="BL208" i="91"/>
  <c r="BL204" i="91" s="1"/>
  <c r="JE204" i="91" s="1"/>
  <c r="AZ208" i="91"/>
  <c r="JD208" i="91" s="1"/>
  <c r="EF236" i="91"/>
  <c r="EE236" i="91"/>
  <c r="EA236" i="91"/>
  <c r="DZ236" i="91"/>
  <c r="DX236" i="91"/>
  <c r="DW236" i="91"/>
  <c r="DS236" i="91"/>
  <c r="DR236" i="91"/>
  <c r="DP236" i="91"/>
  <c r="DO236" i="91"/>
  <c r="DK236" i="91"/>
  <c r="DJ236" i="91"/>
  <c r="DH236" i="91"/>
  <c r="DG236" i="91"/>
  <c r="DC236" i="91"/>
  <c r="DB236" i="91"/>
  <c r="CZ236" i="91"/>
  <c r="CY236" i="91"/>
  <c r="CU236" i="91"/>
  <c r="CT236" i="91"/>
  <c r="CR236" i="91"/>
  <c r="CQ236" i="91"/>
  <c r="CM236" i="91"/>
  <c r="CL236" i="91"/>
  <c r="CJ236" i="91"/>
  <c r="CI236" i="91"/>
  <c r="CE236" i="91"/>
  <c r="CD236" i="91"/>
  <c r="CB236" i="91"/>
  <c r="CA236" i="91"/>
  <c r="BW236" i="91"/>
  <c r="BV236" i="91"/>
  <c r="BT236" i="91"/>
  <c r="BS236" i="91"/>
  <c r="BO236" i="91"/>
  <c r="BK204" i="91"/>
  <c r="BJ204" i="91"/>
  <c r="BI204" i="91"/>
  <c r="BH204" i="91"/>
  <c r="BG204" i="91"/>
  <c r="BF204" i="91"/>
  <c r="BE204" i="91"/>
  <c r="BD204" i="91"/>
  <c r="BC204" i="91"/>
  <c r="BB204" i="91"/>
  <c r="BA204" i="91"/>
  <c r="AY204" i="91"/>
  <c r="AX204" i="91"/>
  <c r="AW204" i="91"/>
  <c r="AV204" i="91"/>
  <c r="AU204" i="91"/>
  <c r="AT204" i="91"/>
  <c r="AS204" i="91"/>
  <c r="AR204" i="91"/>
  <c r="AQ204" i="91"/>
  <c r="AP204" i="91"/>
  <c r="AO204" i="91"/>
  <c r="AN204" i="91"/>
  <c r="AN279" i="91" s="1"/>
  <c r="AM204" i="91"/>
  <c r="AM279" i="91" s="1"/>
  <c r="AL204" i="91"/>
  <c r="AL279" i="91" s="1"/>
  <c r="AK204" i="91"/>
  <c r="AK279" i="91" s="1"/>
  <c r="AJ204" i="91"/>
  <c r="AJ279" i="91" s="1"/>
  <c r="AI204" i="91"/>
  <c r="AI279" i="91" s="1"/>
  <c r="AH204" i="91"/>
  <c r="AH279" i="91" s="1"/>
  <c r="AG204" i="91"/>
  <c r="AG279" i="91" s="1"/>
  <c r="AF204" i="91"/>
  <c r="AF279" i="91" s="1"/>
  <c r="AE204" i="91"/>
  <c r="AE279" i="91" s="1"/>
  <c r="AD204" i="91"/>
  <c r="AD279" i="91" s="1"/>
  <c r="AC204" i="91"/>
  <c r="AC279" i="91" s="1"/>
  <c r="AB204" i="91"/>
  <c r="AB279" i="91" s="1"/>
  <c r="AA204" i="91"/>
  <c r="AA279" i="91" s="1"/>
  <c r="Z204" i="91"/>
  <c r="Z279" i="91" s="1"/>
  <c r="Y204" i="91"/>
  <c r="Y279" i="91" s="1"/>
  <c r="X204" i="91"/>
  <c r="X279" i="91" s="1"/>
  <c r="W204" i="91"/>
  <c r="W279" i="91" s="1"/>
  <c r="V204" i="91"/>
  <c r="V279" i="91" s="1"/>
  <c r="U204" i="91"/>
  <c r="U279" i="91" s="1"/>
  <c r="T204" i="91"/>
  <c r="T279" i="91" s="1"/>
  <c r="S204" i="91"/>
  <c r="S279" i="91" s="1"/>
  <c r="R204" i="91"/>
  <c r="R279" i="91" s="1"/>
  <c r="Q204" i="91"/>
  <c r="Q279" i="91" s="1"/>
  <c r="P204" i="91"/>
  <c r="P279" i="91" s="1"/>
  <c r="O204" i="91"/>
  <c r="O279" i="91" s="1"/>
  <c r="N204" i="91"/>
  <c r="N279" i="91" s="1"/>
  <c r="M204" i="91"/>
  <c r="M279" i="91" s="1"/>
  <c r="L204" i="91"/>
  <c r="L279" i="91" s="1"/>
  <c r="K204" i="91"/>
  <c r="K279" i="91" s="1"/>
  <c r="J204" i="91"/>
  <c r="J279" i="91" s="1"/>
  <c r="I204" i="91"/>
  <c r="I279" i="91" s="1"/>
  <c r="H204" i="91"/>
  <c r="H279" i="91" s="1"/>
  <c r="G204" i="91"/>
  <c r="G279" i="91" s="1"/>
  <c r="F204" i="91"/>
  <c r="F279" i="91" s="1"/>
  <c r="E204" i="91"/>
  <c r="E279" i="91" s="1"/>
  <c r="EC196" i="91"/>
  <c r="DY196" i="91"/>
  <c r="DV196" i="91"/>
  <c r="DU196" i="91"/>
  <c r="DQ196" i="91"/>
  <c r="DI196" i="91"/>
  <c r="DA196" i="91"/>
  <c r="CW196" i="91"/>
  <c r="CS196" i="91"/>
  <c r="CK196" i="91"/>
  <c r="BY196" i="91"/>
  <c r="BU196" i="91"/>
  <c r="BQ196" i="91"/>
  <c r="BM196" i="91"/>
  <c r="BL198" i="91"/>
  <c r="JE198" i="91" s="1"/>
  <c r="EE196" i="91"/>
  <c r="DZ196" i="91"/>
  <c r="DW196" i="91"/>
  <c r="DR196" i="91"/>
  <c r="DP196" i="91"/>
  <c r="DO196" i="91"/>
  <c r="DJ196" i="91"/>
  <c r="DG196" i="91"/>
  <c r="DB196" i="91"/>
  <c r="CY196" i="91"/>
  <c r="CT196" i="91"/>
  <c r="CQ196" i="91"/>
  <c r="CO196" i="91"/>
  <c r="CL196" i="91"/>
  <c r="CI196" i="91"/>
  <c r="CF196" i="91"/>
  <c r="CD196" i="91"/>
  <c r="CA196" i="91"/>
  <c r="BW196" i="91"/>
  <c r="BV196" i="91"/>
  <c r="BS196" i="91"/>
  <c r="BP196" i="91"/>
  <c r="BN196" i="91"/>
  <c r="BL197" i="91"/>
  <c r="BL196" i="91" s="1"/>
  <c r="JE196" i="91" s="1"/>
  <c r="EF196" i="91"/>
  <c r="HN196" i="91" s="1"/>
  <c r="N121" i="1" s="1"/>
  <c r="EB196" i="91"/>
  <c r="EA196" i="91"/>
  <c r="DX196" i="91"/>
  <c r="DT196" i="91"/>
  <c r="JJ196" i="91" s="1"/>
  <c r="DS196" i="91"/>
  <c r="DN196" i="91"/>
  <c r="DM196" i="91"/>
  <c r="DL196" i="91"/>
  <c r="DK196" i="91"/>
  <c r="DH196" i="91"/>
  <c r="JI196" i="91" s="1"/>
  <c r="DE196" i="91"/>
  <c r="DD196" i="91"/>
  <c r="DC196" i="91"/>
  <c r="CZ196" i="91"/>
  <c r="CV196" i="91"/>
  <c r="JH196" i="91" s="1"/>
  <c r="CU196" i="91"/>
  <c r="CR196" i="91"/>
  <c r="CP196" i="91"/>
  <c r="CN196" i="91"/>
  <c r="CM196" i="91"/>
  <c r="CJ196" i="91"/>
  <c r="JG196" i="91" s="1"/>
  <c r="CG196" i="91"/>
  <c r="CE196" i="91"/>
  <c r="CC196" i="91"/>
  <c r="CB196" i="91"/>
  <c r="BX196" i="91"/>
  <c r="JF196" i="91" s="1"/>
  <c r="BT196" i="91"/>
  <c r="BO196" i="91"/>
  <c r="AZ196" i="91"/>
  <c r="JD196" i="91" s="1"/>
  <c r="EF193" i="91"/>
  <c r="EE193" i="91"/>
  <c r="ED193" i="91"/>
  <c r="EC193" i="91"/>
  <c r="EC190" i="91" s="1"/>
  <c r="EB193" i="91"/>
  <c r="EA193" i="91"/>
  <c r="DZ193" i="91"/>
  <c r="DY193" i="91"/>
  <c r="DX193" i="91"/>
  <c r="DW193" i="91"/>
  <c r="DV193" i="91"/>
  <c r="DU193" i="91"/>
  <c r="DT193" i="91"/>
  <c r="DS193" i="91"/>
  <c r="DR193" i="91"/>
  <c r="DQ193" i="91"/>
  <c r="DP193" i="91"/>
  <c r="DO193" i="91"/>
  <c r="DN193" i="91"/>
  <c r="DM193" i="91"/>
  <c r="DL193" i="91"/>
  <c r="DK193" i="91"/>
  <c r="DJ193" i="91"/>
  <c r="DI193" i="91"/>
  <c r="DH193" i="91"/>
  <c r="JI193" i="91" s="1"/>
  <c r="DG193" i="91"/>
  <c r="DF193" i="91"/>
  <c r="DE193" i="91"/>
  <c r="DD193" i="91"/>
  <c r="DC193" i="91"/>
  <c r="DB193" i="91"/>
  <c r="DA193" i="91"/>
  <c r="CZ193" i="91"/>
  <c r="CZ190" i="91" s="1"/>
  <c r="CY193" i="91"/>
  <c r="CX193" i="91"/>
  <c r="CW193" i="91"/>
  <c r="CV193" i="91"/>
  <c r="JH193" i="91" s="1"/>
  <c r="CU193" i="91"/>
  <c r="CT193" i="91"/>
  <c r="CS193" i="91"/>
  <c r="CR193" i="91"/>
  <c r="CQ193" i="91"/>
  <c r="CP193" i="91"/>
  <c r="CO193" i="91"/>
  <c r="CN193" i="91"/>
  <c r="CM193" i="91"/>
  <c r="CL193" i="91"/>
  <c r="CK193" i="91"/>
  <c r="CJ193" i="91"/>
  <c r="CI193" i="91"/>
  <c r="CH193" i="91"/>
  <c r="CG193" i="91"/>
  <c r="CF193" i="91"/>
  <c r="CE193" i="91"/>
  <c r="CD193" i="91"/>
  <c r="CC193" i="91"/>
  <c r="CB193" i="91"/>
  <c r="CA193" i="91"/>
  <c r="BZ193" i="91"/>
  <c r="BY193" i="91"/>
  <c r="BX193" i="91"/>
  <c r="JF193" i="91" s="1"/>
  <c r="BW193" i="91"/>
  <c r="BV193" i="91"/>
  <c r="BU193" i="91"/>
  <c r="BT193" i="91"/>
  <c r="BS193" i="91"/>
  <c r="BR193" i="91"/>
  <c r="BQ193" i="91"/>
  <c r="BP193" i="91"/>
  <c r="BO193" i="91"/>
  <c r="BN193" i="91"/>
  <c r="BM193" i="91"/>
  <c r="AZ193" i="91"/>
  <c r="JD193" i="91" s="1"/>
  <c r="BK190" i="91"/>
  <c r="BJ190" i="91"/>
  <c r="BI190" i="91"/>
  <c r="BH190" i="91"/>
  <c r="BG190" i="91"/>
  <c r="BF190" i="91"/>
  <c r="BE190" i="91"/>
  <c r="BD190" i="91"/>
  <c r="BC190" i="91"/>
  <c r="BB190" i="91"/>
  <c r="BA190" i="91"/>
  <c r="AY190" i="91"/>
  <c r="AX190" i="91"/>
  <c r="AW190" i="91"/>
  <c r="AV190" i="91"/>
  <c r="AU190" i="91"/>
  <c r="AT190" i="91"/>
  <c r="AS190" i="91"/>
  <c r="AR190" i="91"/>
  <c r="AQ190" i="91"/>
  <c r="AP190" i="91"/>
  <c r="AO190" i="91"/>
  <c r="AN190" i="91"/>
  <c r="JC190" i="91" s="1"/>
  <c r="AM190" i="91"/>
  <c r="AL190" i="91"/>
  <c r="AK190" i="91"/>
  <c r="AJ190" i="91"/>
  <c r="AI190" i="91"/>
  <c r="AH190" i="91"/>
  <c r="AG190" i="91"/>
  <c r="AF190" i="91"/>
  <c r="AE190" i="91"/>
  <c r="AD190" i="91"/>
  <c r="AC190" i="91"/>
  <c r="AB190" i="91"/>
  <c r="JB190" i="91" s="1"/>
  <c r="AA190" i="91"/>
  <c r="Z190" i="91"/>
  <c r="Y190" i="91"/>
  <c r="X190" i="91"/>
  <c r="W190" i="91"/>
  <c r="V190" i="91"/>
  <c r="U190" i="91"/>
  <c r="T190" i="91"/>
  <c r="S190" i="91"/>
  <c r="R190" i="91"/>
  <c r="Q190" i="91"/>
  <c r="P190" i="91"/>
  <c r="JA190" i="91" s="1"/>
  <c r="O190" i="91"/>
  <c r="N190" i="91"/>
  <c r="M190" i="91"/>
  <c r="L190" i="91"/>
  <c r="K190" i="91"/>
  <c r="J190" i="91"/>
  <c r="I190" i="91"/>
  <c r="H190" i="91"/>
  <c r="G190" i="91"/>
  <c r="F190" i="91"/>
  <c r="E190" i="91"/>
  <c r="EE183" i="91"/>
  <c r="ED183" i="91"/>
  <c r="DZ183" i="91"/>
  <c r="DW183" i="91"/>
  <c r="DV183" i="91"/>
  <c r="DR183" i="91"/>
  <c r="DN183" i="91"/>
  <c r="DJ183" i="91"/>
  <c r="DG183" i="91"/>
  <c r="DF183" i="91"/>
  <c r="DB183" i="91"/>
  <c r="CY183" i="91"/>
  <c r="CX183" i="91"/>
  <c r="CT183" i="91"/>
  <c r="CQ183" i="91"/>
  <c r="CP183" i="91"/>
  <c r="CL183" i="91"/>
  <c r="CH183" i="91"/>
  <c r="CD183" i="91"/>
  <c r="CA183" i="91"/>
  <c r="BZ183" i="91"/>
  <c r="BY183" i="91"/>
  <c r="BV183" i="91"/>
  <c r="BR183" i="91"/>
  <c r="BQ183" i="91"/>
  <c r="BN183" i="91"/>
  <c r="BL184" i="91"/>
  <c r="EF183" i="91"/>
  <c r="HN183" i="91" s="1"/>
  <c r="N116" i="1" s="1"/>
  <c r="EC183" i="91"/>
  <c r="EB183" i="91"/>
  <c r="EA183" i="91"/>
  <c r="DY183" i="91"/>
  <c r="DX183" i="91"/>
  <c r="DU183" i="91"/>
  <c r="DT183" i="91"/>
  <c r="JJ183" i="91" s="1"/>
  <c r="DS183" i="91"/>
  <c r="DQ183" i="91"/>
  <c r="DP183" i="91"/>
  <c r="DO183" i="91"/>
  <c r="DM183" i="91"/>
  <c r="DL183" i="91"/>
  <c r="DK183" i="91"/>
  <c r="DI183" i="91"/>
  <c r="DH183" i="91"/>
  <c r="JI183" i="91" s="1"/>
  <c r="DE183" i="91"/>
  <c r="DD183" i="91"/>
  <c r="DC183" i="91"/>
  <c r="DA183" i="91"/>
  <c r="CZ183" i="91"/>
  <c r="CW183" i="91"/>
  <c r="CV183" i="91"/>
  <c r="JH183" i="91" s="1"/>
  <c r="CU183" i="91"/>
  <c r="CS183" i="91"/>
  <c r="CR183" i="91"/>
  <c r="CO183" i="91"/>
  <c r="CN183" i="91"/>
  <c r="CM183" i="91"/>
  <c r="CK183" i="91"/>
  <c r="CJ183" i="91"/>
  <c r="JG183" i="91" s="1"/>
  <c r="CI183" i="91"/>
  <c r="CG183" i="91"/>
  <c r="CF183" i="91"/>
  <c r="CE183" i="91"/>
  <c r="CC183" i="91"/>
  <c r="CB183" i="91"/>
  <c r="BX183" i="91"/>
  <c r="JF183" i="91" s="1"/>
  <c r="BW183" i="91"/>
  <c r="BU183" i="91"/>
  <c r="BT183" i="91"/>
  <c r="BS183" i="91"/>
  <c r="BP183" i="91"/>
  <c r="BO183" i="91"/>
  <c r="BM183" i="91"/>
  <c r="AZ183" i="91"/>
  <c r="JD183" i="91" s="1"/>
  <c r="EF179" i="91"/>
  <c r="EE179" i="91"/>
  <c r="ED179" i="91"/>
  <c r="EC179" i="91"/>
  <c r="EB179" i="91"/>
  <c r="EA179" i="91"/>
  <c r="DZ179" i="91"/>
  <c r="DY179" i="91"/>
  <c r="DX179" i="91"/>
  <c r="DW179" i="91"/>
  <c r="DV179" i="91"/>
  <c r="DU179" i="91"/>
  <c r="DT179" i="91"/>
  <c r="JJ179" i="91" s="1"/>
  <c r="DS179" i="91"/>
  <c r="DR179" i="91"/>
  <c r="DQ179" i="91"/>
  <c r="DP179" i="91"/>
  <c r="DO179" i="91"/>
  <c r="DN179" i="91"/>
  <c r="DM179" i="91"/>
  <c r="DL179" i="91"/>
  <c r="DK179" i="91"/>
  <c r="DJ179" i="91"/>
  <c r="DI179" i="91"/>
  <c r="DH179" i="91"/>
  <c r="JI179" i="91" s="1"/>
  <c r="DG179" i="91"/>
  <c r="DF179" i="91"/>
  <c r="DE179" i="91"/>
  <c r="DD179" i="91"/>
  <c r="DC179" i="91"/>
  <c r="DB179" i="91"/>
  <c r="DA179" i="91"/>
  <c r="CZ179" i="91"/>
  <c r="CY179" i="91"/>
  <c r="CX179" i="91"/>
  <c r="CW179" i="91"/>
  <c r="CV179" i="91"/>
  <c r="JH179" i="91" s="1"/>
  <c r="CU179" i="91"/>
  <c r="CT179" i="91"/>
  <c r="CS179" i="91"/>
  <c r="CR179" i="91"/>
  <c r="CQ179" i="91"/>
  <c r="CP179" i="91"/>
  <c r="CO179" i="91"/>
  <c r="CN179" i="91"/>
  <c r="CM179" i="91"/>
  <c r="CL179" i="91"/>
  <c r="CK179" i="91"/>
  <c r="CJ179" i="91"/>
  <c r="JG179" i="91" s="1"/>
  <c r="CI179" i="91"/>
  <c r="CH179" i="91"/>
  <c r="CG179" i="91"/>
  <c r="CF179" i="91"/>
  <c r="CE179" i="91"/>
  <c r="CD179" i="91"/>
  <c r="CC179" i="91"/>
  <c r="CB179" i="91"/>
  <c r="CA179" i="91"/>
  <c r="BZ179" i="91"/>
  <c r="BY179" i="91"/>
  <c r="BX179" i="91"/>
  <c r="JF179" i="91" s="1"/>
  <c r="BW179" i="91"/>
  <c r="BV179" i="91"/>
  <c r="BU179" i="91"/>
  <c r="BT179" i="91"/>
  <c r="BS179" i="91"/>
  <c r="BR179" i="91"/>
  <c r="BQ179" i="91"/>
  <c r="BP179" i="91"/>
  <c r="BO179" i="91"/>
  <c r="BN179" i="91"/>
  <c r="BM179" i="91"/>
  <c r="BL179" i="91"/>
  <c r="JE179" i="91" s="1"/>
  <c r="AZ179" i="91"/>
  <c r="JD179" i="91" s="1"/>
  <c r="EF176" i="91"/>
  <c r="JL176" i="91" s="1"/>
  <c r="EE176" i="91"/>
  <c r="ED176" i="91"/>
  <c r="EC176" i="91"/>
  <c r="EB176" i="91"/>
  <c r="EA176" i="91"/>
  <c r="DZ176" i="91"/>
  <c r="DY176" i="91"/>
  <c r="DX176" i="91"/>
  <c r="DW176" i="91"/>
  <c r="DV176" i="91"/>
  <c r="DU176" i="91"/>
  <c r="DT176" i="91"/>
  <c r="JJ176" i="91" s="1"/>
  <c r="DS176" i="91"/>
  <c r="DR176" i="91"/>
  <c r="DQ176" i="91"/>
  <c r="DP176" i="91"/>
  <c r="DO176" i="91"/>
  <c r="DN176" i="91"/>
  <c r="DM176" i="91"/>
  <c r="DL176" i="91"/>
  <c r="DK176" i="91"/>
  <c r="DJ176" i="91"/>
  <c r="DI176" i="91"/>
  <c r="DH176" i="91"/>
  <c r="JI176" i="91" s="1"/>
  <c r="DG176" i="91"/>
  <c r="DF176" i="91"/>
  <c r="DE176" i="91"/>
  <c r="DD176" i="91"/>
  <c r="DC176" i="91"/>
  <c r="DB176" i="91"/>
  <c r="DA176" i="91"/>
  <c r="CZ176" i="91"/>
  <c r="CY176" i="91"/>
  <c r="CX176" i="91"/>
  <c r="CW176" i="91"/>
  <c r="CV176" i="91"/>
  <c r="JH176" i="91" s="1"/>
  <c r="CU176" i="91"/>
  <c r="CT176" i="91"/>
  <c r="CS176" i="91"/>
  <c r="CR176" i="91"/>
  <c r="CQ176" i="91"/>
  <c r="CP176" i="91"/>
  <c r="CO176" i="91"/>
  <c r="CN176" i="91"/>
  <c r="CM176" i="91"/>
  <c r="CL176" i="91"/>
  <c r="CK176" i="91"/>
  <c r="CJ176" i="91"/>
  <c r="JG176" i="91" s="1"/>
  <c r="CI176" i="91"/>
  <c r="CH176" i="91"/>
  <c r="CG176" i="91"/>
  <c r="CF176" i="91"/>
  <c r="CE176" i="91"/>
  <c r="CD176" i="91"/>
  <c r="CC176" i="91"/>
  <c r="CB176" i="91"/>
  <c r="CA176" i="91"/>
  <c r="BZ176" i="91"/>
  <c r="BY176" i="91"/>
  <c r="BX176" i="91"/>
  <c r="JF176" i="91" s="1"/>
  <c r="BW176" i="91"/>
  <c r="BV176" i="91"/>
  <c r="BU176" i="91"/>
  <c r="BT176" i="91"/>
  <c r="BS176" i="91"/>
  <c r="BR176" i="91"/>
  <c r="BQ176" i="91"/>
  <c r="BP176" i="91"/>
  <c r="BO176" i="91"/>
  <c r="BN176" i="91"/>
  <c r="BM176" i="91"/>
  <c r="BL176" i="91"/>
  <c r="JE176" i="91" s="1"/>
  <c r="AZ176" i="91"/>
  <c r="JD176" i="91" s="1"/>
  <c r="BL173" i="91"/>
  <c r="JE173" i="91" s="1"/>
  <c r="EF254" i="91"/>
  <c r="EE254" i="91"/>
  <c r="ED254" i="91"/>
  <c r="EC254" i="91"/>
  <c r="EB254" i="91"/>
  <c r="EA254" i="91"/>
  <c r="DZ254" i="91"/>
  <c r="DY254" i="91"/>
  <c r="DX254" i="91"/>
  <c r="DW254" i="91"/>
  <c r="DV254" i="91"/>
  <c r="DV255" i="91" s="1"/>
  <c r="DU254" i="91"/>
  <c r="DT254" i="91"/>
  <c r="DS254" i="91"/>
  <c r="DR254" i="91"/>
  <c r="DQ254" i="91"/>
  <c r="DP254" i="91"/>
  <c r="DO254" i="91"/>
  <c r="DN254" i="91"/>
  <c r="DM254" i="91"/>
  <c r="DL254" i="91"/>
  <c r="DK254" i="91"/>
  <c r="DK255" i="91" s="1"/>
  <c r="DJ254" i="91"/>
  <c r="DI254" i="91"/>
  <c r="DH254" i="91"/>
  <c r="DG254" i="91"/>
  <c r="DF254" i="91"/>
  <c r="DE254" i="91"/>
  <c r="DD254" i="91"/>
  <c r="DC254" i="91"/>
  <c r="DC255" i="91" s="1"/>
  <c r="DB254" i="91"/>
  <c r="DA254" i="91"/>
  <c r="CZ254" i="91"/>
  <c r="CY254" i="91"/>
  <c r="CX254" i="91"/>
  <c r="CW254" i="91"/>
  <c r="CV254" i="91"/>
  <c r="CU254" i="91"/>
  <c r="CT254" i="91"/>
  <c r="CS254" i="91"/>
  <c r="CR254" i="91"/>
  <c r="CQ254" i="91"/>
  <c r="CP254" i="91"/>
  <c r="CP255" i="91" s="1"/>
  <c r="CO254" i="91"/>
  <c r="CN254" i="91"/>
  <c r="CM254" i="91"/>
  <c r="CL254" i="91"/>
  <c r="CK254" i="91"/>
  <c r="CJ254" i="91"/>
  <c r="CI254" i="91"/>
  <c r="CH254" i="91"/>
  <c r="CG254" i="91"/>
  <c r="CF254" i="91"/>
  <c r="CE254" i="91"/>
  <c r="CE255" i="91" s="1"/>
  <c r="CD254" i="91"/>
  <c r="CC254" i="91"/>
  <c r="CB254" i="91"/>
  <c r="CA254" i="91"/>
  <c r="BZ254" i="91"/>
  <c r="BY254" i="91"/>
  <c r="BX254" i="91"/>
  <c r="BW254" i="91"/>
  <c r="BW255" i="91" s="1"/>
  <c r="BV254" i="91"/>
  <c r="BU254" i="91"/>
  <c r="BT254" i="91"/>
  <c r="BS254" i="91"/>
  <c r="BR254" i="91"/>
  <c r="BQ254" i="91"/>
  <c r="BP254" i="91"/>
  <c r="BO254" i="91"/>
  <c r="EF169" i="91"/>
  <c r="HN169" i="91" s="1"/>
  <c r="EE169" i="91"/>
  <c r="ED169" i="91"/>
  <c r="EC169" i="91"/>
  <c r="EB169" i="91"/>
  <c r="EA169" i="91"/>
  <c r="DZ169" i="91"/>
  <c r="DY169" i="91"/>
  <c r="DX169" i="91"/>
  <c r="DW169" i="91"/>
  <c r="DV169" i="91"/>
  <c r="DU169" i="91"/>
  <c r="DT169" i="91"/>
  <c r="JJ169" i="91" s="1"/>
  <c r="DS169" i="91"/>
  <c r="DR169" i="91"/>
  <c r="DQ169" i="91"/>
  <c r="DP169" i="91"/>
  <c r="DO169" i="91"/>
  <c r="DN169" i="91"/>
  <c r="DM169" i="91"/>
  <c r="DL169" i="91"/>
  <c r="DK169" i="91"/>
  <c r="DJ169" i="91"/>
  <c r="DI169" i="91"/>
  <c r="DH169" i="91"/>
  <c r="JI169" i="91" s="1"/>
  <c r="DG169" i="91"/>
  <c r="DF169" i="91"/>
  <c r="DE169" i="91"/>
  <c r="DD169" i="91"/>
  <c r="DC169" i="91"/>
  <c r="DB169" i="91"/>
  <c r="DA169" i="91"/>
  <c r="CZ169" i="91"/>
  <c r="CY169" i="91"/>
  <c r="CX169" i="91"/>
  <c r="CW169" i="91"/>
  <c r="CV169" i="91"/>
  <c r="JH169" i="91" s="1"/>
  <c r="CU169" i="91"/>
  <c r="CT169" i="91"/>
  <c r="CS169" i="91"/>
  <c r="CR169" i="91"/>
  <c r="CQ169" i="91"/>
  <c r="CP169" i="91"/>
  <c r="CO169" i="91"/>
  <c r="CN169" i="91"/>
  <c r="CM169" i="91"/>
  <c r="CL169" i="91"/>
  <c r="CK169" i="91"/>
  <c r="CJ169" i="91"/>
  <c r="JG169" i="91" s="1"/>
  <c r="CI169" i="91"/>
  <c r="CH169" i="91"/>
  <c r="CG169" i="91"/>
  <c r="CF169" i="91"/>
  <c r="CE169" i="91"/>
  <c r="CD169" i="91"/>
  <c r="CC169" i="91"/>
  <c r="CB169" i="91"/>
  <c r="CA169" i="91"/>
  <c r="BZ169" i="91"/>
  <c r="BY169" i="91"/>
  <c r="BX169" i="91"/>
  <c r="JF169" i="91" s="1"/>
  <c r="BW169" i="91"/>
  <c r="BV169" i="91"/>
  <c r="BU169" i="91"/>
  <c r="BT169" i="91"/>
  <c r="BS169" i="91"/>
  <c r="BR169" i="91"/>
  <c r="BQ169" i="91"/>
  <c r="BP169" i="91"/>
  <c r="BO169" i="91"/>
  <c r="BN169" i="91"/>
  <c r="BM169" i="91"/>
  <c r="BL169" i="91"/>
  <c r="JE169" i="91" s="1"/>
  <c r="AZ169" i="91"/>
  <c r="JD169" i="91" s="1"/>
  <c r="BK168" i="91"/>
  <c r="BJ168" i="91"/>
  <c r="BI168" i="91"/>
  <c r="BH168" i="91"/>
  <c r="BG168" i="91"/>
  <c r="BF168" i="91"/>
  <c r="BE168" i="91"/>
  <c r="BD168" i="91"/>
  <c r="BC168" i="91"/>
  <c r="BB168" i="91"/>
  <c r="BA168" i="91"/>
  <c r="AY168" i="91"/>
  <c r="AX168" i="91"/>
  <c r="AW168" i="91"/>
  <c r="AV168" i="91"/>
  <c r="AU168" i="91"/>
  <c r="AT168" i="91"/>
  <c r="AS168" i="91"/>
  <c r="AR168" i="91"/>
  <c r="AQ168" i="91"/>
  <c r="AP168" i="91"/>
  <c r="AO168" i="91"/>
  <c r="AN168" i="91"/>
  <c r="JC168" i="91" s="1"/>
  <c r="AM168" i="91"/>
  <c r="AL168" i="91"/>
  <c r="AK168" i="91"/>
  <c r="AJ168" i="91"/>
  <c r="AI168" i="91"/>
  <c r="AH168" i="91"/>
  <c r="AG168" i="91"/>
  <c r="AF168" i="91"/>
  <c r="AE168" i="91"/>
  <c r="AD168" i="91"/>
  <c r="AC168" i="91"/>
  <c r="AB168" i="91"/>
  <c r="JB168" i="91" s="1"/>
  <c r="AA168" i="91"/>
  <c r="Z168" i="91"/>
  <c r="Y168" i="91"/>
  <c r="X168" i="91"/>
  <c r="W168" i="91"/>
  <c r="V168" i="91"/>
  <c r="U168" i="91"/>
  <c r="T168" i="91"/>
  <c r="S168" i="91"/>
  <c r="R168" i="91"/>
  <c r="Q168" i="91"/>
  <c r="P168" i="91"/>
  <c r="JA168" i="91" s="1"/>
  <c r="O168" i="91"/>
  <c r="N168" i="91"/>
  <c r="M168" i="91"/>
  <c r="L168" i="91"/>
  <c r="K168" i="91"/>
  <c r="J168" i="91"/>
  <c r="I168" i="91"/>
  <c r="H168" i="91"/>
  <c r="G168" i="91"/>
  <c r="F168" i="91"/>
  <c r="E168" i="91"/>
  <c r="BL162" i="91"/>
  <c r="EF158" i="91"/>
  <c r="JL158" i="91" s="1"/>
  <c r="EE158" i="91"/>
  <c r="ED158" i="91"/>
  <c r="EC158" i="91"/>
  <c r="EB158" i="91"/>
  <c r="EA158" i="91"/>
  <c r="DZ158" i="91"/>
  <c r="DY158" i="91"/>
  <c r="DX158" i="91"/>
  <c r="DW158" i="91"/>
  <c r="DV158" i="91"/>
  <c r="DU158" i="91"/>
  <c r="DT158" i="91"/>
  <c r="JJ158" i="91" s="1"/>
  <c r="DS158" i="91"/>
  <c r="DR158" i="91"/>
  <c r="DQ158" i="91"/>
  <c r="DP158" i="91"/>
  <c r="DO158" i="91"/>
  <c r="DN158" i="91"/>
  <c r="DM158" i="91"/>
  <c r="DL158" i="91"/>
  <c r="DK158" i="91"/>
  <c r="DJ158" i="91"/>
  <c r="DI158" i="91"/>
  <c r="DH158" i="91"/>
  <c r="JI158" i="91" s="1"/>
  <c r="DG158" i="91"/>
  <c r="DF158" i="91"/>
  <c r="DE158" i="91"/>
  <c r="DD158" i="91"/>
  <c r="DC158" i="91"/>
  <c r="DB158" i="91"/>
  <c r="DA158" i="91"/>
  <c r="CZ158" i="91"/>
  <c r="CY158" i="91"/>
  <c r="CX158" i="91"/>
  <c r="CW158" i="91"/>
  <c r="CV158" i="91"/>
  <c r="JH158" i="91" s="1"/>
  <c r="CU158" i="91"/>
  <c r="CT158" i="91"/>
  <c r="CS158" i="91"/>
  <c r="CR158" i="91"/>
  <c r="CQ158" i="91"/>
  <c r="CP158" i="91"/>
  <c r="CO158" i="91"/>
  <c r="CN158" i="91"/>
  <c r="CM158" i="91"/>
  <c r="CL158" i="91"/>
  <c r="CK158" i="91"/>
  <c r="CJ158" i="91"/>
  <c r="JG158" i="91" s="1"/>
  <c r="CI158" i="91"/>
  <c r="CH158" i="91"/>
  <c r="CG158" i="91"/>
  <c r="CF158" i="91"/>
  <c r="CE158" i="91"/>
  <c r="CD158" i="91"/>
  <c r="CC158" i="91"/>
  <c r="CB158" i="91"/>
  <c r="CA158" i="91"/>
  <c r="BZ158" i="91"/>
  <c r="BY158" i="91"/>
  <c r="BX158" i="91"/>
  <c r="JF158" i="91" s="1"/>
  <c r="BW158" i="91"/>
  <c r="BV158" i="91"/>
  <c r="BU158" i="91"/>
  <c r="BT158" i="91"/>
  <c r="BS158" i="91"/>
  <c r="BR158" i="91"/>
  <c r="BQ158" i="91"/>
  <c r="BP158" i="91"/>
  <c r="BO158" i="91"/>
  <c r="BN158" i="91"/>
  <c r="BM158" i="91"/>
  <c r="AZ158" i="91"/>
  <c r="JD158" i="91" s="1"/>
  <c r="BL156" i="91"/>
  <c r="JE156" i="91" s="1"/>
  <c r="EF149" i="91"/>
  <c r="LL149" i="91" s="1"/>
  <c r="EE149" i="91"/>
  <c r="ED149" i="91"/>
  <c r="EC149" i="91"/>
  <c r="EB149" i="91"/>
  <c r="EA149" i="91"/>
  <c r="DZ149" i="91"/>
  <c r="DY149" i="91"/>
  <c r="DX149" i="91"/>
  <c r="DW149" i="91"/>
  <c r="DV149" i="91"/>
  <c r="DU149" i="91"/>
  <c r="DT149" i="91"/>
  <c r="JJ149" i="91" s="1"/>
  <c r="DS149" i="91"/>
  <c r="DR149" i="91"/>
  <c r="DQ149" i="91"/>
  <c r="DP149" i="91"/>
  <c r="DO149" i="91"/>
  <c r="DN149" i="91"/>
  <c r="DM149" i="91"/>
  <c r="DL149" i="91"/>
  <c r="DK149" i="91"/>
  <c r="DJ149" i="91"/>
  <c r="DI149" i="91"/>
  <c r="DH149" i="91"/>
  <c r="JI149" i="91" s="1"/>
  <c r="DG149" i="91"/>
  <c r="DF149" i="91"/>
  <c r="DE149" i="91"/>
  <c r="DD149" i="91"/>
  <c r="DC149" i="91"/>
  <c r="DB149" i="91"/>
  <c r="DA149" i="91"/>
  <c r="CZ149" i="91"/>
  <c r="CY149" i="91"/>
  <c r="CX149" i="91"/>
  <c r="CW149" i="91"/>
  <c r="CV149" i="91"/>
  <c r="JH149" i="91" s="1"/>
  <c r="CU149" i="91"/>
  <c r="CT149" i="91"/>
  <c r="CS149" i="91"/>
  <c r="CR149" i="91"/>
  <c r="CQ149" i="91"/>
  <c r="CP149" i="91"/>
  <c r="CO149" i="91"/>
  <c r="CN149" i="91"/>
  <c r="CM149" i="91"/>
  <c r="CL149" i="91"/>
  <c r="CK149" i="91"/>
  <c r="CJ149" i="91"/>
  <c r="JG149" i="91" s="1"/>
  <c r="CI149" i="91"/>
  <c r="CH149" i="91"/>
  <c r="CG149" i="91"/>
  <c r="CF149" i="91"/>
  <c r="CE149" i="91"/>
  <c r="CD149" i="91"/>
  <c r="CC149" i="91"/>
  <c r="CB149" i="91"/>
  <c r="CA149" i="91"/>
  <c r="BZ149" i="91"/>
  <c r="BY149" i="91"/>
  <c r="BX149" i="91"/>
  <c r="JF149" i="91" s="1"/>
  <c r="BW149" i="91"/>
  <c r="BV149" i="91"/>
  <c r="BU149" i="91"/>
  <c r="BT149" i="91"/>
  <c r="BS149" i="91"/>
  <c r="BR149" i="91"/>
  <c r="BQ149" i="91"/>
  <c r="BP149" i="91"/>
  <c r="BO149" i="91"/>
  <c r="BN149" i="91"/>
  <c r="BM149" i="91"/>
  <c r="AZ149" i="91"/>
  <c r="EF145" i="91"/>
  <c r="HN145" i="91" s="1"/>
  <c r="N93" i="1" s="1"/>
  <c r="EE145" i="91"/>
  <c r="ED145" i="91"/>
  <c r="EC145" i="91"/>
  <c r="EB145" i="91"/>
  <c r="EA145" i="91"/>
  <c r="DZ145" i="91"/>
  <c r="DY145" i="91"/>
  <c r="DX145" i="91"/>
  <c r="DW145" i="91"/>
  <c r="DV145" i="91"/>
  <c r="DU145" i="91"/>
  <c r="DT145" i="91"/>
  <c r="JJ145" i="91" s="1"/>
  <c r="DS145" i="91"/>
  <c r="DR145" i="91"/>
  <c r="DQ145" i="91"/>
  <c r="DP145" i="91"/>
  <c r="DO145" i="91"/>
  <c r="DN145" i="91"/>
  <c r="DM145" i="91"/>
  <c r="DL145" i="91"/>
  <c r="DK145" i="91"/>
  <c r="DJ145" i="91"/>
  <c r="DI145" i="91"/>
  <c r="DH145" i="91"/>
  <c r="JI145" i="91" s="1"/>
  <c r="DG145" i="91"/>
  <c r="DF145" i="91"/>
  <c r="DE145" i="91"/>
  <c r="DD145" i="91"/>
  <c r="DC145" i="91"/>
  <c r="DB145" i="91"/>
  <c r="DA145" i="91"/>
  <c r="CZ145" i="91"/>
  <c r="CY145" i="91"/>
  <c r="CX145" i="91"/>
  <c r="CW145" i="91"/>
  <c r="CV145" i="91"/>
  <c r="JH145" i="91" s="1"/>
  <c r="CU145" i="91"/>
  <c r="CT145" i="91"/>
  <c r="CS145" i="91"/>
  <c r="CR145" i="91"/>
  <c r="CQ145" i="91"/>
  <c r="CP145" i="91"/>
  <c r="CO145" i="91"/>
  <c r="CN145" i="91"/>
  <c r="CM145" i="91"/>
  <c r="CL145" i="91"/>
  <c r="CK145" i="91"/>
  <c r="CJ145" i="91"/>
  <c r="JG145" i="91" s="1"/>
  <c r="CI145" i="91"/>
  <c r="CH145" i="91"/>
  <c r="CG145" i="91"/>
  <c r="CF145" i="91"/>
  <c r="CE145" i="91"/>
  <c r="CD145" i="91"/>
  <c r="CC145" i="91"/>
  <c r="CB145" i="91"/>
  <c r="CA145" i="91"/>
  <c r="BZ145" i="91"/>
  <c r="BY145" i="91"/>
  <c r="BX145" i="91"/>
  <c r="JF145" i="91" s="1"/>
  <c r="BW145" i="91"/>
  <c r="BV145" i="91"/>
  <c r="BU145" i="91"/>
  <c r="BT145" i="91"/>
  <c r="BS145" i="91"/>
  <c r="BR145" i="91"/>
  <c r="BQ145" i="91"/>
  <c r="BP145" i="91"/>
  <c r="BO145" i="91"/>
  <c r="BN145" i="91"/>
  <c r="BM145" i="91"/>
  <c r="EF141" i="91"/>
  <c r="HN141" i="91" s="1"/>
  <c r="N92" i="1" s="1"/>
  <c r="EA141" i="91"/>
  <c r="DY141" i="91"/>
  <c r="DX141" i="91"/>
  <c r="DV141" i="91"/>
  <c r="DU141" i="91"/>
  <c r="DS141" i="91"/>
  <c r="DQ141" i="91"/>
  <c r="DP141" i="91"/>
  <c r="DN141" i="91"/>
  <c r="DM141" i="91"/>
  <c r="DK141" i="91"/>
  <c r="DH141" i="91"/>
  <c r="JI141" i="91" s="1"/>
  <c r="DF141" i="91"/>
  <c r="DE141" i="91"/>
  <c r="DC141" i="91"/>
  <c r="CZ141" i="91"/>
  <c r="CW141" i="91"/>
  <c r="CU141" i="91"/>
  <c r="CS141" i="91"/>
  <c r="CR141" i="91"/>
  <c r="CO141" i="91"/>
  <c r="CM141" i="91"/>
  <c r="CK141" i="91"/>
  <c r="CJ141" i="91"/>
  <c r="JG141" i="91" s="1"/>
  <c r="CH141" i="91"/>
  <c r="CG141" i="91"/>
  <c r="CE141" i="91"/>
  <c r="CB141" i="91"/>
  <c r="BZ141" i="91"/>
  <c r="BY141" i="91"/>
  <c r="BW141" i="91"/>
  <c r="BT141" i="91"/>
  <c r="BQ141" i="91"/>
  <c r="BO141" i="91"/>
  <c r="BM141" i="91"/>
  <c r="AZ142" i="91"/>
  <c r="JD142" i="91" s="1"/>
  <c r="EE141" i="91"/>
  <c r="ED141" i="91"/>
  <c r="EC141" i="91"/>
  <c r="EB141" i="91"/>
  <c r="DZ141" i="91"/>
  <c r="DW141" i="91"/>
  <c r="DT141" i="91"/>
  <c r="JJ141" i="91" s="1"/>
  <c r="DR141" i="91"/>
  <c r="DO141" i="91"/>
  <c r="DL141" i="91"/>
  <c r="DJ141" i="91"/>
  <c r="DI141" i="91"/>
  <c r="DG141" i="91"/>
  <c r="DD141" i="91"/>
  <c r="DB141" i="91"/>
  <c r="DA141" i="91"/>
  <c r="CY141" i="91"/>
  <c r="CX141" i="91"/>
  <c r="CV141" i="91"/>
  <c r="JH141" i="91" s="1"/>
  <c r="CT141" i="91"/>
  <c r="CQ141" i="91"/>
  <c r="CP141" i="91"/>
  <c r="CN141" i="91"/>
  <c r="CL141" i="91"/>
  <c r="CI141" i="91"/>
  <c r="CF141" i="91"/>
  <c r="CD141" i="91"/>
  <c r="CC141" i="91"/>
  <c r="CA141" i="91"/>
  <c r="BX141" i="91"/>
  <c r="JF141" i="91" s="1"/>
  <c r="BV141" i="91"/>
  <c r="BU141" i="91"/>
  <c r="BS141" i="91"/>
  <c r="BR141" i="91"/>
  <c r="BP141" i="91"/>
  <c r="BN141" i="91"/>
  <c r="AN138" i="91"/>
  <c r="BK137" i="91"/>
  <c r="BJ137" i="91"/>
  <c r="BI137" i="91"/>
  <c r="BH137" i="91"/>
  <c r="BG137" i="91"/>
  <c r="BF137" i="91"/>
  <c r="BE137" i="91"/>
  <c r="BD137" i="91"/>
  <c r="BC137" i="91"/>
  <c r="BB137" i="91"/>
  <c r="BA137" i="91"/>
  <c r="AY137" i="91"/>
  <c r="AX137" i="91"/>
  <c r="AW137" i="91"/>
  <c r="AV137" i="91"/>
  <c r="AU137" i="91"/>
  <c r="AT137" i="91"/>
  <c r="AS137" i="91"/>
  <c r="AR137" i="91"/>
  <c r="AQ137" i="91"/>
  <c r="AP137" i="91"/>
  <c r="AO137" i="91"/>
  <c r="AM137" i="91"/>
  <c r="AL137" i="91"/>
  <c r="AK137" i="91"/>
  <c r="AJ137" i="91"/>
  <c r="AI137" i="91"/>
  <c r="AH137" i="91"/>
  <c r="AG137" i="91"/>
  <c r="AF137" i="91"/>
  <c r="AE137" i="91"/>
  <c r="AD137" i="91"/>
  <c r="AC137" i="91"/>
  <c r="AB137" i="91"/>
  <c r="JB137" i="91" s="1"/>
  <c r="AA137" i="91"/>
  <c r="Z137" i="91"/>
  <c r="Y137" i="91"/>
  <c r="X137" i="91"/>
  <c r="W137" i="91"/>
  <c r="V137" i="91"/>
  <c r="U137" i="91"/>
  <c r="T137" i="91"/>
  <c r="S137" i="91"/>
  <c r="R137" i="91"/>
  <c r="Q137" i="91"/>
  <c r="P137" i="91"/>
  <c r="JA137" i="91" s="1"/>
  <c r="O137" i="91"/>
  <c r="N137" i="91"/>
  <c r="M137" i="91"/>
  <c r="L137" i="91"/>
  <c r="K137" i="91"/>
  <c r="J137" i="91"/>
  <c r="I137" i="91"/>
  <c r="H137" i="91"/>
  <c r="G137" i="91"/>
  <c r="F137" i="91"/>
  <c r="E137" i="91"/>
  <c r="AZ135" i="91"/>
  <c r="JD135" i="91" s="1"/>
  <c r="AZ131" i="91"/>
  <c r="JD131" i="91" s="1"/>
  <c r="EF125" i="91"/>
  <c r="JL125" i="91" s="1"/>
  <c r="EE125" i="91"/>
  <c r="ED125" i="91"/>
  <c r="ED124" i="91" s="1"/>
  <c r="ED117" i="91" s="1"/>
  <c r="EC125" i="91"/>
  <c r="EB125" i="91"/>
  <c r="EB124" i="91" s="1"/>
  <c r="EB117" i="91" s="1"/>
  <c r="EA125" i="91"/>
  <c r="EA124" i="91" s="1"/>
  <c r="DZ125" i="91"/>
  <c r="DZ124" i="91" s="1"/>
  <c r="DZ117" i="91" s="1"/>
  <c r="DY125" i="91"/>
  <c r="DY124" i="91" s="1"/>
  <c r="DX125" i="91"/>
  <c r="DX124" i="91" s="1"/>
  <c r="DW125" i="91"/>
  <c r="DW124" i="91" s="1"/>
  <c r="DW117" i="91" s="1"/>
  <c r="DV125" i="91"/>
  <c r="DV124" i="91" s="1"/>
  <c r="DU125" i="91"/>
  <c r="DT125" i="91"/>
  <c r="DS125" i="91"/>
  <c r="DS124" i="91" s="1"/>
  <c r="DR125" i="91"/>
  <c r="DR124" i="91" s="1"/>
  <c r="DR117" i="91" s="1"/>
  <c r="DQ125" i="91"/>
  <c r="DQ124" i="91" s="1"/>
  <c r="DQ117" i="91" s="1"/>
  <c r="DP125" i="91"/>
  <c r="DP124" i="91" s="1"/>
  <c r="DO125" i="91"/>
  <c r="DO124" i="91" s="1"/>
  <c r="DN125" i="91"/>
  <c r="DN124" i="91" s="1"/>
  <c r="DM125" i="91"/>
  <c r="DL125" i="91"/>
  <c r="DL124" i="91" s="1"/>
  <c r="DL117" i="91" s="1"/>
  <c r="DK125" i="91"/>
  <c r="DK124" i="91" s="1"/>
  <c r="DJ125" i="91"/>
  <c r="DJ124" i="91" s="1"/>
  <c r="DI125" i="91"/>
  <c r="DI124" i="91" s="1"/>
  <c r="DI117" i="91" s="1"/>
  <c r="DH125" i="91"/>
  <c r="DG125" i="91"/>
  <c r="DG124" i="91" s="1"/>
  <c r="DG117" i="91" s="1"/>
  <c r="DF125" i="91"/>
  <c r="DF124" i="91" s="1"/>
  <c r="DE125" i="91"/>
  <c r="DD125" i="91"/>
  <c r="DD124" i="91" s="1"/>
  <c r="DD117" i="91" s="1"/>
  <c r="DC125" i="91"/>
  <c r="DC124" i="91" s="1"/>
  <c r="DB125" i="91"/>
  <c r="DB124" i="91" s="1"/>
  <c r="DB117" i="91" s="1"/>
  <c r="DA125" i="91"/>
  <c r="DA124" i="91" s="1"/>
  <c r="CZ125" i="91"/>
  <c r="CZ124" i="91" s="1"/>
  <c r="CZ117" i="91" s="1"/>
  <c r="CY125" i="91"/>
  <c r="CY124" i="91" s="1"/>
  <c r="CY117" i="91" s="1"/>
  <c r="CX125" i="91"/>
  <c r="CX124" i="91" s="1"/>
  <c r="CW125" i="91"/>
  <c r="CV125" i="91"/>
  <c r="CU125" i="91"/>
  <c r="CU124" i="91" s="1"/>
  <c r="CT125" i="91"/>
  <c r="CT124" i="91" s="1"/>
  <c r="CT117" i="91" s="1"/>
  <c r="CS125" i="91"/>
  <c r="CS124" i="91" s="1"/>
  <c r="CS117" i="91" s="1"/>
  <c r="CR125" i="91"/>
  <c r="CR124" i="91" s="1"/>
  <c r="CQ125" i="91"/>
  <c r="CQ124" i="91" s="1"/>
  <c r="CQ117" i="91" s="1"/>
  <c r="CP125" i="91"/>
  <c r="CP124" i="91" s="1"/>
  <c r="CP117" i="91" s="1"/>
  <c r="CO125" i="91"/>
  <c r="CN125" i="91"/>
  <c r="CN124" i="91" s="1"/>
  <c r="CM125" i="91"/>
  <c r="CM124" i="91" s="1"/>
  <c r="CL125" i="91"/>
  <c r="CL124" i="91" s="1"/>
  <c r="CK125" i="91"/>
  <c r="CK124" i="91" s="1"/>
  <c r="CK117" i="91" s="1"/>
  <c r="CJ125" i="91"/>
  <c r="CJ124" i="91" s="1"/>
  <c r="CI125" i="91"/>
  <c r="CI124" i="91" s="1"/>
  <c r="CH125" i="91"/>
  <c r="CH124" i="91" s="1"/>
  <c r="CH117" i="91" s="1"/>
  <c r="CG125" i="91"/>
  <c r="CF125" i="91"/>
  <c r="CF124" i="91" s="1"/>
  <c r="CF117" i="91" s="1"/>
  <c r="CE125" i="91"/>
  <c r="CE124" i="91" s="1"/>
  <c r="CD125" i="91"/>
  <c r="CD124" i="91" s="1"/>
  <c r="CC125" i="91"/>
  <c r="CC124" i="91" s="1"/>
  <c r="CB125" i="91"/>
  <c r="CB124" i="91" s="1"/>
  <c r="CB117" i="91" s="1"/>
  <c r="CA125" i="91"/>
  <c r="CA124" i="91" s="1"/>
  <c r="CA117" i="91" s="1"/>
  <c r="BZ125" i="91"/>
  <c r="BZ124" i="91" s="1"/>
  <c r="BY125" i="91"/>
  <c r="BX125" i="91"/>
  <c r="BW125" i="91"/>
  <c r="BW124" i="91" s="1"/>
  <c r="BV125" i="91"/>
  <c r="BV124" i="91" s="1"/>
  <c r="BU125" i="91"/>
  <c r="BU124" i="91" s="1"/>
  <c r="BT125" i="91"/>
  <c r="BT124" i="91" s="1"/>
  <c r="BT117" i="91" s="1"/>
  <c r="BS125" i="91"/>
  <c r="BS124" i="91" s="1"/>
  <c r="BS117" i="91" s="1"/>
  <c r="BR125" i="91"/>
  <c r="BR124" i="91" s="1"/>
  <c r="BR117" i="91" s="1"/>
  <c r="BQ125" i="91"/>
  <c r="BP125" i="91"/>
  <c r="BP124" i="91" s="1"/>
  <c r="BP117" i="91" s="1"/>
  <c r="BO125" i="91"/>
  <c r="BO124" i="91" s="1"/>
  <c r="BN125" i="91"/>
  <c r="BN124" i="91" s="1"/>
  <c r="BN117" i="91" s="1"/>
  <c r="BM125" i="91"/>
  <c r="BM124" i="91" s="1"/>
  <c r="AZ125" i="91"/>
  <c r="JD125" i="91" s="1"/>
  <c r="EE124" i="91"/>
  <c r="EE117" i="91" s="1"/>
  <c r="BL124" i="91"/>
  <c r="JE124" i="91" s="1"/>
  <c r="AZ123" i="91"/>
  <c r="JD123" i="91" s="1"/>
  <c r="BL121" i="91"/>
  <c r="JE121" i="91" s="1"/>
  <c r="AZ118" i="91"/>
  <c r="JD118" i="91" s="1"/>
  <c r="BK117" i="91"/>
  <c r="BJ117" i="91"/>
  <c r="BI117" i="91"/>
  <c r="BH117" i="91"/>
  <c r="BG117" i="91"/>
  <c r="BF117" i="91"/>
  <c r="BE117" i="91"/>
  <c r="BD117" i="91"/>
  <c r="BC117" i="91"/>
  <c r="BB117" i="91"/>
  <c r="BA117" i="91"/>
  <c r="AY117" i="91"/>
  <c r="AX117" i="91"/>
  <c r="AW117" i="91"/>
  <c r="AV117" i="91"/>
  <c r="AU117" i="91"/>
  <c r="AT117" i="91"/>
  <c r="AS117" i="91"/>
  <c r="AR117" i="91"/>
  <c r="AQ117" i="91"/>
  <c r="AP117" i="91"/>
  <c r="AO117" i="91"/>
  <c r="AN117" i="91"/>
  <c r="JC117" i="91" s="1"/>
  <c r="AM117" i="91"/>
  <c r="AL117" i="91"/>
  <c r="AK117" i="91"/>
  <c r="AJ117" i="91"/>
  <c r="AI117" i="91"/>
  <c r="AH117" i="91"/>
  <c r="AG117" i="91"/>
  <c r="AF117" i="91"/>
  <c r="AE117" i="91"/>
  <c r="AD117" i="91"/>
  <c r="AC117" i="91"/>
  <c r="AB117" i="91"/>
  <c r="JB117" i="91" s="1"/>
  <c r="AA117" i="91"/>
  <c r="Z117" i="91"/>
  <c r="Y117" i="91"/>
  <c r="X117" i="91"/>
  <c r="W117" i="91"/>
  <c r="V117" i="91"/>
  <c r="U117" i="91"/>
  <c r="T117" i="91"/>
  <c r="S117" i="91"/>
  <c r="R117" i="91"/>
  <c r="Q117" i="91"/>
  <c r="P117" i="91"/>
  <c r="JA117" i="91" s="1"/>
  <c r="O117" i="91"/>
  <c r="N117" i="91"/>
  <c r="M117" i="91"/>
  <c r="L117" i="91"/>
  <c r="K117" i="91"/>
  <c r="J117" i="91"/>
  <c r="I117" i="91"/>
  <c r="H117" i="91"/>
  <c r="G117" i="91"/>
  <c r="F117" i="91"/>
  <c r="E117" i="91"/>
  <c r="EF229" i="91"/>
  <c r="EE229" i="91"/>
  <c r="ED229" i="91"/>
  <c r="EC229" i="91"/>
  <c r="EB229" i="91"/>
  <c r="EA229" i="91"/>
  <c r="DZ229" i="91"/>
  <c r="DY229" i="91"/>
  <c r="DX229" i="91"/>
  <c r="DW229" i="91"/>
  <c r="DV229" i="91"/>
  <c r="DU229" i="91"/>
  <c r="DT229" i="91"/>
  <c r="DS229" i="91"/>
  <c r="DR229" i="91"/>
  <c r="DQ229" i="91"/>
  <c r="DP229" i="91"/>
  <c r="DO229" i="91"/>
  <c r="DN229" i="91"/>
  <c r="DM229" i="91"/>
  <c r="DL229" i="91"/>
  <c r="DK229" i="91"/>
  <c r="DJ229" i="91"/>
  <c r="DI229" i="91"/>
  <c r="DH229" i="91"/>
  <c r="DG229" i="91"/>
  <c r="DF229" i="91"/>
  <c r="DE229" i="91"/>
  <c r="DD229" i="91"/>
  <c r="DC229" i="91"/>
  <c r="DB229" i="91"/>
  <c r="DA229" i="91"/>
  <c r="CZ229" i="91"/>
  <c r="CY229" i="91"/>
  <c r="CX229" i="91"/>
  <c r="CW229" i="91"/>
  <c r="CV229" i="91"/>
  <c r="CU229" i="91"/>
  <c r="CT229" i="91"/>
  <c r="CS229" i="91"/>
  <c r="CR229" i="91"/>
  <c r="CQ229" i="91"/>
  <c r="CP229" i="91"/>
  <c r="CO229" i="91"/>
  <c r="CN229" i="91"/>
  <c r="CM229" i="91"/>
  <c r="CL229" i="91"/>
  <c r="CK229" i="91"/>
  <c r="CJ229" i="91"/>
  <c r="CI229" i="91"/>
  <c r="CH229" i="91"/>
  <c r="CG229" i="91"/>
  <c r="CF229" i="91"/>
  <c r="CE229" i="91"/>
  <c r="CD229" i="91"/>
  <c r="CC229" i="91"/>
  <c r="CB229" i="91"/>
  <c r="CA229" i="91"/>
  <c r="BZ229" i="91"/>
  <c r="BY229" i="91"/>
  <c r="BX229" i="91"/>
  <c r="BW229" i="91"/>
  <c r="BV229" i="91"/>
  <c r="BU229" i="91"/>
  <c r="BT229" i="91"/>
  <c r="BS229" i="91"/>
  <c r="BR229" i="91"/>
  <c r="BQ229" i="91"/>
  <c r="BP229" i="91"/>
  <c r="BO229" i="91"/>
  <c r="BN229" i="91"/>
  <c r="BM229" i="91"/>
  <c r="BL108" i="91"/>
  <c r="JE108" i="91" s="1"/>
  <c r="AZ103" i="91"/>
  <c r="JD103" i="91" s="1"/>
  <c r="EC99" i="91"/>
  <c r="DU99" i="91"/>
  <c r="DM99" i="91"/>
  <c r="DE99" i="91"/>
  <c r="CW99" i="91"/>
  <c r="CO99" i="91"/>
  <c r="CG99" i="91"/>
  <c r="BY99" i="91"/>
  <c r="BU99" i="91"/>
  <c r="BQ99" i="91"/>
  <c r="AZ102" i="91"/>
  <c r="JD102" i="91" s="1"/>
  <c r="EF99" i="91"/>
  <c r="EF92" i="91" s="1"/>
  <c r="LL92" i="91" s="1"/>
  <c r="DZ99" i="91"/>
  <c r="DZ92" i="91" s="1"/>
  <c r="DX99" i="91"/>
  <c r="DX92" i="91" s="1"/>
  <c r="DR99" i="91"/>
  <c r="DR92" i="91" s="1"/>
  <c r="DP99" i="91"/>
  <c r="DJ99" i="91"/>
  <c r="DJ92" i="91" s="1"/>
  <c r="DH99" i="91"/>
  <c r="DH92" i="91" s="1"/>
  <c r="DC99" i="91"/>
  <c r="DB99" i="91"/>
  <c r="CZ99" i="91"/>
  <c r="CZ92" i="91" s="1"/>
  <c r="CT99" i="91"/>
  <c r="CT92" i="91" s="1"/>
  <c r="CR99" i="91"/>
  <c r="CR92" i="91" s="1"/>
  <c r="CM99" i="91"/>
  <c r="CL99" i="91"/>
  <c r="CL92" i="91" s="1"/>
  <c r="CJ99" i="91"/>
  <c r="CI99" i="91"/>
  <c r="CI92" i="91" s="1"/>
  <c r="CE99" i="91"/>
  <c r="CD99" i="91"/>
  <c r="CD92" i="91" s="1"/>
  <c r="CD234" i="91" s="1"/>
  <c r="CA99" i="91"/>
  <c r="BV99" i="91"/>
  <c r="BV92" i="91" s="1"/>
  <c r="BS99" i="91"/>
  <c r="BS92" i="91" s="1"/>
  <c r="BN99" i="91"/>
  <c r="BN92" i="91" s="1"/>
  <c r="AZ100" i="91"/>
  <c r="JD100" i="91" s="1"/>
  <c r="EB99" i="91"/>
  <c r="EA99" i="91"/>
  <c r="DY99" i="91"/>
  <c r="DY92" i="91" s="1"/>
  <c r="DT99" i="91"/>
  <c r="DS99" i="91"/>
  <c r="DQ99" i="91"/>
  <c r="DQ92" i="91" s="1"/>
  <c r="DL99" i="91"/>
  <c r="DK99" i="91"/>
  <c r="DI99" i="91"/>
  <c r="DD99" i="91"/>
  <c r="DA99" i="91"/>
  <c r="DA92" i="91" s="1"/>
  <c r="CV99" i="91"/>
  <c r="CU99" i="91"/>
  <c r="CS99" i="91"/>
  <c r="CS92" i="91" s="1"/>
  <c r="CN99" i="91"/>
  <c r="CK99" i="91"/>
  <c r="CF99" i="91"/>
  <c r="CC99" i="91"/>
  <c r="CB99" i="91"/>
  <c r="CB92" i="91" s="1"/>
  <c r="BX99" i="91"/>
  <c r="BW99" i="91"/>
  <c r="BT99" i="91"/>
  <c r="BT92" i="91" s="1"/>
  <c r="BP99" i="91"/>
  <c r="BO99" i="91"/>
  <c r="BM99" i="91"/>
  <c r="AY99" i="91"/>
  <c r="AY92" i="91" s="1"/>
  <c r="AX99" i="91"/>
  <c r="AX92" i="91" s="1"/>
  <c r="AW99" i="91"/>
  <c r="AW92" i="91" s="1"/>
  <c r="AV99" i="91"/>
  <c r="AV92" i="91" s="1"/>
  <c r="AU99" i="91"/>
  <c r="AU92" i="91" s="1"/>
  <c r="AT99" i="91"/>
  <c r="AT92" i="91" s="1"/>
  <c r="AS99" i="91"/>
  <c r="AS92" i="91" s="1"/>
  <c r="AR99" i="91"/>
  <c r="AR92" i="91" s="1"/>
  <c r="AQ99" i="91"/>
  <c r="AQ92" i="91" s="1"/>
  <c r="AP99" i="91"/>
  <c r="AP92" i="91" s="1"/>
  <c r="AO99" i="91"/>
  <c r="AO92" i="91" s="1"/>
  <c r="AZ97" i="91"/>
  <c r="JD97" i="91" s="1"/>
  <c r="EF233" i="91"/>
  <c r="EE233" i="91"/>
  <c r="ED233" i="91"/>
  <c r="EC233" i="91"/>
  <c r="EA233" i="91"/>
  <c r="DZ233" i="91"/>
  <c r="DY233" i="91"/>
  <c r="DX233" i="91"/>
  <c r="DW233" i="91"/>
  <c r="DV233" i="91"/>
  <c r="DU233" i="91"/>
  <c r="DS233" i="91"/>
  <c r="DR233" i="91"/>
  <c r="DQ233" i="91"/>
  <c r="DP233" i="91"/>
  <c r="DO233" i="91"/>
  <c r="DN233" i="91"/>
  <c r="DK233" i="91"/>
  <c r="DJ233" i="91"/>
  <c r="DI233" i="91"/>
  <c r="DH233" i="91"/>
  <c r="DG233" i="91"/>
  <c r="DF233" i="91"/>
  <c r="DC233" i="91"/>
  <c r="DB233" i="91"/>
  <c r="DA233" i="91"/>
  <c r="CZ233" i="91"/>
  <c r="CY233" i="91"/>
  <c r="CX233" i="91"/>
  <c r="CU233" i="91"/>
  <c r="CT233" i="91"/>
  <c r="CS233" i="91"/>
  <c r="CR233" i="91"/>
  <c r="CQ233" i="91"/>
  <c r="CP233" i="91"/>
  <c r="CO233" i="91"/>
  <c r="CM233" i="91"/>
  <c r="CL233" i="91"/>
  <c r="CK233" i="91"/>
  <c r="CJ233" i="91"/>
  <c r="CI233" i="91"/>
  <c r="CH233" i="91"/>
  <c r="CE233" i="91"/>
  <c r="CD233" i="91"/>
  <c r="CC233" i="91"/>
  <c r="CB233" i="91"/>
  <c r="CA233" i="91"/>
  <c r="BW233" i="91"/>
  <c r="BV233" i="91"/>
  <c r="BU233" i="91"/>
  <c r="BT233" i="91"/>
  <c r="BS233" i="91"/>
  <c r="BR233" i="91"/>
  <c r="BO233" i="91"/>
  <c r="BN233" i="91"/>
  <c r="BM233" i="91"/>
  <c r="AZ93" i="91"/>
  <c r="JD93" i="91" s="1"/>
  <c r="DB92" i="91"/>
  <c r="CC92" i="91"/>
  <c r="BL92" i="91"/>
  <c r="BK92" i="91"/>
  <c r="BJ92" i="91"/>
  <c r="BI92" i="91"/>
  <c r="BH92" i="91"/>
  <c r="BG92" i="91"/>
  <c r="BF92" i="91"/>
  <c r="BE92" i="91"/>
  <c r="BD92" i="91"/>
  <c r="BC92" i="91"/>
  <c r="BB92" i="91"/>
  <c r="BA92" i="91"/>
  <c r="AN92" i="91"/>
  <c r="AM92" i="91"/>
  <c r="AL92" i="91"/>
  <c r="AK92" i="91"/>
  <c r="AJ92" i="91"/>
  <c r="AI92" i="91"/>
  <c r="AH92" i="91"/>
  <c r="AG92" i="91"/>
  <c r="AF92" i="91"/>
  <c r="AE92" i="91"/>
  <c r="AD92" i="91"/>
  <c r="AC92" i="91"/>
  <c r="AB92" i="91"/>
  <c r="AA92" i="91"/>
  <c r="Z92" i="91"/>
  <c r="Y92" i="91"/>
  <c r="X92" i="91"/>
  <c r="W92" i="91"/>
  <c r="V92" i="91"/>
  <c r="U92" i="91"/>
  <c r="T92" i="91"/>
  <c r="S92" i="91"/>
  <c r="R92" i="91"/>
  <c r="Q92" i="91"/>
  <c r="P92" i="91"/>
  <c r="O92" i="91"/>
  <c r="N92" i="91"/>
  <c r="M92" i="91"/>
  <c r="L92" i="91"/>
  <c r="K92" i="91"/>
  <c r="J92" i="91"/>
  <c r="I92" i="91"/>
  <c r="H92" i="91"/>
  <c r="G92" i="91"/>
  <c r="F92" i="91"/>
  <c r="E92" i="91"/>
  <c r="EC87" i="91"/>
  <c r="EB87" i="91"/>
  <c r="EA87" i="91"/>
  <c r="DY87" i="91"/>
  <c r="DU87" i="91"/>
  <c r="DT87" i="91"/>
  <c r="DQ87" i="91"/>
  <c r="DN87" i="91"/>
  <c r="DM87" i="91"/>
  <c r="DL87" i="91"/>
  <c r="DI87" i="91"/>
  <c r="DE87" i="91"/>
  <c r="DD87" i="91"/>
  <c r="DA87" i="91"/>
  <c r="CY87" i="91"/>
  <c r="CW87" i="91"/>
  <c r="CV87" i="91"/>
  <c r="CU87" i="91"/>
  <c r="CS87" i="91"/>
  <c r="CP87" i="91"/>
  <c r="CO87" i="91"/>
  <c r="CN87" i="91"/>
  <c r="CM87" i="91"/>
  <c r="CK87" i="91"/>
  <c r="CG87" i="91"/>
  <c r="CF87" i="91"/>
  <c r="CE87" i="91"/>
  <c r="CC87" i="91"/>
  <c r="BY87" i="91"/>
  <c r="BX87" i="91"/>
  <c r="BW87" i="91"/>
  <c r="BU87" i="91"/>
  <c r="BQ87" i="91"/>
  <c r="BP87" i="91"/>
  <c r="BO87" i="91"/>
  <c r="BM87" i="91"/>
  <c r="AZ88" i="91"/>
  <c r="EF87" i="91"/>
  <c r="LM87" i="91" s="1"/>
  <c r="EE87" i="91"/>
  <c r="ED87" i="91"/>
  <c r="DZ87" i="91"/>
  <c r="DX87" i="91"/>
  <c r="DW87" i="91"/>
  <c r="DV87" i="91"/>
  <c r="DS87" i="91"/>
  <c r="DR87" i="91"/>
  <c r="DP87" i="91"/>
  <c r="DO87" i="91"/>
  <c r="DK87" i="91"/>
  <c r="DJ87" i="91"/>
  <c r="DH87" i="91"/>
  <c r="DG87" i="91"/>
  <c r="DF87" i="91"/>
  <c r="DC87" i="91"/>
  <c r="DB87" i="91"/>
  <c r="CZ87" i="91"/>
  <c r="CX87" i="91"/>
  <c r="CT87" i="91"/>
  <c r="CR87" i="91"/>
  <c r="CQ87" i="91"/>
  <c r="CL87" i="91"/>
  <c r="CJ87" i="91"/>
  <c r="CI87" i="91"/>
  <c r="CH87" i="91"/>
  <c r="CD87" i="91"/>
  <c r="CB87" i="91"/>
  <c r="CA87" i="91"/>
  <c r="BZ87" i="91"/>
  <c r="BV87" i="91"/>
  <c r="BV83" i="91" s="1"/>
  <c r="BT87" i="91"/>
  <c r="BS87" i="91"/>
  <c r="BR87" i="91"/>
  <c r="BN87" i="91"/>
  <c r="BL87" i="91"/>
  <c r="BK87" i="91"/>
  <c r="BJ87" i="91"/>
  <c r="BI87" i="91"/>
  <c r="BH87" i="91"/>
  <c r="BG87" i="91"/>
  <c r="BF87" i="91"/>
  <c r="BE87" i="91"/>
  <c r="BD87" i="91"/>
  <c r="BC87" i="91"/>
  <c r="BB87" i="91"/>
  <c r="BA87" i="91"/>
  <c r="AY87" i="91"/>
  <c r="AX87" i="91"/>
  <c r="AW87" i="91"/>
  <c r="AV87" i="91"/>
  <c r="AU87" i="91"/>
  <c r="AT87" i="91"/>
  <c r="AS87" i="91"/>
  <c r="AR87" i="91"/>
  <c r="AQ87" i="91"/>
  <c r="AP87" i="91"/>
  <c r="AO87" i="91"/>
  <c r="EC84" i="91"/>
  <c r="EB84" i="91"/>
  <c r="EA84" i="91"/>
  <c r="DU84" i="91"/>
  <c r="DT84" i="91"/>
  <c r="DS84" i="91"/>
  <c r="DK84" i="91"/>
  <c r="DD84" i="91"/>
  <c r="DC84" i="91"/>
  <c r="CV84" i="91"/>
  <c r="CU84" i="91"/>
  <c r="CN84" i="91"/>
  <c r="CM84" i="91"/>
  <c r="CF84" i="91"/>
  <c r="CE84" i="91"/>
  <c r="BX84" i="91"/>
  <c r="BW84" i="91"/>
  <c r="BQ84" i="91"/>
  <c r="BP84" i="91"/>
  <c r="BO84" i="91"/>
  <c r="BD86" i="91"/>
  <c r="AZ86" i="91"/>
  <c r="DX84" i="91"/>
  <c r="DW84" i="91"/>
  <c r="DV84" i="91"/>
  <c r="DR84" i="91"/>
  <c r="DP84" i="91"/>
  <c r="DO84" i="91"/>
  <c r="DN84" i="91"/>
  <c r="DI84" i="91"/>
  <c r="DH84" i="91"/>
  <c r="DG84" i="91"/>
  <c r="DF84" i="91"/>
  <c r="CZ84" i="91"/>
  <c r="CY84" i="91"/>
  <c r="CX84" i="91"/>
  <c r="CQ84" i="91"/>
  <c r="CP84" i="91"/>
  <c r="CI84" i="91"/>
  <c r="CI83" i="91" s="1"/>
  <c r="CH84" i="91"/>
  <c r="CD84" i="91"/>
  <c r="CA84" i="91"/>
  <c r="BZ84" i="91"/>
  <c r="BS84" i="91"/>
  <c r="BR84" i="91"/>
  <c r="EF84" i="91"/>
  <c r="EF83" i="91" s="1"/>
  <c r="LL83" i="91" s="1"/>
  <c r="EE84" i="91"/>
  <c r="EE83" i="91" s="1"/>
  <c r="ED84" i="91"/>
  <c r="DZ84" i="91"/>
  <c r="DY84" i="91"/>
  <c r="DQ84" i="91"/>
  <c r="DM84" i="91"/>
  <c r="DL84" i="91"/>
  <c r="DJ84" i="91"/>
  <c r="DB84" i="91"/>
  <c r="DA84" i="91"/>
  <c r="CT84" i="91"/>
  <c r="CS84" i="91"/>
  <c r="CR84" i="91"/>
  <c r="CR83" i="91" s="1"/>
  <c r="CL84" i="91"/>
  <c r="CK84" i="91"/>
  <c r="CJ84" i="91"/>
  <c r="CC84" i="91"/>
  <c r="CB84" i="91"/>
  <c r="BV84" i="91"/>
  <c r="BU84" i="91"/>
  <c r="BT84" i="91"/>
  <c r="BN84" i="91"/>
  <c r="BM84" i="91"/>
  <c r="BL84" i="91"/>
  <c r="BK84" i="91"/>
  <c r="BJ84" i="91"/>
  <c r="BI84" i="91"/>
  <c r="BH84" i="91"/>
  <c r="BG84" i="91"/>
  <c r="BF84" i="91"/>
  <c r="BE84" i="91"/>
  <c r="BC84" i="91"/>
  <c r="BC83" i="91" s="1"/>
  <c r="BC77" i="91" s="1"/>
  <c r="BB84" i="91"/>
  <c r="BA84" i="91"/>
  <c r="AY84" i="91"/>
  <c r="AX84" i="91"/>
  <c r="AW84" i="91"/>
  <c r="AV84" i="91"/>
  <c r="AU84" i="91"/>
  <c r="AT84" i="91"/>
  <c r="AS84" i="91"/>
  <c r="AR84" i="91"/>
  <c r="AQ84" i="91"/>
  <c r="AP84" i="91"/>
  <c r="AO84" i="91"/>
  <c r="AZ82" i="91"/>
  <c r="JD82" i="91" s="1"/>
  <c r="ED78" i="91"/>
  <c r="EA78" i="91"/>
  <c r="DZ78" i="91"/>
  <c r="DV78" i="91"/>
  <c r="DY78" i="91"/>
  <c r="DX78" i="91"/>
  <c r="DW78" i="91"/>
  <c r="DQ78" i="91"/>
  <c r="DP78" i="91"/>
  <c r="DO78" i="91"/>
  <c r="DI78" i="91"/>
  <c r="DH78" i="91"/>
  <c r="DG78" i="91"/>
  <c r="DA78" i="91"/>
  <c r="CZ78" i="91"/>
  <c r="CY78" i="91"/>
  <c r="CS78" i="91"/>
  <c r="CR78" i="91"/>
  <c r="CQ78" i="91"/>
  <c r="CK78" i="91"/>
  <c r="CJ78" i="91"/>
  <c r="CI78" i="91"/>
  <c r="CC78" i="91"/>
  <c r="CB78" i="91"/>
  <c r="CA78" i="91"/>
  <c r="BU78" i="91"/>
  <c r="BT78" i="91"/>
  <c r="BS78" i="91"/>
  <c r="BM78" i="91"/>
  <c r="EF78" i="91"/>
  <c r="LM78" i="91" s="1"/>
  <c r="EE78" i="91"/>
  <c r="EC78" i="91"/>
  <c r="EB78" i="91"/>
  <c r="DU78" i="91"/>
  <c r="DT78" i="91"/>
  <c r="DS78" i="91"/>
  <c r="DR78" i="91"/>
  <c r="DN78" i="91"/>
  <c r="DM78" i="91"/>
  <c r="DL78" i="91"/>
  <c r="DK78" i="91"/>
  <c r="DJ78" i="91"/>
  <c r="DF78" i="91"/>
  <c r="DE78" i="91"/>
  <c r="DD78" i="91"/>
  <c r="DC78" i="91"/>
  <c r="DB78" i="91"/>
  <c r="CX78" i="91"/>
  <c r="CW78" i="91"/>
  <c r="CV78" i="91"/>
  <c r="CU78" i="91"/>
  <c r="CT78" i="91"/>
  <c r="CP78" i="91"/>
  <c r="CO78" i="91"/>
  <c r="CN78" i="91"/>
  <c r="CM78" i="91"/>
  <c r="CL78" i="91"/>
  <c r="CH78" i="91"/>
  <c r="CG78" i="91"/>
  <c r="CF78" i="91"/>
  <c r="CE78" i="91"/>
  <c r="CD78" i="91"/>
  <c r="BZ78" i="91"/>
  <c r="BY78" i="91"/>
  <c r="BX78" i="91"/>
  <c r="BW78" i="91"/>
  <c r="BV78" i="91"/>
  <c r="BR78" i="91"/>
  <c r="BQ78" i="91"/>
  <c r="BP78" i="91"/>
  <c r="BO78" i="91"/>
  <c r="BN78" i="91"/>
  <c r="BJ78" i="91"/>
  <c r="BG78" i="91"/>
  <c r="JE78" i="91" s="1"/>
  <c r="AZ78" i="91"/>
  <c r="JD78" i="91" s="1"/>
  <c r="AN77" i="91"/>
  <c r="AM77" i="91"/>
  <c r="AL77" i="91"/>
  <c r="AK77" i="91"/>
  <c r="AJ77" i="91"/>
  <c r="AI77" i="91"/>
  <c r="AH77" i="91"/>
  <c r="AG77" i="91"/>
  <c r="AF77" i="91"/>
  <c r="AE77" i="91"/>
  <c r="AD77" i="91"/>
  <c r="AC77" i="91"/>
  <c r="AB77" i="91"/>
  <c r="AA77" i="91"/>
  <c r="Z77" i="91"/>
  <c r="Y77" i="91"/>
  <c r="X77" i="91"/>
  <c r="W77" i="91"/>
  <c r="V77" i="91"/>
  <c r="U77" i="91"/>
  <c r="T77" i="91"/>
  <c r="S77" i="91"/>
  <c r="R77" i="91"/>
  <c r="Q77" i="91"/>
  <c r="P77" i="91"/>
  <c r="O77" i="91"/>
  <c r="N77" i="91"/>
  <c r="M77" i="91"/>
  <c r="L77" i="91"/>
  <c r="K77" i="91"/>
  <c r="J77" i="91"/>
  <c r="I77" i="91"/>
  <c r="H77" i="91"/>
  <c r="G77" i="91"/>
  <c r="F77" i="91"/>
  <c r="E77" i="91"/>
  <c r="EF67" i="91"/>
  <c r="LL67" i="91" s="1"/>
  <c r="EA67" i="91"/>
  <c r="EA63" i="91" s="1"/>
  <c r="DX67" i="91"/>
  <c r="DX63" i="91" s="1"/>
  <c r="DS67" i="91"/>
  <c r="DS63" i="91" s="1"/>
  <c r="DQ67" i="91"/>
  <c r="DP67" i="91"/>
  <c r="DP63" i="91" s="1"/>
  <c r="DK67" i="91"/>
  <c r="DI67" i="91"/>
  <c r="DH67" i="91"/>
  <c r="DH63" i="91" s="1"/>
  <c r="DF67" i="91"/>
  <c r="DF63" i="91" s="1"/>
  <c r="DC67" i="91"/>
  <c r="CZ67" i="91"/>
  <c r="CZ63" i="91" s="1"/>
  <c r="CU67" i="91"/>
  <c r="CU63" i="91" s="1"/>
  <c r="CR67" i="91"/>
  <c r="CM67" i="91"/>
  <c r="CM63" i="91" s="1"/>
  <c r="CK67" i="91"/>
  <c r="CJ67" i="91"/>
  <c r="CJ63" i="91" s="1"/>
  <c r="CE67" i="91"/>
  <c r="CE63" i="91" s="1"/>
  <c r="CC67" i="91"/>
  <c r="CB67" i="91"/>
  <c r="CB63" i="91" s="1"/>
  <c r="BZ67" i="91"/>
  <c r="BW67" i="91"/>
  <c r="BT67" i="91"/>
  <c r="BT63" i="91" s="1"/>
  <c r="BO67" i="91"/>
  <c r="BO63" i="91" s="1"/>
  <c r="AX68" i="91"/>
  <c r="EE67" i="91"/>
  <c r="EE63" i="91" s="1"/>
  <c r="ED67" i="91"/>
  <c r="ED63" i="91" s="1"/>
  <c r="EC67" i="91"/>
  <c r="EB67" i="91"/>
  <c r="EB63" i="91" s="1"/>
  <c r="DZ67" i="91"/>
  <c r="DY67" i="91"/>
  <c r="DW67" i="91"/>
  <c r="DW63" i="91" s="1"/>
  <c r="DV67" i="91"/>
  <c r="DV63" i="91" s="1"/>
  <c r="DU67" i="91"/>
  <c r="DT67" i="91"/>
  <c r="DT63" i="91" s="1"/>
  <c r="DR67" i="91"/>
  <c r="DR63" i="91" s="1"/>
  <c r="DO67" i="91"/>
  <c r="DO63" i="91" s="1"/>
  <c r="DN67" i="91"/>
  <c r="DM67" i="91"/>
  <c r="DM63" i="91" s="1"/>
  <c r="DL67" i="91"/>
  <c r="DL63" i="91" s="1"/>
  <c r="DJ67" i="91"/>
  <c r="DJ63" i="91" s="1"/>
  <c r="DG67" i="91"/>
  <c r="DG63" i="91" s="1"/>
  <c r="DE67" i="91"/>
  <c r="DD67" i="91"/>
  <c r="DD63" i="91" s="1"/>
  <c r="DB67" i="91"/>
  <c r="DA67" i="91"/>
  <c r="CY67" i="91"/>
  <c r="CY63" i="91" s="1"/>
  <c r="CX67" i="91"/>
  <c r="CX63" i="91" s="1"/>
  <c r="CW67" i="91"/>
  <c r="CV67" i="91"/>
  <c r="CV63" i="91" s="1"/>
  <c r="CT67" i="91"/>
  <c r="CS67" i="91"/>
  <c r="CQ67" i="91"/>
  <c r="CQ63" i="91" s="1"/>
  <c r="CP67" i="91"/>
  <c r="CO67" i="91"/>
  <c r="CN67" i="91"/>
  <c r="CN63" i="91" s="1"/>
  <c r="CL67" i="91"/>
  <c r="CL63" i="91" s="1"/>
  <c r="CI67" i="91"/>
  <c r="CI63" i="91" s="1"/>
  <c r="CH67" i="91"/>
  <c r="CH63" i="91" s="1"/>
  <c r="CG67" i="91"/>
  <c r="CG63" i="91" s="1"/>
  <c r="CF67" i="91"/>
  <c r="CF63" i="91" s="1"/>
  <c r="CD67" i="91"/>
  <c r="CD63" i="91" s="1"/>
  <c r="CA67" i="91"/>
  <c r="CA63" i="91" s="1"/>
  <c r="CA72" i="91" s="1"/>
  <c r="BY67" i="91"/>
  <c r="BX67" i="91"/>
  <c r="BX63" i="91" s="1"/>
  <c r="BV67" i="91"/>
  <c r="BV63" i="91" s="1"/>
  <c r="BU67" i="91"/>
  <c r="BS67" i="91"/>
  <c r="BS63" i="91" s="1"/>
  <c r="BR67" i="91"/>
  <c r="BQ67" i="91"/>
  <c r="BP67" i="91"/>
  <c r="BP63" i="91" s="1"/>
  <c r="BN67" i="91"/>
  <c r="BN63" i="91" s="1"/>
  <c r="BM67" i="91"/>
  <c r="AZ67" i="91"/>
  <c r="AY67" i="91"/>
  <c r="AW67" i="91"/>
  <c r="AV67" i="91"/>
  <c r="AU67" i="91"/>
  <c r="AT67" i="91"/>
  <c r="AS67" i="91"/>
  <c r="AR67" i="91"/>
  <c r="AQ67" i="91"/>
  <c r="AP67" i="91"/>
  <c r="AO67" i="91"/>
  <c r="EF64" i="91"/>
  <c r="LL64" i="91" s="1"/>
  <c r="EC64" i="91"/>
  <c r="EA64" i="91"/>
  <c r="DZ63" i="91"/>
  <c r="DX64" i="91"/>
  <c r="DU64" i="91"/>
  <c r="DS64" i="91"/>
  <c r="DR64" i="91"/>
  <c r="DQ64" i="91"/>
  <c r="DP64" i="91"/>
  <c r="DN63" i="91"/>
  <c r="DM64" i="91"/>
  <c r="DK64" i="91"/>
  <c r="DJ64" i="91"/>
  <c r="DE64" i="91"/>
  <c r="DC64" i="91"/>
  <c r="DB64" i="91"/>
  <c r="DA64" i="91"/>
  <c r="CW64" i="91"/>
  <c r="CT64" i="91"/>
  <c r="CR64" i="91"/>
  <c r="CP64" i="91"/>
  <c r="CO64" i="91"/>
  <c r="CG64" i="91"/>
  <c r="CB64" i="91"/>
  <c r="BZ64" i="91"/>
  <c r="BY64" i="91"/>
  <c r="BW63" i="91"/>
  <c r="BR64" i="91"/>
  <c r="BQ64" i="91"/>
  <c r="BO64" i="91"/>
  <c r="BM64" i="91"/>
  <c r="AZ65" i="91"/>
  <c r="EE64" i="91"/>
  <c r="ED64" i="91"/>
  <c r="EB64" i="91"/>
  <c r="DZ64" i="91"/>
  <c r="DY64" i="91"/>
  <c r="DW64" i="91"/>
  <c r="DV64" i="91"/>
  <c r="DT64" i="91"/>
  <c r="DO64" i="91"/>
  <c r="DN64" i="91"/>
  <c r="DL64" i="91"/>
  <c r="DI64" i="91"/>
  <c r="DH64" i="91"/>
  <c r="DG64" i="91"/>
  <c r="DF64" i="91"/>
  <c r="DD64" i="91"/>
  <c r="CZ64" i="91"/>
  <c r="CY64" i="91"/>
  <c r="CV64" i="91"/>
  <c r="CU64" i="91"/>
  <c r="CS64" i="91"/>
  <c r="CQ64" i="91"/>
  <c r="CN64" i="91"/>
  <c r="CM64" i="91"/>
  <c r="CL64" i="91"/>
  <c r="CK64" i="91"/>
  <c r="CJ64" i="91"/>
  <c r="CI64" i="91"/>
  <c r="CH64" i="91"/>
  <c r="CF64" i="91"/>
  <c r="CD64" i="91"/>
  <c r="CC64" i="91"/>
  <c r="CA64" i="91"/>
  <c r="BX64" i="91"/>
  <c r="BU64" i="91"/>
  <c r="BT64" i="91"/>
  <c r="BS64" i="91"/>
  <c r="BP64" i="91"/>
  <c r="AY64" i="91"/>
  <c r="AX64" i="91"/>
  <c r="AW64" i="91"/>
  <c r="AV64" i="91"/>
  <c r="AU64" i="91"/>
  <c r="AU63" i="91" s="1"/>
  <c r="AT64" i="91"/>
  <c r="AS64" i="91"/>
  <c r="AR64" i="91"/>
  <c r="AQ64" i="91"/>
  <c r="AP64" i="91"/>
  <c r="AO64" i="91"/>
  <c r="CP63" i="91"/>
  <c r="BL63" i="91"/>
  <c r="BK63" i="91"/>
  <c r="BJ63" i="91"/>
  <c r="BI63" i="91"/>
  <c r="BH63" i="91"/>
  <c r="BG63" i="91"/>
  <c r="BF63" i="91"/>
  <c r="BE63" i="91"/>
  <c r="BD63" i="91"/>
  <c r="BC63" i="91"/>
  <c r="BB63" i="91"/>
  <c r="BA63" i="91"/>
  <c r="AN63" i="91"/>
  <c r="AM63" i="91"/>
  <c r="AL63" i="91"/>
  <c r="AK63" i="91"/>
  <c r="AJ63" i="91"/>
  <c r="AI63" i="91"/>
  <c r="AH63" i="91"/>
  <c r="AG63" i="91"/>
  <c r="AF63" i="91"/>
  <c r="AE63" i="91"/>
  <c r="AD63" i="91"/>
  <c r="AC63" i="91"/>
  <c r="AB63" i="91"/>
  <c r="AA63" i="91"/>
  <c r="Z63" i="91"/>
  <c r="Y63" i="91"/>
  <c r="X63" i="91"/>
  <c r="W63" i="91"/>
  <c r="V63" i="91"/>
  <c r="U63" i="91"/>
  <c r="T63" i="91"/>
  <c r="S63" i="91"/>
  <c r="R63" i="91"/>
  <c r="Q63" i="91"/>
  <c r="P63" i="91"/>
  <c r="O63" i="91"/>
  <c r="N63" i="91"/>
  <c r="M63" i="91"/>
  <c r="L63" i="91"/>
  <c r="K63" i="91"/>
  <c r="J63" i="91"/>
  <c r="I63" i="91"/>
  <c r="H63" i="91"/>
  <c r="G63" i="91"/>
  <c r="F63" i="91"/>
  <c r="E63" i="91"/>
  <c r="ED47" i="91"/>
  <c r="ED42" i="91" s="1"/>
  <c r="EB47" i="91"/>
  <c r="EB42" i="91" s="1"/>
  <c r="DV47" i="91"/>
  <c r="DV42" i="91" s="1"/>
  <c r="DT47" i="91"/>
  <c r="DT42" i="91" s="1"/>
  <c r="DN47" i="91"/>
  <c r="DN42" i="91" s="1"/>
  <c r="DL47" i="91"/>
  <c r="DL42" i="91" s="1"/>
  <c r="DF47" i="91"/>
  <c r="DF42" i="91" s="1"/>
  <c r="DD47" i="91"/>
  <c r="DD42" i="91" s="1"/>
  <c r="CX47" i="91"/>
  <c r="CX42" i="91" s="1"/>
  <c r="CV47" i="91"/>
  <c r="CV42" i="91" s="1"/>
  <c r="CP47" i="91"/>
  <c r="CP42" i="91" s="1"/>
  <c r="CN47" i="91"/>
  <c r="CN42" i="91" s="1"/>
  <c r="CH47" i="91"/>
  <c r="CH42" i="91" s="1"/>
  <c r="CF47" i="91"/>
  <c r="CF42" i="91" s="1"/>
  <c r="BZ47" i="91"/>
  <c r="BZ42" i="91" s="1"/>
  <c r="BX47" i="91"/>
  <c r="BX42" i="91" s="1"/>
  <c r="AZ57" i="91"/>
  <c r="JD57" i="91" s="1"/>
  <c r="EE47" i="91"/>
  <c r="EE42" i="91" s="1"/>
  <c r="EA47" i="91"/>
  <c r="EA42" i="91" s="1"/>
  <c r="DZ47" i="91"/>
  <c r="DZ42" i="91" s="1"/>
  <c r="DW47" i="91"/>
  <c r="DW42" i="91" s="1"/>
  <c r="DS47" i="91"/>
  <c r="DS42" i="91" s="1"/>
  <c r="DR47" i="91"/>
  <c r="DR42" i="91" s="1"/>
  <c r="DO47" i="91"/>
  <c r="DO42" i="91" s="1"/>
  <c r="DK47" i="91"/>
  <c r="DK42" i="91" s="1"/>
  <c r="DJ47" i="91"/>
  <c r="DJ42" i="91" s="1"/>
  <c r="DG47" i="91"/>
  <c r="DG42" i="91" s="1"/>
  <c r="DC47" i="91"/>
  <c r="DC42" i="91" s="1"/>
  <c r="DB47" i="91"/>
  <c r="DB42" i="91" s="1"/>
  <c r="CY47" i="91"/>
  <c r="CY42" i="91" s="1"/>
  <c r="CU47" i="91"/>
  <c r="CU42" i="91" s="1"/>
  <c r="CT47" i="91"/>
  <c r="CT42" i="91" s="1"/>
  <c r="CQ47" i="91"/>
  <c r="CQ42" i="91" s="1"/>
  <c r="CM47" i="91"/>
  <c r="CM42" i="91" s="1"/>
  <c r="CL47" i="91"/>
  <c r="CL42" i="91" s="1"/>
  <c r="CI47" i="91"/>
  <c r="CI42" i="91" s="1"/>
  <c r="CE47" i="91"/>
  <c r="CE42" i="91" s="1"/>
  <c r="CD47" i="91"/>
  <c r="CD42" i="91" s="1"/>
  <c r="CA47" i="91"/>
  <c r="CA42" i="91" s="1"/>
  <c r="BW47" i="91"/>
  <c r="BW42" i="91" s="1"/>
  <c r="BV47" i="91"/>
  <c r="BV42" i="91" s="1"/>
  <c r="BS47" i="91"/>
  <c r="BS42" i="91" s="1"/>
  <c r="BO47" i="91"/>
  <c r="BO42" i="91" s="1"/>
  <c r="BN47" i="91"/>
  <c r="BN42" i="91" s="1"/>
  <c r="AZ48" i="91"/>
  <c r="JD48" i="91" s="1"/>
  <c r="EF47" i="91"/>
  <c r="LL47" i="91" s="1"/>
  <c r="EC47" i="91"/>
  <c r="EC42" i="91" s="1"/>
  <c r="DY47" i="91"/>
  <c r="DY42" i="91" s="1"/>
  <c r="DX47" i="91"/>
  <c r="DX42" i="91" s="1"/>
  <c r="DU47" i="91"/>
  <c r="DQ47" i="91"/>
  <c r="DQ42" i="91" s="1"/>
  <c r="DP47" i="91"/>
  <c r="DP42" i="91" s="1"/>
  <c r="DM47" i="91"/>
  <c r="DM42" i="91" s="1"/>
  <c r="DI47" i="91"/>
  <c r="DH47" i="91"/>
  <c r="DH42" i="91" s="1"/>
  <c r="DE47" i="91"/>
  <c r="DE42" i="91" s="1"/>
  <c r="DA47" i="91"/>
  <c r="DA42" i="91" s="1"/>
  <c r="CZ47" i="91"/>
  <c r="CZ42" i="91" s="1"/>
  <c r="CW47" i="91"/>
  <c r="CW42" i="91" s="1"/>
  <c r="CS47" i="91"/>
  <c r="CS42" i="91" s="1"/>
  <c r="CR47" i="91"/>
  <c r="CR42" i="91" s="1"/>
  <c r="CO47" i="91"/>
  <c r="CO42" i="91" s="1"/>
  <c r="CK47" i="91"/>
  <c r="CJ47" i="91"/>
  <c r="CJ42" i="91" s="1"/>
  <c r="CG47" i="91"/>
  <c r="CG42" i="91" s="1"/>
  <c r="CC47" i="91"/>
  <c r="CC42" i="91" s="1"/>
  <c r="CB47" i="91"/>
  <c r="CB42" i="91" s="1"/>
  <c r="BY47" i="91"/>
  <c r="BY42" i="91" s="1"/>
  <c r="BU47" i="91"/>
  <c r="BU42" i="91" s="1"/>
  <c r="BT47" i="91"/>
  <c r="BT42" i="91" s="1"/>
  <c r="BR47" i="91"/>
  <c r="BR42" i="91" s="1"/>
  <c r="BQ47" i="91"/>
  <c r="BQ42" i="91" s="1"/>
  <c r="BP47" i="91"/>
  <c r="BP42" i="91" s="1"/>
  <c r="BM47" i="91"/>
  <c r="BL47" i="91"/>
  <c r="BL42" i="91" s="1"/>
  <c r="BK47" i="91"/>
  <c r="BK42" i="91" s="1"/>
  <c r="BJ47" i="91"/>
  <c r="BJ42" i="91" s="1"/>
  <c r="BI47" i="91"/>
  <c r="BI42" i="91" s="1"/>
  <c r="BH47" i="91"/>
  <c r="BH42" i="91" s="1"/>
  <c r="BG47" i="91"/>
  <c r="BG42" i="91" s="1"/>
  <c r="BF47" i="91"/>
  <c r="BF42" i="91" s="1"/>
  <c r="BE47" i="91"/>
  <c r="BE42" i="91" s="1"/>
  <c r="BD47" i="91"/>
  <c r="BD42" i="91" s="1"/>
  <c r="BC47" i="91"/>
  <c r="BC42" i="91" s="1"/>
  <c r="BB47" i="91"/>
  <c r="BB42" i="91" s="1"/>
  <c r="BA47" i="91"/>
  <c r="AY47" i="91"/>
  <c r="AY42" i="91" s="1"/>
  <c r="AX47" i="91"/>
  <c r="AX42" i="91" s="1"/>
  <c r="AW47" i="91"/>
  <c r="AW42" i="91" s="1"/>
  <c r="AV47" i="91"/>
  <c r="AV42" i="91" s="1"/>
  <c r="AU47" i="91"/>
  <c r="AU42" i="91" s="1"/>
  <c r="AT47" i="91"/>
  <c r="AT42" i="91" s="1"/>
  <c r="AS47" i="91"/>
  <c r="AS42" i="91" s="1"/>
  <c r="AR47" i="91"/>
  <c r="AR42" i="91" s="1"/>
  <c r="AQ47" i="91"/>
  <c r="AQ42" i="91" s="1"/>
  <c r="AP47" i="91"/>
  <c r="AP42" i="91" s="1"/>
  <c r="AO47" i="91"/>
  <c r="AO42" i="91"/>
  <c r="AN42" i="91"/>
  <c r="AM42" i="91"/>
  <c r="AL42" i="91"/>
  <c r="AK42" i="91"/>
  <c r="AJ42" i="91"/>
  <c r="AI42" i="91"/>
  <c r="AH42" i="91"/>
  <c r="AG42" i="91"/>
  <c r="AF42" i="91"/>
  <c r="AE42" i="91"/>
  <c r="AD42" i="91"/>
  <c r="AC42" i="91"/>
  <c r="AB42" i="91"/>
  <c r="AA42" i="91"/>
  <c r="Z42" i="91"/>
  <c r="Y42" i="91"/>
  <c r="X42" i="91"/>
  <c r="W42" i="91"/>
  <c r="V42" i="91"/>
  <c r="U42" i="91"/>
  <c r="T42" i="91"/>
  <c r="S42" i="91"/>
  <c r="R42" i="91"/>
  <c r="Q42" i="91"/>
  <c r="JB42" i="91" s="1"/>
  <c r="P42" i="91"/>
  <c r="O42" i="91"/>
  <c r="N42" i="91"/>
  <c r="M42" i="91"/>
  <c r="L42" i="91"/>
  <c r="K42" i="91"/>
  <c r="J42" i="91"/>
  <c r="I42" i="91"/>
  <c r="H42" i="91"/>
  <c r="G42" i="91"/>
  <c r="F42" i="91"/>
  <c r="E42" i="91"/>
  <c r="CW31" i="91"/>
  <c r="CR31" i="91"/>
  <c r="CR21" i="91" s="1"/>
  <c r="CQ31" i="91"/>
  <c r="CQ21" i="91" s="1"/>
  <c r="CN31" i="91"/>
  <c r="CN21" i="91" s="1"/>
  <c r="CF31" i="91"/>
  <c r="CF21" i="91" s="1"/>
  <c r="CA31" i="91"/>
  <c r="CA21" i="91" s="1"/>
  <c r="CO31" i="91"/>
  <c r="CO21" i="91" s="1"/>
  <c r="DJ31" i="91"/>
  <c r="DJ21" i="91" s="1"/>
  <c r="CG31" i="91"/>
  <c r="CG21" i="91" s="1"/>
  <c r="EF21" i="91"/>
  <c r="LM21" i="91" s="1"/>
  <c r="EE21" i="91"/>
  <c r="ED21" i="91"/>
  <c r="EC21" i="91"/>
  <c r="EB21" i="91"/>
  <c r="EA21" i="91"/>
  <c r="DZ21" i="91"/>
  <c r="DY21" i="91"/>
  <c r="DX21" i="91"/>
  <c r="DV21" i="91"/>
  <c r="DU21" i="91"/>
  <c r="DT31" i="91"/>
  <c r="DT21" i="91" s="1"/>
  <c r="DS31" i="91"/>
  <c r="DS21" i="91" s="1"/>
  <c r="DR31" i="91"/>
  <c r="DR21" i="91" s="1"/>
  <c r="DQ31" i="91"/>
  <c r="DQ21" i="91" s="1"/>
  <c r="DP31" i="91"/>
  <c r="DP21" i="91" s="1"/>
  <c r="DO31" i="91"/>
  <c r="DO21" i="91" s="1"/>
  <c r="DN31" i="91"/>
  <c r="DN21" i="91" s="1"/>
  <c r="DM31" i="91"/>
  <c r="DM21" i="91" s="1"/>
  <c r="DL31" i="91"/>
  <c r="DL21" i="91" s="1"/>
  <c r="DK31" i="91"/>
  <c r="DK21" i="91" s="1"/>
  <c r="DI31" i="91"/>
  <c r="DI21" i="91" s="1"/>
  <c r="DH31" i="91"/>
  <c r="DH21" i="91" s="1"/>
  <c r="DG31" i="91"/>
  <c r="DG21" i="91" s="1"/>
  <c r="DF31" i="91"/>
  <c r="DF21" i="91" s="1"/>
  <c r="DE31" i="91"/>
  <c r="DE21" i="91" s="1"/>
  <c r="DD31" i="91"/>
  <c r="DD21" i="91" s="1"/>
  <c r="DC31" i="91"/>
  <c r="DC21" i="91" s="1"/>
  <c r="DB31" i="91"/>
  <c r="DA31" i="91"/>
  <c r="DA21" i="91" s="1"/>
  <c r="CZ31" i="91"/>
  <c r="CZ21" i="91" s="1"/>
  <c r="CY31" i="91"/>
  <c r="CY21" i="91" s="1"/>
  <c r="CX31" i="91"/>
  <c r="CX21" i="91" s="1"/>
  <c r="CV31" i="91"/>
  <c r="CV21" i="91" s="1"/>
  <c r="CU31" i="91"/>
  <c r="CU21" i="91" s="1"/>
  <c r="CT31" i="91"/>
  <c r="CT21" i="91" s="1"/>
  <c r="CS31" i="91"/>
  <c r="CS21" i="91" s="1"/>
  <c r="CP31" i="91"/>
  <c r="CP21" i="91" s="1"/>
  <c r="CM31" i="91"/>
  <c r="CM21" i="91" s="1"/>
  <c r="CL31" i="91"/>
  <c r="CK31" i="91"/>
  <c r="CK21" i="91" s="1"/>
  <c r="CJ31" i="91"/>
  <c r="CJ21" i="91" s="1"/>
  <c r="CI31" i="91"/>
  <c r="CH31" i="91"/>
  <c r="CH21" i="91" s="1"/>
  <c r="CE31" i="91"/>
  <c r="CD31" i="91"/>
  <c r="CD21" i="91" s="1"/>
  <c r="CC31" i="91"/>
  <c r="CC21" i="91" s="1"/>
  <c r="CB31" i="91"/>
  <c r="CB21" i="91" s="1"/>
  <c r="BZ31" i="91"/>
  <c r="BZ21" i="91" s="1"/>
  <c r="BY31" i="91"/>
  <c r="BX31" i="91"/>
  <c r="BX21" i="91" s="1"/>
  <c r="BW31" i="91"/>
  <c r="BW21" i="91" s="1"/>
  <c r="BV31" i="91"/>
  <c r="BV21" i="91" s="1"/>
  <c r="BU31" i="91"/>
  <c r="BU21" i="91" s="1"/>
  <c r="BT31" i="91"/>
  <c r="BT21" i="91" s="1"/>
  <c r="BS31" i="91"/>
  <c r="BS21" i="91" s="1"/>
  <c r="BR31" i="91"/>
  <c r="BR21" i="91" s="1"/>
  <c r="BQ31" i="91"/>
  <c r="BQ21" i="91" s="1"/>
  <c r="BP31" i="91"/>
  <c r="BP21" i="91" s="1"/>
  <c r="BO31" i="91"/>
  <c r="BO21" i="91" s="1"/>
  <c r="BN31" i="91"/>
  <c r="BN21" i="91" s="1"/>
  <c r="BM31" i="91"/>
  <c r="BL31" i="91"/>
  <c r="BL21" i="91" s="1"/>
  <c r="BK31" i="91"/>
  <c r="BK21" i="91" s="1"/>
  <c r="BJ31" i="91"/>
  <c r="BJ21" i="91" s="1"/>
  <c r="BI31" i="91"/>
  <c r="BI21" i="91" s="1"/>
  <c r="BH31" i="91"/>
  <c r="BH21" i="91" s="1"/>
  <c r="BG31" i="91"/>
  <c r="BG21" i="91" s="1"/>
  <c r="BF31" i="91"/>
  <c r="BF21" i="91" s="1"/>
  <c r="BE31" i="91"/>
  <c r="BE21" i="91" s="1"/>
  <c r="BD31" i="91"/>
  <c r="BD21" i="91" s="1"/>
  <c r="BC31" i="91"/>
  <c r="BC21" i="91" s="1"/>
  <c r="BB31" i="91"/>
  <c r="BB21" i="91" s="1"/>
  <c r="BA31" i="91"/>
  <c r="JE31" i="91" s="1"/>
  <c r="AZ31" i="91"/>
  <c r="AZ21" i="91" s="1"/>
  <c r="AY31" i="91"/>
  <c r="AY21" i="91" s="1"/>
  <c r="AX31" i="91"/>
  <c r="AW31" i="91"/>
  <c r="AW21" i="91" s="1"/>
  <c r="AV31" i="91"/>
  <c r="AV21" i="91" s="1"/>
  <c r="AU31" i="91"/>
  <c r="AU21" i="91" s="1"/>
  <c r="AT31" i="91"/>
  <c r="AT21" i="91" s="1"/>
  <c r="AS31" i="91"/>
  <c r="AS21" i="91" s="1"/>
  <c r="AR31" i="91"/>
  <c r="AR21" i="91" s="1"/>
  <c r="AQ31" i="91"/>
  <c r="AQ21" i="91" s="1"/>
  <c r="AP31" i="91"/>
  <c r="AP21" i="91" s="1"/>
  <c r="AO31" i="91"/>
  <c r="DW21" i="91"/>
  <c r="DB21" i="91"/>
  <c r="CL21" i="91"/>
  <c r="CI21" i="91"/>
  <c r="CE21" i="91"/>
  <c r="AX21" i="91"/>
  <c r="AN21" i="91"/>
  <c r="AM21" i="91"/>
  <c r="AL21" i="91"/>
  <c r="AK21" i="91"/>
  <c r="AJ21" i="91"/>
  <c r="AI21" i="91"/>
  <c r="AH21" i="91"/>
  <c r="AG21" i="91"/>
  <c r="AF21" i="91"/>
  <c r="AE21" i="91"/>
  <c r="AD21" i="91"/>
  <c r="AC21" i="91"/>
  <c r="AB21" i="91"/>
  <c r="AA21" i="91"/>
  <c r="Z21" i="91"/>
  <c r="Y21" i="91"/>
  <c r="X21" i="91"/>
  <c r="W21" i="91"/>
  <c r="V21" i="91"/>
  <c r="U21" i="91"/>
  <c r="T21" i="91"/>
  <c r="S21" i="91"/>
  <c r="R21" i="91"/>
  <c r="Q21" i="91"/>
  <c r="P21" i="91"/>
  <c r="O21" i="91"/>
  <c r="N21" i="91"/>
  <c r="M21" i="91"/>
  <c r="L21" i="91"/>
  <c r="K21" i="91"/>
  <c r="J21" i="91"/>
  <c r="I21" i="91"/>
  <c r="H21" i="91"/>
  <c r="G21" i="91"/>
  <c r="F21" i="91"/>
  <c r="E21" i="91"/>
  <c r="CR15" i="91"/>
  <c r="CR14" i="91" s="1"/>
  <c r="CR11" i="91" s="1"/>
  <c r="CJ15" i="91"/>
  <c r="CJ14" i="91" s="1"/>
  <c r="CJ11" i="91" s="1"/>
  <c r="CB15" i="91"/>
  <c r="CB14" i="91" s="1"/>
  <c r="CB11" i="91" s="1"/>
  <c r="BT15" i="91"/>
  <c r="BT14" i="91" s="1"/>
  <c r="BT11" i="91" s="1"/>
  <c r="EF15" i="91"/>
  <c r="EF14" i="91" s="1"/>
  <c r="EF11" i="91" s="1"/>
  <c r="LL11" i="91" s="1"/>
  <c r="EE15" i="91"/>
  <c r="EE14" i="91" s="1"/>
  <c r="EE11" i="91" s="1"/>
  <c r="ED15" i="91"/>
  <c r="ED14" i="91" s="1"/>
  <c r="ED11" i="91" s="1"/>
  <c r="EC15" i="91"/>
  <c r="EC14" i="91" s="1"/>
  <c r="EC11" i="91" s="1"/>
  <c r="EB15" i="91"/>
  <c r="EB14" i="91" s="1"/>
  <c r="EA15" i="91"/>
  <c r="EA14" i="91" s="1"/>
  <c r="EA11" i="91" s="1"/>
  <c r="DZ15" i="91"/>
  <c r="DZ14" i="91" s="1"/>
  <c r="DZ11" i="91" s="1"/>
  <c r="DY15" i="91"/>
  <c r="DY14" i="91" s="1"/>
  <c r="DY11" i="91" s="1"/>
  <c r="DX15" i="91"/>
  <c r="DX14" i="91" s="1"/>
  <c r="DX11" i="91" s="1"/>
  <c r="DW15" i="91"/>
  <c r="DW14" i="91" s="1"/>
  <c r="DW11" i="91" s="1"/>
  <c r="DV15" i="91"/>
  <c r="DV14" i="91" s="1"/>
  <c r="DV11" i="91" s="1"/>
  <c r="DU15" i="91"/>
  <c r="DU14" i="91" s="1"/>
  <c r="DU11" i="91" s="1"/>
  <c r="DT15" i="91"/>
  <c r="DT14" i="91" s="1"/>
  <c r="DT11" i="91" s="1"/>
  <c r="DS15" i="91"/>
  <c r="DS14" i="91" s="1"/>
  <c r="DS11" i="91" s="1"/>
  <c r="DR15" i="91"/>
  <c r="DR14" i="91" s="1"/>
  <c r="DR11" i="91" s="1"/>
  <c r="DQ15" i="91"/>
  <c r="DQ14" i="91" s="1"/>
  <c r="DQ11" i="91" s="1"/>
  <c r="DP15" i="91"/>
  <c r="DP14" i="91" s="1"/>
  <c r="DP11" i="91" s="1"/>
  <c r="DO15" i="91"/>
  <c r="DO14" i="91" s="1"/>
  <c r="DO11" i="91" s="1"/>
  <c r="DN15" i="91"/>
  <c r="DN14" i="91" s="1"/>
  <c r="DN11" i="91" s="1"/>
  <c r="DM15" i="91"/>
  <c r="DM14" i="91" s="1"/>
  <c r="DM11" i="91" s="1"/>
  <c r="DL15" i="91"/>
  <c r="DL14" i="91" s="1"/>
  <c r="DL11" i="91" s="1"/>
  <c r="DK15" i="91"/>
  <c r="DK14" i="91" s="1"/>
  <c r="DK11" i="91" s="1"/>
  <c r="DJ15" i="91"/>
  <c r="DJ14" i="91" s="1"/>
  <c r="DJ11" i="91" s="1"/>
  <c r="DI15" i="91"/>
  <c r="DH15" i="91"/>
  <c r="DH14" i="91" s="1"/>
  <c r="DH11" i="91" s="1"/>
  <c r="LJ11" i="91" s="1"/>
  <c r="DG15" i="91"/>
  <c r="DG14" i="91" s="1"/>
  <c r="DG11" i="91" s="1"/>
  <c r="DF15" i="91"/>
  <c r="DF14" i="91" s="1"/>
  <c r="DF11" i="91" s="1"/>
  <c r="DE15" i="91"/>
  <c r="DE14" i="91" s="1"/>
  <c r="DE11" i="91" s="1"/>
  <c r="DD15" i="91"/>
  <c r="DD14" i="91" s="1"/>
  <c r="DD11" i="91" s="1"/>
  <c r="DC15" i="91"/>
  <c r="DC14" i="91" s="1"/>
  <c r="DC11" i="91" s="1"/>
  <c r="DB15" i="91"/>
  <c r="DB14" i="91" s="1"/>
  <c r="DB11" i="91" s="1"/>
  <c r="DA15" i="91"/>
  <c r="DA14" i="91" s="1"/>
  <c r="DA11" i="91" s="1"/>
  <c r="CZ15" i="91"/>
  <c r="CZ14" i="91" s="1"/>
  <c r="CZ11" i="91" s="1"/>
  <c r="CY15" i="91"/>
  <c r="CY14" i="91" s="1"/>
  <c r="CY11" i="91" s="1"/>
  <c r="CX15" i="91"/>
  <c r="CX14" i="91" s="1"/>
  <c r="CX11" i="91" s="1"/>
  <c r="CW15" i="91"/>
  <c r="CW14" i="91" s="1"/>
  <c r="CW11" i="91" s="1"/>
  <c r="CV15" i="91"/>
  <c r="CV14" i="91" s="1"/>
  <c r="CV11" i="91" s="1"/>
  <c r="LI11" i="91" s="1"/>
  <c r="CU15" i="91"/>
  <c r="CU14" i="91" s="1"/>
  <c r="CU11" i="91" s="1"/>
  <c r="CT15" i="91"/>
  <c r="CT14" i="91" s="1"/>
  <c r="CT11" i="91" s="1"/>
  <c r="CS15" i="91"/>
  <c r="CS14" i="91" s="1"/>
  <c r="CS11" i="91" s="1"/>
  <c r="CQ15" i="91"/>
  <c r="CQ14" i="91" s="1"/>
  <c r="CQ11" i="91" s="1"/>
  <c r="CP15" i="91"/>
  <c r="CP14" i="91" s="1"/>
  <c r="CP11" i="91" s="1"/>
  <c r="CO15" i="91"/>
  <c r="CO14" i="91" s="1"/>
  <c r="CO11" i="91" s="1"/>
  <c r="CN15" i="91"/>
  <c r="CN14" i="91" s="1"/>
  <c r="CN11" i="91" s="1"/>
  <c r="CM15" i="91"/>
  <c r="CM14" i="91" s="1"/>
  <c r="CM11" i="91" s="1"/>
  <c r="CL15" i="91"/>
  <c r="CL14" i="91" s="1"/>
  <c r="CL11" i="91" s="1"/>
  <c r="CK15" i="91"/>
  <c r="CK14" i="91" s="1"/>
  <c r="CK11" i="91" s="1"/>
  <c r="CI15" i="91"/>
  <c r="CH15" i="91"/>
  <c r="CH14" i="91" s="1"/>
  <c r="CH11" i="91" s="1"/>
  <c r="CG15" i="91"/>
  <c r="CG14" i="91" s="1"/>
  <c r="CG11" i="91" s="1"/>
  <c r="CF15" i="91"/>
  <c r="CF14" i="91" s="1"/>
  <c r="CF11" i="91" s="1"/>
  <c r="CE15" i="91"/>
  <c r="CE14" i="91" s="1"/>
  <c r="CE11" i="91" s="1"/>
  <c r="CD15" i="91"/>
  <c r="CD14" i="91" s="1"/>
  <c r="CD11" i="91" s="1"/>
  <c r="CC15" i="91"/>
  <c r="CC14" i="91" s="1"/>
  <c r="CC11" i="91" s="1"/>
  <c r="CA15" i="91"/>
  <c r="CA14" i="91" s="1"/>
  <c r="CA11" i="91" s="1"/>
  <c r="BZ15" i="91"/>
  <c r="BZ14" i="91" s="1"/>
  <c r="BZ11" i="91" s="1"/>
  <c r="BY15" i="91"/>
  <c r="BX15" i="91"/>
  <c r="BX14" i="91" s="1"/>
  <c r="BX11" i="91" s="1"/>
  <c r="BW15" i="91"/>
  <c r="BW14" i="91" s="1"/>
  <c r="BW11" i="91" s="1"/>
  <c r="BV15" i="91"/>
  <c r="BV14" i="91" s="1"/>
  <c r="BV11" i="91" s="1"/>
  <c r="BU15" i="91"/>
  <c r="BU14" i="91" s="1"/>
  <c r="BU11" i="91" s="1"/>
  <c r="BS15" i="91"/>
  <c r="BS14" i="91" s="1"/>
  <c r="BS11" i="91" s="1"/>
  <c r="BR15" i="91"/>
  <c r="BR14" i="91" s="1"/>
  <c r="BR11" i="91" s="1"/>
  <c r="BQ15" i="91"/>
  <c r="BQ14" i="91" s="1"/>
  <c r="BQ11" i="91" s="1"/>
  <c r="BP15" i="91"/>
  <c r="BP14" i="91" s="1"/>
  <c r="BP11" i="91" s="1"/>
  <c r="BO15" i="91"/>
  <c r="BO14" i="91" s="1"/>
  <c r="BO11" i="91" s="1"/>
  <c r="BN15" i="91"/>
  <c r="BN14" i="91" s="1"/>
  <c r="BN11" i="91" s="1"/>
  <c r="BM15" i="91"/>
  <c r="BM14" i="91" s="1"/>
  <c r="BM11" i="91" s="1"/>
  <c r="BL15" i="91"/>
  <c r="BL14" i="91" s="1"/>
  <c r="BL11" i="91" s="1"/>
  <c r="BK15" i="91"/>
  <c r="BK14" i="91" s="1"/>
  <c r="BK11" i="91" s="1"/>
  <c r="BJ15" i="91"/>
  <c r="BJ14" i="91" s="1"/>
  <c r="BJ11" i="91" s="1"/>
  <c r="BI15" i="91"/>
  <c r="BI14" i="91" s="1"/>
  <c r="BI11" i="91" s="1"/>
  <c r="BH15" i="91"/>
  <c r="BH14" i="91" s="1"/>
  <c r="BH11" i="91" s="1"/>
  <c r="BG15" i="91"/>
  <c r="BG14" i="91" s="1"/>
  <c r="BG11" i="91" s="1"/>
  <c r="BF15" i="91"/>
  <c r="BF14" i="91" s="1"/>
  <c r="BF11" i="91" s="1"/>
  <c r="BE15" i="91"/>
  <c r="BE14" i="91" s="1"/>
  <c r="BE11" i="91" s="1"/>
  <c r="BD15" i="91"/>
  <c r="BD14" i="91" s="1"/>
  <c r="BD11" i="91" s="1"/>
  <c r="BC15" i="91"/>
  <c r="BC14" i="91" s="1"/>
  <c r="BC11" i="91" s="1"/>
  <c r="BB15" i="91"/>
  <c r="BB14" i="91" s="1"/>
  <c r="BB11" i="91" s="1"/>
  <c r="BA15" i="91"/>
  <c r="AO15" i="91"/>
  <c r="JD15" i="91" s="1"/>
  <c r="AN15" i="91"/>
  <c r="CI14" i="91"/>
  <c r="CI11" i="91" s="1"/>
  <c r="AZ14" i="91"/>
  <c r="AZ11" i="91" s="1"/>
  <c r="AY14" i="91"/>
  <c r="AY11" i="91" s="1"/>
  <c r="AX14" i="91"/>
  <c r="AX11" i="91" s="1"/>
  <c r="AW14" i="91"/>
  <c r="AW11" i="91" s="1"/>
  <c r="AV14" i="91"/>
  <c r="AV11" i="91" s="1"/>
  <c r="AU14" i="91"/>
  <c r="AU11" i="91" s="1"/>
  <c r="AT14" i="91"/>
  <c r="AT11" i="91" s="1"/>
  <c r="AS14" i="91"/>
  <c r="AS11" i="91" s="1"/>
  <c r="AR14" i="91"/>
  <c r="AR11" i="91" s="1"/>
  <c r="AQ14" i="91"/>
  <c r="AQ11" i="91" s="1"/>
  <c r="AP14" i="91"/>
  <c r="AP11" i="91" s="1"/>
  <c r="AO14" i="91"/>
  <c r="AM11" i="91"/>
  <c r="AL11" i="91"/>
  <c r="AK11" i="91"/>
  <c r="AJ11" i="91"/>
  <c r="AJ39" i="91" s="1"/>
  <c r="AI11" i="91"/>
  <c r="AI39" i="91" s="1"/>
  <c r="AH11" i="91"/>
  <c r="AG11" i="91"/>
  <c r="AG39" i="91" s="1"/>
  <c r="AF11" i="91"/>
  <c r="AE11" i="91"/>
  <c r="AD11" i="91"/>
  <c r="AC11" i="91"/>
  <c r="AB11" i="91"/>
  <c r="AB39" i="91" s="1"/>
  <c r="AA11" i="91"/>
  <c r="Z11" i="91"/>
  <c r="Y11" i="91"/>
  <c r="X11" i="91"/>
  <c r="W11" i="91"/>
  <c r="V11" i="91"/>
  <c r="U11" i="91"/>
  <c r="T11" i="91"/>
  <c r="T39" i="91" s="1"/>
  <c r="S11" i="91"/>
  <c r="R11" i="91"/>
  <c r="Q11" i="91"/>
  <c r="P11" i="91"/>
  <c r="O11" i="91"/>
  <c r="N11" i="91"/>
  <c r="M11" i="91"/>
  <c r="L11" i="91"/>
  <c r="L39" i="91" s="1"/>
  <c r="K11" i="91"/>
  <c r="J11" i="91"/>
  <c r="I11" i="91"/>
  <c r="H11" i="91"/>
  <c r="G11" i="91"/>
  <c r="F11" i="91"/>
  <c r="E11" i="91"/>
  <c r="N193" i="3" l="1"/>
  <c r="N316" i="3"/>
  <c r="N220" i="3"/>
  <c r="N322" i="3"/>
  <c r="N329" i="3"/>
  <c r="N221" i="3"/>
  <c r="N222" i="3"/>
  <c r="N199" i="3"/>
  <c r="N191" i="3"/>
  <c r="N217" i="3"/>
  <c r="N115" i="3"/>
  <c r="O113" i="3" s="1"/>
  <c r="N327" i="3"/>
  <c r="N200" i="3"/>
  <c r="N215" i="3"/>
  <c r="N218" i="3"/>
  <c r="N229" i="3" s="1"/>
  <c r="N321" i="3"/>
  <c r="N192" i="3"/>
  <c r="N216" i="3"/>
  <c r="N219" i="3"/>
  <c r="N29" i="3"/>
  <c r="N240" i="3"/>
  <c r="N239" i="3"/>
  <c r="N244" i="3"/>
  <c r="N100" i="1"/>
  <c r="N253" i="3"/>
  <c r="N257" i="3" s="1"/>
  <c r="O256" i="3" s="1"/>
  <c r="N243" i="3"/>
  <c r="N230" i="3"/>
  <c r="N54" i="3"/>
  <c r="N241" i="3"/>
  <c r="S10" i="3"/>
  <c r="LL183" i="91"/>
  <c r="LM196" i="91"/>
  <c r="LM158" i="91"/>
  <c r="LL158" i="91"/>
  <c r="LM149" i="91"/>
  <c r="LL145" i="91"/>
  <c r="LM145" i="91"/>
  <c r="LL141" i="91"/>
  <c r="LM125" i="91"/>
  <c r="LL125" i="91"/>
  <c r="LL99" i="91"/>
  <c r="LM99" i="91"/>
  <c r="LM92" i="91"/>
  <c r="LL84" i="91"/>
  <c r="LM83" i="91"/>
  <c r="LM84" i="91"/>
  <c r="LL78" i="91"/>
  <c r="LM67" i="91"/>
  <c r="LM64" i="91"/>
  <c r="LM47" i="91"/>
  <c r="LG220" i="91"/>
  <c r="LL21" i="91"/>
  <c r="LC75" i="91"/>
  <c r="LM15" i="91"/>
  <c r="LL14" i="91"/>
  <c r="LD112" i="91"/>
  <c r="LL15" i="91"/>
  <c r="LH40" i="91"/>
  <c r="LM11" i="91"/>
  <c r="LE220" i="91"/>
  <c r="N22" i="1"/>
  <c r="N38" i="3" s="1"/>
  <c r="LH106" i="91"/>
  <c r="LF75" i="91"/>
  <c r="LF40" i="91"/>
  <c r="LG61" i="91"/>
  <c r="LC61" i="91"/>
  <c r="LG40" i="91"/>
  <c r="N32" i="1"/>
  <c r="N58" i="3" s="1"/>
  <c r="LD61" i="91"/>
  <c r="LG75" i="91"/>
  <c r="LE112" i="91"/>
  <c r="LH75" i="91"/>
  <c r="LF112" i="91"/>
  <c r="LC40" i="91"/>
  <c r="LG112" i="91"/>
  <c r="LD106" i="91"/>
  <c r="LH112" i="91"/>
  <c r="LH61" i="91"/>
  <c r="LE106" i="91"/>
  <c r="LD75" i="91"/>
  <c r="LF106" i="91"/>
  <c r="LE75" i="91"/>
  <c r="LG106" i="91"/>
  <c r="LC112" i="91"/>
  <c r="LD220" i="91"/>
  <c r="LM183" i="91"/>
  <c r="LF220" i="91"/>
  <c r="LH220" i="91"/>
  <c r="LC220" i="91"/>
  <c r="LC106" i="91"/>
  <c r="LE61" i="91"/>
  <c r="LF61" i="91"/>
  <c r="CF39" i="91"/>
  <c r="DU39" i="91"/>
  <c r="DU40" i="91" s="1"/>
  <c r="CH139" i="91"/>
  <c r="CJ190" i="91"/>
  <c r="JG190" i="91" s="1"/>
  <c r="DJ83" i="91"/>
  <c r="JK78" i="91"/>
  <c r="CL190" i="91"/>
  <c r="JC63" i="91"/>
  <c r="DC190" i="91"/>
  <c r="DS190" i="91"/>
  <c r="CN190" i="91"/>
  <c r="DL190" i="91"/>
  <c r="BW190" i="91"/>
  <c r="BN190" i="91"/>
  <c r="DJ190" i="91"/>
  <c r="JA11" i="91"/>
  <c r="JC77" i="91"/>
  <c r="JG47" i="91"/>
  <c r="JF78" i="91"/>
  <c r="JB11" i="91"/>
  <c r="JF11" i="91"/>
  <c r="JI42" i="91"/>
  <c r="CB83" i="91"/>
  <c r="BB83" i="91"/>
  <c r="BB77" i="91" s="1"/>
  <c r="CC83" i="91"/>
  <c r="DX83" i="91"/>
  <c r="CJ83" i="91"/>
  <c r="JA21" i="91"/>
  <c r="JI78" i="91"/>
  <c r="JF84" i="91"/>
  <c r="JG87" i="91"/>
  <c r="DT124" i="91"/>
  <c r="DT227" i="91" s="1"/>
  <c r="JJ125" i="91"/>
  <c r="AN137" i="91"/>
  <c r="JC137" i="91" s="1"/>
  <c r="JC138" i="91"/>
  <c r="JH15" i="91"/>
  <c r="AH39" i="91"/>
  <c r="AO11" i="91"/>
  <c r="JD11" i="91" s="1"/>
  <c r="JD14" i="91"/>
  <c r="BA21" i="91"/>
  <c r="JE21" i="91" s="1"/>
  <c r="JG125" i="91"/>
  <c r="JG193" i="91"/>
  <c r="BY21" i="91"/>
  <c r="JG21" i="91" s="1"/>
  <c r="JG31" i="91"/>
  <c r="JJ31" i="91"/>
  <c r="JH21" i="91"/>
  <c r="JA63" i="91"/>
  <c r="JH78" i="91"/>
  <c r="HN193" i="91"/>
  <c r="JK193" i="91"/>
  <c r="CK42" i="91"/>
  <c r="JH42" i="91" s="1"/>
  <c r="JH47" i="91"/>
  <c r="JB77" i="91"/>
  <c r="JJ78" i="91"/>
  <c r="JH87" i="91"/>
  <c r="JI87" i="91"/>
  <c r="JA92" i="91"/>
  <c r="JC92" i="91"/>
  <c r="CD139" i="91"/>
  <c r="DJ139" i="91"/>
  <c r="CK139" i="91"/>
  <c r="DQ139" i="91"/>
  <c r="AZ139" i="91"/>
  <c r="JD149" i="91"/>
  <c r="HN149" i="91"/>
  <c r="N94" i="1" s="1"/>
  <c r="JL149" i="91"/>
  <c r="JK149" i="91"/>
  <c r="HN176" i="91"/>
  <c r="JK176" i="91"/>
  <c r="JE208" i="91"/>
  <c r="JH11" i="91"/>
  <c r="JD65" i="91"/>
  <c r="AZ64" i="91"/>
  <c r="JL78" i="91"/>
  <c r="BX124" i="91"/>
  <c r="JF125" i="91"/>
  <c r="JC21" i="91"/>
  <c r="DI42" i="91"/>
  <c r="JJ42" i="91" s="1"/>
  <c r="JJ47" i="91"/>
  <c r="AO21" i="91"/>
  <c r="JD21" i="91" s="1"/>
  <c r="JD31" i="91"/>
  <c r="BM21" i="91"/>
  <c r="JF21" i="91" s="1"/>
  <c r="JF31" i="91"/>
  <c r="JJ21" i="91"/>
  <c r="JA42" i="91"/>
  <c r="JC42" i="91"/>
  <c r="JJ64" i="91"/>
  <c r="JL64" i="91"/>
  <c r="JK64" i="91"/>
  <c r="DU63" i="91"/>
  <c r="JL67" i="91"/>
  <c r="DI83" i="91"/>
  <c r="JJ84" i="91"/>
  <c r="AZ84" i="91"/>
  <c r="JD84" i="91" s="1"/>
  <c r="JD86" i="91"/>
  <c r="CJ117" i="91"/>
  <c r="JG117" i="91" s="1"/>
  <c r="JG124" i="91"/>
  <c r="DH124" i="91"/>
  <c r="JI125" i="91"/>
  <c r="HN125" i="91"/>
  <c r="N81" i="1" s="1"/>
  <c r="N195" i="3" s="1"/>
  <c r="JK125" i="91"/>
  <c r="DO139" i="91"/>
  <c r="HN158" i="91"/>
  <c r="JK158" i="91"/>
  <c r="HN179" i="91"/>
  <c r="JL179" i="91"/>
  <c r="JK179" i="91"/>
  <c r="BL183" i="91"/>
  <c r="JE183" i="91" s="1"/>
  <c r="JE184" i="91"/>
  <c r="BO190" i="91"/>
  <c r="CM190" i="91"/>
  <c r="DX190" i="91"/>
  <c r="JH14" i="91"/>
  <c r="JK67" i="91"/>
  <c r="JE63" i="91"/>
  <c r="JF67" i="91"/>
  <c r="JE87" i="91"/>
  <c r="AZ87" i="91"/>
  <c r="JD87" i="91" s="1"/>
  <c r="JD88" i="91"/>
  <c r="JK87" i="91"/>
  <c r="JL87" i="91"/>
  <c r="BM92" i="91"/>
  <c r="JI11" i="91"/>
  <c r="CW21" i="91"/>
  <c r="JI21" i="91" s="1"/>
  <c r="JI31" i="91"/>
  <c r="BA42" i="91"/>
  <c r="JE42" i="91" s="1"/>
  <c r="JE47" i="91"/>
  <c r="AN14" i="91"/>
  <c r="JC15" i="91"/>
  <c r="JI67" i="91"/>
  <c r="AX67" i="91"/>
  <c r="JD67" i="91" s="1"/>
  <c r="JD68" i="91"/>
  <c r="BD84" i="91"/>
  <c r="BD83" i="91" s="1"/>
  <c r="BD77" i="91" s="1"/>
  <c r="JE86" i="91"/>
  <c r="BL137" i="91"/>
  <c r="JE137" i="91" s="1"/>
  <c r="JE162" i="91"/>
  <c r="DT190" i="91"/>
  <c r="JJ190" i="91" s="1"/>
  <c r="JJ193" i="91"/>
  <c r="BY14" i="91"/>
  <c r="JG15" i="91"/>
  <c r="JH64" i="91"/>
  <c r="BY63" i="91"/>
  <c r="JG67" i="91"/>
  <c r="JH67" i="91"/>
  <c r="JJ67" i="91"/>
  <c r="JA77" i="91"/>
  <c r="AV83" i="91"/>
  <c r="AV77" i="91" s="1"/>
  <c r="JL84" i="91"/>
  <c r="JK84" i="91"/>
  <c r="JF87" i="91"/>
  <c r="JB92" i="91"/>
  <c r="JE92" i="91"/>
  <c r="DI92" i="91"/>
  <c r="JL193" i="91"/>
  <c r="CV124" i="91"/>
  <c r="CV311" i="91" s="1"/>
  <c r="JH125" i="91"/>
  <c r="JG42" i="91"/>
  <c r="JB63" i="91"/>
  <c r="JG78" i="91"/>
  <c r="HN208" i="91"/>
  <c r="JK208" i="91"/>
  <c r="JL208" i="91"/>
  <c r="BA14" i="91"/>
  <c r="JE15" i="91"/>
  <c r="DI14" i="91"/>
  <c r="JJ15" i="91"/>
  <c r="JB21" i="91"/>
  <c r="JL21" i="91"/>
  <c r="JL31" i="91"/>
  <c r="BM42" i="91"/>
  <c r="JF42" i="91" s="1"/>
  <c r="JF47" i="91"/>
  <c r="DU42" i="91"/>
  <c r="JL47" i="91"/>
  <c r="JK47" i="91"/>
  <c r="JD64" i="91"/>
  <c r="JJ87" i="91"/>
  <c r="DN190" i="91"/>
  <c r="JF15" i="91"/>
  <c r="JH31" i="91"/>
  <c r="JE84" i="91"/>
  <c r="JK14" i="91"/>
  <c r="JI15" i="91"/>
  <c r="JK31" i="91"/>
  <c r="JL14" i="91"/>
  <c r="JL169" i="91"/>
  <c r="JI47" i="91"/>
  <c r="JK141" i="91"/>
  <c r="JK145" i="91"/>
  <c r="JK183" i="91"/>
  <c r="JK196" i="91"/>
  <c r="JL15" i="91"/>
  <c r="CL39" i="91"/>
  <c r="CL60" i="91" s="1"/>
  <c r="AR63" i="91"/>
  <c r="CP139" i="91"/>
  <c r="JK15" i="91"/>
  <c r="JL145" i="91"/>
  <c r="JL196" i="91"/>
  <c r="JF14" i="91"/>
  <c r="CJ168" i="91"/>
  <c r="JG168" i="91" s="1"/>
  <c r="CR168" i="91"/>
  <c r="DH168" i="91"/>
  <c r="JI168" i="91" s="1"/>
  <c r="DP168" i="91"/>
  <c r="JK21" i="91"/>
  <c r="JB204" i="91"/>
  <c r="JA204" i="91"/>
  <c r="JK169" i="91"/>
  <c r="JE197" i="91"/>
  <c r="JC204" i="91"/>
  <c r="JI14" i="91"/>
  <c r="JL141" i="91"/>
  <c r="JL183" i="91"/>
  <c r="AZ47" i="91"/>
  <c r="AZ42" i="91" s="1"/>
  <c r="JD42" i="91" s="1"/>
  <c r="AV63" i="91"/>
  <c r="CA139" i="91"/>
  <c r="CA138" i="91" s="1"/>
  <c r="CA137" i="91" s="1"/>
  <c r="CQ139" i="91"/>
  <c r="CQ138" i="91" s="1"/>
  <c r="CQ137" i="91" s="1"/>
  <c r="DZ139" i="91"/>
  <c r="DZ138" i="91" s="1"/>
  <c r="DZ137" i="91" s="1"/>
  <c r="BV190" i="91"/>
  <c r="DR190" i="91"/>
  <c r="BS39" i="91"/>
  <c r="I166" i="91"/>
  <c r="Q166" i="91"/>
  <c r="Y166" i="91"/>
  <c r="AG166" i="91"/>
  <c r="CE190" i="91"/>
  <c r="CV39" i="91"/>
  <c r="BV39" i="91"/>
  <c r="BV40" i="91" s="1"/>
  <c r="CE39" i="91"/>
  <c r="CN39" i="91"/>
  <c r="CN60" i="91" s="1"/>
  <c r="DE39" i="91"/>
  <c r="DE60" i="91" s="1"/>
  <c r="DM39" i="91"/>
  <c r="EC39" i="91"/>
  <c r="EC40" i="91" s="1"/>
  <c r="BU168" i="91"/>
  <c r="CC168" i="91"/>
  <c r="CS168" i="91"/>
  <c r="DI168" i="91"/>
  <c r="DQ168" i="91"/>
  <c r="BQ190" i="91"/>
  <c r="BY190" i="91"/>
  <c r="CG190" i="91"/>
  <c r="CO190" i="91"/>
  <c r="CW190" i="91"/>
  <c r="DE190" i="91"/>
  <c r="DM190" i="91"/>
  <c r="DU190" i="91"/>
  <c r="EB190" i="91"/>
  <c r="CI39" i="91"/>
  <c r="CO39" i="91"/>
  <c r="CO40" i="91" s="1"/>
  <c r="DV39" i="91"/>
  <c r="DV60" i="91" s="1"/>
  <c r="BM83" i="91"/>
  <c r="CQ83" i="91"/>
  <c r="CQ77" i="91" s="1"/>
  <c r="DV190" i="91"/>
  <c r="AS63" i="91"/>
  <c r="AT63" i="91"/>
  <c r="BH83" i="91"/>
  <c r="BH77" i="91" s="1"/>
  <c r="DW139" i="91"/>
  <c r="DY139" i="91"/>
  <c r="DY138" i="91" s="1"/>
  <c r="DY137" i="91" s="1"/>
  <c r="BR139" i="91"/>
  <c r="BZ139" i="91"/>
  <c r="DN139" i="91"/>
  <c r="DN138" i="91" s="1"/>
  <c r="DN137" i="91" s="1"/>
  <c r="ED139" i="91"/>
  <c r="BY139" i="91"/>
  <c r="BY138" i="91" s="1"/>
  <c r="BY137" i="91" s="1"/>
  <c r="AR39" i="91"/>
  <c r="BP39" i="91"/>
  <c r="BP40" i="91" s="1"/>
  <c r="AU39" i="91"/>
  <c r="AU60" i="91" s="1"/>
  <c r="AU74" i="91" s="1"/>
  <c r="AU105" i="91" s="1"/>
  <c r="DJ39" i="91"/>
  <c r="DJ40" i="91" s="1"/>
  <c r="BK39" i="91"/>
  <c r="BK60" i="91" s="1"/>
  <c r="CU39" i="91"/>
  <c r="CU60" i="91" s="1"/>
  <c r="DC39" i="91"/>
  <c r="DK39" i="91"/>
  <c r="DK40" i="91" s="1"/>
  <c r="DS39" i="91"/>
  <c r="EA39" i="91"/>
  <c r="EA40" i="91" s="1"/>
  <c r="CJ39" i="91"/>
  <c r="CJ60" i="91" s="1"/>
  <c r="DA83" i="91"/>
  <c r="DW83" i="91"/>
  <c r="DW77" i="91" s="1"/>
  <c r="AB166" i="91"/>
  <c r="JB166" i="91" s="1"/>
  <c r="DV139" i="91"/>
  <c r="EB139" i="91"/>
  <c r="CU190" i="91"/>
  <c r="DK190" i="91"/>
  <c r="EA190" i="91"/>
  <c r="HN64" i="91"/>
  <c r="N47" i="1" s="1"/>
  <c r="N248" i="3" s="1"/>
  <c r="CA39" i="91"/>
  <c r="CA60" i="91" s="1"/>
  <c r="H39" i="91"/>
  <c r="H60" i="91" s="1"/>
  <c r="P39" i="91"/>
  <c r="P40" i="91" s="1"/>
  <c r="X39" i="91"/>
  <c r="X60" i="91" s="1"/>
  <c r="AF39" i="91"/>
  <c r="DT39" i="91"/>
  <c r="EF77" i="91"/>
  <c r="AT83" i="91"/>
  <c r="AT77" i="91" s="1"/>
  <c r="BK83" i="91"/>
  <c r="BK77" i="91" s="1"/>
  <c r="DH83" i="91"/>
  <c r="DH77" i="91" s="1"/>
  <c r="DH234" i="91" s="1"/>
  <c r="AP83" i="91"/>
  <c r="AP77" i="91" s="1"/>
  <c r="E166" i="91"/>
  <c r="CN168" i="91"/>
  <c r="CP190" i="91"/>
  <c r="BN39" i="91"/>
  <c r="BN40" i="91" s="1"/>
  <c r="BG39" i="91"/>
  <c r="BG40" i="91" s="1"/>
  <c r="BO39" i="91"/>
  <c r="BO60" i="91" s="1"/>
  <c r="BX39" i="91"/>
  <c r="CY39" i="91"/>
  <c r="CY60" i="91" s="1"/>
  <c r="DG39" i="91"/>
  <c r="DG40" i="91" s="1"/>
  <c r="HN47" i="91"/>
  <c r="AP63" i="91"/>
  <c r="DI77" i="91"/>
  <c r="DI234" i="91" s="1"/>
  <c r="HN84" i="91"/>
  <c r="EF124" i="91"/>
  <c r="DI139" i="91"/>
  <c r="DI138" i="91" s="1"/>
  <c r="DI137" i="91" s="1"/>
  <c r="CJ77" i="91"/>
  <c r="BW39" i="91"/>
  <c r="HN78" i="91"/>
  <c r="N55" i="1" s="1"/>
  <c r="N92" i="3" s="1"/>
  <c r="BT83" i="91"/>
  <c r="BT77" i="91" s="1"/>
  <c r="BT234" i="91" s="1"/>
  <c r="BG166" i="91"/>
  <c r="CB168" i="91"/>
  <c r="CZ168" i="91"/>
  <c r="CZ278" i="91" s="1"/>
  <c r="DX168" i="91"/>
  <c r="CR190" i="91"/>
  <c r="BM39" i="91"/>
  <c r="BF39" i="91"/>
  <c r="BQ39" i="91"/>
  <c r="BQ40" i="91" s="1"/>
  <c r="CS39" i="91"/>
  <c r="CS60" i="91" s="1"/>
  <c r="HN31" i="91"/>
  <c r="CS83" i="91"/>
  <c r="CS77" i="91" s="1"/>
  <c r="CS234" i="91" s="1"/>
  <c r="CA83" i="91"/>
  <c r="CA77" i="91" s="1"/>
  <c r="DR83" i="91"/>
  <c r="DR77" i="91" s="1"/>
  <c r="DR234" i="91" s="1"/>
  <c r="AZ124" i="91"/>
  <c r="JD124" i="91" s="1"/>
  <c r="HN87" i="91"/>
  <c r="BH39" i="91"/>
  <c r="BH40" i="91" s="1"/>
  <c r="BI83" i="91"/>
  <c r="BI77" i="91" s="1"/>
  <c r="BS139" i="91"/>
  <c r="CI139" i="91"/>
  <c r="CI224" i="91" s="1"/>
  <c r="CY139" i="91"/>
  <c r="EE139" i="91"/>
  <c r="DF139" i="91"/>
  <c r="CD190" i="91"/>
  <c r="DB190" i="91"/>
  <c r="DB202" i="91" s="1"/>
  <c r="HN21" i="91"/>
  <c r="BE39" i="91"/>
  <c r="DR39" i="91"/>
  <c r="DR60" i="91" s="1"/>
  <c r="BB39" i="91"/>
  <c r="BB60" i="91" s="1"/>
  <c r="EF168" i="91"/>
  <c r="DZ39" i="91"/>
  <c r="DZ60" i="91" s="1"/>
  <c r="CH39" i="91"/>
  <c r="CH60" i="91" s="1"/>
  <c r="BU39" i="91"/>
  <c r="BU40" i="91" s="1"/>
  <c r="CD39" i="91"/>
  <c r="CD60" i="91" s="1"/>
  <c r="DD39" i="91"/>
  <c r="DD40" i="91" s="1"/>
  <c r="DL39" i="91"/>
  <c r="DL40" i="91" s="1"/>
  <c r="AU83" i="91"/>
  <c r="AU77" i="91" s="1"/>
  <c r="BL83" i="91"/>
  <c r="BL77" i="91" s="1"/>
  <c r="CP83" i="91"/>
  <c r="DS83" i="91"/>
  <c r="DS77" i="91" s="1"/>
  <c r="CX139" i="91"/>
  <c r="CY224" i="91" s="1"/>
  <c r="E202" i="91"/>
  <c r="E218" i="91" s="1"/>
  <c r="AK202" i="91"/>
  <c r="AK218" i="91" s="1"/>
  <c r="CX39" i="91"/>
  <c r="CX60" i="91" s="1"/>
  <c r="CL83" i="91"/>
  <c r="CL77" i="91" s="1"/>
  <c r="CL234" i="91" s="1"/>
  <c r="BS83" i="91"/>
  <c r="BS77" i="91" s="1"/>
  <c r="BS234" i="91" s="1"/>
  <c r="DU83" i="91"/>
  <c r="DU77" i="91" s="1"/>
  <c r="AZ99" i="91"/>
  <c r="JD99" i="91" s="1"/>
  <c r="BU139" i="91"/>
  <c r="BU224" i="91" s="1"/>
  <c r="CL139" i="91"/>
  <c r="CL138" i="91" s="1"/>
  <c r="CL137" i="91" s="1"/>
  <c r="DA139" i="91"/>
  <c r="DA138" i="91" s="1"/>
  <c r="DA137" i="91" s="1"/>
  <c r="DR139" i="91"/>
  <c r="DR138" i="91" s="1"/>
  <c r="DR137" i="91" s="1"/>
  <c r="CB139" i="91"/>
  <c r="CB138" i="91" s="1"/>
  <c r="CB137" i="91" s="1"/>
  <c r="CR139" i="91"/>
  <c r="CR138" i="91" s="1"/>
  <c r="CR137" i="91" s="1"/>
  <c r="DH139" i="91"/>
  <c r="JI139" i="91" s="1"/>
  <c r="BP139" i="91"/>
  <c r="BP138" i="91" s="1"/>
  <c r="BP137" i="91" s="1"/>
  <c r="CV139" i="91"/>
  <c r="JH139" i="91" s="1"/>
  <c r="BM255" i="91"/>
  <c r="DF39" i="91"/>
  <c r="CP39" i="91"/>
  <c r="CP60" i="91" s="1"/>
  <c r="CG39" i="91"/>
  <c r="CG40" i="91" s="1"/>
  <c r="DO39" i="91"/>
  <c r="DO40" i="91" s="1"/>
  <c r="DW39" i="91"/>
  <c r="DW60" i="91" s="1"/>
  <c r="AX83" i="91"/>
  <c r="AX77" i="91" s="1"/>
  <c r="DQ83" i="91"/>
  <c r="DQ77" i="91" s="1"/>
  <c r="DQ234" i="91" s="1"/>
  <c r="BZ83" i="91"/>
  <c r="BZ77" i="91" s="1"/>
  <c r="CY83" i="91"/>
  <c r="CY77" i="91" s="1"/>
  <c r="DP83" i="91"/>
  <c r="DP77" i="91" s="1"/>
  <c r="BV139" i="91"/>
  <c r="CN139" i="91"/>
  <c r="DB139" i="91"/>
  <c r="DT139" i="91"/>
  <c r="JJ139" i="91" s="1"/>
  <c r="BM139" i="91"/>
  <c r="BM224" i="91" s="1"/>
  <c r="CS139" i="91"/>
  <c r="CS224" i="91" s="1"/>
  <c r="DX139" i="91"/>
  <c r="DX138" i="91" s="1"/>
  <c r="DX137" i="91" s="1"/>
  <c r="CG139" i="91"/>
  <c r="CH224" i="91" s="1"/>
  <c r="CO139" i="91"/>
  <c r="DE139" i="91"/>
  <c r="DM139" i="91"/>
  <c r="DM138" i="91" s="1"/>
  <c r="DM137" i="91" s="1"/>
  <c r="DU139" i="91"/>
  <c r="DU224" i="91" s="1"/>
  <c r="EC139" i="91"/>
  <c r="EC138" i="91" s="1"/>
  <c r="EC137" i="91" s="1"/>
  <c r="BT168" i="91"/>
  <c r="BT278" i="91" s="1"/>
  <c r="BE202" i="91"/>
  <c r="BE218" i="91" s="1"/>
  <c r="HN14" i="91"/>
  <c r="N62" i="77" s="1"/>
  <c r="HN67" i="91"/>
  <c r="N48" i="1" s="1"/>
  <c r="EE39" i="91"/>
  <c r="EE60" i="91" s="1"/>
  <c r="ED39" i="91"/>
  <c r="ED60" i="91" s="1"/>
  <c r="CQ39" i="91"/>
  <c r="CQ60" i="91" s="1"/>
  <c r="EF42" i="91"/>
  <c r="DY83" i="91"/>
  <c r="DY77" i="91" s="1"/>
  <c r="DY234" i="91" s="1"/>
  <c r="AN166" i="91"/>
  <c r="JC166" i="91" s="1"/>
  <c r="BF202" i="91"/>
  <c r="BF218" i="91" s="1"/>
  <c r="HN15" i="91"/>
  <c r="DN39" i="91"/>
  <c r="DN60" i="91" s="1"/>
  <c r="CT39" i="91"/>
  <c r="CT60" i="91" s="1"/>
  <c r="BI39" i="91"/>
  <c r="BI40" i="91" s="1"/>
  <c r="DA39" i="91"/>
  <c r="DA60" i="91" s="1"/>
  <c r="BV77" i="91"/>
  <c r="BV234" i="91" s="1"/>
  <c r="AR83" i="91"/>
  <c r="AR77" i="91" s="1"/>
  <c r="CT83" i="91"/>
  <c r="CT77" i="91" s="1"/>
  <c r="CT234" i="91" s="1"/>
  <c r="DF83" i="91"/>
  <c r="DF77" i="91" s="1"/>
  <c r="DV83" i="91"/>
  <c r="DV77" i="91" s="1"/>
  <c r="DL168" i="91"/>
  <c r="DL277" i="91" s="1"/>
  <c r="Z202" i="91"/>
  <c r="Z218" i="91" s="1"/>
  <c r="DB39" i="91"/>
  <c r="DB60" i="91" s="1"/>
  <c r="AR60" i="91"/>
  <c r="AR74" i="91" s="1"/>
  <c r="AR105" i="91" s="1"/>
  <c r="AZ39" i="91"/>
  <c r="AZ60" i="91" s="1"/>
  <c r="AZ61" i="91" s="1"/>
  <c r="DJ77" i="91"/>
  <c r="DJ234" i="91" s="1"/>
  <c r="CR77" i="91"/>
  <c r="CR234" i="91" s="1"/>
  <c r="AS83" i="91"/>
  <c r="AS77" i="91" s="1"/>
  <c r="BA83" i="91"/>
  <c r="BJ83" i="91"/>
  <c r="BJ77" i="91" s="1"/>
  <c r="DG83" i="91"/>
  <c r="DG77" i="91" s="1"/>
  <c r="DD83" i="91"/>
  <c r="DD77" i="91" s="1"/>
  <c r="AO83" i="91"/>
  <c r="AW83" i="91"/>
  <c r="AW77" i="91" s="1"/>
  <c r="BF83" i="91"/>
  <c r="BF77" i="91" s="1"/>
  <c r="BU83" i="91"/>
  <c r="BU77" i="91" s="1"/>
  <c r="AO166" i="91"/>
  <c r="AW166" i="91"/>
  <c r="BN139" i="91"/>
  <c r="BN138" i="91" s="1"/>
  <c r="BN137" i="91" s="1"/>
  <c r="CC139" i="91"/>
  <c r="CC138" i="91" s="1"/>
  <c r="CC137" i="91" s="1"/>
  <c r="CT139" i="91"/>
  <c r="CT138" i="91" s="1"/>
  <c r="CT137" i="91" s="1"/>
  <c r="CT166" i="91" s="1"/>
  <c r="BT139" i="91"/>
  <c r="CJ139" i="91"/>
  <c r="CZ139" i="91"/>
  <c r="DA224" i="91" s="1"/>
  <c r="DP139" i="91"/>
  <c r="DP224" i="91" s="1"/>
  <c r="EF139" i="91"/>
  <c r="DZ190" i="91"/>
  <c r="AV39" i="91"/>
  <c r="AV60" i="91" s="1"/>
  <c r="G39" i="91"/>
  <c r="G60" i="91" s="1"/>
  <c r="W39" i="91"/>
  <c r="W40" i="91" s="1"/>
  <c r="AE39" i="91"/>
  <c r="AE60" i="91" s="1"/>
  <c r="AM39" i="91"/>
  <c r="AM40" i="91" s="1"/>
  <c r="BZ39" i="91"/>
  <c r="BZ60" i="91" s="1"/>
  <c r="CZ39" i="91"/>
  <c r="CZ60" i="91" s="1"/>
  <c r="DH39" i="91"/>
  <c r="DP39" i="91"/>
  <c r="DP60" i="91" s="1"/>
  <c r="DX39" i="91"/>
  <c r="DX40" i="91" s="1"/>
  <c r="EF39" i="91"/>
  <c r="AX63" i="91"/>
  <c r="AQ83" i="91"/>
  <c r="AQ77" i="91" s="1"/>
  <c r="AY83" i="91"/>
  <c r="AY77" i="91" s="1"/>
  <c r="BG83" i="91"/>
  <c r="BG77" i="91" s="1"/>
  <c r="DB83" i="91"/>
  <c r="DB77" i="91" s="1"/>
  <c r="DB234" i="91" s="1"/>
  <c r="K166" i="91"/>
  <c r="S166" i="91"/>
  <c r="AA166" i="91"/>
  <c r="AI166" i="91"/>
  <c r="AQ166" i="91"/>
  <c r="AY166" i="91"/>
  <c r="BH166" i="91"/>
  <c r="CB190" i="91"/>
  <c r="DY39" i="91"/>
  <c r="DY60" i="91" s="1"/>
  <c r="BT39" i="91"/>
  <c r="BT40" i="91" s="1"/>
  <c r="CB77" i="91"/>
  <c r="CB234" i="91" s="1"/>
  <c r="BE83" i="91"/>
  <c r="BE77" i="91" s="1"/>
  <c r="CK83" i="91"/>
  <c r="BR83" i="91"/>
  <c r="BR77" i="91" s="1"/>
  <c r="DN83" i="91"/>
  <c r="DN77" i="91" s="1"/>
  <c r="DT83" i="91"/>
  <c r="DT77" i="91" s="1"/>
  <c r="L166" i="91"/>
  <c r="T166" i="91"/>
  <c r="AJ166" i="91"/>
  <c r="AR166" i="91"/>
  <c r="DA168" i="91"/>
  <c r="J202" i="91"/>
  <c r="J218" i="91" s="1"/>
  <c r="R202" i="91"/>
  <c r="R218" i="91" s="1"/>
  <c r="AH202" i="91"/>
  <c r="AP202" i="91"/>
  <c r="AX202" i="91"/>
  <c r="BG202" i="91"/>
  <c r="BG218" i="91" s="1"/>
  <c r="O39" i="91"/>
  <c r="O40" i="91" s="1"/>
  <c r="DQ39" i="91"/>
  <c r="DQ40" i="91" s="1"/>
  <c r="BJ39" i="91"/>
  <c r="BJ40" i="91" s="1"/>
  <c r="CK39" i="91"/>
  <c r="CB39" i="91"/>
  <c r="CB60" i="91" s="1"/>
  <c r="EE77" i="91"/>
  <c r="CC77" i="91"/>
  <c r="CC234" i="91" s="1"/>
  <c r="BN83" i="91"/>
  <c r="BN77" i="91" s="1"/>
  <c r="BN234" i="91" s="1"/>
  <c r="CX83" i="91"/>
  <c r="CX77" i="91" s="1"/>
  <c r="DO83" i="91"/>
  <c r="DO77" i="91" s="1"/>
  <c r="M166" i="91"/>
  <c r="U166" i="91"/>
  <c r="AS166" i="91"/>
  <c r="AZ168" i="91"/>
  <c r="JD168" i="91" s="1"/>
  <c r="BP168" i="91"/>
  <c r="BP277" i="91" s="1"/>
  <c r="BX168" i="91"/>
  <c r="CF168" i="91"/>
  <c r="CF277" i="91" s="1"/>
  <c r="CV168" i="91"/>
  <c r="DD168" i="91"/>
  <c r="DD277" i="91" s="1"/>
  <c r="DT168" i="91"/>
  <c r="JJ168" i="91" s="1"/>
  <c r="EB168" i="91"/>
  <c r="K202" i="91"/>
  <c r="K218" i="91" s="1"/>
  <c r="S202" i="91"/>
  <c r="S218" i="91" s="1"/>
  <c r="AA202" i="91"/>
  <c r="AA218" i="91" s="1"/>
  <c r="AI202" i="91"/>
  <c r="AI218" i="91" s="1"/>
  <c r="AQ202" i="91"/>
  <c r="AQ218" i="91" s="1"/>
  <c r="AY202" i="91"/>
  <c r="AY218" i="91" s="1"/>
  <c r="CC39" i="91"/>
  <c r="CC40" i="91" s="1"/>
  <c r="AQ63" i="91"/>
  <c r="AY63" i="91"/>
  <c r="CI77" i="91"/>
  <c r="CI234" i="91" s="1"/>
  <c r="DA77" i="91"/>
  <c r="DA234" i="91" s="1"/>
  <c r="DX77" i="91"/>
  <c r="DX234" i="91" s="1"/>
  <c r="BA202" i="91"/>
  <c r="BA218" i="91" s="1"/>
  <c r="BI202" i="91"/>
  <c r="BI218" i="91" s="1"/>
  <c r="AZ190" i="91"/>
  <c r="JD190" i="91" s="1"/>
  <c r="BC39" i="91"/>
  <c r="BC40" i="91" s="1"/>
  <c r="BD39" i="91"/>
  <c r="BD60" i="91" s="1"/>
  <c r="BL39" i="91"/>
  <c r="BL40" i="91" s="1"/>
  <c r="CM39" i="91"/>
  <c r="CM40" i="91" s="1"/>
  <c r="CR39" i="91"/>
  <c r="CR40" i="91" s="1"/>
  <c r="W288" i="91"/>
  <c r="AE288" i="91"/>
  <c r="AM288" i="91"/>
  <c r="AZ63" i="91"/>
  <c r="CZ83" i="91"/>
  <c r="CZ77" i="91" s="1"/>
  <c r="CZ234" i="91" s="1"/>
  <c r="BQ83" i="91"/>
  <c r="BL117" i="91"/>
  <c r="JE117" i="91" s="1"/>
  <c r="BD166" i="91"/>
  <c r="P202" i="91"/>
  <c r="AV202" i="91"/>
  <c r="AV218" i="91" s="1"/>
  <c r="M202" i="91"/>
  <c r="M218" i="91" s="1"/>
  <c r="U202" i="91"/>
  <c r="U218" i="91" s="1"/>
  <c r="AC202" i="91"/>
  <c r="AC218" i="91" s="1"/>
  <c r="AS202" i="91"/>
  <c r="AS218" i="91" s="1"/>
  <c r="BB202" i="91"/>
  <c r="BB218" i="91" s="1"/>
  <c r="BJ202" i="91"/>
  <c r="BJ218" i="91" s="1"/>
  <c r="CT190" i="91"/>
  <c r="BR39" i="91"/>
  <c r="BR60" i="91" s="1"/>
  <c r="E39" i="91"/>
  <c r="AK39" i="91"/>
  <c r="AK40" i="91" s="1"/>
  <c r="AO63" i="91"/>
  <c r="AW63" i="91"/>
  <c r="DZ83" i="91"/>
  <c r="DZ77" i="91" s="1"/>
  <c r="DZ234" i="91" s="1"/>
  <c r="CD83" i="91"/>
  <c r="EC83" i="91"/>
  <c r="EC77" i="91" s="1"/>
  <c r="AZ117" i="91"/>
  <c r="H166" i="91"/>
  <c r="P166" i="91"/>
  <c r="JA166" i="91" s="1"/>
  <c r="X166" i="91"/>
  <c r="AF166" i="91"/>
  <c r="AV166" i="91"/>
  <c r="BE166" i="91"/>
  <c r="F202" i="91"/>
  <c r="F218" i="91" s="1"/>
  <c r="N202" i="91"/>
  <c r="N218" i="91" s="1"/>
  <c r="V202" i="91"/>
  <c r="V218" i="91" s="1"/>
  <c r="AD202" i="91"/>
  <c r="AD218" i="91" s="1"/>
  <c r="AL202" i="91"/>
  <c r="AL218" i="91" s="1"/>
  <c r="AT202" i="91"/>
  <c r="AT218" i="91" s="1"/>
  <c r="AD39" i="91"/>
  <c r="AD60" i="91" s="1"/>
  <c r="AL39" i="91"/>
  <c r="AL40" i="91" s="1"/>
  <c r="ED83" i="91"/>
  <c r="ED77" i="91" s="1"/>
  <c r="CH83" i="91"/>
  <c r="CH77" i="91" s="1"/>
  <c r="DJ60" i="91"/>
  <c r="CE40" i="91"/>
  <c r="CE60" i="91"/>
  <c r="G40" i="91"/>
  <c r="W60" i="91"/>
  <c r="BV60" i="91"/>
  <c r="DO60" i="91"/>
  <c r="EB11" i="91"/>
  <c r="EB39" i="91" s="1"/>
  <c r="CF40" i="91"/>
  <c r="CF60" i="91"/>
  <c r="DM40" i="91"/>
  <c r="DM60" i="91"/>
  <c r="P60" i="91"/>
  <c r="AF40" i="91"/>
  <c r="AF60" i="91"/>
  <c r="DR40" i="91"/>
  <c r="BG60" i="91"/>
  <c r="BX40" i="91"/>
  <c r="BX60" i="91"/>
  <c r="BW40" i="91"/>
  <c r="BW60" i="91"/>
  <c r="CN40" i="91"/>
  <c r="AG60" i="91"/>
  <c r="AG40" i="91"/>
  <c r="AT39" i="91"/>
  <c r="AT60" i="91" s="1"/>
  <c r="BS60" i="91"/>
  <c r="BS40" i="91"/>
  <c r="CI60" i="91"/>
  <c r="CI40" i="91"/>
  <c r="BQ60" i="91"/>
  <c r="E60" i="91"/>
  <c r="AH40" i="91"/>
  <c r="AH60" i="91"/>
  <c r="CA40" i="91"/>
  <c r="AI60" i="91"/>
  <c r="AI40" i="91"/>
  <c r="AR61" i="91"/>
  <c r="BE60" i="91"/>
  <c r="BE40" i="91"/>
  <c r="L60" i="91"/>
  <c r="L40" i="91"/>
  <c r="T60" i="91"/>
  <c r="T40" i="91"/>
  <c r="AB40" i="91"/>
  <c r="AB60" i="91"/>
  <c r="AJ60" i="91"/>
  <c r="AJ40" i="91"/>
  <c r="BF40" i="91"/>
  <c r="BF60" i="91"/>
  <c r="DC60" i="91"/>
  <c r="DC40" i="91"/>
  <c r="DS40" i="91"/>
  <c r="DS60" i="91"/>
  <c r="DL83" i="91"/>
  <c r="DL77" i="91" s="1"/>
  <c r="BK40" i="91"/>
  <c r="DF60" i="91"/>
  <c r="DF40" i="91"/>
  <c r="BU60" i="91"/>
  <c r="T287" i="91"/>
  <c r="T286" i="91"/>
  <c r="T285" i="91"/>
  <c r="AB287" i="91"/>
  <c r="AB286" i="91"/>
  <c r="AB285" i="91"/>
  <c r="AJ287" i="91"/>
  <c r="AJ286" i="91"/>
  <c r="AJ285" i="91"/>
  <c r="U287" i="91"/>
  <c r="U286" i="91"/>
  <c r="U285" i="91"/>
  <c r="AC287" i="91"/>
  <c r="AC286" i="91"/>
  <c r="AC285" i="91"/>
  <c r="AK287" i="91"/>
  <c r="AK286" i="91"/>
  <c r="AK285" i="91"/>
  <c r="R288" i="91"/>
  <c r="Z288" i="91"/>
  <c r="AH288" i="91"/>
  <c r="BF301" i="91"/>
  <c r="V287" i="91"/>
  <c r="V286" i="91"/>
  <c r="V285" i="91"/>
  <c r="AD287" i="91"/>
  <c r="AD286" i="91"/>
  <c r="AD285" i="91"/>
  <c r="AL287" i="91"/>
  <c r="AL286" i="91"/>
  <c r="AL285" i="91"/>
  <c r="X287" i="91"/>
  <c r="X286" i="91"/>
  <c r="X285" i="91"/>
  <c r="AF287" i="91"/>
  <c r="AF286" i="91"/>
  <c r="AF285" i="91"/>
  <c r="U288" i="91"/>
  <c r="AC288" i="91"/>
  <c r="AK288" i="91"/>
  <c r="BA302" i="91"/>
  <c r="Q287" i="91"/>
  <c r="Q286" i="91"/>
  <c r="Q285" i="91"/>
  <c r="Y287" i="91"/>
  <c r="Y286" i="91"/>
  <c r="Y285" i="91"/>
  <c r="AG287" i="91"/>
  <c r="AG286" i="91"/>
  <c r="AG285" i="91"/>
  <c r="V288" i="91"/>
  <c r="AD288" i="91"/>
  <c r="AL288" i="91"/>
  <c r="BJ298" i="91"/>
  <c r="BQ63" i="91"/>
  <c r="BZ63" i="91"/>
  <c r="BZ72" i="91" s="1"/>
  <c r="CR63" i="91"/>
  <c r="DB63" i="91"/>
  <c r="DK63" i="91"/>
  <c r="EC63" i="91"/>
  <c r="BV64" i="91"/>
  <c r="CE64" i="91"/>
  <c r="JG64" i="91" s="1"/>
  <c r="CX64" i="91"/>
  <c r="JI64" i="91" s="1"/>
  <c r="DM83" i="91"/>
  <c r="DM77" i="91" s="1"/>
  <c r="Z287" i="91"/>
  <c r="Z286" i="91"/>
  <c r="Z285" i="91"/>
  <c r="BR63" i="91"/>
  <c r="CT63" i="91"/>
  <c r="DC63" i="91"/>
  <c r="BN64" i="91"/>
  <c r="BW64" i="91"/>
  <c r="I39" i="91"/>
  <c r="Q39" i="91"/>
  <c r="Y39" i="91"/>
  <c r="AW39" i="91"/>
  <c r="AW60" i="91" s="1"/>
  <c r="CP77" i="91"/>
  <c r="Q288" i="91"/>
  <c r="Y288" i="91"/>
  <c r="AG288" i="91"/>
  <c r="J39" i="91"/>
  <c r="R39" i="91"/>
  <c r="Z39" i="91"/>
  <c r="AP39" i="91"/>
  <c r="AP60" i="91" s="1"/>
  <c r="AX39" i="91"/>
  <c r="AX60" i="91" s="1"/>
  <c r="DE63" i="91"/>
  <c r="EF63" i="91"/>
  <c r="X288" i="91"/>
  <c r="AF288" i="91"/>
  <c r="AN288" i="91"/>
  <c r="K39" i="91"/>
  <c r="S39" i="91"/>
  <c r="AA39" i="91"/>
  <c r="AQ39" i="91"/>
  <c r="AQ60" i="91" s="1"/>
  <c r="AY39" i="91"/>
  <c r="AY60" i="91" s="1"/>
  <c r="CW63" i="91"/>
  <c r="CO92" i="91"/>
  <c r="BN166" i="91"/>
  <c r="AH287" i="91"/>
  <c r="AH286" i="91"/>
  <c r="AH285" i="91"/>
  <c r="CO63" i="91"/>
  <c r="BM63" i="91"/>
  <c r="BU63" i="91"/>
  <c r="CC63" i="91"/>
  <c r="CK63" i="91"/>
  <c r="CS63" i="91"/>
  <c r="DA63" i="91"/>
  <c r="DI63" i="91"/>
  <c r="DQ63" i="91"/>
  <c r="DY63" i="91"/>
  <c r="BY84" i="91"/>
  <c r="CG84" i="91"/>
  <c r="CG83" i="91" s="1"/>
  <c r="CG77" i="91" s="1"/>
  <c r="CO84" i="91"/>
  <c r="CO83" i="91" s="1"/>
  <c r="CO77" i="91" s="1"/>
  <c r="CW84" i="91"/>
  <c r="DE84" i="91"/>
  <c r="DE83" i="91" s="1"/>
  <c r="DE77" i="91" s="1"/>
  <c r="DU92" i="91"/>
  <c r="DV138" i="91"/>
  <c r="DV137" i="91" s="1"/>
  <c r="AA287" i="91"/>
  <c r="AA286" i="91"/>
  <c r="AA285" i="91"/>
  <c r="AJ288" i="91"/>
  <c r="U39" i="91"/>
  <c r="BP83" i="91"/>
  <c r="BP77" i="91" s="1"/>
  <c r="BX83" i="91"/>
  <c r="BX77" i="91" s="1"/>
  <c r="CF83" i="91"/>
  <c r="CF77" i="91" s="1"/>
  <c r="CN83" i="91"/>
  <c r="CN77" i="91" s="1"/>
  <c r="CV83" i="91"/>
  <c r="CV77" i="91" s="1"/>
  <c r="EB83" i="91"/>
  <c r="EB77" i="91" s="1"/>
  <c r="BQ233" i="91"/>
  <c r="BQ92" i="91"/>
  <c r="BQ234" i="91" s="1"/>
  <c r="BY233" i="91"/>
  <c r="BY92" i="91"/>
  <c r="CG233" i="91"/>
  <c r="CG92" i="91"/>
  <c r="CW233" i="91"/>
  <c r="CW92" i="91"/>
  <c r="DE233" i="91"/>
  <c r="DE92" i="91"/>
  <c r="DM233" i="91"/>
  <c r="DM92" i="91"/>
  <c r="CN138" i="91"/>
  <c r="CN137" i="91" s="1"/>
  <c r="R287" i="91"/>
  <c r="R286" i="91"/>
  <c r="R285" i="91"/>
  <c r="BK298" i="91"/>
  <c r="S287" i="91"/>
  <c r="S286" i="91"/>
  <c r="S285" i="91"/>
  <c r="AI287" i="91"/>
  <c r="AI286" i="91"/>
  <c r="AI285" i="91"/>
  <c r="S288" i="91"/>
  <c r="AA288" i="91"/>
  <c r="AI288" i="91"/>
  <c r="W287" i="91"/>
  <c r="W286" i="91"/>
  <c r="W285" i="91"/>
  <c r="AE287" i="91"/>
  <c r="AE286" i="91"/>
  <c r="AE285" i="91"/>
  <c r="AM287" i="91"/>
  <c r="AM286" i="91"/>
  <c r="AM285" i="91"/>
  <c r="T288" i="91"/>
  <c r="AB288" i="91"/>
  <c r="M39" i="91"/>
  <c r="AC39" i="91"/>
  <c r="AS39" i="91"/>
  <c r="AS60" i="91" s="1"/>
  <c r="F39" i="91"/>
  <c r="N39" i="91"/>
  <c r="V39" i="91"/>
  <c r="BZ233" i="91"/>
  <c r="DE138" i="91"/>
  <c r="DE137" i="91" s="1"/>
  <c r="CJ92" i="91"/>
  <c r="DP92" i="91"/>
  <c r="BR99" i="91"/>
  <c r="BR92" i="91" s="1"/>
  <c r="BZ99" i="91"/>
  <c r="BZ92" i="91" s="1"/>
  <c r="CH99" i="91"/>
  <c r="CH92" i="91" s="1"/>
  <c r="CP99" i="91"/>
  <c r="CP92" i="91" s="1"/>
  <c r="CX99" i="91"/>
  <c r="CX92" i="91" s="1"/>
  <c r="DF99" i="91"/>
  <c r="DF92" i="91" s="1"/>
  <c r="DN99" i="91"/>
  <c r="DN92" i="91" s="1"/>
  <c r="DV99" i="91"/>
  <c r="DV92" i="91" s="1"/>
  <c r="ED99" i="91"/>
  <c r="ED92" i="91" s="1"/>
  <c r="E278" i="91"/>
  <c r="E277" i="91"/>
  <c r="M278" i="91"/>
  <c r="M277" i="91"/>
  <c r="U278" i="91"/>
  <c r="U277" i="91"/>
  <c r="AC278" i="91"/>
  <c r="AC277" i="91"/>
  <c r="AK278" i="91"/>
  <c r="AK277" i="91"/>
  <c r="AK166" i="91"/>
  <c r="AK220" i="91" s="1"/>
  <c r="CS277" i="91"/>
  <c r="CS278" i="91"/>
  <c r="BR310" i="91"/>
  <c r="BR285" i="91"/>
  <c r="BS239" i="91"/>
  <c r="BZ310" i="91"/>
  <c r="BZ285" i="91"/>
  <c r="CA239" i="91"/>
  <c r="BZ117" i="91"/>
  <c r="CH310" i="91"/>
  <c r="CH285" i="91"/>
  <c r="CI239" i="91"/>
  <c r="CP310" i="91"/>
  <c r="CP285" i="91"/>
  <c r="CQ239" i="91"/>
  <c r="CX310" i="91"/>
  <c r="CX285" i="91"/>
  <c r="CY239" i="91"/>
  <c r="CX117" i="91"/>
  <c r="DF310" i="91"/>
  <c r="DF285" i="91"/>
  <c r="DG239" i="91"/>
  <c r="DF117" i="91"/>
  <c r="DN310" i="91"/>
  <c r="DN285" i="91"/>
  <c r="DO239" i="91"/>
  <c r="DN117" i="91"/>
  <c r="DN166" i="91" s="1"/>
  <c r="DV310" i="91"/>
  <c r="DV285" i="91"/>
  <c r="DW239" i="91"/>
  <c r="ED310" i="91"/>
  <c r="ED285" i="91"/>
  <c r="EE239" i="91"/>
  <c r="BP311" i="91"/>
  <c r="BP297" i="91"/>
  <c r="BP283" i="91"/>
  <c r="BP227" i="91"/>
  <c r="BX311" i="91"/>
  <c r="BX283" i="91"/>
  <c r="BX297" i="91"/>
  <c r="BX227" i="91"/>
  <c r="CF311" i="91"/>
  <c r="CF283" i="91"/>
  <c r="CF227" i="91"/>
  <c r="CN311" i="91"/>
  <c r="CN286" i="91"/>
  <c r="CN283" i="91"/>
  <c r="CN297" i="91"/>
  <c r="CN227" i="91"/>
  <c r="CV297" i="91"/>
  <c r="CV286" i="91"/>
  <c r="CV227" i="91"/>
  <c r="DD311" i="91"/>
  <c r="DD286" i="91"/>
  <c r="DD283" i="91"/>
  <c r="DD297" i="91"/>
  <c r="DD227" i="91"/>
  <c r="DL311" i="91"/>
  <c r="DL283" i="91"/>
  <c r="DL227" i="91"/>
  <c r="DT283" i="91"/>
  <c r="EB311" i="91"/>
  <c r="EB283" i="91"/>
  <c r="EB227" i="91"/>
  <c r="BP286" i="91"/>
  <c r="BX286" i="91"/>
  <c r="BO298" i="91"/>
  <c r="BW298" i="91"/>
  <c r="CM298" i="91"/>
  <c r="CU298" i="91"/>
  <c r="DK298" i="91"/>
  <c r="DS298" i="91"/>
  <c r="EA298" i="91"/>
  <c r="BZ138" i="91"/>
  <c r="BZ137" i="91" s="1"/>
  <c r="CA225" i="91" s="1"/>
  <c r="BU138" i="91"/>
  <c r="BU137" i="91" s="1"/>
  <c r="BO83" i="91"/>
  <c r="BW83" i="91"/>
  <c r="BW77" i="91" s="1"/>
  <c r="CE83" i="91"/>
  <c r="CE77" i="91" s="1"/>
  <c r="CM83" i="91"/>
  <c r="CM77" i="91" s="1"/>
  <c r="CU83" i="91"/>
  <c r="CU77" i="91" s="1"/>
  <c r="DC83" i="91"/>
  <c r="DC77" i="91" s="1"/>
  <c r="DK83" i="91"/>
  <c r="DK77" i="91" s="1"/>
  <c r="EA83" i="91"/>
  <c r="EA77" i="91" s="1"/>
  <c r="CA92" i="91"/>
  <c r="CK92" i="91"/>
  <c r="EC92" i="91"/>
  <c r="BP233" i="91"/>
  <c r="BP92" i="91"/>
  <c r="BX233" i="91"/>
  <c r="BX92" i="91"/>
  <c r="CF233" i="91"/>
  <c r="CF92" i="91"/>
  <c r="CN233" i="91"/>
  <c r="CN92" i="91"/>
  <c r="CV233" i="91"/>
  <c r="CV92" i="91"/>
  <c r="DD233" i="91"/>
  <c r="DD92" i="91"/>
  <c r="DD234" i="91" s="1"/>
  <c r="DL233" i="91"/>
  <c r="DL92" i="91"/>
  <c r="DT233" i="91"/>
  <c r="DT92" i="91"/>
  <c r="DT234" i="91" s="1"/>
  <c r="EB233" i="91"/>
  <c r="EB92" i="91"/>
  <c r="CQ99" i="91"/>
  <c r="CQ92" i="91" s="1"/>
  <c r="CY99" i="91"/>
  <c r="CY92" i="91" s="1"/>
  <c r="DG99" i="91"/>
  <c r="DG92" i="91" s="1"/>
  <c r="DO99" i="91"/>
  <c r="DO92" i="91" s="1"/>
  <c r="DW99" i="91"/>
  <c r="DW92" i="91" s="1"/>
  <c r="EE99" i="91"/>
  <c r="EE92" i="91" s="1"/>
  <c r="F278" i="91"/>
  <c r="F277" i="91"/>
  <c r="N278" i="91"/>
  <c r="N277" i="91"/>
  <c r="V278" i="91"/>
  <c r="V277" i="91"/>
  <c r="AD278" i="91"/>
  <c r="AD277" i="91"/>
  <c r="AL278" i="91"/>
  <c r="AL277" i="91"/>
  <c r="CB278" i="91"/>
  <c r="CB277" i="91"/>
  <c r="CI117" i="91"/>
  <c r="BL166" i="91"/>
  <c r="JE166" i="91" s="1"/>
  <c r="BS224" i="91"/>
  <c r="BS138" i="91"/>
  <c r="BS137" i="91" s="1"/>
  <c r="CA224" i="91"/>
  <c r="CQ224" i="91"/>
  <c r="CY138" i="91"/>
  <c r="CY137" i="91" s="1"/>
  <c r="DG139" i="91"/>
  <c r="DH224" i="91" s="1"/>
  <c r="BV138" i="91"/>
  <c r="BV137" i="91" s="1"/>
  <c r="DQ277" i="91"/>
  <c r="DQ278" i="91"/>
  <c r="DF224" i="91"/>
  <c r="DF138" i="91"/>
  <c r="DF137" i="91" s="1"/>
  <c r="ED138" i="91"/>
  <c r="ED137" i="91" s="1"/>
  <c r="CP224" i="91"/>
  <c r="CP138" i="91"/>
  <c r="CP137" i="91" s="1"/>
  <c r="BT224" i="91"/>
  <c r="BT138" i="91"/>
  <c r="BT137" i="91" s="1"/>
  <c r="DH138" i="91"/>
  <c r="AC166" i="91"/>
  <c r="CZ277" i="91"/>
  <c r="BU117" i="91"/>
  <c r="CC117" i="91"/>
  <c r="DA117" i="91"/>
  <c r="CR117" i="91"/>
  <c r="CR166" i="91" s="1"/>
  <c r="DX117" i="91"/>
  <c r="DI224" i="91"/>
  <c r="CY302" i="91"/>
  <c r="CY313" i="91"/>
  <c r="CY190" i="91"/>
  <c r="DW302" i="91"/>
  <c r="DW313" i="91"/>
  <c r="DW190" i="91"/>
  <c r="CK138" i="91"/>
  <c r="CK137" i="91" s="1"/>
  <c r="BU92" i="91"/>
  <c r="J277" i="91"/>
  <c r="J278" i="91"/>
  <c r="R277" i="91"/>
  <c r="R278" i="91"/>
  <c r="Z277" i="91"/>
  <c r="Z278" i="91"/>
  <c r="AH277" i="91"/>
  <c r="AH278" i="91"/>
  <c r="DV117" i="91"/>
  <c r="BO310" i="91"/>
  <c r="BO285" i="91"/>
  <c r="BP239" i="91"/>
  <c r="BO117" i="91"/>
  <c r="BW310" i="91"/>
  <c r="BW285" i="91"/>
  <c r="BX239" i="91"/>
  <c r="BW117" i="91"/>
  <c r="CE310" i="91"/>
  <c r="CE285" i="91"/>
  <c r="CF239" i="91"/>
  <c r="CE117" i="91"/>
  <c r="CM310" i="91"/>
  <c r="CM285" i="91"/>
  <c r="CN239" i="91"/>
  <c r="CM117" i="91"/>
  <c r="CU310" i="91"/>
  <c r="CU285" i="91"/>
  <c r="CV239" i="91"/>
  <c r="CU117" i="91"/>
  <c r="DC310" i="91"/>
  <c r="DC285" i="91"/>
  <c r="DD239" i="91"/>
  <c r="DC117" i="91"/>
  <c r="DK310" i="91"/>
  <c r="DK285" i="91"/>
  <c r="DL239" i="91"/>
  <c r="DK117" i="91"/>
  <c r="DS310" i="91"/>
  <c r="DS285" i="91"/>
  <c r="DT239" i="91"/>
  <c r="DS117" i="91"/>
  <c r="EA310" i="91"/>
  <c r="EA285" i="91"/>
  <c r="EB239" i="91"/>
  <c r="EA117" i="91"/>
  <c r="BV117" i="91"/>
  <c r="CD117" i="91"/>
  <c r="CL117" i="91"/>
  <c r="DJ117" i="91"/>
  <c r="BM311" i="91"/>
  <c r="BM297" i="91"/>
  <c r="BM283" i="91"/>
  <c r="BM227" i="91"/>
  <c r="BM117" i="91"/>
  <c r="BU311" i="91"/>
  <c r="BU297" i="91"/>
  <c r="BU283" i="91"/>
  <c r="BU227" i="91"/>
  <c r="CC311" i="91"/>
  <c r="CC283" i="91"/>
  <c r="CC227" i="91"/>
  <c r="CK311" i="91"/>
  <c r="CK297" i="91"/>
  <c r="CK286" i="91"/>
  <c r="CK283" i="91"/>
  <c r="CK227" i="91"/>
  <c r="CS311" i="91"/>
  <c r="CS297" i="91"/>
  <c r="CS286" i="91"/>
  <c r="CS283" i="91"/>
  <c r="CS227" i="91"/>
  <c r="DA311" i="91"/>
  <c r="DA297" i="91"/>
  <c r="DA286" i="91"/>
  <c r="DA283" i="91"/>
  <c r="DA227" i="91"/>
  <c r="DI311" i="91"/>
  <c r="DI283" i="91"/>
  <c r="DI227" i="91"/>
  <c r="DQ311" i="91"/>
  <c r="DQ283" i="91"/>
  <c r="DQ227" i="91"/>
  <c r="DY311" i="91"/>
  <c r="DY297" i="91"/>
  <c r="DY286" i="91"/>
  <c r="DY283" i="91"/>
  <c r="DY227" i="91"/>
  <c r="DY117" i="91"/>
  <c r="BU286" i="91"/>
  <c r="BT298" i="91"/>
  <c r="CR298" i="91"/>
  <c r="DH298" i="91"/>
  <c r="DP298" i="91"/>
  <c r="DP117" i="91"/>
  <c r="DX298" i="91"/>
  <c r="EF298" i="91"/>
  <c r="CH138" i="91"/>
  <c r="CH137" i="91" s="1"/>
  <c r="BA166" i="91"/>
  <c r="BI166" i="91"/>
  <c r="CA166" i="91"/>
  <c r="BR138" i="91"/>
  <c r="BR137" i="91" s="1"/>
  <c r="DQ224" i="91"/>
  <c r="DQ138" i="91"/>
  <c r="DQ137" i="91" s="1"/>
  <c r="BX139" i="91"/>
  <c r="CF139" i="91"/>
  <c r="CG224" i="91" s="1"/>
  <c r="DD139" i="91"/>
  <c r="DE224" i="91" s="1"/>
  <c r="DL139" i="91"/>
  <c r="DM224" i="91" s="1"/>
  <c r="BR232" i="91"/>
  <c r="BR168" i="91"/>
  <c r="BR278" i="91" s="1"/>
  <c r="BZ232" i="91"/>
  <c r="BZ168" i="91"/>
  <c r="CH232" i="91"/>
  <c r="CH168" i="91"/>
  <c r="CP232" i="91"/>
  <c r="CP168" i="91"/>
  <c r="CX232" i="91"/>
  <c r="CX168" i="91"/>
  <c r="DF232" i="91"/>
  <c r="DF168" i="91"/>
  <c r="DN232" i="91"/>
  <c r="DN168" i="91"/>
  <c r="DN202" i="91" s="1"/>
  <c r="DV232" i="91"/>
  <c r="DV168" i="91"/>
  <c r="DV202" i="91" s="1"/>
  <c r="ED232" i="91"/>
  <c r="ED168" i="91"/>
  <c r="ED278" i="91" s="1"/>
  <c r="BQ312" i="91"/>
  <c r="BQ301" i="91"/>
  <c r="BY312" i="91"/>
  <c r="CG312" i="91"/>
  <c r="CO312" i="91"/>
  <c r="CO301" i="91"/>
  <c r="CO288" i="91"/>
  <c r="CW312" i="91"/>
  <c r="DE312" i="91"/>
  <c r="DE301" i="91"/>
  <c r="DM312" i="91"/>
  <c r="DM301" i="91"/>
  <c r="DM288" i="91"/>
  <c r="DU312" i="91"/>
  <c r="DU301" i="91"/>
  <c r="DU288" i="91"/>
  <c r="EC312" i="91"/>
  <c r="EC301" i="91"/>
  <c r="EC288" i="91"/>
  <c r="DQ313" i="91"/>
  <c r="DQ302" i="91"/>
  <c r="DI277" i="91"/>
  <c r="DI278" i="91"/>
  <c r="EB277" i="91"/>
  <c r="EB278" i="91"/>
  <c r="BQ310" i="91"/>
  <c r="BQ285" i="91"/>
  <c r="BR239" i="91"/>
  <c r="BY310" i="91"/>
  <c r="BY285" i="91"/>
  <c r="BZ239" i="91"/>
  <c r="CG310" i="91"/>
  <c r="CG285" i="91"/>
  <c r="CH239" i="91"/>
  <c r="CO310" i="91"/>
  <c r="CO285" i="91"/>
  <c r="CP239" i="91"/>
  <c r="CW310" i="91"/>
  <c r="CW285" i="91"/>
  <c r="CX239" i="91"/>
  <c r="DE310" i="91"/>
  <c r="DE285" i="91"/>
  <c r="DF239" i="91"/>
  <c r="DM310" i="91"/>
  <c r="DM285" i="91"/>
  <c r="DN239" i="91"/>
  <c r="DU310" i="91"/>
  <c r="DU285" i="91"/>
  <c r="DV239" i="91"/>
  <c r="EC310" i="91"/>
  <c r="EC285" i="91"/>
  <c r="ED239" i="91"/>
  <c r="BO311" i="91"/>
  <c r="BO297" i="91"/>
  <c r="BO283" i="91"/>
  <c r="BO227" i="91"/>
  <c r="BW311" i="91"/>
  <c r="BW297" i="91"/>
  <c r="BW283" i="91"/>
  <c r="BW227" i="91"/>
  <c r="CE311" i="91"/>
  <c r="CE283" i="91"/>
  <c r="CE227" i="91"/>
  <c r="CM311" i="91"/>
  <c r="CM297" i="91"/>
  <c r="CM286" i="91"/>
  <c r="CM283" i="91"/>
  <c r="CM227" i="91"/>
  <c r="CU311" i="91"/>
  <c r="CU297" i="91"/>
  <c r="CU286" i="91"/>
  <c r="CU283" i="91"/>
  <c r="CU227" i="91"/>
  <c r="DC311" i="91"/>
  <c r="DC297" i="91"/>
  <c r="DC286" i="91"/>
  <c r="DC283" i="91"/>
  <c r="DC227" i="91"/>
  <c r="DK311" i="91"/>
  <c r="DK283" i="91"/>
  <c r="DK227" i="91"/>
  <c r="DS311" i="91"/>
  <c r="DS283" i="91"/>
  <c r="DS227" i="91"/>
  <c r="EA311" i="91"/>
  <c r="EA297" i="91"/>
  <c r="EA286" i="91"/>
  <c r="EA283" i="91"/>
  <c r="EA227" i="91"/>
  <c r="BO286" i="91"/>
  <c r="BW286" i="91"/>
  <c r="BN298" i="91"/>
  <c r="BV298" i="91"/>
  <c r="CL298" i="91"/>
  <c r="CT298" i="91"/>
  <c r="DJ298" i="91"/>
  <c r="DR298" i="91"/>
  <c r="DZ298" i="91"/>
  <c r="BQ139" i="91"/>
  <c r="BR224" i="91" s="1"/>
  <c r="CO224" i="91"/>
  <c r="CO138" i="91"/>
  <c r="CO137" i="91" s="1"/>
  <c r="CW139" i="91"/>
  <c r="BS232" i="91"/>
  <c r="BS168" i="91"/>
  <c r="BS278" i="91" s="1"/>
  <c r="CA232" i="91"/>
  <c r="CA168" i="91"/>
  <c r="CA277" i="91" s="1"/>
  <c r="CI232" i="91"/>
  <c r="CI168" i="91"/>
  <c r="CQ232" i="91"/>
  <c r="CQ168" i="91"/>
  <c r="CY232" i="91"/>
  <c r="CY168" i="91"/>
  <c r="CY278" i="91" s="1"/>
  <c r="DG232" i="91"/>
  <c r="DG168" i="91"/>
  <c r="DO232" i="91"/>
  <c r="DO168" i="91"/>
  <c r="DW232" i="91"/>
  <c r="DW168" i="91"/>
  <c r="EE232" i="91"/>
  <c r="EE168" i="91"/>
  <c r="EE278" i="91" s="1"/>
  <c r="BR312" i="91"/>
  <c r="BR301" i="91"/>
  <c r="BZ312" i="91"/>
  <c r="CH312" i="91"/>
  <c r="CH288" i="91"/>
  <c r="CP312" i="91"/>
  <c r="CP301" i="91"/>
  <c r="CP288" i="91"/>
  <c r="CX312" i="91"/>
  <c r="CX288" i="91"/>
  <c r="DF312" i="91"/>
  <c r="DF301" i="91"/>
  <c r="L277" i="91"/>
  <c r="L278" i="91"/>
  <c r="T277" i="91"/>
  <c r="T278" i="91"/>
  <c r="AB277" i="91"/>
  <c r="AB278" i="91"/>
  <c r="AJ277" i="91"/>
  <c r="AJ278" i="91"/>
  <c r="BP310" i="91"/>
  <c r="BP285" i="91"/>
  <c r="BQ239" i="91"/>
  <c r="BX310" i="91"/>
  <c r="BX285" i="91"/>
  <c r="BY239" i="91"/>
  <c r="CF310" i="91"/>
  <c r="CF285" i="91"/>
  <c r="CG239" i="91"/>
  <c r="CN310" i="91"/>
  <c r="CN285" i="91"/>
  <c r="CO239" i="91"/>
  <c r="CV310" i="91"/>
  <c r="CV285" i="91"/>
  <c r="CW239" i="91"/>
  <c r="DD310" i="91"/>
  <c r="DD285" i="91"/>
  <c r="DE239" i="91"/>
  <c r="DL310" i="91"/>
  <c r="DL285" i="91"/>
  <c r="DM239" i="91"/>
  <c r="DT310" i="91"/>
  <c r="DT285" i="91"/>
  <c r="DU239" i="91"/>
  <c r="EB310" i="91"/>
  <c r="EB285" i="91"/>
  <c r="EC239" i="91"/>
  <c r="BN311" i="91"/>
  <c r="BN297" i="91"/>
  <c r="BN283" i="91"/>
  <c r="BN227" i="91"/>
  <c r="BV311" i="91"/>
  <c r="BV297" i="91"/>
  <c r="BV283" i="91"/>
  <c r="BV227" i="91"/>
  <c r="CD311" i="91"/>
  <c r="CD283" i="91"/>
  <c r="CD227" i="91"/>
  <c r="CL311" i="91"/>
  <c r="CL297" i="91"/>
  <c r="CL286" i="91"/>
  <c r="CL283" i="91"/>
  <c r="CL227" i="91"/>
  <c r="CT311" i="91"/>
  <c r="CT297" i="91"/>
  <c r="CT286" i="91"/>
  <c r="CT283" i="91"/>
  <c r="CT227" i="91"/>
  <c r="DB311" i="91"/>
  <c r="DB297" i="91"/>
  <c r="DB286" i="91"/>
  <c r="DB283" i="91"/>
  <c r="DB227" i="91"/>
  <c r="DJ311" i="91"/>
  <c r="DJ283" i="91"/>
  <c r="DJ227" i="91"/>
  <c r="DR311" i="91"/>
  <c r="DR283" i="91"/>
  <c r="DR227" i="91"/>
  <c r="DZ311" i="91"/>
  <c r="DZ297" i="91"/>
  <c r="DZ286" i="91"/>
  <c r="DZ283" i="91"/>
  <c r="DZ227" i="91"/>
  <c r="BN286" i="91"/>
  <c r="BV286" i="91"/>
  <c r="BM298" i="91"/>
  <c r="BU298" i="91"/>
  <c r="CK298" i="91"/>
  <c r="CS298" i="91"/>
  <c r="DA298" i="91"/>
  <c r="DI298" i="91"/>
  <c r="DQ298" i="91"/>
  <c r="DY298" i="91"/>
  <c r="J166" i="91"/>
  <c r="R166" i="91"/>
  <c r="Z166" i="91"/>
  <c r="AH166" i="91"/>
  <c r="AH220" i="91" s="1"/>
  <c r="AP166" i="91"/>
  <c r="AP220" i="91" s="1"/>
  <c r="AX166" i="91"/>
  <c r="AX220" i="91" s="1"/>
  <c r="BF166" i="91"/>
  <c r="H202" i="91"/>
  <c r="H218" i="91" s="1"/>
  <c r="X202" i="91"/>
  <c r="X218" i="91" s="1"/>
  <c r="AF202" i="91"/>
  <c r="AF218" i="91" s="1"/>
  <c r="AN202" i="91"/>
  <c r="CC313" i="91"/>
  <c r="BP313" i="91"/>
  <c r="BP302" i="91"/>
  <c r="BP190" i="91"/>
  <c r="CF313" i="91"/>
  <c r="CF190" i="91"/>
  <c r="BQ236" i="91"/>
  <c r="BY236" i="91"/>
  <c r="CG236" i="91"/>
  <c r="CO236" i="91"/>
  <c r="CW236" i="91"/>
  <c r="DE236" i="91"/>
  <c r="DM236" i="91"/>
  <c r="DU236" i="91"/>
  <c r="DT236" i="91"/>
  <c r="EC236" i="91"/>
  <c r="I202" i="91"/>
  <c r="I218" i="91" s="1"/>
  <c r="Q202" i="91"/>
  <c r="Q218" i="91" s="1"/>
  <c r="Y202" i="91"/>
  <c r="Y218" i="91" s="1"/>
  <c r="AG202" i="91"/>
  <c r="AG218" i="91" s="1"/>
  <c r="AO202" i="91"/>
  <c r="AO218" i="91" s="1"/>
  <c r="AW202" i="91"/>
  <c r="AW218" i="91" s="1"/>
  <c r="CR202" i="91"/>
  <c r="CV313" i="91"/>
  <c r="CV302" i="91"/>
  <c r="CV190" i="91"/>
  <c r="EA313" i="91"/>
  <c r="EA302" i="91"/>
  <c r="CO313" i="91"/>
  <c r="CO302" i="91"/>
  <c r="CD224" i="91"/>
  <c r="DJ224" i="91"/>
  <c r="BN232" i="91"/>
  <c r="BN168" i="91"/>
  <c r="BN277" i="91" s="1"/>
  <c r="BV232" i="91"/>
  <c r="BV168" i="91"/>
  <c r="CD232" i="91"/>
  <c r="CD168" i="91"/>
  <c r="CL232" i="91"/>
  <c r="CL168" i="91"/>
  <c r="CT232" i="91"/>
  <c r="CT168" i="91"/>
  <c r="CT202" i="91" s="1"/>
  <c r="DB232" i="91"/>
  <c r="DB168" i="91"/>
  <c r="DB277" i="91" s="1"/>
  <c r="DJ232" i="91"/>
  <c r="DJ168" i="91"/>
  <c r="DR232" i="91"/>
  <c r="DR168" i="91"/>
  <c r="DR202" i="91" s="1"/>
  <c r="DZ232" i="91"/>
  <c r="DZ168" i="91"/>
  <c r="DZ277" i="91" s="1"/>
  <c r="BM312" i="91"/>
  <c r="BM301" i="91"/>
  <c r="BU312" i="91"/>
  <c r="BU301" i="91"/>
  <c r="CC312" i="91"/>
  <c r="CC301" i="91"/>
  <c r="CK301" i="91"/>
  <c r="CK312" i="91"/>
  <c r="CK288" i="91"/>
  <c r="CS312" i="91"/>
  <c r="CS301" i="91"/>
  <c r="CS288" i="91"/>
  <c r="DA312" i="91"/>
  <c r="DA288" i="91"/>
  <c r="DI312" i="91"/>
  <c r="DI301" i="91"/>
  <c r="DI288" i="91"/>
  <c r="DQ312" i="91"/>
  <c r="DQ301" i="91"/>
  <c r="DQ288" i="91"/>
  <c r="DY312" i="91"/>
  <c r="DY301" i="91"/>
  <c r="DY288" i="91"/>
  <c r="BQ314" i="91"/>
  <c r="BQ303" i="91"/>
  <c r="BY314" i="91"/>
  <c r="CG314" i="91"/>
  <c r="CO314" i="91"/>
  <c r="CO303" i="91"/>
  <c r="CW314" i="91"/>
  <c r="CW303" i="91"/>
  <c r="DE314" i="91"/>
  <c r="DM314" i="91"/>
  <c r="DM303" i="91"/>
  <c r="DU314" i="91"/>
  <c r="DU303" i="91"/>
  <c r="EC314" i="91"/>
  <c r="EC303" i="91"/>
  <c r="AH218" i="91"/>
  <c r="AP218" i="91"/>
  <c r="AX218" i="91"/>
  <c r="BM190" i="91"/>
  <c r="BU190" i="91"/>
  <c r="CC190" i="91"/>
  <c r="CK190" i="91"/>
  <c r="CS190" i="91"/>
  <c r="CS202" i="91" s="1"/>
  <c r="DA190" i="91"/>
  <c r="DI190" i="91"/>
  <c r="DI202" i="91" s="1"/>
  <c r="DQ190" i="91"/>
  <c r="DQ202" i="91" s="1"/>
  <c r="DY190" i="91"/>
  <c r="AZ202" i="91"/>
  <c r="JD202" i="91" s="1"/>
  <c r="CG313" i="91"/>
  <c r="BR196" i="91"/>
  <c r="BZ196" i="91"/>
  <c r="CH196" i="91"/>
  <c r="CX196" i="91"/>
  <c r="CX190" i="91" s="1"/>
  <c r="DF196" i="91"/>
  <c r="ED196" i="91"/>
  <c r="BQ313" i="91"/>
  <c r="BQ302" i="91"/>
  <c r="BY313" i="91"/>
  <c r="CW313" i="91"/>
  <c r="DU313" i="91"/>
  <c r="DU302" i="91"/>
  <c r="EC313" i="91"/>
  <c r="EC302" i="91"/>
  <c r="BO92" i="91"/>
  <c r="BO234" i="91" s="1"/>
  <c r="BW92" i="91"/>
  <c r="CE92" i="91"/>
  <c r="CM92" i="91"/>
  <c r="CU92" i="91"/>
  <c r="DC92" i="91"/>
  <c r="DK92" i="91"/>
  <c r="DS92" i="91"/>
  <c r="EA92" i="91"/>
  <c r="G278" i="91"/>
  <c r="G277" i="91"/>
  <c r="O278" i="91"/>
  <c r="O277" i="91"/>
  <c r="W278" i="91"/>
  <c r="W277" i="91"/>
  <c r="AE278" i="91"/>
  <c r="AE277" i="91"/>
  <c r="AM278" i="91"/>
  <c r="AM277" i="91"/>
  <c r="BS310" i="91"/>
  <c r="BS285" i="91"/>
  <c r="BT239" i="91"/>
  <c r="CA310" i="91"/>
  <c r="CA285" i="91"/>
  <c r="CB239" i="91"/>
  <c r="CI310" i="91"/>
  <c r="CI285" i="91"/>
  <c r="CJ239" i="91"/>
  <c r="CQ310" i="91"/>
  <c r="CQ285" i="91"/>
  <c r="CR239" i="91"/>
  <c r="CY310" i="91"/>
  <c r="CY285" i="91"/>
  <c r="CZ239" i="91"/>
  <c r="DG310" i="91"/>
  <c r="DG285" i="91"/>
  <c r="DH239" i="91"/>
  <c r="DO310" i="91"/>
  <c r="DO285" i="91"/>
  <c r="DP239" i="91"/>
  <c r="DW310" i="91"/>
  <c r="DW285" i="91"/>
  <c r="DX239" i="91"/>
  <c r="EE310" i="91"/>
  <c r="EE285" i="91"/>
  <c r="EF239" i="91"/>
  <c r="BQ297" i="91"/>
  <c r="CO297" i="91"/>
  <c r="CO286" i="91"/>
  <c r="CW297" i="91"/>
  <c r="CW286" i="91"/>
  <c r="DE297" i="91"/>
  <c r="DE286" i="91"/>
  <c r="DU297" i="91"/>
  <c r="DU286" i="91"/>
  <c r="EC297" i="91"/>
  <c r="EC286" i="91"/>
  <c r="BP298" i="91"/>
  <c r="BX298" i="91"/>
  <c r="CN298" i="91"/>
  <c r="CV298" i="91"/>
  <c r="DL298" i="91"/>
  <c r="DT298" i="91"/>
  <c r="EB298" i="91"/>
  <c r="CD138" i="91"/>
  <c r="CD137" i="91" s="1"/>
  <c r="DJ138" i="91"/>
  <c r="DJ137" i="91" s="1"/>
  <c r="BL190" i="91"/>
  <c r="JE190" i="91" s="1"/>
  <c r="DN313" i="91"/>
  <c r="DN302" i="91"/>
  <c r="EF313" i="91"/>
  <c r="EF302" i="91"/>
  <c r="EF190" i="91"/>
  <c r="BS302" i="91"/>
  <c r="BS313" i="91"/>
  <c r="BS190" i="91"/>
  <c r="CA313" i="91"/>
  <c r="CA190" i="91"/>
  <c r="CI313" i="91"/>
  <c r="CI302" i="91"/>
  <c r="CI190" i="91"/>
  <c r="CI202" i="91" s="1"/>
  <c r="CQ302" i="91"/>
  <c r="CQ313" i="91"/>
  <c r="CQ190" i="91"/>
  <c r="DG313" i="91"/>
  <c r="DG190" i="91"/>
  <c r="DO313" i="91"/>
  <c r="DO302" i="91"/>
  <c r="DO190" i="91"/>
  <c r="EE302" i="91"/>
  <c r="EE313" i="91"/>
  <c r="EE190" i="91"/>
  <c r="DV313" i="91"/>
  <c r="DV302" i="91"/>
  <c r="H278" i="91"/>
  <c r="H277" i="91"/>
  <c r="P278" i="91"/>
  <c r="P277" i="91"/>
  <c r="X278" i="91"/>
  <c r="X277" i="91"/>
  <c r="AF278" i="91"/>
  <c r="AF277" i="91"/>
  <c r="AN278" i="91"/>
  <c r="AN277" i="91"/>
  <c r="CN117" i="91"/>
  <c r="DO117" i="91"/>
  <c r="BT310" i="91"/>
  <c r="BT285" i="91"/>
  <c r="BU239" i="91"/>
  <c r="CB310" i="91"/>
  <c r="CB285" i="91"/>
  <c r="CC239" i="91"/>
  <c r="CJ310" i="91"/>
  <c r="CJ285" i="91"/>
  <c r="CK239" i="91"/>
  <c r="CR310" i="91"/>
  <c r="CR285" i="91"/>
  <c r="CS239" i="91"/>
  <c r="CZ310" i="91"/>
  <c r="CZ285" i="91"/>
  <c r="DA239" i="91"/>
  <c r="DH310" i="91"/>
  <c r="DH285" i="91"/>
  <c r="DI239" i="91"/>
  <c r="DP310" i="91"/>
  <c r="DP285" i="91"/>
  <c r="DQ239" i="91"/>
  <c r="DX310" i="91"/>
  <c r="DX285" i="91"/>
  <c r="DY239" i="91"/>
  <c r="EF310" i="91"/>
  <c r="EF285" i="91"/>
  <c r="BR311" i="91"/>
  <c r="BR297" i="91"/>
  <c r="BR283" i="91"/>
  <c r="BZ311" i="91"/>
  <c r="BZ283" i="91"/>
  <c r="CH311" i="91"/>
  <c r="CH283" i="91"/>
  <c r="CP311" i="91"/>
  <c r="CP297" i="91"/>
  <c r="CP286" i="91"/>
  <c r="CP283" i="91"/>
  <c r="CX311" i="91"/>
  <c r="CX297" i="91"/>
  <c r="CX286" i="91"/>
  <c r="CX283" i="91"/>
  <c r="DF311" i="91"/>
  <c r="DF297" i="91"/>
  <c r="DF286" i="91"/>
  <c r="DF283" i="91"/>
  <c r="DN311" i="91"/>
  <c r="DN283" i="91"/>
  <c r="DV311" i="91"/>
  <c r="DV297" i="91"/>
  <c r="DV286" i="91"/>
  <c r="DV283" i="91"/>
  <c r="ED311" i="91"/>
  <c r="ED297" i="91"/>
  <c r="ED283" i="91"/>
  <c r="BR286" i="91"/>
  <c r="BQ298" i="91"/>
  <c r="CO298" i="91"/>
  <c r="CW298" i="91"/>
  <c r="DE298" i="91"/>
  <c r="DM298" i="91"/>
  <c r="DU298" i="91"/>
  <c r="EC298" i="91"/>
  <c r="F166" i="91"/>
  <c r="N166" i="91"/>
  <c r="V166" i="91"/>
  <c r="AD166" i="91"/>
  <c r="AL166" i="91"/>
  <c r="AT166" i="91"/>
  <c r="AT220" i="91" s="1"/>
  <c r="BB166" i="91"/>
  <c r="BB220" i="91" s="1"/>
  <c r="BJ166" i="91"/>
  <c r="BO139" i="91"/>
  <c r="BW139" i="91"/>
  <c r="CE139" i="91"/>
  <c r="CM139" i="91"/>
  <c r="CU139" i="91"/>
  <c r="DC139" i="91"/>
  <c r="DK139" i="91"/>
  <c r="DS139" i="91"/>
  <c r="EA139" i="91"/>
  <c r="BM168" i="91"/>
  <c r="DY168" i="91"/>
  <c r="CZ202" i="91"/>
  <c r="BO313" i="91"/>
  <c r="BO302" i="91"/>
  <c r="CM313" i="91"/>
  <c r="CM302" i="91"/>
  <c r="DP313" i="91"/>
  <c r="DP302" i="91"/>
  <c r="DP190" i="91"/>
  <c r="I277" i="91"/>
  <c r="I278" i="91"/>
  <c r="Q277" i="91"/>
  <c r="Q278" i="91"/>
  <c r="Y277" i="91"/>
  <c r="Y278" i="91"/>
  <c r="AG277" i="91"/>
  <c r="AG278" i="91"/>
  <c r="BM285" i="91"/>
  <c r="BM310" i="91"/>
  <c r="BN239" i="91"/>
  <c r="BU310" i="91"/>
  <c r="BU285" i="91"/>
  <c r="BV239" i="91"/>
  <c r="CC310" i="91"/>
  <c r="CC285" i="91"/>
  <c r="CD239" i="91"/>
  <c r="CK310" i="91"/>
  <c r="CK285" i="91"/>
  <c r="CL239" i="91"/>
  <c r="CS285" i="91"/>
  <c r="CS310" i="91"/>
  <c r="CT239" i="91"/>
  <c r="DA310" i="91"/>
  <c r="DA285" i="91"/>
  <c r="DB239" i="91"/>
  <c r="DI310" i="91"/>
  <c r="DI285" i="91"/>
  <c r="DJ239" i="91"/>
  <c r="DQ310" i="91"/>
  <c r="DQ285" i="91"/>
  <c r="DR239" i="91"/>
  <c r="DY285" i="91"/>
  <c r="DY310" i="91"/>
  <c r="DZ239" i="91"/>
  <c r="BS297" i="91"/>
  <c r="BS311" i="91"/>
  <c r="BS283" i="91"/>
  <c r="BS227" i="91"/>
  <c r="CA311" i="91"/>
  <c r="CA283" i="91"/>
  <c r="CA227" i="91"/>
  <c r="CI311" i="91"/>
  <c r="CI283" i="91"/>
  <c r="CI227" i="91"/>
  <c r="CQ311" i="91"/>
  <c r="CQ297" i="91"/>
  <c r="CQ286" i="91"/>
  <c r="CQ283" i="91"/>
  <c r="CQ227" i="91"/>
  <c r="CY297" i="91"/>
  <c r="CY311" i="91"/>
  <c r="CY286" i="91"/>
  <c r="CY283" i="91"/>
  <c r="CY227" i="91"/>
  <c r="DG297" i="91"/>
  <c r="DG311" i="91"/>
  <c r="DG286" i="91"/>
  <c r="DG283" i="91"/>
  <c r="DG227" i="91"/>
  <c r="DO311" i="91"/>
  <c r="DO283" i="91"/>
  <c r="DO227" i="91"/>
  <c r="DW311" i="91"/>
  <c r="DW297" i="91"/>
  <c r="DW286" i="91"/>
  <c r="DW283" i="91"/>
  <c r="DW227" i="91"/>
  <c r="EE311" i="91"/>
  <c r="EE286" i="91"/>
  <c r="EE283" i="91"/>
  <c r="EE227" i="91"/>
  <c r="BS286" i="91"/>
  <c r="BR298" i="91"/>
  <c r="BZ298" i="91"/>
  <c r="CP298" i="91"/>
  <c r="CX298" i="91"/>
  <c r="DN298" i="91"/>
  <c r="DV298" i="91"/>
  <c r="ED298" i="91"/>
  <c r="BQ124" i="91"/>
  <c r="BQ286" i="91" s="1"/>
  <c r="BY124" i="91"/>
  <c r="BY117" i="91" s="1"/>
  <c r="CG124" i="91"/>
  <c r="CG283" i="91" s="1"/>
  <c r="CO124" i="91"/>
  <c r="CO311" i="91" s="1"/>
  <c r="CW124" i="91"/>
  <c r="CW283" i="91" s="1"/>
  <c r="DE124" i="91"/>
  <c r="DE227" i="91" s="1"/>
  <c r="DM124" i="91"/>
  <c r="DM311" i="91" s="1"/>
  <c r="DU124" i="91"/>
  <c r="DU283" i="91" s="1"/>
  <c r="EC124" i="91"/>
  <c r="EC311" i="91" s="1"/>
  <c r="G166" i="91"/>
  <c r="O166" i="91"/>
  <c r="W166" i="91"/>
  <c r="AE166" i="91"/>
  <c r="AM166" i="91"/>
  <c r="AU166" i="91"/>
  <c r="BC166" i="91"/>
  <c r="BK166" i="91"/>
  <c r="CK168" i="91"/>
  <c r="BQ168" i="91"/>
  <c r="BY168" i="91"/>
  <c r="BY202" i="91" s="1"/>
  <c r="CG168" i="91"/>
  <c r="CO168" i="91"/>
  <c r="CW168" i="91"/>
  <c r="DE168" i="91"/>
  <c r="DE202" i="91" s="1"/>
  <c r="DM168" i="91"/>
  <c r="DU168" i="91"/>
  <c r="DU228" i="91" s="1"/>
  <c r="EC168" i="91"/>
  <c r="EC228" i="91" s="1"/>
  <c r="CJ202" i="91"/>
  <c r="JG202" i="91" s="1"/>
  <c r="BT313" i="91"/>
  <c r="BT302" i="91"/>
  <c r="BT190" i="91"/>
  <c r="BM314" i="91"/>
  <c r="BM303" i="91"/>
  <c r="BU303" i="91"/>
  <c r="BU314" i="91"/>
  <c r="CC314" i="91"/>
  <c r="CK314" i="91"/>
  <c r="CK303" i="91"/>
  <c r="CS314" i="91"/>
  <c r="CS303" i="91"/>
  <c r="DA303" i="91"/>
  <c r="DA314" i="91"/>
  <c r="DI303" i="91"/>
  <c r="DI314" i="91"/>
  <c r="DQ314" i="91"/>
  <c r="DQ303" i="91"/>
  <c r="DY314" i="91"/>
  <c r="DY303" i="91"/>
  <c r="BX313" i="91"/>
  <c r="BX302" i="91"/>
  <c r="BX190" i="91"/>
  <c r="CP313" i="91"/>
  <c r="CP302" i="91"/>
  <c r="DE313" i="91"/>
  <c r="DE302" i="91"/>
  <c r="BN313" i="91"/>
  <c r="BN302" i="91"/>
  <c r="BV313" i="91"/>
  <c r="BV302" i="91"/>
  <c r="CD313" i="91"/>
  <c r="CL313" i="91"/>
  <c r="CL302" i="91"/>
  <c r="CT313" i="91"/>
  <c r="CT302" i="91"/>
  <c r="DB313" i="91"/>
  <c r="DJ313" i="91"/>
  <c r="DJ302" i="91"/>
  <c r="DR313" i="91"/>
  <c r="DR302" i="91"/>
  <c r="DZ313" i="91"/>
  <c r="DZ302" i="91"/>
  <c r="BM313" i="91"/>
  <c r="BM302" i="91"/>
  <c r="BU313" i="91"/>
  <c r="BU302" i="91"/>
  <c r="CK313" i="91"/>
  <c r="CK302" i="91"/>
  <c r="CS313" i="91"/>
  <c r="CS302" i="91"/>
  <c r="DA313" i="91"/>
  <c r="DI313" i="91"/>
  <c r="DI302" i="91"/>
  <c r="DY313" i="91"/>
  <c r="DY302" i="91"/>
  <c r="DN312" i="91"/>
  <c r="DN301" i="91"/>
  <c r="DN288" i="91"/>
  <c r="DV312" i="91"/>
  <c r="DV301" i="91"/>
  <c r="DV288" i="91"/>
  <c r="ED312" i="91"/>
  <c r="ED301" i="91"/>
  <c r="ED288" i="91"/>
  <c r="BN314" i="91"/>
  <c r="BN303" i="91"/>
  <c r="BV314" i="91"/>
  <c r="BV303" i="91"/>
  <c r="CD314" i="91"/>
  <c r="CD303" i="91"/>
  <c r="CL314" i="91"/>
  <c r="CL303" i="91"/>
  <c r="CT314" i="91"/>
  <c r="CT303" i="91"/>
  <c r="DB314" i="91"/>
  <c r="DB303" i="91"/>
  <c r="DJ314" i="91"/>
  <c r="DJ303" i="91"/>
  <c r="DR314" i="91"/>
  <c r="DR303" i="91"/>
  <c r="DZ314" i="91"/>
  <c r="DZ303" i="91"/>
  <c r="BD202" i="91"/>
  <c r="BD218" i="91" s="1"/>
  <c r="DH313" i="91"/>
  <c r="DH302" i="91"/>
  <c r="DH190" i="91"/>
  <c r="BW313" i="91"/>
  <c r="BW302" i="91"/>
  <c r="BO232" i="91"/>
  <c r="BW232" i="91"/>
  <c r="CE232" i="91"/>
  <c r="CM232" i="91"/>
  <c r="CU232" i="91"/>
  <c r="DC232" i="91"/>
  <c r="DK232" i="91"/>
  <c r="DS232" i="91"/>
  <c r="EA232" i="91"/>
  <c r="BN312" i="91"/>
  <c r="BN301" i="91"/>
  <c r="BV312" i="91"/>
  <c r="BV301" i="91"/>
  <c r="CD312" i="91"/>
  <c r="CL312" i="91"/>
  <c r="CL301" i="91"/>
  <c r="CL288" i="91"/>
  <c r="CT312" i="91"/>
  <c r="CT301" i="91"/>
  <c r="CT288" i="91"/>
  <c r="DB312" i="91"/>
  <c r="DB301" i="91"/>
  <c r="DB288" i="91"/>
  <c r="DJ312" i="91"/>
  <c r="DJ301" i="91"/>
  <c r="DJ288" i="91"/>
  <c r="DR312" i="91"/>
  <c r="DR301" i="91"/>
  <c r="DR288" i="91"/>
  <c r="DZ312" i="91"/>
  <c r="DZ301" i="91"/>
  <c r="DZ304" i="91" s="1"/>
  <c r="DZ288" i="91"/>
  <c r="BR314" i="91"/>
  <c r="BR303" i="91"/>
  <c r="BZ314" i="91"/>
  <c r="BZ303" i="91"/>
  <c r="CH314" i="91"/>
  <c r="CP314" i="91"/>
  <c r="CP303" i="91"/>
  <c r="CX314" i="91"/>
  <c r="CX303" i="91"/>
  <c r="DF314" i="91"/>
  <c r="DN314" i="91"/>
  <c r="DN303" i="91"/>
  <c r="DV314" i="91"/>
  <c r="DV303" i="91"/>
  <c r="ED314" i="91"/>
  <c r="ED303" i="91"/>
  <c r="G202" i="91"/>
  <c r="G218" i="91" s="1"/>
  <c r="O202" i="91"/>
  <c r="O218" i="91" s="1"/>
  <c r="W202" i="91"/>
  <c r="W218" i="91" s="1"/>
  <c r="AE202" i="91"/>
  <c r="AE218" i="91" s="1"/>
  <c r="AM202" i="91"/>
  <c r="AM218" i="91" s="1"/>
  <c r="AU202" i="91"/>
  <c r="AU218" i="91" s="1"/>
  <c r="BC202" i="91"/>
  <c r="BC218" i="91" s="1"/>
  <c r="BK202" i="91"/>
  <c r="BK218" i="91" s="1"/>
  <c r="CZ313" i="91"/>
  <c r="DS313" i="91"/>
  <c r="DS302" i="91"/>
  <c r="EB313" i="91"/>
  <c r="EB302" i="91"/>
  <c r="BR236" i="91"/>
  <c r="BZ236" i="91"/>
  <c r="CH236" i="91"/>
  <c r="CP236" i="91"/>
  <c r="CX236" i="91"/>
  <c r="DF236" i="91"/>
  <c r="DN236" i="91"/>
  <c r="DV236" i="91"/>
  <c r="ED236" i="91"/>
  <c r="K277" i="91"/>
  <c r="K278" i="91"/>
  <c r="S277" i="91"/>
  <c r="S278" i="91"/>
  <c r="AA277" i="91"/>
  <c r="AA278" i="91"/>
  <c r="AI277" i="91"/>
  <c r="AI278" i="91"/>
  <c r="BN310" i="91"/>
  <c r="BN285" i="91"/>
  <c r="BO239" i="91"/>
  <c r="BV310" i="91"/>
  <c r="BV285" i="91"/>
  <c r="BW239" i="91"/>
  <c r="CD310" i="91"/>
  <c r="CD285" i="91"/>
  <c r="CE239" i="91"/>
  <c r="CL310" i="91"/>
  <c r="CL285" i="91"/>
  <c r="CM239" i="91"/>
  <c r="CT310" i="91"/>
  <c r="CT285" i="91"/>
  <c r="CU239" i="91"/>
  <c r="DB310" i="91"/>
  <c r="DB285" i="91"/>
  <c r="DC239" i="91"/>
  <c r="DJ310" i="91"/>
  <c r="DJ285" i="91"/>
  <c r="DK239" i="91"/>
  <c r="DR310" i="91"/>
  <c r="DR285" i="91"/>
  <c r="DS239" i="91"/>
  <c r="DZ310" i="91"/>
  <c r="DZ285" i="91"/>
  <c r="EA239" i="91"/>
  <c r="BL311" i="91"/>
  <c r="BT311" i="91"/>
  <c r="BT297" i="91"/>
  <c r="BT283" i="91"/>
  <c r="BT227" i="91"/>
  <c r="CB311" i="91"/>
  <c r="CB283" i="91"/>
  <c r="CB227" i="91"/>
  <c r="CJ311" i="91"/>
  <c r="CJ283" i="91"/>
  <c r="CJ227" i="91"/>
  <c r="CR311" i="91"/>
  <c r="CR297" i="91"/>
  <c r="CR286" i="91"/>
  <c r="CR283" i="91"/>
  <c r="CR227" i="91"/>
  <c r="CZ311" i="91"/>
  <c r="CZ297" i="91"/>
  <c r="CZ286" i="91"/>
  <c r="CZ283" i="91"/>
  <c r="CZ227" i="91"/>
  <c r="DH311" i="91"/>
  <c r="DH297" i="91"/>
  <c r="DH286" i="91"/>
  <c r="DH283" i="91"/>
  <c r="DH227" i="91"/>
  <c r="DP311" i="91"/>
  <c r="DP283" i="91"/>
  <c r="DP227" i="91"/>
  <c r="DX311" i="91"/>
  <c r="DX297" i="91"/>
  <c r="DX286" i="91"/>
  <c r="DX283" i="91"/>
  <c r="DX227" i="91"/>
  <c r="EF311" i="91"/>
  <c r="EF286" i="91"/>
  <c r="EF283" i="91"/>
  <c r="EF227" i="91"/>
  <c r="BT286" i="91"/>
  <c r="BS298" i="91"/>
  <c r="CQ298" i="91"/>
  <c r="CY298" i="91"/>
  <c r="DG298" i="91"/>
  <c r="DO298" i="91"/>
  <c r="DW298" i="91"/>
  <c r="EE298" i="91"/>
  <c r="BP232" i="91"/>
  <c r="BX232" i="91"/>
  <c r="CF232" i="91"/>
  <c r="CN232" i="91"/>
  <c r="CV232" i="91"/>
  <c r="DD232" i="91"/>
  <c r="DL232" i="91"/>
  <c r="DT232" i="91"/>
  <c r="EB232" i="91"/>
  <c r="BO312" i="91"/>
  <c r="BO301" i="91"/>
  <c r="BW312" i="91"/>
  <c r="BW301" i="91"/>
  <c r="CE312" i="91"/>
  <c r="CE288" i="91"/>
  <c r="CM301" i="91"/>
  <c r="CM312" i="91"/>
  <c r="CM288" i="91"/>
  <c r="CU312" i="91"/>
  <c r="CU301" i="91"/>
  <c r="CU288" i="91"/>
  <c r="DC312" i="91"/>
  <c r="DC301" i="91"/>
  <c r="DK301" i="91"/>
  <c r="DK312" i="91"/>
  <c r="DK288" i="91"/>
  <c r="DS301" i="91"/>
  <c r="DS312" i="91"/>
  <c r="DS288" i="91"/>
  <c r="EA312" i="91"/>
  <c r="EA301" i="91"/>
  <c r="EA288" i="91"/>
  <c r="BS314" i="91"/>
  <c r="BS303" i="91"/>
  <c r="CA314" i="91"/>
  <c r="CI314" i="91"/>
  <c r="CI303" i="91"/>
  <c r="CQ314" i="91"/>
  <c r="CQ303" i="91"/>
  <c r="CY314" i="91"/>
  <c r="CY303" i="91"/>
  <c r="DG314" i="91"/>
  <c r="DG303" i="91"/>
  <c r="DO314" i="91"/>
  <c r="DO303" i="91"/>
  <c r="DW314" i="91"/>
  <c r="DW303" i="91"/>
  <c r="EE314" i="91"/>
  <c r="EE303" i="91"/>
  <c r="CR313" i="91"/>
  <c r="CR302" i="91"/>
  <c r="DK313" i="91"/>
  <c r="DK302" i="91"/>
  <c r="DT313" i="91"/>
  <c r="DT302" i="91"/>
  <c r="BQ232" i="91"/>
  <c r="BY232" i="91"/>
  <c r="CG232" i="91"/>
  <c r="CO232" i="91"/>
  <c r="CW232" i="91"/>
  <c r="DE232" i="91"/>
  <c r="DM232" i="91"/>
  <c r="DU232" i="91"/>
  <c r="EC232" i="91"/>
  <c r="BP312" i="91"/>
  <c r="BP301" i="91"/>
  <c r="BX312" i="91"/>
  <c r="BX301" i="91"/>
  <c r="CF312" i="91"/>
  <c r="CN312" i="91"/>
  <c r="CN301" i="91"/>
  <c r="CN288" i="91"/>
  <c r="CV312" i="91"/>
  <c r="CV301" i="91"/>
  <c r="CV288" i="91"/>
  <c r="DD312" i="91"/>
  <c r="DD301" i="91"/>
  <c r="DD288" i="91"/>
  <c r="DL312" i="91"/>
  <c r="DL301" i="91"/>
  <c r="DL288" i="91"/>
  <c r="DT312" i="91"/>
  <c r="DT301" i="91"/>
  <c r="DT288" i="91"/>
  <c r="EB312" i="91"/>
  <c r="EB301" i="91"/>
  <c r="EB288" i="91"/>
  <c r="BL314" i="91"/>
  <c r="BT314" i="91"/>
  <c r="BT303" i="91"/>
  <c r="CB314" i="91"/>
  <c r="CJ314" i="91"/>
  <c r="CR314" i="91"/>
  <c r="CR303" i="91"/>
  <c r="CZ314" i="91"/>
  <c r="CZ303" i="91"/>
  <c r="DH314" i="91"/>
  <c r="DH303" i="91"/>
  <c r="DP314" i="91"/>
  <c r="DP303" i="91"/>
  <c r="DX314" i="91"/>
  <c r="DX303" i="91"/>
  <c r="EF314" i="91"/>
  <c r="EF303" i="91"/>
  <c r="CJ313" i="91"/>
  <c r="DC313" i="91"/>
  <c r="DC302" i="91"/>
  <c r="DL313" i="91"/>
  <c r="DL302" i="91"/>
  <c r="CB313" i="91"/>
  <c r="CB302" i="91"/>
  <c r="CU313" i="91"/>
  <c r="CU302" i="91"/>
  <c r="DD313" i="91"/>
  <c r="DD302" i="91"/>
  <c r="DM313" i="91"/>
  <c r="DM302" i="91"/>
  <c r="BU236" i="91"/>
  <c r="CC236" i="91"/>
  <c r="DA236" i="91"/>
  <c r="DI236" i="91"/>
  <c r="DQ236" i="91"/>
  <c r="DY236" i="91"/>
  <c r="BN236" i="91"/>
  <c r="BM236" i="91"/>
  <c r="BT232" i="91"/>
  <c r="CB232" i="91"/>
  <c r="CJ232" i="91"/>
  <c r="CR232" i="91"/>
  <c r="CZ232" i="91"/>
  <c r="DH232" i="91"/>
  <c r="DP232" i="91"/>
  <c r="DX232" i="91"/>
  <c r="EF232" i="91"/>
  <c r="BS312" i="91"/>
  <c r="BS301" i="91"/>
  <c r="CA312" i="91"/>
  <c r="CI312" i="91"/>
  <c r="CQ312" i="91"/>
  <c r="CQ301" i="91"/>
  <c r="CQ288" i="91"/>
  <c r="CY312" i="91"/>
  <c r="CY288" i="91"/>
  <c r="DG312" i="91"/>
  <c r="DG301" i="91"/>
  <c r="DG288" i="91"/>
  <c r="DO312" i="91"/>
  <c r="DO301" i="91"/>
  <c r="DO288" i="91"/>
  <c r="DW312" i="91"/>
  <c r="DW301" i="91"/>
  <c r="DW288" i="91"/>
  <c r="EE312" i="91"/>
  <c r="EE301" i="91"/>
  <c r="EE288" i="91"/>
  <c r="BO314" i="91"/>
  <c r="BO303" i="91"/>
  <c r="BW303" i="91"/>
  <c r="BW314" i="91"/>
  <c r="CE314" i="91"/>
  <c r="CM314" i="91"/>
  <c r="CM303" i="91"/>
  <c r="CU314" i="91"/>
  <c r="CU303" i="91"/>
  <c r="DC314" i="91"/>
  <c r="DK314" i="91"/>
  <c r="DK303" i="91"/>
  <c r="DS314" i="91"/>
  <c r="DS303" i="91"/>
  <c r="EA314" i="91"/>
  <c r="EA303" i="91"/>
  <c r="L202" i="91"/>
  <c r="L218" i="91" s="1"/>
  <c r="T202" i="91"/>
  <c r="T218" i="91" s="1"/>
  <c r="AB202" i="91"/>
  <c r="AJ202" i="91"/>
  <c r="AJ218" i="91" s="1"/>
  <c r="AR202" i="91"/>
  <c r="AR218" i="91" s="1"/>
  <c r="BH202" i="91"/>
  <c r="BH218" i="91" s="1"/>
  <c r="CN202" i="91"/>
  <c r="DD190" i="91"/>
  <c r="DT202" i="91"/>
  <c r="JJ202" i="91" s="1"/>
  <c r="EB202" i="91"/>
  <c r="CE313" i="91"/>
  <c r="CN313" i="91"/>
  <c r="CN302" i="91"/>
  <c r="DX313" i="91"/>
  <c r="DX302" i="91"/>
  <c r="BO168" i="91"/>
  <c r="BW168" i="91"/>
  <c r="BW228" i="91" s="1"/>
  <c r="CE168" i="91"/>
  <c r="CM168" i="91"/>
  <c r="CU168" i="91"/>
  <c r="DC168" i="91"/>
  <c r="DK168" i="91"/>
  <c r="DS168" i="91"/>
  <c r="EA168" i="91"/>
  <c r="BM232" i="91"/>
  <c r="BU232" i="91"/>
  <c r="CC232" i="91"/>
  <c r="CK232" i="91"/>
  <c r="CS232" i="91"/>
  <c r="DA232" i="91"/>
  <c r="DI232" i="91"/>
  <c r="DQ232" i="91"/>
  <c r="DY232" i="91"/>
  <c r="BL312" i="91"/>
  <c r="BT312" i="91"/>
  <c r="BT301" i="91"/>
  <c r="CB312" i="91"/>
  <c r="CJ312" i="91"/>
  <c r="CR312" i="91"/>
  <c r="CR288" i="91"/>
  <c r="CR301" i="91"/>
  <c r="CZ312" i="91"/>
  <c r="CZ301" i="91"/>
  <c r="CZ288" i="91"/>
  <c r="DH312" i="91"/>
  <c r="DH288" i="91"/>
  <c r="DH301" i="91"/>
  <c r="DP312" i="91"/>
  <c r="DP288" i="91"/>
  <c r="DP301" i="91"/>
  <c r="DX312" i="91"/>
  <c r="DX288" i="91"/>
  <c r="DX301" i="91"/>
  <c r="EF312" i="91"/>
  <c r="EF301" i="91"/>
  <c r="EF288" i="91"/>
  <c r="BP314" i="91"/>
  <c r="BP303" i="91"/>
  <c r="BX314" i="91"/>
  <c r="BX303" i="91"/>
  <c r="CF314" i="91"/>
  <c r="CN314" i="91"/>
  <c r="CN303" i="91"/>
  <c r="CV314" i="91"/>
  <c r="CV303" i="91"/>
  <c r="DD314" i="91"/>
  <c r="DD303" i="91"/>
  <c r="DL314" i="91"/>
  <c r="DL303" i="91"/>
  <c r="DT314" i="91"/>
  <c r="DT303" i="91"/>
  <c r="EB314" i="91"/>
  <c r="EB303" i="91"/>
  <c r="BP236" i="91"/>
  <c r="CN236" i="91"/>
  <c r="CV236" i="91"/>
  <c r="DD236" i="91"/>
  <c r="DL236" i="91"/>
  <c r="EB236" i="91"/>
  <c r="BP214" i="91"/>
  <c r="BS255" i="91"/>
  <c r="CA255" i="91"/>
  <c r="CI255" i="91"/>
  <c r="CQ255" i="91"/>
  <c r="CY255" i="91"/>
  <c r="DG255" i="91"/>
  <c r="DO255" i="91"/>
  <c r="DW255" i="91"/>
  <c r="EE255" i="91"/>
  <c r="BT255" i="91"/>
  <c r="CB255" i="91"/>
  <c r="CJ255" i="91"/>
  <c r="CR255" i="91"/>
  <c r="CZ255" i="91"/>
  <c r="DH255" i="91"/>
  <c r="DP255" i="91"/>
  <c r="DX255" i="91"/>
  <c r="EF255" i="91"/>
  <c r="BX236" i="91"/>
  <c r="CF236" i="91"/>
  <c r="BV255" i="91"/>
  <c r="CD255" i="91"/>
  <c r="CL255" i="91"/>
  <c r="CT255" i="91"/>
  <c r="DB255" i="91"/>
  <c r="DJ255" i="91"/>
  <c r="DR255" i="91"/>
  <c r="DZ255" i="91"/>
  <c r="BO255" i="91"/>
  <c r="CM255" i="91"/>
  <c r="CU255" i="91"/>
  <c r="DS255" i="91"/>
  <c r="EA255" i="91"/>
  <c r="BP255" i="91"/>
  <c r="BX255" i="91"/>
  <c r="CF255" i="91"/>
  <c r="CN255" i="91"/>
  <c r="CV255" i="91"/>
  <c r="DD255" i="91"/>
  <c r="DL255" i="91"/>
  <c r="DT255" i="91"/>
  <c r="EB255" i="91"/>
  <c r="DS214" i="91"/>
  <c r="BQ255" i="91"/>
  <c r="BY255" i="91"/>
  <c r="CG255" i="91"/>
  <c r="CO255" i="91"/>
  <c r="CW255" i="91"/>
  <c r="DE255" i="91"/>
  <c r="DM255" i="91"/>
  <c r="DU255" i="91"/>
  <c r="EC255" i="91"/>
  <c r="CK236" i="91"/>
  <c r="CS236" i="91"/>
  <c r="BR255" i="91"/>
  <c r="BZ255" i="91"/>
  <c r="CH255" i="91"/>
  <c r="CX255" i="91"/>
  <c r="DF255" i="91"/>
  <c r="DN255" i="91"/>
  <c r="ED255" i="91"/>
  <c r="BU255" i="91"/>
  <c r="CC255" i="91"/>
  <c r="CK255" i="91"/>
  <c r="CS255" i="91"/>
  <c r="DA255" i="91"/>
  <c r="DI255" i="91"/>
  <c r="DQ255" i="91"/>
  <c r="DY255" i="91"/>
  <c r="N194" i="3" l="1"/>
  <c r="N27" i="1"/>
  <c r="N90" i="1"/>
  <c r="N89" i="1" s="1"/>
  <c r="N242" i="3"/>
  <c r="N53" i="3"/>
  <c r="N13" i="1"/>
  <c r="LL190" i="91"/>
  <c r="LM190" i="91"/>
  <c r="LM139" i="91"/>
  <c r="LL139" i="91"/>
  <c r="DX224" i="91"/>
  <c r="LL124" i="91"/>
  <c r="LM124" i="91"/>
  <c r="EE234" i="91"/>
  <c r="EF234" i="91"/>
  <c r="LM77" i="91"/>
  <c r="LL77" i="91"/>
  <c r="LL63" i="91"/>
  <c r="LM63" i="91"/>
  <c r="HN42" i="91"/>
  <c r="LL42" i="91"/>
  <c r="LM42" i="91"/>
  <c r="EC60" i="91"/>
  <c r="EC74" i="91" s="1"/>
  <c r="DZ40" i="91"/>
  <c r="DG60" i="91"/>
  <c r="DN40" i="91"/>
  <c r="DH60" i="91"/>
  <c r="LJ60" i="91" s="1"/>
  <c r="LJ61" i="91" s="1"/>
  <c r="LJ39" i="91"/>
  <c r="LJ40" i="91" s="1"/>
  <c r="DB40" i="91"/>
  <c r="DT40" i="91"/>
  <c r="LK39" i="91"/>
  <c r="LK40" i="91" s="1"/>
  <c r="DE40" i="91"/>
  <c r="CV40" i="91"/>
  <c r="LI39" i="91"/>
  <c r="LI40" i="91" s="1"/>
  <c r="DU60" i="91"/>
  <c r="DU223" i="91" s="1"/>
  <c r="N46" i="1"/>
  <c r="ED286" i="91"/>
  <c r="EF297" i="91"/>
  <c r="EF299" i="91" s="1"/>
  <c r="EF40" i="91"/>
  <c r="LL39" i="91"/>
  <c r="LL40" i="91" s="1"/>
  <c r="LM39" i="91"/>
  <c r="LM40" i="91" s="1"/>
  <c r="LM168" i="91"/>
  <c r="LL168" i="91"/>
  <c r="BL301" i="91"/>
  <c r="CJ277" i="91"/>
  <c r="DT311" i="91"/>
  <c r="BK301" i="91"/>
  <c r="BE298" i="91"/>
  <c r="BV224" i="91"/>
  <c r="BJ301" i="91"/>
  <c r="BA298" i="91"/>
  <c r="BF303" i="91"/>
  <c r="CS40" i="91"/>
  <c r="CR225" i="91"/>
  <c r="CJ278" i="91"/>
  <c r="BM138" i="91"/>
  <c r="BM137" i="91" s="1"/>
  <c r="BK303" i="91"/>
  <c r="BL298" i="91"/>
  <c r="BE301" i="91"/>
  <c r="BE304" i="91" s="1"/>
  <c r="BJ303" i="91"/>
  <c r="BA301" i="91"/>
  <c r="BH60" i="91"/>
  <c r="ED224" i="91"/>
  <c r="BG302" i="91"/>
  <c r="BK302" i="91"/>
  <c r="BD298" i="91"/>
  <c r="BE303" i="91"/>
  <c r="BJ302" i="91"/>
  <c r="BA303" i="91"/>
  <c r="DD202" i="91"/>
  <c r="BH302" i="91"/>
  <c r="BG298" i="91"/>
  <c r="BC298" i="91"/>
  <c r="BD301" i="91"/>
  <c r="BD304" i="91" s="1"/>
  <c r="BE302" i="91"/>
  <c r="BB298" i="91"/>
  <c r="BI302" i="91"/>
  <c r="DU202" i="91"/>
  <c r="BH298" i="91"/>
  <c r="BG301" i="91"/>
  <c r="BC301" i="91"/>
  <c r="CX138" i="91"/>
  <c r="CX137" i="91" s="1"/>
  <c r="CY225" i="91" s="1"/>
  <c r="BD303" i="91"/>
  <c r="BB301" i="91"/>
  <c r="BI298" i="91"/>
  <c r="CL40" i="91"/>
  <c r="DX202" i="91"/>
  <c r="CV138" i="91"/>
  <c r="BH301" i="91"/>
  <c r="BG303" i="91"/>
  <c r="BC303" i="91"/>
  <c r="DD278" i="91"/>
  <c r="BD302" i="91"/>
  <c r="BB303" i="91"/>
  <c r="BI301" i="91"/>
  <c r="BF302" i="91"/>
  <c r="AL60" i="91"/>
  <c r="AZ74" i="91"/>
  <c r="AZ105" i="91" s="1"/>
  <c r="DC228" i="91"/>
  <c r="BL303" i="91"/>
  <c r="Z220" i="91"/>
  <c r="BH303" i="91"/>
  <c r="BC302" i="91"/>
  <c r="BB302" i="91"/>
  <c r="BI303" i="91"/>
  <c r="BF298" i="91"/>
  <c r="AO39" i="91"/>
  <c r="JK39" i="91"/>
  <c r="CR304" i="91"/>
  <c r="CY301" i="91"/>
  <c r="CY304" i="91" s="1"/>
  <c r="CZ302" i="91"/>
  <c r="DF303" i="91"/>
  <c r="DA302" i="91"/>
  <c r="DB302" i="91"/>
  <c r="DB304" i="91" s="1"/>
  <c r="EE297" i="91"/>
  <c r="F220" i="91"/>
  <c r="BL302" i="91"/>
  <c r="DD298" i="91"/>
  <c r="CD202" i="91"/>
  <c r="R220" i="91"/>
  <c r="CX301" i="91"/>
  <c r="DB298" i="91"/>
  <c r="CV283" i="91"/>
  <c r="CH40" i="91"/>
  <c r="CT40" i="91"/>
  <c r="DW224" i="91"/>
  <c r="DC303" i="91"/>
  <c r="DC288" i="91"/>
  <c r="DH299" i="91"/>
  <c r="DT224" i="91"/>
  <c r="BJ220" i="91"/>
  <c r="DO202" i="91"/>
  <c r="BL313" i="91"/>
  <c r="CX202" i="91"/>
  <c r="CW288" i="91"/>
  <c r="DC298" i="91"/>
  <c r="JL99" i="91"/>
  <c r="AU61" i="91"/>
  <c r="CQ40" i="91"/>
  <c r="JH99" i="91"/>
  <c r="EF304" i="91"/>
  <c r="DM228" i="91"/>
  <c r="CW302" i="91"/>
  <c r="DA202" i="91"/>
  <c r="DE303" i="91"/>
  <c r="CW301" i="91"/>
  <c r="CW304" i="91" s="1"/>
  <c r="AZ92" i="91"/>
  <c r="JD92" i="91" s="1"/>
  <c r="EB297" i="91"/>
  <c r="EB299" i="91" s="1"/>
  <c r="JF64" i="91"/>
  <c r="BN60" i="91"/>
  <c r="E220" i="91"/>
  <c r="EC224" i="91"/>
  <c r="CR299" i="91"/>
  <c r="DT138" i="91"/>
  <c r="DT137" i="91" s="1"/>
  <c r="JJ137" i="91" s="1"/>
  <c r="DF288" i="91"/>
  <c r="DU138" i="91"/>
  <c r="DU137" i="91" s="1"/>
  <c r="DV225" i="91" s="1"/>
  <c r="DZ224" i="91"/>
  <c r="DV224" i="91"/>
  <c r="CJ40" i="91"/>
  <c r="CW39" i="91"/>
  <c r="CW60" i="91" s="1"/>
  <c r="JD47" i="91"/>
  <c r="CO228" i="91"/>
  <c r="DP202" i="91"/>
  <c r="DC299" i="91"/>
  <c r="CZ138" i="91"/>
  <c r="CZ137" i="91" s="1"/>
  <c r="CL225" i="91"/>
  <c r="DO224" i="91"/>
  <c r="DF298" i="91"/>
  <c r="CJ228" i="91"/>
  <c r="DG302" i="91"/>
  <c r="DG304" i="91" s="1"/>
  <c r="BU202" i="91"/>
  <c r="DA301" i="91"/>
  <c r="CZ228" i="91"/>
  <c r="DE288" i="91"/>
  <c r="BI220" i="91"/>
  <c r="CZ298" i="91"/>
  <c r="DL278" i="91"/>
  <c r="DV40" i="91"/>
  <c r="EF60" i="91"/>
  <c r="EF74" i="91" s="1"/>
  <c r="BL168" i="91"/>
  <c r="JE168" i="91" s="1"/>
  <c r="JL11" i="91"/>
  <c r="JK11" i="91"/>
  <c r="CK224" i="91"/>
  <c r="JG139" i="91"/>
  <c r="CF303" i="91"/>
  <c r="CJ301" i="91"/>
  <c r="CJ304" i="91" s="1"/>
  <c r="CM228" i="91"/>
  <c r="CE302" i="91"/>
  <c r="CE303" i="91"/>
  <c r="CI288" i="91"/>
  <c r="CD302" i="91"/>
  <c r="BT202" i="91"/>
  <c r="CF298" i="91"/>
  <c r="BY302" i="91"/>
  <c r="BY304" i="91" s="1"/>
  <c r="BY303" i="91"/>
  <c r="CC302" i="91"/>
  <c r="CH301" i="91"/>
  <c r="CG288" i="91"/>
  <c r="CT224" i="91"/>
  <c r="CE298" i="91"/>
  <c r="EB138" i="91"/>
  <c r="EB137" i="91" s="1"/>
  <c r="EC225" i="91" s="1"/>
  <c r="JI63" i="91"/>
  <c r="CD40" i="91"/>
  <c r="E40" i="91"/>
  <c r="JA39" i="91"/>
  <c r="DI11" i="91"/>
  <c r="JJ14" i="91"/>
  <c r="JJ92" i="91"/>
  <c r="JG99" i="91"/>
  <c r="AZ138" i="91"/>
  <c r="JD139" i="91"/>
  <c r="CJ288" i="91"/>
  <c r="AB218" i="91"/>
  <c r="JB202" i="91"/>
  <c r="JB218" i="91" s="1"/>
  <c r="CI301" i="91"/>
  <c r="CA303" i="91"/>
  <c r="CE301" i="91"/>
  <c r="DY228" i="91"/>
  <c r="DY226" i="91" s="1"/>
  <c r="AD220" i="91"/>
  <c r="CG301" i="91"/>
  <c r="CJ298" i="91"/>
  <c r="CS138" i="91"/>
  <c r="CS137" i="91" s="1"/>
  <c r="CT225" i="91" s="1"/>
  <c r="BT277" i="91"/>
  <c r="BZ224" i="91"/>
  <c r="JF63" i="91"/>
  <c r="JB39" i="91"/>
  <c r="JB40" i="91" s="1"/>
  <c r="JD117" i="91"/>
  <c r="JI39" i="91"/>
  <c r="JI40" i="91" s="1"/>
  <c r="AO77" i="91"/>
  <c r="JL124" i="91"/>
  <c r="JK124" i="91"/>
  <c r="JK42" i="91"/>
  <c r="JL42" i="91"/>
  <c r="JF99" i="91"/>
  <c r="JJ83" i="91"/>
  <c r="BX202" i="91"/>
  <c r="JF202" i="91" s="1"/>
  <c r="JF190" i="91"/>
  <c r="EE202" i="91"/>
  <c r="CG302" i="91"/>
  <c r="CG304" i="91" s="1"/>
  <c r="AN218" i="91"/>
  <c r="JC202" i="91"/>
  <c r="JC218" i="91" s="1"/>
  <c r="BZ288" i="91"/>
  <c r="CV137" i="91"/>
  <c r="JH137" i="91" s="1"/>
  <c r="JH138" i="91"/>
  <c r="CD298" i="91"/>
  <c r="CB298" i="91"/>
  <c r="DP138" i="91"/>
  <c r="DP137" i="91" s="1"/>
  <c r="DP166" i="91" s="1"/>
  <c r="JH92" i="91"/>
  <c r="JG92" i="91"/>
  <c r="JL92" i="91"/>
  <c r="JK92" i="91"/>
  <c r="BD40" i="91"/>
  <c r="DX60" i="91"/>
  <c r="DX74" i="91" s="1"/>
  <c r="CB202" i="91"/>
  <c r="AV74" i="91"/>
  <c r="AV105" i="91" s="1"/>
  <c r="AV109" i="91" s="1"/>
  <c r="DN225" i="91"/>
  <c r="JL83" i="91"/>
  <c r="JK83" i="91"/>
  <c r="BA11" i="91"/>
  <c r="JE14" i="91"/>
  <c r="AN11" i="91"/>
  <c r="JC14" i="91"/>
  <c r="JF92" i="91"/>
  <c r="DH202" i="91"/>
  <c r="JI202" i="91" s="1"/>
  <c r="JI190" i="91"/>
  <c r="JK190" i="91"/>
  <c r="JL190" i="91"/>
  <c r="CZ304" i="91"/>
  <c r="CB301" i="91"/>
  <c r="CA288" i="91"/>
  <c r="CJ303" i="91"/>
  <c r="CC303" i="91"/>
  <c r="CG202" i="91"/>
  <c r="CG298" i="91"/>
  <c r="CA302" i="91"/>
  <c r="CF302" i="91"/>
  <c r="CC298" i="91"/>
  <c r="BZ301" i="91"/>
  <c r="BY288" i="91"/>
  <c r="JJ63" i="91"/>
  <c r="DO138" i="91"/>
  <c r="DO137" i="91" s="1"/>
  <c r="DQ60" i="91"/>
  <c r="DP40" i="91"/>
  <c r="CK60" i="91"/>
  <c r="JH39" i="91"/>
  <c r="JH40" i="91" s="1"/>
  <c r="HN168" i="91"/>
  <c r="JK168" i="91"/>
  <c r="JL168" i="91"/>
  <c r="EE224" i="91"/>
  <c r="AZ83" i="91"/>
  <c r="AZ77" i="91" s="1"/>
  <c r="JJ77" i="91"/>
  <c r="CV117" i="91"/>
  <c r="JH124" i="91"/>
  <c r="BY72" i="91"/>
  <c r="JG72" i="91" s="1"/>
  <c r="JG63" i="91"/>
  <c r="JJ99" i="91"/>
  <c r="DH117" i="91"/>
  <c r="JI124" i="91"/>
  <c r="JL63" i="91"/>
  <c r="JK63" i="91"/>
  <c r="BX117" i="91"/>
  <c r="JF117" i="91" s="1"/>
  <c r="JF124" i="91"/>
  <c r="DT117" i="91"/>
  <c r="JJ124" i="91"/>
  <c r="BY83" i="91"/>
  <c r="JG84" i="91"/>
  <c r="CB288" i="91"/>
  <c r="DS228" i="91"/>
  <c r="CA301" i="91"/>
  <c r="EB224" i="91"/>
  <c r="BY298" i="91"/>
  <c r="BS202" i="91"/>
  <c r="CL299" i="91"/>
  <c r="BW299" i="91"/>
  <c r="BY301" i="91"/>
  <c r="CL166" i="91"/>
  <c r="DH137" i="91"/>
  <c r="JI137" i="91" s="1"/>
  <c r="JI138" i="91"/>
  <c r="CL224" i="91"/>
  <c r="CW83" i="91"/>
  <c r="JI84" i="91"/>
  <c r="CY40" i="91"/>
  <c r="X40" i="91"/>
  <c r="CO60" i="91"/>
  <c r="P218" i="91"/>
  <c r="JA202" i="91"/>
  <c r="JA218" i="91" s="1"/>
  <c r="JH168" i="91"/>
  <c r="HN139" i="91"/>
  <c r="JK139" i="91"/>
  <c r="JL139" i="91"/>
  <c r="AO60" i="91"/>
  <c r="JD60" i="91" s="1"/>
  <c r="JD61" i="91" s="1"/>
  <c r="JD39" i="91"/>
  <c r="JD40" i="91" s="1"/>
  <c r="DO304" i="91"/>
  <c r="CJ302" i="91"/>
  <c r="CB303" i="91"/>
  <c r="CB304" i="91" s="1"/>
  <c r="CF288" i="91"/>
  <c r="CI298" i="91"/>
  <c r="CZ226" i="91"/>
  <c r="CH303" i="91"/>
  <c r="CD288" i="91"/>
  <c r="BY224" i="91"/>
  <c r="JF139" i="91"/>
  <c r="CJ234" i="91"/>
  <c r="JL77" i="91"/>
  <c r="JK77" i="91"/>
  <c r="DK60" i="91"/>
  <c r="DK223" i="91" s="1"/>
  <c r="CK77" i="91"/>
  <c r="JH77" i="91" s="1"/>
  <c r="JH83" i="91"/>
  <c r="BA77" i="91"/>
  <c r="JE77" i="91" s="1"/>
  <c r="JE83" i="91"/>
  <c r="BM60" i="91"/>
  <c r="BM74" i="91" s="1"/>
  <c r="JF39" i="91"/>
  <c r="JF40" i="91" s="1"/>
  <c r="BM77" i="91"/>
  <c r="JF83" i="91"/>
  <c r="JK99" i="91"/>
  <c r="JI99" i="91"/>
  <c r="BT304" i="91"/>
  <c r="CF301" i="91"/>
  <c r="CA298" i="91"/>
  <c r="CD301" i="91"/>
  <c r="CD304" i="91" s="1"/>
  <c r="BY166" i="91"/>
  <c r="CH298" i="91"/>
  <c r="CG303" i="91"/>
  <c r="CC288" i="91"/>
  <c r="CV202" i="91"/>
  <c r="JH202" i="91" s="1"/>
  <c r="JH190" i="91"/>
  <c r="CR224" i="91"/>
  <c r="JI92" i="91"/>
  <c r="JH63" i="91"/>
  <c r="DY40" i="91"/>
  <c r="BT60" i="91"/>
  <c r="JD63" i="91"/>
  <c r="BX277" i="91"/>
  <c r="JF168" i="91"/>
  <c r="JL39" i="91"/>
  <c r="JH84" i="91"/>
  <c r="BY11" i="91"/>
  <c r="JG14" i="91"/>
  <c r="DS234" i="91"/>
  <c r="DX166" i="91"/>
  <c r="CJ138" i="91"/>
  <c r="DW138" i="91"/>
  <c r="DW137" i="91" s="1"/>
  <c r="DW225" i="91" s="1"/>
  <c r="CV60" i="91"/>
  <c r="BP60" i="91"/>
  <c r="CC202" i="91"/>
  <c r="BV202" i="91"/>
  <c r="DY224" i="91"/>
  <c r="AC220" i="91"/>
  <c r="CJ224" i="91"/>
  <c r="HN63" i="91"/>
  <c r="BS304" i="91"/>
  <c r="DT60" i="91"/>
  <c r="LK60" i="91" s="1"/>
  <c r="LK61" i="91" s="1"/>
  <c r="BL60" i="91"/>
  <c r="BL61" i="91" s="1"/>
  <c r="AD40" i="91"/>
  <c r="BI60" i="91"/>
  <c r="BI61" i="91" s="1"/>
  <c r="CR60" i="91"/>
  <c r="EE304" i="91"/>
  <c r="AE40" i="91"/>
  <c r="AV61" i="91"/>
  <c r="DR224" i="91"/>
  <c r="DL60" i="91"/>
  <c r="DL223" i="91" s="1"/>
  <c r="CX40" i="91"/>
  <c r="BM40" i="91"/>
  <c r="CP40" i="91"/>
  <c r="BE220" i="91"/>
  <c r="DX304" i="91"/>
  <c r="EB286" i="91"/>
  <c r="CI138" i="91"/>
  <c r="CI137" i="91" s="1"/>
  <c r="CI225" i="91" s="1"/>
  <c r="EA60" i="91"/>
  <c r="EA74" i="91" s="1"/>
  <c r="CC60" i="91"/>
  <c r="CC223" i="91" s="1"/>
  <c r="BN299" i="91"/>
  <c r="HN39" i="91"/>
  <c r="BV304" i="91"/>
  <c r="CB224" i="91"/>
  <c r="EE138" i="91"/>
  <c r="EE137" i="91" s="1"/>
  <c r="EE225" i="91" s="1"/>
  <c r="BO40" i="91"/>
  <c r="CI304" i="91"/>
  <c r="DX299" i="91"/>
  <c r="DE234" i="91"/>
  <c r="HN124" i="91"/>
  <c r="N80" i="1" s="1"/>
  <c r="EF117" i="91"/>
  <c r="DL202" i="91"/>
  <c r="BT299" i="91"/>
  <c r="BT306" i="91" s="1"/>
  <c r="BT307" i="91" s="1"/>
  <c r="CU299" i="91"/>
  <c r="CZ224" i="91"/>
  <c r="CA234" i="91"/>
  <c r="CO234" i="91"/>
  <c r="CM60" i="91"/>
  <c r="CM74" i="91" s="1"/>
  <c r="CU40" i="91"/>
  <c r="CB40" i="91"/>
  <c r="DW40" i="91"/>
  <c r="CG60" i="91"/>
  <c r="CG223" i="91" s="1"/>
  <c r="AO40" i="91"/>
  <c r="H40" i="91"/>
  <c r="O60" i="91"/>
  <c r="CA304" i="91"/>
  <c r="CW228" i="91"/>
  <c r="CG138" i="91"/>
  <c r="CG137" i="91" s="1"/>
  <c r="BA220" i="91"/>
  <c r="DW228" i="91"/>
  <c r="DW226" i="91" s="1"/>
  <c r="DM202" i="91"/>
  <c r="N220" i="91"/>
  <c r="BX278" i="91"/>
  <c r="CC224" i="91"/>
  <c r="AK60" i="91"/>
  <c r="AK61" i="91" s="1"/>
  <c r="DA40" i="91"/>
  <c r="AM60" i="91"/>
  <c r="AM74" i="91" s="1"/>
  <c r="BL304" i="91"/>
  <c r="BL202" i="91"/>
  <c r="BL220" i="91" s="1"/>
  <c r="HN99" i="91"/>
  <c r="N60" i="1" s="1"/>
  <c r="DP234" i="91"/>
  <c r="BJ60" i="91"/>
  <c r="BJ74" i="91" s="1"/>
  <c r="DB224" i="91"/>
  <c r="DO234" i="91"/>
  <c r="CU228" i="91"/>
  <c r="CG228" i="91"/>
  <c r="BM228" i="91"/>
  <c r="BM226" i="91" s="1"/>
  <c r="BN202" i="91"/>
  <c r="BF220" i="91"/>
  <c r="DG234" i="91"/>
  <c r="BA304" i="91"/>
  <c r="EE40" i="91"/>
  <c r="DH40" i="91"/>
  <c r="P220" i="91"/>
  <c r="BG220" i="91"/>
  <c r="AQ220" i="91"/>
  <c r="HN83" i="91"/>
  <c r="N57" i="1" s="1"/>
  <c r="CJ226" i="91"/>
  <c r="BP224" i="91"/>
  <c r="CT299" i="91"/>
  <c r="CQ234" i="91"/>
  <c r="CY234" i="91"/>
  <c r="CM299" i="91"/>
  <c r="BU234" i="91"/>
  <c r="DD60" i="91"/>
  <c r="JI60" i="91" s="1"/>
  <c r="JI61" i="91" s="1"/>
  <c r="CK40" i="91"/>
  <c r="BR40" i="91"/>
  <c r="CZ40" i="91"/>
  <c r="BB40" i="91"/>
  <c r="DJ228" i="91"/>
  <c r="EF138" i="91"/>
  <c r="DB138" i="91"/>
  <c r="DB137" i="91" s="1"/>
  <c r="DB166" i="91" s="1"/>
  <c r="DN224" i="91"/>
  <c r="HN77" i="91"/>
  <c r="EA228" i="91"/>
  <c r="BO228" i="91"/>
  <c r="BO226" i="91" s="1"/>
  <c r="DJ304" i="91"/>
  <c r="HN190" i="91"/>
  <c r="DZ202" i="91"/>
  <c r="CF202" i="91"/>
  <c r="DB299" i="91"/>
  <c r="EF224" i="91"/>
  <c r="BC60" i="91"/>
  <c r="BC74" i="91" s="1"/>
  <c r="ED40" i="91"/>
  <c r="HN11" i="91"/>
  <c r="DP304" i="91"/>
  <c r="AL220" i="91"/>
  <c r="DG202" i="91"/>
  <c r="CF278" i="91"/>
  <c r="BN224" i="91"/>
  <c r="CA202" i="91"/>
  <c r="J220" i="91"/>
  <c r="CK234" i="91"/>
  <c r="HN92" i="91"/>
  <c r="DH304" i="91"/>
  <c r="DH306" i="91" s="1"/>
  <c r="DH307" i="91" s="1"/>
  <c r="CQ304" i="91"/>
  <c r="V220" i="91"/>
  <c r="BH304" i="91"/>
  <c r="AI220" i="91"/>
  <c r="DR304" i="91"/>
  <c r="CQ202" i="91"/>
  <c r="DZ299" i="91"/>
  <c r="DZ306" i="91" s="1"/>
  <c r="DZ307" i="91" s="1"/>
  <c r="CG234" i="91"/>
  <c r="BZ40" i="91"/>
  <c r="AS220" i="91"/>
  <c r="AA220" i="91"/>
  <c r="CE228" i="91"/>
  <c r="CE226" i="91" s="1"/>
  <c r="CZ299" i="91"/>
  <c r="CT304" i="91"/>
  <c r="U220" i="91"/>
  <c r="S220" i="91"/>
  <c r="BQ228" i="91"/>
  <c r="CT228" i="91"/>
  <c r="CT226" i="91" s="1"/>
  <c r="BP202" i="91"/>
  <c r="BV299" i="91"/>
  <c r="BO299" i="91"/>
  <c r="BP234" i="91"/>
  <c r="BP278" i="91"/>
  <c r="AV220" i="91"/>
  <c r="M220" i="91"/>
  <c r="K220" i="91"/>
  <c r="DW304" i="91"/>
  <c r="BN304" i="91"/>
  <c r="BN306" i="91" s="1"/>
  <c r="BN307" i="91" s="1"/>
  <c r="CK228" i="91"/>
  <c r="CK226" i="91" s="1"/>
  <c r="DX228" i="91"/>
  <c r="DX226" i="91" s="1"/>
  <c r="CL304" i="91"/>
  <c r="CL306" i="91" s="1"/>
  <c r="CL307" i="91" s="1"/>
  <c r="EA299" i="91"/>
  <c r="DW234" i="91"/>
  <c r="BK304" i="91"/>
  <c r="BB304" i="91"/>
  <c r="DK228" i="91"/>
  <c r="DJ202" i="91"/>
  <c r="DM234" i="91"/>
  <c r="AY220" i="91"/>
  <c r="DT304" i="91"/>
  <c r="DK304" i="91"/>
  <c r="DE228" i="91"/>
  <c r="DE226" i="91" s="1"/>
  <c r="BK220" i="91"/>
  <c r="DK224" i="91"/>
  <c r="DK138" i="91"/>
  <c r="DK137" i="91" s="1"/>
  <c r="DF227" i="91"/>
  <c r="CX299" i="91"/>
  <c r="CN277" i="91"/>
  <c r="CN278" i="91"/>
  <c r="EC227" i="91"/>
  <c r="EC226" i="91" s="1"/>
  <c r="DU299" i="91"/>
  <c r="DE283" i="91"/>
  <c r="CW311" i="91"/>
  <c r="BQ227" i="91"/>
  <c r="CH313" i="91"/>
  <c r="CH302" i="91"/>
  <c r="DA304" i="91"/>
  <c r="DT228" i="91"/>
  <c r="DT226" i="91" s="1"/>
  <c r="DC226" i="91"/>
  <c r="CW117" i="91"/>
  <c r="BW202" i="91"/>
  <c r="DY299" i="91"/>
  <c r="DY225" i="91"/>
  <c r="DY166" i="91"/>
  <c r="AW220" i="91"/>
  <c r="DW277" i="91"/>
  <c r="DA277" i="91"/>
  <c r="DA278" i="91"/>
  <c r="AN220" i="91"/>
  <c r="AB220" i="91"/>
  <c r="BS225" i="91"/>
  <c r="BS166" i="91"/>
  <c r="BW234" i="91"/>
  <c r="BZ225" i="91"/>
  <c r="BZ166" i="91"/>
  <c r="CN299" i="91"/>
  <c r="AC40" i="91"/>
  <c r="AC60" i="91"/>
  <c r="EB234" i="91"/>
  <c r="CX166" i="91"/>
  <c r="DB278" i="91"/>
  <c r="BR277" i="91"/>
  <c r="Q60" i="91"/>
  <c r="Q40" i="91"/>
  <c r="CM61" i="91"/>
  <c r="DF223" i="91"/>
  <c r="DF61" i="91"/>
  <c r="DF74" i="91"/>
  <c r="AD61" i="91"/>
  <c r="AD74" i="91"/>
  <c r="BQ223" i="91"/>
  <c r="BQ61" i="91"/>
  <c r="BQ74" i="91"/>
  <c r="DZ223" i="91"/>
  <c r="DZ61" i="91"/>
  <c r="DZ74" i="91"/>
  <c r="AT61" i="91"/>
  <c r="AT74" i="91"/>
  <c r="AT105" i="91" s="1"/>
  <c r="CR223" i="91"/>
  <c r="CR74" i="91"/>
  <c r="CR61" i="91"/>
  <c r="EF223" i="91"/>
  <c r="BZ223" i="91"/>
  <c r="BZ61" i="91"/>
  <c r="BZ74" i="91"/>
  <c r="X74" i="91"/>
  <c r="X61" i="91"/>
  <c r="CP223" i="91"/>
  <c r="CP61" i="91"/>
  <c r="CP74" i="91"/>
  <c r="AE74" i="91"/>
  <c r="AE61" i="91"/>
  <c r="EC223" i="91"/>
  <c r="EC61" i="91"/>
  <c r="CV304" i="91"/>
  <c r="BX304" i="91"/>
  <c r="EA304" i="91"/>
  <c r="CM304" i="91"/>
  <c r="CM306" i="91" s="1"/>
  <c r="CM307" i="91" s="1"/>
  <c r="CO202" i="91"/>
  <c r="BC220" i="91"/>
  <c r="DC224" i="91"/>
  <c r="DC138" i="91"/>
  <c r="DC137" i="91" s="1"/>
  <c r="ED227" i="91"/>
  <c r="DV299" i="91"/>
  <c r="BR227" i="91"/>
  <c r="EC283" i="91"/>
  <c r="DU311" i="91"/>
  <c r="CO227" i="91"/>
  <c r="BQ283" i="91"/>
  <c r="BZ313" i="91"/>
  <c r="BZ302" i="91"/>
  <c r="BZ304" i="91" s="1"/>
  <c r="DD228" i="91"/>
  <c r="DD226" i="91" s="1"/>
  <c r="CW224" i="91"/>
  <c r="CW138" i="91"/>
  <c r="CW137" i="91" s="1"/>
  <c r="CV166" i="91"/>
  <c r="JH166" i="91" s="1"/>
  <c r="EA226" i="91"/>
  <c r="BO202" i="91"/>
  <c r="DV228" i="91"/>
  <c r="CP228" i="91"/>
  <c r="EF228" i="91"/>
  <c r="EF226" i="91" s="1"/>
  <c r="CK299" i="91"/>
  <c r="DJ277" i="91"/>
  <c r="DJ278" i="91"/>
  <c r="DS277" i="91"/>
  <c r="DS278" i="91"/>
  <c r="DC277" i="91"/>
  <c r="DC278" i="91"/>
  <c r="CM277" i="91"/>
  <c r="CM278" i="91"/>
  <c r="BW277" i="91"/>
  <c r="BW278" i="91"/>
  <c r="DV278" i="91"/>
  <c r="DV277" i="91"/>
  <c r="DW202" i="91"/>
  <c r="AO220" i="91"/>
  <c r="DW278" i="91"/>
  <c r="CC277" i="91"/>
  <c r="CC278" i="91"/>
  <c r="CP225" i="91"/>
  <c r="CP166" i="91"/>
  <c r="AF220" i="91"/>
  <c r="BZ278" i="91"/>
  <c r="BZ277" i="91"/>
  <c r="M60" i="91"/>
  <c r="M40" i="91"/>
  <c r="CV234" i="91"/>
  <c r="CX224" i="91"/>
  <c r="AY74" i="91"/>
  <c r="AY105" i="91" s="1"/>
  <c r="AY61" i="91"/>
  <c r="DN234" i="91"/>
  <c r="I60" i="91"/>
  <c r="I40" i="91"/>
  <c r="DL74" i="91"/>
  <c r="DL234" i="91"/>
  <c r="CU223" i="91"/>
  <c r="CU74" i="91"/>
  <c r="CU61" i="91"/>
  <c r="CY223" i="91"/>
  <c r="CY74" i="91"/>
  <c r="CY61" i="91"/>
  <c r="T61" i="91"/>
  <c r="T74" i="91"/>
  <c r="EE223" i="91"/>
  <c r="EE74" i="91"/>
  <c r="EE61" i="91"/>
  <c r="AI74" i="91"/>
  <c r="AI61" i="91"/>
  <c r="CA223" i="91"/>
  <c r="CA74" i="91"/>
  <c r="CA61" i="91"/>
  <c r="DY223" i="91"/>
  <c r="DY74" i="91"/>
  <c r="DY61" i="91"/>
  <c r="CG74" i="91"/>
  <c r="BN223" i="91"/>
  <c r="BN61" i="91"/>
  <c r="BN74" i="91"/>
  <c r="EB40" i="91"/>
  <c r="EB60" i="91"/>
  <c r="DC304" i="91"/>
  <c r="DC306" i="91" s="1"/>
  <c r="DC307" i="91" s="1"/>
  <c r="CR306" i="91"/>
  <c r="CR307" i="91" s="1"/>
  <c r="DV304" i="91"/>
  <c r="AU220" i="91"/>
  <c r="CU224" i="91"/>
  <c r="CU138" i="91"/>
  <c r="CU137" i="91" s="1"/>
  <c r="CP227" i="91"/>
  <c r="CE202" i="91"/>
  <c r="DM227" i="91"/>
  <c r="DM226" i="91" s="1"/>
  <c r="DE299" i="91"/>
  <c r="CO283" i="91"/>
  <c r="CG311" i="91"/>
  <c r="BQ299" i="91"/>
  <c r="BR313" i="91"/>
  <c r="BR302" i="91"/>
  <c r="BR304" i="91" s="1"/>
  <c r="DQ304" i="91"/>
  <c r="DJ226" i="91"/>
  <c r="CV228" i="91"/>
  <c r="CV226" i="91" s="1"/>
  <c r="CO225" i="91"/>
  <c r="CV224" i="91"/>
  <c r="CM226" i="91"/>
  <c r="EC117" i="91"/>
  <c r="DA228" i="91"/>
  <c r="DA226" i="91" s="1"/>
  <c r="DM304" i="91"/>
  <c r="CN228" i="91"/>
  <c r="CN226" i="91" s="1"/>
  <c r="BR166" i="91"/>
  <c r="AR220" i="91"/>
  <c r="DP278" i="91"/>
  <c r="DP277" i="91"/>
  <c r="BU299" i="91"/>
  <c r="CL277" i="91"/>
  <c r="CL278" i="91"/>
  <c r="CK166" i="91"/>
  <c r="CS225" i="91"/>
  <c r="CS166" i="91"/>
  <c r="AG220" i="91"/>
  <c r="BU277" i="91"/>
  <c r="BU278" i="91"/>
  <c r="DQ228" i="91"/>
  <c r="DQ226" i="91" s="1"/>
  <c r="X220" i="91"/>
  <c r="DA225" i="91"/>
  <c r="DA166" i="91"/>
  <c r="DG224" i="91"/>
  <c r="DG138" i="91"/>
  <c r="DG137" i="91" s="1"/>
  <c r="DH225" i="91" s="1"/>
  <c r="EA234" i="91"/>
  <c r="DR225" i="91"/>
  <c r="DR166" i="91"/>
  <c r="BX299" i="91"/>
  <c r="CN234" i="91"/>
  <c r="CT278" i="91"/>
  <c r="ED277" i="91"/>
  <c r="EE277" i="91"/>
  <c r="AQ74" i="91"/>
  <c r="AQ105" i="91" s="1"/>
  <c r="AQ61" i="91"/>
  <c r="DF234" i="91"/>
  <c r="BU223" i="91"/>
  <c r="BU74" i="91"/>
  <c r="BU61" i="91"/>
  <c r="DB223" i="91"/>
  <c r="DB74" i="91"/>
  <c r="DB61" i="91"/>
  <c r="DS223" i="91"/>
  <c r="DS74" i="91"/>
  <c r="DS61" i="91"/>
  <c r="BF61" i="91"/>
  <c r="BF74" i="91"/>
  <c r="BI74" i="91"/>
  <c r="CJ223" i="91"/>
  <c r="CJ74" i="91"/>
  <c r="CJ61" i="91"/>
  <c r="DH223" i="91"/>
  <c r="DH74" i="91"/>
  <c r="LJ74" i="91" s="1"/>
  <c r="LJ75" i="91" s="1"/>
  <c r="DH61" i="91"/>
  <c r="DW223" i="91"/>
  <c r="DW74" i="91"/>
  <c r="DW61" i="91"/>
  <c r="CD223" i="91"/>
  <c r="CD61" i="91"/>
  <c r="CD74" i="91"/>
  <c r="P74" i="91"/>
  <c r="P61" i="91"/>
  <c r="DO223" i="91"/>
  <c r="DO74" i="91"/>
  <c r="DO61" i="91"/>
  <c r="CE223" i="91"/>
  <c r="CE74" i="91"/>
  <c r="CE61" i="91"/>
  <c r="BQ214" i="91"/>
  <c r="DL304" i="91"/>
  <c r="BP304" i="91"/>
  <c r="AM220" i="91"/>
  <c r="DW299" i="91"/>
  <c r="CY299" i="91"/>
  <c r="CM224" i="91"/>
  <c r="CM138" i="91"/>
  <c r="CM137" i="91" s="1"/>
  <c r="DN227" i="91"/>
  <c r="DF299" i="91"/>
  <c r="BR299" i="91"/>
  <c r="EC299" i="91"/>
  <c r="DM283" i="91"/>
  <c r="DE311" i="91"/>
  <c r="BY227" i="91"/>
  <c r="BQ311" i="91"/>
  <c r="CK202" i="91"/>
  <c r="CS304" i="91"/>
  <c r="BU304" i="91"/>
  <c r="DR228" i="91"/>
  <c r="DR226" i="91" s="1"/>
  <c r="DB228" i="91"/>
  <c r="CL228" i="91"/>
  <c r="CL226" i="91" s="1"/>
  <c r="BV228" i="91"/>
  <c r="BV226" i="91" s="1"/>
  <c r="CF228" i="91"/>
  <c r="CF226" i="91" s="1"/>
  <c r="CQ228" i="91"/>
  <c r="CQ226" i="91" s="1"/>
  <c r="CR228" i="91"/>
  <c r="CR226" i="91" s="1"/>
  <c r="DK226" i="91"/>
  <c r="CL202" i="91"/>
  <c r="CO304" i="91"/>
  <c r="BQ304" i="91"/>
  <c r="DL224" i="91"/>
  <c r="DL138" i="91"/>
  <c r="DL137" i="91" s="1"/>
  <c r="AJ220" i="91"/>
  <c r="CD277" i="91"/>
  <c r="CD278" i="91"/>
  <c r="Y220" i="91"/>
  <c r="CS228" i="91"/>
  <c r="CS226" i="91" s="1"/>
  <c r="CB225" i="91"/>
  <c r="CB166" i="91"/>
  <c r="ED225" i="91"/>
  <c r="ED166" i="91"/>
  <c r="CP202" i="91"/>
  <c r="CY166" i="91"/>
  <c r="BD220" i="91"/>
  <c r="DK234" i="91"/>
  <c r="BU225" i="91"/>
  <c r="BU166" i="91"/>
  <c r="DF278" i="91"/>
  <c r="DF277" i="91"/>
  <c r="EB166" i="91"/>
  <c r="CF234" i="91"/>
  <c r="CA278" i="91"/>
  <c r="CT277" i="91"/>
  <c r="AA60" i="91"/>
  <c r="AA40" i="91"/>
  <c r="AX61" i="91"/>
  <c r="AX74" i="91"/>
  <c r="AX105" i="91" s="1"/>
  <c r="CX234" i="91"/>
  <c r="BI304" i="91"/>
  <c r="BF304" i="91"/>
  <c r="CC74" i="91"/>
  <c r="CC61" i="91"/>
  <c r="L61" i="91"/>
  <c r="L74" i="91"/>
  <c r="CK223" i="91"/>
  <c r="CK74" i="91"/>
  <c r="CK61" i="91"/>
  <c r="CT223" i="91"/>
  <c r="CT61" i="91"/>
  <c r="CT74" i="91"/>
  <c r="CQ223" i="91"/>
  <c r="CQ74" i="91"/>
  <c r="CQ61" i="91"/>
  <c r="BR223" i="91"/>
  <c r="BR74" i="91"/>
  <c r="BR61" i="91"/>
  <c r="CL223" i="91"/>
  <c r="CL74" i="91"/>
  <c r="CL61" i="91"/>
  <c r="BX223" i="91"/>
  <c r="BX61" i="91"/>
  <c r="BX74" i="91"/>
  <c r="CO223" i="91"/>
  <c r="CO61" i="91"/>
  <c r="CO74" i="91"/>
  <c r="W74" i="91"/>
  <c r="W61" i="91"/>
  <c r="CN304" i="91"/>
  <c r="EA202" i="91"/>
  <c r="BY228" i="91"/>
  <c r="AE220" i="91"/>
  <c r="CE224" i="91"/>
  <c r="CE138" i="91"/>
  <c r="CE137" i="91" s="1"/>
  <c r="ED299" i="91"/>
  <c r="BZ227" i="91"/>
  <c r="DJ225" i="91"/>
  <c r="DJ166" i="91"/>
  <c r="CW227" i="91"/>
  <c r="CO299" i="91"/>
  <c r="BY283" i="91"/>
  <c r="CC228" i="91"/>
  <c r="CC226" i="91" s="1"/>
  <c r="BX228" i="91"/>
  <c r="BX226" i="91" s="1"/>
  <c r="BW226" i="91"/>
  <c r="DE117" i="91"/>
  <c r="DE166" i="91" s="1"/>
  <c r="CO117" i="91"/>
  <c r="CO166" i="91" s="1"/>
  <c r="DS202" i="91"/>
  <c r="EC304" i="91"/>
  <c r="DD224" i="91"/>
  <c r="DD138" i="91"/>
  <c r="DD137" i="91" s="1"/>
  <c r="DE225" i="91" s="1"/>
  <c r="T220" i="91"/>
  <c r="DY277" i="91"/>
  <c r="DY278" i="91"/>
  <c r="CS299" i="91"/>
  <c r="BM277" i="91"/>
  <c r="BM278" i="91"/>
  <c r="BV277" i="91"/>
  <c r="BV278" i="91"/>
  <c r="CY202" i="91"/>
  <c r="BM225" i="91"/>
  <c r="BM166" i="91"/>
  <c r="Q220" i="91"/>
  <c r="DX278" i="91"/>
  <c r="DX277" i="91"/>
  <c r="DI228" i="91"/>
  <c r="DI226" i="91" s="1"/>
  <c r="CH190" i="91"/>
  <c r="CH202" i="91" s="1"/>
  <c r="BV225" i="91"/>
  <c r="BV166" i="91"/>
  <c r="CI278" i="91"/>
  <c r="CI277" i="91"/>
  <c r="DC234" i="91"/>
  <c r="V60" i="91"/>
  <c r="V40" i="91"/>
  <c r="BX234" i="91"/>
  <c r="DZ278" i="91"/>
  <c r="BN278" i="91"/>
  <c r="DU117" i="91"/>
  <c r="CP277" i="91"/>
  <c r="S60" i="91"/>
  <c r="S40" i="91"/>
  <c r="AP74" i="91"/>
  <c r="AP105" i="91" s="1"/>
  <c r="AP61" i="91"/>
  <c r="CP234" i="91"/>
  <c r="CI166" i="91"/>
  <c r="BK74" i="91"/>
  <c r="BK61" i="91"/>
  <c r="AH61" i="91"/>
  <c r="AH74" i="91"/>
  <c r="AK74" i="91"/>
  <c r="DP223" i="91"/>
  <c r="DP74" i="91"/>
  <c r="DP61" i="91"/>
  <c r="CB223" i="91"/>
  <c r="CB74" i="91"/>
  <c r="CB61" i="91"/>
  <c r="CZ223" i="91"/>
  <c r="CZ74" i="91"/>
  <c r="CZ61" i="91"/>
  <c r="AG74" i="91"/>
  <c r="AG61" i="91"/>
  <c r="DN223" i="91"/>
  <c r="DN74" i="91"/>
  <c r="DN61" i="91"/>
  <c r="AO74" i="91"/>
  <c r="AO61" i="91"/>
  <c r="H74" i="91"/>
  <c r="H61" i="91"/>
  <c r="BV223" i="91"/>
  <c r="BV74" i="91"/>
  <c r="BV61" i="91"/>
  <c r="EB304" i="91"/>
  <c r="DS304" i="91"/>
  <c r="CU304" i="91"/>
  <c r="BW304" i="91"/>
  <c r="BW306" i="91" s="1"/>
  <c r="BW307" i="91" s="1"/>
  <c r="DN304" i="91"/>
  <c r="CM202" i="91"/>
  <c r="W220" i="91"/>
  <c r="BW224" i="91"/>
  <c r="BW138" i="91"/>
  <c r="BW137" i="91" s="1"/>
  <c r="CX227" i="91"/>
  <c r="CP299" i="91"/>
  <c r="CD225" i="91"/>
  <c r="CD166" i="91"/>
  <c r="DU227" i="91"/>
  <c r="DU226" i="91" s="1"/>
  <c r="ED313" i="91"/>
  <c r="ED302" i="91"/>
  <c r="ED304" i="91" s="1"/>
  <c r="DI304" i="91"/>
  <c r="BM304" i="91"/>
  <c r="CB228" i="91"/>
  <c r="CB226" i="91" s="1"/>
  <c r="DP228" i="91"/>
  <c r="DP226" i="91" s="1"/>
  <c r="BP228" i="91"/>
  <c r="BP226" i="91" s="1"/>
  <c r="CP304" i="91"/>
  <c r="CU226" i="91"/>
  <c r="DK202" i="91"/>
  <c r="DE304" i="91"/>
  <c r="DN228" i="91"/>
  <c r="CX228" i="91"/>
  <c r="CF224" i="91"/>
  <c r="CF138" i="91"/>
  <c r="CF137" i="91" s="1"/>
  <c r="L220" i="91"/>
  <c r="EA277" i="91"/>
  <c r="EA278" i="91"/>
  <c r="DK277" i="91"/>
  <c r="DK278" i="91"/>
  <c r="CU277" i="91"/>
  <c r="CU278" i="91"/>
  <c r="CE277" i="91"/>
  <c r="CE278" i="91"/>
  <c r="BO277" i="91"/>
  <c r="BO278" i="91"/>
  <c r="I220" i="91"/>
  <c r="CR278" i="91"/>
  <c r="CR277" i="91"/>
  <c r="BU228" i="91"/>
  <c r="BU226" i="91" s="1"/>
  <c r="BT225" i="91"/>
  <c r="BT166" i="91"/>
  <c r="DF225" i="91"/>
  <c r="DF166" i="91"/>
  <c r="CY277" i="91"/>
  <c r="CW202" i="91"/>
  <c r="BZ190" i="91"/>
  <c r="BZ202" i="91" s="1"/>
  <c r="CQ225" i="91"/>
  <c r="CQ166" i="91"/>
  <c r="CU234" i="91"/>
  <c r="CV299" i="91"/>
  <c r="CV306" i="91" s="1"/>
  <c r="CV307" i="91" s="1"/>
  <c r="N60" i="91"/>
  <c r="N40" i="91"/>
  <c r="BG304" i="91"/>
  <c r="BC304" i="91"/>
  <c r="CN166" i="91"/>
  <c r="DM117" i="91"/>
  <c r="CP278" i="91"/>
  <c r="ED234" i="91"/>
  <c r="K60" i="91"/>
  <c r="K40" i="91"/>
  <c r="Z40" i="91"/>
  <c r="Z60" i="91"/>
  <c r="CH234" i="91"/>
  <c r="CK278" i="91"/>
  <c r="BJ304" i="91"/>
  <c r="BD74" i="91"/>
  <c r="BD61" i="91"/>
  <c r="CH223" i="91"/>
  <c r="CH61" i="91"/>
  <c r="CH74" i="91"/>
  <c r="AJ61" i="91"/>
  <c r="AJ74" i="91"/>
  <c r="BE74" i="91"/>
  <c r="BE61" i="91"/>
  <c r="DV223" i="91"/>
  <c r="DV61" i="91"/>
  <c r="DV74" i="91"/>
  <c r="CX223" i="91"/>
  <c r="CX61" i="91"/>
  <c r="CX74" i="91"/>
  <c r="DA223" i="91"/>
  <c r="DA74" i="91"/>
  <c r="DA61" i="91"/>
  <c r="CI223" i="91"/>
  <c r="CI74" i="91"/>
  <c r="CI61" i="91"/>
  <c r="DE223" i="91"/>
  <c r="DE61" i="91"/>
  <c r="DE74" i="91"/>
  <c r="BP223" i="91"/>
  <c r="BP61" i="91"/>
  <c r="BP74" i="91"/>
  <c r="CN223" i="91"/>
  <c r="CN74" i="91"/>
  <c r="CN61" i="91"/>
  <c r="BO223" i="91"/>
  <c r="BO74" i="91"/>
  <c r="BO61" i="91"/>
  <c r="AF74" i="91"/>
  <c r="AF61" i="91"/>
  <c r="DM223" i="91"/>
  <c r="DM61" i="91"/>
  <c r="DM74" i="91"/>
  <c r="CF223" i="91"/>
  <c r="CF61" i="91"/>
  <c r="CF74" i="91"/>
  <c r="O74" i="91"/>
  <c r="O61" i="91"/>
  <c r="AV111" i="91"/>
  <c r="AV112" i="91" s="1"/>
  <c r="ED223" i="91"/>
  <c r="ED74" i="91"/>
  <c r="ED61" i="91"/>
  <c r="DS237" i="91"/>
  <c r="DT214" i="91"/>
  <c r="JJ214" i="91" s="1"/>
  <c r="DD304" i="91"/>
  <c r="DH228" i="91"/>
  <c r="DH226" i="91" s="1"/>
  <c r="O220" i="91"/>
  <c r="DG299" i="91"/>
  <c r="BS299" i="91"/>
  <c r="EA224" i="91"/>
  <c r="EA138" i="91"/>
  <c r="EA137" i="91" s="1"/>
  <c r="BO224" i="91"/>
  <c r="BO138" i="91"/>
  <c r="BO137" i="91" s="1"/>
  <c r="BP225" i="91" s="1"/>
  <c r="DV227" i="91"/>
  <c r="CG227" i="91"/>
  <c r="CG226" i="91" s="1"/>
  <c r="DF313" i="91"/>
  <c r="DF302" i="91"/>
  <c r="DF304" i="91" s="1"/>
  <c r="DF190" i="91"/>
  <c r="DF202" i="91" s="1"/>
  <c r="DY202" i="91"/>
  <c r="BM202" i="91"/>
  <c r="BQ224" i="91"/>
  <c r="BQ138" i="91"/>
  <c r="BQ137" i="91" s="1"/>
  <c r="DS226" i="91"/>
  <c r="BQ117" i="91"/>
  <c r="CQ277" i="91"/>
  <c r="DC202" i="91"/>
  <c r="BX224" i="91"/>
  <c r="BX138" i="91"/>
  <c r="CH225" i="91"/>
  <c r="CH166" i="91"/>
  <c r="DI166" i="91"/>
  <c r="DG277" i="91"/>
  <c r="CZ225" i="91"/>
  <c r="CZ166" i="91"/>
  <c r="BQ202" i="91"/>
  <c r="BR190" i="91"/>
  <c r="BR202" i="91" s="1"/>
  <c r="CM234" i="91"/>
  <c r="DD299" i="91"/>
  <c r="F60" i="91"/>
  <c r="F40" i="91"/>
  <c r="CN224" i="91"/>
  <c r="EC234" i="91"/>
  <c r="DV166" i="91"/>
  <c r="DR278" i="91"/>
  <c r="CG117" i="91"/>
  <c r="BZ234" i="91"/>
  <c r="BN225" i="91"/>
  <c r="CH277" i="91"/>
  <c r="DV234" i="91"/>
  <c r="CC225" i="91"/>
  <c r="CC166" i="91"/>
  <c r="R60" i="91"/>
  <c r="R40" i="91"/>
  <c r="AW74" i="91"/>
  <c r="AW105" i="91" s="1"/>
  <c r="AW61" i="91"/>
  <c r="DU234" i="91"/>
  <c r="CK277" i="91"/>
  <c r="CV61" i="91"/>
  <c r="AU109" i="91"/>
  <c r="AU106" i="91"/>
  <c r="AU111" i="91"/>
  <c r="AU112" i="91" s="1"/>
  <c r="AB74" i="91"/>
  <c r="AB61" i="91"/>
  <c r="AL61" i="91"/>
  <c r="AL74" i="91"/>
  <c r="BH74" i="91"/>
  <c r="BH61" i="91"/>
  <c r="BT223" i="91"/>
  <c r="BT74" i="91"/>
  <c r="BT61" i="91"/>
  <c r="BB74" i="91"/>
  <c r="BB61" i="91"/>
  <c r="DJ223" i="91"/>
  <c r="DJ61" i="91"/>
  <c r="DJ74" i="91"/>
  <c r="CF304" i="91"/>
  <c r="BO304" i="91"/>
  <c r="G220" i="91"/>
  <c r="BY278" i="91"/>
  <c r="BY277" i="91"/>
  <c r="EE299" i="91"/>
  <c r="CQ299" i="91"/>
  <c r="DS224" i="91"/>
  <c r="DS138" i="91"/>
  <c r="DS137" i="91" s="1"/>
  <c r="CH227" i="91"/>
  <c r="DO278" i="91"/>
  <c r="DO277" i="91"/>
  <c r="CW299" i="91"/>
  <c r="BY311" i="91"/>
  <c r="CX313" i="91"/>
  <c r="CX302" i="91"/>
  <c r="CX304" i="91" s="1"/>
  <c r="DY304" i="91"/>
  <c r="CK304" i="91"/>
  <c r="DZ228" i="91"/>
  <c r="DZ226" i="91" s="1"/>
  <c r="CD228" i="91"/>
  <c r="CD226" i="91" s="1"/>
  <c r="BN228" i="91"/>
  <c r="BN226" i="91" s="1"/>
  <c r="DB226" i="91"/>
  <c r="EB228" i="91"/>
  <c r="EB226" i="91" s="1"/>
  <c r="DO228" i="91"/>
  <c r="DO226" i="91" s="1"/>
  <c r="CY228" i="91"/>
  <c r="CY226" i="91" s="1"/>
  <c r="DM225" i="91"/>
  <c r="DM166" i="91"/>
  <c r="CQ278" i="91"/>
  <c r="CU202" i="91"/>
  <c r="DU304" i="91"/>
  <c r="DQ166" i="91"/>
  <c r="BH220" i="91"/>
  <c r="DA299" i="91"/>
  <c r="BM299" i="91"/>
  <c r="BM306" i="91" s="1"/>
  <c r="BM307" i="91" s="1"/>
  <c r="DL228" i="91"/>
  <c r="DL226" i="91" s="1"/>
  <c r="DG278" i="91"/>
  <c r="DZ225" i="91"/>
  <c r="DZ166" i="91"/>
  <c r="ED190" i="91"/>
  <c r="ED202" i="91" s="1"/>
  <c r="BT228" i="91"/>
  <c r="BT226" i="91" s="1"/>
  <c r="CE234" i="91"/>
  <c r="BP299" i="91"/>
  <c r="BP306" i="91" s="1"/>
  <c r="BP307" i="91" s="1"/>
  <c r="DN278" i="91"/>
  <c r="DN277" i="91"/>
  <c r="CX278" i="91"/>
  <c r="CX277" i="91"/>
  <c r="AS61" i="91"/>
  <c r="AS74" i="91"/>
  <c r="AS105" i="91" s="1"/>
  <c r="BP166" i="91"/>
  <c r="U60" i="91"/>
  <c r="U40" i="91"/>
  <c r="DR277" i="91"/>
  <c r="BR234" i="91"/>
  <c r="H220" i="91"/>
  <c r="CH278" i="91"/>
  <c r="J40" i="91"/>
  <c r="J60" i="91"/>
  <c r="Y60" i="91"/>
  <c r="Y40" i="91"/>
  <c r="BS277" i="91"/>
  <c r="DT223" i="91"/>
  <c r="DT74" i="91"/>
  <c r="LK74" i="91" s="1"/>
  <c r="LK75" i="91" s="1"/>
  <c r="DT61" i="91"/>
  <c r="CW223" i="91"/>
  <c r="CW61" i="91"/>
  <c r="CW74" i="91"/>
  <c r="DC223" i="91"/>
  <c r="DC74" i="91"/>
  <c r="DC61" i="91"/>
  <c r="DQ223" i="91"/>
  <c r="DQ74" i="91"/>
  <c r="DQ61" i="91"/>
  <c r="BJ61" i="91"/>
  <c r="AR106" i="91"/>
  <c r="AR111" i="91"/>
  <c r="AR112" i="91" s="1"/>
  <c r="AR109" i="91"/>
  <c r="DG223" i="91"/>
  <c r="DG74" i="91"/>
  <c r="DG61" i="91"/>
  <c r="E61" i="91"/>
  <c r="E74" i="91"/>
  <c r="CS223" i="91"/>
  <c r="CS74" i="91"/>
  <c r="CS61" i="91"/>
  <c r="BS223" i="91"/>
  <c r="BS74" i="91"/>
  <c r="BS61" i="91"/>
  <c r="BW223" i="91"/>
  <c r="BW74" i="91"/>
  <c r="BW61" i="91"/>
  <c r="BG74" i="91"/>
  <c r="BG61" i="91"/>
  <c r="DR223" i="91"/>
  <c r="DR61" i="91"/>
  <c r="DR74" i="91"/>
  <c r="G74" i="91"/>
  <c r="G61" i="91"/>
  <c r="N58" i="1" l="1"/>
  <c r="N102" i="3"/>
  <c r="N103" i="3" s="1"/>
  <c r="N209" i="3"/>
  <c r="N203" i="3"/>
  <c r="N228" i="3"/>
  <c r="N226" i="3"/>
  <c r="N227" i="3"/>
  <c r="N206" i="3"/>
  <c r="O206" i="3" s="1"/>
  <c r="N208" i="3"/>
  <c r="N88" i="1"/>
  <c r="N250" i="3"/>
  <c r="N207" i="3"/>
  <c r="N54" i="1"/>
  <c r="N173" i="1" s="1"/>
  <c r="N94" i="3"/>
  <c r="EF306" i="91"/>
  <c r="EF307" i="91" s="1"/>
  <c r="JB220" i="91"/>
  <c r="DX225" i="91"/>
  <c r="LM138" i="91"/>
  <c r="LL138" i="91"/>
  <c r="LM117" i="91"/>
  <c r="LL117" i="91"/>
  <c r="DU74" i="91"/>
  <c r="DU105" i="91" s="1"/>
  <c r="DU61" i="91"/>
  <c r="EA61" i="91"/>
  <c r="EA223" i="91"/>
  <c r="EF61" i="91"/>
  <c r="EE306" i="91"/>
  <c r="EE307" i="91" s="1"/>
  <c r="DX223" i="91"/>
  <c r="DD61" i="91"/>
  <c r="DD223" i="91"/>
  <c r="CM223" i="91"/>
  <c r="CV74" i="91"/>
  <c r="LI74" i="91" s="1"/>
  <c r="LI75" i="91" s="1"/>
  <c r="LI60" i="91"/>
  <c r="LI61" i="91" s="1"/>
  <c r="LM60" i="91"/>
  <c r="LM61" i="91" s="1"/>
  <c r="LL60" i="91"/>
  <c r="LL61" i="91" s="1"/>
  <c r="LL74" i="91"/>
  <c r="LL75" i="91" s="1"/>
  <c r="LM74" i="91"/>
  <c r="LM75" i="91" s="1"/>
  <c r="LM202" i="91"/>
  <c r="LL202" i="91"/>
  <c r="CX225" i="91"/>
  <c r="DB306" i="91"/>
  <c r="DB307" i="91" s="1"/>
  <c r="CI228" i="91"/>
  <c r="CI226" i="91" s="1"/>
  <c r="JF74" i="91"/>
  <c r="JF75" i="91" s="1"/>
  <c r="BQ226" i="91"/>
  <c r="CT306" i="91"/>
  <c r="CT307" i="91" s="1"/>
  <c r="DA306" i="91"/>
  <c r="DA307" i="91" s="1"/>
  <c r="DQ225" i="91"/>
  <c r="DQ230" i="91" s="1"/>
  <c r="DQ235" i="91" s="1"/>
  <c r="JK40" i="91"/>
  <c r="CV223" i="91"/>
  <c r="JJ138" i="91"/>
  <c r="AV106" i="91"/>
  <c r="BM223" i="91"/>
  <c r="CW306" i="91"/>
  <c r="CW307" i="91" s="1"/>
  <c r="CO226" i="91"/>
  <c r="JD74" i="91"/>
  <c r="JD75" i="91" s="1"/>
  <c r="JC220" i="91"/>
  <c r="DW166" i="91"/>
  <c r="BV306" i="91"/>
  <c r="BV307" i="91" s="1"/>
  <c r="DB225" i="91"/>
  <c r="CY306" i="91"/>
  <c r="CY307" i="91" s="1"/>
  <c r="JA60" i="91"/>
  <c r="BS306" i="91"/>
  <c r="BS307" i="91" s="1"/>
  <c r="BM61" i="91"/>
  <c r="DG306" i="91"/>
  <c r="DG307" i="91" s="1"/>
  <c r="BL74" i="91"/>
  <c r="DL61" i="91"/>
  <c r="DP225" i="91"/>
  <c r="CW40" i="91"/>
  <c r="JH74" i="91"/>
  <c r="JH75" i="91" s="1"/>
  <c r="CC304" i="91"/>
  <c r="CE304" i="91"/>
  <c r="JG11" i="91"/>
  <c r="CB286" i="91"/>
  <c r="CF286" i="91"/>
  <c r="BZ297" i="91"/>
  <c r="BZ299" i="91" s="1"/>
  <c r="CC286" i="91"/>
  <c r="CG286" i="91"/>
  <c r="BZ286" i="91"/>
  <c r="CI297" i="91"/>
  <c r="CI299" i="91" s="1"/>
  <c r="CI306" i="91" s="1"/>
  <c r="CI307" i="91" s="1"/>
  <c r="CA286" i="91"/>
  <c r="CF297" i="91"/>
  <c r="CF299" i="91" s="1"/>
  <c r="CB297" i="91"/>
  <c r="CB299" i="91" s="1"/>
  <c r="BY39" i="91"/>
  <c r="BY297" i="91"/>
  <c r="BY299" i="91" s="1"/>
  <c r="CI286" i="91"/>
  <c r="CJ297" i="91"/>
  <c r="CJ299" i="91" s="1"/>
  <c r="CJ306" i="91" s="1"/>
  <c r="CJ307" i="91" s="1"/>
  <c r="CD297" i="91"/>
  <c r="CD299" i="91" s="1"/>
  <c r="CD306" i="91" s="1"/>
  <c r="CD307" i="91" s="1"/>
  <c r="BY286" i="91"/>
  <c r="CH297" i="91"/>
  <c r="CH299" i="91" s="1"/>
  <c r="CA297" i="91"/>
  <c r="CA299" i="91" s="1"/>
  <c r="CA306" i="91" s="1"/>
  <c r="CA307" i="91" s="1"/>
  <c r="CJ286" i="91"/>
  <c r="CE286" i="91"/>
  <c r="CC297" i="91"/>
  <c r="CC299" i="91" s="1"/>
  <c r="CE297" i="91"/>
  <c r="CE299" i="91" s="1"/>
  <c r="CD286" i="91"/>
  <c r="CG297" i="91"/>
  <c r="CG299" i="91" s="1"/>
  <c r="CH286" i="91"/>
  <c r="JA220" i="91"/>
  <c r="JD83" i="91"/>
  <c r="JK117" i="91"/>
  <c r="JL117" i="91"/>
  <c r="DU225" i="91"/>
  <c r="DO166" i="91"/>
  <c r="DT166" i="91"/>
  <c r="JJ166" i="91" s="1"/>
  <c r="CQ306" i="91"/>
  <c r="CQ307" i="91" s="1"/>
  <c r="EE166" i="91"/>
  <c r="DI225" i="91"/>
  <c r="DD74" i="91"/>
  <c r="DO225" i="91"/>
  <c r="JF60" i="91"/>
  <c r="JF61" i="91" s="1"/>
  <c r="JE11" i="91"/>
  <c r="BH297" i="91"/>
  <c r="BH299" i="91" s="1"/>
  <c r="BH306" i="91" s="1"/>
  <c r="BH307" i="91" s="1"/>
  <c r="BC297" i="91"/>
  <c r="BC299" i="91" s="1"/>
  <c r="BC306" i="91" s="1"/>
  <c r="BC307" i="91" s="1"/>
  <c r="BK297" i="91"/>
  <c r="BK299" i="91" s="1"/>
  <c r="BK306" i="91" s="1"/>
  <c r="BK307" i="91" s="1"/>
  <c r="BM286" i="91"/>
  <c r="BL297" i="91"/>
  <c r="BL299" i="91" s="1"/>
  <c r="BL306" i="91" s="1"/>
  <c r="BL307" i="91" s="1"/>
  <c r="BA297" i="91"/>
  <c r="BA299" i="91" s="1"/>
  <c r="BA306" i="91" s="1"/>
  <c r="BA307" i="91" s="1"/>
  <c r="BI297" i="91"/>
  <c r="BI299" i="91" s="1"/>
  <c r="BF297" i="91"/>
  <c r="BF299" i="91" s="1"/>
  <c r="BF306" i="91" s="1"/>
  <c r="BF307" i="91" s="1"/>
  <c r="BB297" i="91"/>
  <c r="BB299" i="91" s="1"/>
  <c r="BB306" i="91" s="1"/>
  <c r="BB307" i="91" s="1"/>
  <c r="BJ297" i="91"/>
  <c r="BJ299" i="91" s="1"/>
  <c r="BG297" i="91"/>
  <c r="BG299" i="91" s="1"/>
  <c r="BA39" i="91"/>
  <c r="BE297" i="91"/>
  <c r="BE299" i="91" s="1"/>
  <c r="BE306" i="91" s="1"/>
  <c r="BE307" i="91" s="1"/>
  <c r="BD297" i="91"/>
  <c r="BD299" i="91" s="1"/>
  <c r="BD306" i="91" s="1"/>
  <c r="BD307" i="91" s="1"/>
  <c r="JD77" i="91"/>
  <c r="AZ137" i="91"/>
  <c r="JD138" i="91"/>
  <c r="CW226" i="91"/>
  <c r="JL138" i="91"/>
  <c r="JK138" i="91"/>
  <c r="JH117" i="91"/>
  <c r="CV277" i="91"/>
  <c r="JH60" i="91"/>
  <c r="JH61" i="91" s="1"/>
  <c r="DK74" i="91"/>
  <c r="DK105" i="91" s="1"/>
  <c r="HN60" i="91"/>
  <c r="HN61" i="91" s="1"/>
  <c r="JB60" i="91"/>
  <c r="JB61" i="91" s="1"/>
  <c r="CZ306" i="91"/>
  <c r="CZ307" i="91" s="1"/>
  <c r="HN202" i="91"/>
  <c r="JK202" i="91"/>
  <c r="JL202" i="91"/>
  <c r="CJ137" i="91"/>
  <c r="JG138" i="91"/>
  <c r="JL60" i="91"/>
  <c r="BM234" i="91"/>
  <c r="JF77" i="91"/>
  <c r="DK61" i="91"/>
  <c r="CB306" i="91"/>
  <c r="CB307" i="91" s="1"/>
  <c r="DX306" i="91"/>
  <c r="DX307" i="91" s="1"/>
  <c r="CW77" i="91"/>
  <c r="JI83" i="91"/>
  <c r="JK60" i="91"/>
  <c r="JK61" i="91" s="1"/>
  <c r="JJ117" i="91"/>
  <c r="DT277" i="91"/>
  <c r="DT278" i="91"/>
  <c r="JC11" i="91"/>
  <c r="AN39" i="91"/>
  <c r="AN287" i="91"/>
  <c r="AN286" i="91"/>
  <c r="AN285" i="91"/>
  <c r="CS306" i="91"/>
  <c r="CS307" i="91" s="1"/>
  <c r="CH304" i="91"/>
  <c r="CH306" i="91" s="1"/>
  <c r="CH307" i="91" s="1"/>
  <c r="AM61" i="91"/>
  <c r="JI74" i="91"/>
  <c r="JI75" i="91" s="1"/>
  <c r="DX61" i="91"/>
  <c r="CV278" i="91"/>
  <c r="BY77" i="91"/>
  <c r="JG83" i="91"/>
  <c r="JI117" i="91"/>
  <c r="DH277" i="91"/>
  <c r="DH278" i="91"/>
  <c r="JJ11" i="91"/>
  <c r="DQ286" i="91"/>
  <c r="DS286" i="91"/>
  <c r="DO286" i="91"/>
  <c r="DP297" i="91"/>
  <c r="DP299" i="91" s="1"/>
  <c r="DP306" i="91" s="1"/>
  <c r="DP307" i="91" s="1"/>
  <c r="DI39" i="91"/>
  <c r="DJ297" i="91"/>
  <c r="DJ299" i="91" s="1"/>
  <c r="DJ306" i="91" s="1"/>
  <c r="DJ307" i="91" s="1"/>
  <c r="DP286" i="91"/>
  <c r="DT286" i="91"/>
  <c r="DI297" i="91"/>
  <c r="DI299" i="91" s="1"/>
  <c r="DI306" i="91" s="1"/>
  <c r="DI307" i="91" s="1"/>
  <c r="DK297" i="91"/>
  <c r="DK299" i="91" s="1"/>
  <c r="DK306" i="91" s="1"/>
  <c r="DK307" i="91" s="1"/>
  <c r="DJ286" i="91"/>
  <c r="DR286" i="91"/>
  <c r="DI286" i="91"/>
  <c r="DK286" i="91"/>
  <c r="DT297" i="91"/>
  <c r="DT299" i="91" s="1"/>
  <c r="DT306" i="91" s="1"/>
  <c r="DT307" i="91" s="1"/>
  <c r="DL286" i="91"/>
  <c r="DN297" i="91"/>
  <c r="DN299" i="91" s="1"/>
  <c r="DN306" i="91" s="1"/>
  <c r="DN307" i="91" s="1"/>
  <c r="DL297" i="91"/>
  <c r="DL299" i="91" s="1"/>
  <c r="DL306" i="91" s="1"/>
  <c r="DL307" i="91" s="1"/>
  <c r="DM286" i="91"/>
  <c r="DR297" i="91"/>
  <c r="DR299" i="91" s="1"/>
  <c r="DR306" i="91" s="1"/>
  <c r="DR307" i="91" s="1"/>
  <c r="DM297" i="91"/>
  <c r="DM299" i="91" s="1"/>
  <c r="DM306" i="91" s="1"/>
  <c r="DM307" i="91" s="1"/>
  <c r="DN286" i="91"/>
  <c r="DO297" i="91"/>
  <c r="DO299" i="91" s="1"/>
  <c r="DO306" i="91" s="1"/>
  <c r="DO307" i="91" s="1"/>
  <c r="DQ297" i="91"/>
  <c r="DQ299" i="91" s="1"/>
  <c r="DQ306" i="91" s="1"/>
  <c r="DQ307" i="91" s="1"/>
  <c r="DS297" i="91"/>
  <c r="DS299" i="91" s="1"/>
  <c r="DS306" i="91" s="1"/>
  <c r="DS307" i="91" s="1"/>
  <c r="BX137" i="91"/>
  <c r="JF137" i="91" s="1"/>
  <c r="JF138" i="91"/>
  <c r="DH166" i="91"/>
  <c r="JI166" i="91" s="1"/>
  <c r="BL218" i="91"/>
  <c r="JE202" i="91"/>
  <c r="BX306" i="91"/>
  <c r="BX307" i="91" s="1"/>
  <c r="EC230" i="91"/>
  <c r="EC280" i="91" s="1"/>
  <c r="DJ230" i="91"/>
  <c r="DJ280" i="91" s="1"/>
  <c r="EA306" i="91"/>
  <c r="EA307" i="91" s="1"/>
  <c r="DA230" i="91"/>
  <c r="DA280" i="91" s="1"/>
  <c r="CG61" i="91"/>
  <c r="HN117" i="91"/>
  <c r="EF277" i="91"/>
  <c r="EF278" i="91"/>
  <c r="CU306" i="91"/>
  <c r="CU307" i="91" s="1"/>
  <c r="DR230" i="91"/>
  <c r="DR280" i="91" s="1"/>
  <c r="BC61" i="91"/>
  <c r="CO230" i="91"/>
  <c r="CO280" i="91" s="1"/>
  <c r="CC306" i="91"/>
  <c r="CC307" i="91" s="1"/>
  <c r="BV230" i="91"/>
  <c r="BV235" i="91" s="1"/>
  <c r="BV238" i="91" s="1"/>
  <c r="BV240" i="91" s="1"/>
  <c r="BV242" i="91" s="1"/>
  <c r="BM230" i="91"/>
  <c r="BM280" i="91" s="1"/>
  <c r="BZ306" i="91"/>
  <c r="BZ307" i="91" s="1"/>
  <c r="BU306" i="91"/>
  <c r="BU307" i="91" s="1"/>
  <c r="DW230" i="91"/>
  <c r="DW280" i="91" s="1"/>
  <c r="BO306" i="91"/>
  <c r="BO307" i="91" s="1"/>
  <c r="DV226" i="91"/>
  <c r="DV230" i="91" s="1"/>
  <c r="CP226" i="91"/>
  <c r="CP230" i="91" s="1"/>
  <c r="EF137" i="91"/>
  <c r="HN138" i="91"/>
  <c r="CZ230" i="91"/>
  <c r="CZ235" i="91" s="1"/>
  <c r="CZ238" i="91" s="1"/>
  <c r="CZ240" i="91" s="1"/>
  <c r="CZ242" i="91" s="1"/>
  <c r="BY306" i="91"/>
  <c r="BY307" i="91" s="1"/>
  <c r="DW306" i="91"/>
  <c r="DW307" i="91" s="1"/>
  <c r="DD306" i="91"/>
  <c r="DD307" i="91" s="1"/>
  <c r="EB306" i="91"/>
  <c r="EB307" i="91" s="1"/>
  <c r="CG306" i="91"/>
  <c r="CG307" i="91" s="1"/>
  <c r="DY306" i="91"/>
  <c r="DY307" i="91" s="1"/>
  <c r="CT230" i="91"/>
  <c r="CT280" i="91" s="1"/>
  <c r="BT230" i="91"/>
  <c r="BT280" i="91" s="1"/>
  <c r="ED105" i="91"/>
  <c r="ED75" i="91"/>
  <c r="CM225" i="91"/>
  <c r="CM230" i="91" s="1"/>
  <c r="CM166" i="91"/>
  <c r="CY105" i="91"/>
  <c r="CY75" i="91"/>
  <c r="CM105" i="91"/>
  <c r="CM75" i="91"/>
  <c r="DR105" i="91"/>
  <c r="DR75" i="91"/>
  <c r="U61" i="91"/>
  <c r="U74" i="91"/>
  <c r="DS225" i="91"/>
  <c r="DS230" i="91" s="1"/>
  <c r="DS166" i="91"/>
  <c r="BJ306" i="91"/>
  <c r="BJ307" i="91" s="1"/>
  <c r="EA225" i="91"/>
  <c r="EA230" i="91" s="1"/>
  <c r="EA166" i="91"/>
  <c r="CX105" i="91"/>
  <c r="CX75" i="91"/>
  <c r="AJ75" i="91"/>
  <c r="AJ105" i="91"/>
  <c r="N61" i="91"/>
  <c r="N74" i="91"/>
  <c r="AH105" i="91"/>
  <c r="AH75" i="91"/>
  <c r="BK105" i="91"/>
  <c r="BK75" i="91"/>
  <c r="S74" i="91"/>
  <c r="S61" i="91"/>
  <c r="CO278" i="91"/>
  <c r="CO277" i="91"/>
  <c r="BR105" i="91"/>
  <c r="BR75" i="91"/>
  <c r="DG228" i="91"/>
  <c r="DG226" i="91" s="1"/>
  <c r="DU75" i="91"/>
  <c r="DO230" i="91"/>
  <c r="BN105" i="91"/>
  <c r="BN75" i="91"/>
  <c r="AI105" i="91"/>
  <c r="AI75" i="91"/>
  <c r="CY230" i="91"/>
  <c r="DC225" i="91"/>
  <c r="DC230" i="91" s="1"/>
  <c r="DC166" i="91"/>
  <c r="BQ105" i="91"/>
  <c r="BQ75" i="91"/>
  <c r="DJ105" i="91"/>
  <c r="DJ75" i="91"/>
  <c r="BE105" i="91"/>
  <c r="BE75" i="91"/>
  <c r="ED228" i="91"/>
  <c r="ED226" i="91" s="1"/>
  <c r="ED230" i="91" s="1"/>
  <c r="BS105" i="91"/>
  <c r="BS75" i="91"/>
  <c r="DG105" i="91"/>
  <c r="DG75" i="91"/>
  <c r="DQ105" i="91"/>
  <c r="DQ75" i="91"/>
  <c r="J74" i="91"/>
  <c r="J61" i="91"/>
  <c r="AB75" i="91"/>
  <c r="AB105" i="91"/>
  <c r="DM105" i="91"/>
  <c r="DM75" i="91"/>
  <c r="DE230" i="91"/>
  <c r="DM278" i="91"/>
  <c r="DM277" i="91"/>
  <c r="CF225" i="91"/>
  <c r="CF230" i="91" s="1"/>
  <c r="CF166" i="91"/>
  <c r="DN105" i="91"/>
  <c r="DN75" i="91"/>
  <c r="CB105" i="91"/>
  <c r="CB75" i="91"/>
  <c r="DE278" i="91"/>
  <c r="DE277" i="91"/>
  <c r="W105" i="91"/>
  <c r="W75" i="91"/>
  <c r="CL105" i="91"/>
  <c r="CL75" i="91"/>
  <c r="CK105" i="91"/>
  <c r="CK75" i="91"/>
  <c r="BL105" i="91"/>
  <c r="BL75" i="91"/>
  <c r="AX106" i="91"/>
  <c r="AX109" i="91"/>
  <c r="AX111" i="91"/>
  <c r="AX112" i="91" s="1"/>
  <c r="EB225" i="91"/>
  <c r="EC306" i="91"/>
  <c r="EC307" i="91" s="1"/>
  <c r="BI105" i="91"/>
  <c r="BI75" i="91"/>
  <c r="DB105" i="91"/>
  <c r="DB75" i="91"/>
  <c r="BQ306" i="91"/>
  <c r="BQ307" i="91" s="1"/>
  <c r="I74" i="91"/>
  <c r="I61" i="91"/>
  <c r="BZ228" i="91"/>
  <c r="AE105" i="91"/>
  <c r="AE75" i="91"/>
  <c r="X105" i="91"/>
  <c r="X75" i="91"/>
  <c r="CR105" i="91"/>
  <c r="CR75" i="91"/>
  <c r="EA105" i="91"/>
  <c r="EA75" i="91"/>
  <c r="BI306" i="91"/>
  <c r="BI307" i="91" s="1"/>
  <c r="DU306" i="91"/>
  <c r="DU307" i="91" s="1"/>
  <c r="DK225" i="91"/>
  <c r="DK230" i="91" s="1"/>
  <c r="DK166" i="91"/>
  <c r="BT105" i="91"/>
  <c r="BT75" i="91"/>
  <c r="DT105" i="91"/>
  <c r="LK105" i="91" s="1"/>
  <c r="LK106" i="91" s="1"/>
  <c r="DT75" i="91"/>
  <c r="EE228" i="91"/>
  <c r="EE226" i="91" s="1"/>
  <c r="BH105" i="91"/>
  <c r="BH75" i="91"/>
  <c r="CN105" i="91"/>
  <c r="CN75" i="91"/>
  <c r="CH105" i="91"/>
  <c r="CH75" i="91"/>
  <c r="Z74" i="91"/>
  <c r="Z61" i="91"/>
  <c r="CF306" i="91"/>
  <c r="CF307" i="91" s="1"/>
  <c r="CP306" i="91"/>
  <c r="CP307" i="91" s="1"/>
  <c r="BV105" i="91"/>
  <c r="BV75" i="91"/>
  <c r="CB230" i="91"/>
  <c r="DU278" i="91"/>
  <c r="DU277" i="91"/>
  <c r="CO105" i="91"/>
  <c r="CO75" i="91"/>
  <c r="CL230" i="91"/>
  <c r="DU230" i="91"/>
  <c r="P105" i="91"/>
  <c r="P75" i="91"/>
  <c r="DH105" i="91"/>
  <c r="LJ105" i="91" s="1"/>
  <c r="LJ106" i="91" s="1"/>
  <c r="DH75" i="91"/>
  <c r="DB230" i="91"/>
  <c r="AQ111" i="91"/>
  <c r="AQ112" i="91" s="1"/>
  <c r="AQ106" i="91"/>
  <c r="AQ109" i="91"/>
  <c r="EC278" i="91"/>
  <c r="EC277" i="91"/>
  <c r="EC166" i="91"/>
  <c r="CU225" i="91"/>
  <c r="CU230" i="91" s="1"/>
  <c r="CU166" i="91"/>
  <c r="BN230" i="91"/>
  <c r="DY105" i="91"/>
  <c r="DY75" i="91"/>
  <c r="EE105" i="91"/>
  <c r="EE75" i="91"/>
  <c r="CU105" i="91"/>
  <c r="CU75" i="91"/>
  <c r="M61" i="91"/>
  <c r="M74" i="91"/>
  <c r="CV225" i="91"/>
  <c r="CV230" i="91" s="1"/>
  <c r="CP105" i="91"/>
  <c r="CP75" i="91"/>
  <c r="BZ105" i="91"/>
  <c r="BZ75" i="91"/>
  <c r="CR230" i="91"/>
  <c r="CW278" i="91"/>
  <c r="CW277" i="91"/>
  <c r="BQ225" i="91"/>
  <c r="BQ230" i="91" s="1"/>
  <c r="BQ166" i="91"/>
  <c r="DA235" i="91"/>
  <c r="DA238" i="91" s="1"/>
  <c r="DA240" i="91" s="1"/>
  <c r="DA242" i="91" s="1"/>
  <c r="DW105" i="91"/>
  <c r="DW75" i="91"/>
  <c r="DZ230" i="91"/>
  <c r="CX306" i="91"/>
  <c r="CX307" i="91" s="1"/>
  <c r="AS111" i="91"/>
  <c r="AS112" i="91" s="1"/>
  <c r="AS109" i="91"/>
  <c r="AS106" i="91"/>
  <c r="DT225" i="91"/>
  <c r="DT230" i="91" s="1"/>
  <c r="AM105" i="91"/>
  <c r="AM75" i="91"/>
  <c r="BQ278" i="91"/>
  <c r="BQ277" i="91"/>
  <c r="DM230" i="91"/>
  <c r="CI105" i="91"/>
  <c r="CI75" i="91"/>
  <c r="DV105" i="91"/>
  <c r="DV75" i="91"/>
  <c r="BR228" i="91"/>
  <c r="CX226" i="91"/>
  <c r="CX230" i="91" s="1"/>
  <c r="BC105" i="91"/>
  <c r="BC75" i="91"/>
  <c r="AZ106" i="91"/>
  <c r="AZ111" i="91"/>
  <c r="AZ112" i="91" s="1"/>
  <c r="AZ109" i="91"/>
  <c r="CQ105" i="91"/>
  <c r="CQ75" i="91"/>
  <c r="L75" i="91"/>
  <c r="L105" i="91"/>
  <c r="DD105" i="91"/>
  <c r="DD75" i="91"/>
  <c r="CD105" i="91"/>
  <c r="CD75" i="91"/>
  <c r="DH230" i="91"/>
  <c r="BF105" i="91"/>
  <c r="BF75" i="91"/>
  <c r="DY230" i="91"/>
  <c r="EE230" i="91"/>
  <c r="DF228" i="91"/>
  <c r="DF226" i="91" s="1"/>
  <c r="DF230" i="91" s="1"/>
  <c r="CW225" i="91"/>
  <c r="CW230" i="91" s="1"/>
  <c r="CW166" i="91"/>
  <c r="AT109" i="91"/>
  <c r="AT111" i="91"/>
  <c r="AT112" i="91" s="1"/>
  <c r="AT106" i="91"/>
  <c r="DF105" i="91"/>
  <c r="DF75" i="91"/>
  <c r="Q74" i="91"/>
  <c r="Q61" i="91"/>
  <c r="AC61" i="91"/>
  <c r="AC74" i="91"/>
  <c r="G105" i="91"/>
  <c r="G75" i="91"/>
  <c r="Y74" i="91"/>
  <c r="Y61" i="91"/>
  <c r="DE105" i="91"/>
  <c r="DE75" i="91"/>
  <c r="BG105" i="91"/>
  <c r="BG75" i="91"/>
  <c r="CS105" i="91"/>
  <c r="CS75" i="91"/>
  <c r="DC105" i="91"/>
  <c r="DC75" i="91"/>
  <c r="DX105" i="91"/>
  <c r="DX75" i="91"/>
  <c r="AW109" i="91"/>
  <c r="AW106" i="91"/>
  <c r="AW111" i="91"/>
  <c r="AW112" i="91" s="1"/>
  <c r="F74" i="91"/>
  <c r="F61" i="91"/>
  <c r="DT237" i="91"/>
  <c r="BP105" i="91"/>
  <c r="BP75" i="91"/>
  <c r="CI230" i="91"/>
  <c r="CN225" i="91"/>
  <c r="CN230" i="91" s="1"/>
  <c r="CH228" i="91"/>
  <c r="CH226" i="91" s="1"/>
  <c r="CH230" i="91" s="1"/>
  <c r="DU166" i="91"/>
  <c r="BW225" i="91"/>
  <c r="BW166" i="91"/>
  <c r="AG105" i="91"/>
  <c r="AG75" i="91"/>
  <c r="DP105" i="91"/>
  <c r="DP75" i="91"/>
  <c r="DD225" i="91"/>
  <c r="DD230" i="91" s="1"/>
  <c r="DD166" i="91"/>
  <c r="BZ226" i="91"/>
  <c r="BZ230" i="91" s="1"/>
  <c r="CO235" i="91"/>
  <c r="CO238" i="91" s="1"/>
  <c r="CO240" i="91" s="1"/>
  <c r="CO242" i="91" s="1"/>
  <c r="CQ230" i="91"/>
  <c r="AA74" i="91"/>
  <c r="AA61" i="91"/>
  <c r="BR306" i="91"/>
  <c r="BR307" i="91" s="1"/>
  <c r="CE105" i="91"/>
  <c r="CE75" i="91"/>
  <c r="BU105" i="91"/>
  <c r="BU75" i="91"/>
  <c r="DE306" i="91"/>
  <c r="DE307" i="91" s="1"/>
  <c r="T75" i="91"/>
  <c r="T105" i="91"/>
  <c r="AY111" i="91"/>
  <c r="AY112" i="91" s="1"/>
  <c r="AY106" i="91"/>
  <c r="AY109" i="91"/>
  <c r="BO105" i="91"/>
  <c r="BO75" i="91"/>
  <c r="AO105" i="91"/>
  <c r="JD105" i="91" s="1"/>
  <c r="JD106" i="91" s="1"/>
  <c r="AO75" i="91"/>
  <c r="V61" i="91"/>
  <c r="V74" i="91"/>
  <c r="CC230" i="91"/>
  <c r="CS230" i="91"/>
  <c r="BB105" i="91"/>
  <c r="BB75" i="91"/>
  <c r="DX230" i="91"/>
  <c r="CV105" i="91"/>
  <c r="LI105" i="91" s="1"/>
  <c r="LI106" i="91" s="1"/>
  <c r="CV75" i="91"/>
  <c r="CG278" i="91"/>
  <c r="CG277" i="91"/>
  <c r="O105" i="91"/>
  <c r="O75" i="91"/>
  <c r="AF105" i="91"/>
  <c r="AF75" i="91"/>
  <c r="K74" i="91"/>
  <c r="K61" i="91"/>
  <c r="H105" i="91"/>
  <c r="H75" i="91"/>
  <c r="DP230" i="91"/>
  <c r="DK75" i="91"/>
  <c r="CG166" i="91"/>
  <c r="ED306" i="91"/>
  <c r="ED307" i="91" s="1"/>
  <c r="BX105" i="91"/>
  <c r="BX75" i="91"/>
  <c r="CT105" i="91"/>
  <c r="CT75" i="91"/>
  <c r="DF306" i="91"/>
  <c r="DF307" i="91" s="1"/>
  <c r="CD230" i="91"/>
  <c r="CJ105" i="91"/>
  <c r="CJ75" i="91"/>
  <c r="BU230" i="91"/>
  <c r="CG105" i="91"/>
  <c r="CG75" i="91"/>
  <c r="CA105" i="91"/>
  <c r="CA75" i="91"/>
  <c r="BR226" i="91"/>
  <c r="EC105" i="91"/>
  <c r="EC75" i="91"/>
  <c r="DZ105" i="91"/>
  <c r="DZ75" i="91"/>
  <c r="CN306" i="91"/>
  <c r="CN307" i="91" s="1"/>
  <c r="BW230" i="91"/>
  <c r="DO105" i="91"/>
  <c r="DO75" i="91"/>
  <c r="BW105" i="91"/>
  <c r="BW75" i="91"/>
  <c r="E75" i="91"/>
  <c r="E105" i="91"/>
  <c r="BJ105" i="91"/>
  <c r="BJ75" i="91"/>
  <c r="CW105" i="91"/>
  <c r="CW75" i="91"/>
  <c r="BS228" i="91"/>
  <c r="BS226" i="91" s="1"/>
  <c r="BS230" i="91" s="1"/>
  <c r="AL105" i="91"/>
  <c r="AL75" i="91"/>
  <c r="R61" i="91"/>
  <c r="R74" i="91"/>
  <c r="BO225" i="91"/>
  <c r="BO230" i="91" s="1"/>
  <c r="BO166" i="91"/>
  <c r="CF105" i="91"/>
  <c r="CF75" i="91"/>
  <c r="BP230" i="91"/>
  <c r="DA105" i="91"/>
  <c r="DA75" i="91"/>
  <c r="BD105" i="91"/>
  <c r="BD75" i="91"/>
  <c r="CZ105" i="91"/>
  <c r="CZ75" i="91"/>
  <c r="AK75" i="91"/>
  <c r="AK105" i="91"/>
  <c r="AP111" i="91"/>
  <c r="AP112" i="91" s="1"/>
  <c r="AP106" i="91"/>
  <c r="AP109" i="91"/>
  <c r="CG225" i="91"/>
  <c r="CG230" i="91" s="1"/>
  <c r="CO306" i="91"/>
  <c r="CO307" i="91" s="1"/>
  <c r="CE225" i="91"/>
  <c r="CE230" i="91" s="1"/>
  <c r="CE166" i="91"/>
  <c r="CC105" i="91"/>
  <c r="CC75" i="91"/>
  <c r="DL225" i="91"/>
  <c r="DL230" i="91" s="1"/>
  <c r="DL166" i="91"/>
  <c r="CA228" i="91"/>
  <c r="CA226" i="91" s="1"/>
  <c r="CA230" i="91" s="1"/>
  <c r="BY226" i="91"/>
  <c r="DN226" i="91"/>
  <c r="DN230" i="91" s="1"/>
  <c r="BR214" i="91"/>
  <c r="DS105" i="91"/>
  <c r="DS75" i="91"/>
  <c r="DG225" i="91"/>
  <c r="DG230" i="91" s="1"/>
  <c r="DG166" i="91"/>
  <c r="BR225" i="91"/>
  <c r="EB223" i="91"/>
  <c r="EB61" i="91"/>
  <c r="EB74" i="91"/>
  <c r="HN74" i="91" s="1"/>
  <c r="DL105" i="91"/>
  <c r="DL75" i="91"/>
  <c r="BG306" i="91"/>
  <c r="BG307" i="91" s="1"/>
  <c r="CK306" i="91"/>
  <c r="CK307" i="91" s="1"/>
  <c r="DV306" i="91"/>
  <c r="DV307" i="91" s="1"/>
  <c r="BM105" i="91"/>
  <c r="BM75" i="91"/>
  <c r="EF105" i="91"/>
  <c r="EF75" i="91"/>
  <c r="AD105" i="91"/>
  <c r="AD75" i="91"/>
  <c r="LL137" i="91" l="1"/>
  <c r="LM137" i="91"/>
  <c r="CZ280" i="91"/>
  <c r="DJ235" i="91"/>
  <c r="DJ238" i="91" s="1"/>
  <c r="DJ240" i="91" s="1"/>
  <c r="DJ242" i="91" s="1"/>
  <c r="LL105" i="91"/>
  <c r="LL106" i="91" s="1"/>
  <c r="LM105" i="91"/>
  <c r="LM106" i="91" s="1"/>
  <c r="CT235" i="91"/>
  <c r="CT238" i="91" s="1"/>
  <c r="CT240" i="91" s="1"/>
  <c r="CT242" i="91" s="1"/>
  <c r="DR235" i="91"/>
  <c r="DR238" i="91" s="1"/>
  <c r="DR240" i="91" s="1"/>
  <c r="DR242" i="91" s="1"/>
  <c r="BM235" i="91"/>
  <c r="BM238" i="91" s="1"/>
  <c r="BM240" i="91" s="1"/>
  <c r="BM242" i="91" s="1"/>
  <c r="CE306" i="91"/>
  <c r="CE307" i="91" s="1"/>
  <c r="JL74" i="91"/>
  <c r="JL75" i="91" s="1"/>
  <c r="JA74" i="91"/>
  <c r="EC235" i="91"/>
  <c r="JG137" i="91"/>
  <c r="CK225" i="91"/>
  <c r="CK230" i="91" s="1"/>
  <c r="CK235" i="91" s="1"/>
  <c r="CK238" i="91" s="1"/>
  <c r="CK240" i="91" s="1"/>
  <c r="CK242" i="91" s="1"/>
  <c r="CJ225" i="91"/>
  <c r="CJ230" i="91" s="1"/>
  <c r="CJ166" i="91"/>
  <c r="JG166" i="91" s="1"/>
  <c r="BY225" i="91"/>
  <c r="AM291" i="91"/>
  <c r="BX166" i="91"/>
  <c r="JF166" i="91" s="1"/>
  <c r="JI105" i="91"/>
  <c r="JI106" i="91" s="1"/>
  <c r="JD137" i="91"/>
  <c r="AZ166" i="91"/>
  <c r="JD166" i="91" s="1"/>
  <c r="JG39" i="91"/>
  <c r="JG40" i="91" s="1"/>
  <c r="BY40" i="91"/>
  <c r="BY60" i="91"/>
  <c r="JE218" i="91"/>
  <c r="JE220" i="91"/>
  <c r="JF105" i="91"/>
  <c r="JF106" i="91" s="1"/>
  <c r="BX225" i="91"/>
  <c r="BX230" i="91" s="1"/>
  <c r="BX280" i="91" s="1"/>
  <c r="EB230" i="91"/>
  <c r="EB235" i="91" s="1"/>
  <c r="JB74" i="91"/>
  <c r="JB75" i="91" s="1"/>
  <c r="JH105" i="91"/>
  <c r="JH106" i="91" s="1"/>
  <c r="JL137" i="91"/>
  <c r="JK137" i="91"/>
  <c r="DI60" i="91"/>
  <c r="JJ39" i="91"/>
  <c r="JJ40" i="91" s="1"/>
  <c r="DI40" i="91"/>
  <c r="AN40" i="91"/>
  <c r="AN60" i="91"/>
  <c r="JC39" i="91"/>
  <c r="JC40" i="91" s="1"/>
  <c r="JI77" i="91"/>
  <c r="CW234" i="91"/>
  <c r="JG77" i="91"/>
  <c r="BY234" i="91"/>
  <c r="JK74" i="91"/>
  <c r="JK75" i="91" s="1"/>
  <c r="JE39" i="91"/>
  <c r="JE40" i="91" s="1"/>
  <c r="BA40" i="91"/>
  <c r="BA60" i="91"/>
  <c r="DW235" i="91"/>
  <c r="DQ280" i="91"/>
  <c r="BR230" i="91"/>
  <c r="BR235" i="91" s="1"/>
  <c r="BR238" i="91" s="1"/>
  <c r="BR240" i="91" s="1"/>
  <c r="BR242" i="91" s="1"/>
  <c r="BT235" i="91"/>
  <c r="BT238" i="91" s="1"/>
  <c r="BT240" i="91" s="1"/>
  <c r="BT242" i="91" s="1"/>
  <c r="BV280" i="91"/>
  <c r="HN137" i="91"/>
  <c r="EF225" i="91"/>
  <c r="EF230" i="91" s="1"/>
  <c r="EF166" i="91"/>
  <c r="Z291" i="91"/>
  <c r="AA291" i="91"/>
  <c r="S291" i="91"/>
  <c r="R291" i="91"/>
  <c r="DN235" i="91"/>
  <c r="DN238" i="91" s="1"/>
  <c r="DN240" i="91" s="1"/>
  <c r="DN242" i="91" s="1"/>
  <c r="DN280" i="91"/>
  <c r="BQ235" i="91"/>
  <c r="BQ238" i="91" s="1"/>
  <c r="BQ240" i="91" s="1"/>
  <c r="BQ242" i="91" s="1"/>
  <c r="BQ280" i="91"/>
  <c r="BX235" i="91"/>
  <c r="BX238" i="91" s="1"/>
  <c r="BX240" i="91" s="1"/>
  <c r="BX242" i="91" s="1"/>
  <c r="CE235" i="91"/>
  <c r="CE238" i="91" s="1"/>
  <c r="CE240" i="91" s="1"/>
  <c r="CE242" i="91" s="1"/>
  <c r="CE280" i="91"/>
  <c r="CX235" i="91"/>
  <c r="CX238" i="91" s="1"/>
  <c r="CX240" i="91" s="1"/>
  <c r="CX242" i="91" s="1"/>
  <c r="CX280" i="91"/>
  <c r="CN235" i="91"/>
  <c r="CN238" i="91" s="1"/>
  <c r="CN240" i="91" s="1"/>
  <c r="CN242" i="91" s="1"/>
  <c r="CN280" i="91"/>
  <c r="CW235" i="91"/>
  <c r="CW238" i="91" s="1"/>
  <c r="CW240" i="91" s="1"/>
  <c r="CW242" i="91" s="1"/>
  <c r="CW280" i="91"/>
  <c r="DG235" i="91"/>
  <c r="DG238" i="91" s="1"/>
  <c r="DG240" i="91" s="1"/>
  <c r="DG242" i="91" s="1"/>
  <c r="DG280" i="91"/>
  <c r="CG235" i="91"/>
  <c r="CG238" i="91" s="1"/>
  <c r="CG240" i="91" s="1"/>
  <c r="CG242" i="91" s="1"/>
  <c r="CG280" i="91"/>
  <c r="ED235" i="91"/>
  <c r="ED280" i="91"/>
  <c r="DF235" i="91"/>
  <c r="DF238" i="91" s="1"/>
  <c r="DF240" i="91" s="1"/>
  <c r="DF242" i="91" s="1"/>
  <c r="DF280" i="91"/>
  <c r="BR280" i="91"/>
  <c r="CF235" i="91"/>
  <c r="CF238" i="91" s="1"/>
  <c r="CF240" i="91" s="1"/>
  <c r="CF242" i="91" s="1"/>
  <c r="CF280" i="91"/>
  <c r="DL235" i="91"/>
  <c r="DL238" i="91" s="1"/>
  <c r="DL240" i="91" s="1"/>
  <c r="DL242" i="91" s="1"/>
  <c r="DL280" i="91"/>
  <c r="BO235" i="91"/>
  <c r="BO238" i="91" s="1"/>
  <c r="BO240" i="91" s="1"/>
  <c r="BO242" i="91" s="1"/>
  <c r="BO280" i="91"/>
  <c r="BS235" i="91"/>
  <c r="BS238" i="91" s="1"/>
  <c r="BS240" i="91" s="1"/>
  <c r="BS242" i="91" s="1"/>
  <c r="BS280" i="91"/>
  <c r="CH235" i="91"/>
  <c r="CH238" i="91" s="1"/>
  <c r="CH240" i="91" s="1"/>
  <c r="CH242" i="91" s="1"/>
  <c r="CH280" i="91"/>
  <c r="BZ235" i="91"/>
  <c r="BZ238" i="91" s="1"/>
  <c r="BZ240" i="91" s="1"/>
  <c r="BZ242" i="91" s="1"/>
  <c r="BZ280" i="91"/>
  <c r="BS214" i="91"/>
  <c r="AL106" i="91"/>
  <c r="AL111" i="91"/>
  <c r="AL112" i="91" s="1"/>
  <c r="CA106" i="91"/>
  <c r="CA111" i="91"/>
  <c r="CA109" i="91"/>
  <c r="BX111" i="91"/>
  <c r="BX112" i="91" s="1"/>
  <c r="BX106" i="91"/>
  <c r="BX109" i="91"/>
  <c r="H111" i="91"/>
  <c r="H106" i="91"/>
  <c r="DX235" i="91"/>
  <c r="DX280" i="91"/>
  <c r="CC235" i="91"/>
  <c r="CC238" i="91" s="1"/>
  <c r="CC240" i="91" s="1"/>
  <c r="CC242" i="91" s="1"/>
  <c r="CC280" i="91"/>
  <c r="CE111" i="91"/>
  <c r="CE106" i="91"/>
  <c r="CE109" i="91"/>
  <c r="DP106" i="91"/>
  <c r="DP111" i="91"/>
  <c r="DP109" i="91"/>
  <c r="AJ291" i="91"/>
  <c r="Y105" i="91"/>
  <c r="Y75" i="91"/>
  <c r="L106" i="91"/>
  <c r="L111" i="91"/>
  <c r="CR235" i="91"/>
  <c r="CR238" i="91" s="1"/>
  <c r="CR240" i="91" s="1"/>
  <c r="CR242" i="91" s="1"/>
  <c r="CR280" i="91"/>
  <c r="DB235" i="91"/>
  <c r="DB238" i="91" s="1"/>
  <c r="DB240" i="91" s="1"/>
  <c r="DB242" i="91" s="1"/>
  <c r="DB280" i="91"/>
  <c r="CK280" i="91"/>
  <c r="CH106" i="91"/>
  <c r="CH111" i="91"/>
  <c r="CH109" i="91"/>
  <c r="BT111" i="91"/>
  <c r="BT112" i="91" s="1"/>
  <c r="BT106" i="91"/>
  <c r="BT109" i="91"/>
  <c r="DB111" i="91"/>
  <c r="DB106" i="91"/>
  <c r="DB109" i="91"/>
  <c r="CB106" i="91"/>
  <c r="CB111" i="91"/>
  <c r="CB109" i="91"/>
  <c r="DJ106" i="91"/>
  <c r="DJ111" i="91"/>
  <c r="DJ109" i="91"/>
  <c r="DO235" i="91"/>
  <c r="DO238" i="91" s="1"/>
  <c r="DO240" i="91" s="1"/>
  <c r="DO242" i="91" s="1"/>
  <c r="DO280" i="91"/>
  <c r="AH111" i="91"/>
  <c r="AH112" i="91" s="1"/>
  <c r="AH106" i="91"/>
  <c r="DR106" i="91"/>
  <c r="DR111" i="91"/>
  <c r="DR109" i="91"/>
  <c r="CC111" i="91"/>
  <c r="CC109" i="91"/>
  <c r="CC106" i="91"/>
  <c r="BW111" i="91"/>
  <c r="BW112" i="91" s="1"/>
  <c r="BW106" i="91"/>
  <c r="BW109" i="91"/>
  <c r="O106" i="91"/>
  <c r="O111" i="91"/>
  <c r="AG291" i="91"/>
  <c r="V105" i="91"/>
  <c r="V75" i="91"/>
  <c r="AE291" i="91"/>
  <c r="CI235" i="91"/>
  <c r="CI238" i="91" s="1"/>
  <c r="CI240" i="91" s="1"/>
  <c r="CI242" i="91" s="1"/>
  <c r="CI280" i="91"/>
  <c r="Q291" i="91"/>
  <c r="F105" i="91"/>
  <c r="F75" i="91"/>
  <c r="DF106" i="91"/>
  <c r="DF111" i="91"/>
  <c r="DF109" i="91"/>
  <c r="BF109" i="91"/>
  <c r="BF111" i="91"/>
  <c r="BF112" i="91" s="1"/>
  <c r="BC109" i="91"/>
  <c r="BC111" i="91"/>
  <c r="BC112" i="91" s="1"/>
  <c r="DV111" i="91"/>
  <c r="DV106" i="91"/>
  <c r="DV109" i="91"/>
  <c r="DT235" i="91"/>
  <c r="DT238" i="91" s="1"/>
  <c r="DT240" i="91" s="1"/>
  <c r="DT242" i="91" s="1"/>
  <c r="DT280" i="91"/>
  <c r="CU111" i="91"/>
  <c r="CU106" i="91"/>
  <c r="CU109" i="91"/>
  <c r="CL235" i="91"/>
  <c r="CL238" i="91" s="1"/>
  <c r="CL240" i="91" s="1"/>
  <c r="CL242" i="91" s="1"/>
  <c r="CL280" i="91"/>
  <c r="CR106" i="91"/>
  <c r="CR111" i="91"/>
  <c r="CR109" i="91"/>
  <c r="W106" i="91"/>
  <c r="W111" i="91"/>
  <c r="DG106" i="91"/>
  <c r="DG111" i="91"/>
  <c r="DG109" i="91"/>
  <c r="AI111" i="91"/>
  <c r="AI112" i="91" s="1"/>
  <c r="AI106" i="91"/>
  <c r="EF111" i="91"/>
  <c r="EF106" i="91"/>
  <c r="EF109" i="91"/>
  <c r="DL111" i="91"/>
  <c r="DL106" i="91"/>
  <c r="DL109" i="91"/>
  <c r="DK235" i="91"/>
  <c r="DK238" i="91" s="1"/>
  <c r="DK240" i="91" s="1"/>
  <c r="DK242" i="91" s="1"/>
  <c r="DK280" i="91"/>
  <c r="BD111" i="91"/>
  <c r="BD112" i="91" s="1"/>
  <c r="BD109" i="91"/>
  <c r="DZ111" i="91"/>
  <c r="DZ106" i="91"/>
  <c r="DZ109" i="91"/>
  <c r="CG111" i="91"/>
  <c r="CG106" i="91"/>
  <c r="CG109" i="91"/>
  <c r="BB111" i="91"/>
  <c r="BB112" i="91" s="1"/>
  <c r="BB109" i="91"/>
  <c r="AG111" i="91"/>
  <c r="AG112" i="91" s="1"/>
  <c r="AG106" i="91"/>
  <c r="G106" i="91"/>
  <c r="G111" i="91"/>
  <c r="DH235" i="91"/>
  <c r="DH238" i="91" s="1"/>
  <c r="DH240" i="91" s="1"/>
  <c r="DH242" i="91" s="1"/>
  <c r="DH280" i="91"/>
  <c r="W291" i="91"/>
  <c r="BZ106" i="91"/>
  <c r="BZ111" i="91"/>
  <c r="BZ109" i="91"/>
  <c r="DH106" i="91"/>
  <c r="DH111" i="91"/>
  <c r="LJ111" i="91" s="1"/>
  <c r="LJ112" i="91" s="1"/>
  <c r="DH109" i="91"/>
  <c r="BV111" i="91"/>
  <c r="BV112" i="91" s="1"/>
  <c r="BV106" i="91"/>
  <c r="BV109" i="91"/>
  <c r="BI111" i="91"/>
  <c r="BI112" i="91" s="1"/>
  <c r="BI109" i="91"/>
  <c r="BL111" i="91"/>
  <c r="BL112" i="91" s="1"/>
  <c r="BL109" i="91"/>
  <c r="AH291" i="91"/>
  <c r="DN111" i="91"/>
  <c r="DN106" i="91"/>
  <c r="DN109" i="91"/>
  <c r="DE235" i="91"/>
  <c r="DE238" i="91" s="1"/>
  <c r="DE240" i="91" s="1"/>
  <c r="DE242" i="91" s="1"/>
  <c r="DE280" i="91"/>
  <c r="CM235" i="91"/>
  <c r="CM238" i="91" s="1"/>
  <c r="CM240" i="91" s="1"/>
  <c r="CM242" i="91" s="1"/>
  <c r="CM280" i="91"/>
  <c r="DU111" i="91"/>
  <c r="DU106" i="91"/>
  <c r="DU109" i="91"/>
  <c r="Y291" i="91"/>
  <c r="N105" i="91"/>
  <c r="N75" i="91"/>
  <c r="BM111" i="91"/>
  <c r="BM109" i="91"/>
  <c r="BM106" i="91"/>
  <c r="CA235" i="91"/>
  <c r="CA238" i="91" s="1"/>
  <c r="CA240" i="91" s="1"/>
  <c r="CA242" i="91" s="1"/>
  <c r="CA280" i="91"/>
  <c r="AK106" i="91"/>
  <c r="AK111" i="91"/>
  <c r="AK112" i="91" s="1"/>
  <c r="CW111" i="91"/>
  <c r="CW106" i="91"/>
  <c r="CW109" i="91"/>
  <c r="CP235" i="91"/>
  <c r="CP238" i="91" s="1"/>
  <c r="CP240" i="91" s="1"/>
  <c r="CP242" i="91" s="1"/>
  <c r="CP280" i="91"/>
  <c r="BP111" i="91"/>
  <c r="BP112" i="91" s="1"/>
  <c r="BP106" i="91"/>
  <c r="BP109" i="91"/>
  <c r="DC111" i="91"/>
  <c r="DC106" i="91"/>
  <c r="DC109" i="91"/>
  <c r="CU235" i="91"/>
  <c r="CU238" i="91" s="1"/>
  <c r="CU240" i="91" s="1"/>
  <c r="CU242" i="91" s="1"/>
  <c r="CU280" i="91"/>
  <c r="CI106" i="91"/>
  <c r="CI111" i="91"/>
  <c r="CI109" i="91"/>
  <c r="DZ235" i="91"/>
  <c r="DZ280" i="91"/>
  <c r="EE111" i="91"/>
  <c r="EE106" i="91"/>
  <c r="EE109" i="91"/>
  <c r="CO106" i="91"/>
  <c r="CO111" i="91"/>
  <c r="CO109" i="91"/>
  <c r="CN106" i="91"/>
  <c r="CN111" i="91"/>
  <c r="CN109" i="91"/>
  <c r="DT106" i="91"/>
  <c r="DT111" i="91"/>
  <c r="LK111" i="91" s="1"/>
  <c r="LK112" i="91" s="1"/>
  <c r="DT109" i="91"/>
  <c r="X111" i="91"/>
  <c r="X106" i="91"/>
  <c r="BS111" i="91"/>
  <c r="BS112" i="91" s="1"/>
  <c r="BS106" i="91"/>
  <c r="BS109" i="91"/>
  <c r="BN111" i="91"/>
  <c r="BN112" i="91" s="1"/>
  <c r="BN106" i="91"/>
  <c r="BN109" i="91"/>
  <c r="CM111" i="91"/>
  <c r="CM106" i="91"/>
  <c r="CM109" i="91"/>
  <c r="EB105" i="91"/>
  <c r="HN105" i="91" s="1"/>
  <c r="EB75" i="91"/>
  <c r="DA106" i="91"/>
  <c r="DA111" i="91"/>
  <c r="DA109" i="91"/>
  <c r="EC111" i="91"/>
  <c r="EC106" i="91"/>
  <c r="EC109" i="91"/>
  <c r="BU235" i="91"/>
  <c r="BU238" i="91" s="1"/>
  <c r="BU240" i="91" s="1"/>
  <c r="BU242" i="91" s="1"/>
  <c r="BU280" i="91"/>
  <c r="CT111" i="91"/>
  <c r="CT106" i="91"/>
  <c r="CT109" i="91"/>
  <c r="V291" i="91"/>
  <c r="K105" i="91"/>
  <c r="K75" i="91"/>
  <c r="DC235" i="91"/>
  <c r="DC238" i="91" s="1"/>
  <c r="DC240" i="91" s="1"/>
  <c r="DC242" i="91" s="1"/>
  <c r="DC280" i="91"/>
  <c r="AO111" i="91"/>
  <c r="JD111" i="91" s="1"/>
  <c r="JD112" i="91" s="1"/>
  <c r="AO109" i="91"/>
  <c r="AO106" i="91"/>
  <c r="DU237" i="91"/>
  <c r="AC75" i="91"/>
  <c r="AC105" i="91"/>
  <c r="EE235" i="91"/>
  <c r="EE280" i="91"/>
  <c r="CD106" i="91"/>
  <c r="CD111" i="91"/>
  <c r="CD109" i="91"/>
  <c r="CQ106" i="91"/>
  <c r="CQ111" i="91"/>
  <c r="CQ109" i="91"/>
  <c r="AM111" i="91"/>
  <c r="AM112" i="91" s="1"/>
  <c r="AM106" i="91"/>
  <c r="CP106" i="91"/>
  <c r="CP111" i="91"/>
  <c r="CP109" i="91"/>
  <c r="P106" i="91"/>
  <c r="P111" i="91"/>
  <c r="AI291" i="91"/>
  <c r="T291" i="91"/>
  <c r="I105" i="91"/>
  <c r="I75" i="91"/>
  <c r="CK111" i="91"/>
  <c r="CK106" i="91"/>
  <c r="CK109" i="91"/>
  <c r="DM111" i="91"/>
  <c r="DM106" i="91"/>
  <c r="DM109" i="91"/>
  <c r="BQ111" i="91"/>
  <c r="BQ112" i="91" s="1"/>
  <c r="BQ106" i="91"/>
  <c r="BQ109" i="91"/>
  <c r="AD291" i="91"/>
  <c r="S105" i="91"/>
  <c r="S75" i="91"/>
  <c r="AJ111" i="91"/>
  <c r="AJ112" i="91" s="1"/>
  <c r="AJ106" i="91"/>
  <c r="AF291" i="91"/>
  <c r="U75" i="91"/>
  <c r="U105" i="91"/>
  <c r="DS111" i="91"/>
  <c r="DS106" i="91"/>
  <c r="DS109" i="91"/>
  <c r="BP235" i="91"/>
  <c r="BP238" i="91" s="1"/>
  <c r="BP240" i="91" s="1"/>
  <c r="BP242" i="91" s="1"/>
  <c r="BP280" i="91"/>
  <c r="AC291" i="91"/>
  <c r="R105" i="91"/>
  <c r="R75" i="91"/>
  <c r="BJ111" i="91"/>
  <c r="BJ112" i="91" s="1"/>
  <c r="BJ109" i="91"/>
  <c r="DS235" i="91"/>
  <c r="DS238" i="91" s="1"/>
  <c r="DS240" i="91" s="1"/>
  <c r="DS242" i="91" s="1"/>
  <c r="DS280" i="91"/>
  <c r="BW235" i="91"/>
  <c r="BW238" i="91" s="1"/>
  <c r="BW240" i="91" s="1"/>
  <c r="BW242" i="91" s="1"/>
  <c r="BW280" i="91"/>
  <c r="DK111" i="91"/>
  <c r="DK106" i="91"/>
  <c r="DK109" i="91"/>
  <c r="DV235" i="91"/>
  <c r="DV280" i="91"/>
  <c r="CS235" i="91"/>
  <c r="CS238" i="91" s="1"/>
  <c r="CS240" i="91" s="1"/>
  <c r="CS242" i="91" s="1"/>
  <c r="CS280" i="91"/>
  <c r="AL291" i="91"/>
  <c r="AA105" i="91"/>
  <c r="AA75" i="91"/>
  <c r="CS111" i="91"/>
  <c r="CS109" i="91"/>
  <c r="CS106" i="91"/>
  <c r="DE111" i="91"/>
  <c r="DE106" i="91"/>
  <c r="DE109" i="91"/>
  <c r="DY235" i="91"/>
  <c r="DY280" i="91"/>
  <c r="DM235" i="91"/>
  <c r="DM238" i="91" s="1"/>
  <c r="DM240" i="91" s="1"/>
  <c r="DM242" i="91" s="1"/>
  <c r="DM280" i="91"/>
  <c r="DW111" i="91"/>
  <c r="DW106" i="91"/>
  <c r="DW109" i="91"/>
  <c r="DY109" i="91"/>
  <c r="DY106" i="91"/>
  <c r="DY111" i="91"/>
  <c r="U291" i="91"/>
  <c r="J105" i="91"/>
  <c r="J75" i="91"/>
  <c r="ED111" i="91"/>
  <c r="ED106" i="91"/>
  <c r="ED109" i="91"/>
  <c r="CZ106" i="91"/>
  <c r="CZ111" i="91"/>
  <c r="CZ109" i="91"/>
  <c r="E106" i="91"/>
  <c r="E111" i="91"/>
  <c r="CJ106" i="91"/>
  <c r="CJ111" i="91"/>
  <c r="CJ109" i="91"/>
  <c r="DP235" i="91"/>
  <c r="DP238" i="91" s="1"/>
  <c r="DP240" i="91" s="1"/>
  <c r="DP242" i="91" s="1"/>
  <c r="DP280" i="91"/>
  <c r="BO111" i="91"/>
  <c r="BO112" i="91" s="1"/>
  <c r="BO106" i="91"/>
  <c r="BO109" i="91"/>
  <c r="BU111" i="91"/>
  <c r="BU112" i="91" s="1"/>
  <c r="BU106" i="91"/>
  <c r="BU109" i="91"/>
  <c r="DD235" i="91"/>
  <c r="DD238" i="91" s="1"/>
  <c r="DD240" i="91" s="1"/>
  <c r="DD242" i="91" s="1"/>
  <c r="DD280" i="91"/>
  <c r="DX106" i="91"/>
  <c r="DX111" i="91"/>
  <c r="DX109" i="91"/>
  <c r="CV235" i="91"/>
  <c r="CV238" i="91" s="1"/>
  <c r="CV240" i="91" s="1"/>
  <c r="CV242" i="91" s="1"/>
  <c r="CV280" i="91"/>
  <c r="EA235" i="91"/>
  <c r="EA280" i="91"/>
  <c r="X291" i="91"/>
  <c r="M75" i="91"/>
  <c r="M105" i="91"/>
  <c r="BN235" i="91"/>
  <c r="BN238" i="91" s="1"/>
  <c r="BN240" i="91" s="1"/>
  <c r="BN242" i="91" s="1"/>
  <c r="BN280" i="91"/>
  <c r="DU235" i="91"/>
  <c r="DU280" i="91"/>
  <c r="AK291" i="91"/>
  <c r="Z105" i="91"/>
  <c r="Z75" i="91"/>
  <c r="BH111" i="91"/>
  <c r="BH112" i="91" s="1"/>
  <c r="BH109" i="91"/>
  <c r="AE106" i="91"/>
  <c r="AE111" i="91"/>
  <c r="AE112" i="91" s="1"/>
  <c r="AB106" i="91"/>
  <c r="AB111" i="91"/>
  <c r="BE111" i="91"/>
  <c r="BE112" i="91" s="1"/>
  <c r="BE109" i="91"/>
  <c r="BR111" i="91"/>
  <c r="BR112" i="91" s="1"/>
  <c r="BR106" i="91"/>
  <c r="BR109" i="91"/>
  <c r="BK111" i="91"/>
  <c r="BK112" i="91" s="1"/>
  <c r="BK109" i="91"/>
  <c r="AD111" i="91"/>
  <c r="AD112" i="91" s="1"/>
  <c r="AD106" i="91"/>
  <c r="CF111" i="91"/>
  <c r="CF106" i="91"/>
  <c r="CF109" i="91"/>
  <c r="DO106" i="91"/>
  <c r="DO111" i="91"/>
  <c r="DO109" i="91"/>
  <c r="CD235" i="91"/>
  <c r="CD238" i="91" s="1"/>
  <c r="CD240" i="91" s="1"/>
  <c r="CD242" i="91" s="1"/>
  <c r="CD280" i="91"/>
  <c r="AF106" i="91"/>
  <c r="AF111" i="91"/>
  <c r="AF112" i="91" s="1"/>
  <c r="CV111" i="91"/>
  <c r="LI111" i="91" s="1"/>
  <c r="LI112" i="91" s="1"/>
  <c r="CV106" i="91"/>
  <c r="CV109" i="91"/>
  <c r="T106" i="91"/>
  <c r="T111" i="91"/>
  <c r="CQ235" i="91"/>
  <c r="CQ238" i="91" s="1"/>
  <c r="CQ240" i="91" s="1"/>
  <c r="CQ242" i="91" s="1"/>
  <c r="CQ280" i="91"/>
  <c r="BG111" i="91"/>
  <c r="BG112" i="91" s="1"/>
  <c r="BG109" i="91"/>
  <c r="AB291" i="91"/>
  <c r="Q105" i="91"/>
  <c r="Q75" i="91"/>
  <c r="DD111" i="91"/>
  <c r="DD106" i="91"/>
  <c r="DD109" i="91"/>
  <c r="CB235" i="91"/>
  <c r="CB238" i="91" s="1"/>
  <c r="CB240" i="91" s="1"/>
  <c r="CB242" i="91" s="1"/>
  <c r="CB280" i="91"/>
  <c r="EA111" i="91"/>
  <c r="EA106" i="91"/>
  <c r="EA109" i="91"/>
  <c r="CL111" i="91"/>
  <c r="CL106" i="91"/>
  <c r="CL109" i="91"/>
  <c r="DQ111" i="91"/>
  <c r="DQ106" i="91"/>
  <c r="DQ109" i="91"/>
  <c r="CY235" i="91"/>
  <c r="CY238" i="91" s="1"/>
  <c r="CY240" i="91" s="1"/>
  <c r="CY242" i="91" s="1"/>
  <c r="CY280" i="91"/>
  <c r="CX106" i="91"/>
  <c r="CX111" i="91"/>
  <c r="CX109" i="91"/>
  <c r="CY106" i="91"/>
  <c r="CY111" i="91"/>
  <c r="CY109" i="91"/>
  <c r="EB280" i="91" l="1"/>
  <c r="LL166" i="91"/>
  <c r="LM166" i="91"/>
  <c r="LM111" i="91"/>
  <c r="LM112" i="91" s="1"/>
  <c r="LL111" i="91"/>
  <c r="LL112" i="91" s="1"/>
  <c r="JL105" i="91"/>
  <c r="JL106" i="91" s="1"/>
  <c r="JI111" i="91"/>
  <c r="JI112" i="91" s="1"/>
  <c r="JA105" i="91"/>
  <c r="JE60" i="91"/>
  <c r="JE61" i="91" s="1"/>
  <c r="BA61" i="91"/>
  <c r="BA74" i="91"/>
  <c r="JK105" i="91"/>
  <c r="JK106" i="91" s="1"/>
  <c r="JF111" i="91"/>
  <c r="JF112" i="91" s="1"/>
  <c r="JJ60" i="91"/>
  <c r="JJ61" i="91" s="1"/>
  <c r="DI223" i="91"/>
  <c r="DI230" i="91" s="1"/>
  <c r="DI61" i="91"/>
  <c r="DI74" i="91"/>
  <c r="JB105" i="91"/>
  <c r="JB106" i="91" s="1"/>
  <c r="AN74" i="91"/>
  <c r="AN61" i="91"/>
  <c r="JC60" i="91"/>
  <c r="JC61" i="91" s="1"/>
  <c r="CJ235" i="91"/>
  <c r="CJ238" i="91" s="1"/>
  <c r="CJ240" i="91" s="1"/>
  <c r="CJ242" i="91" s="1"/>
  <c r="CJ280" i="91"/>
  <c r="HN166" i="91"/>
  <c r="JL166" i="91"/>
  <c r="JK166" i="91"/>
  <c r="JG60" i="91"/>
  <c r="JG61" i="91" s="1"/>
  <c r="BY223" i="91"/>
  <c r="BY230" i="91" s="1"/>
  <c r="BY61" i="91"/>
  <c r="BY74" i="91"/>
  <c r="E112" i="91"/>
  <c r="JH111" i="91"/>
  <c r="JH112" i="91" s="1"/>
  <c r="EF235" i="91"/>
  <c r="EF280" i="91"/>
  <c r="CP112" i="91"/>
  <c r="M111" i="91"/>
  <c r="M106" i="91"/>
  <c r="DX112" i="91"/>
  <c r="CJ112" i="91"/>
  <c r="DW112" i="91"/>
  <c r="I111" i="91"/>
  <c r="I106" i="91"/>
  <c r="X112" i="91"/>
  <c r="CO112" i="91"/>
  <c r="CI112" i="91"/>
  <c r="N111" i="91"/>
  <c r="N106" i="91"/>
  <c r="BZ112" i="91"/>
  <c r="DJ112" i="91"/>
  <c r="Y111" i="91"/>
  <c r="Y106" i="91"/>
  <c r="CX112" i="91"/>
  <c r="CL112" i="91"/>
  <c r="CF112" i="91"/>
  <c r="DA112" i="91"/>
  <c r="DC112" i="91"/>
  <c r="DZ112" i="91"/>
  <c r="CR112" i="91"/>
  <c r="CU112" i="91"/>
  <c r="DR112" i="91"/>
  <c r="CD112" i="91"/>
  <c r="F111" i="91"/>
  <c r="F106" i="91"/>
  <c r="BT214" i="91"/>
  <c r="DD112" i="91"/>
  <c r="Z111" i="91"/>
  <c r="Z106" i="91"/>
  <c r="CS112" i="91"/>
  <c r="AZ213" i="91"/>
  <c r="AO112" i="91"/>
  <c r="CT112" i="91"/>
  <c r="DT112" i="91"/>
  <c r="DL112" i="91"/>
  <c r="CA112" i="91"/>
  <c r="DB112" i="91"/>
  <c r="CE112" i="91"/>
  <c r="T112" i="91"/>
  <c r="AB112" i="91"/>
  <c r="ED112" i="91"/>
  <c r="DY112" i="91"/>
  <c r="DM112" i="91"/>
  <c r="AC111" i="91"/>
  <c r="AC106" i="91"/>
  <c r="DN112" i="91"/>
  <c r="CB112" i="91"/>
  <c r="DP112" i="91"/>
  <c r="CV112" i="91"/>
  <c r="DE112" i="91"/>
  <c r="CM112" i="91"/>
  <c r="CY112" i="91"/>
  <c r="EA112" i="91"/>
  <c r="S111" i="91"/>
  <c r="S106" i="91"/>
  <c r="P112" i="91"/>
  <c r="CQ112" i="91"/>
  <c r="EB111" i="91"/>
  <c r="HN111" i="91" s="1"/>
  <c r="EB106" i="91"/>
  <c r="EB109" i="91"/>
  <c r="HN109" i="91" s="1"/>
  <c r="EE112" i="91"/>
  <c r="CW213" i="91"/>
  <c r="CX213" i="91" s="1"/>
  <c r="CW112" i="91"/>
  <c r="DU112" i="91"/>
  <c r="DG112" i="91"/>
  <c r="DF112" i="91"/>
  <c r="CH112" i="91"/>
  <c r="Q111" i="91"/>
  <c r="Q106" i="91"/>
  <c r="DO112" i="91"/>
  <c r="DU238" i="91"/>
  <c r="DU240" i="91" s="1"/>
  <c r="DU242" i="91" s="1"/>
  <c r="CZ112" i="91"/>
  <c r="DS112" i="91"/>
  <c r="CN112" i="91"/>
  <c r="BM213" i="91"/>
  <c r="BM112" i="91"/>
  <c r="DH112" i="91"/>
  <c r="G112" i="91"/>
  <c r="EF112" i="91"/>
  <c r="V111" i="91"/>
  <c r="V106" i="91"/>
  <c r="L112" i="91"/>
  <c r="H112" i="91"/>
  <c r="J111" i="91"/>
  <c r="J106" i="91"/>
  <c r="EC112" i="91"/>
  <c r="O112" i="91"/>
  <c r="DQ112" i="91"/>
  <c r="AA111" i="91"/>
  <c r="AA106" i="91"/>
  <c r="DK112" i="91"/>
  <c r="R111" i="91"/>
  <c r="R106" i="91"/>
  <c r="U106" i="91"/>
  <c r="U111" i="91"/>
  <c r="CK213" i="91"/>
  <c r="CL213" i="91" s="1"/>
  <c r="CK112" i="91"/>
  <c r="DV237" i="91"/>
  <c r="DV238" i="91" s="1"/>
  <c r="DV240" i="91" s="1"/>
  <c r="DV242" i="91" s="1"/>
  <c r="K111" i="91"/>
  <c r="K106" i="91"/>
  <c r="CG112" i="91"/>
  <c r="W112" i="91"/>
  <c r="DV112" i="91"/>
  <c r="CC112" i="91"/>
  <c r="JL111" i="91" l="1"/>
  <c r="JL112" i="91" s="1"/>
  <c r="JA111" i="91"/>
  <c r="BY235" i="91"/>
  <c r="BY238" i="91" s="1"/>
  <c r="BY240" i="91" s="1"/>
  <c r="BY242" i="91" s="1"/>
  <c r="BY280" i="91"/>
  <c r="DI235" i="91"/>
  <c r="DI238" i="91" s="1"/>
  <c r="DI240" i="91" s="1"/>
  <c r="DI242" i="91" s="1"/>
  <c r="DI280" i="91"/>
  <c r="AZ204" i="91"/>
  <c r="JD204" i="91" s="1"/>
  <c r="JD213" i="91"/>
  <c r="JB111" i="91"/>
  <c r="JB112" i="91" s="1"/>
  <c r="JK111" i="91"/>
  <c r="JK112" i="91" s="1"/>
  <c r="AN75" i="91"/>
  <c r="AN105" i="91"/>
  <c r="AN291" i="91"/>
  <c r="JC74" i="91"/>
  <c r="JC75" i="91" s="1"/>
  <c r="JE74" i="91"/>
  <c r="JE75" i="91" s="1"/>
  <c r="BA105" i="91"/>
  <c r="BA75" i="91"/>
  <c r="JG74" i="91"/>
  <c r="JG75" i="91" s="1"/>
  <c r="BY105" i="91"/>
  <c r="BY75" i="91"/>
  <c r="JJ74" i="91"/>
  <c r="JJ75" i="91" s="1"/>
  <c r="DI105" i="91"/>
  <c r="DI75" i="91"/>
  <c r="AH293" i="91"/>
  <c r="AE292" i="91"/>
  <c r="R293" i="91"/>
  <c r="CY213" i="91"/>
  <c r="CM213" i="91"/>
  <c r="V293" i="91"/>
  <c r="V292" i="91"/>
  <c r="K112" i="91"/>
  <c r="AC293" i="91"/>
  <c r="AC292" i="91"/>
  <c r="R112" i="91"/>
  <c r="Z292" i="91"/>
  <c r="S293" i="91"/>
  <c r="AC112" i="91"/>
  <c r="Z293" i="91"/>
  <c r="R292" i="91"/>
  <c r="AD293" i="91"/>
  <c r="AD292" i="91"/>
  <c r="S112" i="91"/>
  <c r="AM292" i="91"/>
  <c r="AK293" i="91"/>
  <c r="AK292" i="91"/>
  <c r="Z112" i="91"/>
  <c r="AI292" i="91"/>
  <c r="AH292" i="91"/>
  <c r="DW237" i="91"/>
  <c r="DW238" i="91" s="1"/>
  <c r="DW240" i="91" s="1"/>
  <c r="DW242" i="91" s="1"/>
  <c r="W292" i="91"/>
  <c r="EB112" i="91"/>
  <c r="AM293" i="91"/>
  <c r="AI293" i="91"/>
  <c r="W293" i="91"/>
  <c r="AB293" i="91"/>
  <c r="AB292" i="91"/>
  <c r="Q112" i="91"/>
  <c r="Y292" i="91"/>
  <c r="Y293" i="91"/>
  <c r="N112" i="91"/>
  <c r="AL293" i="91"/>
  <c r="AL292" i="91"/>
  <c r="AA112" i="91"/>
  <c r="AZ220" i="91"/>
  <c r="AZ218" i="91"/>
  <c r="BU214" i="91"/>
  <c r="T293" i="91"/>
  <c r="T292" i="91"/>
  <c r="I112" i="91"/>
  <c r="AF292" i="91"/>
  <c r="AF293" i="91"/>
  <c r="U112" i="91"/>
  <c r="U293" i="91"/>
  <c r="U292" i="91"/>
  <c r="J112" i="91"/>
  <c r="AG292" i="91"/>
  <c r="AG293" i="91"/>
  <c r="V112" i="91"/>
  <c r="AE293" i="91"/>
  <c r="AJ293" i="91"/>
  <c r="AJ292" i="91"/>
  <c r="Y112" i="91"/>
  <c r="X293" i="91"/>
  <c r="X292" i="91"/>
  <c r="M112" i="91"/>
  <c r="BN213" i="91"/>
  <c r="BM204" i="91"/>
  <c r="AA292" i="91"/>
  <c r="S292" i="91"/>
  <c r="AA293" i="91"/>
  <c r="Q293" i="91"/>
  <c r="Q292" i="91"/>
  <c r="F112" i="91"/>
  <c r="JJ105" i="91" l="1"/>
  <c r="JJ106" i="91" s="1"/>
  <c r="DI109" i="91"/>
  <c r="DI106" i="91"/>
  <c r="DI111" i="91"/>
  <c r="JD218" i="91"/>
  <c r="JD220" i="91"/>
  <c r="JG105" i="91"/>
  <c r="JG106" i="91" s="1"/>
  <c r="BY106" i="91"/>
  <c r="BY111" i="91"/>
  <c r="BY109" i="91"/>
  <c r="AN111" i="91"/>
  <c r="AN106" i="91"/>
  <c r="JC105" i="91"/>
  <c r="JC106" i="91" s="1"/>
  <c r="JE105" i="91"/>
  <c r="JE106" i="91" s="1"/>
  <c r="BA109" i="91"/>
  <c r="BA111" i="91"/>
  <c r="BO213" i="91"/>
  <c r="BN204" i="91"/>
  <c r="DX237" i="91"/>
  <c r="DX238" i="91" s="1"/>
  <c r="DX240" i="91" s="1"/>
  <c r="DX242" i="91" s="1"/>
  <c r="CN213" i="91"/>
  <c r="BV214" i="91"/>
  <c r="BM279" i="91"/>
  <c r="BM218" i="91"/>
  <c r="BM220" i="91"/>
  <c r="CZ213" i="91"/>
  <c r="AN112" i="91" l="1"/>
  <c r="AN293" i="91"/>
  <c r="JC111" i="91"/>
  <c r="JC112" i="91" s="1"/>
  <c r="AN292" i="91"/>
  <c r="JG111" i="91"/>
  <c r="JG112" i="91" s="1"/>
  <c r="BY112" i="91"/>
  <c r="BY213" i="91"/>
  <c r="BZ213" i="91" s="1"/>
  <c r="CA213" i="91" s="1"/>
  <c r="BA112" i="91"/>
  <c r="JE111" i="91"/>
  <c r="JE112" i="91" s="1"/>
  <c r="JJ111" i="91"/>
  <c r="JJ112" i="91" s="1"/>
  <c r="DI213" i="91"/>
  <c r="DJ213" i="91" s="1"/>
  <c r="DK213" i="91" s="1"/>
  <c r="DL213" i="91" s="1"/>
  <c r="DI112" i="91"/>
  <c r="CO213" i="91"/>
  <c r="DA213" i="91"/>
  <c r="CB213" i="91"/>
  <c r="DY237" i="91"/>
  <c r="DY238" i="91" s="1"/>
  <c r="DY240" i="91" s="1"/>
  <c r="DY242" i="91" s="1"/>
  <c r="BN279" i="91"/>
  <c r="BN218" i="91"/>
  <c r="BN220" i="91"/>
  <c r="BW214" i="91"/>
  <c r="BP213" i="91"/>
  <c r="BO204" i="91"/>
  <c r="DZ237" i="91" l="1"/>
  <c r="DZ238" i="91" s="1"/>
  <c r="DZ240" i="91" s="1"/>
  <c r="DZ242" i="91" s="1"/>
  <c r="BQ213" i="91"/>
  <c r="BP204" i="91"/>
  <c r="BX214" i="91"/>
  <c r="JF214" i="91" s="1"/>
  <c r="CC213" i="91"/>
  <c r="DM213" i="91"/>
  <c r="DB213" i="91"/>
  <c r="BO279" i="91"/>
  <c r="BO218" i="91"/>
  <c r="BO220" i="91"/>
  <c r="CP213" i="91"/>
  <c r="DC213" i="91" l="1"/>
  <c r="BP279" i="91"/>
  <c r="BP218" i="91"/>
  <c r="BP220" i="91"/>
  <c r="DN213" i="91"/>
  <c r="BR213" i="91"/>
  <c r="BQ204" i="91"/>
  <c r="CQ213" i="91"/>
  <c r="EA237" i="91"/>
  <c r="EA238" i="91" s="1"/>
  <c r="EA240" i="91" s="1"/>
  <c r="EA242" i="91" s="1"/>
  <c r="CD213" i="91"/>
  <c r="CE213" i="91" l="1"/>
  <c r="DO213" i="91"/>
  <c r="EB237" i="91"/>
  <c r="EB238" i="91" s="1"/>
  <c r="EB240" i="91" s="1"/>
  <c r="EB242" i="91" s="1"/>
  <c r="CR213" i="91"/>
  <c r="BQ279" i="91"/>
  <c r="BQ218" i="91"/>
  <c r="BQ220" i="91"/>
  <c r="DD213" i="91"/>
  <c r="BS213" i="91"/>
  <c r="BR204" i="91"/>
  <c r="BT213" i="91" l="1"/>
  <c r="BS204" i="91"/>
  <c r="EC237" i="91"/>
  <c r="EC238" i="91" s="1"/>
  <c r="EC240" i="91" s="1"/>
  <c r="EC242" i="91" s="1"/>
  <c r="DE213" i="91"/>
  <c r="CS213" i="91"/>
  <c r="DP213" i="91"/>
  <c r="BR279" i="91"/>
  <c r="BR218" i="91"/>
  <c r="BR220" i="91"/>
  <c r="CF213" i="91"/>
  <c r="DF213" i="91" l="1"/>
  <c r="CG213" i="91"/>
  <c r="ED237" i="91"/>
  <c r="ED238" i="91" s="1"/>
  <c r="ED240" i="91" s="1"/>
  <c r="ED242" i="91" s="1"/>
  <c r="DQ213" i="91"/>
  <c r="BS279" i="91"/>
  <c r="BS218" i="91"/>
  <c r="BS220" i="91"/>
  <c r="BT204" i="91"/>
  <c r="BU213" i="91"/>
  <c r="CT213" i="91"/>
  <c r="DQ204" i="91" l="1"/>
  <c r="DR213" i="91"/>
  <c r="BV213" i="91"/>
  <c r="BU204" i="91"/>
  <c r="EE237" i="91"/>
  <c r="EE238" i="91" s="1"/>
  <c r="EE240" i="91" s="1"/>
  <c r="EE242" i="91" s="1"/>
  <c r="BT279" i="91"/>
  <c r="BT218" i="91"/>
  <c r="BT220" i="91"/>
  <c r="CU213" i="91"/>
  <c r="CH213" i="91"/>
  <c r="DG213" i="91"/>
  <c r="LM214" i="91" l="1"/>
  <c r="LL214" i="91"/>
  <c r="JL214" i="91"/>
  <c r="JK214" i="91"/>
  <c r="EF237" i="91"/>
  <c r="EF238" i="91" s="1"/>
  <c r="EF240" i="91" s="1"/>
  <c r="EF242" i="91" s="1"/>
  <c r="HN214" i="91"/>
  <c r="N131" i="1" s="1"/>
  <c r="CI213" i="91"/>
  <c r="BU279" i="91"/>
  <c r="BU218" i="91"/>
  <c r="BU220" i="91"/>
  <c r="CV213" i="91"/>
  <c r="BW213" i="91"/>
  <c r="BV204" i="91"/>
  <c r="DR204" i="91"/>
  <c r="DS213" i="91"/>
  <c r="DH213" i="91"/>
  <c r="DQ279" i="91"/>
  <c r="DQ218" i="91"/>
  <c r="DQ220" i="91"/>
  <c r="JH213" i="91" l="1"/>
  <c r="LI213" i="91"/>
  <c r="HK213" i="91"/>
  <c r="JI213" i="91"/>
  <c r="LJ213" i="91"/>
  <c r="HL213" i="91"/>
  <c r="BX213" i="91"/>
  <c r="JF213" i="91" s="1"/>
  <c r="BW204" i="91"/>
  <c r="DS204" i="91"/>
  <c r="DT213" i="91"/>
  <c r="DR279" i="91"/>
  <c r="DR218" i="91"/>
  <c r="DR220" i="91"/>
  <c r="BV279" i="91"/>
  <c r="BV218" i="91"/>
  <c r="BV220" i="91"/>
  <c r="CJ213" i="91"/>
  <c r="JG213" i="91" s="1"/>
  <c r="JJ213" i="91" l="1"/>
  <c r="LK213" i="91"/>
  <c r="HM213" i="91"/>
  <c r="DT204" i="91"/>
  <c r="DS279" i="91"/>
  <c r="DS218" i="91"/>
  <c r="DS220" i="91"/>
  <c r="BW279" i="91"/>
  <c r="BW218" i="91"/>
  <c r="BW220" i="91"/>
  <c r="BY214" i="91"/>
  <c r="BX204" i="91"/>
  <c r="JF204" i="91" s="1"/>
  <c r="JJ204" i="91" l="1"/>
  <c r="JJ220" i="91" s="1"/>
  <c r="LK204" i="91"/>
  <c r="LK220" i="91" s="1"/>
  <c r="JF218" i="91"/>
  <c r="JF220" i="91"/>
  <c r="BX279" i="91"/>
  <c r="BX218" i="91"/>
  <c r="BX220" i="91"/>
  <c r="BZ214" i="91"/>
  <c r="BY204" i="91"/>
  <c r="DT279" i="91"/>
  <c r="DT218" i="91"/>
  <c r="LK218" i="91" s="1"/>
  <c r="DT220" i="91"/>
  <c r="JJ218" i="91" l="1"/>
  <c r="BY279" i="91"/>
  <c r="BY220" i="91"/>
  <c r="BY218" i="91"/>
  <c r="CA214" i="91"/>
  <c r="BZ204" i="91"/>
  <c r="DV204" i="91"/>
  <c r="DU279" i="91"/>
  <c r="DU218" i="91"/>
  <c r="DU220" i="91"/>
  <c r="DW204" i="91" l="1"/>
  <c r="DV279" i="91"/>
  <c r="DV218" i="91"/>
  <c r="DV220" i="91"/>
  <c r="BZ279" i="91"/>
  <c r="BZ220" i="91"/>
  <c r="BZ218" i="91"/>
  <c r="CB214" i="91"/>
  <c r="CA204" i="91"/>
  <c r="CA279" i="91" l="1"/>
  <c r="CA220" i="91"/>
  <c r="CA218" i="91"/>
  <c r="DX204" i="91"/>
  <c r="CC214" i="91"/>
  <c r="CB204" i="91"/>
  <c r="DW279" i="91"/>
  <c r="DW218" i="91"/>
  <c r="DW220" i="91"/>
  <c r="CB279" i="91" l="1"/>
  <c r="CB218" i="91"/>
  <c r="CB220" i="91"/>
  <c r="CD214" i="91"/>
  <c r="CC204" i="91"/>
  <c r="DY204" i="91"/>
  <c r="DX279" i="91"/>
  <c r="DX220" i="91"/>
  <c r="DX218" i="91"/>
  <c r="DZ204" i="91" l="1"/>
  <c r="DY279" i="91"/>
  <c r="DY218" i="91"/>
  <c r="DY220" i="91"/>
  <c r="CC279" i="91"/>
  <c r="CC218" i="91"/>
  <c r="CC220" i="91"/>
  <c r="CE214" i="91"/>
  <c r="CD204" i="91"/>
  <c r="CD279" i="91" l="1"/>
  <c r="CD218" i="91"/>
  <c r="CD220" i="91"/>
  <c r="EA204" i="91"/>
  <c r="CF214" i="91"/>
  <c r="CE204" i="91"/>
  <c r="DZ279" i="91"/>
  <c r="DZ218" i="91"/>
  <c r="DZ220" i="91"/>
  <c r="CE279" i="91" l="1"/>
  <c r="CE218" i="91"/>
  <c r="CE220" i="91"/>
  <c r="EB204" i="91"/>
  <c r="EA279" i="91"/>
  <c r="EA218" i="91"/>
  <c r="EA220" i="91"/>
  <c r="CG214" i="91"/>
  <c r="CF204" i="91"/>
  <c r="EC204" i="91" l="1"/>
  <c r="EB279" i="91"/>
  <c r="EB218" i="91"/>
  <c r="EB220" i="91"/>
  <c r="CF279" i="91"/>
  <c r="CF218" i="91"/>
  <c r="CF220" i="91"/>
  <c r="CH214" i="91"/>
  <c r="CG204" i="91"/>
  <c r="CG279" i="91" l="1"/>
  <c r="CG218" i="91"/>
  <c r="CG220" i="91"/>
  <c r="ED204" i="91"/>
  <c r="CI214" i="91"/>
  <c r="CH204" i="91"/>
  <c r="EC279" i="91"/>
  <c r="EC218" i="91"/>
  <c r="EC220" i="91"/>
  <c r="CH279" i="91" l="1"/>
  <c r="CH218" i="91"/>
  <c r="CH220" i="91"/>
  <c r="CJ214" i="91"/>
  <c r="JG214" i="91" s="1"/>
  <c r="CI204" i="91"/>
  <c r="EE204" i="91"/>
  <c r="HN213" i="91"/>
  <c r="N132" i="1" s="1"/>
  <c r="ED279" i="91"/>
  <c r="ED220" i="91"/>
  <c r="ED218" i="91"/>
  <c r="LL213" i="91" l="1"/>
  <c r="LM213" i="91"/>
  <c r="EF204" i="91"/>
  <c r="EF220" i="91" s="1"/>
  <c r="JL213" i="91"/>
  <c r="JK213" i="91"/>
  <c r="EE279" i="91"/>
  <c r="EE218" i="91"/>
  <c r="EE220" i="91"/>
  <c r="CI279" i="91"/>
  <c r="CI218" i="91"/>
  <c r="CI220" i="91"/>
  <c r="CJ204" i="91"/>
  <c r="JG204" i="91" s="1"/>
  <c r="CK214" i="91"/>
  <c r="EF279" i="91" l="1"/>
  <c r="LL204" i="91"/>
  <c r="LL220" i="91" s="1"/>
  <c r="LM204" i="91"/>
  <c r="LM220" i="91" s="1"/>
  <c r="EF218" i="91"/>
  <c r="JG218" i="91"/>
  <c r="JG220" i="91"/>
  <c r="HN204" i="91"/>
  <c r="JK204" i="91"/>
  <c r="JL204" i="91"/>
  <c r="CL214" i="91"/>
  <c r="CK204" i="91"/>
  <c r="CJ279" i="91"/>
  <c r="CJ218" i="91"/>
  <c r="CJ220" i="91"/>
  <c r="LM218" i="91" l="1"/>
  <c r="LL218" i="91"/>
  <c r="JL218" i="91"/>
  <c r="JL220" i="91"/>
  <c r="JK218" i="91"/>
  <c r="JK220" i="91"/>
  <c r="HN218" i="91"/>
  <c r="HN220" i="91"/>
  <c r="CK279" i="91"/>
  <c r="CK220" i="91"/>
  <c r="CK218" i="91"/>
  <c r="CM214" i="91"/>
  <c r="CL204" i="91"/>
  <c r="CL279" i="91" l="1"/>
  <c r="CL218" i="91"/>
  <c r="CL220" i="91"/>
  <c r="CN214" i="91"/>
  <c r="CM204" i="91"/>
  <c r="CM279" i="91" l="1"/>
  <c r="CM218" i="91"/>
  <c r="CM220" i="91"/>
  <c r="CO214" i="91"/>
  <c r="CN204" i="91"/>
  <c r="CN279" i="91" l="1"/>
  <c r="CN218" i="91"/>
  <c r="CN220" i="91"/>
  <c r="CP214" i="91"/>
  <c r="CO204" i="91"/>
  <c r="CO279" i="91" l="1"/>
  <c r="CO218" i="91"/>
  <c r="CO220" i="91"/>
  <c r="CQ214" i="91"/>
  <c r="CP204" i="91"/>
  <c r="CP279" i="91" l="1"/>
  <c r="CP218" i="91"/>
  <c r="CP220" i="91"/>
  <c r="CR214" i="91"/>
  <c r="CQ204" i="91"/>
  <c r="CQ279" i="91" l="1"/>
  <c r="CQ218" i="91"/>
  <c r="CQ220" i="91"/>
  <c r="CS214" i="91"/>
  <c r="CR204" i="91"/>
  <c r="CT214" i="91" l="1"/>
  <c r="CS204" i="91"/>
  <c r="CR279" i="91"/>
  <c r="CR220" i="91"/>
  <c r="CR218" i="91"/>
  <c r="CS279" i="91" l="1"/>
  <c r="CS218" i="91"/>
  <c r="CS220" i="91"/>
  <c r="CU214" i="91"/>
  <c r="CT204" i="91"/>
  <c r="CT279" i="91" l="1"/>
  <c r="CT218" i="91"/>
  <c r="CT220" i="91"/>
  <c r="CV214" i="91"/>
  <c r="JH214" i="91" s="1"/>
  <c r="CU204" i="91"/>
  <c r="CU279" i="91" l="1"/>
  <c r="CU218" i="91"/>
  <c r="CU220" i="91"/>
  <c r="CW214" i="91"/>
  <c r="CV204" i="91"/>
  <c r="JH204" i="91" l="1"/>
  <c r="JH218" i="91" s="1"/>
  <c r="LI204" i="91"/>
  <c r="LI220" i="91" s="1"/>
  <c r="CV279" i="91"/>
  <c r="CV218" i="91"/>
  <c r="LI218" i="91" s="1"/>
  <c r="CV220" i="91"/>
  <c r="CX214" i="91"/>
  <c r="CW204" i="91"/>
  <c r="JH220" i="91" l="1"/>
  <c r="CW279" i="91"/>
  <c r="CW218" i="91"/>
  <c r="CW220" i="91"/>
  <c r="CY214" i="91"/>
  <c r="CX204" i="91"/>
  <c r="CX279" i="91" l="1"/>
  <c r="CX218" i="91"/>
  <c r="CX220" i="91"/>
  <c r="CZ214" i="91"/>
  <c r="CY204" i="91"/>
  <c r="CY279" i="91" l="1"/>
  <c r="CY218" i="91"/>
  <c r="CY220" i="91"/>
  <c r="DA214" i="91"/>
  <c r="CZ204" i="91"/>
  <c r="DB214" i="91" l="1"/>
  <c r="DA204" i="91"/>
  <c r="CZ279" i="91"/>
  <c r="CZ218" i="91"/>
  <c r="CZ220" i="91"/>
  <c r="DA279" i="91" l="1"/>
  <c r="DA218" i="91"/>
  <c r="DA220" i="91"/>
  <c r="DC214" i="91"/>
  <c r="DB204" i="91"/>
  <c r="DB279" i="91" l="1"/>
  <c r="DB218" i="91"/>
  <c r="DB220" i="91"/>
  <c r="DD214" i="91"/>
  <c r="DC204" i="91"/>
  <c r="DE214" i="91" l="1"/>
  <c r="DD204" i="91"/>
  <c r="DC279" i="91"/>
  <c r="DC218" i="91"/>
  <c r="DC220" i="91"/>
  <c r="DD279" i="91" l="1"/>
  <c r="DD218" i="91"/>
  <c r="DD220" i="91"/>
  <c r="DF214" i="91"/>
  <c r="DE204" i="91"/>
  <c r="DG214" i="91" l="1"/>
  <c r="DF204" i="91"/>
  <c r="DE279" i="91"/>
  <c r="DE218" i="91"/>
  <c r="DE220" i="91"/>
  <c r="DF279" i="91" l="1"/>
  <c r="DF220" i="91"/>
  <c r="DF218" i="91"/>
  <c r="DH214" i="91"/>
  <c r="DG204" i="91"/>
  <c r="JI214" i="91" l="1"/>
  <c r="LJ214" i="91"/>
  <c r="DI214" i="91"/>
  <c r="DH204" i="91"/>
  <c r="DG279" i="91"/>
  <c r="DG218" i="91"/>
  <c r="DG220" i="91"/>
  <c r="JI204" i="91" l="1"/>
  <c r="JI218" i="91" s="1"/>
  <c r="LJ204" i="91"/>
  <c r="LJ220" i="91" s="1"/>
  <c r="DH279" i="91"/>
  <c r="DH218" i="91"/>
  <c r="LJ218" i="91" s="1"/>
  <c r="DH220" i="91"/>
  <c r="DJ214" i="91"/>
  <c r="DI204" i="91"/>
  <c r="JI220" i="91" l="1"/>
  <c r="DI279" i="91"/>
  <c r="DI218" i="91"/>
  <c r="DI220" i="91"/>
  <c r="DK214" i="91"/>
  <c r="DJ204" i="91"/>
  <c r="DL214" i="91" l="1"/>
  <c r="DK204" i="91"/>
  <c r="DJ279" i="91"/>
  <c r="DJ218" i="91"/>
  <c r="DJ220" i="91"/>
  <c r="DK279" i="91" l="1"/>
  <c r="DK218" i="91"/>
  <c r="DK220" i="91"/>
  <c r="DM214" i="91"/>
  <c r="DL204" i="91"/>
  <c r="DL279" i="91" l="1"/>
  <c r="DL218" i="91"/>
  <c r="DL220" i="91"/>
  <c r="DN214" i="91"/>
  <c r="DM204" i="91"/>
  <c r="DO214" i="91" l="1"/>
  <c r="DN204" i="91"/>
  <c r="DM279" i="91"/>
  <c r="DM218" i="91"/>
  <c r="DM220" i="91"/>
  <c r="DN279" i="91" l="1"/>
  <c r="DN220" i="91"/>
  <c r="DN218" i="91"/>
  <c r="DP214" i="91"/>
  <c r="DO204" i="91"/>
  <c r="DQ237" i="91" l="1"/>
  <c r="DQ238" i="91" s="1"/>
  <c r="DQ240" i="91" s="1"/>
  <c r="DQ242" i="91" s="1"/>
  <c r="DP204" i="91"/>
  <c r="DO279" i="91"/>
  <c r="DO218" i="91"/>
  <c r="DO220" i="91"/>
  <c r="DP279" i="91" l="1"/>
  <c r="DP218" i="91"/>
  <c r="DP220" i="91"/>
  <c r="N64" i="77" l="1"/>
  <c r="N69" i="77" l="1"/>
  <c r="HM108" i="91"/>
  <c r="HZ108" i="91" s="1"/>
  <c r="M65" i="1" l="1"/>
  <c r="M154" i="1" s="1"/>
  <c r="N52" i="77"/>
  <c r="S14" i="3" l="1"/>
  <c r="O109" i="3"/>
  <c r="G8" i="1" l="1"/>
  <c r="IA72" i="91" l="1"/>
  <c r="IC72" i="91" l="1"/>
  <c r="HM192" i="91" l="1"/>
  <c r="HZ192" i="91" s="1"/>
  <c r="N375" i="3"/>
  <c r="E21" i="81" l="1"/>
  <c r="E20" i="81"/>
  <c r="C39" i="79"/>
  <c r="C20" i="79"/>
  <c r="D59" i="81" l="1"/>
  <c r="N51" i="81"/>
  <c r="O51" i="81" s="1"/>
  <c r="M126" i="3"/>
  <c r="M120" i="1" l="1"/>
  <c r="M321" i="3" l="1"/>
  <c r="N152" i="1"/>
  <c r="JL5" i="91"/>
  <c r="JP5" i="91" s="1"/>
  <c r="LD5" i="91"/>
  <c r="LE5" i="91" s="1"/>
  <c r="FG11" i="91"/>
  <c r="FH11" i="91"/>
  <c r="FI11" i="91"/>
  <c r="FJ11" i="91"/>
  <c r="FK11" i="91"/>
  <c r="FL11" i="91"/>
  <c r="FM11" i="91"/>
  <c r="FN11" i="91"/>
  <c r="FO11" i="91"/>
  <c r="FP11" i="91"/>
  <c r="FQ11" i="91"/>
  <c r="FR11" i="91"/>
  <c r="IB11" i="91"/>
  <c r="IM11" i="91"/>
  <c r="IX11" i="91"/>
  <c r="IY11" i="91"/>
  <c r="JQ11" i="91"/>
  <c r="JW11" i="91" s="1"/>
  <c r="KZ11" i="91"/>
  <c r="MP11" i="91"/>
  <c r="FS12" i="91"/>
  <c r="FS11" i="91" s="1"/>
  <c r="FT12" i="91"/>
  <c r="FT11" i="91" s="1"/>
  <c r="FU12" i="91"/>
  <c r="FU11" i="91" s="1"/>
  <c r="FV12" i="91"/>
  <c r="FV11" i="91" s="1"/>
  <c r="FW12" i="91"/>
  <c r="FW11" i="91" s="1"/>
  <c r="FX12" i="91"/>
  <c r="FX11" i="91" s="1"/>
  <c r="FY12" i="91"/>
  <c r="FY11" i="91" s="1"/>
  <c r="FZ12" i="91"/>
  <c r="FZ11" i="91" s="1"/>
  <c r="GA12" i="91"/>
  <c r="GA11" i="91" s="1"/>
  <c r="GB12" i="91"/>
  <c r="GB11" i="91" s="1"/>
  <c r="GC12" i="91"/>
  <c r="GC11" i="91" s="1"/>
  <c r="GD12" i="91"/>
  <c r="GD11" i="91" s="1"/>
  <c r="HD12" i="91"/>
  <c r="HE12" i="91"/>
  <c r="HF12" i="91"/>
  <c r="HG12" i="91"/>
  <c r="HH12" i="91"/>
  <c r="IB12" i="91"/>
  <c r="IM12" i="91"/>
  <c r="IX12" i="91"/>
  <c r="IY12" i="91"/>
  <c r="JQ12" i="91"/>
  <c r="KZ12" i="91"/>
  <c r="MP12" i="91"/>
  <c r="HD13" i="91"/>
  <c r="HE13" i="91"/>
  <c r="HF13" i="91"/>
  <c r="HG13" i="91"/>
  <c r="HH13" i="91"/>
  <c r="HI13" i="91"/>
  <c r="HJ13" i="91"/>
  <c r="IB13" i="91"/>
  <c r="IM13" i="91"/>
  <c r="IX13" i="91"/>
  <c r="IY13" i="91"/>
  <c r="KL13" i="91"/>
  <c r="JQ13" i="91"/>
  <c r="KZ13" i="91"/>
  <c r="MP13" i="91"/>
  <c r="HD14" i="91"/>
  <c r="HE14" i="91"/>
  <c r="IB14" i="91"/>
  <c r="IM14" i="91"/>
  <c r="IX14" i="91"/>
  <c r="IY14" i="91"/>
  <c r="JQ14" i="91"/>
  <c r="KZ14" i="91"/>
  <c r="MP14" i="91"/>
  <c r="HD15" i="91"/>
  <c r="HE15" i="91"/>
  <c r="HF15" i="91"/>
  <c r="HG15" i="91"/>
  <c r="IB15" i="91"/>
  <c r="IM15" i="91"/>
  <c r="IX15" i="91"/>
  <c r="IY15" i="91"/>
  <c r="JQ15" i="91"/>
  <c r="KZ15" i="91"/>
  <c r="MP15" i="91"/>
  <c r="HD16" i="91"/>
  <c r="HE16" i="91"/>
  <c r="HF16" i="91"/>
  <c r="HG16" i="91"/>
  <c r="HH16" i="91"/>
  <c r="IB16" i="91"/>
  <c r="IM16" i="91"/>
  <c r="IX16" i="91"/>
  <c r="IY16" i="91"/>
  <c r="JQ16" i="91"/>
  <c r="KZ16" i="91"/>
  <c r="LX16" i="91"/>
  <c r="MP16" i="91"/>
  <c r="HD17" i="91"/>
  <c r="HE17" i="91"/>
  <c r="HF17" i="91"/>
  <c r="HG17" i="91"/>
  <c r="HH17" i="91"/>
  <c r="IB17" i="91"/>
  <c r="IM17" i="91"/>
  <c r="IX17" i="91"/>
  <c r="IY17" i="91"/>
  <c r="JQ17" i="91"/>
  <c r="KZ17" i="91"/>
  <c r="MP17" i="91"/>
  <c r="HD18" i="91"/>
  <c r="HE18" i="91"/>
  <c r="HF18" i="91"/>
  <c r="HG18" i="91"/>
  <c r="HH18" i="91"/>
  <c r="IB18" i="91"/>
  <c r="IM18" i="91"/>
  <c r="IX18" i="91"/>
  <c r="IY18" i="91"/>
  <c r="JQ18" i="91"/>
  <c r="KZ18" i="91"/>
  <c r="MP18" i="91"/>
  <c r="HD19" i="91"/>
  <c r="HE19" i="91"/>
  <c r="HF19" i="91"/>
  <c r="HG19" i="91"/>
  <c r="HH19" i="91"/>
  <c r="IB19" i="91"/>
  <c r="IM19" i="91"/>
  <c r="IX19" i="91"/>
  <c r="IY19" i="91"/>
  <c r="JQ19" i="91"/>
  <c r="KZ19" i="91"/>
  <c r="MK19" i="91"/>
  <c r="MP19" i="91"/>
  <c r="IA20" i="91"/>
  <c r="IC20" i="91"/>
  <c r="II20" i="91"/>
  <c r="IJ20" i="91"/>
  <c r="IK20" i="91"/>
  <c r="IL20" i="91"/>
  <c r="IN20" i="91"/>
  <c r="JP20" i="91"/>
  <c r="JQ20" i="91"/>
  <c r="FG21" i="91"/>
  <c r="FH21" i="91"/>
  <c r="FI21" i="91"/>
  <c r="FJ21" i="91"/>
  <c r="FJ39" i="91" s="1"/>
  <c r="FK21" i="91"/>
  <c r="FK39" i="91" s="1"/>
  <c r="FL21" i="91"/>
  <c r="FM21" i="91"/>
  <c r="FM39" i="91" s="1"/>
  <c r="FM40" i="91" s="1"/>
  <c r="FN21" i="91"/>
  <c r="FO21" i="91"/>
  <c r="FP21" i="91"/>
  <c r="FQ21" i="91"/>
  <c r="FR21" i="91"/>
  <c r="FR39" i="91" s="1"/>
  <c r="FS21" i="91"/>
  <c r="FT21" i="91"/>
  <c r="FU21" i="91"/>
  <c r="FV21" i="91"/>
  <c r="FW21" i="91"/>
  <c r="FX21" i="91"/>
  <c r="FY21" i="91"/>
  <c r="FY39" i="91" s="1"/>
  <c r="FY40" i="91" s="1"/>
  <c r="FZ21" i="91"/>
  <c r="FZ39" i="91" s="1"/>
  <c r="FZ40" i="91" s="1"/>
  <c r="GA21" i="91"/>
  <c r="GB21" i="91"/>
  <c r="GC21" i="91"/>
  <c r="GD21" i="91"/>
  <c r="IB21" i="91"/>
  <c r="IM21" i="91"/>
  <c r="IX21" i="91"/>
  <c r="IY21" i="91"/>
  <c r="JQ21" i="91"/>
  <c r="JW21" i="91" s="1"/>
  <c r="KZ21" i="91"/>
  <c r="MP21" i="91"/>
  <c r="HD22" i="91"/>
  <c r="HE22" i="91"/>
  <c r="HF22" i="91"/>
  <c r="HG22" i="91"/>
  <c r="HH22" i="91"/>
  <c r="IB22" i="91"/>
  <c r="IM22" i="91"/>
  <c r="IX22" i="91"/>
  <c r="IY22" i="91"/>
  <c r="JQ22" i="91"/>
  <c r="KZ22" i="91"/>
  <c r="LX22" i="91"/>
  <c r="MP22" i="91"/>
  <c r="KO23" i="91"/>
  <c r="HD23" i="91"/>
  <c r="HE23" i="91"/>
  <c r="HF23" i="91"/>
  <c r="HG23" i="91"/>
  <c r="HH23" i="91"/>
  <c r="IB23" i="91"/>
  <c r="IM23" i="91"/>
  <c r="IX23" i="91"/>
  <c r="IY23" i="91"/>
  <c r="JQ23" i="91"/>
  <c r="KZ23" i="91"/>
  <c r="LX23" i="91"/>
  <c r="MP23" i="91"/>
  <c r="HD24" i="91"/>
  <c r="HE24" i="91"/>
  <c r="HF24" i="91"/>
  <c r="HG24" i="91"/>
  <c r="HH24" i="91"/>
  <c r="IB24" i="91"/>
  <c r="IM24" i="91"/>
  <c r="IX24" i="91"/>
  <c r="IY24" i="91"/>
  <c r="JQ24" i="91"/>
  <c r="KZ24" i="91"/>
  <c r="MK24" i="91"/>
  <c r="MP24" i="91"/>
  <c r="KF25" i="91"/>
  <c r="HD25" i="91"/>
  <c r="HE25" i="91"/>
  <c r="HF25" i="91"/>
  <c r="HG25" i="91"/>
  <c r="HH25" i="91"/>
  <c r="IB25" i="91"/>
  <c r="IM25" i="91"/>
  <c r="IX25" i="91"/>
  <c r="IY25" i="91"/>
  <c r="JQ25" i="91"/>
  <c r="KZ25" i="91"/>
  <c r="MK25" i="91"/>
  <c r="MP25" i="91"/>
  <c r="HD26" i="91"/>
  <c r="HE26" i="91"/>
  <c r="HF26" i="91"/>
  <c r="HG26" i="91"/>
  <c r="HH26" i="91"/>
  <c r="IB26" i="91"/>
  <c r="IM26" i="91"/>
  <c r="IX26" i="91"/>
  <c r="IY26" i="91"/>
  <c r="JQ26" i="91"/>
  <c r="KZ26" i="91"/>
  <c r="HD27" i="91"/>
  <c r="HE27" i="91"/>
  <c r="HF27" i="91"/>
  <c r="HG27" i="91"/>
  <c r="HH27" i="91"/>
  <c r="IB27" i="91"/>
  <c r="IM27" i="91"/>
  <c r="IX27" i="91"/>
  <c r="IY27" i="91"/>
  <c r="JQ27" i="91"/>
  <c r="KZ27" i="91"/>
  <c r="MP27" i="91"/>
  <c r="HD28" i="91"/>
  <c r="HE28" i="91"/>
  <c r="HF28" i="91"/>
  <c r="HG28" i="91"/>
  <c r="HH28" i="91"/>
  <c r="IB28" i="91"/>
  <c r="IM28" i="91"/>
  <c r="IX28" i="91"/>
  <c r="IY28" i="91"/>
  <c r="JQ28" i="91"/>
  <c r="KZ28" i="91"/>
  <c r="MP28" i="91"/>
  <c r="HD29" i="91"/>
  <c r="HE29" i="91"/>
  <c r="HF29" i="91"/>
  <c r="HG29" i="91"/>
  <c r="HH29" i="91"/>
  <c r="IB29" i="91"/>
  <c r="IM29" i="91"/>
  <c r="IX29" i="91"/>
  <c r="IY29" i="91"/>
  <c r="JQ29" i="91"/>
  <c r="KZ29" i="91"/>
  <c r="MP29" i="91"/>
  <c r="HD30" i="91"/>
  <c r="HE30" i="91"/>
  <c r="HF30" i="91"/>
  <c r="HG30" i="91"/>
  <c r="HH30" i="91"/>
  <c r="IB30" i="91"/>
  <c r="IM30" i="91"/>
  <c r="IX30" i="91"/>
  <c r="IY30" i="91"/>
  <c r="JQ30" i="91"/>
  <c r="KZ30" i="91"/>
  <c r="MK30" i="91"/>
  <c r="MP30" i="91"/>
  <c r="HD31" i="91"/>
  <c r="HE31" i="91"/>
  <c r="HF31" i="91"/>
  <c r="IB31" i="91"/>
  <c r="IM31" i="91"/>
  <c r="IX31" i="91"/>
  <c r="IY31" i="91"/>
  <c r="JQ31" i="91"/>
  <c r="KZ31" i="91"/>
  <c r="MP31" i="91"/>
  <c r="HD32" i="91"/>
  <c r="HE32" i="91"/>
  <c r="HF32" i="91"/>
  <c r="HG32" i="91"/>
  <c r="HH32" i="91"/>
  <c r="IB32" i="91"/>
  <c r="IM32" i="91"/>
  <c r="IX32" i="91"/>
  <c r="IY32" i="91"/>
  <c r="JQ32" i="91"/>
  <c r="KZ32" i="91"/>
  <c r="MP32" i="91"/>
  <c r="LX33" i="91"/>
  <c r="HD33" i="91"/>
  <c r="HE33" i="91"/>
  <c r="HF33" i="91"/>
  <c r="HG33" i="91"/>
  <c r="HH33" i="91"/>
  <c r="IB33" i="91"/>
  <c r="IM33" i="91"/>
  <c r="IX33" i="91"/>
  <c r="IY33" i="91"/>
  <c r="JQ33" i="91"/>
  <c r="KZ33" i="91"/>
  <c r="MP33" i="91"/>
  <c r="MF34" i="91"/>
  <c r="HD34" i="91"/>
  <c r="HE34" i="91"/>
  <c r="HF34" i="91"/>
  <c r="HG34" i="91"/>
  <c r="HH34" i="91"/>
  <c r="IB34" i="91"/>
  <c r="IM34" i="91"/>
  <c r="IX34" i="91"/>
  <c r="IY34" i="91"/>
  <c r="JQ34" i="91"/>
  <c r="KZ34" i="91"/>
  <c r="MK34" i="91"/>
  <c r="MP34" i="91"/>
  <c r="HD35" i="91"/>
  <c r="HE35" i="91"/>
  <c r="HF35" i="91"/>
  <c r="HG35" i="91"/>
  <c r="HH35" i="91"/>
  <c r="IB35" i="91"/>
  <c r="IM35" i="91"/>
  <c r="IX35" i="91"/>
  <c r="IY35" i="91"/>
  <c r="JQ35" i="91"/>
  <c r="KZ35" i="91"/>
  <c r="MK35" i="91"/>
  <c r="MP35" i="91"/>
  <c r="HD36" i="91"/>
  <c r="HE36" i="91"/>
  <c r="HF36" i="91"/>
  <c r="HG36" i="91"/>
  <c r="HH36" i="91"/>
  <c r="HI36" i="91"/>
  <c r="HJ36" i="91"/>
  <c r="HK36" i="91"/>
  <c r="HL36" i="91"/>
  <c r="HM36" i="91"/>
  <c r="IB36" i="91"/>
  <c r="IM36" i="91"/>
  <c r="IX36" i="91"/>
  <c r="IY36" i="91"/>
  <c r="KF36" i="91"/>
  <c r="JP36" i="91"/>
  <c r="JQ36" i="91"/>
  <c r="KZ36" i="91"/>
  <c r="MF36" i="91"/>
  <c r="MP36" i="91"/>
  <c r="EH37" i="91"/>
  <c r="EI37" i="91"/>
  <c r="HD37" i="91"/>
  <c r="HE37" i="91"/>
  <c r="HF37" i="91"/>
  <c r="HG37" i="91"/>
  <c r="HH37" i="91"/>
  <c r="HI37" i="91"/>
  <c r="HJ37" i="91"/>
  <c r="HK37" i="91"/>
  <c r="HL37" i="91"/>
  <c r="HM37" i="91"/>
  <c r="IB37" i="91"/>
  <c r="IM37" i="91"/>
  <c r="IX37" i="91"/>
  <c r="IY37" i="91"/>
  <c r="JP37" i="91"/>
  <c r="JQ37" i="91"/>
  <c r="KZ37" i="91"/>
  <c r="LX37" i="91"/>
  <c r="MP37" i="91"/>
  <c r="HJ38" i="91"/>
  <c r="HK38" i="91"/>
  <c r="HL38" i="91"/>
  <c r="IC38" i="91" s="1"/>
  <c r="HM38" i="91"/>
  <c r="FT39" i="91"/>
  <c r="FW39" i="91"/>
  <c r="GB39" i="91"/>
  <c r="IB39" i="91"/>
  <c r="IM39" i="91"/>
  <c r="IX39" i="91"/>
  <c r="IY39" i="91"/>
  <c r="JQ39" i="91"/>
  <c r="KZ39" i="91"/>
  <c r="MP39" i="91"/>
  <c r="EU40" i="91"/>
  <c r="EV40" i="91"/>
  <c r="EW40" i="91"/>
  <c r="EX40" i="91"/>
  <c r="EY40" i="91"/>
  <c r="EZ40" i="91"/>
  <c r="FA40" i="91"/>
  <c r="FB40" i="91"/>
  <c r="FC40" i="91"/>
  <c r="FD40" i="91"/>
  <c r="FE40" i="91"/>
  <c r="FF40" i="91"/>
  <c r="IB40" i="91"/>
  <c r="IM40" i="91"/>
  <c r="IA41" i="91"/>
  <c r="IC41" i="91"/>
  <c r="II41" i="91"/>
  <c r="IJ41" i="91"/>
  <c r="IK41" i="91"/>
  <c r="IL41" i="91"/>
  <c r="IN41" i="91"/>
  <c r="IB42" i="91"/>
  <c r="IM42" i="91"/>
  <c r="IX42" i="91"/>
  <c r="IY42" i="91"/>
  <c r="JQ42" i="91"/>
  <c r="KZ42" i="91"/>
  <c r="MP42" i="91"/>
  <c r="HD43" i="91"/>
  <c r="HE43" i="91"/>
  <c r="HF43" i="91"/>
  <c r="HG43" i="91"/>
  <c r="HH43" i="91"/>
  <c r="IB43" i="91"/>
  <c r="IM43" i="91"/>
  <c r="IX43" i="91"/>
  <c r="IY43" i="91"/>
  <c r="JQ43" i="91"/>
  <c r="JW43" i="91" s="1"/>
  <c r="KZ43" i="91"/>
  <c r="MP43" i="91"/>
  <c r="HJ44" i="91"/>
  <c r="LX44" i="91"/>
  <c r="HD44" i="91"/>
  <c r="HE44" i="91"/>
  <c r="HF44" i="91"/>
  <c r="HG44" i="91"/>
  <c r="HH44" i="91"/>
  <c r="IB44" i="91"/>
  <c r="IM44" i="91"/>
  <c r="IX44" i="91"/>
  <c r="IY44" i="91"/>
  <c r="JQ44" i="91"/>
  <c r="KZ44" i="91"/>
  <c r="MP44" i="91"/>
  <c r="HD45" i="91"/>
  <c r="HE45" i="91"/>
  <c r="HF45" i="91"/>
  <c r="HG45" i="91"/>
  <c r="HH45" i="91"/>
  <c r="IB45" i="91"/>
  <c r="IM45" i="91"/>
  <c r="IX45" i="91"/>
  <c r="IY45" i="91"/>
  <c r="JQ45" i="91"/>
  <c r="KZ45" i="91"/>
  <c r="LX45" i="91"/>
  <c r="MP45" i="91"/>
  <c r="HD46" i="91"/>
  <c r="HE46" i="91"/>
  <c r="HF46" i="91"/>
  <c r="HG46" i="91"/>
  <c r="HH46" i="91"/>
  <c r="IB46" i="91"/>
  <c r="IM46" i="91"/>
  <c r="IX46" i="91"/>
  <c r="IY46" i="91"/>
  <c r="JQ46" i="91"/>
  <c r="KZ46" i="91"/>
  <c r="MP46" i="91"/>
  <c r="FG47" i="91"/>
  <c r="FG42" i="91" s="1"/>
  <c r="FH47" i="91"/>
  <c r="FH42" i="91" s="1"/>
  <c r="FI47" i="91"/>
  <c r="FI42" i="91" s="1"/>
  <c r="FJ47" i="91"/>
  <c r="FJ42" i="91" s="1"/>
  <c r="FK47" i="91"/>
  <c r="FK42" i="91" s="1"/>
  <c r="FL47" i="91"/>
  <c r="FL42" i="91" s="1"/>
  <c r="FM47" i="91"/>
  <c r="FM42" i="91" s="1"/>
  <c r="FN47" i="91"/>
  <c r="FN42" i="91" s="1"/>
  <c r="FO47" i="91"/>
  <c r="FO42" i="91" s="1"/>
  <c r="FP47" i="91"/>
  <c r="FP42" i="91" s="1"/>
  <c r="FQ47" i="91"/>
  <c r="FQ42" i="91" s="1"/>
  <c r="FR47" i="91"/>
  <c r="FR42" i="91" s="1"/>
  <c r="FS47" i="91"/>
  <c r="FS42" i="91" s="1"/>
  <c r="FU47" i="91"/>
  <c r="FU42" i="91" s="1"/>
  <c r="FV47" i="91"/>
  <c r="FV42" i="91" s="1"/>
  <c r="FW47" i="91"/>
  <c r="FW42" i="91" s="1"/>
  <c r="FX47" i="91"/>
  <c r="FX42" i="91" s="1"/>
  <c r="FY47" i="91"/>
  <c r="FY42" i="91" s="1"/>
  <c r="FZ47" i="91"/>
  <c r="FZ42" i="91" s="1"/>
  <c r="GA47" i="91"/>
  <c r="GA42" i="91" s="1"/>
  <c r="GB47" i="91"/>
  <c r="GB42" i="91" s="1"/>
  <c r="GC47" i="91"/>
  <c r="GC42" i="91" s="1"/>
  <c r="GD47" i="91"/>
  <c r="GD42" i="91" s="1"/>
  <c r="HD47" i="91"/>
  <c r="HE47" i="91"/>
  <c r="HF47" i="91"/>
  <c r="IB47" i="91"/>
  <c r="IM47" i="91"/>
  <c r="IX47" i="91"/>
  <c r="IY47" i="91"/>
  <c r="JQ47" i="91"/>
  <c r="JW47" i="91" s="1"/>
  <c r="KZ47" i="91"/>
  <c r="MP47" i="91"/>
  <c r="HD48" i="91"/>
  <c r="HE48" i="91"/>
  <c r="HF48" i="91"/>
  <c r="HH48" i="91"/>
  <c r="IB48" i="91"/>
  <c r="IM48" i="91"/>
  <c r="IX48" i="91"/>
  <c r="IY48" i="91"/>
  <c r="JQ48" i="91"/>
  <c r="KZ48" i="91"/>
  <c r="MP48" i="91"/>
  <c r="HD49" i="91"/>
  <c r="HE49" i="91"/>
  <c r="HF49" i="91"/>
  <c r="HG49" i="91"/>
  <c r="HH49" i="91"/>
  <c r="IB49" i="91"/>
  <c r="IM49" i="91"/>
  <c r="IX49" i="91"/>
  <c r="IY49" i="91"/>
  <c r="JQ49" i="91"/>
  <c r="JW49" i="91" s="1"/>
  <c r="KZ49" i="91"/>
  <c r="MP49" i="91"/>
  <c r="HD50" i="91"/>
  <c r="HE50" i="91"/>
  <c r="HF50" i="91"/>
  <c r="HG50" i="91"/>
  <c r="HH50" i="91"/>
  <c r="IB50" i="91"/>
  <c r="IM50" i="91"/>
  <c r="IX50" i="91"/>
  <c r="IY50" i="91"/>
  <c r="JQ50" i="91"/>
  <c r="KZ50" i="91"/>
  <c r="MP50" i="91"/>
  <c r="HD51" i="91"/>
  <c r="HE51" i="91"/>
  <c r="HF51" i="91"/>
  <c r="HG51" i="91"/>
  <c r="HH51" i="91"/>
  <c r="IB51" i="91"/>
  <c r="IM51" i="91"/>
  <c r="IX51" i="91"/>
  <c r="IY51" i="91"/>
  <c r="JQ51" i="91"/>
  <c r="KZ51" i="91"/>
  <c r="MK51" i="91"/>
  <c r="MP51" i="91"/>
  <c r="HD52" i="91"/>
  <c r="HE52" i="91"/>
  <c r="HF52" i="91"/>
  <c r="HG52" i="91"/>
  <c r="HH52" i="91"/>
  <c r="IB52" i="91"/>
  <c r="IM52" i="91"/>
  <c r="IX52" i="91"/>
  <c r="IY52" i="91"/>
  <c r="JQ52" i="91"/>
  <c r="KZ52" i="91"/>
  <c r="MP52" i="91"/>
  <c r="HD53" i="91"/>
  <c r="HE53" i="91"/>
  <c r="HF53" i="91"/>
  <c r="HG53" i="91"/>
  <c r="HH53" i="91"/>
  <c r="IB53" i="91"/>
  <c r="IM53" i="91"/>
  <c r="IX53" i="91"/>
  <c r="IY53" i="91"/>
  <c r="JQ53" i="91"/>
  <c r="KZ53" i="91"/>
  <c r="MP53" i="91"/>
  <c r="HD54" i="91"/>
  <c r="HE54" i="91"/>
  <c r="HF54" i="91"/>
  <c r="HG54" i="91"/>
  <c r="HH54" i="91"/>
  <c r="IB54" i="91"/>
  <c r="IM54" i="91"/>
  <c r="IX54" i="91"/>
  <c r="IY54" i="91"/>
  <c r="JQ54" i="91"/>
  <c r="KZ54" i="91"/>
  <c r="MP54" i="91"/>
  <c r="HD55" i="91"/>
  <c r="HE55" i="91"/>
  <c r="HF55" i="91"/>
  <c r="HG55" i="91"/>
  <c r="HH55" i="91"/>
  <c r="IB55" i="91"/>
  <c r="IM55" i="91"/>
  <c r="IX55" i="91"/>
  <c r="IY55" i="91"/>
  <c r="JQ55" i="91"/>
  <c r="KZ55" i="91"/>
  <c r="MP55" i="91"/>
  <c r="MF56" i="91"/>
  <c r="HD56" i="91"/>
  <c r="HE56" i="91"/>
  <c r="HF56" i="91"/>
  <c r="HG56" i="91"/>
  <c r="HH56" i="91"/>
  <c r="IB56" i="91"/>
  <c r="IM56" i="91"/>
  <c r="IX56" i="91"/>
  <c r="IY56" i="91"/>
  <c r="JQ56" i="91"/>
  <c r="KZ56" i="91"/>
  <c r="MP56" i="91"/>
  <c r="HG57" i="91"/>
  <c r="HD57" i="91"/>
  <c r="HE57" i="91"/>
  <c r="HF57" i="91"/>
  <c r="HH57" i="91"/>
  <c r="HI57" i="91"/>
  <c r="HJ57" i="91"/>
  <c r="HK57" i="91"/>
  <c r="HL57" i="91"/>
  <c r="IC57" i="91" s="1"/>
  <c r="HM57" i="91"/>
  <c r="IB57" i="91"/>
  <c r="IM57" i="91"/>
  <c r="IX57" i="91"/>
  <c r="IY57" i="91"/>
  <c r="JP57" i="91"/>
  <c r="JQ57" i="91"/>
  <c r="JW57" i="91" s="1"/>
  <c r="KZ57" i="91"/>
  <c r="LX57" i="91"/>
  <c r="MP57" i="91"/>
  <c r="HI58" i="91"/>
  <c r="HJ58" i="91"/>
  <c r="FT58" i="91"/>
  <c r="FT47" i="91" s="1"/>
  <c r="FT42" i="91" s="1"/>
  <c r="HD58" i="91"/>
  <c r="HE58" i="91"/>
  <c r="HF58" i="91"/>
  <c r="HG58" i="91"/>
  <c r="HH58" i="91"/>
  <c r="IB58" i="91"/>
  <c r="IM58" i="91"/>
  <c r="IX58" i="91"/>
  <c r="IY58" i="91"/>
  <c r="JQ58" i="91"/>
  <c r="KZ58" i="91"/>
  <c r="MP58" i="91"/>
  <c r="IA59" i="91"/>
  <c r="IC59" i="91"/>
  <c r="II59" i="91"/>
  <c r="IJ59" i="91"/>
  <c r="IK59" i="91"/>
  <c r="IL59" i="91"/>
  <c r="IN59" i="91"/>
  <c r="IB60" i="91"/>
  <c r="IM60" i="91"/>
  <c r="IX60" i="91"/>
  <c r="IY60" i="91"/>
  <c r="JQ60" i="91"/>
  <c r="KZ60" i="91"/>
  <c r="MP60" i="91"/>
  <c r="IB61" i="91"/>
  <c r="IM61" i="91"/>
  <c r="II62" i="91"/>
  <c r="IN62" i="91"/>
  <c r="LX62" i="91"/>
  <c r="MF62" i="91"/>
  <c r="IB63" i="91"/>
  <c r="IM63" i="91"/>
  <c r="IX63" i="91"/>
  <c r="IY63" i="91"/>
  <c r="JQ63" i="91"/>
  <c r="KZ63" i="91"/>
  <c r="MP63" i="91"/>
  <c r="FG64" i="91"/>
  <c r="FH64" i="91"/>
  <c r="FI64" i="91"/>
  <c r="FJ64" i="91"/>
  <c r="FK64" i="91"/>
  <c r="FL64" i="91"/>
  <c r="FM64" i="91"/>
  <c r="FN64" i="91"/>
  <c r="FO64" i="91"/>
  <c r="FP64" i="91"/>
  <c r="FQ64" i="91"/>
  <c r="FR64" i="91"/>
  <c r="FS64" i="91"/>
  <c r="FT64" i="91"/>
  <c r="FU64" i="91"/>
  <c r="FV64" i="91"/>
  <c r="FW64" i="91"/>
  <c r="FX64" i="91"/>
  <c r="FY64" i="91"/>
  <c r="FZ64" i="91"/>
  <c r="GA64" i="91"/>
  <c r="GB64" i="91"/>
  <c r="GC64" i="91"/>
  <c r="GD64" i="91"/>
  <c r="HD64" i="91"/>
  <c r="HE64" i="91"/>
  <c r="HF64" i="91"/>
  <c r="HH64" i="91"/>
  <c r="IB64" i="91"/>
  <c r="IM64" i="91"/>
  <c r="IX64" i="91"/>
  <c r="IY64" i="91"/>
  <c r="JQ64" i="91"/>
  <c r="KZ64" i="91"/>
  <c r="MP64" i="91"/>
  <c r="MK65" i="91"/>
  <c r="HD65" i="91"/>
  <c r="HE65" i="91"/>
  <c r="HF65" i="91"/>
  <c r="HH65" i="91"/>
  <c r="IB65" i="91"/>
  <c r="IM65" i="91"/>
  <c r="IX65" i="91"/>
  <c r="IY65" i="91"/>
  <c r="JQ65" i="91"/>
  <c r="JW65" i="91" s="1"/>
  <c r="KZ65" i="91"/>
  <c r="MP65" i="91"/>
  <c r="HD66" i="91"/>
  <c r="HE66" i="91"/>
  <c r="HF66" i="91"/>
  <c r="HG66" i="91"/>
  <c r="HH66" i="91"/>
  <c r="IB66" i="91"/>
  <c r="IM66" i="91"/>
  <c r="IX66" i="91"/>
  <c r="IY66" i="91"/>
  <c r="JQ66" i="91"/>
  <c r="KZ66" i="91"/>
  <c r="MK66" i="91"/>
  <c r="MP66" i="91"/>
  <c r="FG67" i="91"/>
  <c r="FH67" i="91"/>
  <c r="FI67" i="91"/>
  <c r="FJ67" i="91"/>
  <c r="FK67" i="91"/>
  <c r="FL67" i="91"/>
  <c r="FM67" i="91"/>
  <c r="FN67" i="91"/>
  <c r="FO67" i="91"/>
  <c r="FP67" i="91"/>
  <c r="FQ67" i="91"/>
  <c r="FR67" i="91"/>
  <c r="FS67" i="91"/>
  <c r="FS63" i="91" s="1"/>
  <c r="FT67" i="91"/>
  <c r="FU67" i="91"/>
  <c r="FV67" i="91"/>
  <c r="FW67" i="91"/>
  <c r="FX67" i="91"/>
  <c r="FY67" i="91"/>
  <c r="FZ67" i="91"/>
  <c r="GA67" i="91"/>
  <c r="GB67" i="91"/>
  <c r="GC67" i="91"/>
  <c r="GD67" i="91"/>
  <c r="HD67" i="91"/>
  <c r="HE67" i="91"/>
  <c r="HF67" i="91"/>
  <c r="HH67" i="91"/>
  <c r="IB67" i="91"/>
  <c r="IM67" i="91"/>
  <c r="IX67" i="91"/>
  <c r="IY67" i="91"/>
  <c r="JQ67" i="91"/>
  <c r="KZ67" i="91"/>
  <c r="MP67" i="91"/>
  <c r="EK67" i="91"/>
  <c r="EL67" i="91"/>
  <c r="ES67" i="91"/>
  <c r="GE67" i="91"/>
  <c r="GL67" i="91"/>
  <c r="GM67" i="91"/>
  <c r="GT67" i="91"/>
  <c r="GU67" i="91"/>
  <c r="HB67" i="91"/>
  <c r="HD68" i="91"/>
  <c r="HE68" i="91"/>
  <c r="HF68" i="91"/>
  <c r="HG68" i="91"/>
  <c r="HH68" i="91"/>
  <c r="IB68" i="91"/>
  <c r="IM68" i="91"/>
  <c r="IX68" i="91"/>
  <c r="IY68" i="91"/>
  <c r="JQ68" i="91"/>
  <c r="JW68" i="91" s="1"/>
  <c r="KZ68" i="91"/>
  <c r="MP68" i="91"/>
  <c r="EO67" i="91"/>
  <c r="GH67" i="91"/>
  <c r="GP67" i="91"/>
  <c r="GX67" i="91"/>
  <c r="HD69" i="91"/>
  <c r="HE69" i="91"/>
  <c r="HF69" i="91"/>
  <c r="HG69" i="91"/>
  <c r="HH69" i="91"/>
  <c r="IB69" i="91"/>
  <c r="IM69" i="91"/>
  <c r="IX69" i="91"/>
  <c r="IY69" i="91"/>
  <c r="JQ69" i="91"/>
  <c r="KZ69" i="91"/>
  <c r="MP69" i="91"/>
  <c r="HK70" i="91"/>
  <c r="IX70" i="91"/>
  <c r="IY70" i="91"/>
  <c r="JQ70" i="91"/>
  <c r="HI71" i="91"/>
  <c r="HU71" i="91" s="1"/>
  <c r="HJ71" i="91"/>
  <c r="HK71" i="91"/>
  <c r="HL71" i="91"/>
  <c r="IC71" i="91" s="1"/>
  <c r="HM71" i="91"/>
  <c r="IX71" i="91"/>
  <c r="IY71" i="91"/>
  <c r="KF71" i="91"/>
  <c r="JP71" i="91"/>
  <c r="JQ71" i="91"/>
  <c r="IH72" i="91"/>
  <c r="II72" i="91"/>
  <c r="IJ72" i="91"/>
  <c r="IK72" i="91"/>
  <c r="IL72" i="91"/>
  <c r="IN72" i="91"/>
  <c r="IX72" i="91"/>
  <c r="IY72" i="91"/>
  <c r="IA73" i="91"/>
  <c r="IC73" i="91"/>
  <c r="II73" i="91"/>
  <c r="IJ73" i="91"/>
  <c r="IK73" i="91"/>
  <c r="IL73" i="91"/>
  <c r="IN73" i="91"/>
  <c r="IX73" i="91"/>
  <c r="IY73" i="91"/>
  <c r="IB74" i="91"/>
  <c r="IM74" i="91"/>
  <c r="IX74" i="91"/>
  <c r="IY74" i="91"/>
  <c r="JQ74" i="91"/>
  <c r="KZ74" i="91"/>
  <c r="MP74" i="91"/>
  <c r="ES75" i="91"/>
  <c r="IB75" i="91"/>
  <c r="IM75" i="91"/>
  <c r="II76" i="91"/>
  <c r="IB77" i="91"/>
  <c r="IM77" i="91"/>
  <c r="IX77" i="91"/>
  <c r="IY77" i="91"/>
  <c r="JQ77" i="91"/>
  <c r="KZ77" i="91"/>
  <c r="MP77" i="91"/>
  <c r="HG78" i="91"/>
  <c r="HD78" i="91"/>
  <c r="HE78" i="91"/>
  <c r="HF78" i="91"/>
  <c r="IB78" i="91"/>
  <c r="IM78" i="91"/>
  <c r="IX78" i="91"/>
  <c r="IY78" i="91"/>
  <c r="JQ78" i="91"/>
  <c r="KZ78" i="91"/>
  <c r="MP78" i="91"/>
  <c r="HD79" i="91"/>
  <c r="HE79" i="91"/>
  <c r="HF79" i="91"/>
  <c r="HG79" i="91"/>
  <c r="HH79" i="91"/>
  <c r="HM80" i="91"/>
  <c r="HD80" i="91"/>
  <c r="HE80" i="91"/>
  <c r="HF80" i="91"/>
  <c r="HG80" i="91"/>
  <c r="HH80" i="91"/>
  <c r="HI82" i="91"/>
  <c r="HD82" i="91"/>
  <c r="HE82" i="91"/>
  <c r="HF82" i="91"/>
  <c r="HG82" i="91"/>
  <c r="HH82" i="91"/>
  <c r="IB82" i="91"/>
  <c r="IM82" i="91"/>
  <c r="IX82" i="91"/>
  <c r="IY82" i="91"/>
  <c r="JQ82" i="91"/>
  <c r="KZ82" i="91"/>
  <c r="MP82" i="91"/>
  <c r="HD83" i="91"/>
  <c r="HE83" i="91"/>
  <c r="HF83" i="91"/>
  <c r="IB83" i="91"/>
  <c r="IM83" i="91"/>
  <c r="IX83" i="91"/>
  <c r="IY83" i="91"/>
  <c r="JQ83" i="91"/>
  <c r="JW83" i="91" s="1"/>
  <c r="KZ83" i="91"/>
  <c r="MP83" i="91"/>
  <c r="FG84" i="91"/>
  <c r="FH84" i="91"/>
  <c r="FI84" i="91"/>
  <c r="FJ84" i="91"/>
  <c r="FK84" i="91"/>
  <c r="FL84" i="91"/>
  <c r="FM84" i="91"/>
  <c r="FN84" i="91"/>
  <c r="FO84" i="91"/>
  <c r="FP84" i="91"/>
  <c r="FQ84" i="91"/>
  <c r="FR84" i="91"/>
  <c r="FS84" i="91"/>
  <c r="FT84" i="91"/>
  <c r="FU84" i="91"/>
  <c r="FV84" i="91"/>
  <c r="FW84" i="91"/>
  <c r="FX84" i="91"/>
  <c r="FY84" i="91"/>
  <c r="FZ84" i="91"/>
  <c r="GA84" i="91"/>
  <c r="GB84" i="91"/>
  <c r="GC84" i="91"/>
  <c r="GD84" i="91"/>
  <c r="HD84" i="91"/>
  <c r="HE84" i="91"/>
  <c r="HF84" i="91"/>
  <c r="IB84" i="91"/>
  <c r="IM84" i="91"/>
  <c r="IX84" i="91"/>
  <c r="IY84" i="91"/>
  <c r="JQ84" i="91"/>
  <c r="KZ84" i="91"/>
  <c r="MP84" i="91"/>
  <c r="HD85" i="91"/>
  <c r="HE85" i="91"/>
  <c r="HF85" i="91"/>
  <c r="HG85" i="91"/>
  <c r="HH85" i="91"/>
  <c r="IB85" i="91"/>
  <c r="IM85" i="91"/>
  <c r="IX85" i="91"/>
  <c r="IY85" i="91"/>
  <c r="JQ85" i="91"/>
  <c r="KZ85" i="91"/>
  <c r="MP85" i="91"/>
  <c r="GE84" i="91"/>
  <c r="GF84" i="91"/>
  <c r="GG84" i="91"/>
  <c r="GH84" i="91"/>
  <c r="GI84" i="91"/>
  <c r="GJ84" i="91"/>
  <c r="GK84" i="91"/>
  <c r="GL84" i="91"/>
  <c r="GM84" i="91"/>
  <c r="GN84" i="91"/>
  <c r="GO84" i="91"/>
  <c r="GP84" i="91"/>
  <c r="GQ84" i="91"/>
  <c r="GR84" i="91"/>
  <c r="GS84" i="91"/>
  <c r="GT84" i="91"/>
  <c r="GU84" i="91"/>
  <c r="GV84" i="91"/>
  <c r="GW84" i="91"/>
  <c r="GX84" i="91"/>
  <c r="GY84" i="91"/>
  <c r="GZ84" i="91"/>
  <c r="HA84" i="91"/>
  <c r="HB84" i="91"/>
  <c r="HD86" i="91"/>
  <c r="HE86" i="91"/>
  <c r="HF86" i="91"/>
  <c r="IB86" i="91"/>
  <c r="IM86" i="91"/>
  <c r="IX86" i="91"/>
  <c r="IY86" i="91"/>
  <c r="JQ86" i="91"/>
  <c r="KZ86" i="91"/>
  <c r="MP86" i="91"/>
  <c r="FG87" i="91"/>
  <c r="FH87" i="91"/>
  <c r="FI87" i="91"/>
  <c r="FJ87" i="91"/>
  <c r="FK87" i="91"/>
  <c r="FL87" i="91"/>
  <c r="FM87" i="91"/>
  <c r="FN87" i="91"/>
  <c r="FO87" i="91"/>
  <c r="FP87" i="91"/>
  <c r="FQ87" i="91"/>
  <c r="FR87" i="91"/>
  <c r="FS87" i="91"/>
  <c r="FT87" i="91"/>
  <c r="FU87" i="91"/>
  <c r="FV87" i="91"/>
  <c r="FW87" i="91"/>
  <c r="FX87" i="91"/>
  <c r="FY87" i="91"/>
  <c r="FZ87" i="91"/>
  <c r="GA87" i="91"/>
  <c r="GB87" i="91"/>
  <c r="GC87" i="91"/>
  <c r="GD87" i="91"/>
  <c r="HD87" i="91"/>
  <c r="HE87" i="91"/>
  <c r="HF87" i="91"/>
  <c r="IB87" i="91"/>
  <c r="IM87" i="91"/>
  <c r="IX87" i="91"/>
  <c r="IY87" i="91"/>
  <c r="JQ87" i="91"/>
  <c r="KZ87" i="91"/>
  <c r="MP87" i="91"/>
  <c r="LX88" i="91"/>
  <c r="HD88" i="91"/>
  <c r="HE88" i="91"/>
  <c r="HF88" i="91"/>
  <c r="HH88" i="91"/>
  <c r="IB88" i="91"/>
  <c r="IM88" i="91"/>
  <c r="IX88" i="91"/>
  <c r="IY88" i="91"/>
  <c r="JQ88" i="91"/>
  <c r="KZ88" i="91"/>
  <c r="MP88" i="91"/>
  <c r="HD89" i="91"/>
  <c r="HE89" i="91"/>
  <c r="HF89" i="91"/>
  <c r="HG89" i="91"/>
  <c r="HH89" i="91"/>
  <c r="IB89" i="91"/>
  <c r="IM89" i="91"/>
  <c r="IX89" i="91"/>
  <c r="IY89" i="91"/>
  <c r="JQ89" i="91"/>
  <c r="KZ89" i="91"/>
  <c r="MP89" i="91"/>
  <c r="EK87" i="91"/>
  <c r="EK83" i="91" s="1"/>
  <c r="ES87" i="91"/>
  <c r="ES83" i="91" s="1"/>
  <c r="GL87" i="91"/>
  <c r="GT87" i="91"/>
  <c r="HB87" i="91"/>
  <c r="HD90" i="91"/>
  <c r="HE90" i="91"/>
  <c r="HF90" i="91"/>
  <c r="HG90" i="91"/>
  <c r="HH90" i="91"/>
  <c r="IB90" i="91"/>
  <c r="IM90" i="91"/>
  <c r="IX90" i="91"/>
  <c r="IY90" i="91"/>
  <c r="JQ90" i="91"/>
  <c r="KZ90" i="91"/>
  <c r="MK90" i="91"/>
  <c r="MP90" i="91"/>
  <c r="II91" i="91"/>
  <c r="IC91" i="91"/>
  <c r="IB92" i="91"/>
  <c r="IM92" i="91"/>
  <c r="IX92" i="91"/>
  <c r="IY92" i="91"/>
  <c r="JQ92" i="91"/>
  <c r="KZ92" i="91"/>
  <c r="MP92" i="91"/>
  <c r="HJ93" i="91"/>
  <c r="MF93" i="91"/>
  <c r="HD93" i="91"/>
  <c r="HE93" i="91"/>
  <c r="HF93" i="91"/>
  <c r="HH93" i="91"/>
  <c r="IB93" i="91"/>
  <c r="IM93" i="91"/>
  <c r="IX93" i="91"/>
  <c r="IY93" i="91"/>
  <c r="JQ93" i="91"/>
  <c r="KZ93" i="91"/>
  <c r="MP93" i="91"/>
  <c r="HD94" i="91"/>
  <c r="HE94" i="91"/>
  <c r="HF94" i="91"/>
  <c r="HG94" i="91"/>
  <c r="HH94" i="91"/>
  <c r="HD95" i="91"/>
  <c r="HE95" i="91"/>
  <c r="HF95" i="91"/>
  <c r="HG95" i="91"/>
  <c r="HH95" i="91"/>
  <c r="HD96" i="91"/>
  <c r="HE96" i="91"/>
  <c r="HF96" i="91"/>
  <c r="HG96" i="91"/>
  <c r="HH96" i="91"/>
  <c r="HD97" i="91"/>
  <c r="HE97" i="91"/>
  <c r="HF97" i="91"/>
  <c r="HH97" i="91"/>
  <c r="HD98" i="91"/>
  <c r="HE98" i="91"/>
  <c r="HF98" i="91"/>
  <c r="HG98" i="91"/>
  <c r="HH98" i="91"/>
  <c r="FG99" i="91"/>
  <c r="FG92" i="91" s="1"/>
  <c r="FH99" i="91"/>
  <c r="FH92" i="91" s="1"/>
  <c r="FI99" i="91"/>
  <c r="FI92" i="91" s="1"/>
  <c r="FJ99" i="91"/>
  <c r="FJ92" i="91" s="1"/>
  <c r="FK99" i="91"/>
  <c r="FK92" i="91" s="1"/>
  <c r="FL99" i="91"/>
  <c r="FL92" i="91" s="1"/>
  <c r="FM99" i="91"/>
  <c r="FM92" i="91" s="1"/>
  <c r="FN99" i="91"/>
  <c r="FN92" i="91" s="1"/>
  <c r="FO99" i="91"/>
  <c r="FO92" i="91" s="1"/>
  <c r="FP99" i="91"/>
  <c r="FP92" i="91" s="1"/>
  <c r="FQ99" i="91"/>
  <c r="FQ92" i="91" s="1"/>
  <c r="FR99" i="91"/>
  <c r="FR92" i="91" s="1"/>
  <c r="FS99" i="91"/>
  <c r="FS92" i="91" s="1"/>
  <c r="FT99" i="91"/>
  <c r="FT92" i="91" s="1"/>
  <c r="FU99" i="91"/>
  <c r="FU92" i="91" s="1"/>
  <c r="FV99" i="91"/>
  <c r="FV92" i="91" s="1"/>
  <c r="FW99" i="91"/>
  <c r="FW92" i="91" s="1"/>
  <c r="FX99" i="91"/>
  <c r="FX92" i="91" s="1"/>
  <c r="FY99" i="91"/>
  <c r="FY92" i="91" s="1"/>
  <c r="FZ99" i="91"/>
  <c r="FZ92" i="91" s="1"/>
  <c r="GA99" i="91"/>
  <c r="GA92" i="91" s="1"/>
  <c r="GB99" i="91"/>
  <c r="GB92" i="91" s="1"/>
  <c r="GC99" i="91"/>
  <c r="GC92" i="91" s="1"/>
  <c r="GD99" i="91"/>
  <c r="GD92" i="91" s="1"/>
  <c r="HD99" i="91"/>
  <c r="HE99" i="91"/>
  <c r="HF99" i="91"/>
  <c r="HH99" i="91"/>
  <c r="IB99" i="91"/>
  <c r="IM99" i="91"/>
  <c r="IX99" i="91"/>
  <c r="IY99" i="91"/>
  <c r="JQ99" i="91"/>
  <c r="KZ99" i="91"/>
  <c r="MP99" i="91"/>
  <c r="HD100" i="91"/>
  <c r="HE100" i="91"/>
  <c r="HF100" i="91"/>
  <c r="HH100" i="91"/>
  <c r="IB100" i="91"/>
  <c r="IM100" i="91"/>
  <c r="IX100" i="91"/>
  <c r="IY100" i="91"/>
  <c r="JQ100" i="91"/>
  <c r="KZ100" i="91"/>
  <c r="MP100" i="91"/>
  <c r="HD101" i="91"/>
  <c r="HE101" i="91"/>
  <c r="HF101" i="91"/>
  <c r="HG101" i="91"/>
  <c r="HH101" i="91"/>
  <c r="IB101" i="91"/>
  <c r="IM101" i="91"/>
  <c r="IX101" i="91"/>
  <c r="IY101" i="91"/>
  <c r="JQ101" i="91"/>
  <c r="KZ101" i="91"/>
  <c r="MK101" i="91"/>
  <c r="MP101" i="91"/>
  <c r="HG102" i="91"/>
  <c r="HI102" i="91"/>
  <c r="MF102" i="91"/>
  <c r="HD102" i="91"/>
  <c r="HE102" i="91"/>
  <c r="HF102" i="91"/>
  <c r="HH102" i="91"/>
  <c r="IB102" i="91"/>
  <c r="IM102" i="91"/>
  <c r="IX102" i="91"/>
  <c r="IY102" i="91"/>
  <c r="JQ102" i="91"/>
  <c r="KZ102" i="91"/>
  <c r="MP102" i="91"/>
  <c r="MF103" i="91"/>
  <c r="HD103" i="91"/>
  <c r="HE103" i="91"/>
  <c r="HF103" i="91"/>
  <c r="HG103" i="91"/>
  <c r="HH103" i="91"/>
  <c r="IB103" i="91"/>
  <c r="IM103" i="91"/>
  <c r="IX103" i="91"/>
  <c r="IY103" i="91"/>
  <c r="JQ103" i="91"/>
  <c r="KZ103" i="91"/>
  <c r="MP103" i="91"/>
  <c r="HJ104" i="91"/>
  <c r="HK104" i="91"/>
  <c r="HL104" i="91"/>
  <c r="HM104" i="91"/>
  <c r="IB105" i="91"/>
  <c r="IM105" i="91"/>
  <c r="IX105" i="91"/>
  <c r="IY105" i="91"/>
  <c r="JQ105" i="91"/>
  <c r="JW105" i="91" s="1"/>
  <c r="KZ105" i="91"/>
  <c r="MP105" i="91"/>
  <c r="IB106" i="91"/>
  <c r="IM106" i="91"/>
  <c r="II107" i="91"/>
  <c r="IN107" i="91"/>
  <c r="HD108" i="91"/>
  <c r="HE108" i="91"/>
  <c r="HF108" i="91"/>
  <c r="HG108" i="91"/>
  <c r="IB108" i="91"/>
  <c r="IM108" i="91"/>
  <c r="IX108" i="91"/>
  <c r="IY108" i="91"/>
  <c r="JQ108" i="91"/>
  <c r="KZ108" i="91"/>
  <c r="MP108" i="91"/>
  <c r="IB109" i="91"/>
  <c r="IM109" i="91"/>
  <c r="IX109" i="91"/>
  <c r="IY109" i="91"/>
  <c r="KZ109" i="91"/>
  <c r="MK109" i="91"/>
  <c r="MP109" i="91"/>
  <c r="II110" i="91"/>
  <c r="IN110" i="91"/>
  <c r="LX110" i="91"/>
  <c r="MF110" i="91"/>
  <c r="IB111" i="91"/>
  <c r="IM111" i="91"/>
  <c r="IX111" i="91"/>
  <c r="IY111" i="91"/>
  <c r="JQ111" i="91"/>
  <c r="KZ111" i="91"/>
  <c r="MP111" i="91"/>
  <c r="IB112" i="91"/>
  <c r="IM112" i="91"/>
  <c r="IA113" i="91"/>
  <c r="IC113" i="91"/>
  <c r="II113" i="91"/>
  <c r="IJ113" i="91"/>
  <c r="IK113" i="91"/>
  <c r="IL113" i="91"/>
  <c r="IN113" i="91"/>
  <c r="IA114" i="91"/>
  <c r="IC114" i="91"/>
  <c r="II114" i="91"/>
  <c r="IJ114" i="91"/>
  <c r="IK114" i="91"/>
  <c r="IL114" i="91"/>
  <c r="IN114" i="91"/>
  <c r="IA115" i="91"/>
  <c r="IC115" i="91"/>
  <c r="II115" i="91"/>
  <c r="IJ115" i="91"/>
  <c r="IK115" i="91"/>
  <c r="IL115" i="91"/>
  <c r="IN115" i="91"/>
  <c r="IA116" i="91"/>
  <c r="IC116" i="91"/>
  <c r="II116" i="91"/>
  <c r="IJ116" i="91"/>
  <c r="IK116" i="91"/>
  <c r="IL116" i="91"/>
  <c r="IN116" i="91"/>
  <c r="HF117" i="91"/>
  <c r="EU117" i="91"/>
  <c r="EV117" i="91"/>
  <c r="EW117" i="91"/>
  <c r="EX117" i="91"/>
  <c r="EY117" i="91"/>
  <c r="EZ117" i="91"/>
  <c r="FA117" i="91"/>
  <c r="FB117" i="91"/>
  <c r="FC117" i="91"/>
  <c r="FD117" i="91"/>
  <c r="FE117" i="91"/>
  <c r="FF117" i="91"/>
  <c r="IB117" i="91"/>
  <c r="IM117" i="91"/>
  <c r="JP117" i="91"/>
  <c r="JQ117" i="91"/>
  <c r="HG118" i="91"/>
  <c r="HD118" i="91"/>
  <c r="HE118" i="91"/>
  <c r="HF118" i="91"/>
  <c r="HH118" i="91"/>
  <c r="IB118" i="91"/>
  <c r="IM118" i="91"/>
  <c r="JP118" i="91"/>
  <c r="JQ118" i="91"/>
  <c r="HK119" i="91"/>
  <c r="K76" i="1" s="1"/>
  <c r="HD119" i="91"/>
  <c r="HE119" i="91"/>
  <c r="HF119" i="91"/>
  <c r="HG119" i="91"/>
  <c r="HH119" i="91"/>
  <c r="IB119" i="91"/>
  <c r="IM119" i="91"/>
  <c r="JP119" i="91"/>
  <c r="JQ119" i="91"/>
  <c r="LX119" i="91"/>
  <c r="HI120" i="91"/>
  <c r="HU120" i="91" s="1"/>
  <c r="HM120" i="91"/>
  <c r="HZ120" i="91" s="1"/>
  <c r="HK120" i="91"/>
  <c r="HL120" i="91"/>
  <c r="IC120" i="91" s="1"/>
  <c r="KA120" i="91"/>
  <c r="JP120" i="91"/>
  <c r="JQ120" i="91"/>
  <c r="JY120" i="91"/>
  <c r="JZ120" i="91"/>
  <c r="KH120" i="91"/>
  <c r="KI120" i="91"/>
  <c r="HH121" i="91"/>
  <c r="HI121" i="91"/>
  <c r="HL121" i="91"/>
  <c r="IL121" i="91" s="1"/>
  <c r="HD121" i="91"/>
  <c r="HE121" i="91"/>
  <c r="HF121" i="91"/>
  <c r="HG121" i="91"/>
  <c r="HJ121" i="91"/>
  <c r="IB121" i="91"/>
  <c r="IM121" i="91"/>
  <c r="KF121" i="91"/>
  <c r="JP121" i="91"/>
  <c r="JQ121" i="91"/>
  <c r="HD122" i="91"/>
  <c r="HE122" i="91"/>
  <c r="HF122" i="91"/>
  <c r="HG122" i="91"/>
  <c r="HH122" i="91"/>
  <c r="HI122" i="91"/>
  <c r="HK122" i="91"/>
  <c r="K78" i="1" s="1"/>
  <c r="HL122" i="91"/>
  <c r="IB122" i="91"/>
  <c r="IM122" i="91"/>
  <c r="KF122" i="91"/>
  <c r="JP122" i="91"/>
  <c r="JQ122" i="91"/>
  <c r="MF122" i="91"/>
  <c r="HM123" i="91"/>
  <c r="HZ123" i="91" s="1"/>
  <c r="HD123" i="91"/>
  <c r="HE123" i="91"/>
  <c r="HF123" i="91"/>
  <c r="HH123" i="91"/>
  <c r="HJ123" i="91"/>
  <c r="HL123" i="91"/>
  <c r="L79" i="1" s="1"/>
  <c r="IB123" i="91"/>
  <c r="IM123" i="91"/>
  <c r="JP123" i="91"/>
  <c r="JQ123" i="91"/>
  <c r="HD124" i="91"/>
  <c r="HE124" i="91"/>
  <c r="HF124" i="91"/>
  <c r="IB124" i="91"/>
  <c r="IM124" i="91"/>
  <c r="JP124" i="91"/>
  <c r="JQ124" i="91"/>
  <c r="FG125" i="91"/>
  <c r="FG124" i="91" s="1"/>
  <c r="FG117" i="91" s="1"/>
  <c r="FH125" i="91"/>
  <c r="FH124" i="91" s="1"/>
  <c r="FH117" i="91" s="1"/>
  <c r="FI125" i="91"/>
  <c r="FI124" i="91" s="1"/>
  <c r="FI117" i="91" s="1"/>
  <c r="FJ125" i="91"/>
  <c r="FJ124" i="91" s="1"/>
  <c r="FJ117" i="91" s="1"/>
  <c r="FK125" i="91"/>
  <c r="FK124" i="91" s="1"/>
  <c r="FK117" i="91" s="1"/>
  <c r="FL125" i="91"/>
  <c r="FL124" i="91" s="1"/>
  <c r="FL117" i="91" s="1"/>
  <c r="FM125" i="91"/>
  <c r="FM124" i="91" s="1"/>
  <c r="FM117" i="91" s="1"/>
  <c r="FN125" i="91"/>
  <c r="FN124" i="91" s="1"/>
  <c r="FN117" i="91" s="1"/>
  <c r="FO125" i="91"/>
  <c r="FO124" i="91" s="1"/>
  <c r="FO117" i="91" s="1"/>
  <c r="FP125" i="91"/>
  <c r="FP124" i="91" s="1"/>
  <c r="FP117" i="91" s="1"/>
  <c r="FQ125" i="91"/>
  <c r="FQ124" i="91" s="1"/>
  <c r="FQ117" i="91" s="1"/>
  <c r="FR125" i="91"/>
  <c r="FR124" i="91" s="1"/>
  <c r="FR117" i="91" s="1"/>
  <c r="FS125" i="91"/>
  <c r="FS124" i="91" s="1"/>
  <c r="FS117" i="91" s="1"/>
  <c r="FT125" i="91"/>
  <c r="FT124" i="91" s="1"/>
  <c r="FT117" i="91" s="1"/>
  <c r="FU125" i="91"/>
  <c r="FU124" i="91" s="1"/>
  <c r="FU117" i="91" s="1"/>
  <c r="FV125" i="91"/>
  <c r="FV124" i="91" s="1"/>
  <c r="FV117" i="91" s="1"/>
  <c r="FW125" i="91"/>
  <c r="FW124" i="91" s="1"/>
  <c r="FW117" i="91" s="1"/>
  <c r="FX125" i="91"/>
  <c r="FX124" i="91" s="1"/>
  <c r="FX117" i="91" s="1"/>
  <c r="FY125" i="91"/>
  <c r="FY124" i="91" s="1"/>
  <c r="FY117" i="91" s="1"/>
  <c r="FZ125" i="91"/>
  <c r="FZ124" i="91" s="1"/>
  <c r="FZ117" i="91" s="1"/>
  <c r="GA125" i="91"/>
  <c r="GA124" i="91" s="1"/>
  <c r="GA117" i="91" s="1"/>
  <c r="GB125" i="91"/>
  <c r="GB124" i="91" s="1"/>
  <c r="GB117" i="91" s="1"/>
  <c r="GC125" i="91"/>
  <c r="GC124" i="91" s="1"/>
  <c r="GC117" i="91" s="1"/>
  <c r="GD125" i="91"/>
  <c r="GD124" i="91" s="1"/>
  <c r="GD117" i="91" s="1"/>
  <c r="HD125" i="91"/>
  <c r="HE125" i="91"/>
  <c r="HF125" i="91"/>
  <c r="HH125" i="91"/>
  <c r="IB125" i="91"/>
  <c r="IM125" i="91"/>
  <c r="JP125" i="91"/>
  <c r="JQ125" i="91"/>
  <c r="HD126" i="91"/>
  <c r="HE126" i="91"/>
  <c r="HF126" i="91"/>
  <c r="HG126" i="91"/>
  <c r="HH126" i="91"/>
  <c r="IB126" i="91"/>
  <c r="IM126" i="91"/>
  <c r="JP126" i="91"/>
  <c r="JQ126" i="91"/>
  <c r="KF127" i="91"/>
  <c r="HD127" i="91"/>
  <c r="HE127" i="91"/>
  <c r="HF127" i="91"/>
  <c r="HG127" i="91"/>
  <c r="HH127" i="91"/>
  <c r="IB127" i="91"/>
  <c r="IM127" i="91"/>
  <c r="JP127" i="91"/>
  <c r="JQ127" i="91"/>
  <c r="LX128" i="91"/>
  <c r="HM128" i="91"/>
  <c r="HZ128" i="91" s="1"/>
  <c r="HD128" i="91"/>
  <c r="HE128" i="91"/>
  <c r="HF128" i="91"/>
  <c r="HG128" i="91"/>
  <c r="HH128" i="91"/>
  <c r="HI128" i="91"/>
  <c r="HK128" i="91"/>
  <c r="HL128" i="91"/>
  <c r="IB128" i="91"/>
  <c r="IM128" i="91"/>
  <c r="JP128" i="91"/>
  <c r="JQ128" i="91"/>
  <c r="HK129" i="91"/>
  <c r="HD129" i="91"/>
  <c r="HE129" i="91"/>
  <c r="HF129" i="91"/>
  <c r="HG129" i="91"/>
  <c r="HH129" i="91"/>
  <c r="HL129" i="91"/>
  <c r="IB129" i="91"/>
  <c r="IM129" i="91"/>
  <c r="JP129" i="91"/>
  <c r="JQ129" i="91"/>
  <c r="HI130" i="91"/>
  <c r="KO130" i="91"/>
  <c r="HD130" i="91"/>
  <c r="HE130" i="91"/>
  <c r="HF130" i="91"/>
  <c r="HG130" i="91"/>
  <c r="HH130" i="91"/>
  <c r="IB130" i="91"/>
  <c r="IM130" i="91"/>
  <c r="JP130" i="91"/>
  <c r="JQ130" i="91"/>
  <c r="HK131" i="91"/>
  <c r="K83" i="1" s="1"/>
  <c r="HD131" i="91"/>
  <c r="HE131" i="91"/>
  <c r="HF131" i="91"/>
  <c r="HG131" i="91"/>
  <c r="HH131" i="91"/>
  <c r="HJ131" i="91"/>
  <c r="HL131" i="91"/>
  <c r="IB131" i="91"/>
  <c r="IM131" i="91"/>
  <c r="KK131" i="91"/>
  <c r="JP131" i="91"/>
  <c r="JQ131" i="91"/>
  <c r="HD132" i="91"/>
  <c r="HE132" i="91"/>
  <c r="HF132" i="91"/>
  <c r="HG132" i="91"/>
  <c r="HH132" i="91"/>
  <c r="HI132" i="91"/>
  <c r="HJ132" i="91"/>
  <c r="HK132" i="91"/>
  <c r="HL132" i="91"/>
  <c r="HM132" i="91"/>
  <c r="IB132" i="91"/>
  <c r="IM132" i="91"/>
  <c r="JP132" i="91"/>
  <c r="JQ132" i="91"/>
  <c r="HL133" i="91"/>
  <c r="L84" i="1" s="1"/>
  <c r="HD133" i="91"/>
  <c r="HE133" i="91"/>
  <c r="HF133" i="91"/>
  <c r="HG133" i="91"/>
  <c r="HH133" i="91"/>
  <c r="IB133" i="91"/>
  <c r="IM133" i="91"/>
  <c r="JP133" i="91"/>
  <c r="JQ133" i="91"/>
  <c r="HI134" i="91"/>
  <c r="HD134" i="91"/>
  <c r="HE134" i="91"/>
  <c r="HF134" i="91"/>
  <c r="HG134" i="91"/>
  <c r="HH134" i="91"/>
  <c r="IB134" i="91"/>
  <c r="IM134" i="91"/>
  <c r="JP134" i="91"/>
  <c r="JQ134" i="91"/>
  <c r="HM135" i="91"/>
  <c r="HZ135" i="91" s="1"/>
  <c r="HD135" i="91"/>
  <c r="HE135" i="91"/>
  <c r="HF135" i="91"/>
  <c r="HH135" i="91"/>
  <c r="IB135" i="91"/>
  <c r="IM135" i="91"/>
  <c r="JP135" i="91"/>
  <c r="JQ135" i="91"/>
  <c r="HJ136" i="91"/>
  <c r="HV136" i="91" s="1"/>
  <c r="HK136" i="91"/>
  <c r="HL136" i="91"/>
  <c r="HM136" i="91"/>
  <c r="HU136" i="91"/>
  <c r="IH136" i="91"/>
  <c r="KO136" i="91"/>
  <c r="LX136" i="91"/>
  <c r="HD137" i="91"/>
  <c r="HE137" i="91"/>
  <c r="IB137" i="91"/>
  <c r="IM137" i="91"/>
  <c r="JP137" i="91"/>
  <c r="JQ137" i="91"/>
  <c r="HD138" i="91"/>
  <c r="HE138" i="91"/>
  <c r="HH138" i="91"/>
  <c r="IB138" i="91"/>
  <c r="IM138" i="91"/>
  <c r="JP138" i="91"/>
  <c r="JQ138" i="91"/>
  <c r="HD139" i="91"/>
  <c r="HE139" i="91"/>
  <c r="HF139" i="91"/>
  <c r="HH139" i="91"/>
  <c r="IB139" i="91"/>
  <c r="IM139" i="91"/>
  <c r="JP139" i="91"/>
  <c r="JQ139" i="91"/>
  <c r="HD140" i="91"/>
  <c r="HE140" i="91"/>
  <c r="HF140" i="91"/>
  <c r="HG140" i="91"/>
  <c r="HH140" i="91"/>
  <c r="IB140" i="91"/>
  <c r="IM140" i="91"/>
  <c r="JP140" i="91"/>
  <c r="JQ140" i="91"/>
  <c r="EU141" i="91"/>
  <c r="EV141" i="91"/>
  <c r="EW141" i="91"/>
  <c r="EX141" i="91"/>
  <c r="EY141" i="91"/>
  <c r="EZ141" i="91"/>
  <c r="FA141" i="91"/>
  <c r="FB141" i="91"/>
  <c r="FC141" i="91"/>
  <c r="FD141" i="91"/>
  <c r="FE141" i="91"/>
  <c r="FF141" i="91"/>
  <c r="FG141" i="91"/>
  <c r="FH141" i="91"/>
  <c r="FI141" i="91"/>
  <c r="FJ141" i="91"/>
  <c r="FK141" i="91"/>
  <c r="FL141" i="91"/>
  <c r="FM141" i="91"/>
  <c r="FN141" i="91"/>
  <c r="FO141" i="91"/>
  <c r="FP141" i="91"/>
  <c r="FQ141" i="91"/>
  <c r="FR141" i="91"/>
  <c r="FS141" i="91"/>
  <c r="FT141" i="91"/>
  <c r="FU141" i="91"/>
  <c r="FV141" i="91"/>
  <c r="FW141" i="91"/>
  <c r="FX141" i="91"/>
  <c r="FY141" i="91"/>
  <c r="FZ141" i="91"/>
  <c r="GA141" i="91"/>
  <c r="GB141" i="91"/>
  <c r="GC141" i="91"/>
  <c r="GD141" i="91"/>
  <c r="HD141" i="91"/>
  <c r="HE141" i="91"/>
  <c r="HF141" i="91"/>
  <c r="HG141" i="91"/>
  <c r="HH141" i="91"/>
  <c r="IB141" i="91"/>
  <c r="IM141" i="91"/>
  <c r="JP141" i="91"/>
  <c r="JQ141" i="91"/>
  <c r="HL142" i="91"/>
  <c r="IN142" i="91" s="1"/>
  <c r="HM142" i="91"/>
  <c r="EH141" i="91"/>
  <c r="EI141" i="91"/>
  <c r="EJ141" i="91"/>
  <c r="EK141" i="91"/>
  <c r="EL141" i="91"/>
  <c r="EM141" i="91"/>
  <c r="EN141" i="91"/>
  <c r="EO141" i="91"/>
  <c r="EP141" i="91"/>
  <c r="EQ141" i="91"/>
  <c r="ER141" i="91"/>
  <c r="ES141" i="91"/>
  <c r="GE141" i="91"/>
  <c r="GF141" i="91"/>
  <c r="GG141" i="91"/>
  <c r="GH141" i="91"/>
  <c r="GI141" i="91"/>
  <c r="GJ141" i="91"/>
  <c r="GK141" i="91"/>
  <c r="GL141" i="91"/>
  <c r="GM141" i="91"/>
  <c r="GN141" i="91"/>
  <c r="GO141" i="91"/>
  <c r="GP141" i="91"/>
  <c r="GQ141" i="91"/>
  <c r="GR141" i="91"/>
  <c r="GS141" i="91"/>
  <c r="GT141" i="91"/>
  <c r="GU141" i="91"/>
  <c r="GV141" i="91"/>
  <c r="GW141" i="91"/>
  <c r="GX141" i="91"/>
  <c r="GY141" i="91"/>
  <c r="GZ141" i="91"/>
  <c r="HA141" i="91"/>
  <c r="HB141" i="91"/>
  <c r="HD142" i="91"/>
  <c r="HE142" i="91"/>
  <c r="HF142" i="91"/>
  <c r="HH142" i="91"/>
  <c r="IB142" i="91"/>
  <c r="IM142" i="91"/>
  <c r="JP142" i="91"/>
  <c r="JQ142" i="91"/>
  <c r="HK143" i="91"/>
  <c r="HD143" i="91"/>
  <c r="HE143" i="91"/>
  <c r="HF143" i="91"/>
  <c r="HG143" i="91"/>
  <c r="HH143" i="91"/>
  <c r="IB143" i="91"/>
  <c r="IM143" i="91"/>
  <c r="JP143" i="91"/>
  <c r="JQ143" i="91"/>
  <c r="HI144" i="91"/>
  <c r="HL144" i="91"/>
  <c r="IN144" i="91" s="1"/>
  <c r="HD144" i="91"/>
  <c r="HE144" i="91"/>
  <c r="HF144" i="91"/>
  <c r="HG144" i="91"/>
  <c r="HH144" i="91"/>
  <c r="HK144" i="91"/>
  <c r="HM144" i="91"/>
  <c r="IB144" i="91"/>
  <c r="IM144" i="91"/>
  <c r="JP144" i="91"/>
  <c r="JQ144" i="91"/>
  <c r="EH145" i="91"/>
  <c r="EI145" i="91"/>
  <c r="EJ145" i="91"/>
  <c r="EK145" i="91"/>
  <c r="EL145" i="91"/>
  <c r="EM145" i="91"/>
  <c r="EN145" i="91"/>
  <c r="EO145" i="91"/>
  <c r="EP145" i="91"/>
  <c r="EQ145" i="91"/>
  <c r="ER145" i="91"/>
  <c r="ES145" i="91"/>
  <c r="EU145" i="91"/>
  <c r="EV145" i="91"/>
  <c r="EW145" i="91"/>
  <c r="EX145" i="91"/>
  <c r="EY145" i="91"/>
  <c r="EZ145" i="91"/>
  <c r="FA145" i="91"/>
  <c r="FB145" i="91"/>
  <c r="FC145" i="91"/>
  <c r="FD145" i="91"/>
  <c r="FE145" i="91"/>
  <c r="FF145" i="91"/>
  <c r="FG145" i="91"/>
  <c r="FH145" i="91"/>
  <c r="FI145" i="91"/>
  <c r="FJ145" i="91"/>
  <c r="FK145" i="91"/>
  <c r="FL145" i="91"/>
  <c r="FM145" i="91"/>
  <c r="FN145" i="91"/>
  <c r="FO145" i="91"/>
  <c r="FP145" i="91"/>
  <c r="FQ145" i="91"/>
  <c r="FR145" i="91"/>
  <c r="FS145" i="91"/>
  <c r="FT145" i="91"/>
  <c r="FU145" i="91"/>
  <c r="FV145" i="91"/>
  <c r="FW145" i="91"/>
  <c r="FX145" i="91"/>
  <c r="FY145" i="91"/>
  <c r="FZ145" i="91"/>
  <c r="GA145" i="91"/>
  <c r="GB145" i="91"/>
  <c r="GC145" i="91"/>
  <c r="GD145" i="91"/>
  <c r="GE145" i="91"/>
  <c r="GF145" i="91"/>
  <c r="GG145" i="91"/>
  <c r="GH145" i="91"/>
  <c r="GI145" i="91"/>
  <c r="GJ145" i="91"/>
  <c r="GK145" i="91"/>
  <c r="GL145" i="91"/>
  <c r="GM145" i="91"/>
  <c r="GN145" i="91"/>
  <c r="GO145" i="91"/>
  <c r="GP145" i="91"/>
  <c r="GQ145" i="91"/>
  <c r="GR145" i="91"/>
  <c r="GS145" i="91"/>
  <c r="GT145" i="91"/>
  <c r="GU145" i="91"/>
  <c r="GV145" i="91"/>
  <c r="GW145" i="91"/>
  <c r="GX145" i="91"/>
  <c r="GY145" i="91"/>
  <c r="GZ145" i="91"/>
  <c r="HA145" i="91"/>
  <c r="HB145" i="91"/>
  <c r="HD145" i="91"/>
  <c r="HE145" i="91"/>
  <c r="HF145" i="91"/>
  <c r="HG145" i="91"/>
  <c r="HH145" i="91"/>
  <c r="IB145" i="91"/>
  <c r="IM145" i="91"/>
  <c r="JP145" i="91"/>
  <c r="JQ145" i="91"/>
  <c r="HJ146" i="91"/>
  <c r="HD146" i="91"/>
  <c r="HE146" i="91"/>
  <c r="HF146" i="91"/>
  <c r="HG146" i="91"/>
  <c r="HH146" i="91"/>
  <c r="HK146" i="91"/>
  <c r="HM146" i="91"/>
  <c r="HZ146" i="91" s="1"/>
  <c r="IB146" i="91"/>
  <c r="IM146" i="91"/>
  <c r="JP146" i="91"/>
  <c r="JQ146" i="91"/>
  <c r="HI147" i="91"/>
  <c r="HL147" i="91"/>
  <c r="HD147" i="91"/>
  <c r="HE147" i="91"/>
  <c r="HF147" i="91"/>
  <c r="HG147" i="91"/>
  <c r="HH147" i="91"/>
  <c r="IB147" i="91"/>
  <c r="IM147" i="91"/>
  <c r="JP147" i="91"/>
  <c r="JQ147" i="91"/>
  <c r="HI148" i="91"/>
  <c r="HM148" i="91"/>
  <c r="HZ148" i="91" s="1"/>
  <c r="HD148" i="91"/>
  <c r="HE148" i="91"/>
  <c r="HF148" i="91"/>
  <c r="HG148" i="91"/>
  <c r="HH148" i="91"/>
  <c r="IB148" i="91"/>
  <c r="IM148" i="91"/>
  <c r="JP148" i="91"/>
  <c r="JQ148" i="91"/>
  <c r="EU149" i="91"/>
  <c r="EV149" i="91"/>
  <c r="EW149" i="91"/>
  <c r="EX149" i="91"/>
  <c r="EY149" i="91"/>
  <c r="EZ149" i="91"/>
  <c r="FA149" i="91"/>
  <c r="FB149" i="91"/>
  <c r="FC149" i="91"/>
  <c r="FD149" i="91"/>
  <c r="FE149" i="91"/>
  <c r="FF149" i="91"/>
  <c r="FG149" i="91"/>
  <c r="FH149" i="91"/>
  <c r="FI149" i="91"/>
  <c r="FJ149" i="91"/>
  <c r="FK149" i="91"/>
  <c r="FL149" i="91"/>
  <c r="FM149" i="91"/>
  <c r="FN149" i="91"/>
  <c r="FO149" i="91"/>
  <c r="FP149" i="91"/>
  <c r="FQ149" i="91"/>
  <c r="FR149" i="91"/>
  <c r="FS149" i="91"/>
  <c r="FT149" i="91"/>
  <c r="FU149" i="91"/>
  <c r="FV149" i="91"/>
  <c r="FW149" i="91"/>
  <c r="FX149" i="91"/>
  <c r="FY149" i="91"/>
  <c r="FZ149" i="91"/>
  <c r="GA149" i="91"/>
  <c r="GB149" i="91"/>
  <c r="GC149" i="91"/>
  <c r="GD149" i="91"/>
  <c r="HD149" i="91"/>
  <c r="HE149" i="91"/>
  <c r="HF149" i="91"/>
  <c r="HH149" i="91"/>
  <c r="IB149" i="91"/>
  <c r="IM149" i="91"/>
  <c r="JP149" i="91"/>
  <c r="JQ149" i="91"/>
  <c r="EK149" i="91"/>
  <c r="ES149" i="91"/>
  <c r="GL149" i="91"/>
  <c r="GT149" i="91"/>
  <c r="HB149" i="91"/>
  <c r="HD150" i="91"/>
  <c r="HE150" i="91"/>
  <c r="HF150" i="91"/>
  <c r="HG150" i="91"/>
  <c r="HH150" i="91"/>
  <c r="HI150" i="91"/>
  <c r="HK150" i="91"/>
  <c r="HM150" i="91"/>
  <c r="HZ150" i="91" s="1"/>
  <c r="IB150" i="91"/>
  <c r="IM150" i="91"/>
  <c r="JP150" i="91"/>
  <c r="JQ150" i="91"/>
  <c r="LX150" i="91"/>
  <c r="HI151" i="91"/>
  <c r="HJ151" i="91"/>
  <c r="LX151" i="91"/>
  <c r="EM149" i="91"/>
  <c r="EN149" i="91"/>
  <c r="GG149" i="91"/>
  <c r="GO149" i="91"/>
  <c r="GW149" i="91"/>
  <c r="GX149" i="91"/>
  <c r="GY149" i="91"/>
  <c r="GZ149" i="91"/>
  <c r="HD151" i="91"/>
  <c r="HE151" i="91"/>
  <c r="HF151" i="91"/>
  <c r="HG151" i="91"/>
  <c r="HH151" i="91"/>
  <c r="HL151" i="91"/>
  <c r="IB151" i="91"/>
  <c r="IM151" i="91"/>
  <c r="JP151" i="91"/>
  <c r="JQ151" i="91"/>
  <c r="HI152" i="91"/>
  <c r="HJ152" i="91"/>
  <c r="KF152" i="91"/>
  <c r="HM152" i="91"/>
  <c r="HZ152" i="91" s="1"/>
  <c r="HD152" i="91"/>
  <c r="HE152" i="91"/>
  <c r="HF152" i="91"/>
  <c r="HG152" i="91"/>
  <c r="HH152" i="91"/>
  <c r="IB152" i="91"/>
  <c r="IM152" i="91"/>
  <c r="JP152" i="91"/>
  <c r="JQ152" i="91"/>
  <c r="HI153" i="91"/>
  <c r="HK153" i="91"/>
  <c r="K96" i="1" s="1"/>
  <c r="HL153" i="91"/>
  <c r="HD153" i="91"/>
  <c r="HE153" i="91"/>
  <c r="HF153" i="91"/>
  <c r="HG153" i="91"/>
  <c r="HH153" i="91"/>
  <c r="IB153" i="91"/>
  <c r="IM153" i="91"/>
  <c r="JP153" i="91"/>
  <c r="JQ153" i="91"/>
  <c r="LX154" i="91"/>
  <c r="HL154" i="91"/>
  <c r="HH154" i="91"/>
  <c r="KJ154" i="91"/>
  <c r="JP154" i="91"/>
  <c r="JQ154" i="91"/>
  <c r="JY154" i="91"/>
  <c r="JZ154" i="91"/>
  <c r="KH154" i="91"/>
  <c r="KI154" i="91"/>
  <c r="HD155" i="91"/>
  <c r="HE155" i="91"/>
  <c r="HF155" i="91"/>
  <c r="HG155" i="91"/>
  <c r="HH155" i="91"/>
  <c r="IB155" i="91"/>
  <c r="IM155" i="91"/>
  <c r="JP155" i="91"/>
  <c r="JQ155" i="91"/>
  <c r="HI156" i="91"/>
  <c r="KO156" i="91"/>
  <c r="HD156" i="91"/>
  <c r="HE156" i="91"/>
  <c r="HF156" i="91"/>
  <c r="HG156" i="91"/>
  <c r="IB156" i="91"/>
  <c r="IM156" i="91"/>
  <c r="JP156" i="91"/>
  <c r="JQ156" i="91"/>
  <c r="HD157" i="91"/>
  <c r="HE157" i="91"/>
  <c r="HF157" i="91"/>
  <c r="HG157" i="91"/>
  <c r="HH157" i="91"/>
  <c r="HI157" i="91"/>
  <c r="IB157" i="91"/>
  <c r="IM157" i="91"/>
  <c r="JP157" i="91"/>
  <c r="JQ157" i="91"/>
  <c r="HG158" i="91"/>
  <c r="EU158" i="91"/>
  <c r="EV158" i="91"/>
  <c r="EW158" i="91"/>
  <c r="EX158" i="91"/>
  <c r="EY158" i="91"/>
  <c r="EZ158" i="91"/>
  <c r="FA158" i="91"/>
  <c r="FB158" i="91"/>
  <c r="FC158" i="91"/>
  <c r="FD158" i="91"/>
  <c r="FE158" i="91"/>
  <c r="FF158" i="91"/>
  <c r="FG158" i="91"/>
  <c r="FH158" i="91"/>
  <c r="FI158" i="91"/>
  <c r="FJ158" i="91"/>
  <c r="FK158" i="91"/>
  <c r="FL158" i="91"/>
  <c r="FM158" i="91"/>
  <c r="FN158" i="91"/>
  <c r="FO158" i="91"/>
  <c r="FP158" i="91"/>
  <c r="FQ158" i="91"/>
  <c r="FR158" i="91"/>
  <c r="FS158" i="91"/>
  <c r="FT158" i="91"/>
  <c r="FU158" i="91"/>
  <c r="FV158" i="91"/>
  <c r="FW158" i="91"/>
  <c r="FX158" i="91"/>
  <c r="FY158" i="91"/>
  <c r="FZ158" i="91"/>
  <c r="GA158" i="91"/>
  <c r="GB158" i="91"/>
  <c r="GC158" i="91"/>
  <c r="GD158" i="91"/>
  <c r="HD158" i="91"/>
  <c r="HE158" i="91"/>
  <c r="HF158" i="91"/>
  <c r="HH158" i="91"/>
  <c r="IB158" i="91"/>
  <c r="IM158" i="91"/>
  <c r="JP158" i="91"/>
  <c r="JQ158" i="91"/>
  <c r="HI159" i="91"/>
  <c r="KO159" i="91"/>
  <c r="ES158" i="91"/>
  <c r="GL158" i="91"/>
  <c r="HD159" i="91"/>
  <c r="HE159" i="91"/>
  <c r="HF159" i="91"/>
  <c r="HG159" i="91"/>
  <c r="HH159" i="91"/>
  <c r="HL159" i="91"/>
  <c r="HM159" i="91"/>
  <c r="IB159" i="91"/>
  <c r="IM159" i="91"/>
  <c r="JP159" i="91"/>
  <c r="JQ159" i="91"/>
  <c r="HI160" i="91"/>
  <c r="HJ160" i="91"/>
  <c r="J102" i="1" s="1"/>
  <c r="HD160" i="91"/>
  <c r="HE160" i="91"/>
  <c r="HF160" i="91"/>
  <c r="HG160" i="91"/>
  <c r="HH160" i="91"/>
  <c r="IB160" i="91"/>
  <c r="IM160" i="91"/>
  <c r="JP160" i="91"/>
  <c r="JQ160" i="91"/>
  <c r="HD161" i="91"/>
  <c r="HE161" i="91"/>
  <c r="HF161" i="91"/>
  <c r="HG161" i="91"/>
  <c r="HH161" i="91"/>
  <c r="IB161" i="91"/>
  <c r="IM161" i="91"/>
  <c r="JP161" i="91"/>
  <c r="JQ161" i="91"/>
  <c r="HD162" i="91"/>
  <c r="HE162" i="91"/>
  <c r="HF162" i="91"/>
  <c r="HG162" i="91"/>
  <c r="IB162" i="91"/>
  <c r="IM162" i="91"/>
  <c r="JP162" i="91"/>
  <c r="JQ162" i="91"/>
  <c r="HJ163" i="91"/>
  <c r="HK163" i="91"/>
  <c r="K105" i="1" s="1"/>
  <c r="K172" i="1" s="1"/>
  <c r="HM163" i="91"/>
  <c r="HZ163" i="91" s="1"/>
  <c r="HD163" i="91"/>
  <c r="HE163" i="91"/>
  <c r="HF163" i="91"/>
  <c r="HG163" i="91"/>
  <c r="HH163" i="91"/>
  <c r="HL163" i="91"/>
  <c r="IB163" i="91"/>
  <c r="IM163" i="91"/>
  <c r="JP163" i="91"/>
  <c r="JQ163" i="91"/>
  <c r="MF164" i="91"/>
  <c r="HD164" i="91"/>
  <c r="HE164" i="91"/>
  <c r="HF164" i="91"/>
  <c r="HG164" i="91"/>
  <c r="HH164" i="91"/>
  <c r="HI164" i="91"/>
  <c r="IB164" i="91"/>
  <c r="IM164" i="91"/>
  <c r="JP164" i="91"/>
  <c r="JQ164" i="91"/>
  <c r="HJ165" i="91"/>
  <c r="II165" i="91" s="1"/>
  <c r="HK165" i="91"/>
  <c r="HL165" i="91"/>
  <c r="IA165" i="91" s="1"/>
  <c r="HM165" i="91"/>
  <c r="LX165" i="91"/>
  <c r="MF165" i="91"/>
  <c r="IB166" i="91"/>
  <c r="IM166" i="91"/>
  <c r="JP166" i="91"/>
  <c r="JQ166" i="91"/>
  <c r="HJ167" i="91"/>
  <c r="II167" i="91" s="1"/>
  <c r="HK167" i="91"/>
  <c r="HL167" i="91"/>
  <c r="IA167" i="91" s="1"/>
  <c r="HM167" i="91"/>
  <c r="LX167" i="91"/>
  <c r="MF167" i="91"/>
  <c r="HF168" i="91"/>
  <c r="IB168" i="91"/>
  <c r="IM168" i="91"/>
  <c r="JP168" i="91"/>
  <c r="JQ168" i="91"/>
  <c r="EU169" i="91"/>
  <c r="EV169" i="91"/>
  <c r="EW169" i="91"/>
  <c r="EX169" i="91"/>
  <c r="EY169" i="91"/>
  <c r="EZ169" i="91"/>
  <c r="FA169" i="91"/>
  <c r="FB169" i="91"/>
  <c r="FC169" i="91"/>
  <c r="FD169" i="91"/>
  <c r="FE169" i="91"/>
  <c r="FF169" i="91"/>
  <c r="FG169" i="91"/>
  <c r="FH169" i="91"/>
  <c r="FI169" i="91"/>
  <c r="FJ169" i="91"/>
  <c r="FK169" i="91"/>
  <c r="FL169" i="91"/>
  <c r="FM169" i="91"/>
  <c r="FN169" i="91"/>
  <c r="FO169" i="91"/>
  <c r="FP169" i="91"/>
  <c r="FQ169" i="91"/>
  <c r="FR169" i="91"/>
  <c r="FS169" i="91"/>
  <c r="FT169" i="91"/>
  <c r="FU169" i="91"/>
  <c r="FV169" i="91"/>
  <c r="FW169" i="91"/>
  <c r="FX169" i="91"/>
  <c r="FY169" i="91"/>
  <c r="FZ169" i="91"/>
  <c r="GA169" i="91"/>
  <c r="GB169" i="91"/>
  <c r="GC169" i="91"/>
  <c r="GD169" i="91"/>
  <c r="HD169" i="91"/>
  <c r="HE169" i="91"/>
  <c r="HF169" i="91"/>
  <c r="HH169" i="91"/>
  <c r="IB169" i="91"/>
  <c r="IM169" i="91"/>
  <c r="JP169" i="91"/>
  <c r="JQ169" i="91"/>
  <c r="HD170" i="91"/>
  <c r="HE170" i="91"/>
  <c r="HF170" i="91"/>
  <c r="HG170" i="91"/>
  <c r="HH170" i="91"/>
  <c r="HI170" i="91"/>
  <c r="HK170" i="91"/>
  <c r="HM170" i="91"/>
  <c r="HZ170" i="91" s="1"/>
  <c r="IB170" i="91"/>
  <c r="IM170" i="91"/>
  <c r="JP170" i="91"/>
  <c r="JQ170" i="91"/>
  <c r="LX170" i="91"/>
  <c r="HI171" i="91"/>
  <c r="EO169" i="91"/>
  <c r="GH169" i="91"/>
  <c r="GI169" i="91"/>
  <c r="GP169" i="91"/>
  <c r="GQ169" i="91"/>
  <c r="GX169" i="91"/>
  <c r="GY169" i="91"/>
  <c r="HD171" i="91"/>
  <c r="HE171" i="91"/>
  <c r="HF171" i="91"/>
  <c r="HG171" i="91"/>
  <c r="HH171" i="91"/>
  <c r="HJ171" i="91"/>
  <c r="HL171" i="91"/>
  <c r="IB171" i="91"/>
  <c r="IM171" i="91"/>
  <c r="KF171" i="91"/>
  <c r="JP171" i="91"/>
  <c r="JQ171" i="91"/>
  <c r="HI172" i="91"/>
  <c r="HJ172" i="91"/>
  <c r="HH172" i="91"/>
  <c r="KF172" i="91"/>
  <c r="JP172" i="91"/>
  <c r="JQ172" i="91"/>
  <c r="JY172" i="91"/>
  <c r="JZ172" i="91"/>
  <c r="KH172" i="91"/>
  <c r="KI172" i="91"/>
  <c r="HD173" i="91"/>
  <c r="HE173" i="91"/>
  <c r="HF173" i="91"/>
  <c r="HG173" i="91"/>
  <c r="HL173" i="91"/>
  <c r="IC173" i="91" s="1"/>
  <c r="IB173" i="91"/>
  <c r="IM173" i="91"/>
  <c r="JP173" i="91"/>
  <c r="JQ173" i="91"/>
  <c r="HK174" i="91"/>
  <c r="K111" i="1" s="1"/>
  <c r="HM174" i="91"/>
  <c r="HZ174" i="91" s="1"/>
  <c r="HD174" i="91"/>
  <c r="HE174" i="91"/>
  <c r="HF174" i="91"/>
  <c r="HG174" i="91"/>
  <c r="HH174" i="91"/>
  <c r="IB174" i="91"/>
  <c r="IM174" i="91"/>
  <c r="JP174" i="91"/>
  <c r="JQ174" i="91"/>
  <c r="HK175" i="91"/>
  <c r="K112" i="1" s="1"/>
  <c r="HL175" i="91"/>
  <c r="HD175" i="91"/>
  <c r="HE175" i="91"/>
  <c r="HF175" i="91"/>
  <c r="HG175" i="91"/>
  <c r="HH175" i="91"/>
  <c r="IB175" i="91"/>
  <c r="IM175" i="91"/>
  <c r="JP175" i="91"/>
  <c r="JQ175" i="91"/>
  <c r="HG176" i="91"/>
  <c r="HH176" i="91"/>
  <c r="EU176" i="91"/>
  <c r="EV176" i="91"/>
  <c r="EW176" i="91"/>
  <c r="EX176" i="91"/>
  <c r="EY176" i="91"/>
  <c r="EZ176" i="91"/>
  <c r="FA176" i="91"/>
  <c r="FB176" i="91"/>
  <c r="FC176" i="91"/>
  <c r="FD176" i="91"/>
  <c r="FE176" i="91"/>
  <c r="FF176" i="91"/>
  <c r="FG176" i="91"/>
  <c r="FH176" i="91"/>
  <c r="FI176" i="91"/>
  <c r="FJ176" i="91"/>
  <c r="FK176" i="91"/>
  <c r="FL176" i="91"/>
  <c r="FM176" i="91"/>
  <c r="FN176" i="91"/>
  <c r="FO176" i="91"/>
  <c r="FP176" i="91"/>
  <c r="FQ176" i="91"/>
  <c r="FR176" i="91"/>
  <c r="FS176" i="91"/>
  <c r="FT176" i="91"/>
  <c r="FU176" i="91"/>
  <c r="FV176" i="91"/>
  <c r="FW176" i="91"/>
  <c r="FX176" i="91"/>
  <c r="FY176" i="91"/>
  <c r="FZ176" i="91"/>
  <c r="GA176" i="91"/>
  <c r="GB176" i="91"/>
  <c r="GC176" i="91"/>
  <c r="GD176" i="91"/>
  <c r="HD176" i="91"/>
  <c r="HE176" i="91"/>
  <c r="HF176" i="91"/>
  <c r="IB176" i="91"/>
  <c r="IM176" i="91"/>
  <c r="JP176" i="91"/>
  <c r="JQ176" i="91"/>
  <c r="EN176" i="91"/>
  <c r="ES176" i="91"/>
  <c r="GG176" i="91"/>
  <c r="GO176" i="91"/>
  <c r="GV176" i="91"/>
  <c r="GW176" i="91"/>
  <c r="HD177" i="91"/>
  <c r="HE177" i="91"/>
  <c r="HF177" i="91"/>
  <c r="HG177" i="91"/>
  <c r="HH177" i="91"/>
  <c r="IB177" i="91"/>
  <c r="IM177" i="91"/>
  <c r="JP177" i="91"/>
  <c r="JQ177" i="91"/>
  <c r="HJ178" i="91"/>
  <c r="HK178" i="91"/>
  <c r="EM176" i="91"/>
  <c r="GN176" i="91"/>
  <c r="GZ176" i="91"/>
  <c r="HD178" i="91"/>
  <c r="HE178" i="91"/>
  <c r="HF178" i="91"/>
  <c r="HG178" i="91"/>
  <c r="HH178" i="91"/>
  <c r="HI178" i="91"/>
  <c r="IB178" i="91"/>
  <c r="IM178" i="91"/>
  <c r="JP178" i="91"/>
  <c r="JQ178" i="91"/>
  <c r="EU179" i="91"/>
  <c r="EV179" i="91"/>
  <c r="EW179" i="91"/>
  <c r="EX179" i="91"/>
  <c r="EY179" i="91"/>
  <c r="EZ179" i="91"/>
  <c r="FA179" i="91"/>
  <c r="FB179" i="91"/>
  <c r="FC179" i="91"/>
  <c r="FD179" i="91"/>
  <c r="FE179" i="91"/>
  <c r="FF179" i="91"/>
  <c r="FG179" i="91"/>
  <c r="FH179" i="91"/>
  <c r="FI179" i="91"/>
  <c r="FJ179" i="91"/>
  <c r="FK179" i="91"/>
  <c r="FL179" i="91"/>
  <c r="FM179" i="91"/>
  <c r="FN179" i="91"/>
  <c r="FO179" i="91"/>
  <c r="FP179" i="91"/>
  <c r="FQ179" i="91"/>
  <c r="FR179" i="91"/>
  <c r="FS179" i="91"/>
  <c r="FT179" i="91"/>
  <c r="FU179" i="91"/>
  <c r="FV179" i="91"/>
  <c r="FW179" i="91"/>
  <c r="FX179" i="91"/>
  <c r="FY179" i="91"/>
  <c r="FZ179" i="91"/>
  <c r="GA179" i="91"/>
  <c r="GB179" i="91"/>
  <c r="GC179" i="91"/>
  <c r="GD179" i="91"/>
  <c r="HD179" i="91"/>
  <c r="HE179" i="91"/>
  <c r="HF179" i="91"/>
  <c r="IB179" i="91"/>
  <c r="IM179" i="91"/>
  <c r="JP179" i="91"/>
  <c r="JQ179" i="91"/>
  <c r="EI179" i="91"/>
  <c r="EO179" i="91"/>
  <c r="EQ179" i="91"/>
  <c r="GH179" i="91"/>
  <c r="GJ179" i="91"/>
  <c r="GP179" i="91"/>
  <c r="GR179" i="91"/>
  <c r="GW179" i="91"/>
  <c r="GX179" i="91"/>
  <c r="GZ179" i="91"/>
  <c r="HD180" i="91"/>
  <c r="HE180" i="91"/>
  <c r="HF180" i="91"/>
  <c r="HG180" i="91"/>
  <c r="HH180" i="91"/>
  <c r="IB180" i="91"/>
  <c r="IM180" i="91"/>
  <c r="JP180" i="91"/>
  <c r="JQ180" i="91"/>
  <c r="EH179" i="91"/>
  <c r="EP179" i="91"/>
  <c r="GI179" i="91"/>
  <c r="GY179" i="91"/>
  <c r="HD181" i="91"/>
  <c r="HE181" i="91"/>
  <c r="HF181" i="91"/>
  <c r="HG181" i="91"/>
  <c r="HH181" i="91"/>
  <c r="HK181" i="91"/>
  <c r="IB181" i="91"/>
  <c r="IM181" i="91"/>
  <c r="JP181" i="91"/>
  <c r="JQ181" i="91"/>
  <c r="LX181" i="91"/>
  <c r="HD182" i="91"/>
  <c r="HE182" i="91"/>
  <c r="HF182" i="91"/>
  <c r="HG182" i="91"/>
  <c r="HH182" i="91"/>
  <c r="HI182" i="91"/>
  <c r="IB182" i="91"/>
  <c r="IM182" i="91"/>
  <c r="JP182" i="91"/>
  <c r="JQ182" i="91"/>
  <c r="EU183" i="91"/>
  <c r="EV183" i="91"/>
  <c r="EW183" i="91"/>
  <c r="EX183" i="91"/>
  <c r="EY183" i="91"/>
  <c r="EZ183" i="91"/>
  <c r="FA183" i="91"/>
  <c r="FB183" i="91"/>
  <c r="FC183" i="91"/>
  <c r="FD183" i="91"/>
  <c r="FE183" i="91"/>
  <c r="FF183" i="91"/>
  <c r="FG183" i="91"/>
  <c r="FH183" i="91"/>
  <c r="FI183" i="91"/>
  <c r="FJ183" i="91"/>
  <c r="FK183" i="91"/>
  <c r="FL183" i="91"/>
  <c r="FM183" i="91"/>
  <c r="FN183" i="91"/>
  <c r="FO183" i="91"/>
  <c r="FP183" i="91"/>
  <c r="FQ183" i="91"/>
  <c r="FR183" i="91"/>
  <c r="FS183" i="91"/>
  <c r="FT183" i="91"/>
  <c r="FU183" i="91"/>
  <c r="FV183" i="91"/>
  <c r="FW183" i="91"/>
  <c r="FX183" i="91"/>
  <c r="FY183" i="91"/>
  <c r="FZ183" i="91"/>
  <c r="GA183" i="91"/>
  <c r="GB183" i="91"/>
  <c r="GC183" i="91"/>
  <c r="GD183" i="91"/>
  <c r="HD183" i="91"/>
  <c r="HE183" i="91"/>
  <c r="HF183" i="91"/>
  <c r="IB183" i="91"/>
  <c r="IM183" i="91"/>
  <c r="JP183" i="91"/>
  <c r="JQ183" i="91"/>
  <c r="HK184" i="91"/>
  <c r="JP184" i="91"/>
  <c r="JQ184" i="91"/>
  <c r="JY184" i="91"/>
  <c r="JZ184" i="91"/>
  <c r="KH184" i="91"/>
  <c r="KI184" i="91"/>
  <c r="HH185" i="91"/>
  <c r="JP185" i="91"/>
  <c r="JQ185" i="91"/>
  <c r="JY185" i="91"/>
  <c r="JZ185" i="91"/>
  <c r="KH185" i="91"/>
  <c r="KI185" i="91"/>
  <c r="HL186" i="91"/>
  <c r="IC186" i="91" s="1"/>
  <c r="HH186" i="91"/>
  <c r="HM186" i="91"/>
  <c r="KA186" i="91"/>
  <c r="JP186" i="91"/>
  <c r="JQ186" i="91"/>
  <c r="JY186" i="91"/>
  <c r="JZ186" i="91"/>
  <c r="KH186" i="91"/>
  <c r="KI186" i="91"/>
  <c r="HJ187" i="91"/>
  <c r="HM187" i="91"/>
  <c r="HZ187" i="91" s="1"/>
  <c r="HH187" i="91"/>
  <c r="HI187" i="91"/>
  <c r="HK187" i="91"/>
  <c r="JP187" i="91"/>
  <c r="JQ187" i="91"/>
  <c r="JY187" i="91"/>
  <c r="JZ187" i="91"/>
  <c r="KH187" i="91"/>
  <c r="KI187" i="91"/>
  <c r="HI188" i="91"/>
  <c r="HH188" i="91"/>
  <c r="JP188" i="91"/>
  <c r="JQ188" i="91"/>
  <c r="JY188" i="91"/>
  <c r="JZ188" i="91"/>
  <c r="KH188" i="91"/>
  <c r="KI188" i="91"/>
  <c r="HJ189" i="91"/>
  <c r="II189" i="91" s="1"/>
  <c r="HK189" i="91"/>
  <c r="HL189" i="91"/>
  <c r="HM189" i="91"/>
  <c r="LX189" i="91"/>
  <c r="MF189" i="91"/>
  <c r="IB190" i="91"/>
  <c r="IM190" i="91"/>
  <c r="JP190" i="91"/>
  <c r="JQ190" i="91"/>
  <c r="HD191" i="91"/>
  <c r="HE191" i="91"/>
  <c r="HF191" i="91"/>
  <c r="HG191" i="91"/>
  <c r="HH191" i="91"/>
  <c r="HK191" i="91"/>
  <c r="HL191" i="91"/>
  <c r="IC191" i="91" s="1"/>
  <c r="IB191" i="91"/>
  <c r="IM191" i="91"/>
  <c r="KF191" i="91"/>
  <c r="JP191" i="91"/>
  <c r="JQ191" i="91"/>
  <c r="LX191" i="91"/>
  <c r="HI192" i="91"/>
  <c r="HD192" i="91"/>
  <c r="HE192" i="91"/>
  <c r="HF192" i="91"/>
  <c r="HG192" i="91"/>
  <c r="HH192" i="91"/>
  <c r="HK192" i="91"/>
  <c r="K120" i="1" s="1"/>
  <c r="IB192" i="91"/>
  <c r="IM192" i="91"/>
  <c r="JP192" i="91"/>
  <c r="JQ192" i="91"/>
  <c r="HG193" i="91"/>
  <c r="ER193" i="91"/>
  <c r="EU193" i="91"/>
  <c r="EV193" i="91"/>
  <c r="EW193" i="91"/>
  <c r="EX193" i="91"/>
  <c r="EY193" i="91"/>
  <c r="EZ193" i="91"/>
  <c r="FA193" i="91"/>
  <c r="FB193" i="91"/>
  <c r="FC193" i="91"/>
  <c r="FD193" i="91"/>
  <c r="FE193" i="91"/>
  <c r="FF193" i="91"/>
  <c r="FG193" i="91"/>
  <c r="FH193" i="91"/>
  <c r="FI193" i="91"/>
  <c r="FJ193" i="91"/>
  <c r="FK193" i="91"/>
  <c r="FL193" i="91"/>
  <c r="FM193" i="91"/>
  <c r="FN193" i="91"/>
  <c r="FO193" i="91"/>
  <c r="FP193" i="91"/>
  <c r="FQ193" i="91"/>
  <c r="FR193" i="91"/>
  <c r="FS193" i="91"/>
  <c r="FT193" i="91"/>
  <c r="FU193" i="91"/>
  <c r="FV193" i="91"/>
  <c r="FW193" i="91"/>
  <c r="FX193" i="91"/>
  <c r="FY193" i="91"/>
  <c r="FZ193" i="91"/>
  <c r="GA193" i="91"/>
  <c r="GB193" i="91"/>
  <c r="GC193" i="91"/>
  <c r="GD193" i="91"/>
  <c r="HD193" i="91"/>
  <c r="HE193" i="91"/>
  <c r="HF193" i="91"/>
  <c r="HH193" i="91"/>
  <c r="IB193" i="91"/>
  <c r="IM193" i="91"/>
  <c r="JP193" i="91"/>
  <c r="JQ193" i="91"/>
  <c r="HJ194" i="91"/>
  <c r="HK194" i="91"/>
  <c r="HD194" i="91"/>
  <c r="HE194" i="91"/>
  <c r="HF194" i="91"/>
  <c r="HG194" i="91"/>
  <c r="HH194" i="91"/>
  <c r="IB194" i="91"/>
  <c r="IM194" i="91"/>
  <c r="JP194" i="91"/>
  <c r="JQ194" i="91"/>
  <c r="HI195" i="91"/>
  <c r="MF195" i="91"/>
  <c r="HM195" i="91"/>
  <c r="HZ195" i="91" s="1"/>
  <c r="EI193" i="91"/>
  <c r="EN193" i="91"/>
  <c r="GG193" i="91"/>
  <c r="GJ193" i="91"/>
  <c r="GO193" i="91"/>
  <c r="GW193" i="91"/>
  <c r="GZ193" i="91"/>
  <c r="HD195" i="91"/>
  <c r="HE195" i="91"/>
  <c r="HF195" i="91"/>
  <c r="HG195" i="91"/>
  <c r="HH195" i="91"/>
  <c r="IB195" i="91"/>
  <c r="IM195" i="91"/>
  <c r="JP195" i="91"/>
  <c r="JQ195" i="91"/>
  <c r="EU196" i="91"/>
  <c r="EV196" i="91"/>
  <c r="EW196" i="91"/>
  <c r="EX196" i="91"/>
  <c r="EY196" i="91"/>
  <c r="EZ196" i="91"/>
  <c r="FA196" i="91"/>
  <c r="FB196" i="91"/>
  <c r="FC196" i="91"/>
  <c r="FD196" i="91"/>
  <c r="FE196" i="91"/>
  <c r="FF196" i="91"/>
  <c r="FG196" i="91"/>
  <c r="FH196" i="91"/>
  <c r="FI196" i="91"/>
  <c r="FJ196" i="91"/>
  <c r="FK196" i="91"/>
  <c r="FL196" i="91"/>
  <c r="FM196" i="91"/>
  <c r="FN196" i="91"/>
  <c r="FO196" i="91"/>
  <c r="FP196" i="91"/>
  <c r="FQ196" i="91"/>
  <c r="FR196" i="91"/>
  <c r="FS196" i="91"/>
  <c r="FT196" i="91"/>
  <c r="FU196" i="91"/>
  <c r="FV196" i="91"/>
  <c r="FW196" i="91"/>
  <c r="FX196" i="91"/>
  <c r="FY196" i="91"/>
  <c r="FZ196" i="91"/>
  <c r="GA196" i="91"/>
  <c r="GB196" i="91"/>
  <c r="GC196" i="91"/>
  <c r="GD196" i="91"/>
  <c r="HD196" i="91"/>
  <c r="HE196" i="91"/>
  <c r="HF196" i="91"/>
  <c r="IB196" i="91"/>
  <c r="IM196" i="91"/>
  <c r="JP196" i="91"/>
  <c r="JQ196" i="91"/>
  <c r="HH197" i="91"/>
  <c r="HM197" i="91"/>
  <c r="HZ197" i="91" s="1"/>
  <c r="HD197" i="91"/>
  <c r="HE197" i="91"/>
  <c r="HF197" i="91"/>
  <c r="HG197" i="91"/>
  <c r="IB197" i="91"/>
  <c r="IM197" i="91"/>
  <c r="JP197" i="91"/>
  <c r="JQ197" i="91"/>
  <c r="HK198" i="91"/>
  <c r="GN196" i="91"/>
  <c r="HD198" i="91"/>
  <c r="HE198" i="91"/>
  <c r="HF198" i="91"/>
  <c r="HG198" i="91"/>
  <c r="HL198" i="91"/>
  <c r="IA198" i="91" s="1"/>
  <c r="IB198" i="91"/>
  <c r="IM198" i="91"/>
  <c r="JP198" i="91"/>
  <c r="JQ198" i="91"/>
  <c r="HI199" i="91"/>
  <c r="MF199" i="91"/>
  <c r="EN196" i="91"/>
  <c r="ER196" i="91"/>
  <c r="GO196" i="91"/>
  <c r="GS196" i="91"/>
  <c r="HA196" i="91"/>
  <c r="HD199" i="91"/>
  <c r="HE199" i="91"/>
  <c r="HF199" i="91"/>
  <c r="HG199" i="91"/>
  <c r="HH199" i="91"/>
  <c r="HM199" i="91"/>
  <c r="HZ199" i="91" s="1"/>
  <c r="IB199" i="91"/>
  <c r="IM199" i="91"/>
  <c r="JP199" i="91"/>
  <c r="JQ199" i="91"/>
  <c r="HD200" i="91"/>
  <c r="HE200" i="91"/>
  <c r="HF200" i="91"/>
  <c r="HG200" i="91"/>
  <c r="HH200" i="91"/>
  <c r="HI200" i="91"/>
  <c r="HJ200" i="91"/>
  <c r="HK200" i="91"/>
  <c r="K123" i="1" s="1"/>
  <c r="HL200" i="91"/>
  <c r="HM200" i="91"/>
  <c r="HZ200" i="91" s="1"/>
  <c r="IB200" i="91"/>
  <c r="IM200" i="91"/>
  <c r="JP200" i="91"/>
  <c r="JQ200" i="91"/>
  <c r="LX200" i="91"/>
  <c r="HJ201" i="91"/>
  <c r="II201" i="91" s="1"/>
  <c r="HK201" i="91"/>
  <c r="HL201" i="91"/>
  <c r="IC201" i="91" s="1"/>
  <c r="HM201" i="91"/>
  <c r="LX201" i="91"/>
  <c r="MF201" i="91"/>
  <c r="IB202" i="91"/>
  <c r="IM202" i="91"/>
  <c r="JP202" i="91"/>
  <c r="JQ202" i="91"/>
  <c r="HJ203" i="91"/>
  <c r="II203" i="91" s="1"/>
  <c r="HK203" i="91"/>
  <c r="HL203" i="91"/>
  <c r="IC203" i="91" s="1"/>
  <c r="HM203" i="91"/>
  <c r="LX203" i="91"/>
  <c r="MF203" i="91"/>
  <c r="HD204" i="91"/>
  <c r="IB204" i="91"/>
  <c r="IM204" i="91"/>
  <c r="JP204" i="91"/>
  <c r="JQ204" i="91"/>
  <c r="HD205" i="91"/>
  <c r="HE205" i="91"/>
  <c r="HF205" i="91"/>
  <c r="HG205" i="91"/>
  <c r="HH205" i="91"/>
  <c r="HI205" i="91"/>
  <c r="IB205" i="91"/>
  <c r="IM205" i="91"/>
  <c r="JP205" i="91"/>
  <c r="JQ205" i="91"/>
  <c r="LX205" i="91"/>
  <c r="HD206" i="91"/>
  <c r="HE206" i="91"/>
  <c r="HF206" i="91"/>
  <c r="HG206" i="91"/>
  <c r="HH206" i="91"/>
  <c r="HI206" i="91"/>
  <c r="HM206" i="91"/>
  <c r="HZ206" i="91" s="1"/>
  <c r="IB206" i="91"/>
  <c r="IM206" i="91"/>
  <c r="JP206" i="91"/>
  <c r="JQ206" i="91"/>
  <c r="HM207" i="91"/>
  <c r="HZ207" i="91" s="1"/>
  <c r="HD207" i="91"/>
  <c r="HE207" i="91"/>
  <c r="HF207" i="91"/>
  <c r="HG207" i="91"/>
  <c r="HH207" i="91"/>
  <c r="HI207" i="91"/>
  <c r="HK207" i="91"/>
  <c r="K129" i="1" s="1"/>
  <c r="IB207" i="91"/>
  <c r="IM207" i="91"/>
  <c r="JP207" i="91"/>
  <c r="JQ207" i="91"/>
  <c r="EU208" i="91"/>
  <c r="EU204" i="91" s="1"/>
  <c r="EV208" i="91"/>
  <c r="EV204" i="91" s="1"/>
  <c r="EW208" i="91"/>
  <c r="EW204" i="91" s="1"/>
  <c r="EX208" i="91"/>
  <c r="EX204" i="91" s="1"/>
  <c r="EY208" i="91"/>
  <c r="EY204" i="91" s="1"/>
  <c r="EZ208" i="91"/>
  <c r="EZ204" i="91" s="1"/>
  <c r="FA208" i="91"/>
  <c r="FA204" i="91" s="1"/>
  <c r="FB208" i="91"/>
  <c r="FB204" i="91" s="1"/>
  <c r="FC208" i="91"/>
  <c r="FC204" i="91" s="1"/>
  <c r="FD208" i="91"/>
  <c r="FD204" i="91" s="1"/>
  <c r="FE208" i="91"/>
  <c r="FE204" i="91" s="1"/>
  <c r="FF208" i="91"/>
  <c r="FF204" i="91" s="1"/>
  <c r="FG208" i="91"/>
  <c r="FG204" i="91" s="1"/>
  <c r="FH208" i="91"/>
  <c r="FH204" i="91" s="1"/>
  <c r="FI208" i="91"/>
  <c r="FI204" i="91" s="1"/>
  <c r="FJ208" i="91"/>
  <c r="FJ204" i="91" s="1"/>
  <c r="FK208" i="91"/>
  <c r="FK204" i="91" s="1"/>
  <c r="FL208" i="91"/>
  <c r="FL204" i="91" s="1"/>
  <c r="FM208" i="91"/>
  <c r="FM204" i="91" s="1"/>
  <c r="FN208" i="91"/>
  <c r="FN204" i="91" s="1"/>
  <c r="FO208" i="91"/>
  <c r="FO204" i="91" s="1"/>
  <c r="FP208" i="91"/>
  <c r="FP204" i="91" s="1"/>
  <c r="FQ208" i="91"/>
  <c r="FQ204" i="91" s="1"/>
  <c r="FR208" i="91"/>
  <c r="FR204" i="91" s="1"/>
  <c r="FS208" i="91"/>
  <c r="FS204" i="91" s="1"/>
  <c r="FT208" i="91"/>
  <c r="FT204" i="91" s="1"/>
  <c r="FU208" i="91"/>
  <c r="FU204" i="91" s="1"/>
  <c r="FV208" i="91"/>
  <c r="FV204" i="91" s="1"/>
  <c r="FW208" i="91"/>
  <c r="FW204" i="91" s="1"/>
  <c r="FX208" i="91"/>
  <c r="FX204" i="91" s="1"/>
  <c r="FY208" i="91"/>
  <c r="FY204" i="91" s="1"/>
  <c r="FZ208" i="91"/>
  <c r="FZ204" i="91" s="1"/>
  <c r="GA208" i="91"/>
  <c r="GA204" i="91" s="1"/>
  <c r="GB208" i="91"/>
  <c r="GB204" i="91" s="1"/>
  <c r="GC208" i="91"/>
  <c r="GC204" i="91" s="1"/>
  <c r="GD208" i="91"/>
  <c r="GD204" i="91" s="1"/>
  <c r="HD208" i="91"/>
  <c r="HE208" i="91"/>
  <c r="HF208" i="91"/>
  <c r="IB208" i="91"/>
  <c r="IM208" i="91"/>
  <c r="JP208" i="91"/>
  <c r="JQ208" i="91"/>
  <c r="EK208" i="91"/>
  <c r="ES208" i="91"/>
  <c r="GL208" i="91"/>
  <c r="GT208" i="91"/>
  <c r="HB208" i="91"/>
  <c r="HD209" i="91"/>
  <c r="HE209" i="91"/>
  <c r="HF209" i="91"/>
  <c r="HG209" i="91"/>
  <c r="HH209" i="91"/>
  <c r="IB209" i="91"/>
  <c r="IM209" i="91"/>
  <c r="JP209" i="91"/>
  <c r="JQ209" i="91"/>
  <c r="HM210" i="91"/>
  <c r="HZ210" i="91" s="1"/>
  <c r="GO208" i="91"/>
  <c r="HD210" i="91"/>
  <c r="HE210" i="91"/>
  <c r="HF210" i="91"/>
  <c r="HG210" i="91"/>
  <c r="HH210" i="91"/>
  <c r="HJ210" i="91"/>
  <c r="HL210" i="91"/>
  <c r="IC210" i="91" s="1"/>
  <c r="IB210" i="91"/>
  <c r="IM210" i="91"/>
  <c r="JP210" i="91"/>
  <c r="JQ210" i="91"/>
  <c r="HJ211" i="91"/>
  <c r="HD211" i="91"/>
  <c r="HE211" i="91"/>
  <c r="HF211" i="91"/>
  <c r="HG211" i="91"/>
  <c r="HH211" i="91"/>
  <c r="HL211" i="91"/>
  <c r="IN211" i="91" s="1"/>
  <c r="IB211" i="91"/>
  <c r="IM211" i="91"/>
  <c r="JP211" i="91"/>
  <c r="JQ211" i="91"/>
  <c r="HK212" i="91"/>
  <c r="K128" i="1" s="1"/>
  <c r="HD212" i="91"/>
  <c r="HE212" i="91"/>
  <c r="HF212" i="91"/>
  <c r="HG212" i="91"/>
  <c r="HH212" i="91"/>
  <c r="IB212" i="91"/>
  <c r="IM212" i="91"/>
  <c r="JP212" i="91"/>
  <c r="JQ212" i="91"/>
  <c r="IB213" i="91"/>
  <c r="IM213" i="91"/>
  <c r="JP213" i="91"/>
  <c r="JQ213" i="91"/>
  <c r="HD214" i="91"/>
  <c r="HE214" i="91"/>
  <c r="HF214" i="91"/>
  <c r="HG214" i="91"/>
  <c r="HH214" i="91"/>
  <c r="HM214" i="91"/>
  <c r="HZ214" i="91" s="1"/>
  <c r="IB214" i="91"/>
  <c r="IM214" i="91"/>
  <c r="JP214" i="91"/>
  <c r="JQ214" i="91"/>
  <c r="HJ215" i="91"/>
  <c r="HK215" i="91"/>
  <c r="K133" i="1" s="1"/>
  <c r="KF215" i="91"/>
  <c r="HD215" i="91"/>
  <c r="HE215" i="91"/>
  <c r="HF215" i="91"/>
  <c r="HG215" i="91"/>
  <c r="HH215" i="91"/>
  <c r="HL215" i="91"/>
  <c r="IA215" i="91" s="1"/>
  <c r="IB215" i="91"/>
  <c r="IM215" i="91"/>
  <c r="JP215" i="91"/>
  <c r="JQ215" i="91"/>
  <c r="HH216" i="91"/>
  <c r="HI216" i="91"/>
  <c r="HJ216" i="91"/>
  <c r="HK216" i="91"/>
  <c r="HL216" i="91"/>
  <c r="IC216" i="91" s="1"/>
  <c r="HM216" i="91"/>
  <c r="KJ216" i="91"/>
  <c r="KO216" i="91"/>
  <c r="JP216" i="91"/>
  <c r="JQ216" i="91"/>
  <c r="JY216" i="91"/>
  <c r="JZ216" i="91"/>
  <c r="KH216" i="91"/>
  <c r="KI216" i="91"/>
  <c r="LX216" i="91"/>
  <c r="HJ217" i="91"/>
  <c r="II217" i="91" s="1"/>
  <c r="HK217" i="91"/>
  <c r="HL217" i="91"/>
  <c r="HM217" i="91"/>
  <c r="LX217" i="91"/>
  <c r="MF217" i="91"/>
  <c r="IB218" i="91"/>
  <c r="IM218" i="91"/>
  <c r="JP218" i="91"/>
  <c r="JQ218" i="91"/>
  <c r="MF219" i="91"/>
  <c r="LN220" i="91"/>
  <c r="LO220" i="91"/>
  <c r="LP220" i="91"/>
  <c r="LB245" i="91"/>
  <c r="LC245" i="91"/>
  <c r="LD245" i="91"/>
  <c r="LE245" i="91"/>
  <c r="LF245" i="91"/>
  <c r="LM245" i="91"/>
  <c r="LN245" i="91"/>
  <c r="LO245" i="91"/>
  <c r="LB246" i="91"/>
  <c r="LC246" i="91"/>
  <c r="LD246" i="91"/>
  <c r="LE246" i="91"/>
  <c r="LF246" i="91"/>
  <c r="LM246" i="91"/>
  <c r="LN246" i="91"/>
  <c r="LO246" i="91"/>
  <c r="LB247" i="91"/>
  <c r="LC247" i="91"/>
  <c r="LD247" i="91"/>
  <c r="LE247" i="91"/>
  <c r="LF247" i="91"/>
  <c r="LM247" i="91"/>
  <c r="LN247" i="91"/>
  <c r="LO247" i="91"/>
  <c r="LB249" i="91"/>
  <c r="LC249" i="91"/>
  <c r="LD249" i="91"/>
  <c r="LE249" i="91"/>
  <c r="LF249" i="91"/>
  <c r="LM249" i="91"/>
  <c r="LN249" i="91"/>
  <c r="LO249" i="91"/>
  <c r="LB253" i="91"/>
  <c r="LC253" i="91"/>
  <c r="LD253" i="91"/>
  <c r="LE253" i="91"/>
  <c r="LF253" i="91"/>
  <c r="LM253" i="91"/>
  <c r="LN253" i="91"/>
  <c r="LO253" i="91"/>
  <c r="LB255" i="91"/>
  <c r="LC255" i="91"/>
  <c r="LD255" i="91"/>
  <c r="LE255" i="91"/>
  <c r="LF255" i="91"/>
  <c r="LM255" i="91"/>
  <c r="LN255" i="91"/>
  <c r="LO255" i="91"/>
  <c r="LB258" i="91"/>
  <c r="LC258" i="91"/>
  <c r="LD258" i="91"/>
  <c r="LE258" i="91"/>
  <c r="LF258" i="91"/>
  <c r="LM258" i="91"/>
  <c r="LN258" i="91"/>
  <c r="LO258" i="91"/>
  <c r="LB259" i="91"/>
  <c r="LC259" i="91"/>
  <c r="LD259" i="91"/>
  <c r="LE259" i="91"/>
  <c r="LF259" i="91"/>
  <c r="LM259" i="91"/>
  <c r="LN259" i="91"/>
  <c r="LO259" i="91"/>
  <c r="LB260" i="91"/>
  <c r="LC260" i="91"/>
  <c r="LD260" i="91"/>
  <c r="LE260" i="91"/>
  <c r="LF260" i="91"/>
  <c r="LM260" i="91"/>
  <c r="LN260" i="91"/>
  <c r="LO260" i="91"/>
  <c r="LB261" i="91"/>
  <c r="LC261" i="91"/>
  <c r="LD261" i="91"/>
  <c r="LE261" i="91"/>
  <c r="LF261" i="91"/>
  <c r="LM261" i="91"/>
  <c r="LN261" i="91"/>
  <c r="LO261" i="91"/>
  <c r="LB262" i="91"/>
  <c r="LC262" i="91"/>
  <c r="LD262" i="91"/>
  <c r="LE262" i="91"/>
  <c r="LF262" i="91"/>
  <c r="LM262" i="91"/>
  <c r="LN262" i="91"/>
  <c r="LO262" i="91"/>
  <c r="LB263" i="91"/>
  <c r="LC263" i="91"/>
  <c r="LD263" i="91"/>
  <c r="LE263" i="91"/>
  <c r="LF263" i="91"/>
  <c r="LM263" i="91"/>
  <c r="LN263" i="91"/>
  <c r="LO263" i="91"/>
  <c r="LB264" i="91"/>
  <c r="LC264" i="91"/>
  <c r="LD264" i="91"/>
  <c r="LE264" i="91"/>
  <c r="LF264" i="91"/>
  <c r="LM264" i="91"/>
  <c r="LN264" i="91"/>
  <c r="LO264" i="91"/>
  <c r="LB265" i="91"/>
  <c r="LC265" i="91"/>
  <c r="LD265" i="91"/>
  <c r="LE265" i="91"/>
  <c r="LF265" i="91"/>
  <c r="LM265" i="91"/>
  <c r="LN265" i="91"/>
  <c r="LO265" i="91"/>
  <c r="LB266" i="91"/>
  <c r="LC266" i="91"/>
  <c r="LD266" i="91"/>
  <c r="LE266" i="91"/>
  <c r="LF266" i="91"/>
  <c r="LM266" i="91"/>
  <c r="LN266" i="91"/>
  <c r="LO266" i="91"/>
  <c r="LB267" i="91"/>
  <c r="LC267" i="91"/>
  <c r="LD267" i="91"/>
  <c r="LE267" i="91"/>
  <c r="LF267" i="91"/>
  <c r="LM267" i="91"/>
  <c r="LN267" i="91"/>
  <c r="LO267" i="91"/>
  <c r="LB268" i="91"/>
  <c r="LC268" i="91"/>
  <c r="LD268" i="91"/>
  <c r="LE268" i="91"/>
  <c r="LF268" i="91"/>
  <c r="LM268" i="91"/>
  <c r="LN268" i="91"/>
  <c r="LO268" i="91"/>
  <c r="LB269" i="91"/>
  <c r="LC269" i="91"/>
  <c r="LD269" i="91"/>
  <c r="LE269" i="91"/>
  <c r="LF269" i="91"/>
  <c r="LM269" i="91"/>
  <c r="LN269" i="91"/>
  <c r="LO269" i="91"/>
  <c r="LB270" i="91"/>
  <c r="LC270" i="91"/>
  <c r="LD270" i="91"/>
  <c r="LE270" i="91"/>
  <c r="LF270" i="91"/>
  <c r="LM270" i="91"/>
  <c r="LN270" i="91"/>
  <c r="LO270" i="91"/>
  <c r="LB271" i="91"/>
  <c r="LC271" i="91"/>
  <c r="LD271" i="91"/>
  <c r="LE271" i="91"/>
  <c r="LF271" i="91"/>
  <c r="LM271" i="91"/>
  <c r="LN271" i="91"/>
  <c r="LO271" i="91"/>
  <c r="LB272" i="91"/>
  <c r="LC272" i="91"/>
  <c r="LD272" i="91"/>
  <c r="LE272" i="91"/>
  <c r="LF272" i="91"/>
  <c r="LM272" i="91"/>
  <c r="LN272" i="91"/>
  <c r="LO272" i="91"/>
  <c r="ES277" i="91"/>
  <c r="HH277" i="91"/>
  <c r="HI277" i="91"/>
  <c r="HP277" i="91"/>
  <c r="JM277" i="91"/>
  <c r="JN277" i="91"/>
  <c r="LN277" i="91"/>
  <c r="LO277" i="91"/>
  <c r="ES278" i="91"/>
  <c r="HH278" i="91"/>
  <c r="HI278" i="91"/>
  <c r="HP278" i="91"/>
  <c r="JM278" i="91"/>
  <c r="JN278" i="91"/>
  <c r="LN278" i="91"/>
  <c r="LO278" i="91"/>
  <c r="ES279" i="91"/>
  <c r="HH279" i="91"/>
  <c r="HI279" i="91"/>
  <c r="HP279" i="91"/>
  <c r="JM279" i="91"/>
  <c r="JN279" i="91"/>
  <c r="LN279" i="91"/>
  <c r="LO279" i="91"/>
  <c r="ES280" i="91"/>
  <c r="HH280" i="91"/>
  <c r="HI280" i="91"/>
  <c r="HP280" i="91"/>
  <c r="JM280" i="91"/>
  <c r="JN280" i="91"/>
  <c r="LN280" i="91"/>
  <c r="LO280" i="91"/>
  <c r="ES283" i="91"/>
  <c r="HH283" i="91"/>
  <c r="HI283" i="91"/>
  <c r="HP283" i="91"/>
  <c r="JM283" i="91"/>
  <c r="JN283" i="91"/>
  <c r="LN283" i="91"/>
  <c r="LO283" i="91"/>
  <c r="CP15" i="88"/>
  <c r="CP14" i="88" s="1"/>
  <c r="FL39" i="91" l="1"/>
  <c r="FL40" i="91" s="1"/>
  <c r="ME27" i="91"/>
  <c r="LS22" i="91"/>
  <c r="JL109" i="91"/>
  <c r="JK109" i="91"/>
  <c r="HY159" i="91"/>
  <c r="HZ159" i="91"/>
  <c r="HY57" i="91"/>
  <c r="HZ57" i="91"/>
  <c r="HY37" i="91"/>
  <c r="HZ37" i="91"/>
  <c r="HY216" i="91"/>
  <c r="HZ216" i="91"/>
  <c r="HY71" i="91"/>
  <c r="HZ71" i="91"/>
  <c r="HY36" i="91"/>
  <c r="HZ36" i="91"/>
  <c r="HY186" i="91"/>
  <c r="HZ186" i="91"/>
  <c r="HY142" i="91"/>
  <c r="HZ142" i="91"/>
  <c r="HY132" i="91"/>
  <c r="HZ132" i="91"/>
  <c r="HY144" i="91"/>
  <c r="HZ144" i="91"/>
  <c r="HY136" i="91"/>
  <c r="HZ136" i="91"/>
  <c r="M86" i="1"/>
  <c r="M105" i="1"/>
  <c r="HY163" i="91"/>
  <c r="M79" i="1"/>
  <c r="HY123" i="91"/>
  <c r="M127" i="1"/>
  <c r="M95" i="1"/>
  <c r="HY128" i="91"/>
  <c r="M129" i="1"/>
  <c r="HY210" i="91"/>
  <c r="M111" i="1"/>
  <c r="M123" i="1"/>
  <c r="HY200" i="91"/>
  <c r="M131" i="1"/>
  <c r="HY120" i="91"/>
  <c r="GA39" i="91"/>
  <c r="FS39" i="91"/>
  <c r="GQ40" i="91" s="1"/>
  <c r="HS24" i="91"/>
  <c r="GB60" i="91"/>
  <c r="GB223" i="91" s="1"/>
  <c r="GB230" i="91" s="1"/>
  <c r="GB235" i="91" s="1"/>
  <c r="GB238" i="91" s="1"/>
  <c r="GB240" i="91" s="1"/>
  <c r="FN39" i="91"/>
  <c r="FN40" i="91" s="1"/>
  <c r="GC39" i="91"/>
  <c r="HA40" i="91" s="1"/>
  <c r="FU39" i="91"/>
  <c r="GS40" i="91" s="1"/>
  <c r="GD39" i="91"/>
  <c r="HB40" i="91" s="1"/>
  <c r="FV39" i="91"/>
  <c r="FV40" i="91" s="1"/>
  <c r="FO39" i="91"/>
  <c r="FO40" i="91" s="1"/>
  <c r="FG39" i="91"/>
  <c r="FG40" i="91" s="1"/>
  <c r="JW108" i="91"/>
  <c r="JW78" i="91"/>
  <c r="JW52" i="91"/>
  <c r="JW45" i="91"/>
  <c r="JW39" i="91"/>
  <c r="JW31" i="91"/>
  <c r="JW93" i="91"/>
  <c r="JW88" i="91"/>
  <c r="JW86" i="91"/>
  <c r="JW77" i="91"/>
  <c r="JW103" i="91"/>
  <c r="JW99" i="91"/>
  <c r="JW85" i="91"/>
  <c r="JW84" i="91"/>
  <c r="JW74" i="91"/>
  <c r="JW54" i="91"/>
  <c r="JW51" i="91"/>
  <c r="JW101" i="91"/>
  <c r="JW92" i="91"/>
  <c r="JW67" i="91"/>
  <c r="JW64" i="91"/>
  <c r="JW56" i="91"/>
  <c r="JW53" i="91"/>
  <c r="JW46" i="91"/>
  <c r="JW44" i="91"/>
  <c r="JW24" i="91"/>
  <c r="JW100" i="91"/>
  <c r="JW48" i="91"/>
  <c r="JW90" i="91"/>
  <c r="JW89" i="91"/>
  <c r="JW82" i="91"/>
  <c r="JW69" i="91"/>
  <c r="JW66" i="91"/>
  <c r="FT60" i="91"/>
  <c r="FT223" i="91" s="1"/>
  <c r="FT230" i="91" s="1"/>
  <c r="FT235" i="91" s="1"/>
  <c r="FT238" i="91" s="1"/>
  <c r="FT240" i="91" s="1"/>
  <c r="JW55" i="91"/>
  <c r="JW50" i="91"/>
  <c r="JW42" i="91"/>
  <c r="JW102" i="91"/>
  <c r="JW87" i="91"/>
  <c r="JW63" i="91"/>
  <c r="JW58" i="91"/>
  <c r="JW27" i="91"/>
  <c r="JW13" i="91"/>
  <c r="MC28" i="91"/>
  <c r="HS12" i="91"/>
  <c r="MA23" i="91"/>
  <c r="JY13" i="91"/>
  <c r="FW60" i="91"/>
  <c r="FW61" i="91" s="1"/>
  <c r="IE26" i="91"/>
  <c r="JQ220" i="91"/>
  <c r="IF54" i="91"/>
  <c r="JS160" i="91"/>
  <c r="HF278" i="91"/>
  <c r="FX39" i="91"/>
  <c r="FX40" i="91" s="1"/>
  <c r="FQ39" i="91"/>
  <c r="FQ40" i="91" s="1"/>
  <c r="FI39" i="91"/>
  <c r="FI40" i="91" s="1"/>
  <c r="HF280" i="91"/>
  <c r="HD280" i="91"/>
  <c r="JT150" i="91"/>
  <c r="LV43" i="91"/>
  <c r="IF55" i="91"/>
  <c r="JL278" i="91"/>
  <c r="MK82" i="91"/>
  <c r="HR25" i="91"/>
  <c r="KM211" i="91"/>
  <c r="IH150" i="91"/>
  <c r="IE33" i="91"/>
  <c r="LR27" i="91"/>
  <c r="HV13" i="91"/>
  <c r="LW58" i="91"/>
  <c r="LT55" i="91"/>
  <c r="LR53" i="91"/>
  <c r="KE37" i="91"/>
  <c r="HD279" i="91"/>
  <c r="KA200" i="91"/>
  <c r="JC280" i="91"/>
  <c r="HE280" i="91"/>
  <c r="KH100" i="91"/>
  <c r="MB148" i="91"/>
  <c r="KJ71" i="91"/>
  <c r="MH92" i="91"/>
  <c r="JC279" i="91"/>
  <c r="HR197" i="91"/>
  <c r="LZ177" i="91"/>
  <c r="IF210" i="91"/>
  <c r="MF200" i="91"/>
  <c r="JL280" i="91"/>
  <c r="IJ167" i="91"/>
  <c r="IF15" i="91"/>
  <c r="JS169" i="91"/>
  <c r="LZ151" i="91"/>
  <c r="IE150" i="91"/>
  <c r="IG144" i="91"/>
  <c r="JZ141" i="91"/>
  <c r="JS183" i="91"/>
  <c r="LT37" i="91"/>
  <c r="FP39" i="91"/>
  <c r="FP60" i="91" s="1"/>
  <c r="FH39" i="91"/>
  <c r="FH40" i="91" s="1"/>
  <c r="KO215" i="91"/>
  <c r="LZ128" i="91"/>
  <c r="KJ128" i="91"/>
  <c r="KH82" i="91"/>
  <c r="HU122" i="91"/>
  <c r="GD83" i="91"/>
  <c r="GD77" i="91" s="1"/>
  <c r="FV83" i="91"/>
  <c r="FV77" i="91" s="1"/>
  <c r="FN83" i="91"/>
  <c r="FN77" i="91" s="1"/>
  <c r="IE83" i="91"/>
  <c r="JA280" i="91"/>
  <c r="LB278" i="91"/>
  <c r="HS150" i="91"/>
  <c r="IE135" i="91"/>
  <c r="LS120" i="91"/>
  <c r="FJ40" i="91"/>
  <c r="FJ60" i="91"/>
  <c r="FR40" i="91"/>
  <c r="FR60" i="91"/>
  <c r="FX60" i="91"/>
  <c r="KF216" i="91"/>
  <c r="LS215" i="91"/>
  <c r="HR209" i="91"/>
  <c r="IG197" i="91"/>
  <c r="LR186" i="91"/>
  <c r="LB280" i="91"/>
  <c r="KI164" i="91"/>
  <c r="LR146" i="91"/>
  <c r="HT146" i="91"/>
  <c r="KA145" i="91"/>
  <c r="IF145" i="91"/>
  <c r="JY144" i="91"/>
  <c r="LR139" i="91"/>
  <c r="KH135" i="91"/>
  <c r="KH214" i="91"/>
  <c r="IE46" i="91"/>
  <c r="LS37" i="91"/>
  <c r="JS210" i="91"/>
  <c r="MF216" i="91"/>
  <c r="LC280" i="91"/>
  <c r="HE166" i="91"/>
  <c r="FN60" i="91"/>
  <c r="FZ60" i="91"/>
  <c r="HF202" i="91"/>
  <c r="JS178" i="91"/>
  <c r="LS177" i="91"/>
  <c r="HS174" i="91"/>
  <c r="MD173" i="91"/>
  <c r="LZ148" i="91"/>
  <c r="KA93" i="91"/>
  <c r="HR86" i="91"/>
  <c r="HT82" i="91"/>
  <c r="JL279" i="91"/>
  <c r="JY153" i="91"/>
  <c r="JZ150" i="91"/>
  <c r="HW57" i="91"/>
  <c r="MC132" i="91"/>
  <c r="IE88" i="91"/>
  <c r="KI68" i="91"/>
  <c r="IG68" i="91"/>
  <c r="KI27" i="91"/>
  <c r="LZ92" i="91"/>
  <c r="KK57" i="91"/>
  <c r="JQ40" i="91"/>
  <c r="KH36" i="91"/>
  <c r="IA211" i="91"/>
  <c r="KN211" i="91"/>
  <c r="HS205" i="91"/>
  <c r="EY190" i="91"/>
  <c r="JZ191" i="91"/>
  <c r="IF162" i="91"/>
  <c r="HR161" i="91"/>
  <c r="IG103" i="91"/>
  <c r="IG57" i="91"/>
  <c r="LT52" i="91"/>
  <c r="JZ52" i="91"/>
  <c r="HT52" i="91"/>
  <c r="JZ26" i="91"/>
  <c r="KA197" i="91"/>
  <c r="HR82" i="91"/>
  <c r="LU206" i="91"/>
  <c r="IG122" i="91"/>
  <c r="IE100" i="91"/>
  <c r="LU71" i="91"/>
  <c r="KH71" i="91"/>
  <c r="IF52" i="91"/>
  <c r="IA38" i="91"/>
  <c r="MA36" i="91"/>
  <c r="HS197" i="91"/>
  <c r="KA148" i="91"/>
  <c r="IF148" i="91"/>
  <c r="JS147" i="91"/>
  <c r="HR145" i="91"/>
  <c r="IH144" i="91"/>
  <c r="JT143" i="91"/>
  <c r="LR135" i="91"/>
  <c r="JS134" i="91"/>
  <c r="IE119" i="91"/>
  <c r="JY210" i="91"/>
  <c r="HS210" i="91"/>
  <c r="JY175" i="91"/>
  <c r="KH174" i="91"/>
  <c r="JB280" i="91"/>
  <c r="IL167" i="91"/>
  <c r="KK132" i="91"/>
  <c r="LU128" i="91"/>
  <c r="KI121" i="91"/>
  <c r="IE102" i="91"/>
  <c r="KK89" i="91"/>
  <c r="HR85" i="91"/>
  <c r="KJ70" i="91"/>
  <c r="LT69" i="91"/>
  <c r="HT56" i="91"/>
  <c r="IG43" i="91"/>
  <c r="KF37" i="91"/>
  <c r="KA216" i="91"/>
  <c r="IH216" i="91"/>
  <c r="MA212" i="91"/>
  <c r="KA212" i="91"/>
  <c r="LS205" i="91"/>
  <c r="KK200" i="91"/>
  <c r="LD280" i="91"/>
  <c r="IG151" i="91"/>
  <c r="JY148" i="91"/>
  <c r="JT146" i="91"/>
  <c r="KI192" i="91"/>
  <c r="KA178" i="91"/>
  <c r="JT177" i="91"/>
  <c r="LB283" i="91"/>
  <c r="JA283" i="91"/>
  <c r="MB147" i="91"/>
  <c r="KA147" i="91"/>
  <c r="IF215" i="91"/>
  <c r="JS207" i="91"/>
  <c r="HS206" i="91"/>
  <c r="HH156" i="91"/>
  <c r="HU156" i="91" s="1"/>
  <c r="IJ91" i="91"/>
  <c r="HG86" i="91"/>
  <c r="IF86" i="91" s="1"/>
  <c r="IE66" i="91"/>
  <c r="MB210" i="91"/>
  <c r="MB200" i="91"/>
  <c r="MB194" i="91"/>
  <c r="KJ193" i="91"/>
  <c r="LZ183" i="91"/>
  <c r="IF181" i="91"/>
  <c r="JT166" i="91"/>
  <c r="HS163" i="91"/>
  <c r="MD163" i="91"/>
  <c r="HS157" i="91"/>
  <c r="MB156" i="91"/>
  <c r="KI151" i="91"/>
  <c r="KH150" i="91"/>
  <c r="HG135" i="91"/>
  <c r="HT135" i="91" s="1"/>
  <c r="KI134" i="91"/>
  <c r="LZ68" i="91"/>
  <c r="MA50" i="91"/>
  <c r="LR48" i="91"/>
  <c r="LZ46" i="91"/>
  <c r="HR44" i="91"/>
  <c r="LU37" i="91"/>
  <c r="IF35" i="91"/>
  <c r="KA135" i="91"/>
  <c r="MB100" i="91"/>
  <c r="JY65" i="91"/>
  <c r="IE65" i="91"/>
  <c r="HR28" i="91"/>
  <c r="JL277" i="91"/>
  <c r="MC215" i="91"/>
  <c r="MA211" i="91"/>
  <c r="LS210" i="91"/>
  <c r="LU209" i="91"/>
  <c r="HT200" i="91"/>
  <c r="LZ194" i="91"/>
  <c r="LZ193" i="91"/>
  <c r="IC167" i="91"/>
  <c r="LV146" i="91"/>
  <c r="HR123" i="91"/>
  <c r="HS82" i="91"/>
  <c r="HR78" i="91"/>
  <c r="LR71" i="91"/>
  <c r="KD71" i="91"/>
  <c r="LZ58" i="91"/>
  <c r="LX56" i="91"/>
  <c r="LS52" i="91"/>
  <c r="MA45" i="91"/>
  <c r="HW37" i="91"/>
  <c r="MC36" i="91"/>
  <c r="KH13" i="91"/>
  <c r="MD216" i="91"/>
  <c r="JZ214" i="91"/>
  <c r="KJ210" i="91"/>
  <c r="JS209" i="91"/>
  <c r="HR196" i="91"/>
  <c r="IG170" i="91"/>
  <c r="KH142" i="91"/>
  <c r="JS138" i="91"/>
  <c r="LR132" i="91"/>
  <c r="LS126" i="91"/>
  <c r="JZ108" i="91"/>
  <c r="KD210" i="91"/>
  <c r="IE200" i="91"/>
  <c r="LS192" i="91"/>
  <c r="KC192" i="91"/>
  <c r="LR187" i="91"/>
  <c r="KJ186" i="91"/>
  <c r="IG182" i="91"/>
  <c r="JS173" i="91"/>
  <c r="LS146" i="91"/>
  <c r="LS143" i="91"/>
  <c r="LT127" i="91"/>
  <c r="KA127" i="91"/>
  <c r="HR122" i="91"/>
  <c r="IG66" i="91"/>
  <c r="IG22" i="91"/>
  <c r="LV19" i="91"/>
  <c r="LU34" i="91"/>
  <c r="LZ16" i="91"/>
  <c r="HR207" i="91"/>
  <c r="JS199" i="91"/>
  <c r="KH199" i="91"/>
  <c r="JS197" i="91"/>
  <c r="KI160" i="91"/>
  <c r="HR160" i="91"/>
  <c r="IG157" i="91"/>
  <c r="JY146" i="91"/>
  <c r="IG146" i="91"/>
  <c r="LT134" i="91"/>
  <c r="KA134" i="91"/>
  <c r="IF130" i="91"/>
  <c r="IE127" i="91"/>
  <c r="JS117" i="91"/>
  <c r="MB103" i="91"/>
  <c r="HT89" i="91"/>
  <c r="IF78" i="91"/>
  <c r="KA58" i="91"/>
  <c r="MB53" i="91"/>
  <c r="IF51" i="91"/>
  <c r="LT43" i="91"/>
  <c r="IE12" i="91"/>
  <c r="GA40" i="91"/>
  <c r="GY40" i="91"/>
  <c r="GA60" i="91"/>
  <c r="FK40" i="91"/>
  <c r="FK60" i="91"/>
  <c r="IF214" i="91"/>
  <c r="IF209" i="91"/>
  <c r="JS205" i="91"/>
  <c r="LU199" i="91"/>
  <c r="JS198" i="91"/>
  <c r="LR170" i="91"/>
  <c r="KB170" i="91"/>
  <c r="IL165" i="91"/>
  <c r="HS164" i="91"/>
  <c r="HR162" i="91"/>
  <c r="LT161" i="91"/>
  <c r="JS157" i="91"/>
  <c r="LR67" i="91"/>
  <c r="IJ62" i="91"/>
  <c r="FM60" i="91"/>
  <c r="KI54" i="91"/>
  <c r="IF43" i="91"/>
  <c r="FU40" i="91"/>
  <c r="JW29" i="91"/>
  <c r="MA28" i="91"/>
  <c r="KI26" i="91"/>
  <c r="JW23" i="91"/>
  <c r="JW18" i="91"/>
  <c r="JW15" i="91"/>
  <c r="JW12" i="91"/>
  <c r="LU205" i="91"/>
  <c r="KB192" i="91"/>
  <c r="JY183" i="91"/>
  <c r="HS182" i="91"/>
  <c r="JY180" i="91"/>
  <c r="JZ177" i="91"/>
  <c r="JZ175" i="91"/>
  <c r="LS174" i="91"/>
  <c r="LR172" i="91"/>
  <c r="JZ170" i="91"/>
  <c r="MC157" i="91"/>
  <c r="IH157" i="91"/>
  <c r="IF150" i="91"/>
  <c r="JS149" i="91"/>
  <c r="HR147" i="91"/>
  <c r="KA143" i="91"/>
  <c r="HR134" i="91"/>
  <c r="JT132" i="91"/>
  <c r="MB129" i="91"/>
  <c r="MA108" i="91"/>
  <c r="LT89" i="91"/>
  <c r="JZ78" i="91"/>
  <c r="KB71" i="91"/>
  <c r="HV71" i="91"/>
  <c r="MB66" i="91"/>
  <c r="KA66" i="91"/>
  <c r="LZ57" i="91"/>
  <c r="KE57" i="91"/>
  <c r="JY55" i="91"/>
  <c r="IG55" i="91"/>
  <c r="HR54" i="91"/>
  <c r="LZ50" i="91"/>
  <c r="MD37" i="91"/>
  <c r="KO37" i="91"/>
  <c r="KO36" i="91"/>
  <c r="LZ32" i="91"/>
  <c r="IE32" i="91"/>
  <c r="IE30" i="91"/>
  <c r="KH26" i="91"/>
  <c r="MC23" i="91"/>
  <c r="HR22" i="91"/>
  <c r="KI19" i="91"/>
  <c r="MA17" i="91"/>
  <c r="IE17" i="91"/>
  <c r="HR215" i="91"/>
  <c r="LR212" i="91"/>
  <c r="HS212" i="91"/>
  <c r="KD211" i="91"/>
  <c r="HR211" i="91"/>
  <c r="JY209" i="91"/>
  <c r="IE206" i="91"/>
  <c r="HU205" i="91"/>
  <c r="LZ199" i="91"/>
  <c r="KD199" i="91"/>
  <c r="IF198" i="91"/>
  <c r="JY193" i="91"/>
  <c r="JT192" i="91"/>
  <c r="JS190" i="91"/>
  <c r="JZ157" i="91"/>
  <c r="KA150" i="91"/>
  <c r="IE149" i="91"/>
  <c r="JT145" i="91"/>
  <c r="MB144" i="91"/>
  <c r="JS133" i="91"/>
  <c r="JZ129" i="91"/>
  <c r="HS129" i="91"/>
  <c r="JZ128" i="91"/>
  <c r="IH128" i="91"/>
  <c r="IF122" i="91"/>
  <c r="IH102" i="91"/>
  <c r="HR90" i="91"/>
  <c r="GB63" i="91"/>
  <c r="FT63" i="91"/>
  <c r="FL63" i="91"/>
  <c r="KI66" i="91"/>
  <c r="LZ65" i="91"/>
  <c r="MK52" i="91"/>
  <c r="LT51" i="91"/>
  <c r="KI51" i="91"/>
  <c r="IG51" i="91"/>
  <c r="LS49" i="91"/>
  <c r="KH49" i="91"/>
  <c r="HS49" i="91"/>
  <c r="HR45" i="91"/>
  <c r="IJ37" i="91"/>
  <c r="JW36" i="91"/>
  <c r="JW33" i="91"/>
  <c r="JW25" i="91"/>
  <c r="MF22" i="91"/>
  <c r="JY18" i="91"/>
  <c r="IF18" i="91"/>
  <c r="JW16" i="91"/>
  <c r="HT12" i="91"/>
  <c r="KR65" i="91"/>
  <c r="FY190" i="91"/>
  <c r="FA190" i="91"/>
  <c r="FW190" i="91"/>
  <c r="FO190" i="91"/>
  <c r="FG190" i="91"/>
  <c r="JZ160" i="91"/>
  <c r="JT139" i="91"/>
  <c r="IE122" i="91"/>
  <c r="LT119" i="91"/>
  <c r="HH78" i="91"/>
  <c r="IG78" i="91" s="1"/>
  <c r="MC71" i="91"/>
  <c r="IJ71" i="91"/>
  <c r="LR70" i="91"/>
  <c r="IF66" i="91"/>
  <c r="FU60" i="91"/>
  <c r="IL57" i="91"/>
  <c r="LT56" i="91"/>
  <c r="JW37" i="91"/>
  <c r="JW32" i="91"/>
  <c r="LV32" i="91"/>
  <c r="JW30" i="91"/>
  <c r="LV30" i="91"/>
  <c r="JW28" i="91"/>
  <c r="JZ24" i="91"/>
  <c r="HR24" i="91"/>
  <c r="IE18" i="91"/>
  <c r="IJ217" i="91"/>
  <c r="IG210" i="91"/>
  <c r="JT206" i="91"/>
  <c r="IJ203" i="91"/>
  <c r="LV200" i="91"/>
  <c r="JT200" i="91"/>
  <c r="JY198" i="91"/>
  <c r="MB195" i="91"/>
  <c r="JY174" i="91"/>
  <c r="KM173" i="91"/>
  <c r="HT171" i="91"/>
  <c r="JT142" i="91"/>
  <c r="LR117" i="91"/>
  <c r="HE117" i="91"/>
  <c r="HR117" i="91" s="1"/>
  <c r="IE82" i="91"/>
  <c r="LV82" i="91"/>
  <c r="LS65" i="91"/>
  <c r="IE64" i="91"/>
  <c r="IE58" i="91"/>
  <c r="KF57" i="91"/>
  <c r="LU54" i="91"/>
  <c r="IE49" i="91"/>
  <c r="FS60" i="91"/>
  <c r="LS46" i="91"/>
  <c r="LR36" i="91"/>
  <c r="JW35" i="91"/>
  <c r="KJ32" i="91"/>
  <c r="JW26" i="91"/>
  <c r="MB25" i="91"/>
  <c r="IG25" i="91"/>
  <c r="JW22" i="91"/>
  <c r="JW17" i="91"/>
  <c r="IG16" i="91"/>
  <c r="LR13" i="91"/>
  <c r="IG12" i="91"/>
  <c r="KA214" i="91"/>
  <c r="JY199" i="91"/>
  <c r="JZ199" i="91"/>
  <c r="KJ195" i="91"/>
  <c r="IH182" i="91"/>
  <c r="JS175" i="91"/>
  <c r="JT171" i="91"/>
  <c r="LV163" i="91"/>
  <c r="IF163" i="91"/>
  <c r="HR156" i="91"/>
  <c r="MB154" i="91"/>
  <c r="LR151" i="91"/>
  <c r="HR151" i="91"/>
  <c r="HU150" i="91"/>
  <c r="JS146" i="91"/>
  <c r="HT144" i="91"/>
  <c r="IC142" i="91"/>
  <c r="HT141" i="91"/>
  <c r="IE139" i="91"/>
  <c r="JT130" i="91"/>
  <c r="KH123" i="91"/>
  <c r="JY119" i="91"/>
  <c r="LZ88" i="91"/>
  <c r="LR86" i="91"/>
  <c r="IE67" i="91"/>
  <c r="LU57" i="91"/>
  <c r="KI50" i="91"/>
  <c r="HS46" i="91"/>
  <c r="GV40" i="91"/>
  <c r="II36" i="91"/>
  <c r="JW34" i="91"/>
  <c r="KI30" i="91"/>
  <c r="IG30" i="91"/>
  <c r="KA26" i="91"/>
  <c r="IF174" i="91"/>
  <c r="IH147" i="91"/>
  <c r="KH84" i="91"/>
  <c r="JW19" i="91"/>
  <c r="HS16" i="91"/>
  <c r="JW14" i="91"/>
  <c r="IF12" i="91"/>
  <c r="JP220" i="91"/>
  <c r="JT218" i="91"/>
  <c r="HV216" i="91"/>
  <c r="JZ212" i="91"/>
  <c r="KI212" i="91"/>
  <c r="LZ211" i="91"/>
  <c r="JT207" i="91"/>
  <c r="JY206" i="91"/>
  <c r="IE205" i="91"/>
  <c r="LU200" i="91"/>
  <c r="IK200" i="91"/>
  <c r="L123" i="1"/>
  <c r="MB198" i="91"/>
  <c r="KB198" i="91"/>
  <c r="IE197" i="91"/>
  <c r="KH193" i="91"/>
  <c r="HS192" i="91"/>
  <c r="KI175" i="91"/>
  <c r="KH175" i="91"/>
  <c r="LZ174" i="91"/>
  <c r="IF164" i="91"/>
  <c r="KF159" i="91"/>
  <c r="MF136" i="91"/>
  <c r="LX120" i="91"/>
  <c r="MF120" i="91"/>
  <c r="KA48" i="91"/>
  <c r="LT48" i="91"/>
  <c r="HG48" i="91"/>
  <c r="HS48" i="91" s="1"/>
  <c r="FO60" i="91"/>
  <c r="FG60" i="91"/>
  <c r="KB216" i="91"/>
  <c r="IC215" i="91"/>
  <c r="L133" i="1"/>
  <c r="KJ212" i="91"/>
  <c r="HT211" i="91"/>
  <c r="HR210" i="91"/>
  <c r="IE209" i="91"/>
  <c r="KH208" i="91"/>
  <c r="IN201" i="91"/>
  <c r="MA200" i="91"/>
  <c r="LX199" i="91"/>
  <c r="MA198" i="91"/>
  <c r="KA198" i="91"/>
  <c r="HH198" i="91"/>
  <c r="IG198" i="91" s="1"/>
  <c r="IE195" i="91"/>
  <c r="JS193" i="91"/>
  <c r="KH192" i="91"/>
  <c r="HR192" i="91"/>
  <c r="LT187" i="91"/>
  <c r="LS184" i="91"/>
  <c r="JS182" i="91"/>
  <c r="LC283" i="91"/>
  <c r="HR179" i="91"/>
  <c r="IN175" i="91"/>
  <c r="L112" i="1"/>
  <c r="IE174" i="91"/>
  <c r="IH170" i="91"/>
  <c r="MB164" i="91"/>
  <c r="IE163" i="91"/>
  <c r="LS162" i="91"/>
  <c r="JY158" i="91"/>
  <c r="KH156" i="91"/>
  <c r="LZ154" i="91"/>
  <c r="KK150" i="91"/>
  <c r="IG150" i="91"/>
  <c r="HT150" i="91"/>
  <c r="KJ148" i="91"/>
  <c r="IG148" i="91"/>
  <c r="JY142" i="91"/>
  <c r="JZ140" i="91"/>
  <c r="KJ134" i="91"/>
  <c r="IH57" i="91"/>
  <c r="HV57" i="91"/>
  <c r="HS52" i="91"/>
  <c r="HR52" i="91"/>
  <c r="HV37" i="91"/>
  <c r="JS218" i="91"/>
  <c r="JY214" i="91"/>
  <c r="HS214" i="91"/>
  <c r="KE211" i="91"/>
  <c r="KH211" i="91"/>
  <c r="HS211" i="91"/>
  <c r="KN210" i="91"/>
  <c r="LZ209" i="91"/>
  <c r="KB209" i="91"/>
  <c r="HU207" i="91"/>
  <c r="IL201" i="91"/>
  <c r="II200" i="91"/>
  <c r="HS198" i="91"/>
  <c r="KH195" i="91"/>
  <c r="IK189" i="91"/>
  <c r="FY168" i="91"/>
  <c r="IF176" i="91"/>
  <c r="KJ164" i="91"/>
  <c r="JT163" i="91"/>
  <c r="LZ158" i="91"/>
  <c r="HR155" i="91"/>
  <c r="MB153" i="91"/>
  <c r="II152" i="91"/>
  <c r="KJ150" i="91"/>
  <c r="KI148" i="91"/>
  <c r="KH145" i="91"/>
  <c r="JS143" i="91"/>
  <c r="IN121" i="91"/>
  <c r="L77" i="1"/>
  <c r="HG97" i="91"/>
  <c r="KH68" i="91"/>
  <c r="IN173" i="91"/>
  <c r="L110" i="1"/>
  <c r="IF144" i="91"/>
  <c r="JS135" i="91"/>
  <c r="LZ132" i="91"/>
  <c r="IL104" i="91"/>
  <c r="IA104" i="91"/>
  <c r="IN104" i="91"/>
  <c r="JZ103" i="91"/>
  <c r="JZ46" i="91"/>
  <c r="KI46" i="91"/>
  <c r="LS29" i="91"/>
  <c r="MA29" i="91"/>
  <c r="JY212" i="91"/>
  <c r="KI207" i="91"/>
  <c r="HT207" i="91"/>
  <c r="KI191" i="91"/>
  <c r="HT191" i="91"/>
  <c r="IG178" i="91"/>
  <c r="KI177" i="91"/>
  <c r="MB175" i="91"/>
  <c r="MC175" i="91"/>
  <c r="JT160" i="91"/>
  <c r="JZ148" i="91"/>
  <c r="LT147" i="91"/>
  <c r="JS145" i="91"/>
  <c r="KE132" i="91"/>
  <c r="KF132" i="91"/>
  <c r="KO132" i="91"/>
  <c r="HU82" i="91"/>
  <c r="ME65" i="91"/>
  <c r="LZ49" i="91"/>
  <c r="LR49" i="91"/>
  <c r="HR214" i="91"/>
  <c r="KH210" i="91"/>
  <c r="LT216" i="91"/>
  <c r="IN215" i="91"/>
  <c r="MB214" i="91"/>
  <c r="LT212" i="91"/>
  <c r="JS212" i="91"/>
  <c r="KH209" i="91"/>
  <c r="JY207" i="91"/>
  <c r="HU206" i="91"/>
  <c r="KH205" i="91"/>
  <c r="IF205" i="91"/>
  <c r="IJ201" i="91"/>
  <c r="IF197" i="91"/>
  <c r="JS195" i="91"/>
  <c r="IE194" i="91"/>
  <c r="IE191" i="91"/>
  <c r="MB182" i="91"/>
  <c r="KA180" i="91"/>
  <c r="MB179" i="91"/>
  <c r="JB283" i="91"/>
  <c r="LR175" i="91"/>
  <c r="HT175" i="91"/>
  <c r="LT174" i="91"/>
  <c r="MC174" i="91"/>
  <c r="HR173" i="91"/>
  <c r="LT172" i="91"/>
  <c r="HR170" i="91"/>
  <c r="JT169" i="91"/>
  <c r="LZ159" i="91"/>
  <c r="KH157" i="91"/>
  <c r="LZ153" i="91"/>
  <c r="LS152" i="91"/>
  <c r="MA150" i="91"/>
  <c r="HR149" i="91"/>
  <c r="IG141" i="91"/>
  <c r="JT138" i="91"/>
  <c r="II136" i="91"/>
  <c r="JT126" i="91"/>
  <c r="LX52" i="91"/>
  <c r="MF52" i="91"/>
  <c r="HW36" i="91"/>
  <c r="IA163" i="91"/>
  <c r="L105" i="1"/>
  <c r="L172" i="1" s="1"/>
  <c r="IN159" i="91"/>
  <c r="IF128" i="91"/>
  <c r="HS128" i="91"/>
  <c r="IE93" i="91"/>
  <c r="MA88" i="91"/>
  <c r="HG88" i="91"/>
  <c r="HT88" i="91" s="1"/>
  <c r="JZ25" i="91"/>
  <c r="KH25" i="91"/>
  <c r="JS196" i="91"/>
  <c r="FX190" i="91"/>
  <c r="FH190" i="91"/>
  <c r="EZ190" i="91"/>
  <c r="JY194" i="91"/>
  <c r="KL192" i="91"/>
  <c r="HF190" i="91"/>
  <c r="KH182" i="91"/>
  <c r="IE180" i="91"/>
  <c r="LZ179" i="91"/>
  <c r="HR175" i="91"/>
  <c r="HR164" i="91"/>
  <c r="KA163" i="91"/>
  <c r="IE158" i="91"/>
  <c r="MA156" i="91"/>
  <c r="HS156" i="91"/>
  <c r="IN153" i="91"/>
  <c r="L96" i="1"/>
  <c r="KJ144" i="91"/>
  <c r="HS143" i="91"/>
  <c r="KA142" i="91"/>
  <c r="HG142" i="91"/>
  <c r="HT142" i="91" s="1"/>
  <c r="IE141" i="91"/>
  <c r="JQ112" i="91"/>
  <c r="JW111" i="91"/>
  <c r="MF71" i="91"/>
  <c r="LX71" i="91"/>
  <c r="MC56" i="91"/>
  <c r="HH15" i="91"/>
  <c r="HT15" i="91" s="1"/>
  <c r="KN132" i="91"/>
  <c r="HT132" i="91"/>
  <c r="IG126" i="91"/>
  <c r="JY123" i="91"/>
  <c r="IN122" i="91"/>
  <c r="L78" i="1"/>
  <c r="JZ121" i="91"/>
  <c r="IE118" i="91"/>
  <c r="HD117" i="91"/>
  <c r="HR101" i="91"/>
  <c r="HD92" i="91"/>
  <c r="LU90" i="91"/>
  <c r="KA90" i="91"/>
  <c r="LR83" i="91"/>
  <c r="JQ75" i="91"/>
  <c r="LT71" i="91"/>
  <c r="KJ58" i="91"/>
  <c r="LZ52" i="91"/>
  <c r="KA45" i="91"/>
  <c r="HT43" i="91"/>
  <c r="LZ42" i="91"/>
  <c r="LS25" i="91"/>
  <c r="KJ25" i="91"/>
  <c r="IG19" i="91"/>
  <c r="LT18" i="91"/>
  <c r="ME18" i="91"/>
  <c r="HT17" i="91"/>
  <c r="MA13" i="91"/>
  <c r="JY12" i="91"/>
  <c r="KH134" i="91"/>
  <c r="LZ131" i="91"/>
  <c r="JZ127" i="91"/>
  <c r="HR127" i="91"/>
  <c r="JY118" i="91"/>
  <c r="KJ103" i="91"/>
  <c r="LU103" i="91"/>
  <c r="HG93" i="91"/>
  <c r="IF93" i="91" s="1"/>
  <c r="IG90" i="91"/>
  <c r="LZ71" i="91"/>
  <c r="LR68" i="91"/>
  <c r="IF58" i="91"/>
  <c r="KM57" i="91"/>
  <c r="IF56" i="91"/>
  <c r="MC54" i="91"/>
  <c r="HR53" i="91"/>
  <c r="LT50" i="91"/>
  <c r="IG49" i="91"/>
  <c r="IE48" i="91"/>
  <c r="LZ47" i="91"/>
  <c r="LR45" i="91"/>
  <c r="KH45" i="91"/>
  <c r="GT40" i="91"/>
  <c r="KB37" i="91"/>
  <c r="KN36" i="91"/>
  <c r="MB33" i="91"/>
  <c r="LT29" i="91"/>
  <c r="LR25" i="91"/>
  <c r="MB24" i="91"/>
  <c r="IE24" i="91"/>
  <c r="LS18" i="91"/>
  <c r="JY17" i="91"/>
  <c r="IF17" i="91"/>
  <c r="LR16" i="91"/>
  <c r="LZ13" i="91"/>
  <c r="KA13" i="91"/>
  <c r="KJ132" i="91"/>
  <c r="HR125" i="91"/>
  <c r="HT122" i="91"/>
  <c r="JT121" i="91"/>
  <c r="LR118" i="91"/>
  <c r="LR103" i="91"/>
  <c r="HR103" i="91"/>
  <c r="LR100" i="91"/>
  <c r="HR87" i="91"/>
  <c r="LU85" i="91"/>
  <c r="KI82" i="91"/>
  <c r="LU82" i="91"/>
  <c r="JY68" i="91"/>
  <c r="LT66" i="91"/>
  <c r="HR64" i="91"/>
  <c r="LV57" i="91"/>
  <c r="KB57" i="91"/>
  <c r="MA54" i="91"/>
  <c r="JZ54" i="91"/>
  <c r="IG54" i="91"/>
  <c r="LV51" i="91"/>
  <c r="JZ50" i="91"/>
  <c r="HT50" i="91"/>
  <c r="HR49" i="91"/>
  <c r="GC40" i="91"/>
  <c r="MA37" i="91"/>
  <c r="HT37" i="91"/>
  <c r="KK36" i="91"/>
  <c r="JZ35" i="91"/>
  <c r="KA34" i="91"/>
  <c r="LR33" i="91"/>
  <c r="IF33" i="91"/>
  <c r="KA32" i="91"/>
  <c r="IE31" i="91"/>
  <c r="ME30" i="91"/>
  <c r="HS29" i="91"/>
  <c r="LT27" i="91"/>
  <c r="HT25" i="91"/>
  <c r="LZ24" i="91"/>
  <c r="KH24" i="91"/>
  <c r="LU23" i="91"/>
  <c r="IG23" i="91"/>
  <c r="HT22" i="91"/>
  <c r="LW13" i="91"/>
  <c r="LW12" i="91"/>
  <c r="KH119" i="91"/>
  <c r="HR119" i="91"/>
  <c r="MC100" i="91"/>
  <c r="HS89" i="91"/>
  <c r="KH83" i="91"/>
  <c r="LZ82" i="91"/>
  <c r="IJ76" i="91"/>
  <c r="HR67" i="91"/>
  <c r="JZ66" i="91"/>
  <c r="GC60" i="91"/>
  <c r="LZ55" i="91"/>
  <c r="HT55" i="91"/>
  <c r="JZ44" i="91"/>
  <c r="MC43" i="91"/>
  <c r="FS40" i="91"/>
  <c r="LZ36" i="91"/>
  <c r="IF36" i="91"/>
  <c r="HS34" i="91"/>
  <c r="MA32" i="91"/>
  <c r="JY31" i="91"/>
  <c r="LT30" i="91"/>
  <c r="MA27" i="91"/>
  <c r="IG24" i="91"/>
  <c r="LZ23" i="91"/>
  <c r="LU19" i="91"/>
  <c r="LV13" i="91"/>
  <c r="HT134" i="91"/>
  <c r="IF133" i="91"/>
  <c r="IL131" i="91"/>
  <c r="L83" i="1"/>
  <c r="MA129" i="91"/>
  <c r="MA128" i="91"/>
  <c r="HR128" i="91"/>
  <c r="HS126" i="91"/>
  <c r="KH124" i="91"/>
  <c r="LX122" i="91"/>
  <c r="LR122" i="91"/>
  <c r="KI122" i="91"/>
  <c r="LR121" i="91"/>
  <c r="IK110" i="91"/>
  <c r="KI101" i="91"/>
  <c r="IG85" i="91"/>
  <c r="KH66" i="91"/>
  <c r="HS66" i="91"/>
  <c r="LT65" i="91"/>
  <c r="IA57" i="91"/>
  <c r="KA56" i="91"/>
  <c r="LZ51" i="91"/>
  <c r="HR47" i="91"/>
  <c r="IG44" i="91"/>
  <c r="HS43" i="91"/>
  <c r="LZ31" i="91"/>
  <c r="HS27" i="91"/>
  <c r="KA25" i="91"/>
  <c r="MB19" i="91"/>
  <c r="KA19" i="91"/>
  <c r="KJ16" i="91"/>
  <c r="HR13" i="91"/>
  <c r="KA12" i="91"/>
  <c r="HR12" i="91"/>
  <c r="HI89" i="91"/>
  <c r="IH89" i="91" s="1"/>
  <c r="IG89" i="91"/>
  <c r="IL91" i="91"/>
  <c r="LS90" i="91"/>
  <c r="KJ90" i="91"/>
  <c r="MC90" i="91"/>
  <c r="KI153" i="91"/>
  <c r="JT149" i="91"/>
  <c r="IE145" i="91"/>
  <c r="IF141" i="91"/>
  <c r="LZ140" i="91"/>
  <c r="JS153" i="91"/>
  <c r="IF152" i="91"/>
  <c r="JY145" i="91"/>
  <c r="IE142" i="91"/>
  <c r="IE152" i="91"/>
  <c r="JY149" i="91"/>
  <c r="JZ153" i="91"/>
  <c r="KI180" i="91"/>
  <c r="HH179" i="91"/>
  <c r="KJ181" i="91"/>
  <c r="KH180" i="91"/>
  <c r="KK179" i="91"/>
  <c r="JL283" i="91"/>
  <c r="IE181" i="91"/>
  <c r="MF181" i="91"/>
  <c r="HL178" i="91"/>
  <c r="IA178" i="91" s="1"/>
  <c r="HU178" i="91"/>
  <c r="MB177" i="91"/>
  <c r="LZ176" i="91"/>
  <c r="HF277" i="91"/>
  <c r="JT178" i="91"/>
  <c r="LB277" i="91"/>
  <c r="HR178" i="91"/>
  <c r="HR177" i="91"/>
  <c r="IF178" i="91"/>
  <c r="HR176" i="91"/>
  <c r="HU172" i="91"/>
  <c r="GZ169" i="91"/>
  <c r="GZ168" i="91" s="1"/>
  <c r="JT170" i="91"/>
  <c r="HF283" i="91"/>
  <c r="JC283" i="91"/>
  <c r="HE283" i="91"/>
  <c r="KO171" i="91"/>
  <c r="HD283" i="91"/>
  <c r="LZ169" i="91"/>
  <c r="MA171" i="91"/>
  <c r="HL161" i="91"/>
  <c r="IA161" i="91" s="1"/>
  <c r="KJ159" i="91"/>
  <c r="IA159" i="91"/>
  <c r="IE160" i="91"/>
  <c r="LZ161" i="91"/>
  <c r="KJ160" i="91"/>
  <c r="JT159" i="91"/>
  <c r="HM160" i="91"/>
  <c r="HZ160" i="91" s="1"/>
  <c r="GU158" i="91"/>
  <c r="GE158" i="91"/>
  <c r="IG160" i="91"/>
  <c r="HS159" i="91"/>
  <c r="HR158" i="91"/>
  <c r="IF160" i="91"/>
  <c r="LS155" i="91"/>
  <c r="JZ155" i="91"/>
  <c r="HR139" i="91"/>
  <c r="LZ139" i="91"/>
  <c r="IE156" i="91"/>
  <c r="JY156" i="91"/>
  <c r="JS155" i="91"/>
  <c r="KC156" i="91"/>
  <c r="JT156" i="91"/>
  <c r="MD132" i="91"/>
  <c r="JY131" i="91"/>
  <c r="JY124" i="91"/>
  <c r="HL130" i="91"/>
  <c r="IA130" i="91" s="1"/>
  <c r="KD132" i="91"/>
  <c r="IN131" i="91"/>
  <c r="LR130" i="91"/>
  <c r="KA130" i="91"/>
  <c r="HT130" i="91"/>
  <c r="LZ133" i="91"/>
  <c r="IC131" i="91"/>
  <c r="JY130" i="91"/>
  <c r="HV132" i="91"/>
  <c r="JS130" i="91"/>
  <c r="HL172" i="91"/>
  <c r="IA172" i="91" s="1"/>
  <c r="GN169" i="91"/>
  <c r="GN168" i="91" s="1"/>
  <c r="GU169" i="91"/>
  <c r="GM169" i="91"/>
  <c r="GE169" i="91"/>
  <c r="EL169" i="91"/>
  <c r="EL168" i="91" s="1"/>
  <c r="HL209" i="91"/>
  <c r="IA209" i="91" s="1"/>
  <c r="GS208" i="91"/>
  <c r="GS204" i="91" s="1"/>
  <c r="ER208" i="91"/>
  <c r="ER204" i="91" s="1"/>
  <c r="MA197" i="91"/>
  <c r="KD195" i="91"/>
  <c r="LR194" i="91"/>
  <c r="LT192" i="91"/>
  <c r="MA192" i="91"/>
  <c r="MC185" i="91"/>
  <c r="HI185" i="91"/>
  <c r="HU185" i="91" s="1"/>
  <c r="LR179" i="91"/>
  <c r="LX164" i="91"/>
  <c r="HK211" i="91"/>
  <c r="HW211" i="91" s="1"/>
  <c r="EL208" i="91"/>
  <c r="EL204" i="91" s="1"/>
  <c r="KA209" i="91"/>
  <c r="HK209" i="91"/>
  <c r="LR207" i="91"/>
  <c r="LX195" i="91"/>
  <c r="KC195" i="91"/>
  <c r="HL187" i="91"/>
  <c r="IL187" i="91" s="1"/>
  <c r="KF187" i="91"/>
  <c r="MF186" i="91"/>
  <c r="HK186" i="91"/>
  <c r="HX186" i="91" s="1"/>
  <c r="HI186" i="91"/>
  <c r="IH186" i="91" s="1"/>
  <c r="MC186" i="91"/>
  <c r="KN184" i="91"/>
  <c r="LZ178" i="91"/>
  <c r="MB174" i="91"/>
  <c r="GK169" i="91"/>
  <c r="HK162" i="91"/>
  <c r="K104" i="1" s="1"/>
  <c r="LC279" i="91"/>
  <c r="LZ215" i="91"/>
  <c r="IJ215" i="91"/>
  <c r="HI211" i="91"/>
  <c r="IH211" i="91" s="1"/>
  <c r="MB205" i="91"/>
  <c r="MB199" i="91"/>
  <c r="LR198" i="91"/>
  <c r="MA194" i="91"/>
  <c r="LS188" i="91"/>
  <c r="KL187" i="91"/>
  <c r="MC182" i="91"/>
  <c r="HM182" i="91"/>
  <c r="HZ182" i="91" s="1"/>
  <c r="HL174" i="91"/>
  <c r="IK174" i="91" s="1"/>
  <c r="KO174" i="91"/>
  <c r="HI162" i="91"/>
  <c r="EH158" i="91"/>
  <c r="GF196" i="91"/>
  <c r="HL182" i="91"/>
  <c r="IL182" i="91" s="1"/>
  <c r="LT180" i="91"/>
  <c r="MB180" i="91"/>
  <c r="HL177" i="91"/>
  <c r="IN177" i="91" s="1"/>
  <c r="KO177" i="91"/>
  <c r="IL211" i="91"/>
  <c r="KA194" i="91"/>
  <c r="GW158" i="91"/>
  <c r="LR215" i="91"/>
  <c r="KB212" i="91"/>
  <c r="EM196" i="91"/>
  <c r="LD283" i="91"/>
  <c r="KM215" i="91"/>
  <c r="IL215" i="91"/>
  <c r="KO211" i="91"/>
  <c r="IC211" i="91"/>
  <c r="MB209" i="91"/>
  <c r="GF208" i="91"/>
  <c r="GF204" i="91" s="1"/>
  <c r="MC207" i="91"/>
  <c r="HB196" i="91"/>
  <c r="HL196" i="91"/>
  <c r="L121" i="1" s="1"/>
  <c r="LS195" i="91"/>
  <c r="KM192" i="91"/>
  <c r="MF192" i="91"/>
  <c r="GK183" i="91"/>
  <c r="LS181" i="91"/>
  <c r="LS180" i="91"/>
  <c r="GV179" i="91"/>
  <c r="GN179" i="91"/>
  <c r="GF179" i="91"/>
  <c r="EM179" i="91"/>
  <c r="MA172" i="91"/>
  <c r="LZ172" i="91"/>
  <c r="IN147" i="91"/>
  <c r="IA147" i="91"/>
  <c r="LW215" i="91"/>
  <c r="LR213" i="91"/>
  <c r="LX211" i="91"/>
  <c r="KF211" i="91"/>
  <c r="KB211" i="91"/>
  <c r="LZ210" i="91"/>
  <c r="HK205" i="91"/>
  <c r="K126" i="1" s="1"/>
  <c r="LR196" i="91"/>
  <c r="GU193" i="91"/>
  <c r="GM193" i="91"/>
  <c r="GE193" i="91"/>
  <c r="EL193" i="91"/>
  <c r="MC192" i="91"/>
  <c r="LR191" i="91"/>
  <c r="MF182" i="91"/>
  <c r="HK182" i="91"/>
  <c r="K115" i="1" s="1"/>
  <c r="KB174" i="91"/>
  <c r="HI174" i="91"/>
  <c r="HU174" i="91" s="1"/>
  <c r="HM164" i="91"/>
  <c r="HZ164" i="91" s="1"/>
  <c r="HA193" i="91"/>
  <c r="HA190" i="91" s="1"/>
  <c r="GS193" i="91"/>
  <c r="GS190" i="91" s="1"/>
  <c r="LT191" i="91"/>
  <c r="MC187" i="91"/>
  <c r="GL176" i="91"/>
  <c r="KA177" i="91"/>
  <c r="LR173" i="91"/>
  <c r="LZ170" i="91"/>
  <c r="HB169" i="91"/>
  <c r="HB168" i="91" s="1"/>
  <c r="GT169" i="91"/>
  <c r="GT168" i="91" s="1"/>
  <c r="GL169" i="91"/>
  <c r="GL168" i="91" s="1"/>
  <c r="ES169" i="91"/>
  <c r="ES168" i="91" s="1"/>
  <c r="EK169" i="91"/>
  <c r="HJ169" i="91"/>
  <c r="GH158" i="91"/>
  <c r="LZ160" i="91"/>
  <c r="HB158" i="91"/>
  <c r="GT158" i="91"/>
  <c r="EK158" i="91"/>
  <c r="LS159" i="91"/>
  <c r="KL159" i="91"/>
  <c r="GO158" i="91"/>
  <c r="GG158" i="91"/>
  <c r="EN158" i="91"/>
  <c r="LU157" i="91"/>
  <c r="HL157" i="91"/>
  <c r="L99" i="1" s="1"/>
  <c r="HJ155" i="91"/>
  <c r="HK154" i="91"/>
  <c r="IK154" i="91" s="1"/>
  <c r="KB153" i="91"/>
  <c r="MB152" i="91"/>
  <c r="LZ150" i="91"/>
  <c r="KL146" i="91"/>
  <c r="KJ143" i="91"/>
  <c r="HJ142" i="91"/>
  <c r="LS142" i="91"/>
  <c r="LZ127" i="91"/>
  <c r="KB122" i="91"/>
  <c r="KK122" i="91"/>
  <c r="ME24" i="91"/>
  <c r="MD24" i="91"/>
  <c r="LS154" i="91"/>
  <c r="MC140" i="91"/>
  <c r="HJ140" i="91"/>
  <c r="LV140" i="91"/>
  <c r="HJ134" i="91"/>
  <c r="HV134" i="91" s="1"/>
  <c r="IN132" i="91"/>
  <c r="IL132" i="91"/>
  <c r="LT120" i="91"/>
  <c r="ME68" i="91"/>
  <c r="EI169" i="91"/>
  <c r="KA159" i="91"/>
  <c r="LT153" i="91"/>
  <c r="HL135" i="91"/>
  <c r="L86" i="1" s="1"/>
  <c r="HM129" i="91"/>
  <c r="KB129" i="91"/>
  <c r="HI129" i="91"/>
  <c r="IH129" i="91" s="1"/>
  <c r="LR154" i="91"/>
  <c r="LR152" i="91"/>
  <c r="HL152" i="91"/>
  <c r="L95" i="1" s="1"/>
  <c r="KB150" i="91"/>
  <c r="GR149" i="91"/>
  <c r="GJ149" i="91"/>
  <c r="EQ149" i="91"/>
  <c r="EI149" i="91"/>
  <c r="LX146" i="91"/>
  <c r="HI146" i="91"/>
  <c r="HU146" i="91" s="1"/>
  <c r="KF140" i="91"/>
  <c r="KA103" i="91"/>
  <c r="MC51" i="91"/>
  <c r="LU51" i="91"/>
  <c r="KA191" i="91"/>
  <c r="GE179" i="91"/>
  <c r="LR163" i="91"/>
  <c r="LU163" i="91"/>
  <c r="HK159" i="91"/>
  <c r="HX159" i="91" s="1"/>
  <c r="KM154" i="91"/>
  <c r="LX153" i="91"/>
  <c r="GQ149" i="91"/>
  <c r="KA144" i="91"/>
  <c r="KD140" i="91"/>
  <c r="HM126" i="91"/>
  <c r="HZ126" i="91" s="1"/>
  <c r="HK126" i="91"/>
  <c r="LU126" i="91"/>
  <c r="KK126" i="91"/>
  <c r="KB119" i="91"/>
  <c r="LV119" i="91"/>
  <c r="HI119" i="91"/>
  <c r="IJ187" i="91"/>
  <c r="KK187" i="91"/>
  <c r="GO179" i="91"/>
  <c r="GG179" i="91"/>
  <c r="GU176" i="91"/>
  <c r="GM176" i="91"/>
  <c r="MC171" i="91"/>
  <c r="MC170" i="91"/>
  <c r="GG169" i="91"/>
  <c r="LT164" i="91"/>
  <c r="GZ158" i="91"/>
  <c r="GJ158" i="91"/>
  <c r="LS157" i="91"/>
  <c r="LT152" i="91"/>
  <c r="KO152" i="91"/>
  <c r="GP149" i="91"/>
  <c r="GH149" i="91"/>
  <c r="MA148" i="91"/>
  <c r="MC147" i="91"/>
  <c r="LZ143" i="91"/>
  <c r="HI140" i="91"/>
  <c r="HU140" i="91" s="1"/>
  <c r="KK140" i="91"/>
  <c r="HM134" i="91"/>
  <c r="HZ134" i="91" s="1"/>
  <c r="MC88" i="91"/>
  <c r="LU88" i="91"/>
  <c r="LS160" i="91"/>
  <c r="MC135" i="91"/>
  <c r="HI135" i="91"/>
  <c r="IH135" i="91" s="1"/>
  <c r="HJ129" i="91"/>
  <c r="IJ129" i="91" s="1"/>
  <c r="KK118" i="91"/>
  <c r="MC118" i="91"/>
  <c r="LS101" i="91"/>
  <c r="KL157" i="91"/>
  <c r="HM154" i="91"/>
  <c r="KM153" i="91"/>
  <c r="MA151" i="91"/>
  <c r="HK148" i="91"/>
  <c r="LW144" i="91"/>
  <c r="HJ144" i="91"/>
  <c r="II144" i="91" s="1"/>
  <c r="LU55" i="91"/>
  <c r="MC55" i="91"/>
  <c r="MD68" i="91"/>
  <c r="KK16" i="91"/>
  <c r="LZ101" i="91"/>
  <c r="HL86" i="91"/>
  <c r="IL86" i="91" s="1"/>
  <c r="KK82" i="91"/>
  <c r="LU68" i="91"/>
  <c r="KM65" i="91"/>
  <c r="IN57" i="91"/>
  <c r="JZ51" i="91"/>
  <c r="HI51" i="91"/>
  <c r="HU51" i="91" s="1"/>
  <c r="LR50" i="91"/>
  <c r="LT45" i="91"/>
  <c r="LR44" i="91"/>
  <c r="KA29" i="91"/>
  <c r="LZ28" i="91"/>
  <c r="KI24" i="91"/>
  <c r="HK22" i="91"/>
  <c r="K14" i="1" s="1"/>
  <c r="MK18" i="91"/>
  <c r="KH12" i="91"/>
  <c r="LR133" i="91"/>
  <c r="KF130" i="91"/>
  <c r="HM122" i="91"/>
  <c r="HZ122" i="91" s="1"/>
  <c r="KL120" i="91"/>
  <c r="LT108" i="91"/>
  <c r="MA101" i="91"/>
  <c r="KI89" i="91"/>
  <c r="JY84" i="91"/>
  <c r="JY64" i="91"/>
  <c r="KC58" i="91"/>
  <c r="LZ56" i="91"/>
  <c r="JY56" i="91"/>
  <c r="LT49" i="91"/>
  <c r="KJ49" i="91"/>
  <c r="KH48" i="91"/>
  <c r="JZ43" i="91"/>
  <c r="LU35" i="91"/>
  <c r="LR32" i="91"/>
  <c r="LR29" i="91"/>
  <c r="LR23" i="91"/>
  <c r="MD22" i="91"/>
  <c r="MD19" i="91"/>
  <c r="MA18" i="91"/>
  <c r="LV17" i="91"/>
  <c r="KH17" i="91"/>
  <c r="LS127" i="91"/>
  <c r="MA122" i="91"/>
  <c r="LU120" i="91"/>
  <c r="KH102" i="91"/>
  <c r="ME82" i="91"/>
  <c r="HI44" i="91"/>
  <c r="HU44" i="91" s="1"/>
  <c r="HM29" i="91"/>
  <c r="HZ29" i="91" s="1"/>
  <c r="HL25" i="91"/>
  <c r="IL25" i="91" s="1"/>
  <c r="JY24" i="91"/>
  <c r="KF24" i="91"/>
  <c r="HJ24" i="91"/>
  <c r="MK15" i="91"/>
  <c r="KJ100" i="91"/>
  <c r="GZ87" i="91"/>
  <c r="GZ83" i="91" s="1"/>
  <c r="GZ77" i="91" s="1"/>
  <c r="GR87" i="91"/>
  <c r="GR83" i="91" s="1"/>
  <c r="GR77" i="91" s="1"/>
  <c r="GJ87" i="91"/>
  <c r="GJ83" i="91" s="1"/>
  <c r="GJ77" i="91" s="1"/>
  <c r="EQ87" i="91"/>
  <c r="EQ83" i="91" s="1"/>
  <c r="EQ77" i="91" s="1"/>
  <c r="EI87" i="91"/>
  <c r="EI83" i="91" s="1"/>
  <c r="HL85" i="91"/>
  <c r="IC85" i="91" s="1"/>
  <c r="LZ69" i="91"/>
  <c r="EH67" i="91"/>
  <c r="EH63" i="91" s="1"/>
  <c r="MC64" i="91"/>
  <c r="GV64" i="91"/>
  <c r="GN64" i="91"/>
  <c r="GF64" i="91"/>
  <c r="IL62" i="91"/>
  <c r="MA58" i="91"/>
  <c r="IK57" i="91"/>
  <c r="KJ54" i="91"/>
  <c r="LZ53" i="91"/>
  <c r="JY49" i="91"/>
  <c r="KJ46" i="91"/>
  <c r="LZ45" i="91"/>
  <c r="LS33" i="91"/>
  <c r="JY33" i="91"/>
  <c r="LZ29" i="91"/>
  <c r="HI28" i="91"/>
  <c r="HU28" i="91" s="1"/>
  <c r="KE23" i="91"/>
  <c r="MB22" i="91"/>
  <c r="LR19" i="91"/>
  <c r="LT17" i="91"/>
  <c r="MF13" i="91"/>
  <c r="HL100" i="91"/>
  <c r="IN100" i="91" s="1"/>
  <c r="HI88" i="91"/>
  <c r="IH88" i="91" s="1"/>
  <c r="JY87" i="91"/>
  <c r="JY82" i="91"/>
  <c r="HJ70" i="91"/>
  <c r="HW70" i="91" s="1"/>
  <c r="HI70" i="91"/>
  <c r="MD55" i="91"/>
  <c r="HJ54" i="91"/>
  <c r="JY51" i="91"/>
  <c r="KB51" i="91"/>
  <c r="JY48" i="91"/>
  <c r="LU33" i="91"/>
  <c r="JP19" i="91"/>
  <c r="KK19" i="91"/>
  <c r="MD13" i="91"/>
  <c r="LT12" i="91"/>
  <c r="MA130" i="91"/>
  <c r="LR129" i="91"/>
  <c r="LR123" i="91"/>
  <c r="HI123" i="91"/>
  <c r="HU123" i="91" s="1"/>
  <c r="LT93" i="91"/>
  <c r="HJ90" i="91"/>
  <c r="GX87" i="91"/>
  <c r="GP87" i="91"/>
  <c r="GP83" i="91" s="1"/>
  <c r="GP77" i="91" s="1"/>
  <c r="GH87" i="91"/>
  <c r="GH83" i="91" s="1"/>
  <c r="GH77" i="91" s="1"/>
  <c r="EO87" i="91"/>
  <c r="EO83" i="91" s="1"/>
  <c r="EO77" i="91" s="1"/>
  <c r="HM86" i="91"/>
  <c r="HK86" i="91"/>
  <c r="LV86" i="91"/>
  <c r="LR85" i="91"/>
  <c r="KA85" i="91"/>
  <c r="JY83" i="91"/>
  <c r="IN71" i="91"/>
  <c r="JY67" i="91"/>
  <c r="KH56" i="91"/>
  <c r="HI56" i="91"/>
  <c r="IH56" i="91" s="1"/>
  <c r="LS55" i="91"/>
  <c r="KJ55" i="91"/>
  <c r="LZ54" i="91"/>
  <c r="MB51" i="91"/>
  <c r="LS50" i="91"/>
  <c r="KA50" i="91"/>
  <c r="KI44" i="91"/>
  <c r="MA35" i="91"/>
  <c r="LR31" i="91"/>
  <c r="LR30" i="91"/>
  <c r="JZ30" i="91"/>
  <c r="KI29" i="91"/>
  <c r="LZ27" i="91"/>
  <c r="JY25" i="91"/>
  <c r="LR22" i="91"/>
  <c r="KJ12" i="91"/>
  <c r="LZ141" i="91"/>
  <c r="KA101" i="91"/>
  <c r="LZ93" i="91"/>
  <c r="MA90" i="91"/>
  <c r="GW87" i="91"/>
  <c r="GW83" i="91" s="1"/>
  <c r="GW77" i="91" s="1"/>
  <c r="GO87" i="91"/>
  <c r="GO83" i="91" s="1"/>
  <c r="GO77" i="91" s="1"/>
  <c r="GG87" i="91"/>
  <c r="EN87" i="91"/>
  <c r="EN83" i="91" s="1"/>
  <c r="EN77" i="91" s="1"/>
  <c r="KH87" i="91"/>
  <c r="JP86" i="91"/>
  <c r="JS86" i="91" s="1"/>
  <c r="JP70" i="91"/>
  <c r="HL66" i="91"/>
  <c r="IN66" i="91" s="1"/>
  <c r="KB66" i="91"/>
  <c r="HI66" i="91"/>
  <c r="IH66" i="91" s="1"/>
  <c r="HA64" i="91"/>
  <c r="GS64" i="91"/>
  <c r="GK64" i="91"/>
  <c r="KK56" i="91"/>
  <c r="JZ55" i="91"/>
  <c r="LS53" i="91"/>
  <c r="KA53" i="91"/>
  <c r="KF52" i="91"/>
  <c r="KA51" i="91"/>
  <c r="LV34" i="91"/>
  <c r="JY32" i="91"/>
  <c r="LU29" i="91"/>
  <c r="LS28" i="91"/>
  <c r="KJ23" i="91"/>
  <c r="ME19" i="91"/>
  <c r="HI19" i="91"/>
  <c r="IH19" i="91" s="1"/>
  <c r="MB18" i="91"/>
  <c r="JZ17" i="91"/>
  <c r="LR12" i="91"/>
  <c r="HW216" i="91"/>
  <c r="KN215" i="91"/>
  <c r="KJ214" i="91"/>
  <c r="LS211" i="91"/>
  <c r="JZ210" i="91"/>
  <c r="KI210" i="91"/>
  <c r="GR208" i="91"/>
  <c r="HB204" i="91"/>
  <c r="GT204" i="91"/>
  <c r="GL204" i="91"/>
  <c r="ES204" i="91"/>
  <c r="EK204" i="91"/>
  <c r="KM205" i="91"/>
  <c r="LW205" i="91"/>
  <c r="HJ205" i="91"/>
  <c r="II205" i="91" s="1"/>
  <c r="KO200" i="91"/>
  <c r="KN200" i="91"/>
  <c r="IN216" i="91"/>
  <c r="LR211" i="91"/>
  <c r="HA208" i="91"/>
  <c r="HA204" i="91" s="1"/>
  <c r="GK208" i="91"/>
  <c r="GK204" i="91" s="1"/>
  <c r="EJ208" i="91"/>
  <c r="EJ204" i="91" s="1"/>
  <c r="LT207" i="91"/>
  <c r="LS207" i="91"/>
  <c r="KN207" i="91"/>
  <c r="KB207" i="91"/>
  <c r="HK206" i="91"/>
  <c r="K127" i="1" s="1"/>
  <c r="KI205" i="91"/>
  <c r="JZ205" i="91"/>
  <c r="MC216" i="91"/>
  <c r="LU216" i="91"/>
  <c r="IL216" i="91"/>
  <c r="LU215" i="91"/>
  <c r="KI214" i="91"/>
  <c r="LZ212" i="91"/>
  <c r="KH212" i="91"/>
  <c r="HT212" i="91"/>
  <c r="IF212" i="91"/>
  <c r="MF212" i="91"/>
  <c r="KD212" i="91"/>
  <c r="JT211" i="91"/>
  <c r="JY211" i="91"/>
  <c r="GX208" i="91"/>
  <c r="GP208" i="91"/>
  <c r="GP204" i="91" s="1"/>
  <c r="GH208" i="91"/>
  <c r="GH204" i="91" s="1"/>
  <c r="EO208" i="91"/>
  <c r="EO204" i="91" s="1"/>
  <c r="HM208" i="91"/>
  <c r="HZ208" i="91" s="1"/>
  <c r="HH208" i="91"/>
  <c r="LW200" i="91"/>
  <c r="MD200" i="91"/>
  <c r="ME200" i="91"/>
  <c r="KF200" i="91"/>
  <c r="KA199" i="91"/>
  <c r="KI199" i="91"/>
  <c r="KI197" i="91"/>
  <c r="LW216" i="91"/>
  <c r="II216" i="91"/>
  <c r="MA215" i="91"/>
  <c r="LT215" i="91"/>
  <c r="KE215" i="91"/>
  <c r="GO204" i="91"/>
  <c r="HM211" i="91"/>
  <c r="HG208" i="91"/>
  <c r="HS208" i="91" s="1"/>
  <c r="JZ208" i="91"/>
  <c r="IG207" i="91"/>
  <c r="LZ206" i="91"/>
  <c r="LR206" i="91"/>
  <c r="KM206" i="91"/>
  <c r="IF206" i="91"/>
  <c r="HR206" i="91"/>
  <c r="HR199" i="91"/>
  <c r="IF199" i="91"/>
  <c r="LV216" i="91"/>
  <c r="IA216" i="91"/>
  <c r="HI215" i="91"/>
  <c r="MA214" i="91"/>
  <c r="HR212" i="91"/>
  <c r="HT210" i="91"/>
  <c r="HI210" i="91"/>
  <c r="HU210" i="91" s="1"/>
  <c r="MD210" i="91"/>
  <c r="LS209" i="91"/>
  <c r="JY208" i="91"/>
  <c r="LZ207" i="91"/>
  <c r="KK206" i="91"/>
  <c r="HM205" i="91"/>
  <c r="HZ205" i="91" s="1"/>
  <c r="KB200" i="91"/>
  <c r="KJ200" i="91"/>
  <c r="LU195" i="91"/>
  <c r="MC195" i="91"/>
  <c r="HU195" i="91"/>
  <c r="HX216" i="91"/>
  <c r="JY215" i="91"/>
  <c r="IG215" i="91"/>
  <c r="LZ214" i="91"/>
  <c r="LR214" i="91"/>
  <c r="JS214" i="91"/>
  <c r="MC211" i="91"/>
  <c r="KL211" i="91"/>
  <c r="GW208" i="91"/>
  <c r="GW204" i="91" s="1"/>
  <c r="GG208" i="91"/>
  <c r="GG204" i="91" s="1"/>
  <c r="EN208" i="91"/>
  <c r="EN204" i="91" s="1"/>
  <c r="JS208" i="91"/>
  <c r="KA207" i="91"/>
  <c r="KJ207" i="91"/>
  <c r="KL207" i="91"/>
  <c r="MF205" i="91"/>
  <c r="IE215" i="91"/>
  <c r="HS215" i="91"/>
  <c r="LZ213" i="91"/>
  <c r="LT211" i="91"/>
  <c r="KK211" i="91"/>
  <c r="IF211" i="91"/>
  <c r="KK210" i="91"/>
  <c r="KC210" i="91"/>
  <c r="KL210" i="91"/>
  <c r="JZ207" i="91"/>
  <c r="KI206" i="91"/>
  <c r="KJ206" i="91"/>
  <c r="JS202" i="91"/>
  <c r="JT202" i="91"/>
  <c r="LZ200" i="91"/>
  <c r="LR200" i="91"/>
  <c r="KH198" i="91"/>
  <c r="GY193" i="91"/>
  <c r="GQ193" i="91"/>
  <c r="GI193" i="91"/>
  <c r="EP193" i="91"/>
  <c r="EH193" i="91"/>
  <c r="GB190" i="91"/>
  <c r="FT190" i="91"/>
  <c r="FL190" i="91"/>
  <c r="FD190" i="91"/>
  <c r="EV190" i="91"/>
  <c r="JZ183" i="91"/>
  <c r="KI183" i="91"/>
  <c r="HW178" i="91"/>
  <c r="MB215" i="91"/>
  <c r="MB212" i="91"/>
  <c r="IE211" i="91"/>
  <c r="HR208" i="91"/>
  <c r="KH206" i="91"/>
  <c r="JY200" i="91"/>
  <c r="HW200" i="91"/>
  <c r="HK199" i="91"/>
  <c r="GU196" i="91"/>
  <c r="GM196" i="91"/>
  <c r="GE196" i="91"/>
  <c r="EL196" i="91"/>
  <c r="LT195" i="91"/>
  <c r="HT195" i="91"/>
  <c r="GA190" i="91"/>
  <c r="FS190" i="91"/>
  <c r="FK190" i="91"/>
  <c r="FC190" i="91"/>
  <c r="EU190" i="91"/>
  <c r="HT193" i="91"/>
  <c r="IF193" i="91"/>
  <c r="HL192" i="91"/>
  <c r="LV192" i="91"/>
  <c r="HJ192" i="91"/>
  <c r="HW192" i="91" s="1"/>
  <c r="IN189" i="91"/>
  <c r="KF188" i="91"/>
  <c r="MA210" i="91"/>
  <c r="GZ208" i="91"/>
  <c r="GZ204" i="91" s="1"/>
  <c r="GJ208" i="91"/>
  <c r="GJ204" i="91" s="1"/>
  <c r="EI208" i="91"/>
  <c r="JY205" i="91"/>
  <c r="IA203" i="91"/>
  <c r="IK203" i="91"/>
  <c r="LS200" i="91"/>
  <c r="HV200" i="91"/>
  <c r="HT199" i="91"/>
  <c r="HI198" i="91"/>
  <c r="LZ196" i="91"/>
  <c r="MD195" i="91"/>
  <c r="HS194" i="91"/>
  <c r="LT188" i="91"/>
  <c r="MB188" i="91"/>
  <c r="HL184" i="91"/>
  <c r="IC184" i="91" s="1"/>
  <c r="HJ184" i="91"/>
  <c r="IJ184" i="91" s="1"/>
  <c r="KM184" i="91"/>
  <c r="LU184" i="91"/>
  <c r="HL181" i="91"/>
  <c r="HX181" i="91" s="1"/>
  <c r="LW181" i="91"/>
  <c r="LZ192" i="91"/>
  <c r="LR192" i="91"/>
  <c r="LX187" i="91"/>
  <c r="MA185" i="91"/>
  <c r="LS185" i="91"/>
  <c r="JS204" i="91"/>
  <c r="IF200" i="91"/>
  <c r="HR198" i="91"/>
  <c r="IE198" i="91"/>
  <c r="GV196" i="91"/>
  <c r="GY196" i="91"/>
  <c r="GQ196" i="91"/>
  <c r="GI196" i="91"/>
  <c r="EP196" i="91"/>
  <c r="EH196" i="91"/>
  <c r="MA196" i="91"/>
  <c r="HG196" i="91"/>
  <c r="HL195" i="91"/>
  <c r="IL195" i="91" s="1"/>
  <c r="HR194" i="91"/>
  <c r="HJ193" i="91"/>
  <c r="HT192" i="91"/>
  <c r="IG192" i="91"/>
  <c r="LU191" i="91"/>
  <c r="LV191" i="91"/>
  <c r="IC189" i="91"/>
  <c r="IL189" i="91"/>
  <c r="IA189" i="91"/>
  <c r="LZ181" i="91"/>
  <c r="LR181" i="91"/>
  <c r="GX196" i="91"/>
  <c r="GP196" i="91"/>
  <c r="GH196" i="91"/>
  <c r="EO196" i="91"/>
  <c r="MF197" i="91"/>
  <c r="HI196" i="91"/>
  <c r="KH196" i="91"/>
  <c r="JY196" i="91"/>
  <c r="LS186" i="91"/>
  <c r="LZ186" i="91"/>
  <c r="JT210" i="91"/>
  <c r="GV208" i="91"/>
  <c r="GV204" i="91" s="1"/>
  <c r="GN208" i="91"/>
  <c r="GN204" i="91" s="1"/>
  <c r="EM208" i="91"/>
  <c r="EM204" i="91" s="1"/>
  <c r="MA209" i="91"/>
  <c r="JT209" i="91"/>
  <c r="HT209" i="91"/>
  <c r="GY208" i="91"/>
  <c r="GY204" i="91" s="1"/>
  <c r="GQ208" i="91"/>
  <c r="GQ204" i="91" s="1"/>
  <c r="GI208" i="91"/>
  <c r="GI204" i="91" s="1"/>
  <c r="EP208" i="91"/>
  <c r="EP204" i="91" s="1"/>
  <c r="EH208" i="91"/>
  <c r="EH204" i="91" s="1"/>
  <c r="KH207" i="91"/>
  <c r="HT205" i="91"/>
  <c r="IL203" i="91"/>
  <c r="JS200" i="91"/>
  <c r="HR200" i="91"/>
  <c r="LS199" i="91"/>
  <c r="KJ199" i="91"/>
  <c r="KC199" i="91"/>
  <c r="HJ198" i="91"/>
  <c r="HW198" i="91" s="1"/>
  <c r="GG196" i="91"/>
  <c r="GG190" i="91" s="1"/>
  <c r="IH195" i="91"/>
  <c r="HB193" i="91"/>
  <c r="GT193" i="91"/>
  <c r="GL193" i="91"/>
  <c r="ES193" i="91"/>
  <c r="EK193" i="91"/>
  <c r="HE190" i="91"/>
  <c r="LZ190" i="91"/>
  <c r="LR183" i="91"/>
  <c r="JT183" i="91"/>
  <c r="LT182" i="91"/>
  <c r="HU182" i="91"/>
  <c r="HJ180" i="91"/>
  <c r="ER179" i="91"/>
  <c r="HI179" i="91"/>
  <c r="KJ178" i="91"/>
  <c r="JS177" i="91"/>
  <c r="LS176" i="91"/>
  <c r="JS176" i="91"/>
  <c r="IE175" i="91"/>
  <c r="MA173" i="91"/>
  <c r="IL173" i="91"/>
  <c r="GR169" i="91"/>
  <c r="GJ169" i="91"/>
  <c r="GJ168" i="91" s="1"/>
  <c r="EQ169" i="91"/>
  <c r="KH164" i="91"/>
  <c r="JY164" i="91"/>
  <c r="HU164" i="91"/>
  <c r="IH164" i="91"/>
  <c r="KO163" i="91"/>
  <c r="JZ162" i="91"/>
  <c r="II151" i="91"/>
  <c r="HV151" i="91"/>
  <c r="GZ196" i="91"/>
  <c r="GZ190" i="91" s="1"/>
  <c r="GR196" i="91"/>
  <c r="GJ196" i="91"/>
  <c r="GJ190" i="91" s="1"/>
  <c r="EQ196" i="91"/>
  <c r="EI196" i="91"/>
  <c r="EI190" i="91" s="1"/>
  <c r="GW196" i="91"/>
  <c r="GW190" i="91" s="1"/>
  <c r="GN193" i="91"/>
  <c r="GN190" i="91" s="1"/>
  <c r="GF193" i="91"/>
  <c r="EM193" i="91"/>
  <c r="MD188" i="91"/>
  <c r="HJ186" i="91"/>
  <c r="IF182" i="91"/>
  <c r="LX180" i="91"/>
  <c r="JZ180" i="91"/>
  <c r="HI180" i="91"/>
  <c r="HU180" i="91" s="1"/>
  <c r="KO178" i="91"/>
  <c r="HS178" i="91"/>
  <c r="KD175" i="91"/>
  <c r="HT174" i="91"/>
  <c r="HJ174" i="91"/>
  <c r="HW174" i="91" s="1"/>
  <c r="HM171" i="91"/>
  <c r="HK169" i="91"/>
  <c r="K119" i="1" s="1"/>
  <c r="ME171" i="91"/>
  <c r="HK171" i="91"/>
  <c r="HX171" i="91" s="1"/>
  <c r="MA163" i="91"/>
  <c r="LS163" i="91"/>
  <c r="IL133" i="91"/>
  <c r="IN133" i="91"/>
  <c r="IA133" i="91"/>
  <c r="LZ195" i="91"/>
  <c r="JZ195" i="91"/>
  <c r="LR193" i="91"/>
  <c r="HU188" i="91"/>
  <c r="EL183" i="91"/>
  <c r="HK185" i="91"/>
  <c r="JY182" i="91"/>
  <c r="HT182" i="91"/>
  <c r="HS181" i="91"/>
  <c r="MC181" i="91"/>
  <c r="MC180" i="91"/>
  <c r="HG179" i="91"/>
  <c r="MA178" i="91"/>
  <c r="KD178" i="91"/>
  <c r="HM178" i="91"/>
  <c r="HZ178" i="91" s="1"/>
  <c r="GE176" i="91"/>
  <c r="EL176" i="91"/>
  <c r="GX176" i="91"/>
  <c r="GP176" i="91"/>
  <c r="GH176" i="91"/>
  <c r="EO176" i="91"/>
  <c r="LU174" i="91"/>
  <c r="HR174" i="91"/>
  <c r="LZ173" i="91"/>
  <c r="KF173" i="91"/>
  <c r="HH173" i="91"/>
  <c r="HT173" i="91" s="1"/>
  <c r="LT173" i="91"/>
  <c r="KJ163" i="91"/>
  <c r="LZ162" i="91"/>
  <c r="LR161" i="91"/>
  <c r="GV183" i="91"/>
  <c r="GN183" i="91"/>
  <c r="GF183" i="91"/>
  <c r="EM183" i="91"/>
  <c r="LS173" i="91"/>
  <c r="IA173" i="91"/>
  <c r="LZ171" i="91"/>
  <c r="LR171" i="91"/>
  <c r="LT170" i="91"/>
  <c r="MA170" i="91"/>
  <c r="JY157" i="91"/>
  <c r="MA206" i="91"/>
  <c r="IG206" i="91"/>
  <c r="KJ205" i="91"/>
  <c r="HR205" i="91"/>
  <c r="KL200" i="91"/>
  <c r="LZ198" i="91"/>
  <c r="LZ197" i="91"/>
  <c r="GT196" i="91"/>
  <c r="ES196" i="91"/>
  <c r="JY195" i="91"/>
  <c r="HK195" i="91"/>
  <c r="GK193" i="91"/>
  <c r="EJ193" i="91"/>
  <c r="KH194" i="91"/>
  <c r="IF194" i="91"/>
  <c r="GX193" i="91"/>
  <c r="GP193" i="91"/>
  <c r="GH193" i="91"/>
  <c r="EO193" i="91"/>
  <c r="HW194" i="91"/>
  <c r="HI193" i="91"/>
  <c r="GC190" i="91"/>
  <c r="FM190" i="91"/>
  <c r="EW190" i="91"/>
  <c r="LU192" i="91"/>
  <c r="MD191" i="91"/>
  <c r="KJ191" i="91"/>
  <c r="HR191" i="91"/>
  <c r="LU187" i="91"/>
  <c r="HA183" i="91"/>
  <c r="EJ183" i="91"/>
  <c r="KH183" i="91"/>
  <c r="GC168" i="91"/>
  <c r="FU168" i="91"/>
  <c r="FM168" i="91"/>
  <c r="FE168" i="91"/>
  <c r="EW168" i="91"/>
  <c r="HR182" i="91"/>
  <c r="HR181" i="91"/>
  <c r="HR180" i="91"/>
  <c r="EN179" i="91"/>
  <c r="IE179" i="91"/>
  <c r="LR178" i="91"/>
  <c r="KC178" i="91"/>
  <c r="ER176" i="91"/>
  <c r="EJ176" i="91"/>
  <c r="LT177" i="91"/>
  <c r="KJ177" i="91"/>
  <c r="IE177" i="91"/>
  <c r="GF176" i="91"/>
  <c r="KH176" i="91"/>
  <c r="KH173" i="91"/>
  <c r="LT171" i="91"/>
  <c r="KK171" i="91"/>
  <c r="GV169" i="91"/>
  <c r="GV168" i="91" s="1"/>
  <c r="GF169" i="91"/>
  <c r="GF168" i="91" s="1"/>
  <c r="EM169" i="91"/>
  <c r="EM168" i="91" s="1"/>
  <c r="HW163" i="91"/>
  <c r="GZ183" i="91"/>
  <c r="GR183" i="91"/>
  <c r="EI183" i="91"/>
  <c r="GL183" i="91"/>
  <c r="GU179" i="91"/>
  <c r="GM179" i="91"/>
  <c r="EL179" i="91"/>
  <c r="LF280" i="91"/>
  <c r="KA169" i="91"/>
  <c r="HA158" i="91"/>
  <c r="GS158" i="91"/>
  <c r="GK158" i="91"/>
  <c r="ER158" i="91"/>
  <c r="EJ158" i="91"/>
  <c r="HT178" i="91"/>
  <c r="HB176" i="91"/>
  <c r="GT176" i="91"/>
  <c r="EK176" i="91"/>
  <c r="HJ176" i="91"/>
  <c r="LR176" i="91"/>
  <c r="JY176" i="91"/>
  <c r="KI174" i="91"/>
  <c r="IF173" i="91"/>
  <c r="KK173" i="91"/>
  <c r="HI173" i="91"/>
  <c r="HL170" i="91"/>
  <c r="IK170" i="91" s="1"/>
  <c r="KE170" i="91"/>
  <c r="ME170" i="91"/>
  <c r="HJ170" i="91"/>
  <c r="HW170" i="91" s="1"/>
  <c r="MA161" i="91"/>
  <c r="KM156" i="91"/>
  <c r="LT194" i="91"/>
  <c r="HR193" i="91"/>
  <c r="FZ190" i="91"/>
  <c r="FR190" i="91"/>
  <c r="FJ190" i="91"/>
  <c r="FB190" i="91"/>
  <c r="JT191" i="91"/>
  <c r="LZ187" i="91"/>
  <c r="EN183" i="91"/>
  <c r="MA186" i="91"/>
  <c r="GS183" i="91"/>
  <c r="ER183" i="91"/>
  <c r="HK180" i="91"/>
  <c r="HK172" i="91"/>
  <c r="HW172" i="91" s="1"/>
  <c r="ME172" i="91"/>
  <c r="II171" i="91"/>
  <c r="LS161" i="91"/>
  <c r="LT160" i="91"/>
  <c r="IN167" i="91"/>
  <c r="IJ165" i="91"/>
  <c r="LZ164" i="91"/>
  <c r="KE163" i="91"/>
  <c r="IJ163" i="91"/>
  <c r="HI163" i="91"/>
  <c r="IH163" i="91" s="1"/>
  <c r="MB161" i="91"/>
  <c r="KF161" i="91"/>
  <c r="MB160" i="91"/>
  <c r="KA160" i="91"/>
  <c r="KO160" i="91"/>
  <c r="KH158" i="91"/>
  <c r="IE157" i="91"/>
  <c r="LR155" i="91"/>
  <c r="LT154" i="91"/>
  <c r="JT153" i="91"/>
  <c r="IL153" i="91"/>
  <c r="MB140" i="91"/>
  <c r="LT140" i="91"/>
  <c r="JS137" i="91"/>
  <c r="JT137" i="91"/>
  <c r="LS135" i="91"/>
  <c r="MA135" i="91"/>
  <c r="IK153" i="91"/>
  <c r="KJ151" i="91"/>
  <c r="HT151" i="91"/>
  <c r="HU151" i="91"/>
  <c r="HS147" i="91"/>
  <c r="KD146" i="91"/>
  <c r="HS144" i="91"/>
  <c r="LS125" i="91"/>
  <c r="KA125" i="91"/>
  <c r="JS174" i="91"/>
  <c r="IG171" i="91"/>
  <c r="HR169" i="91"/>
  <c r="MB163" i="91"/>
  <c r="KA161" i="91"/>
  <c r="LZ157" i="91"/>
  <c r="JT157" i="91"/>
  <c r="LS156" i="91"/>
  <c r="JS156" i="91"/>
  <c r="HL155" i="91"/>
  <c r="L97" i="1" s="1"/>
  <c r="MA154" i="91"/>
  <c r="HI154" i="91"/>
  <c r="IH154" i="91" s="1"/>
  <c r="IC153" i="91"/>
  <c r="KB152" i="91"/>
  <c r="JZ151" i="91"/>
  <c r="HS148" i="91"/>
  <c r="KI145" i="91"/>
  <c r="KJ145" i="91"/>
  <c r="KE142" i="91"/>
  <c r="KO142" i="91"/>
  <c r="IA136" i="91"/>
  <c r="IN136" i="91"/>
  <c r="KJ135" i="91"/>
  <c r="JY133" i="91"/>
  <c r="JZ133" i="91"/>
  <c r="KH133" i="91"/>
  <c r="IK132" i="91"/>
  <c r="IJ132" i="91"/>
  <c r="JT129" i="91"/>
  <c r="JS129" i="91"/>
  <c r="IE126" i="91"/>
  <c r="HR126" i="91"/>
  <c r="GM158" i="91"/>
  <c r="GI149" i="91"/>
  <c r="EP149" i="91"/>
  <c r="EH149" i="91"/>
  <c r="EH139" i="91" s="1"/>
  <c r="EH138" i="91" s="1"/>
  <c r="LZ149" i="91"/>
  <c r="LS148" i="91"/>
  <c r="HT148" i="91"/>
  <c r="MD147" i="91"/>
  <c r="HM147" i="91"/>
  <c r="KH146" i="91"/>
  <c r="JZ145" i="91"/>
  <c r="IL142" i="91"/>
  <c r="IA142" i="91"/>
  <c r="MA142" i="91"/>
  <c r="MB142" i="91"/>
  <c r="JS141" i="91"/>
  <c r="JT141" i="91"/>
  <c r="JT133" i="91"/>
  <c r="JS171" i="91"/>
  <c r="HS171" i="91"/>
  <c r="HA169" i="91"/>
  <c r="GS169" i="91"/>
  <c r="ER169" i="91"/>
  <c r="ER168" i="91" s="1"/>
  <c r="EJ169" i="91"/>
  <c r="HK164" i="91"/>
  <c r="K106" i="1" s="1"/>
  <c r="LZ163" i="91"/>
  <c r="JS163" i="91"/>
  <c r="HR163" i="91"/>
  <c r="KH162" i="91"/>
  <c r="HS162" i="91"/>
  <c r="HJ161" i="91"/>
  <c r="J103" i="1" s="1"/>
  <c r="GR158" i="91"/>
  <c r="HK160" i="91"/>
  <c r="HW160" i="91" s="1"/>
  <c r="LR159" i="91"/>
  <c r="JS159" i="91"/>
  <c r="KH159" i="91"/>
  <c r="HJ157" i="91"/>
  <c r="II157" i="91" s="1"/>
  <c r="LZ156" i="91"/>
  <c r="KA154" i="91"/>
  <c r="KH153" i="91"/>
  <c r="HJ153" i="91"/>
  <c r="LZ152" i="91"/>
  <c r="HM151" i="91"/>
  <c r="EL149" i="91"/>
  <c r="EO149" i="91"/>
  <c r="HK149" i="91"/>
  <c r="K94" i="1" s="1"/>
  <c r="HL148" i="91"/>
  <c r="IN148" i="91" s="1"/>
  <c r="FO139" i="91"/>
  <c r="FO138" i="91" s="1"/>
  <c r="HX144" i="91"/>
  <c r="LR141" i="91"/>
  <c r="JZ131" i="91"/>
  <c r="KI131" i="91"/>
  <c r="KO126" i="91"/>
  <c r="HL126" i="91"/>
  <c r="HJ126" i="91"/>
  <c r="KI162" i="91"/>
  <c r="MD157" i="91"/>
  <c r="KO155" i="91"/>
  <c r="KO153" i="91"/>
  <c r="MC152" i="91"/>
  <c r="HS152" i="91"/>
  <c r="HV152" i="91"/>
  <c r="LS151" i="91"/>
  <c r="MF150" i="91"/>
  <c r="JS150" i="91"/>
  <c r="KH149" i="91"/>
  <c r="LT145" i="91"/>
  <c r="MB145" i="91"/>
  <c r="LS144" i="91"/>
  <c r="LZ144" i="91"/>
  <c r="KF142" i="91"/>
  <c r="MB130" i="91"/>
  <c r="HU130" i="91"/>
  <c r="KJ127" i="91"/>
  <c r="HU170" i="91"/>
  <c r="IE169" i="91"/>
  <c r="IE162" i="91"/>
  <c r="IG161" i="91"/>
  <c r="LW160" i="91"/>
  <c r="LZ155" i="91"/>
  <c r="HK151" i="91"/>
  <c r="HW151" i="91" s="1"/>
  <c r="HA149" i="91"/>
  <c r="GK149" i="91"/>
  <c r="HR150" i="91"/>
  <c r="HJ148" i="91"/>
  <c r="II148" i="91" s="1"/>
  <c r="LS147" i="91"/>
  <c r="IC147" i="91"/>
  <c r="LZ146" i="91"/>
  <c r="HR143" i="91"/>
  <c r="LT141" i="91"/>
  <c r="MA141" i="91"/>
  <c r="KF133" i="91"/>
  <c r="HJ133" i="91"/>
  <c r="KD133" i="91"/>
  <c r="LT132" i="91"/>
  <c r="LU132" i="91"/>
  <c r="MB132" i="91"/>
  <c r="LU170" i="91"/>
  <c r="KI170" i="91"/>
  <c r="HT170" i="91"/>
  <c r="LR169" i="91"/>
  <c r="IK167" i="91"/>
  <c r="HT164" i="91"/>
  <c r="JT162" i="91"/>
  <c r="LU160" i="91"/>
  <c r="GY158" i="91"/>
  <c r="GQ158" i="91"/>
  <c r="GI158" i="91"/>
  <c r="EP158" i="91"/>
  <c r="KI157" i="91"/>
  <c r="HT157" i="91"/>
  <c r="LX156" i="91"/>
  <c r="KJ155" i="91"/>
  <c r="IE155" i="91"/>
  <c r="LR153" i="91"/>
  <c r="MA152" i="91"/>
  <c r="KB151" i="91"/>
  <c r="IH151" i="91"/>
  <c r="ME148" i="91"/>
  <c r="KH148" i="91"/>
  <c r="KJ147" i="91"/>
  <c r="LZ145" i="91"/>
  <c r="HI142" i="91"/>
  <c r="HU142" i="91" s="1"/>
  <c r="KC142" i="91"/>
  <c r="MA133" i="91"/>
  <c r="MB133" i="91"/>
  <c r="MB126" i="91"/>
  <c r="IL120" i="91"/>
  <c r="HT119" i="91"/>
  <c r="IG119" i="91"/>
  <c r="HR118" i="91"/>
  <c r="MB101" i="91"/>
  <c r="LT101" i="91"/>
  <c r="HK100" i="91"/>
  <c r="HI100" i="91"/>
  <c r="IH100" i="91" s="1"/>
  <c r="HU70" i="91"/>
  <c r="IH70" i="91"/>
  <c r="IK144" i="91"/>
  <c r="GC139" i="91"/>
  <c r="GC138" i="91" s="1"/>
  <c r="GC137" i="91" s="1"/>
  <c r="FU139" i="91"/>
  <c r="FU138" i="91" s="1"/>
  <c r="FU137" i="91" s="1"/>
  <c r="FM139" i="91"/>
  <c r="FM138" i="91" s="1"/>
  <c r="FM137" i="91" s="1"/>
  <c r="FE139" i="91"/>
  <c r="FE138" i="91" s="1"/>
  <c r="FE137" i="91" s="1"/>
  <c r="FE166" i="91" s="1"/>
  <c r="EW139" i="91"/>
  <c r="EW138" i="91" s="1"/>
  <c r="EW137" i="91" s="1"/>
  <c r="JS140" i="91"/>
  <c r="JY140" i="91"/>
  <c r="KF135" i="91"/>
  <c r="KF134" i="91"/>
  <c r="KI133" i="91"/>
  <c r="KE131" i="91"/>
  <c r="HI131" i="91"/>
  <c r="II131" i="91" s="1"/>
  <c r="KI127" i="91"/>
  <c r="JS124" i="91"/>
  <c r="IE124" i="91"/>
  <c r="LS122" i="91"/>
  <c r="IH120" i="91"/>
  <c r="HM119" i="91"/>
  <c r="HZ119" i="91" s="1"/>
  <c r="JT117" i="91"/>
  <c r="LT121" i="91"/>
  <c r="KJ120" i="91"/>
  <c r="HX120" i="91"/>
  <c r="MB108" i="91"/>
  <c r="HR108" i="91"/>
  <c r="IE108" i="91"/>
  <c r="JP101" i="91"/>
  <c r="JS101" i="91" s="1"/>
  <c r="LS132" i="91"/>
  <c r="MA132" i="91"/>
  <c r="HW131" i="91"/>
  <c r="KB131" i="91"/>
  <c r="HR129" i="91"/>
  <c r="KH127" i="91"/>
  <c r="IF126" i="91"/>
  <c r="HK123" i="91"/>
  <c r="IJ123" i="91" s="1"/>
  <c r="MC123" i="91"/>
  <c r="KE120" i="91"/>
  <c r="LU70" i="91"/>
  <c r="LV70" i="91"/>
  <c r="MC70" i="91"/>
  <c r="HR142" i="91"/>
  <c r="KI140" i="91"/>
  <c r="LT135" i="91"/>
  <c r="JT135" i="91"/>
  <c r="HR135" i="91"/>
  <c r="JT134" i="91"/>
  <c r="IG133" i="91"/>
  <c r="II132" i="91"/>
  <c r="LS131" i="91"/>
  <c r="IF131" i="91"/>
  <c r="HR131" i="91"/>
  <c r="LR128" i="91"/>
  <c r="HL127" i="91"/>
  <c r="LR125" i="91"/>
  <c r="HH124" i="91"/>
  <c r="LZ123" i="91"/>
  <c r="KB121" i="91"/>
  <c r="KM120" i="91"/>
  <c r="MF119" i="91"/>
  <c r="HU147" i="91"/>
  <c r="MD146" i="91"/>
  <c r="IF146" i="91"/>
  <c r="KH144" i="91"/>
  <c r="IA144" i="91"/>
  <c r="HS141" i="91"/>
  <c r="FY139" i="91"/>
  <c r="FY138" i="91" s="1"/>
  <c r="FY137" i="91" s="1"/>
  <c r="FQ139" i="91"/>
  <c r="FQ138" i="91" s="1"/>
  <c r="FQ137" i="91" s="1"/>
  <c r="FI139" i="91"/>
  <c r="FI138" i="91" s="1"/>
  <c r="FI137" i="91" s="1"/>
  <c r="FA139" i="91"/>
  <c r="FA138" i="91" s="1"/>
  <c r="FA137" i="91" s="1"/>
  <c r="KH140" i="91"/>
  <c r="HL140" i="91"/>
  <c r="L91" i="1" s="1"/>
  <c r="JS139" i="91"/>
  <c r="LR138" i="91"/>
  <c r="MB135" i="91"/>
  <c r="HL134" i="91"/>
  <c r="L85" i="1" s="1"/>
  <c r="HR133" i="91"/>
  <c r="JS132" i="91"/>
  <c r="JZ132" i="91"/>
  <c r="IC132" i="91"/>
  <c r="HU132" i="91"/>
  <c r="KH131" i="91"/>
  <c r="IA131" i="91"/>
  <c r="KJ130" i="91"/>
  <c r="IE130" i="91"/>
  <c r="KF129" i="91"/>
  <c r="MB127" i="91"/>
  <c r="HJ127" i="91"/>
  <c r="MA126" i="91"/>
  <c r="KE123" i="91"/>
  <c r="MB120" i="91"/>
  <c r="HJ120" i="91"/>
  <c r="IJ120" i="91" s="1"/>
  <c r="MB119" i="91"/>
  <c r="LZ118" i="91"/>
  <c r="LR108" i="91"/>
  <c r="LU86" i="91"/>
  <c r="MC86" i="91"/>
  <c r="LT144" i="91"/>
  <c r="HJ135" i="91"/>
  <c r="EJ124" i="91"/>
  <c r="EJ117" i="91" s="1"/>
  <c r="KL123" i="91"/>
  <c r="JS121" i="91"/>
  <c r="JZ119" i="91"/>
  <c r="KI119" i="91"/>
  <c r="HK103" i="91"/>
  <c r="KH99" i="91"/>
  <c r="LZ142" i="91"/>
  <c r="FW139" i="91"/>
  <c r="FW138" i="91" s="1"/>
  <c r="FW137" i="91" s="1"/>
  <c r="FG139" i="91"/>
  <c r="FG138" i="91" s="1"/>
  <c r="FG137" i="91" s="1"/>
  <c r="EY139" i="91"/>
  <c r="EY138" i="91" s="1"/>
  <c r="EY137" i="91" s="1"/>
  <c r="LZ135" i="91"/>
  <c r="HS134" i="91"/>
  <c r="IA132" i="91"/>
  <c r="LR131" i="91"/>
  <c r="LT130" i="91"/>
  <c r="KH130" i="91"/>
  <c r="HJ130" i="91"/>
  <c r="II130" i="91" s="1"/>
  <c r="LT129" i="91"/>
  <c r="JY129" i="91"/>
  <c r="HT126" i="91"/>
  <c r="GW125" i="91"/>
  <c r="GW124" i="91" s="1"/>
  <c r="GW117" i="91" s="1"/>
  <c r="GO125" i="91"/>
  <c r="GO124" i="91" s="1"/>
  <c r="GO117" i="91" s="1"/>
  <c r="JS125" i="91"/>
  <c r="LZ121" i="91"/>
  <c r="LZ120" i="91"/>
  <c r="IN120" i="91"/>
  <c r="HU119" i="91"/>
  <c r="JS118" i="91"/>
  <c r="LZ99" i="91"/>
  <c r="LR99" i="91"/>
  <c r="HM102" i="91"/>
  <c r="HZ102" i="91" s="1"/>
  <c r="HB99" i="91"/>
  <c r="HB92" i="91" s="1"/>
  <c r="GT99" i="91"/>
  <c r="GT92" i="91" s="1"/>
  <c r="GL99" i="91"/>
  <c r="IA91" i="91"/>
  <c r="GV87" i="91"/>
  <c r="GV83" i="91" s="1"/>
  <c r="GV77" i="91" s="1"/>
  <c r="GN87" i="91"/>
  <c r="GN83" i="91" s="1"/>
  <c r="GN77" i="91" s="1"/>
  <c r="GF87" i="91"/>
  <c r="GF83" i="91" s="1"/>
  <c r="GF77" i="91" s="1"/>
  <c r="EM87" i="91"/>
  <c r="EM83" i="91" s="1"/>
  <c r="EM77" i="91" s="1"/>
  <c r="HJ85" i="91"/>
  <c r="LR82" i="91"/>
  <c r="JZ82" i="91"/>
  <c r="HS78" i="91"/>
  <c r="KK70" i="91"/>
  <c r="MA67" i="91"/>
  <c r="LS67" i="91"/>
  <c r="MK67" i="91"/>
  <c r="JQ106" i="91"/>
  <c r="LR101" i="91"/>
  <c r="KJ101" i="91"/>
  <c r="KF101" i="91"/>
  <c r="KA100" i="91"/>
  <c r="GS99" i="91"/>
  <c r="GS92" i="91" s="1"/>
  <c r="GK99" i="91"/>
  <c r="GK92" i="91" s="1"/>
  <c r="HJ96" i="91"/>
  <c r="LZ90" i="91"/>
  <c r="HI90" i="91"/>
  <c r="II90" i="91" s="1"/>
  <c r="KA89" i="91"/>
  <c r="HR89" i="91"/>
  <c r="JP88" i="91"/>
  <c r="JT88" i="91" s="1"/>
  <c r="KO86" i="91"/>
  <c r="HJ86" i="91"/>
  <c r="LR78" i="91"/>
  <c r="JY78" i="91"/>
  <c r="HX71" i="91"/>
  <c r="HM70" i="91"/>
  <c r="HZ70" i="91" s="1"/>
  <c r="HR68" i="91"/>
  <c r="LT142" i="91"/>
  <c r="FX139" i="91"/>
  <c r="FX138" i="91" s="1"/>
  <c r="FP139" i="91"/>
  <c r="FP138" i="91" s="1"/>
  <c r="FP137" i="91" s="1"/>
  <c r="FH139" i="91"/>
  <c r="FH138" i="91" s="1"/>
  <c r="FH137" i="91" s="1"/>
  <c r="EZ139" i="91"/>
  <c r="EZ138" i="91" s="1"/>
  <c r="EZ137" i="91" s="1"/>
  <c r="EZ166" i="91" s="1"/>
  <c r="LR140" i="91"/>
  <c r="HT140" i="91"/>
  <c r="LR134" i="91"/>
  <c r="HR132" i="91"/>
  <c r="HS130" i="91"/>
  <c r="HT129" i="91"/>
  <c r="KH128" i="91"/>
  <c r="GL125" i="91"/>
  <c r="GL124" i="91" s="1"/>
  <c r="GL117" i="91" s="1"/>
  <c r="LZ126" i="91"/>
  <c r="JS126" i="91"/>
  <c r="JY126" i="91"/>
  <c r="MB122" i="91"/>
  <c r="JT122" i="91"/>
  <c r="JY122" i="91"/>
  <c r="HS122" i="91"/>
  <c r="IF119" i="91"/>
  <c r="LU102" i="91"/>
  <c r="KK102" i="91"/>
  <c r="HK101" i="91"/>
  <c r="JY100" i="91"/>
  <c r="HM97" i="91"/>
  <c r="HK93" i="91"/>
  <c r="IJ93" i="91" s="1"/>
  <c r="HI93" i="91"/>
  <c r="II93" i="91" s="1"/>
  <c r="HF92" i="91"/>
  <c r="GC83" i="91"/>
  <c r="GC77" i="91" s="1"/>
  <c r="FU83" i="91"/>
  <c r="FU77" i="91" s="1"/>
  <c r="FM83" i="91"/>
  <c r="FM77" i="91" s="1"/>
  <c r="ME86" i="91"/>
  <c r="HT85" i="91"/>
  <c r="HL82" i="91"/>
  <c r="L56" i="1" s="1"/>
  <c r="HK80" i="91"/>
  <c r="HI80" i="91"/>
  <c r="ME70" i="91"/>
  <c r="LW70" i="91"/>
  <c r="KA69" i="91"/>
  <c r="KJ69" i="91"/>
  <c r="HI96" i="91"/>
  <c r="LR90" i="91"/>
  <c r="HM90" i="91"/>
  <c r="HZ90" i="91" s="1"/>
  <c r="HL90" i="91"/>
  <c r="IC90" i="91" s="1"/>
  <c r="HK90" i="91"/>
  <c r="LR89" i="91"/>
  <c r="GB83" i="91"/>
  <c r="GB77" i="91" s="1"/>
  <c r="FT83" i="91"/>
  <c r="FT77" i="91" s="1"/>
  <c r="FL83" i="91"/>
  <c r="FL77" i="91" s="1"/>
  <c r="KJ85" i="91"/>
  <c r="IE85" i="91"/>
  <c r="KF82" i="91"/>
  <c r="IE78" i="91"/>
  <c r="LW71" i="91"/>
  <c r="LV71" i="91"/>
  <c r="IL71" i="91"/>
  <c r="II71" i="91"/>
  <c r="MD50" i="91"/>
  <c r="LU50" i="91"/>
  <c r="LZ108" i="91"/>
  <c r="KI108" i="91"/>
  <c r="MA102" i="91"/>
  <c r="KI102" i="91"/>
  <c r="LZ100" i="91"/>
  <c r="HG100" i="91"/>
  <c r="HT100" i="91" s="1"/>
  <c r="GX99" i="91"/>
  <c r="GX92" i="91" s="1"/>
  <c r="GP99" i="91"/>
  <c r="GP92" i="91" s="1"/>
  <c r="GH99" i="91"/>
  <c r="GH92" i="91" s="1"/>
  <c r="HL96" i="91"/>
  <c r="HJ95" i="91"/>
  <c r="HR93" i="91"/>
  <c r="HH86" i="91"/>
  <c r="JY85" i="91"/>
  <c r="LZ83" i="91"/>
  <c r="MC82" i="91"/>
  <c r="LW82" i="91"/>
  <c r="KA82" i="91"/>
  <c r="IG82" i="91"/>
  <c r="HD77" i="91"/>
  <c r="KI71" i="91"/>
  <c r="IK71" i="91"/>
  <c r="JY69" i="91"/>
  <c r="ME54" i="91"/>
  <c r="MF87" i="91"/>
  <c r="HH87" i="91"/>
  <c r="MC85" i="91"/>
  <c r="HS85" i="91"/>
  <c r="LV54" i="91"/>
  <c r="MD54" i="91"/>
  <c r="HL108" i="91"/>
  <c r="HJ108" i="91"/>
  <c r="J65" i="1" s="1"/>
  <c r="IJ107" i="91"/>
  <c r="LZ103" i="91"/>
  <c r="GY99" i="91"/>
  <c r="GY92" i="91" s="1"/>
  <c r="GQ99" i="91"/>
  <c r="GQ92" i="91" s="1"/>
  <c r="GI99" i="91"/>
  <c r="GI92" i="91" s="1"/>
  <c r="EP99" i="91"/>
  <c r="EP92" i="91" s="1"/>
  <c r="EH99" i="91"/>
  <c r="EH92" i="91" s="1"/>
  <c r="HM101" i="91"/>
  <c r="HZ101" i="91" s="1"/>
  <c r="HR100" i="91"/>
  <c r="HR99" i="91"/>
  <c r="HH92" i="91"/>
  <c r="IK91" i="91"/>
  <c r="KH90" i="91"/>
  <c r="HT90" i="91"/>
  <c r="LX86" i="91"/>
  <c r="LT86" i="91"/>
  <c r="KI86" i="91"/>
  <c r="LZ85" i="91"/>
  <c r="HI85" i="91"/>
  <c r="HU85" i="91" s="1"/>
  <c r="IE84" i="91"/>
  <c r="KJ82" i="91"/>
  <c r="HM82" i="91"/>
  <c r="HZ82" i="91" s="1"/>
  <c r="LZ78" i="91"/>
  <c r="IA71" i="91"/>
  <c r="LZ70" i="91"/>
  <c r="HL70" i="91"/>
  <c r="HX70" i="91" s="1"/>
  <c r="MC45" i="91"/>
  <c r="LU45" i="91"/>
  <c r="HM103" i="91"/>
  <c r="HZ103" i="91" s="1"/>
  <c r="HE92" i="91"/>
  <c r="GY87" i="91"/>
  <c r="GY83" i="91" s="1"/>
  <c r="GY77" i="91" s="1"/>
  <c r="GQ87" i="91"/>
  <c r="GQ83" i="91" s="1"/>
  <c r="GQ77" i="91" s="1"/>
  <c r="GI87" i="91"/>
  <c r="GI83" i="91" s="1"/>
  <c r="GI77" i="91" s="1"/>
  <c r="EP87" i="91"/>
  <c r="EP83" i="91" s="1"/>
  <c r="EP77" i="91" s="1"/>
  <c r="EH87" i="91"/>
  <c r="EH83" i="91" s="1"/>
  <c r="EH77" i="91" s="1"/>
  <c r="KH88" i="91"/>
  <c r="LZ87" i="91"/>
  <c r="KH86" i="91"/>
  <c r="IE86" i="91"/>
  <c r="LZ84" i="91"/>
  <c r="FW83" i="91"/>
  <c r="FW77" i="91" s="1"/>
  <c r="FO83" i="91"/>
  <c r="FO77" i="91" s="1"/>
  <c r="FG83" i="91"/>
  <c r="FG77" i="91" s="1"/>
  <c r="HR83" i="91"/>
  <c r="KF68" i="91"/>
  <c r="HL68" i="91"/>
  <c r="IN68" i="91" s="1"/>
  <c r="LX66" i="91"/>
  <c r="MF66" i="91"/>
  <c r="LV50" i="91"/>
  <c r="FW63" i="91"/>
  <c r="FW74" i="91" s="1"/>
  <c r="FO63" i="91"/>
  <c r="FG63" i="91"/>
  <c r="II38" i="91"/>
  <c r="IJ38" i="91"/>
  <c r="JY37" i="91"/>
  <c r="KH37" i="91"/>
  <c r="KC36" i="91"/>
  <c r="KL36" i="91"/>
  <c r="MD23" i="91"/>
  <c r="ME23" i="91"/>
  <c r="HK66" i="91"/>
  <c r="JY58" i="91"/>
  <c r="HR58" i="91"/>
  <c r="KO57" i="91"/>
  <c r="IJ57" i="91"/>
  <c r="HS56" i="91"/>
  <c r="LR54" i="91"/>
  <c r="KA54" i="91"/>
  <c r="MK53" i="91"/>
  <c r="KJ53" i="91"/>
  <c r="JP53" i="91"/>
  <c r="JS53" i="91" s="1"/>
  <c r="LW53" i="91"/>
  <c r="MB52" i="91"/>
  <c r="IG50" i="91"/>
  <c r="KA49" i="91"/>
  <c r="HM48" i="91"/>
  <c r="HZ48" i="91" s="1"/>
  <c r="MA46" i="91"/>
  <c r="LU30" i="91"/>
  <c r="MC30" i="91"/>
  <c r="MF25" i="91"/>
  <c r="LX25" i="91"/>
  <c r="GY67" i="91"/>
  <c r="GQ67" i="91"/>
  <c r="GI67" i="91"/>
  <c r="EP67" i="91"/>
  <c r="EP63" i="91" s="1"/>
  <c r="HT68" i="91"/>
  <c r="HT66" i="91"/>
  <c r="LR65" i="91"/>
  <c r="II58" i="91"/>
  <c r="KN57" i="91"/>
  <c r="HM56" i="91"/>
  <c r="HZ56" i="91" s="1"/>
  <c r="HS55" i="91"/>
  <c r="HL54" i="91"/>
  <c r="L39" i="1" s="1"/>
  <c r="L66" i="3" s="1"/>
  <c r="LT53" i="91"/>
  <c r="IE53" i="91"/>
  <c r="LR52" i="91"/>
  <c r="KA52" i="91"/>
  <c r="MD51" i="91"/>
  <c r="MA49" i="91"/>
  <c r="JP49" i="91"/>
  <c r="JT49" i="91" s="1"/>
  <c r="LR46" i="91"/>
  <c r="JP45" i="91"/>
  <c r="JT45" i="91" s="1"/>
  <c r="GD40" i="91"/>
  <c r="HT36" i="91"/>
  <c r="IF69" i="91"/>
  <c r="MC68" i="91"/>
  <c r="GW67" i="91"/>
  <c r="GO67" i="91"/>
  <c r="GG67" i="91"/>
  <c r="EN67" i="91"/>
  <c r="EN63" i="91" s="1"/>
  <c r="JY66" i="91"/>
  <c r="HD63" i="91"/>
  <c r="IG56" i="91"/>
  <c r="KA55" i="91"/>
  <c r="HJ49" i="91"/>
  <c r="ME44" i="91"/>
  <c r="HL44" i="91"/>
  <c r="L29" i="1" s="1"/>
  <c r="MK43" i="91"/>
  <c r="ME43" i="91"/>
  <c r="MF43" i="91"/>
  <c r="LW43" i="91"/>
  <c r="LX43" i="91"/>
  <c r="MB37" i="91"/>
  <c r="KI37" i="91"/>
  <c r="LS36" i="91"/>
  <c r="LT36" i="91"/>
  <c r="KH35" i="91"/>
  <c r="HM33" i="91"/>
  <c r="LX26" i="91"/>
  <c r="LW26" i="91"/>
  <c r="ME26" i="91"/>
  <c r="MF26" i="91"/>
  <c r="LX17" i="91"/>
  <c r="MF17" i="91"/>
  <c r="KH67" i="91"/>
  <c r="LR64" i="91"/>
  <c r="LR57" i="91"/>
  <c r="II57" i="91"/>
  <c r="MA53" i="91"/>
  <c r="JY52" i="91"/>
  <c r="IE52" i="91"/>
  <c r="LW51" i="91"/>
  <c r="IE51" i="91"/>
  <c r="HL49" i="91"/>
  <c r="L34" i="1" s="1"/>
  <c r="L60" i="3" s="1"/>
  <c r="LV44" i="91"/>
  <c r="IL37" i="91"/>
  <c r="IA37" i="91"/>
  <c r="IC37" i="91"/>
  <c r="GY64" i="91"/>
  <c r="GQ64" i="91"/>
  <c r="GI64" i="91"/>
  <c r="EP64" i="91"/>
  <c r="EH64" i="91"/>
  <c r="MA65" i="91"/>
  <c r="LR58" i="91"/>
  <c r="JP58" i="91"/>
  <c r="JT58" i="91" s="1"/>
  <c r="LW54" i="91"/>
  <c r="HL52" i="91"/>
  <c r="L37" i="1" s="1"/>
  <c r="L63" i="3" s="1"/>
  <c r="HM49" i="91"/>
  <c r="HZ49" i="91" s="1"/>
  <c r="HK49" i="91"/>
  <c r="K34" i="1" s="1"/>
  <c r="HI49" i="91"/>
  <c r="KH47" i="91"/>
  <c r="MD45" i="91"/>
  <c r="LU44" i="91"/>
  <c r="MC44" i="91"/>
  <c r="IN37" i="91"/>
  <c r="IG34" i="91"/>
  <c r="HT34" i="91"/>
  <c r="LV25" i="91"/>
  <c r="MD25" i="91"/>
  <c r="GX64" i="91"/>
  <c r="GX63" i="91" s="1"/>
  <c r="GP64" i="91"/>
  <c r="GP63" i="91" s="1"/>
  <c r="GH64" i="91"/>
  <c r="GH63" i="91" s="1"/>
  <c r="EO64" i="91"/>
  <c r="MF64" i="91"/>
  <c r="KH65" i="91"/>
  <c r="HK65" i="91"/>
  <c r="HU57" i="91"/>
  <c r="LR55" i="91"/>
  <c r="HM55" i="91"/>
  <c r="HZ55" i="91" s="1"/>
  <c r="LX51" i="91"/>
  <c r="KH51" i="91"/>
  <c r="HT51" i="91"/>
  <c r="HR50" i="91"/>
  <c r="JP50" i="91"/>
  <c r="JS50" i="91" s="1"/>
  <c r="JZ49" i="91"/>
  <c r="HL48" i="91"/>
  <c r="L33" i="1" s="1"/>
  <c r="LR47" i="91"/>
  <c r="LT46" i="91"/>
  <c r="KA46" i="91"/>
  <c r="KO43" i="91"/>
  <c r="HJ43" i="91"/>
  <c r="HI43" i="91"/>
  <c r="IH43" i="91" s="1"/>
  <c r="JZ37" i="91"/>
  <c r="MA34" i="91"/>
  <c r="LS34" i="91"/>
  <c r="JZ34" i="91"/>
  <c r="KI34" i="91"/>
  <c r="HM68" i="91"/>
  <c r="HA67" i="91"/>
  <c r="GS67" i="91"/>
  <c r="GK67" i="91"/>
  <c r="ER67" i="91"/>
  <c r="ER63" i="91" s="1"/>
  <c r="EJ67" i="91"/>
  <c r="EJ63" i="91" s="1"/>
  <c r="JP68" i="91"/>
  <c r="JS68" i="91" s="1"/>
  <c r="HJ68" i="91"/>
  <c r="FX63" i="91"/>
  <c r="FP63" i="91"/>
  <c r="FH63" i="91"/>
  <c r="LX65" i="91"/>
  <c r="HM65" i="91"/>
  <c r="HZ65" i="91" s="1"/>
  <c r="HH63" i="91"/>
  <c r="FY60" i="91"/>
  <c r="HK55" i="91"/>
  <c r="K40" i="1" s="1"/>
  <c r="HI55" i="91"/>
  <c r="HU55" i="91" s="1"/>
  <c r="JY54" i="91"/>
  <c r="HK54" i="91"/>
  <c r="K39" i="1" s="1"/>
  <c r="JY53" i="91"/>
  <c r="HK50" i="91"/>
  <c r="K35" i="1" s="1"/>
  <c r="HJ50" i="91"/>
  <c r="HI50" i="91"/>
  <c r="HU50" i="91" s="1"/>
  <c r="LV49" i="91"/>
  <c r="IE47" i="91"/>
  <c r="MA44" i="91"/>
  <c r="HK44" i="91"/>
  <c r="K29" i="1" s="1"/>
  <c r="LS43" i="91"/>
  <c r="LV26" i="91"/>
  <c r="MD26" i="91"/>
  <c r="LZ44" i="91"/>
  <c r="HL43" i="91"/>
  <c r="L28" i="1" s="1"/>
  <c r="L54" i="3" s="1"/>
  <c r="IK37" i="91"/>
  <c r="JT36" i="91"/>
  <c r="IH36" i="91"/>
  <c r="HS35" i="91"/>
  <c r="KH34" i="91"/>
  <c r="KH32" i="91"/>
  <c r="HT32" i="91"/>
  <c r="HJ32" i="91"/>
  <c r="HI32" i="91"/>
  <c r="HU32" i="91" s="1"/>
  <c r="MB30" i="91"/>
  <c r="JY30" i="91"/>
  <c r="HT30" i="91"/>
  <c r="HM30" i="91"/>
  <c r="HZ30" i="91" s="1"/>
  <c r="HI30" i="91"/>
  <c r="HU30" i="91" s="1"/>
  <c r="HR29" i="91"/>
  <c r="HK29" i="91"/>
  <c r="K20" i="1" s="1"/>
  <c r="HI29" i="91"/>
  <c r="IH29" i="91" s="1"/>
  <c r="HL28" i="91"/>
  <c r="L19" i="1" s="1"/>
  <c r="JY26" i="91"/>
  <c r="KF26" i="91"/>
  <c r="KC26" i="91"/>
  <c r="HT24" i="91"/>
  <c r="LZ19" i="91"/>
  <c r="KJ19" i="91"/>
  <c r="HL19" i="91"/>
  <c r="IN19" i="91" s="1"/>
  <c r="HJ19" i="91"/>
  <c r="KA16" i="91"/>
  <c r="HI16" i="91"/>
  <c r="IE13" i="91"/>
  <c r="LZ48" i="91"/>
  <c r="LS45" i="91"/>
  <c r="HM44" i="91"/>
  <c r="HZ44" i="91" s="1"/>
  <c r="KI43" i="91"/>
  <c r="IN38" i="91"/>
  <c r="MK37" i="91"/>
  <c r="LX36" i="91"/>
  <c r="IG36" i="91"/>
  <c r="IJ36" i="91"/>
  <c r="JP35" i="91"/>
  <c r="JT35" i="91" s="1"/>
  <c r="KR34" i="91"/>
  <c r="HS33" i="91"/>
  <c r="HR31" i="91"/>
  <c r="LS27" i="91"/>
  <c r="LT24" i="91"/>
  <c r="KA24" i="91"/>
  <c r="HS23" i="91"/>
  <c r="MA22" i="91"/>
  <c r="LT19" i="91"/>
  <c r="MF18" i="91"/>
  <c r="LX13" i="91"/>
  <c r="KC13" i="91"/>
  <c r="LZ12" i="91"/>
  <c r="LV12" i="91"/>
  <c r="JZ12" i="91"/>
  <c r="HE11" i="91"/>
  <c r="IP68" i="91" s="1"/>
  <c r="HM46" i="91"/>
  <c r="HZ46" i="91" s="1"/>
  <c r="LW44" i="91"/>
  <c r="JY44" i="91"/>
  <c r="MB43" i="91"/>
  <c r="MK39" i="91"/>
  <c r="KD37" i="91"/>
  <c r="LW36" i="91"/>
  <c r="HU36" i="91"/>
  <c r="LS32" i="91"/>
  <c r="MK31" i="91"/>
  <c r="HJ29" i="91"/>
  <c r="LV28" i="91"/>
  <c r="KK28" i="91"/>
  <c r="HM26" i="91"/>
  <c r="HZ26" i="91" s="1"/>
  <c r="LZ25" i="91"/>
  <c r="HM25" i="91"/>
  <c r="HZ25" i="91" s="1"/>
  <c r="JP25" i="91"/>
  <c r="JT25" i="91" s="1"/>
  <c r="HK25" i="91"/>
  <c r="K17" i="1" s="1"/>
  <c r="HJ25" i="91"/>
  <c r="HI25" i="91"/>
  <c r="IH25" i="91" s="1"/>
  <c r="LV24" i="91"/>
  <c r="LS23" i="91"/>
  <c r="LT23" i="91"/>
  <c r="HK23" i="91"/>
  <c r="K15" i="1" s="1"/>
  <c r="LZ22" i="91"/>
  <c r="JS20" i="91"/>
  <c r="KA18" i="91"/>
  <c r="HS17" i="91"/>
  <c r="MF16" i="91"/>
  <c r="LS16" i="91"/>
  <c r="LT13" i="91"/>
  <c r="LU12" i="91"/>
  <c r="KC37" i="91"/>
  <c r="MB34" i="91"/>
  <c r="HK33" i="91"/>
  <c r="LS30" i="91"/>
  <c r="HK30" i="91"/>
  <c r="K21" i="1" s="1"/>
  <c r="JP29" i="91"/>
  <c r="JS29" i="91" s="1"/>
  <c r="LU28" i="91"/>
  <c r="KJ26" i="91"/>
  <c r="LT25" i="91"/>
  <c r="LR24" i="91"/>
  <c r="HM24" i="91"/>
  <c r="HZ24" i="91" s="1"/>
  <c r="HK24" i="91"/>
  <c r="K16" i="1" s="1"/>
  <c r="HM23" i="91"/>
  <c r="HZ23" i="91" s="1"/>
  <c r="HK19" i="91"/>
  <c r="HL17" i="91"/>
  <c r="IN17" i="91" s="1"/>
  <c r="HD11" i="91"/>
  <c r="HM28" i="91"/>
  <c r="HZ28" i="91" s="1"/>
  <c r="LU22" i="91"/>
  <c r="IG18" i="91"/>
  <c r="HL18" i="91"/>
  <c r="IN18" i="91" s="1"/>
  <c r="MC17" i="91"/>
  <c r="JZ16" i="91"/>
  <c r="IF16" i="91"/>
  <c r="KJ15" i="91"/>
  <c r="MK14" i="91"/>
  <c r="MI55" i="91"/>
  <c r="HS37" i="91"/>
  <c r="HS36" i="91"/>
  <c r="LZ30" i="91"/>
  <c r="JZ29" i="91"/>
  <c r="JY29" i="91"/>
  <c r="HL29" i="91"/>
  <c r="L20" i="1" s="1"/>
  <c r="HK28" i="91"/>
  <c r="K19" i="1" s="1"/>
  <c r="LS26" i="91"/>
  <c r="HL24" i="91"/>
  <c r="L16" i="1" s="1"/>
  <c r="MK22" i="91"/>
  <c r="KA22" i="91"/>
  <c r="HJ22" i="91"/>
  <c r="HM18" i="91"/>
  <c r="HZ18" i="91" s="1"/>
  <c r="LS44" i="91"/>
  <c r="IF44" i="91"/>
  <c r="KN37" i="91"/>
  <c r="JS36" i="91"/>
  <c r="HR36" i="91"/>
  <c r="KI35" i="91"/>
  <c r="JZ33" i="91"/>
  <c r="IG33" i="91"/>
  <c r="HR33" i="91"/>
  <c r="HS32" i="91"/>
  <c r="HL32" i="91"/>
  <c r="IN32" i="91" s="1"/>
  <c r="KA30" i="91"/>
  <c r="HS30" i="91"/>
  <c r="HL30" i="91"/>
  <c r="L21" i="1" s="1"/>
  <c r="HJ30" i="91"/>
  <c r="MC29" i="91"/>
  <c r="HT29" i="91"/>
  <c r="LR28" i="91"/>
  <c r="JZ28" i="91"/>
  <c r="HM27" i="91"/>
  <c r="HZ27" i="91" s="1"/>
  <c r="IG26" i="91"/>
  <c r="HJ26" i="91"/>
  <c r="LW24" i="91"/>
  <c r="MF23" i="91"/>
  <c r="KA23" i="91"/>
  <c r="JY22" i="91"/>
  <c r="KH18" i="91"/>
  <c r="LS17" i="91"/>
  <c r="HR17" i="91"/>
  <c r="HS15" i="91"/>
  <c r="HI33" i="91"/>
  <c r="IH33" i="91" s="1"/>
  <c r="LW30" i="91"/>
  <c r="JP30" i="91"/>
  <c r="JS30" i="91" s="1"/>
  <c r="JO23" i="91"/>
  <c r="JP23" i="91"/>
  <c r="JS23" i="91" s="1"/>
  <c r="JY213" i="91"/>
  <c r="KH213" i="91"/>
  <c r="IK217" i="91"/>
  <c r="IC217" i="91"/>
  <c r="IL217" i="91"/>
  <c r="IN217" i="91"/>
  <c r="IA217" i="91"/>
  <c r="HX215" i="91"/>
  <c r="HL208" i="91"/>
  <c r="L130" i="1" s="1"/>
  <c r="GR204" i="91"/>
  <c r="EI204" i="91"/>
  <c r="LZ216" i="91"/>
  <c r="LR216" i="91"/>
  <c r="LS216" i="91"/>
  <c r="KD216" i="91"/>
  <c r="KM216" i="91"/>
  <c r="KE216" i="91"/>
  <c r="KN216" i="91"/>
  <c r="KJ215" i="91"/>
  <c r="JZ215" i="91"/>
  <c r="KI215" i="91"/>
  <c r="KA215" i="91"/>
  <c r="MC212" i="91"/>
  <c r="LU212" i="91"/>
  <c r="GX204" i="91"/>
  <c r="HW215" i="91"/>
  <c r="IK215" i="91"/>
  <c r="LT214" i="91"/>
  <c r="HT214" i="91"/>
  <c r="IG214" i="91"/>
  <c r="JS215" i="91"/>
  <c r="JT213" i="91"/>
  <c r="JS213" i="91"/>
  <c r="KD209" i="91"/>
  <c r="KM209" i="91"/>
  <c r="ER190" i="91"/>
  <c r="MA216" i="91"/>
  <c r="LX215" i="91"/>
  <c r="ME215" i="91"/>
  <c r="MF215" i="91"/>
  <c r="KK215" i="91"/>
  <c r="KB215" i="91"/>
  <c r="KE205" i="91"/>
  <c r="KF205" i="91"/>
  <c r="KN205" i="91"/>
  <c r="KO205" i="91"/>
  <c r="KL216" i="91"/>
  <c r="KC216" i="91"/>
  <c r="IK216" i="91"/>
  <c r="HU216" i="91"/>
  <c r="KH215" i="91"/>
  <c r="JT215" i="91"/>
  <c r="HM215" i="91"/>
  <c r="HZ215" i="91" s="1"/>
  <c r="HI212" i="91"/>
  <c r="JS211" i="91"/>
  <c r="JZ211" i="91"/>
  <c r="KI211" i="91"/>
  <c r="IE210" i="91"/>
  <c r="KK209" i="91"/>
  <c r="JZ209" i="91"/>
  <c r="HS209" i="91"/>
  <c r="MB207" i="91"/>
  <c r="IE207" i="91"/>
  <c r="HS207" i="91"/>
  <c r="IF207" i="91"/>
  <c r="HT206" i="91"/>
  <c r="IG205" i="91"/>
  <c r="JB279" i="91"/>
  <c r="KC200" i="91"/>
  <c r="IA200" i="91"/>
  <c r="MC199" i="91"/>
  <c r="KL199" i="91"/>
  <c r="IF195" i="91"/>
  <c r="GV193" i="91"/>
  <c r="FP190" i="91"/>
  <c r="IE192" i="91"/>
  <c r="LW191" i="91"/>
  <c r="MF191" i="91"/>
  <c r="ME191" i="91"/>
  <c r="KO191" i="91"/>
  <c r="IF191" i="91"/>
  <c r="HS191" i="91"/>
  <c r="HM191" i="91"/>
  <c r="KE191" i="91"/>
  <c r="HI191" i="91"/>
  <c r="HM188" i="91"/>
  <c r="HZ188" i="91" s="1"/>
  <c r="IG180" i="91"/>
  <c r="HS180" i="91"/>
  <c r="IF180" i="91"/>
  <c r="HT180" i="91"/>
  <c r="HM179" i="91"/>
  <c r="HZ179" i="91" s="1"/>
  <c r="MB216" i="91"/>
  <c r="KK216" i="91"/>
  <c r="IJ216" i="91"/>
  <c r="HV215" i="91"/>
  <c r="IG212" i="91"/>
  <c r="MB211" i="91"/>
  <c r="KM210" i="91"/>
  <c r="KB210" i="91"/>
  <c r="LT209" i="91"/>
  <c r="KJ209" i="91"/>
  <c r="HM209" i="91"/>
  <c r="GU208" i="91"/>
  <c r="GU204" i="91" s="1"/>
  <c r="GM208" i="91"/>
  <c r="GM204" i="91" s="1"/>
  <c r="GE208" i="91"/>
  <c r="GE204" i="91" s="1"/>
  <c r="JT208" i="91"/>
  <c r="MA207" i="91"/>
  <c r="KL206" i="91"/>
  <c r="KA206" i="91"/>
  <c r="LT200" i="91"/>
  <c r="MC200" i="91"/>
  <c r="IL200" i="91"/>
  <c r="HX200" i="91"/>
  <c r="LS198" i="91"/>
  <c r="HT197" i="91"/>
  <c r="LR195" i="91"/>
  <c r="MA195" i="91"/>
  <c r="MC191" i="91"/>
  <c r="JS191" i="91"/>
  <c r="GO190" i="91"/>
  <c r="EN190" i="91"/>
  <c r="GT183" i="91"/>
  <c r="IE183" i="91"/>
  <c r="HR183" i="91"/>
  <c r="HT177" i="91"/>
  <c r="KF212" i="91"/>
  <c r="KO212" i="91"/>
  <c r="KA210" i="91"/>
  <c r="KF210" i="91"/>
  <c r="KO210" i="91"/>
  <c r="KE210" i="91"/>
  <c r="IN210" i="91"/>
  <c r="KI209" i="91"/>
  <c r="KL209" i="91"/>
  <c r="HJ209" i="91"/>
  <c r="LR208" i="91"/>
  <c r="HL207" i="91"/>
  <c r="L129" i="1" s="1"/>
  <c r="LT206" i="91"/>
  <c r="JZ206" i="91"/>
  <c r="HL206" i="91"/>
  <c r="L127" i="1" s="1"/>
  <c r="KA205" i="91"/>
  <c r="IJ200" i="91"/>
  <c r="HL199" i="91"/>
  <c r="HY199" i="91" s="1"/>
  <c r="JT198" i="91"/>
  <c r="JZ198" i="91"/>
  <c r="KI198" i="91"/>
  <c r="GL196" i="91"/>
  <c r="EK196" i="91"/>
  <c r="EK190" i="91" s="1"/>
  <c r="HJ197" i="91"/>
  <c r="KF195" i="91"/>
  <c r="KO195" i="91"/>
  <c r="GD190" i="91"/>
  <c r="FV190" i="91"/>
  <c r="FN190" i="91"/>
  <c r="FF190" i="91"/>
  <c r="EX190" i="91"/>
  <c r="IH192" i="91"/>
  <c r="HU192" i="91"/>
  <c r="LZ191" i="91"/>
  <c r="HL188" i="91"/>
  <c r="LZ185" i="91"/>
  <c r="LR185" i="91"/>
  <c r="IG181" i="91"/>
  <c r="HT181" i="91"/>
  <c r="HS177" i="91"/>
  <c r="IG177" i="91"/>
  <c r="LV215" i="91"/>
  <c r="LS214" i="91"/>
  <c r="IE214" i="91"/>
  <c r="LS212" i="91"/>
  <c r="IE212" i="91"/>
  <c r="KF207" i="91"/>
  <c r="KO207" i="91"/>
  <c r="HL205" i="91"/>
  <c r="L126" i="1" s="1"/>
  <c r="HF204" i="91"/>
  <c r="KH200" i="91"/>
  <c r="HS200" i="91"/>
  <c r="LR199" i="91"/>
  <c r="MA199" i="91"/>
  <c r="HJ199" i="91"/>
  <c r="KK198" i="91"/>
  <c r="IK198" i="91"/>
  <c r="IC198" i="91"/>
  <c r="IN198" i="91"/>
  <c r="LR197" i="91"/>
  <c r="JT197" i="91"/>
  <c r="GK196" i="91"/>
  <c r="EJ196" i="91"/>
  <c r="HM194" i="91"/>
  <c r="HZ194" i="91" s="1"/>
  <c r="FU190" i="91"/>
  <c r="FE190" i="91"/>
  <c r="JT190" i="91"/>
  <c r="IN186" i="91"/>
  <c r="IA186" i="91"/>
  <c r="IL186" i="91"/>
  <c r="HM212" i="91"/>
  <c r="HZ212" i="91" s="1"/>
  <c r="KC211" i="91"/>
  <c r="LT210" i="91"/>
  <c r="IL210" i="91"/>
  <c r="IA210" i="91"/>
  <c r="LR209" i="91"/>
  <c r="HI209" i="91"/>
  <c r="EQ208" i="91"/>
  <c r="EQ204" i="91" s="1"/>
  <c r="KK207" i="91"/>
  <c r="HJ207" i="91"/>
  <c r="IJ207" i="91" s="1"/>
  <c r="LS206" i="91"/>
  <c r="JS206" i="91"/>
  <c r="HJ206" i="91"/>
  <c r="LT205" i="91"/>
  <c r="KB205" i="91"/>
  <c r="KK205" i="91"/>
  <c r="HE204" i="91"/>
  <c r="HE279" i="91" s="1"/>
  <c r="LT199" i="91"/>
  <c r="HU199" i="91"/>
  <c r="IH199" i="91"/>
  <c r="KJ198" i="91"/>
  <c r="JY197" i="91"/>
  <c r="KH197" i="91"/>
  <c r="JZ197" i="91"/>
  <c r="HL197" i="91"/>
  <c r="HY197" i="91" s="1"/>
  <c r="KA195" i="91"/>
  <c r="HL194" i="91"/>
  <c r="GR193" i="91"/>
  <c r="EQ193" i="91"/>
  <c r="HJ191" i="91"/>
  <c r="IJ191" i="91" s="1"/>
  <c r="LZ188" i="91"/>
  <c r="MA188" i="91"/>
  <c r="KA188" i="91"/>
  <c r="KJ188" i="91"/>
  <c r="KB188" i="91"/>
  <c r="MA187" i="91"/>
  <c r="LS187" i="91"/>
  <c r="MB187" i="91"/>
  <c r="KF180" i="91"/>
  <c r="KO180" i="91"/>
  <c r="IF177" i="91"/>
  <c r="MD215" i="91"/>
  <c r="HT215" i="91"/>
  <c r="HL212" i="91"/>
  <c r="L128" i="1" s="1"/>
  <c r="LR205" i="91"/>
  <c r="MA205" i="91"/>
  <c r="LZ205" i="91"/>
  <c r="JA279" i="91"/>
  <c r="LB279" i="91"/>
  <c r="KF199" i="91"/>
  <c r="KO199" i="91"/>
  <c r="KE199" i="91"/>
  <c r="JZ194" i="91"/>
  <c r="KI194" i="91"/>
  <c r="KJ194" i="91"/>
  <c r="IG194" i="91"/>
  <c r="HT194" i="91"/>
  <c r="KA192" i="91"/>
  <c r="KJ192" i="91"/>
  <c r="KK192" i="91"/>
  <c r="IN191" i="91"/>
  <c r="IA191" i="91"/>
  <c r="IK191" i="91"/>
  <c r="HX191" i="91"/>
  <c r="IL191" i="91"/>
  <c r="ES183" i="91"/>
  <c r="HL185" i="91"/>
  <c r="HJ185" i="91"/>
  <c r="LS182" i="91"/>
  <c r="LR182" i="91"/>
  <c r="LZ182" i="91"/>
  <c r="MA182" i="91"/>
  <c r="ME216" i="91"/>
  <c r="LU211" i="91"/>
  <c r="IK211" i="91"/>
  <c r="LR210" i="91"/>
  <c r="KC209" i="91"/>
  <c r="IG209" i="91"/>
  <c r="MC209" i="91"/>
  <c r="LZ208" i="91"/>
  <c r="IE208" i="91"/>
  <c r="MB206" i="91"/>
  <c r="IH206" i="91"/>
  <c r="MC205" i="91"/>
  <c r="IC200" i="91"/>
  <c r="KN199" i="91"/>
  <c r="HK197" i="91"/>
  <c r="HI197" i="91"/>
  <c r="HS195" i="91"/>
  <c r="IJ194" i="91"/>
  <c r="HI194" i="91"/>
  <c r="HK188" i="91"/>
  <c r="II187" i="91"/>
  <c r="HV187" i="91"/>
  <c r="GI183" i="91"/>
  <c r="KD185" i="91"/>
  <c r="GW183" i="91"/>
  <c r="JT214" i="91"/>
  <c r="JT212" i="91"/>
  <c r="HJ212" i="91"/>
  <c r="KJ211" i="91"/>
  <c r="KA211" i="91"/>
  <c r="IG211" i="91"/>
  <c r="HK210" i="91"/>
  <c r="IH207" i="91"/>
  <c r="MC206" i="91"/>
  <c r="JT205" i="91"/>
  <c r="IH205" i="91"/>
  <c r="JT204" i="91"/>
  <c r="KD200" i="91"/>
  <c r="KM200" i="91"/>
  <c r="KE200" i="91"/>
  <c r="IN200" i="91"/>
  <c r="ME199" i="91"/>
  <c r="KM199" i="91"/>
  <c r="KB199" i="91"/>
  <c r="KK199" i="91"/>
  <c r="IL198" i="91"/>
  <c r="HX198" i="91"/>
  <c r="HM198" i="91"/>
  <c r="LS197" i="91"/>
  <c r="KI195" i="91"/>
  <c r="JT195" i="91"/>
  <c r="IG195" i="91"/>
  <c r="HR195" i="91"/>
  <c r="JS194" i="91"/>
  <c r="JT194" i="91"/>
  <c r="FQ190" i="91"/>
  <c r="FI190" i="91"/>
  <c r="MB192" i="91"/>
  <c r="JY192" i="91"/>
  <c r="JZ192" i="91"/>
  <c r="IF192" i="91"/>
  <c r="IG191" i="91"/>
  <c r="HD190" i="91"/>
  <c r="LR188" i="91"/>
  <c r="JZ182" i="91"/>
  <c r="KI182" i="91"/>
  <c r="IA201" i="91"/>
  <c r="IK201" i="91"/>
  <c r="JZ200" i="91"/>
  <c r="KI200" i="91"/>
  <c r="JT199" i="91"/>
  <c r="JT193" i="91"/>
  <c r="IH187" i="91"/>
  <c r="LT186" i="91"/>
  <c r="GX183" i="91"/>
  <c r="GX168" i="91" s="1"/>
  <c r="GP183" i="91"/>
  <c r="GH183" i="91"/>
  <c r="EO183" i="91"/>
  <c r="EO168" i="91" s="1"/>
  <c r="HM184" i="91"/>
  <c r="HI184" i="91"/>
  <c r="JS179" i="91"/>
  <c r="JT179" i="91"/>
  <c r="IG176" i="91"/>
  <c r="HT176" i="91"/>
  <c r="IN203" i="91"/>
  <c r="IH200" i="91"/>
  <c r="HU200" i="91"/>
  <c r="IG200" i="91"/>
  <c r="IG199" i="91"/>
  <c r="HS199" i="91"/>
  <c r="IE199" i="91"/>
  <c r="JT196" i="91"/>
  <c r="IE196" i="91"/>
  <c r="HJ195" i="91"/>
  <c r="LS194" i="91"/>
  <c r="IG193" i="91"/>
  <c r="HS193" i="91"/>
  <c r="IE193" i="91"/>
  <c r="LS191" i="91"/>
  <c r="MB191" i="91"/>
  <c r="KK188" i="91"/>
  <c r="KE184" i="91"/>
  <c r="KO184" i="91"/>
  <c r="KF184" i="91"/>
  <c r="GO183" i="91"/>
  <c r="GG183" i="91"/>
  <c r="MA181" i="91"/>
  <c r="MB181" i="91"/>
  <c r="HB179" i="91"/>
  <c r="GT179" i="91"/>
  <c r="GL179" i="91"/>
  <c r="ES179" i="91"/>
  <c r="EK179" i="91"/>
  <c r="HL180" i="91"/>
  <c r="KH178" i="91"/>
  <c r="JY178" i="91"/>
  <c r="KI178" i="91"/>
  <c r="II178" i="91"/>
  <c r="GH168" i="91"/>
  <c r="FB168" i="91"/>
  <c r="HT158" i="91"/>
  <c r="HS158" i="91"/>
  <c r="IG158" i="91"/>
  <c r="IF158" i="91"/>
  <c r="IH188" i="91"/>
  <c r="KB187" i="91"/>
  <c r="MB185" i="91"/>
  <c r="GY183" i="91"/>
  <c r="GQ183" i="91"/>
  <c r="GQ168" i="91" s="1"/>
  <c r="MA184" i="91"/>
  <c r="HA179" i="91"/>
  <c r="GS179" i="91"/>
  <c r="GK179" i="91"/>
  <c r="EJ179" i="91"/>
  <c r="LT178" i="91"/>
  <c r="MB178" i="91"/>
  <c r="KH177" i="91"/>
  <c r="JY177" i="91"/>
  <c r="IE176" i="91"/>
  <c r="IG175" i="91"/>
  <c r="HM185" i="91"/>
  <c r="HZ185" i="91" s="1"/>
  <c r="LR184" i="91"/>
  <c r="LZ184" i="91"/>
  <c r="KK182" i="91"/>
  <c r="KB182" i="91"/>
  <c r="KA181" i="91"/>
  <c r="KI181" i="91"/>
  <c r="HS175" i="91"/>
  <c r="IF175" i="91"/>
  <c r="HM175" i="91"/>
  <c r="HZ175" i="91" s="1"/>
  <c r="FP168" i="91"/>
  <c r="JS192" i="91"/>
  <c r="MA191" i="91"/>
  <c r="JY191" i="91"/>
  <c r="KH191" i="91"/>
  <c r="IJ189" i="91"/>
  <c r="HJ188" i="91"/>
  <c r="KA187" i="91"/>
  <c r="KJ187" i="91"/>
  <c r="HU187" i="91"/>
  <c r="MB186" i="91"/>
  <c r="LT185" i="91"/>
  <c r="HB183" i="91"/>
  <c r="EK183" i="91"/>
  <c r="HH184" i="91"/>
  <c r="KJ182" i="91"/>
  <c r="KA182" i="91"/>
  <c r="JZ181" i="91"/>
  <c r="KH181" i="91"/>
  <c r="JY181" i="91"/>
  <c r="HJ181" i="91"/>
  <c r="IJ181" i="91" s="1"/>
  <c r="GQ179" i="91"/>
  <c r="LU178" i="91"/>
  <c r="JZ178" i="91"/>
  <c r="HV178" i="91"/>
  <c r="IJ178" i="91"/>
  <c r="HS176" i="91"/>
  <c r="HM180" i="91"/>
  <c r="HK179" i="91"/>
  <c r="K114" i="1" s="1"/>
  <c r="JY179" i="91"/>
  <c r="KH179" i="91"/>
  <c r="LS178" i="91"/>
  <c r="GR176" i="91"/>
  <c r="GJ176" i="91"/>
  <c r="EQ176" i="91"/>
  <c r="EI176" i="91"/>
  <c r="FW168" i="91"/>
  <c r="FG168" i="91"/>
  <c r="HW187" i="91"/>
  <c r="GJ183" i="91"/>
  <c r="EQ183" i="91"/>
  <c r="HG183" i="91"/>
  <c r="HJ182" i="91"/>
  <c r="HW182" i="91" s="1"/>
  <c r="JS181" i="91"/>
  <c r="JT181" i="91"/>
  <c r="KJ180" i="91"/>
  <c r="JS180" i="91"/>
  <c r="JT180" i="91"/>
  <c r="IH178" i="91"/>
  <c r="GY176" i="91"/>
  <c r="GQ176" i="91"/>
  <c r="GI176" i="91"/>
  <c r="GI168" i="91" s="1"/>
  <c r="EP176" i="91"/>
  <c r="EH176" i="91"/>
  <c r="GD168" i="91"/>
  <c r="FV168" i="91"/>
  <c r="FN168" i="91"/>
  <c r="EX168" i="91"/>
  <c r="LZ175" i="91"/>
  <c r="MA175" i="91"/>
  <c r="LS175" i="91"/>
  <c r="HM177" i="91"/>
  <c r="HK177" i="91"/>
  <c r="IK175" i="91"/>
  <c r="IA175" i="91"/>
  <c r="IL175" i="91"/>
  <c r="IC175" i="91"/>
  <c r="HX175" i="91"/>
  <c r="FL168" i="91"/>
  <c r="EV168" i="91"/>
  <c r="KD181" i="91"/>
  <c r="KM181" i="91"/>
  <c r="LR180" i="91"/>
  <c r="MA180" i="91"/>
  <c r="KN180" i="91"/>
  <c r="LU172" i="91"/>
  <c r="MD172" i="91"/>
  <c r="IA171" i="91"/>
  <c r="IC171" i="91"/>
  <c r="IL171" i="91"/>
  <c r="IN171" i="91"/>
  <c r="HD168" i="91"/>
  <c r="II163" i="91"/>
  <c r="KL156" i="91"/>
  <c r="LZ180" i="91"/>
  <c r="HJ175" i="91"/>
  <c r="KD173" i="91"/>
  <c r="HK173" i="91"/>
  <c r="K110" i="1" s="1"/>
  <c r="LV172" i="91"/>
  <c r="KA171" i="91"/>
  <c r="KJ171" i="91"/>
  <c r="HS170" i="91"/>
  <c r="IE170" i="91"/>
  <c r="IF170" i="91"/>
  <c r="GW169" i="91"/>
  <c r="GW168" i="91" s="1"/>
  <c r="GO169" i="91"/>
  <c r="EN169" i="91"/>
  <c r="EN168" i="91" s="1"/>
  <c r="GB168" i="91"/>
  <c r="GB202" i="91" s="1"/>
  <c r="GB218" i="91" s="1"/>
  <c r="FT168" i="91"/>
  <c r="FD168" i="91"/>
  <c r="MA164" i="91"/>
  <c r="LS164" i="91"/>
  <c r="II160" i="91"/>
  <c r="HV160" i="91"/>
  <c r="LU159" i="91"/>
  <c r="MC159" i="91"/>
  <c r="KM159" i="91"/>
  <c r="KD159" i="91"/>
  <c r="HU159" i="91"/>
  <c r="LR158" i="91"/>
  <c r="JT158" i="91"/>
  <c r="JS158" i="91"/>
  <c r="KK156" i="91"/>
  <c r="KB156" i="91"/>
  <c r="KA156" i="91"/>
  <c r="KJ156" i="91"/>
  <c r="KA185" i="91"/>
  <c r="KJ185" i="91"/>
  <c r="EP183" i="91"/>
  <c r="EH183" i="91"/>
  <c r="IE182" i="91"/>
  <c r="HM181" i="91"/>
  <c r="KL180" i="91"/>
  <c r="JZ179" i="91"/>
  <c r="KI179" i="91"/>
  <c r="HJ177" i="91"/>
  <c r="HA176" i="91"/>
  <c r="GS176" i="91"/>
  <c r="GK176" i="91"/>
  <c r="LU175" i="91"/>
  <c r="LT175" i="91"/>
  <c r="KA175" i="91"/>
  <c r="HI175" i="91"/>
  <c r="KA174" i="91"/>
  <c r="IG174" i="91"/>
  <c r="IE173" i="91"/>
  <c r="LS172" i="91"/>
  <c r="MB172" i="91"/>
  <c r="JZ171" i="91"/>
  <c r="IE171" i="91"/>
  <c r="LS170" i="91"/>
  <c r="MB170" i="91"/>
  <c r="GP168" i="91"/>
  <c r="HD166" i="91"/>
  <c r="JS164" i="91"/>
  <c r="KH163" i="91"/>
  <c r="JY163" i="91"/>
  <c r="KI163" i="91"/>
  <c r="IG163" i="91"/>
  <c r="HT163" i="91"/>
  <c r="HL162" i="91"/>
  <c r="L104" i="1" s="1"/>
  <c r="HJ162" i="91"/>
  <c r="J104" i="1" s="1"/>
  <c r="KD162" i="91"/>
  <c r="HH162" i="91"/>
  <c r="IE161" i="91"/>
  <c r="HT161" i="91"/>
  <c r="IF161" i="91"/>
  <c r="HM161" i="91"/>
  <c r="HZ161" i="91" s="1"/>
  <c r="HK161" i="91"/>
  <c r="K103" i="1" s="1"/>
  <c r="LV161" i="91"/>
  <c r="HI161" i="91"/>
  <c r="KC161" i="91"/>
  <c r="MF160" i="91"/>
  <c r="LX160" i="91"/>
  <c r="IG159" i="91"/>
  <c r="HT159" i="91"/>
  <c r="IH159" i="91"/>
  <c r="HL149" i="91"/>
  <c r="L94" i="1" s="1"/>
  <c r="HI177" i="91"/>
  <c r="FO168" i="91"/>
  <c r="EY168" i="91"/>
  <c r="EY202" i="91" s="1"/>
  <c r="EY218" i="91" s="1"/>
  <c r="KJ175" i="91"/>
  <c r="KJ174" i="91"/>
  <c r="JZ174" i="91"/>
  <c r="KA173" i="91"/>
  <c r="KJ173" i="91"/>
  <c r="JY171" i="91"/>
  <c r="KH171" i="91"/>
  <c r="KA170" i="91"/>
  <c r="KJ170" i="91"/>
  <c r="KI169" i="91"/>
  <c r="JZ169" i="91"/>
  <c r="FZ168" i="91"/>
  <c r="FR168" i="91"/>
  <c r="FJ168" i="91"/>
  <c r="HL164" i="91"/>
  <c r="L106" i="1" s="1"/>
  <c r="HJ164" i="91"/>
  <c r="JS162" i="91"/>
  <c r="MB159" i="91"/>
  <c r="LT159" i="91"/>
  <c r="MA159" i="91"/>
  <c r="KK157" i="91"/>
  <c r="KB157" i="91"/>
  <c r="KC157" i="91"/>
  <c r="LR174" i="91"/>
  <c r="MA174" i="91"/>
  <c r="LV173" i="91"/>
  <c r="JY173" i="91"/>
  <c r="JZ173" i="91"/>
  <c r="KI173" i="91"/>
  <c r="HS173" i="91"/>
  <c r="IF171" i="91"/>
  <c r="HU171" i="91"/>
  <c r="HV171" i="91"/>
  <c r="IH171" i="91"/>
  <c r="FQ168" i="91"/>
  <c r="FI168" i="91"/>
  <c r="FA168" i="91"/>
  <c r="IN165" i="91"/>
  <c r="IC165" i="91"/>
  <c r="IK165" i="91"/>
  <c r="LR164" i="91"/>
  <c r="KK164" i="91"/>
  <c r="KB164" i="91"/>
  <c r="JY161" i="91"/>
  <c r="JZ161" i="91"/>
  <c r="KH161" i="91"/>
  <c r="KI161" i="91"/>
  <c r="IG156" i="91"/>
  <c r="JT175" i="91"/>
  <c r="JT174" i="91"/>
  <c r="HV172" i="91"/>
  <c r="II172" i="91"/>
  <c r="MD171" i="91"/>
  <c r="JS170" i="91"/>
  <c r="JY170" i="91"/>
  <c r="KH170" i="91"/>
  <c r="GS168" i="91"/>
  <c r="KH169" i="91"/>
  <c r="JY169" i="91"/>
  <c r="FX168" i="91"/>
  <c r="FX202" i="91" s="1"/>
  <c r="FX218" i="91" s="1"/>
  <c r="FH168" i="91"/>
  <c r="EZ168" i="91"/>
  <c r="JS168" i="91"/>
  <c r="KF163" i="91"/>
  <c r="HU163" i="91"/>
  <c r="GX158" i="91"/>
  <c r="GP158" i="91"/>
  <c r="EO158" i="91"/>
  <c r="EM158" i="91"/>
  <c r="MB157" i="91"/>
  <c r="LT157" i="91"/>
  <c r="MA157" i="91"/>
  <c r="HT155" i="91"/>
  <c r="GU183" i="91"/>
  <c r="GM183" i="91"/>
  <c r="GM168" i="91" s="1"/>
  <c r="GE183" i="91"/>
  <c r="JT182" i="91"/>
  <c r="LU181" i="91"/>
  <c r="LT181" i="91"/>
  <c r="HI181" i="91"/>
  <c r="IE178" i="91"/>
  <c r="MC178" i="91"/>
  <c r="LR177" i="91"/>
  <c r="MA177" i="91"/>
  <c r="JT176" i="91"/>
  <c r="HM173" i="91"/>
  <c r="HZ173" i="91" s="1"/>
  <c r="KO172" i="91"/>
  <c r="KA172" i="91"/>
  <c r="KJ172" i="91"/>
  <c r="HR171" i="91"/>
  <c r="HG169" i="91"/>
  <c r="IG169" i="91" s="1"/>
  <c r="ME164" i="91"/>
  <c r="JZ164" i="91"/>
  <c r="KA164" i="91"/>
  <c r="HM162" i="91"/>
  <c r="HZ162" i="91" s="1"/>
  <c r="JS161" i="91"/>
  <c r="JT161" i="91"/>
  <c r="HS161" i="91"/>
  <c r="IF155" i="91"/>
  <c r="HS155" i="91"/>
  <c r="IG155" i="91"/>
  <c r="HM155" i="91"/>
  <c r="HZ155" i="91" s="1"/>
  <c r="HK155" i="91"/>
  <c r="K97" i="1" s="1"/>
  <c r="HI155" i="91"/>
  <c r="KL155" i="91"/>
  <c r="IN154" i="91"/>
  <c r="IA154" i="91"/>
  <c r="IC154" i="91"/>
  <c r="IL154" i="91"/>
  <c r="HR146" i="91"/>
  <c r="IE146" i="91"/>
  <c r="JT173" i="91"/>
  <c r="MC172" i="91"/>
  <c r="IH172" i="91"/>
  <c r="LS171" i="91"/>
  <c r="MB171" i="91"/>
  <c r="KK170" i="91"/>
  <c r="FF168" i="91"/>
  <c r="JS166" i="91"/>
  <c r="MC164" i="91"/>
  <c r="LU164" i="91"/>
  <c r="JZ163" i="91"/>
  <c r="IK163" i="91"/>
  <c r="HX163" i="91"/>
  <c r="IL163" i="91"/>
  <c r="IC163" i="91"/>
  <c r="IN163" i="91"/>
  <c r="KE157" i="91"/>
  <c r="KM157" i="91"/>
  <c r="KN157" i="91"/>
  <c r="KD157" i="91"/>
  <c r="KA155" i="91"/>
  <c r="KE172" i="91"/>
  <c r="HM172" i="91"/>
  <c r="MF170" i="91"/>
  <c r="HE168" i="91"/>
  <c r="IG164" i="91"/>
  <c r="MC163" i="91"/>
  <c r="LR162" i="91"/>
  <c r="MA162" i="91"/>
  <c r="JY162" i="91"/>
  <c r="LR160" i="91"/>
  <c r="MA160" i="91"/>
  <c r="HU160" i="91"/>
  <c r="IF159" i="91"/>
  <c r="HR159" i="91"/>
  <c r="GV158" i="91"/>
  <c r="GN158" i="91"/>
  <c r="GF158" i="91"/>
  <c r="IF157" i="91"/>
  <c r="HR157" i="91"/>
  <c r="IF156" i="91"/>
  <c r="HM156" i="91"/>
  <c r="HZ156" i="91" s="1"/>
  <c r="KN156" i="91"/>
  <c r="HJ156" i="91"/>
  <c r="MA155" i="91"/>
  <c r="LT155" i="91"/>
  <c r="LU154" i="91"/>
  <c r="MC154" i="91"/>
  <c r="MF154" i="91"/>
  <c r="IH153" i="91"/>
  <c r="GS149" i="91"/>
  <c r="ER149" i="91"/>
  <c r="EJ149" i="91"/>
  <c r="KA140" i="91"/>
  <c r="KJ140" i="91"/>
  <c r="KI171" i="91"/>
  <c r="EP169" i="91"/>
  <c r="EP168" i="91" s="1"/>
  <c r="EH169" i="91"/>
  <c r="EH168" i="91" s="1"/>
  <c r="IH160" i="91"/>
  <c r="HT160" i="91"/>
  <c r="IE159" i="91"/>
  <c r="EL158" i="91"/>
  <c r="KF157" i="91"/>
  <c r="KO157" i="91"/>
  <c r="HM157" i="91"/>
  <c r="HZ157" i="91" s="1"/>
  <c r="KF156" i="91"/>
  <c r="HL156" i="91"/>
  <c r="L98" i="1" s="1"/>
  <c r="L247" i="3" s="1"/>
  <c r="JT155" i="91"/>
  <c r="HT153" i="91"/>
  <c r="IG153" i="91"/>
  <c r="LT143" i="91"/>
  <c r="MB143" i="91"/>
  <c r="FO137" i="91"/>
  <c r="HJ173" i="91"/>
  <c r="KN171" i="91"/>
  <c r="IE164" i="91"/>
  <c r="KC163" i="91"/>
  <c r="JY160" i="91"/>
  <c r="HS160" i="91"/>
  <c r="IC159" i="91"/>
  <c r="IL159" i="91"/>
  <c r="KE159" i="91"/>
  <c r="KN159" i="91"/>
  <c r="HJ159" i="91"/>
  <c r="LR156" i="91"/>
  <c r="KE156" i="91"/>
  <c r="HK156" i="91"/>
  <c r="K98" i="1" s="1"/>
  <c r="K247" i="3" s="1"/>
  <c r="JS152" i="91"/>
  <c r="JT152" i="91"/>
  <c r="EL139" i="91"/>
  <c r="EL138" i="91" s="1"/>
  <c r="GY139" i="91"/>
  <c r="GY138" i="91" s="1"/>
  <c r="GQ139" i="91"/>
  <c r="GQ138" i="91" s="1"/>
  <c r="GI139" i="91"/>
  <c r="GI138" i="91" s="1"/>
  <c r="EP139" i="91"/>
  <c r="EP138" i="91" s="1"/>
  <c r="MB155" i="91"/>
  <c r="IE153" i="91"/>
  <c r="HR153" i="91"/>
  <c r="IF153" i="91"/>
  <c r="HS153" i="91"/>
  <c r="IG152" i="91"/>
  <c r="HT152" i="91"/>
  <c r="LU146" i="91"/>
  <c r="GA168" i="91"/>
  <c r="FS168" i="91"/>
  <c r="FS202" i="91" s="1"/>
  <c r="FS218" i="91" s="1"/>
  <c r="FK168" i="91"/>
  <c r="FC168" i="91"/>
  <c r="EU168" i="91"/>
  <c r="JT168" i="91"/>
  <c r="HL160" i="91"/>
  <c r="L101" i="1" s="1"/>
  <c r="JY159" i="91"/>
  <c r="EQ158" i="91"/>
  <c r="EI158" i="91"/>
  <c r="KA157" i="91"/>
  <c r="KJ157" i="91"/>
  <c r="KD156" i="91"/>
  <c r="HJ154" i="91"/>
  <c r="MC146" i="91"/>
  <c r="LT146" i="91"/>
  <c r="MB146" i="91"/>
  <c r="HS140" i="91"/>
  <c r="HR140" i="91"/>
  <c r="GW139" i="91"/>
  <c r="GW138" i="91" s="1"/>
  <c r="GO139" i="91"/>
  <c r="GO138" i="91" s="1"/>
  <c r="GG139" i="91"/>
  <c r="GG138" i="91" s="1"/>
  <c r="EN139" i="91"/>
  <c r="EN138" i="91" s="1"/>
  <c r="JY139" i="91"/>
  <c r="KH139" i="91"/>
  <c r="KB143" i="91"/>
  <c r="KK143" i="91"/>
  <c r="JT164" i="91"/>
  <c r="LT163" i="91"/>
  <c r="JZ159" i="91"/>
  <c r="KI159" i="91"/>
  <c r="LR157" i="91"/>
  <c r="HU157" i="91"/>
  <c r="HK157" i="91"/>
  <c r="KI155" i="91"/>
  <c r="HU153" i="91"/>
  <c r="HU148" i="91"/>
  <c r="IH148" i="91"/>
  <c r="LR147" i="91"/>
  <c r="LZ147" i="91"/>
  <c r="MA147" i="91"/>
  <c r="KA146" i="91"/>
  <c r="KJ146" i="91"/>
  <c r="GA139" i="91"/>
  <c r="GA138" i="91" s="1"/>
  <c r="GA137" i="91" s="1"/>
  <c r="FS139" i="91"/>
  <c r="FS138" i="91" s="1"/>
  <c r="FS137" i="91" s="1"/>
  <c r="FK139" i="91"/>
  <c r="FK138" i="91" s="1"/>
  <c r="FK137" i="91" s="1"/>
  <c r="FC139" i="91"/>
  <c r="FC138" i="91" s="1"/>
  <c r="FC137" i="91" s="1"/>
  <c r="EU139" i="91"/>
  <c r="EU138" i="91" s="1"/>
  <c r="EU137" i="91" s="1"/>
  <c r="IE140" i="91"/>
  <c r="KB160" i="91"/>
  <c r="KK160" i="91"/>
  <c r="JZ156" i="91"/>
  <c r="KI156" i="91"/>
  <c r="JY155" i="91"/>
  <c r="KH155" i="91"/>
  <c r="LT151" i="91"/>
  <c r="MB151" i="91"/>
  <c r="MC151" i="91"/>
  <c r="JS151" i="91"/>
  <c r="JT151" i="91"/>
  <c r="HL150" i="91"/>
  <c r="HY150" i="91" s="1"/>
  <c r="HJ150" i="91"/>
  <c r="HW150" i="91" s="1"/>
  <c r="JZ152" i="91"/>
  <c r="KI152" i="91"/>
  <c r="HR152" i="91"/>
  <c r="KA151" i="91"/>
  <c r="JY147" i="91"/>
  <c r="KH147" i="91"/>
  <c r="LX144" i="91"/>
  <c r="LV144" i="91"/>
  <c r="HK142" i="91"/>
  <c r="JY141" i="91"/>
  <c r="KH141" i="91"/>
  <c r="FX137" i="91"/>
  <c r="GZ139" i="91"/>
  <c r="GZ138" i="91" s="1"/>
  <c r="GR139" i="91"/>
  <c r="GR138" i="91" s="1"/>
  <c r="GJ139" i="91"/>
  <c r="GJ138" i="91" s="1"/>
  <c r="IC129" i="91"/>
  <c r="IN129" i="91"/>
  <c r="HX129" i="91"/>
  <c r="IL129" i="91"/>
  <c r="IA129" i="91"/>
  <c r="HX153" i="91"/>
  <c r="IA153" i="91"/>
  <c r="JY152" i="91"/>
  <c r="KH152" i="91"/>
  <c r="LR150" i="91"/>
  <c r="GV149" i="91"/>
  <c r="GV139" i="91" s="1"/>
  <c r="GV138" i="91" s="1"/>
  <c r="GN149" i="91"/>
  <c r="GN139" i="91" s="1"/>
  <c r="GN138" i="91" s="1"/>
  <c r="GF149" i="91"/>
  <c r="GF139" i="91" s="1"/>
  <c r="GF138" i="91" s="1"/>
  <c r="KA149" i="91"/>
  <c r="LR148" i="91"/>
  <c r="KF148" i="91"/>
  <c r="KO148" i="91"/>
  <c r="HL146" i="91"/>
  <c r="HY146" i="91" s="1"/>
  <c r="HW146" i="91"/>
  <c r="JS144" i="91"/>
  <c r="JT144" i="91"/>
  <c r="MD143" i="91"/>
  <c r="HI143" i="91"/>
  <c r="KD142" i="91"/>
  <c r="KM142" i="91"/>
  <c r="KL140" i="91"/>
  <c r="LS134" i="91"/>
  <c r="MB134" i="91"/>
  <c r="MA134" i="91"/>
  <c r="LW132" i="91"/>
  <c r="MF132" i="91"/>
  <c r="LX132" i="91"/>
  <c r="ME132" i="91"/>
  <c r="II153" i="91"/>
  <c r="LU151" i="91"/>
  <c r="JY151" i="91"/>
  <c r="KH151" i="91"/>
  <c r="IC151" i="91"/>
  <c r="IL151" i="91"/>
  <c r="IN151" i="91"/>
  <c r="LW151" i="91"/>
  <c r="GU149" i="91"/>
  <c r="GU139" i="91" s="1"/>
  <c r="GU138" i="91" s="1"/>
  <c r="GM149" i="91"/>
  <c r="GM139" i="91" s="1"/>
  <c r="GM138" i="91" s="1"/>
  <c r="GE149" i="91"/>
  <c r="GE139" i="91" s="1"/>
  <c r="GE138" i="91" s="1"/>
  <c r="LR149" i="91"/>
  <c r="MF148" i="91"/>
  <c r="KN148" i="91"/>
  <c r="LU147" i="91"/>
  <c r="JT147" i="91"/>
  <c r="HK147" i="91"/>
  <c r="HX147" i="91" s="1"/>
  <c r="KM146" i="91"/>
  <c r="IG145" i="91"/>
  <c r="HT145" i="91"/>
  <c r="HM143" i="91"/>
  <c r="HR141" i="91"/>
  <c r="GD139" i="91"/>
  <c r="GD138" i="91" s="1"/>
  <c r="GD137" i="91" s="1"/>
  <c r="FV139" i="91"/>
  <c r="FV138" i="91" s="1"/>
  <c r="FV137" i="91" s="1"/>
  <c r="FN139" i="91"/>
  <c r="FN138" i="91" s="1"/>
  <c r="FN137" i="91" s="1"/>
  <c r="FF139" i="91"/>
  <c r="FF138" i="91" s="1"/>
  <c r="FF137" i="91" s="1"/>
  <c r="EX139" i="91"/>
  <c r="EX138" i="91" s="1"/>
  <c r="EX137" i="91" s="1"/>
  <c r="EK139" i="91"/>
  <c r="EK138" i="91" s="1"/>
  <c r="IG140" i="91"/>
  <c r="IF140" i="91"/>
  <c r="GX139" i="91"/>
  <c r="GX138" i="91" s="1"/>
  <c r="GP139" i="91"/>
  <c r="GP138" i="91" s="1"/>
  <c r="GH139" i="91"/>
  <c r="GH138" i="91" s="1"/>
  <c r="EO139" i="91"/>
  <c r="EO138" i="91" s="1"/>
  <c r="LV130" i="91"/>
  <c r="MC130" i="91"/>
  <c r="MD130" i="91"/>
  <c r="LU130" i="91"/>
  <c r="KE152" i="91"/>
  <c r="HK152" i="91"/>
  <c r="HU152" i="91"/>
  <c r="IH152" i="91"/>
  <c r="IA151" i="91"/>
  <c r="JY150" i="91"/>
  <c r="IL147" i="91"/>
  <c r="HT147" i="91"/>
  <c r="IF147" i="91"/>
  <c r="IG147" i="91"/>
  <c r="HJ147" i="91"/>
  <c r="JZ146" i="91"/>
  <c r="KI146" i="91"/>
  <c r="IJ146" i="91"/>
  <c r="HS146" i="91"/>
  <c r="LR145" i="91"/>
  <c r="MA145" i="91"/>
  <c r="LS145" i="91"/>
  <c r="HU144" i="91"/>
  <c r="JS142" i="91"/>
  <c r="GB139" i="91"/>
  <c r="GB138" i="91" s="1"/>
  <c r="GB137" i="91" s="1"/>
  <c r="FT139" i="91"/>
  <c r="FT138" i="91" s="1"/>
  <c r="FT137" i="91" s="1"/>
  <c r="FL139" i="91"/>
  <c r="FL138" i="91" s="1"/>
  <c r="FL137" i="91" s="1"/>
  <c r="FD139" i="91"/>
  <c r="FD138" i="91" s="1"/>
  <c r="FD137" i="91" s="1"/>
  <c r="EV139" i="91"/>
  <c r="EV138" i="91" s="1"/>
  <c r="EV137" i="91" s="1"/>
  <c r="JT140" i="91"/>
  <c r="EM139" i="91"/>
  <c r="EM138" i="91" s="1"/>
  <c r="IJ136" i="91"/>
  <c r="HW136" i="91"/>
  <c r="IK136" i="91"/>
  <c r="IK129" i="91"/>
  <c r="KJ161" i="91"/>
  <c r="KH160" i="91"/>
  <c r="HV153" i="91"/>
  <c r="HM153" i="91"/>
  <c r="HZ153" i="91" s="1"/>
  <c r="HW153" i="91"/>
  <c r="IJ153" i="91"/>
  <c r="HG149" i="91"/>
  <c r="IE147" i="91"/>
  <c r="MF144" i="91"/>
  <c r="KN144" i="91"/>
  <c r="LR143" i="91"/>
  <c r="MA143" i="91"/>
  <c r="JZ143" i="91"/>
  <c r="KI143" i="91"/>
  <c r="HT143" i="91"/>
  <c r="IF143" i="91"/>
  <c r="IG143" i="91"/>
  <c r="HL143" i="91"/>
  <c r="HJ143" i="91"/>
  <c r="HW143" i="91" s="1"/>
  <c r="KN142" i="91"/>
  <c r="HU134" i="91"/>
  <c r="IH134" i="91"/>
  <c r="KF128" i="91"/>
  <c r="KN128" i="91"/>
  <c r="KO128" i="91"/>
  <c r="KE128" i="91"/>
  <c r="LW152" i="91"/>
  <c r="MF152" i="91"/>
  <c r="LX152" i="91"/>
  <c r="MF151" i="91"/>
  <c r="LT150" i="91"/>
  <c r="KI150" i="91"/>
  <c r="LX148" i="91"/>
  <c r="LT148" i="91"/>
  <c r="JS148" i="91"/>
  <c r="JT148" i="91"/>
  <c r="HS145" i="91"/>
  <c r="HR144" i="91"/>
  <c r="IE144" i="91"/>
  <c r="JY143" i="91"/>
  <c r="IE143" i="91"/>
  <c r="EQ139" i="91"/>
  <c r="EQ138" i="91" s="1"/>
  <c r="EI139" i="91"/>
  <c r="EI138" i="91" s="1"/>
  <c r="KA141" i="91"/>
  <c r="KJ141" i="91"/>
  <c r="FZ139" i="91"/>
  <c r="FZ138" i="91" s="1"/>
  <c r="FZ137" i="91" s="1"/>
  <c r="FR139" i="91"/>
  <c r="FR138" i="91" s="1"/>
  <c r="FR137" i="91" s="1"/>
  <c r="FJ139" i="91"/>
  <c r="FJ138" i="91" s="1"/>
  <c r="FJ137" i="91" s="1"/>
  <c r="FB139" i="91"/>
  <c r="FB138" i="91" s="1"/>
  <c r="FB137" i="91" s="1"/>
  <c r="ES139" i="91"/>
  <c r="ES138" i="91" s="1"/>
  <c r="ES137" i="91" s="1"/>
  <c r="LU140" i="91"/>
  <c r="HB139" i="91"/>
  <c r="HB138" i="91" s="1"/>
  <c r="GT139" i="91"/>
  <c r="GT138" i="91" s="1"/>
  <c r="GL139" i="91"/>
  <c r="GL138" i="91" s="1"/>
  <c r="GL137" i="91" s="1"/>
  <c r="MC131" i="91"/>
  <c r="MD131" i="91"/>
  <c r="LU131" i="91"/>
  <c r="KA153" i="91"/>
  <c r="KJ153" i="91"/>
  <c r="KA152" i="91"/>
  <c r="KJ152" i="91"/>
  <c r="HS151" i="91"/>
  <c r="IE151" i="91"/>
  <c r="LS150" i="91"/>
  <c r="MB150" i="91"/>
  <c r="HM149" i="91"/>
  <c r="HZ149" i="91" s="1"/>
  <c r="HR148" i="91"/>
  <c r="IE148" i="91"/>
  <c r="LV147" i="91"/>
  <c r="JZ147" i="91"/>
  <c r="KI147" i="91"/>
  <c r="LR144" i="91"/>
  <c r="MA144" i="91"/>
  <c r="JZ144" i="91"/>
  <c r="KI144" i="91"/>
  <c r="LS141" i="91"/>
  <c r="MB141" i="91"/>
  <c r="HA139" i="91"/>
  <c r="HA138" i="91" s="1"/>
  <c r="GS139" i="91"/>
  <c r="GS138" i="91" s="1"/>
  <c r="GK139" i="91"/>
  <c r="GK138" i="91" s="1"/>
  <c r="GK137" i="91" s="1"/>
  <c r="ER139" i="91"/>
  <c r="ER138" i="91" s="1"/>
  <c r="EJ139" i="91"/>
  <c r="EJ138" i="91" s="1"/>
  <c r="JY138" i="91"/>
  <c r="KH138" i="91"/>
  <c r="KO135" i="91"/>
  <c r="HT131" i="91"/>
  <c r="IG131" i="91"/>
  <c r="HU131" i="91"/>
  <c r="HK135" i="91"/>
  <c r="HK133" i="91"/>
  <c r="K84" i="1" s="1"/>
  <c r="HI133" i="91"/>
  <c r="HK130" i="91"/>
  <c r="K82" i="1" s="1"/>
  <c r="HS127" i="91"/>
  <c r="IF127" i="91"/>
  <c r="HM127" i="91"/>
  <c r="HZ127" i="91" s="1"/>
  <c r="HK127" i="91"/>
  <c r="KE127" i="91"/>
  <c r="HI127" i="91"/>
  <c r="KC127" i="91"/>
  <c r="IH121" i="91"/>
  <c r="HU121" i="91"/>
  <c r="HS118" i="91"/>
  <c r="IF118" i="91"/>
  <c r="HK134" i="91"/>
  <c r="K85" i="1" s="1"/>
  <c r="K143" i="1" s="1"/>
  <c r="LS133" i="91"/>
  <c r="LV132" i="91"/>
  <c r="KI132" i="91"/>
  <c r="KC131" i="91"/>
  <c r="KL131" i="91"/>
  <c r="HS131" i="91"/>
  <c r="LZ130" i="91"/>
  <c r="LS130" i="91"/>
  <c r="JS127" i="91"/>
  <c r="JT127" i="91"/>
  <c r="GP125" i="91"/>
  <c r="GP124" i="91" s="1"/>
  <c r="GP117" i="91" s="1"/>
  <c r="GH125" i="91"/>
  <c r="GH124" i="91" s="1"/>
  <c r="GH117" i="91" s="1"/>
  <c r="EO124" i="91"/>
  <c r="EO117" i="91" s="1"/>
  <c r="LU108" i="91"/>
  <c r="MC108" i="91"/>
  <c r="LZ134" i="91"/>
  <c r="IG134" i="91"/>
  <c r="KM133" i="91"/>
  <c r="HT133" i="91"/>
  <c r="IK128" i="91"/>
  <c r="IL128" i="91"/>
  <c r="IC128" i="91"/>
  <c r="IN128" i="91"/>
  <c r="KD128" i="91"/>
  <c r="HJ128" i="91"/>
  <c r="HW128" i="91" s="1"/>
  <c r="ME128" i="91"/>
  <c r="KO127" i="91"/>
  <c r="EN124" i="91"/>
  <c r="EN117" i="91" s="1"/>
  <c r="LS153" i="91"/>
  <c r="IF151" i="91"/>
  <c r="MA146" i="91"/>
  <c r="KO144" i="91"/>
  <c r="KF144" i="91"/>
  <c r="LR142" i="91"/>
  <c r="LS140" i="91"/>
  <c r="HM140" i="91"/>
  <c r="HZ140" i="91" s="1"/>
  <c r="HF138" i="91"/>
  <c r="IC136" i="91"/>
  <c r="JY135" i="91"/>
  <c r="IF134" i="91"/>
  <c r="HS133" i="91"/>
  <c r="HX132" i="91"/>
  <c r="IE131" i="91"/>
  <c r="HW129" i="91"/>
  <c r="GV125" i="91"/>
  <c r="GV124" i="91" s="1"/>
  <c r="GV117" i="91" s="1"/>
  <c r="GN125" i="91"/>
  <c r="GN124" i="91" s="1"/>
  <c r="GN117" i="91" s="1"/>
  <c r="GF125" i="91"/>
  <c r="GF124" i="91" s="1"/>
  <c r="GF117" i="91" s="1"/>
  <c r="MA153" i="91"/>
  <c r="IL144" i="91"/>
  <c r="IC144" i="91"/>
  <c r="KH143" i="91"/>
  <c r="KI141" i="91"/>
  <c r="MA140" i="91"/>
  <c r="HX136" i="91"/>
  <c r="KI135" i="91"/>
  <c r="JZ134" i="91"/>
  <c r="IE134" i="91"/>
  <c r="KC133" i="91"/>
  <c r="HM133" i="91"/>
  <c r="HZ133" i="91" s="1"/>
  <c r="HW132" i="91"/>
  <c r="HR130" i="91"/>
  <c r="KI129" i="91"/>
  <c r="LS128" i="91"/>
  <c r="KI128" i="91"/>
  <c r="KA128" i="91"/>
  <c r="EI124" i="91"/>
  <c r="EI117" i="91" s="1"/>
  <c r="ES124" i="91"/>
  <c r="ES117" i="91" s="1"/>
  <c r="EK124" i="91"/>
  <c r="EK117" i="91" s="1"/>
  <c r="GU125" i="91"/>
  <c r="GU124" i="91" s="1"/>
  <c r="GU117" i="91" s="1"/>
  <c r="GM125" i="91"/>
  <c r="GM124" i="91" s="1"/>
  <c r="GM117" i="91" s="1"/>
  <c r="GE125" i="91"/>
  <c r="GE124" i="91" s="1"/>
  <c r="GE117" i="91" s="1"/>
  <c r="EL124" i="91"/>
  <c r="EL117" i="91" s="1"/>
  <c r="IN123" i="91"/>
  <c r="IC123" i="91"/>
  <c r="IL123" i="91"/>
  <c r="IA123" i="91"/>
  <c r="HK140" i="91"/>
  <c r="JY134" i="91"/>
  <c r="KA133" i="91"/>
  <c r="KJ133" i="91"/>
  <c r="IC133" i="91"/>
  <c r="KL132" i="91"/>
  <c r="KC132" i="91"/>
  <c r="KM132" i="91"/>
  <c r="HS132" i="91"/>
  <c r="IE132" i="91"/>
  <c r="LV131" i="91"/>
  <c r="JS131" i="91"/>
  <c r="JT131" i="91"/>
  <c r="IH131" i="91"/>
  <c r="IH130" i="91"/>
  <c r="HM130" i="91"/>
  <c r="HZ130" i="91" s="1"/>
  <c r="KH129" i="91"/>
  <c r="JS128" i="91"/>
  <c r="JT128" i="91"/>
  <c r="IA128" i="91"/>
  <c r="HT128" i="91"/>
  <c r="IG128" i="91"/>
  <c r="HX128" i="91"/>
  <c r="HA125" i="91"/>
  <c r="HA124" i="91" s="1"/>
  <c r="HA117" i="91" s="1"/>
  <c r="GS125" i="91"/>
  <c r="GS124" i="91" s="1"/>
  <c r="GS117" i="91" s="1"/>
  <c r="ER124" i="91"/>
  <c r="ER117" i="91" s="1"/>
  <c r="IL136" i="91"/>
  <c r="LT133" i="91"/>
  <c r="IE133" i="91"/>
  <c r="KA132" i="91"/>
  <c r="IG130" i="91"/>
  <c r="LS129" i="91"/>
  <c r="LZ129" i="91"/>
  <c r="KJ129" i="91"/>
  <c r="KA129" i="91"/>
  <c r="MF128" i="91"/>
  <c r="HU128" i="91"/>
  <c r="HT127" i="91"/>
  <c r="IG127" i="91"/>
  <c r="GY125" i="91"/>
  <c r="GY124" i="91" s="1"/>
  <c r="GY117" i="91" s="1"/>
  <c r="GQ125" i="91"/>
  <c r="GQ124" i="91" s="1"/>
  <c r="GQ117" i="91" s="1"/>
  <c r="GI125" i="91"/>
  <c r="GI124" i="91" s="1"/>
  <c r="GI117" i="91" s="1"/>
  <c r="KF123" i="91"/>
  <c r="KO123" i="91"/>
  <c r="HG123" i="91"/>
  <c r="KA123" i="91"/>
  <c r="LS121" i="91"/>
  <c r="IC121" i="91"/>
  <c r="HL119" i="91"/>
  <c r="L76" i="1" s="1"/>
  <c r="M181" i="1" s="1"/>
  <c r="HL118" i="91"/>
  <c r="L75" i="1" s="1"/>
  <c r="JZ126" i="91"/>
  <c r="JY125" i="91"/>
  <c r="KH125" i="91"/>
  <c r="IE125" i="91"/>
  <c r="ME123" i="91"/>
  <c r="KE122" i="91"/>
  <c r="KN122" i="91"/>
  <c r="HS121" i="91"/>
  <c r="IF121" i="91"/>
  <c r="HM121" i="91"/>
  <c r="HZ121" i="91" s="1"/>
  <c r="HK121" i="91"/>
  <c r="K77" i="1" s="1"/>
  <c r="HJ119" i="91"/>
  <c r="IJ119" i="91" s="1"/>
  <c r="MD103" i="91"/>
  <c r="LV103" i="91"/>
  <c r="LW103" i="91"/>
  <c r="LT128" i="91"/>
  <c r="GK125" i="91"/>
  <c r="GK124" i="91" s="1"/>
  <c r="GK117" i="91" s="1"/>
  <c r="EP124" i="91"/>
  <c r="EP117" i="91" s="1"/>
  <c r="EH124" i="91"/>
  <c r="EH117" i="91" s="1"/>
  <c r="JT123" i="91"/>
  <c r="JS123" i="91"/>
  <c r="IC122" i="91"/>
  <c r="IL122" i="91"/>
  <c r="HR121" i="91"/>
  <c r="IE121" i="91"/>
  <c r="ME119" i="91"/>
  <c r="HK118" i="91"/>
  <c r="K75" i="1" s="1"/>
  <c r="L97" i="3" s="1"/>
  <c r="HI118" i="91"/>
  <c r="HJ103" i="91"/>
  <c r="KI126" i="91"/>
  <c r="KA126" i="91"/>
  <c r="KJ126" i="91"/>
  <c r="HI126" i="91"/>
  <c r="II126" i="91" s="1"/>
  <c r="GZ125" i="91"/>
  <c r="GZ124" i="91" s="1"/>
  <c r="GZ117" i="91" s="1"/>
  <c r="GR125" i="91"/>
  <c r="GR124" i="91" s="1"/>
  <c r="GR117" i="91" s="1"/>
  <c r="GJ125" i="91"/>
  <c r="GJ124" i="91" s="1"/>
  <c r="GJ117" i="91" s="1"/>
  <c r="EQ124" i="91"/>
  <c r="EQ117" i="91" s="1"/>
  <c r="JT125" i="91"/>
  <c r="LZ124" i="91"/>
  <c r="LR124" i="91"/>
  <c r="MC122" i="91"/>
  <c r="KO122" i="91"/>
  <c r="JZ122" i="91"/>
  <c r="IK122" i="91"/>
  <c r="IA122" i="91"/>
  <c r="LW122" i="91"/>
  <c r="KE121" i="91"/>
  <c r="HS108" i="91"/>
  <c r="IF108" i="91"/>
  <c r="LX108" i="91"/>
  <c r="MF108" i="91"/>
  <c r="JY132" i="91"/>
  <c r="KH132" i="91"/>
  <c r="IH132" i="91"/>
  <c r="HM131" i="91"/>
  <c r="HZ131" i="91" s="1"/>
  <c r="IG129" i="91"/>
  <c r="MB128" i="91"/>
  <c r="JY128" i="91"/>
  <c r="IE128" i="91"/>
  <c r="MC128" i="91"/>
  <c r="LR127" i="91"/>
  <c r="MA127" i="91"/>
  <c r="JY127" i="91"/>
  <c r="HB125" i="91"/>
  <c r="HB124" i="91" s="1"/>
  <c r="HB117" i="91" s="1"/>
  <c r="GT125" i="91"/>
  <c r="GT124" i="91" s="1"/>
  <c r="GT117" i="91" s="1"/>
  <c r="KH126" i="91"/>
  <c r="LZ125" i="91"/>
  <c r="LU123" i="91"/>
  <c r="LZ122" i="91"/>
  <c r="KA122" i="91"/>
  <c r="HX122" i="91"/>
  <c r="HJ122" i="91"/>
  <c r="JY121" i="91"/>
  <c r="HT121" i="91"/>
  <c r="LW119" i="91"/>
  <c r="KH118" i="91"/>
  <c r="KB132" i="91"/>
  <c r="IG132" i="91"/>
  <c r="KF131" i="91"/>
  <c r="KA131" i="91"/>
  <c r="KJ131" i="91"/>
  <c r="IK131" i="91"/>
  <c r="JZ130" i="91"/>
  <c r="KI130" i="91"/>
  <c r="IF129" i="91"/>
  <c r="LR126" i="91"/>
  <c r="GX125" i="91"/>
  <c r="GX124" i="91" s="1"/>
  <c r="GX117" i="91" s="1"/>
  <c r="HG125" i="91"/>
  <c r="EM124" i="91"/>
  <c r="EM117" i="91" s="1"/>
  <c r="IE123" i="91"/>
  <c r="IA121" i="91"/>
  <c r="IF132" i="91"/>
  <c r="KO131" i="91"/>
  <c r="IJ131" i="91"/>
  <c r="HX131" i="91"/>
  <c r="IE129" i="91"/>
  <c r="GG125" i="91"/>
  <c r="GG124" i="91" s="1"/>
  <c r="GG117" i="91" s="1"/>
  <c r="KJ122" i="91"/>
  <c r="JS122" i="91"/>
  <c r="IH122" i="91"/>
  <c r="MA121" i="91"/>
  <c r="HV121" i="91"/>
  <c r="II121" i="91"/>
  <c r="KD120" i="91"/>
  <c r="JS119" i="91"/>
  <c r="JT119" i="91"/>
  <c r="HJ118" i="91"/>
  <c r="MB118" i="91"/>
  <c r="KJ118" i="91"/>
  <c r="HR124" i="91"/>
  <c r="LT122" i="91"/>
  <c r="KH122" i="91"/>
  <c r="KH121" i="91"/>
  <c r="IG121" i="91"/>
  <c r="JT118" i="91"/>
  <c r="HM118" i="91"/>
  <c r="HZ118" i="91" s="1"/>
  <c r="ME108" i="91"/>
  <c r="HH108" i="91"/>
  <c r="LS103" i="91"/>
  <c r="KH103" i="91"/>
  <c r="LR102" i="91"/>
  <c r="LZ102" i="91"/>
  <c r="HU102" i="91"/>
  <c r="HL22" i="91"/>
  <c r="L14" i="1" s="1"/>
  <c r="JP22" i="91"/>
  <c r="IK104" i="91"/>
  <c r="JY103" i="91"/>
  <c r="JP102" i="91"/>
  <c r="JT124" i="91"/>
  <c r="LR120" i="91"/>
  <c r="MA120" i="91"/>
  <c r="IK120" i="91"/>
  <c r="LR119" i="91"/>
  <c r="MA119" i="91"/>
  <c r="LS119" i="91"/>
  <c r="IL110" i="91"/>
  <c r="HK108" i="91"/>
  <c r="K65" i="1" s="1"/>
  <c r="IC104" i="91"/>
  <c r="HT103" i="91"/>
  <c r="MC102" i="91"/>
  <c r="IG118" i="91"/>
  <c r="KI103" i="91"/>
  <c r="ME102" i="91"/>
  <c r="LX102" i="91"/>
  <c r="IF102" i="91"/>
  <c r="LW102" i="91"/>
  <c r="MD102" i="91"/>
  <c r="KB102" i="91"/>
  <c r="LT126" i="91"/>
  <c r="LU122" i="91"/>
  <c r="KA119" i="91"/>
  <c r="KJ119" i="91"/>
  <c r="IC110" i="91"/>
  <c r="IA110" i="91"/>
  <c r="IC107" i="91"/>
  <c r="IA107" i="91"/>
  <c r="IL107" i="91"/>
  <c r="IK107" i="91"/>
  <c r="LV102" i="91"/>
  <c r="HS102" i="91"/>
  <c r="EI99" i="91"/>
  <c r="EI92" i="91" s="1"/>
  <c r="KO121" i="91"/>
  <c r="LW120" i="91"/>
  <c r="IA120" i="91"/>
  <c r="LZ119" i="91"/>
  <c r="IH119" i="91"/>
  <c r="HS119" i="91"/>
  <c r="HT118" i="91"/>
  <c r="LS108" i="91"/>
  <c r="MK108" i="91"/>
  <c r="JY108" i="91"/>
  <c r="KH108" i="91"/>
  <c r="IE103" i="91"/>
  <c r="HR102" i="91"/>
  <c r="HI108" i="91"/>
  <c r="IJ104" i="91"/>
  <c r="II104" i="91"/>
  <c r="LT103" i="91"/>
  <c r="HS103" i="91"/>
  <c r="IF103" i="91"/>
  <c r="LX103" i="91"/>
  <c r="ME103" i="91"/>
  <c r="MC103" i="91"/>
  <c r="LX101" i="91"/>
  <c r="ME101" i="91"/>
  <c r="MF101" i="91"/>
  <c r="LW101" i="91"/>
  <c r="EO99" i="91"/>
  <c r="EO92" i="91" s="1"/>
  <c r="HL103" i="91"/>
  <c r="HK102" i="91"/>
  <c r="HL101" i="91"/>
  <c r="MK100" i="91"/>
  <c r="LS100" i="91"/>
  <c r="HJ98" i="91"/>
  <c r="GU99" i="91"/>
  <c r="GU92" i="91" s="1"/>
  <c r="GM99" i="91"/>
  <c r="GM92" i="91" s="1"/>
  <c r="GE99" i="91"/>
  <c r="GE92" i="91" s="1"/>
  <c r="EL99" i="91"/>
  <c r="EL92" i="91" s="1"/>
  <c r="HM100" i="91"/>
  <c r="IG102" i="91"/>
  <c r="HT102" i="91"/>
  <c r="HJ102" i="91"/>
  <c r="HJ101" i="91"/>
  <c r="ES99" i="91"/>
  <c r="ES92" i="91" s="1"/>
  <c r="EK99" i="91"/>
  <c r="EK92" i="91" s="1"/>
  <c r="JZ100" i="91"/>
  <c r="KI100" i="91"/>
  <c r="HL95" i="91"/>
  <c r="HL94" i="91"/>
  <c r="IJ110" i="91"/>
  <c r="JP108" i="91"/>
  <c r="JP103" i="91"/>
  <c r="JY102" i="91"/>
  <c r="JZ101" i="91"/>
  <c r="HJ100" i="91"/>
  <c r="HA99" i="91"/>
  <c r="HA92" i="91" s="1"/>
  <c r="ER99" i="91"/>
  <c r="ER92" i="91" s="1"/>
  <c r="EJ99" i="91"/>
  <c r="EJ92" i="91" s="1"/>
  <c r="JY101" i="91"/>
  <c r="IF101" i="91"/>
  <c r="HT101" i="91"/>
  <c r="GZ99" i="91"/>
  <c r="GZ92" i="91" s="1"/>
  <c r="GR99" i="91"/>
  <c r="GR92" i="91" s="1"/>
  <c r="GJ99" i="91"/>
  <c r="GJ92" i="91" s="1"/>
  <c r="EQ99" i="91"/>
  <c r="EQ92" i="91" s="1"/>
  <c r="HM98" i="91"/>
  <c r="HK98" i="91"/>
  <c r="HK97" i="91"/>
  <c r="HM96" i="91"/>
  <c r="MD101" i="91"/>
  <c r="HS101" i="91"/>
  <c r="IE101" i="91"/>
  <c r="GW99" i="91"/>
  <c r="GW92" i="91" s="1"/>
  <c r="GO99" i="91"/>
  <c r="GO92" i="91" s="1"/>
  <c r="GG99" i="91"/>
  <c r="GG92" i="91" s="1"/>
  <c r="EN99" i="91"/>
  <c r="EN92" i="91" s="1"/>
  <c r="GV99" i="91"/>
  <c r="GV92" i="91" s="1"/>
  <c r="GN99" i="91"/>
  <c r="GN92" i="91" s="1"/>
  <c r="GF99" i="91"/>
  <c r="GF92" i="91" s="1"/>
  <c r="EM99" i="91"/>
  <c r="EM92" i="91" s="1"/>
  <c r="LU100" i="91"/>
  <c r="HI103" i="91"/>
  <c r="HL102" i="91"/>
  <c r="KH101" i="91"/>
  <c r="IG101" i="91"/>
  <c r="HI101" i="91"/>
  <c r="HM95" i="91"/>
  <c r="HK95" i="91"/>
  <c r="HI95" i="91"/>
  <c r="HM94" i="91"/>
  <c r="HK94" i="91"/>
  <c r="HI94" i="91"/>
  <c r="JY93" i="91"/>
  <c r="KH93" i="91"/>
  <c r="HL98" i="91"/>
  <c r="HI97" i="91"/>
  <c r="KB88" i="91"/>
  <c r="KK88" i="91"/>
  <c r="HJ94" i="91"/>
  <c r="MB93" i="91"/>
  <c r="ME89" i="91"/>
  <c r="MF89" i="91"/>
  <c r="LW89" i="91"/>
  <c r="LX89" i="91"/>
  <c r="LU89" i="91"/>
  <c r="MC89" i="91"/>
  <c r="LV89" i="91"/>
  <c r="KJ99" i="91"/>
  <c r="JY99" i="91"/>
  <c r="HL97" i="91"/>
  <c r="HK96" i="91"/>
  <c r="LV90" i="91"/>
  <c r="MD90" i="91"/>
  <c r="LW90" i="91"/>
  <c r="IE99" i="91"/>
  <c r="HJ97" i="91"/>
  <c r="LS93" i="91"/>
  <c r="MA93" i="91"/>
  <c r="MK93" i="91"/>
  <c r="JP100" i="91"/>
  <c r="HI98" i="91"/>
  <c r="HL93" i="91"/>
  <c r="L59" i="1" s="1"/>
  <c r="LR93" i="91"/>
  <c r="IG93" i="91"/>
  <c r="LZ89" i="91"/>
  <c r="KB89" i="91"/>
  <c r="JP89" i="91"/>
  <c r="IE89" i="91"/>
  <c r="GU87" i="91"/>
  <c r="GU83" i="91" s="1"/>
  <c r="GU77" i="91" s="1"/>
  <c r="GM87" i="91"/>
  <c r="GM83" i="91" s="1"/>
  <c r="GM77" i="91" s="1"/>
  <c r="GE87" i="91"/>
  <c r="GE83" i="91" s="1"/>
  <c r="GE77" i="91" s="1"/>
  <c r="EL87" i="91"/>
  <c r="EL83" i="91" s="1"/>
  <c r="EL77" i="91" s="1"/>
  <c r="HM89" i="91"/>
  <c r="HZ89" i="91" s="1"/>
  <c r="HK89" i="91"/>
  <c r="MF88" i="91"/>
  <c r="JY88" i="91"/>
  <c r="HM88" i="91"/>
  <c r="HZ88" i="91" s="1"/>
  <c r="HJ88" i="91"/>
  <c r="IE87" i="91"/>
  <c r="FY83" i="91"/>
  <c r="FY77" i="91" s="1"/>
  <c r="FQ83" i="91"/>
  <c r="FQ77" i="91" s="1"/>
  <c r="FI83" i="91"/>
  <c r="FI77" i="91" s="1"/>
  <c r="LR92" i="91"/>
  <c r="LX90" i="91"/>
  <c r="ME90" i="91"/>
  <c r="HL89" i="91"/>
  <c r="MD89" i="91"/>
  <c r="HL88" i="91"/>
  <c r="MD86" i="91"/>
  <c r="GX83" i="91"/>
  <c r="GX77" i="91" s="1"/>
  <c r="FX83" i="91"/>
  <c r="FX77" i="91" s="1"/>
  <c r="FP83" i="91"/>
  <c r="FP77" i="91" s="1"/>
  <c r="FH83" i="91"/>
  <c r="FH77" i="91" s="1"/>
  <c r="HS93" i="91"/>
  <c r="IN91" i="91"/>
  <c r="MF90" i="91"/>
  <c r="LT90" i="91"/>
  <c r="JY90" i="91"/>
  <c r="IF90" i="91"/>
  <c r="HS90" i="91"/>
  <c r="IE90" i="91"/>
  <c r="JZ89" i="91"/>
  <c r="HJ89" i="91"/>
  <c r="HA87" i="91"/>
  <c r="HA83" i="91" s="1"/>
  <c r="HA77" i="91" s="1"/>
  <c r="GS87" i="91"/>
  <c r="GS83" i="91" s="1"/>
  <c r="GS77" i="91" s="1"/>
  <c r="GK87" i="91"/>
  <c r="GK83" i="91" s="1"/>
  <c r="GK77" i="91" s="1"/>
  <c r="ER87" i="91"/>
  <c r="ER83" i="91" s="1"/>
  <c r="ER77" i="91" s="1"/>
  <c r="EJ87" i="91"/>
  <c r="EJ83" i="91" s="1"/>
  <c r="EJ77" i="91" s="1"/>
  <c r="LR88" i="91"/>
  <c r="HK88" i="91"/>
  <c r="LZ86" i="91"/>
  <c r="GG83" i="91"/>
  <c r="GG77" i="91" s="1"/>
  <c r="LS85" i="91"/>
  <c r="MB85" i="91"/>
  <c r="MK85" i="91"/>
  <c r="LT85" i="91"/>
  <c r="LX93" i="91"/>
  <c r="KJ89" i="91"/>
  <c r="MA85" i="91"/>
  <c r="HM85" i="91"/>
  <c r="HM93" i="91"/>
  <c r="HZ93" i="91" s="1"/>
  <c r="LS89" i="91"/>
  <c r="MB89" i="91"/>
  <c r="MK89" i="91"/>
  <c r="LW86" i="91"/>
  <c r="MF86" i="91"/>
  <c r="HI86" i="91"/>
  <c r="GL92" i="91"/>
  <c r="MB90" i="91"/>
  <c r="LR87" i="91"/>
  <c r="HB83" i="91"/>
  <c r="HB77" i="91" s="1"/>
  <c r="GT83" i="91"/>
  <c r="GT77" i="91" s="1"/>
  <c r="GL83" i="91"/>
  <c r="GL77" i="91" s="1"/>
  <c r="HH84" i="91"/>
  <c r="JY89" i="91"/>
  <c r="KH89" i="91"/>
  <c r="GA83" i="91"/>
  <c r="GA77" i="91" s="1"/>
  <c r="FS83" i="91"/>
  <c r="FS77" i="91" s="1"/>
  <c r="FK83" i="91"/>
  <c r="FK77" i="91" s="1"/>
  <c r="JP93" i="91"/>
  <c r="JZ90" i="91"/>
  <c r="KI90" i="91"/>
  <c r="JP90" i="91"/>
  <c r="MA89" i="91"/>
  <c r="IF89" i="91"/>
  <c r="HR88" i="91"/>
  <c r="JY86" i="91"/>
  <c r="FZ83" i="91"/>
  <c r="FZ77" i="91" s="1"/>
  <c r="FR83" i="91"/>
  <c r="FR77" i="91" s="1"/>
  <c r="FJ83" i="91"/>
  <c r="FJ77" i="91" s="1"/>
  <c r="KI85" i="91"/>
  <c r="JZ85" i="91"/>
  <c r="JP85" i="91"/>
  <c r="HG84" i="91"/>
  <c r="HK82" i="91"/>
  <c r="HT78" i="91"/>
  <c r="MA70" i="91"/>
  <c r="MB70" i="91"/>
  <c r="LT70" i="91"/>
  <c r="KH85" i="91"/>
  <c r="HR84" i="91"/>
  <c r="LX82" i="91"/>
  <c r="JP82" i="91"/>
  <c r="HJ82" i="91"/>
  <c r="HF77" i="91"/>
  <c r="LS70" i="91"/>
  <c r="HG67" i="91"/>
  <c r="KA67" i="91"/>
  <c r="MF82" i="91"/>
  <c r="IH82" i="91"/>
  <c r="HJ79" i="91"/>
  <c r="HK85" i="91"/>
  <c r="KH70" i="91"/>
  <c r="KI70" i="91"/>
  <c r="HR69" i="91"/>
  <c r="IE69" i="91"/>
  <c r="HM69" i="91"/>
  <c r="HZ69" i="91" s="1"/>
  <c r="HI69" i="91"/>
  <c r="LS68" i="91"/>
  <c r="MB68" i="91"/>
  <c r="MK68" i="91"/>
  <c r="LT68" i="91"/>
  <c r="MA68" i="91"/>
  <c r="MD82" i="91"/>
  <c r="IF82" i="91"/>
  <c r="HK79" i="91"/>
  <c r="ES77" i="91"/>
  <c r="EK77" i="91"/>
  <c r="LU66" i="91"/>
  <c r="MC66" i="91"/>
  <c r="KC85" i="91"/>
  <c r="IF85" i="91"/>
  <c r="LR84" i="91"/>
  <c r="HI79" i="91"/>
  <c r="HE77" i="91"/>
  <c r="HL80" i="91"/>
  <c r="HJ80" i="91"/>
  <c r="EI77" i="91"/>
  <c r="LR77" i="91"/>
  <c r="LZ77" i="91"/>
  <c r="KN71" i="91"/>
  <c r="KE71" i="91"/>
  <c r="KO71" i="91"/>
  <c r="HM66" i="91"/>
  <c r="KK66" i="91"/>
  <c r="ME71" i="91"/>
  <c r="KM71" i="91"/>
  <c r="KC71" i="91"/>
  <c r="KL71" i="91"/>
  <c r="IH71" i="91"/>
  <c r="LT67" i="91"/>
  <c r="LR66" i="91"/>
  <c r="MA66" i="91"/>
  <c r="HL65" i="91"/>
  <c r="MD71" i="91"/>
  <c r="KK71" i="91"/>
  <c r="LX70" i="91"/>
  <c r="MD70" i="91"/>
  <c r="LX68" i="91"/>
  <c r="LW68" i="91"/>
  <c r="MF68" i="91"/>
  <c r="LS66" i="91"/>
  <c r="LS71" i="91"/>
  <c r="MB71" i="91"/>
  <c r="LS69" i="91"/>
  <c r="JZ69" i="91"/>
  <c r="KI69" i="91"/>
  <c r="IG69" i="91"/>
  <c r="HL69" i="91"/>
  <c r="JP69" i="91"/>
  <c r="HJ69" i="91"/>
  <c r="LV68" i="91"/>
  <c r="IE68" i="91"/>
  <c r="IF68" i="91"/>
  <c r="HS68" i="91"/>
  <c r="MB67" i="91"/>
  <c r="GD63" i="91"/>
  <c r="FV63" i="91"/>
  <c r="FN63" i="91"/>
  <c r="HM79" i="91"/>
  <c r="MA71" i="91"/>
  <c r="MF70" i="91"/>
  <c r="LR69" i="91"/>
  <c r="MA69" i="91"/>
  <c r="LV67" i="91"/>
  <c r="MD69" i="91"/>
  <c r="GV67" i="91"/>
  <c r="GV63" i="91" s="1"/>
  <c r="GN67" i="91"/>
  <c r="GF67" i="91"/>
  <c r="EM67" i="91"/>
  <c r="EM63" i="91" s="1"/>
  <c r="LZ67" i="91"/>
  <c r="LW65" i="91"/>
  <c r="MF65" i="91"/>
  <c r="HL79" i="91"/>
  <c r="KH78" i="91"/>
  <c r="HW71" i="91"/>
  <c r="HK68" i="91"/>
  <c r="HI68" i="91"/>
  <c r="EM64" i="91"/>
  <c r="MC65" i="91"/>
  <c r="MD65" i="91"/>
  <c r="LV65" i="91"/>
  <c r="GU64" i="91"/>
  <c r="GU63" i="91" s="1"/>
  <c r="GM64" i="91"/>
  <c r="GM63" i="91" s="1"/>
  <c r="GE64" i="91"/>
  <c r="GE63" i="91" s="1"/>
  <c r="EL64" i="91"/>
  <c r="EL63" i="91"/>
  <c r="GA63" i="91"/>
  <c r="FK63" i="91"/>
  <c r="FK74" i="91" s="1"/>
  <c r="HT69" i="91"/>
  <c r="HK69" i="91"/>
  <c r="LZ66" i="91"/>
  <c r="LU65" i="91"/>
  <c r="HB64" i="91"/>
  <c r="HB63" i="91" s="1"/>
  <c r="GT64" i="91"/>
  <c r="GT63" i="91" s="1"/>
  <c r="GL64" i="91"/>
  <c r="GL63" i="91" s="1"/>
  <c r="ES64" i="91"/>
  <c r="EK64" i="91"/>
  <c r="KH69" i="91"/>
  <c r="HS69" i="91"/>
  <c r="GZ67" i="91"/>
  <c r="GR67" i="91"/>
  <c r="GJ67" i="91"/>
  <c r="EQ67" i="91"/>
  <c r="EQ63" i="91" s="1"/>
  <c r="EI67" i="91"/>
  <c r="EI63" i="91" s="1"/>
  <c r="HR65" i="91"/>
  <c r="ER64" i="91"/>
  <c r="EJ64" i="91"/>
  <c r="JP66" i="91"/>
  <c r="HR66" i="91"/>
  <c r="MB65" i="91"/>
  <c r="EO63" i="91"/>
  <c r="LZ64" i="91"/>
  <c r="FY63" i="91"/>
  <c r="FQ63" i="91"/>
  <c r="FI63" i="91"/>
  <c r="ES63" i="91"/>
  <c r="LS58" i="91"/>
  <c r="MB58" i="91"/>
  <c r="MK58" i="91"/>
  <c r="HS58" i="91"/>
  <c r="HR57" i="91"/>
  <c r="GW64" i="91"/>
  <c r="GO64" i="91"/>
  <c r="GG64" i="91"/>
  <c r="EN64" i="91"/>
  <c r="HL58" i="91"/>
  <c r="LV56" i="91"/>
  <c r="LW56" i="91"/>
  <c r="HU56" i="91"/>
  <c r="LZ63" i="91"/>
  <c r="LR63" i="91"/>
  <c r="HE63" i="91"/>
  <c r="IG58" i="91"/>
  <c r="LX58" i="91"/>
  <c r="ME58" i="91"/>
  <c r="MC58" i="91"/>
  <c r="LU58" i="91"/>
  <c r="MD56" i="91"/>
  <c r="MD52" i="91"/>
  <c r="LV52" i="91"/>
  <c r="ME52" i="91"/>
  <c r="LW52" i="91"/>
  <c r="IH58" i="91"/>
  <c r="HK58" i="91"/>
  <c r="JZ56" i="91"/>
  <c r="KI56" i="91"/>
  <c r="KJ56" i="91"/>
  <c r="KD66" i="91"/>
  <c r="HJ66" i="91"/>
  <c r="HG65" i="91"/>
  <c r="KA65" i="91"/>
  <c r="GC63" i="91"/>
  <c r="FU63" i="91"/>
  <c r="FU74" i="91" s="1"/>
  <c r="FM63" i="91"/>
  <c r="EK63" i="91"/>
  <c r="KB58" i="91"/>
  <c r="KK58" i="91"/>
  <c r="LW57" i="91"/>
  <c r="MD57" i="91"/>
  <c r="KH57" i="91"/>
  <c r="JY57" i="91"/>
  <c r="HT58" i="91"/>
  <c r="HM58" i="91"/>
  <c r="JS57" i="91"/>
  <c r="JT57" i="91"/>
  <c r="HT53" i="91"/>
  <c r="IF53" i="91"/>
  <c r="IG53" i="91"/>
  <c r="HS53" i="91"/>
  <c r="LX53" i="91"/>
  <c r="ME53" i="91"/>
  <c r="MF53" i="91"/>
  <c r="MC53" i="91"/>
  <c r="LU53" i="91"/>
  <c r="HJ65" i="91"/>
  <c r="GZ64" i="91"/>
  <c r="GR64" i="91"/>
  <c r="GJ64" i="91"/>
  <c r="EQ64" i="91"/>
  <c r="EI64" i="91"/>
  <c r="HF63" i="91"/>
  <c r="IK62" i="91"/>
  <c r="IA62" i="91"/>
  <c r="IC62" i="91"/>
  <c r="JZ58" i="91"/>
  <c r="KI58" i="91"/>
  <c r="HV58" i="91"/>
  <c r="MD58" i="91"/>
  <c r="LV58" i="91"/>
  <c r="HT57" i="91"/>
  <c r="IF57" i="91"/>
  <c r="LT57" i="91"/>
  <c r="MK69" i="91"/>
  <c r="MB69" i="91"/>
  <c r="KJ66" i="91"/>
  <c r="JP65" i="91"/>
  <c r="HI65" i="91"/>
  <c r="FZ63" i="91"/>
  <c r="FZ74" i="91" s="1"/>
  <c r="FR63" i="91"/>
  <c r="FR74" i="91" s="1"/>
  <c r="FJ63" i="91"/>
  <c r="FJ74" i="91" s="1"/>
  <c r="JQ61" i="91"/>
  <c r="JW60" i="91"/>
  <c r="MF58" i="91"/>
  <c r="LT58" i="91"/>
  <c r="HU58" i="91"/>
  <c r="HS57" i="91"/>
  <c r="LU52" i="91"/>
  <c r="HA47" i="91"/>
  <c r="HA42" i="91" s="1"/>
  <c r="GK47" i="91"/>
  <c r="GK42" i="91" s="1"/>
  <c r="EJ47" i="91"/>
  <c r="EJ42" i="91" s="1"/>
  <c r="LX46" i="91"/>
  <c r="ME46" i="91"/>
  <c r="MF46" i="91"/>
  <c r="LW46" i="91"/>
  <c r="LU46" i="91"/>
  <c r="MD46" i="91"/>
  <c r="MC46" i="91"/>
  <c r="LV46" i="91"/>
  <c r="JP56" i="91"/>
  <c r="HJ56" i="91"/>
  <c r="LV55" i="91"/>
  <c r="HJ55" i="91"/>
  <c r="LS54" i="91"/>
  <c r="MB54" i="91"/>
  <c r="MK54" i="91"/>
  <c r="LT54" i="91"/>
  <c r="JZ53" i="91"/>
  <c r="KI53" i="91"/>
  <c r="HK53" i="91"/>
  <c r="K38" i="1" s="1"/>
  <c r="HI53" i="91"/>
  <c r="MC52" i="91"/>
  <c r="JP52" i="91"/>
  <c r="HJ52" i="91"/>
  <c r="J37" i="1" s="1"/>
  <c r="LR51" i="91"/>
  <c r="MA51" i="91"/>
  <c r="LS51" i="91"/>
  <c r="HG47" i="91"/>
  <c r="KH58" i="91"/>
  <c r="MF57" i="91"/>
  <c r="MC57" i="91"/>
  <c r="HX57" i="91"/>
  <c r="ME56" i="91"/>
  <c r="JP55" i="91"/>
  <c r="HK51" i="91"/>
  <c r="K36" i="1" s="1"/>
  <c r="HL50" i="91"/>
  <c r="L35" i="1" s="1"/>
  <c r="L61" i="3" s="1"/>
  <c r="GS47" i="91"/>
  <c r="GS42" i="91" s="1"/>
  <c r="ER47" i="91"/>
  <c r="ER42" i="91" s="1"/>
  <c r="KH64" i="91"/>
  <c r="ME57" i="91"/>
  <c r="LU56" i="91"/>
  <c r="LS56" i="91"/>
  <c r="ME55" i="91"/>
  <c r="LW55" i="91"/>
  <c r="MF55" i="91"/>
  <c r="LX55" i="91"/>
  <c r="HM54" i="91"/>
  <c r="HZ54" i="91" s="1"/>
  <c r="HM53" i="91"/>
  <c r="HZ53" i="91" s="1"/>
  <c r="ME49" i="91"/>
  <c r="LW49" i="91"/>
  <c r="MF49" i="91"/>
  <c r="LX49" i="91"/>
  <c r="MC49" i="91"/>
  <c r="LU49" i="91"/>
  <c r="MD49" i="91"/>
  <c r="HU49" i="91"/>
  <c r="GZ47" i="91"/>
  <c r="GZ42" i="91" s="1"/>
  <c r="GR47" i="91"/>
  <c r="GR42" i="91" s="1"/>
  <c r="GJ47" i="91"/>
  <c r="GJ42" i="91" s="1"/>
  <c r="EQ47" i="91"/>
  <c r="EQ42" i="91" s="1"/>
  <c r="EI47" i="91"/>
  <c r="EI42" i="91" s="1"/>
  <c r="KC57" i="91"/>
  <c r="KL57" i="91"/>
  <c r="LR56" i="91"/>
  <c r="MA56" i="91"/>
  <c r="HR56" i="91"/>
  <c r="KH55" i="91"/>
  <c r="HL53" i="91"/>
  <c r="L38" i="1" s="1"/>
  <c r="L65" i="3" s="1"/>
  <c r="MD53" i="91"/>
  <c r="LV53" i="91"/>
  <c r="HJ53" i="91"/>
  <c r="HS50" i="91"/>
  <c r="IE50" i="91"/>
  <c r="IF50" i="91"/>
  <c r="HM50" i="91"/>
  <c r="HZ50" i="91" s="1"/>
  <c r="HK56" i="91"/>
  <c r="K41" i="1" s="1"/>
  <c r="HR55" i="91"/>
  <c r="IE55" i="91"/>
  <c r="HL55" i="91"/>
  <c r="L40" i="1" s="1"/>
  <c r="L67" i="3" s="1"/>
  <c r="HM52" i="91"/>
  <c r="HZ52" i="91" s="1"/>
  <c r="HK52" i="91"/>
  <c r="HI52" i="91"/>
  <c r="GX47" i="91"/>
  <c r="GX42" i="91" s="1"/>
  <c r="GP47" i="91"/>
  <c r="GP42" i="91" s="1"/>
  <c r="GH47" i="91"/>
  <c r="GH42" i="91" s="1"/>
  <c r="EO47" i="91"/>
  <c r="EO42" i="91" s="1"/>
  <c r="LW50" i="91"/>
  <c r="MF50" i="91"/>
  <c r="LX50" i="91"/>
  <c r="JY50" i="91"/>
  <c r="KH50" i="91"/>
  <c r="KD57" i="91"/>
  <c r="IE57" i="91"/>
  <c r="IE56" i="91"/>
  <c r="HL56" i="91"/>
  <c r="L41" i="1" s="1"/>
  <c r="L68" i="3" s="1"/>
  <c r="HI54" i="91"/>
  <c r="HM51" i="91"/>
  <c r="HZ51" i="91" s="1"/>
  <c r="HL51" i="91"/>
  <c r="L36" i="1" s="1"/>
  <c r="L62" i="3" s="1"/>
  <c r="HJ51" i="91"/>
  <c r="ME50" i="91"/>
  <c r="GV47" i="91"/>
  <c r="GV42" i="91" s="1"/>
  <c r="GN47" i="91"/>
  <c r="GN42" i="91" s="1"/>
  <c r="GF47" i="91"/>
  <c r="GF42" i="91" s="1"/>
  <c r="EM47" i="91"/>
  <c r="EM42" i="91" s="1"/>
  <c r="JZ45" i="91"/>
  <c r="KI45" i="91"/>
  <c r="MK55" i="91"/>
  <c r="MB55" i="91"/>
  <c r="LX54" i="91"/>
  <c r="IE54" i="91"/>
  <c r="HT54" i="91"/>
  <c r="KH53" i="91"/>
  <c r="MA52" i="91"/>
  <c r="IG52" i="91"/>
  <c r="MF51" i="91"/>
  <c r="KJ51" i="91"/>
  <c r="HS51" i="91"/>
  <c r="MC50" i="91"/>
  <c r="IF49" i="91"/>
  <c r="JP48" i="91"/>
  <c r="HR48" i="91"/>
  <c r="GW47" i="91"/>
  <c r="GW42" i="91" s="1"/>
  <c r="GO47" i="91"/>
  <c r="GO42" i="91" s="1"/>
  <c r="GG47" i="91"/>
  <c r="GG42" i="91" s="1"/>
  <c r="EN47" i="91"/>
  <c r="EN42" i="91" s="1"/>
  <c r="JY46" i="91"/>
  <c r="KH46" i="91"/>
  <c r="HL45" i="91"/>
  <c r="L30" i="1" s="1"/>
  <c r="MA55" i="91"/>
  <c r="MF54" i="91"/>
  <c r="HS54" i="91"/>
  <c r="ME51" i="91"/>
  <c r="JP51" i="91"/>
  <c r="HR51" i="91"/>
  <c r="MK50" i="91"/>
  <c r="MB50" i="91"/>
  <c r="HT49" i="91"/>
  <c r="HH47" i="91"/>
  <c r="IG46" i="91"/>
  <c r="JP46" i="91"/>
  <c r="HL46" i="91"/>
  <c r="L31" i="1" s="1"/>
  <c r="HJ46" i="91"/>
  <c r="JY45" i="91"/>
  <c r="JP54" i="91"/>
  <c r="LV48" i="91"/>
  <c r="GU47" i="91"/>
  <c r="GU42" i="91" s="1"/>
  <c r="GM47" i="91"/>
  <c r="GM42" i="91" s="1"/>
  <c r="GE47" i="91"/>
  <c r="GE42" i="91" s="1"/>
  <c r="EL47" i="91"/>
  <c r="EL42" i="91" s="1"/>
  <c r="IF46" i="91"/>
  <c r="LW45" i="91"/>
  <c r="MK56" i="91"/>
  <c r="MB56" i="91"/>
  <c r="KH54" i="91"/>
  <c r="KJ52" i="91"/>
  <c r="KI49" i="91"/>
  <c r="MK48" i="91"/>
  <c r="MB48" i="91"/>
  <c r="HK48" i="91"/>
  <c r="HB47" i="91"/>
  <c r="HB42" i="91" s="1"/>
  <c r="GT47" i="91"/>
  <c r="GT42" i="91" s="1"/>
  <c r="GL47" i="91"/>
  <c r="GL42" i="91" s="1"/>
  <c r="ES47" i="91"/>
  <c r="ES42" i="91" s="1"/>
  <c r="EK47" i="91"/>
  <c r="EK42" i="91" s="1"/>
  <c r="LV45" i="91"/>
  <c r="ME45" i="91"/>
  <c r="HS45" i="91"/>
  <c r="IE45" i="91"/>
  <c r="IF45" i="91"/>
  <c r="HM45" i="91"/>
  <c r="HZ45" i="91" s="1"/>
  <c r="HK45" i="91"/>
  <c r="K30" i="1" s="1"/>
  <c r="KI52" i="91"/>
  <c r="HJ48" i="91"/>
  <c r="HR46" i="91"/>
  <c r="HK46" i="91"/>
  <c r="K31" i="1" s="1"/>
  <c r="HI46" i="91"/>
  <c r="HI45" i="91"/>
  <c r="KI55" i="91"/>
  <c r="KH52" i="91"/>
  <c r="KJ50" i="91"/>
  <c r="IF48" i="91"/>
  <c r="HI48" i="91"/>
  <c r="JY47" i="91"/>
  <c r="MK49" i="91"/>
  <c r="MB49" i="91"/>
  <c r="GY47" i="91"/>
  <c r="GY42" i="91" s="1"/>
  <c r="GQ47" i="91"/>
  <c r="GQ42" i="91" s="1"/>
  <c r="GI47" i="91"/>
  <c r="GI42" i="91" s="1"/>
  <c r="EP47" i="91"/>
  <c r="EP42" i="91" s="1"/>
  <c r="EH47" i="91"/>
  <c r="EH42" i="91" s="1"/>
  <c r="HT46" i="91"/>
  <c r="HJ45" i="91"/>
  <c r="HW44" i="91"/>
  <c r="IJ44" i="91"/>
  <c r="IE44" i="91"/>
  <c r="HT44" i="91"/>
  <c r="LZ43" i="91"/>
  <c r="LR42" i="91"/>
  <c r="GX40" i="91"/>
  <c r="GB40" i="91"/>
  <c r="GZ40" i="91"/>
  <c r="FT40" i="91"/>
  <c r="GR40" i="91"/>
  <c r="LV37" i="91"/>
  <c r="ME37" i="91"/>
  <c r="HR37" i="91"/>
  <c r="LZ35" i="91"/>
  <c r="LR35" i="91"/>
  <c r="LS35" i="91"/>
  <c r="MD35" i="91"/>
  <c r="LV35" i="91"/>
  <c r="LW34" i="91"/>
  <c r="LX34" i="91"/>
  <c r="ME34" i="91"/>
  <c r="MK46" i="91"/>
  <c r="MB46" i="91"/>
  <c r="IG45" i="91"/>
  <c r="MF44" i="91"/>
  <c r="KJ44" i="91"/>
  <c r="KA44" i="91"/>
  <c r="HS44" i="91"/>
  <c r="IE37" i="91"/>
  <c r="IC36" i="91"/>
  <c r="IL36" i="91"/>
  <c r="IN36" i="91"/>
  <c r="HX36" i="91"/>
  <c r="IE34" i="91"/>
  <c r="JP44" i="91"/>
  <c r="KE36" i="91"/>
  <c r="KM36" i="91"/>
  <c r="HR35" i="91"/>
  <c r="HR34" i="91"/>
  <c r="HM34" i="91"/>
  <c r="HK34" i="91"/>
  <c r="MF45" i="91"/>
  <c r="KJ45" i="91"/>
  <c r="HT45" i="91"/>
  <c r="MD44" i="91"/>
  <c r="KH44" i="91"/>
  <c r="LU43" i="91"/>
  <c r="MD43" i="91"/>
  <c r="KA43" i="91"/>
  <c r="KJ43" i="91"/>
  <c r="HR43" i="91"/>
  <c r="IE43" i="91"/>
  <c r="HE42" i="91"/>
  <c r="KD36" i="91"/>
  <c r="HT35" i="91"/>
  <c r="IG35" i="91"/>
  <c r="HJ35" i="91"/>
  <c r="LT44" i="91"/>
  <c r="HM43" i="91"/>
  <c r="HZ43" i="91" s="1"/>
  <c r="HK43" i="91"/>
  <c r="K28" i="1" s="1"/>
  <c r="KA37" i="91"/>
  <c r="KJ37" i="91"/>
  <c r="LX35" i="91"/>
  <c r="ME35" i="91"/>
  <c r="MF35" i="91"/>
  <c r="KA35" i="91"/>
  <c r="KJ35" i="91"/>
  <c r="MK44" i="91"/>
  <c r="MB44" i="91"/>
  <c r="JY43" i="91"/>
  <c r="KH43" i="91"/>
  <c r="FW40" i="91"/>
  <c r="GU40" i="91"/>
  <c r="LZ37" i="91"/>
  <c r="LR37" i="91"/>
  <c r="KK37" i="91"/>
  <c r="HU37" i="91"/>
  <c r="IG37" i="91"/>
  <c r="IH37" i="91"/>
  <c r="LV36" i="91"/>
  <c r="KA36" i="91"/>
  <c r="KJ36" i="91"/>
  <c r="KB36" i="91"/>
  <c r="IA36" i="91"/>
  <c r="LR43" i="91"/>
  <c r="MA43" i="91"/>
  <c r="JS37" i="91"/>
  <c r="JT37" i="91"/>
  <c r="LU36" i="91"/>
  <c r="MD36" i="91"/>
  <c r="HM35" i="91"/>
  <c r="HK35" i="91"/>
  <c r="HI35" i="91"/>
  <c r="MK45" i="91"/>
  <c r="MB45" i="91"/>
  <c r="KL44" i="91"/>
  <c r="JP43" i="91"/>
  <c r="HF42" i="91"/>
  <c r="HD42" i="91"/>
  <c r="MH39" i="91"/>
  <c r="LW37" i="91"/>
  <c r="IK36" i="91"/>
  <c r="LW35" i="91"/>
  <c r="HI34" i="91"/>
  <c r="MC32" i="91"/>
  <c r="LU32" i="91"/>
  <c r="MD32" i="91"/>
  <c r="GW40" i="91"/>
  <c r="MC37" i="91"/>
  <c r="II37" i="91"/>
  <c r="HX37" i="91"/>
  <c r="MK36" i="91"/>
  <c r="MB36" i="91"/>
  <c r="IE35" i="91"/>
  <c r="LZ34" i="91"/>
  <c r="LR34" i="91"/>
  <c r="MA33" i="91"/>
  <c r="LT33" i="91"/>
  <c r="MC33" i="91"/>
  <c r="KD33" i="91"/>
  <c r="MD34" i="91"/>
  <c r="KA33" i="91"/>
  <c r="KJ33" i="91"/>
  <c r="HJ33" i="91"/>
  <c r="MD29" i="91"/>
  <c r="LV29" i="91"/>
  <c r="ME29" i="91"/>
  <c r="ME28" i="91"/>
  <c r="LW28" i="91"/>
  <c r="MF28" i="91"/>
  <c r="LX28" i="91"/>
  <c r="IL38" i="91"/>
  <c r="KM37" i="91"/>
  <c r="JZ36" i="91"/>
  <c r="HV36" i="91"/>
  <c r="LT35" i="91"/>
  <c r="MC35" i="91"/>
  <c r="JY35" i="91"/>
  <c r="JY34" i="91"/>
  <c r="HL33" i="91"/>
  <c r="JP33" i="91"/>
  <c r="IK38" i="91"/>
  <c r="KL37" i="91"/>
  <c r="IF37" i="91"/>
  <c r="KI36" i="91"/>
  <c r="JY36" i="91"/>
  <c r="MB35" i="91"/>
  <c r="KJ34" i="91"/>
  <c r="MK33" i="91"/>
  <c r="LZ33" i="91"/>
  <c r="MF33" i="91"/>
  <c r="LW29" i="91"/>
  <c r="LU27" i="91"/>
  <c r="MC27" i="91"/>
  <c r="HL35" i="91"/>
  <c r="HL34" i="91"/>
  <c r="HJ34" i="91"/>
  <c r="MF37" i="91"/>
  <c r="ME36" i="91"/>
  <c r="IE36" i="91"/>
  <c r="LT34" i="91"/>
  <c r="IF34" i="91"/>
  <c r="MC34" i="91"/>
  <c r="HT33" i="91"/>
  <c r="JP34" i="91"/>
  <c r="LW33" i="91"/>
  <c r="KH33" i="91"/>
  <c r="HT28" i="91"/>
  <c r="IG28" i="91"/>
  <c r="HR27" i="91"/>
  <c r="IE27" i="91"/>
  <c r="HK27" i="91"/>
  <c r="K18" i="1" s="1"/>
  <c r="HJ27" i="91"/>
  <c r="HI27" i="91"/>
  <c r="LT26" i="91"/>
  <c r="MC26" i="91"/>
  <c r="LU26" i="91"/>
  <c r="HS26" i="91"/>
  <c r="IF26" i="91"/>
  <c r="HK26" i="91"/>
  <c r="KI32" i="91"/>
  <c r="JZ32" i="91"/>
  <c r="JP32" i="91"/>
  <c r="HR32" i="91"/>
  <c r="HH21" i="91"/>
  <c r="MD30" i="91"/>
  <c r="KH30" i="91"/>
  <c r="HR30" i="91"/>
  <c r="MK29" i="91"/>
  <c r="MB29" i="91"/>
  <c r="JP28" i="91"/>
  <c r="IH28" i="91"/>
  <c r="HS28" i="91"/>
  <c r="IE28" i="91"/>
  <c r="HM32" i="91"/>
  <c r="LS21" i="91"/>
  <c r="MK21" i="91"/>
  <c r="MA21" i="91"/>
  <c r="KI28" i="91"/>
  <c r="JY28" i="91"/>
  <c r="IF28" i="91"/>
  <c r="LW27" i="91"/>
  <c r="MF27" i="91"/>
  <c r="LX27" i="91"/>
  <c r="MD27" i="91"/>
  <c r="LR26" i="91"/>
  <c r="MA26" i="91"/>
  <c r="LT32" i="91"/>
  <c r="IG29" i="91"/>
  <c r="KH28" i="91"/>
  <c r="HL27" i="91"/>
  <c r="L18" i="1" s="1"/>
  <c r="KI33" i="91"/>
  <c r="MK32" i="91"/>
  <c r="MB32" i="91"/>
  <c r="HK32" i="91"/>
  <c r="MA30" i="91"/>
  <c r="LX29" i="91"/>
  <c r="IF29" i="91"/>
  <c r="HT26" i="91"/>
  <c r="IG32" i="91"/>
  <c r="HH31" i="91"/>
  <c r="HG21" i="91"/>
  <c r="MF29" i="91"/>
  <c r="KJ29" i="91"/>
  <c r="IE29" i="91"/>
  <c r="MD28" i="91"/>
  <c r="LV27" i="91"/>
  <c r="KA27" i="91"/>
  <c r="KJ27" i="91"/>
  <c r="MB26" i="91"/>
  <c r="HR26" i="91"/>
  <c r="IF32" i="91"/>
  <c r="KR31" i="91"/>
  <c r="HG31" i="91"/>
  <c r="MB21" i="91"/>
  <c r="LT21" i="91"/>
  <c r="LX30" i="91"/>
  <c r="IF30" i="91"/>
  <c r="KR29" i="91"/>
  <c r="LT28" i="91"/>
  <c r="HJ28" i="91"/>
  <c r="HT27" i="91"/>
  <c r="IF27" i="91"/>
  <c r="IG27" i="91"/>
  <c r="LZ26" i="91"/>
  <c r="HL26" i="91"/>
  <c r="KH31" i="91"/>
  <c r="MF30" i="91"/>
  <c r="KJ30" i="91"/>
  <c r="KH29" i="91"/>
  <c r="MK28" i="91"/>
  <c r="MB28" i="91"/>
  <c r="KA28" i="91"/>
  <c r="KJ28" i="91"/>
  <c r="JZ27" i="91"/>
  <c r="JY27" i="91"/>
  <c r="KH27" i="91"/>
  <c r="GY21" i="91"/>
  <c r="GQ21" i="91"/>
  <c r="GI21" i="91"/>
  <c r="EP21" i="91"/>
  <c r="EH21" i="91"/>
  <c r="IF25" i="91"/>
  <c r="MB23" i="91"/>
  <c r="HT23" i="91"/>
  <c r="HA21" i="91"/>
  <c r="GS21" i="91"/>
  <c r="GK21" i="91"/>
  <c r="ER21" i="91"/>
  <c r="EJ21" i="91"/>
  <c r="LZ21" i="91"/>
  <c r="LR21" i="91"/>
  <c r="JP26" i="91"/>
  <c r="LW25" i="91"/>
  <c r="IE25" i="91"/>
  <c r="LU24" i="91"/>
  <c r="JP24" i="91"/>
  <c r="MK23" i="91"/>
  <c r="KH23" i="91"/>
  <c r="HR23" i="91"/>
  <c r="HI23" i="91"/>
  <c r="GZ21" i="91"/>
  <c r="GR21" i="91"/>
  <c r="GJ21" i="91"/>
  <c r="EQ21" i="91"/>
  <c r="EI21" i="91"/>
  <c r="JS19" i="91"/>
  <c r="JT19" i="91"/>
  <c r="HI26" i="91"/>
  <c r="ME25" i="91"/>
  <c r="KI25" i="91"/>
  <c r="HS25" i="91"/>
  <c r="MC24" i="91"/>
  <c r="KO24" i="91"/>
  <c r="JO24" i="91"/>
  <c r="KF23" i="91"/>
  <c r="LW19" i="91"/>
  <c r="MF19" i="91"/>
  <c r="LX19" i="91"/>
  <c r="LU25" i="91"/>
  <c r="LS24" i="91"/>
  <c r="LW23" i="91"/>
  <c r="IE23" i="91"/>
  <c r="HL23" i="91"/>
  <c r="L15" i="1" s="1"/>
  <c r="HF21" i="91"/>
  <c r="HD21" i="91"/>
  <c r="IF19" i="91"/>
  <c r="HS19" i="91"/>
  <c r="IE19" i="91"/>
  <c r="HM19" i="91"/>
  <c r="HZ19" i="91" s="1"/>
  <c r="JP27" i="91"/>
  <c r="MC25" i="91"/>
  <c r="KO25" i="91"/>
  <c r="JO25" i="91"/>
  <c r="MA24" i="91"/>
  <c r="LV23" i="91"/>
  <c r="JZ23" i="91"/>
  <c r="KI23" i="91"/>
  <c r="LV22" i="91"/>
  <c r="ME22" i="91"/>
  <c r="LW22" i="91"/>
  <c r="JZ22" i="91"/>
  <c r="KI22" i="91"/>
  <c r="HS22" i="91"/>
  <c r="IE22" i="91"/>
  <c r="IF22" i="91"/>
  <c r="GW21" i="91"/>
  <c r="GO21" i="91"/>
  <c r="GG21" i="91"/>
  <c r="EN21" i="91"/>
  <c r="HE21" i="91"/>
  <c r="HJ23" i="91"/>
  <c r="KH22" i="91"/>
  <c r="GV21" i="91"/>
  <c r="GN21" i="91"/>
  <c r="GF21" i="91"/>
  <c r="EM21" i="91"/>
  <c r="JY19" i="91"/>
  <c r="KH19" i="91"/>
  <c r="MC18" i="91"/>
  <c r="LU18" i="91"/>
  <c r="MK27" i="91"/>
  <c r="MB27" i="91"/>
  <c r="MA25" i="91"/>
  <c r="LX24" i="91"/>
  <c r="IF24" i="91"/>
  <c r="HI24" i="91"/>
  <c r="IF23" i="91"/>
  <c r="GX21" i="91"/>
  <c r="GP21" i="91"/>
  <c r="GH21" i="91"/>
  <c r="EO21" i="91"/>
  <c r="LT22" i="91"/>
  <c r="MC22" i="91"/>
  <c r="GU21" i="91"/>
  <c r="GM21" i="91"/>
  <c r="GE21" i="91"/>
  <c r="EL21" i="91"/>
  <c r="MF24" i="91"/>
  <c r="KJ24" i="91"/>
  <c r="JY23" i="91"/>
  <c r="HB21" i="91"/>
  <c r="GT21" i="91"/>
  <c r="GL21" i="91"/>
  <c r="ES21" i="91"/>
  <c r="EK21" i="91"/>
  <c r="JZ19" i="91"/>
  <c r="HR19" i="91"/>
  <c r="MD18" i="91"/>
  <c r="KF17" i="91"/>
  <c r="KO17" i="91"/>
  <c r="HM22" i="91"/>
  <c r="HZ22" i="91" s="1"/>
  <c r="HT19" i="91"/>
  <c r="LX18" i="91"/>
  <c r="KJ18" i="91"/>
  <c r="HF14" i="91"/>
  <c r="KS25" i="91"/>
  <c r="LW18" i="91"/>
  <c r="HK18" i="91"/>
  <c r="KH16" i="91"/>
  <c r="JP18" i="91"/>
  <c r="HJ18" i="91"/>
  <c r="KD18" i="91"/>
  <c r="JW20" i="91"/>
  <c r="LU17" i="91"/>
  <c r="MD17" i="91"/>
  <c r="HM17" i="91"/>
  <c r="HZ17" i="91" s="1"/>
  <c r="HK17" i="91"/>
  <c r="KN17" i="91"/>
  <c r="HI17" i="91"/>
  <c r="JY16" i="91"/>
  <c r="HI22" i="91"/>
  <c r="MC19" i="91"/>
  <c r="LZ18" i="91"/>
  <c r="LR18" i="91"/>
  <c r="HR16" i="91"/>
  <c r="IE16" i="91"/>
  <c r="HK16" i="91"/>
  <c r="KJ22" i="91"/>
  <c r="JT20" i="91"/>
  <c r="LS19" i="91"/>
  <c r="HT18" i="91"/>
  <c r="HR18" i="91"/>
  <c r="KA17" i="91"/>
  <c r="KJ17" i="91"/>
  <c r="MA19" i="91"/>
  <c r="HS18" i="91"/>
  <c r="HI18" i="91"/>
  <c r="HB11" i="91"/>
  <c r="GT11" i="91"/>
  <c r="GL11" i="91"/>
  <c r="ES11" i="91"/>
  <c r="EK11" i="91"/>
  <c r="LV18" i="91"/>
  <c r="JZ18" i="91"/>
  <c r="KI18" i="91"/>
  <c r="LZ17" i="91"/>
  <c r="LR17" i="91"/>
  <c r="IG17" i="91"/>
  <c r="JP17" i="91"/>
  <c r="HJ17" i="91"/>
  <c r="ME16" i="91"/>
  <c r="LW16" i="91"/>
  <c r="HM16" i="91"/>
  <c r="KB13" i="91"/>
  <c r="KK13" i="91"/>
  <c r="IH13" i="91"/>
  <c r="JP13" i="91"/>
  <c r="HK13" i="91"/>
  <c r="GU11" i="91"/>
  <c r="GM11" i="91"/>
  <c r="GE11" i="91"/>
  <c r="EP11" i="91"/>
  <c r="EH11" i="91"/>
  <c r="MK17" i="91"/>
  <c r="MB17" i="91"/>
  <c r="HT16" i="91"/>
  <c r="HM13" i="91"/>
  <c r="HZ13" i="91" s="1"/>
  <c r="HL13" i="91"/>
  <c r="EO11" i="91"/>
  <c r="JZ13" i="91"/>
  <c r="KI13" i="91"/>
  <c r="HT13" i="91"/>
  <c r="LS12" i="91"/>
  <c r="MB12" i="91"/>
  <c r="MK12" i="91"/>
  <c r="HA11" i="91"/>
  <c r="GS11" i="91"/>
  <c r="GK11" i="91"/>
  <c r="EN11" i="91"/>
  <c r="HL12" i="91"/>
  <c r="L59" i="77" s="1"/>
  <c r="L14" i="77" s="1"/>
  <c r="JP12" i="91"/>
  <c r="HK12" i="91"/>
  <c r="K59" i="77" s="1"/>
  <c r="HI12" i="91"/>
  <c r="KC12" i="91"/>
  <c r="MH11" i="91"/>
  <c r="MH12" i="91"/>
  <c r="KI16" i="91"/>
  <c r="JP16" i="91"/>
  <c r="IE15" i="91"/>
  <c r="LS13" i="91"/>
  <c r="MB13" i="91"/>
  <c r="MK13" i="91"/>
  <c r="HJ12" i="91"/>
  <c r="GZ11" i="91"/>
  <c r="GR11" i="91"/>
  <c r="GJ11" i="91"/>
  <c r="EM11" i="91"/>
  <c r="KR11" i="91"/>
  <c r="HR15" i="91"/>
  <c r="HU13" i="91"/>
  <c r="GY11" i="91"/>
  <c r="GQ11" i="91"/>
  <c r="GI11" i="91"/>
  <c r="EL11" i="91"/>
  <c r="LW17" i="91"/>
  <c r="LT16" i="91"/>
  <c r="LV16" i="91"/>
  <c r="HL16" i="91"/>
  <c r="KJ13" i="91"/>
  <c r="HS13" i="91"/>
  <c r="GX11" i="91"/>
  <c r="GP11" i="91"/>
  <c r="GH11" i="91"/>
  <c r="ME17" i="91"/>
  <c r="KI17" i="91"/>
  <c r="MK16" i="91"/>
  <c r="MB16" i="91"/>
  <c r="IG13" i="91"/>
  <c r="MA12" i="91"/>
  <c r="GW11" i="91"/>
  <c r="GO11" i="91"/>
  <c r="GG11" i="91"/>
  <c r="ER11" i="91"/>
  <c r="EJ11" i="91"/>
  <c r="MK11" i="91"/>
  <c r="MA16" i="91"/>
  <c r="HJ16" i="91"/>
  <c r="IF13" i="91"/>
  <c r="II13" i="91"/>
  <c r="GV11" i="91"/>
  <c r="GN11" i="91"/>
  <c r="GF11" i="91"/>
  <c r="EQ11" i="91"/>
  <c r="EI11" i="91"/>
  <c r="ME13" i="91"/>
  <c r="LU13" i="91"/>
  <c r="KI12" i="91"/>
  <c r="MC13" i="91"/>
  <c r="MD12" i="91"/>
  <c r="HM12" i="91"/>
  <c r="HZ12" i="91" s="1"/>
  <c r="MC12" i="91"/>
  <c r="KQ22" i="91"/>
  <c r="L143" i="1" l="1"/>
  <c r="M322" i="3"/>
  <c r="M193" i="3"/>
  <c r="M141" i="1"/>
  <c r="N141" i="1"/>
  <c r="M216" i="3"/>
  <c r="N146" i="1"/>
  <c r="M172" i="1"/>
  <c r="N172" i="1"/>
  <c r="M329" i="3"/>
  <c r="M200" i="3"/>
  <c r="M144" i="1"/>
  <c r="N144" i="1"/>
  <c r="M97" i="3"/>
  <c r="M243" i="3"/>
  <c r="N271" i="3"/>
  <c r="HX184" i="91"/>
  <c r="IL184" i="91"/>
  <c r="IN184" i="91"/>
  <c r="IN48" i="91"/>
  <c r="GB61" i="91"/>
  <c r="GB74" i="91"/>
  <c r="GB75" i="91" s="1"/>
  <c r="FL60" i="91"/>
  <c r="FL61" i="91" s="1"/>
  <c r="EO190" i="91"/>
  <c r="HW19" i="91"/>
  <c r="HF218" i="91"/>
  <c r="M271" i="3"/>
  <c r="FV60" i="91"/>
  <c r="FV61" i="91" s="1"/>
  <c r="IK184" i="91"/>
  <c r="IN181" i="91"/>
  <c r="IA184" i="91"/>
  <c r="IL181" i="91"/>
  <c r="IA29" i="91"/>
  <c r="IL100" i="91"/>
  <c r="IC100" i="91"/>
  <c r="IA100" i="91"/>
  <c r="IK100" i="91"/>
  <c r="IN29" i="91"/>
  <c r="IA82" i="91"/>
  <c r="IC29" i="91"/>
  <c r="IL29" i="91"/>
  <c r="HX49" i="91"/>
  <c r="HY85" i="91"/>
  <c r="HZ85" i="91"/>
  <c r="HY100" i="91"/>
  <c r="HZ100" i="91"/>
  <c r="HY180" i="91"/>
  <c r="HZ180" i="91"/>
  <c r="HY33" i="91"/>
  <c r="HZ33" i="91"/>
  <c r="HY147" i="91"/>
  <c r="HZ147" i="91"/>
  <c r="HY129" i="91"/>
  <c r="HZ129" i="91"/>
  <c r="HY66" i="91"/>
  <c r="HZ66" i="91"/>
  <c r="HY181" i="91"/>
  <c r="HZ181" i="91"/>
  <c r="HY211" i="91"/>
  <c r="HZ211" i="91"/>
  <c r="HY58" i="91"/>
  <c r="HZ58" i="91"/>
  <c r="HY143" i="91"/>
  <c r="HZ143" i="91"/>
  <c r="HY151" i="91"/>
  <c r="HZ151" i="91"/>
  <c r="HY16" i="91"/>
  <c r="HZ16" i="91"/>
  <c r="HY172" i="91"/>
  <c r="HZ172" i="91"/>
  <c r="HY171" i="91"/>
  <c r="HZ171" i="91"/>
  <c r="HY86" i="91"/>
  <c r="HZ86" i="91"/>
  <c r="HY209" i="91"/>
  <c r="HZ209" i="91"/>
  <c r="HY191" i="91"/>
  <c r="HZ191" i="91"/>
  <c r="HY154" i="91"/>
  <c r="HZ154" i="91"/>
  <c r="HY177" i="91"/>
  <c r="HZ177" i="91"/>
  <c r="HY198" i="91"/>
  <c r="HZ198" i="91"/>
  <c r="HY68" i="91"/>
  <c r="HZ68" i="91"/>
  <c r="HY35" i="91"/>
  <c r="HZ35" i="91"/>
  <c r="HY32" i="91"/>
  <c r="HZ32" i="91"/>
  <c r="HY34" i="91"/>
  <c r="HZ34" i="91"/>
  <c r="HY184" i="91"/>
  <c r="HZ184" i="91"/>
  <c r="M82" i="1"/>
  <c r="M196" i="3" s="1"/>
  <c r="HY130" i="91"/>
  <c r="M94" i="1"/>
  <c r="HY149" i="91"/>
  <c r="M112" i="1"/>
  <c r="HY175" i="91"/>
  <c r="M114" i="1"/>
  <c r="M133" i="1"/>
  <c r="HY215" i="91"/>
  <c r="M18" i="1"/>
  <c r="M37" i="3" s="1"/>
  <c r="HY27" i="91"/>
  <c r="M31" i="1"/>
  <c r="M57" i="3" s="1"/>
  <c r="HY46" i="91"/>
  <c r="M29" i="1"/>
  <c r="M55" i="3" s="1"/>
  <c r="HY44" i="91"/>
  <c r="HY65" i="91"/>
  <c r="M40" i="1"/>
  <c r="M67" i="3" s="1"/>
  <c r="HY55" i="91"/>
  <c r="L120" i="1"/>
  <c r="M152" i="1" s="1"/>
  <c r="HY192" i="91"/>
  <c r="M20" i="1"/>
  <c r="M35" i="3" s="1"/>
  <c r="HY29" i="91"/>
  <c r="M36" i="1"/>
  <c r="M62" i="3" s="1"/>
  <c r="HY51" i="91"/>
  <c r="M35" i="1"/>
  <c r="M61" i="3" s="1"/>
  <c r="HY50" i="91"/>
  <c r="M104" i="1"/>
  <c r="M260" i="3" s="1"/>
  <c r="M264" i="3" s="1"/>
  <c r="HY162" i="91"/>
  <c r="M128" i="1"/>
  <c r="HY212" i="91"/>
  <c r="M15" i="1"/>
  <c r="M31" i="3" s="1"/>
  <c r="HY23" i="91"/>
  <c r="M76" i="1"/>
  <c r="HY119" i="91"/>
  <c r="HY178" i="91"/>
  <c r="M130" i="1"/>
  <c r="HY208" i="91"/>
  <c r="HY174" i="91"/>
  <c r="HY152" i="91"/>
  <c r="M97" i="1"/>
  <c r="HY155" i="91"/>
  <c r="HY17" i="91"/>
  <c r="HY19" i="91"/>
  <c r="M37" i="1"/>
  <c r="M63" i="3" s="1"/>
  <c r="HY52" i="91"/>
  <c r="M91" i="1"/>
  <c r="HY140" i="91"/>
  <c r="M14" i="1"/>
  <c r="M29" i="3" s="1"/>
  <c r="HY22" i="91"/>
  <c r="IN49" i="91"/>
  <c r="HY69" i="91"/>
  <c r="HY185" i="91"/>
  <c r="HY194" i="91"/>
  <c r="HY26" i="91"/>
  <c r="M101" i="1"/>
  <c r="HY160" i="91"/>
  <c r="M99" i="1"/>
  <c r="HY157" i="91"/>
  <c r="M16" i="1"/>
  <c r="M33" i="3" s="1"/>
  <c r="HY24" i="91"/>
  <c r="HY103" i="91"/>
  <c r="M56" i="1"/>
  <c r="M93" i="3" s="1"/>
  <c r="HY82" i="91"/>
  <c r="HY101" i="91"/>
  <c r="M126" i="1"/>
  <c r="HY205" i="91"/>
  <c r="M78" i="1"/>
  <c r="HY122" i="91"/>
  <c r="HY126" i="91"/>
  <c r="M106" i="1"/>
  <c r="HY164" i="91"/>
  <c r="HY148" i="91"/>
  <c r="HY195" i="91"/>
  <c r="IL49" i="91"/>
  <c r="HY89" i="91"/>
  <c r="M77" i="1"/>
  <c r="HY121" i="91"/>
  <c r="M84" i="1"/>
  <c r="M198" i="3" s="1"/>
  <c r="O198" i="3" s="1"/>
  <c r="HY133" i="91"/>
  <c r="M103" i="1"/>
  <c r="M254" i="3" s="1"/>
  <c r="HY161" i="91"/>
  <c r="M21" i="1"/>
  <c r="M36" i="3" s="1"/>
  <c r="HY30" i="91"/>
  <c r="L65" i="1"/>
  <c r="HY108" i="91"/>
  <c r="HY90" i="91"/>
  <c r="M85" i="1"/>
  <c r="HY134" i="91"/>
  <c r="M115" i="1"/>
  <c r="HY182" i="91"/>
  <c r="HY170" i="91"/>
  <c r="HY135" i="91"/>
  <c r="M17" i="1"/>
  <c r="M34" i="3" s="1"/>
  <c r="N46" i="3" s="1"/>
  <c r="HY25" i="91"/>
  <c r="HY13" i="91"/>
  <c r="M59" i="77"/>
  <c r="M14" i="77" s="1"/>
  <c r="HY12" i="91"/>
  <c r="M39" i="1"/>
  <c r="M66" i="3" s="1"/>
  <c r="HY54" i="91"/>
  <c r="IK49" i="91"/>
  <c r="IN52" i="91"/>
  <c r="HY88" i="91"/>
  <c r="M83" i="1"/>
  <c r="M197" i="3" s="1"/>
  <c r="O197" i="3" s="1"/>
  <c r="HY131" i="91"/>
  <c r="HY127" i="91"/>
  <c r="M98" i="1"/>
  <c r="M247" i="3" s="1"/>
  <c r="HY156" i="91"/>
  <c r="M110" i="1"/>
  <c r="HY173" i="91"/>
  <c r="HY18" i="91"/>
  <c r="M19" i="1"/>
  <c r="M32" i="3" s="1"/>
  <c r="HY28" i="91"/>
  <c r="HY70" i="91"/>
  <c r="HY206" i="91"/>
  <c r="M28" i="1"/>
  <c r="HY43" i="91"/>
  <c r="M38" i="1"/>
  <c r="M65" i="3" s="1"/>
  <c r="HY53" i="91"/>
  <c r="IC49" i="91"/>
  <c r="IN25" i="91"/>
  <c r="M30" i="1"/>
  <c r="M56" i="3" s="1"/>
  <c r="HY45" i="91"/>
  <c r="IA49" i="91"/>
  <c r="M59" i="1"/>
  <c r="M171" i="1" s="1"/>
  <c r="HY93" i="91"/>
  <c r="M75" i="1"/>
  <c r="HY118" i="91"/>
  <c r="M96" i="1"/>
  <c r="HY153" i="91"/>
  <c r="HY188" i="91"/>
  <c r="M34" i="1"/>
  <c r="M60" i="3" s="1"/>
  <c r="HY49" i="91"/>
  <c r="M41" i="1"/>
  <c r="M68" i="3" s="1"/>
  <c r="HY56" i="91"/>
  <c r="M33" i="1"/>
  <c r="M59" i="3" s="1"/>
  <c r="HY48" i="91"/>
  <c r="HY102" i="91"/>
  <c r="HY207" i="91"/>
  <c r="HY187" i="91"/>
  <c r="KB28" i="91"/>
  <c r="IK28" i="91"/>
  <c r="FL74" i="91"/>
  <c r="FL75" i="91" s="1"/>
  <c r="GG168" i="91"/>
  <c r="GK63" i="91"/>
  <c r="IN172" i="91"/>
  <c r="ME207" i="91"/>
  <c r="MA103" i="91"/>
  <c r="MK103" i="91"/>
  <c r="II29" i="91"/>
  <c r="LT100" i="91"/>
  <c r="HU25" i="91"/>
  <c r="IL90" i="91"/>
  <c r="LX87" i="91"/>
  <c r="MA100" i="91"/>
  <c r="IJ33" i="91"/>
  <c r="HX123" i="91"/>
  <c r="KB162" i="91"/>
  <c r="KC187" i="91"/>
  <c r="FQ60" i="91"/>
  <c r="FQ61" i="91" s="1"/>
  <c r="IK123" i="91"/>
  <c r="EK137" i="91"/>
  <c r="HX177" i="91"/>
  <c r="KK195" i="91"/>
  <c r="LW207" i="91"/>
  <c r="HU186" i="91"/>
  <c r="FW223" i="91"/>
  <c r="FW230" i="91" s="1"/>
  <c r="FW235" i="91" s="1"/>
  <c r="FW238" i="91" s="1"/>
  <c r="FW240" i="91" s="1"/>
  <c r="GE137" i="91"/>
  <c r="GE166" i="91" s="1"/>
  <c r="KB195" i="91"/>
  <c r="LV210" i="91"/>
  <c r="GN63" i="91"/>
  <c r="IC25" i="91"/>
  <c r="FT61" i="91"/>
  <c r="KM187" i="91"/>
  <c r="EN137" i="91"/>
  <c r="HA63" i="91"/>
  <c r="MB121" i="91"/>
  <c r="KF126" i="91"/>
  <c r="IJ211" i="91"/>
  <c r="HX211" i="91"/>
  <c r="FT74" i="91"/>
  <c r="FT75" i="91" s="1"/>
  <c r="JS25" i="91"/>
  <c r="KO26" i="91"/>
  <c r="JS49" i="91"/>
  <c r="IH55" i="91"/>
  <c r="IJ151" i="91"/>
  <c r="JT86" i="91"/>
  <c r="IK151" i="91"/>
  <c r="HX151" i="91"/>
  <c r="IC178" i="91"/>
  <c r="HA168" i="91"/>
  <c r="IK178" i="91"/>
  <c r="MD153" i="91"/>
  <c r="JO26" i="91"/>
  <c r="IL43" i="91"/>
  <c r="JT30" i="91"/>
  <c r="IC43" i="91"/>
  <c r="LV181" i="91"/>
  <c r="IN43" i="91"/>
  <c r="GY137" i="91"/>
  <c r="GY166" i="91" s="1"/>
  <c r="HX178" i="91"/>
  <c r="IA43" i="91"/>
  <c r="GF63" i="91"/>
  <c r="FK202" i="91"/>
  <c r="FK218" i="91" s="1"/>
  <c r="IN178" i="91"/>
  <c r="LU207" i="91"/>
  <c r="II19" i="91"/>
  <c r="KN52" i="91"/>
  <c r="KC82" i="91"/>
  <c r="IF208" i="91"/>
  <c r="IJ86" i="91"/>
  <c r="MD126" i="91"/>
  <c r="HX28" i="91"/>
  <c r="IL82" i="91"/>
  <c r="IL30" i="91"/>
  <c r="IA181" i="91"/>
  <c r="IC181" i="91"/>
  <c r="GR190" i="91"/>
  <c r="IC30" i="91"/>
  <c r="IL48" i="91"/>
  <c r="HU66" i="91"/>
  <c r="MC126" i="91"/>
  <c r="HW28" i="91"/>
  <c r="IA30" i="91"/>
  <c r="IC48" i="91"/>
  <c r="KO52" i="91"/>
  <c r="IH85" i="91"/>
  <c r="IK181" i="91"/>
  <c r="HH204" i="91"/>
  <c r="HV26" i="91"/>
  <c r="IN30" i="91"/>
  <c r="HV32" i="91"/>
  <c r="IA48" i="91"/>
  <c r="KJ102" i="91"/>
  <c r="MC198" i="91"/>
  <c r="JT101" i="91"/>
  <c r="KH202" i="91"/>
  <c r="IC130" i="91"/>
  <c r="FC202" i="91"/>
  <c r="FC218" i="91" s="1"/>
  <c r="LX192" i="91"/>
  <c r="IL157" i="91"/>
  <c r="KL121" i="91"/>
  <c r="KN163" i="91"/>
  <c r="IA170" i="91"/>
  <c r="GD60" i="91"/>
  <c r="KR17" i="91"/>
  <c r="KR47" i="91"/>
  <c r="KQ39" i="91"/>
  <c r="KM100" i="91"/>
  <c r="IA134" i="91"/>
  <c r="HV25" i="91"/>
  <c r="HW120" i="91"/>
  <c r="JT23" i="91"/>
  <c r="KA15" i="91"/>
  <c r="JS35" i="91"/>
  <c r="JO28" i="91"/>
  <c r="IN44" i="91"/>
  <c r="II68" i="91"/>
  <c r="KO173" i="91"/>
  <c r="KL142" i="91"/>
  <c r="LX171" i="91"/>
  <c r="IJ174" i="91"/>
  <c r="HV193" i="91"/>
  <c r="II25" i="91"/>
  <c r="KK142" i="91"/>
  <c r="MF171" i="91"/>
  <c r="KB142" i="91"/>
  <c r="LW171" i="91"/>
  <c r="KE26" i="91"/>
  <c r="KC121" i="91"/>
  <c r="KO129" i="91"/>
  <c r="II146" i="91"/>
  <c r="LV171" i="91"/>
  <c r="LU171" i="91"/>
  <c r="KD154" i="91"/>
  <c r="GK168" i="91"/>
  <c r="HX182" i="91"/>
  <c r="ME144" i="91"/>
  <c r="IC172" i="91"/>
  <c r="FA202" i="91"/>
  <c r="FA218" i="91" s="1"/>
  <c r="HV174" i="91"/>
  <c r="IK182" i="91"/>
  <c r="HV146" i="91"/>
  <c r="HI183" i="91"/>
  <c r="GY63" i="91"/>
  <c r="MH18" i="91"/>
  <c r="LU135" i="91"/>
  <c r="HX154" i="91"/>
  <c r="KB159" i="91"/>
  <c r="IH185" i="91"/>
  <c r="IH146" i="91"/>
  <c r="IH142" i="91"/>
  <c r="KB140" i="91"/>
  <c r="KM163" i="91"/>
  <c r="KK159" i="91"/>
  <c r="IN170" i="91"/>
  <c r="IN182" i="91"/>
  <c r="MH17" i="91"/>
  <c r="KD163" i="91"/>
  <c r="IL170" i="91"/>
  <c r="KC159" i="91"/>
  <c r="IC182" i="91"/>
  <c r="KL65" i="91"/>
  <c r="KD65" i="91"/>
  <c r="HX170" i="91"/>
  <c r="IC170" i="91"/>
  <c r="LB40" i="91"/>
  <c r="IH90" i="91"/>
  <c r="KJ142" i="91"/>
  <c r="HX174" i="91"/>
  <c r="EI168" i="91"/>
  <c r="EI202" i="91" s="1"/>
  <c r="EI218" i="91" s="1"/>
  <c r="KK193" i="91"/>
  <c r="IN174" i="91"/>
  <c r="IA174" i="91"/>
  <c r="IP27" i="91"/>
  <c r="KO82" i="91"/>
  <c r="HU90" i="91"/>
  <c r="KO101" i="91"/>
  <c r="KI142" i="91"/>
  <c r="KD169" i="91"/>
  <c r="HT48" i="91"/>
  <c r="KB70" i="91"/>
  <c r="IC19" i="91"/>
  <c r="IP43" i="91"/>
  <c r="IF88" i="91"/>
  <c r="HV90" i="91"/>
  <c r="JZ142" i="91"/>
  <c r="HS86" i="91"/>
  <c r="II135" i="91"/>
  <c r="KL54" i="91"/>
  <c r="IP69" i="91"/>
  <c r="FW202" i="91"/>
  <c r="FW218" i="91" s="1"/>
  <c r="KL70" i="91"/>
  <c r="IC174" i="91"/>
  <c r="ME12" i="91"/>
  <c r="IP46" i="91"/>
  <c r="MB169" i="91"/>
  <c r="IC192" i="91"/>
  <c r="HS88" i="91"/>
  <c r="IG88" i="91"/>
  <c r="IP77" i="91"/>
  <c r="KN123" i="91"/>
  <c r="KA179" i="91"/>
  <c r="FR202" i="91"/>
  <c r="FR218" i="91" s="1"/>
  <c r="ME195" i="91"/>
  <c r="LV135" i="91"/>
  <c r="MH15" i="91"/>
  <c r="MH19" i="91"/>
  <c r="MH35" i="91"/>
  <c r="HV43" i="91"/>
  <c r="IE92" i="91"/>
  <c r="IK126" i="91"/>
  <c r="MH21" i="91"/>
  <c r="MH23" i="91"/>
  <c r="MH34" i="91"/>
  <c r="MH25" i="91"/>
  <c r="MH24" i="91"/>
  <c r="MH27" i="91"/>
  <c r="MH29" i="91"/>
  <c r="MH22" i="91"/>
  <c r="MH16" i="91"/>
  <c r="MH14" i="91"/>
  <c r="HJ158" i="91"/>
  <c r="KA176" i="91"/>
  <c r="JZ135" i="91"/>
  <c r="HT208" i="91"/>
  <c r="KE129" i="91"/>
  <c r="JS45" i="91"/>
  <c r="IJ65" i="91"/>
  <c r="JT53" i="91"/>
  <c r="IL148" i="91"/>
  <c r="FG74" i="91"/>
  <c r="FG75" i="91" s="1"/>
  <c r="IC148" i="91"/>
  <c r="IL44" i="91"/>
  <c r="IN86" i="91"/>
  <c r="MD140" i="91"/>
  <c r="IA192" i="91"/>
  <c r="KB197" i="91"/>
  <c r="IC44" i="91"/>
  <c r="JT50" i="91"/>
  <c r="HX86" i="91"/>
  <c r="LT156" i="91"/>
  <c r="LW170" i="91"/>
  <c r="HV30" i="91"/>
  <c r="MF12" i="91"/>
  <c r="IK44" i="91"/>
  <c r="JT68" i="91"/>
  <c r="IK86" i="91"/>
  <c r="II108" i="91"/>
  <c r="IA148" i="91"/>
  <c r="KN140" i="91"/>
  <c r="KL171" i="91"/>
  <c r="IG208" i="91"/>
  <c r="FP40" i="91"/>
  <c r="IA44" i="91"/>
  <c r="KC70" i="91"/>
  <c r="KO140" i="91"/>
  <c r="KE140" i="91"/>
  <c r="HT156" i="91"/>
  <c r="KE188" i="91"/>
  <c r="KO188" i="91"/>
  <c r="FV223" i="91"/>
  <c r="FV230" i="91" s="1"/>
  <c r="FV235" i="91" s="1"/>
  <c r="FV238" i="91" s="1"/>
  <c r="FV240" i="91" s="1"/>
  <c r="HH14" i="91"/>
  <c r="HX44" i="91"/>
  <c r="FV74" i="91"/>
  <c r="FV75" i="91" s="1"/>
  <c r="IH156" i="91"/>
  <c r="IL192" i="91"/>
  <c r="LW140" i="91"/>
  <c r="HW126" i="91"/>
  <c r="HK196" i="91"/>
  <c r="HX196" i="91" s="1"/>
  <c r="KC120" i="91"/>
  <c r="LX12" i="91"/>
  <c r="KB206" i="91"/>
  <c r="GE190" i="91"/>
  <c r="MF187" i="91"/>
  <c r="LU119" i="91"/>
  <c r="HX100" i="91"/>
  <c r="LB61" i="91"/>
  <c r="LX186" i="91"/>
  <c r="KR18" i="91"/>
  <c r="II174" i="91"/>
  <c r="KR46" i="91"/>
  <c r="KR45" i="91"/>
  <c r="KN82" i="91"/>
  <c r="KN26" i="91"/>
  <c r="IH123" i="91"/>
  <c r="KC135" i="91"/>
  <c r="IG173" i="91"/>
  <c r="FI60" i="91"/>
  <c r="FI61" i="91" s="1"/>
  <c r="FP74" i="91"/>
  <c r="FP75" i="91" s="1"/>
  <c r="LS82" i="91"/>
  <c r="II180" i="91"/>
  <c r="ES190" i="91"/>
  <c r="ES202" i="91" s="1"/>
  <c r="ES218" i="91" s="1"/>
  <c r="ME211" i="91"/>
  <c r="HD39" i="91"/>
  <c r="HD40" i="91" s="1"/>
  <c r="JZ48" i="91"/>
  <c r="GA74" i="91"/>
  <c r="GA75" i="91" s="1"/>
  <c r="KN133" i="91"/>
  <c r="KO170" i="91"/>
  <c r="MA176" i="91"/>
  <c r="EQ168" i="91"/>
  <c r="IK187" i="91"/>
  <c r="KI48" i="91"/>
  <c r="MB82" i="91"/>
  <c r="LT82" i="91"/>
  <c r="HU100" i="91"/>
  <c r="GS137" i="91"/>
  <c r="GS220" i="91" s="1"/>
  <c r="FD202" i="91"/>
  <c r="FD218" i="91" s="1"/>
  <c r="KF170" i="91"/>
  <c r="HI176" i="91"/>
  <c r="HV176" i="91" s="1"/>
  <c r="MA82" i="91"/>
  <c r="KN170" i="91"/>
  <c r="LU176" i="91"/>
  <c r="EJ190" i="91"/>
  <c r="MF211" i="91"/>
  <c r="LW195" i="91"/>
  <c r="LV195" i="91"/>
  <c r="IH180" i="91"/>
  <c r="MI18" i="91"/>
  <c r="IP32" i="91"/>
  <c r="KM26" i="91"/>
  <c r="HU29" i="91"/>
  <c r="MI50" i="91"/>
  <c r="MI57" i="91"/>
  <c r="IH51" i="91"/>
  <c r="IP84" i="91"/>
  <c r="HW86" i="91"/>
  <c r="LT179" i="91"/>
  <c r="IP21" i="91"/>
  <c r="IL19" i="91"/>
  <c r="IP30" i="91"/>
  <c r="KD26" i="91"/>
  <c r="IP37" i="91"/>
  <c r="IP63" i="91"/>
  <c r="LS102" i="91"/>
  <c r="GI137" i="91"/>
  <c r="GI166" i="91" s="1"/>
  <c r="KL90" i="91"/>
  <c r="MI17" i="91"/>
  <c r="IP16" i="91"/>
  <c r="IA19" i="91"/>
  <c r="IP29" i="91"/>
  <c r="HV29" i="91"/>
  <c r="HV129" i="91"/>
  <c r="KM140" i="91"/>
  <c r="KC140" i="91"/>
  <c r="HV161" i="91"/>
  <c r="FB202" i="91"/>
  <c r="FB218" i="91" s="1"/>
  <c r="GQ63" i="91"/>
  <c r="LS179" i="91"/>
  <c r="KM70" i="91"/>
  <c r="MA179" i="91"/>
  <c r="KC129" i="91"/>
  <c r="HV142" i="91"/>
  <c r="HB190" i="91"/>
  <c r="HB202" i="91" s="1"/>
  <c r="HB218" i="91" s="1"/>
  <c r="KK119" i="91"/>
  <c r="KO134" i="91"/>
  <c r="KF155" i="91"/>
  <c r="KC184" i="91"/>
  <c r="MH64" i="91"/>
  <c r="MH49" i="91"/>
  <c r="IJ22" i="91"/>
  <c r="LU42" i="91"/>
  <c r="IP48" i="91"/>
  <c r="FN74" i="91"/>
  <c r="FN105" i="91" s="1"/>
  <c r="KC134" i="91"/>
  <c r="IJ162" i="91"/>
  <c r="EJ168" i="91"/>
  <c r="IJ180" i="91"/>
  <c r="IK30" i="91"/>
  <c r="IP17" i="91"/>
  <c r="HX30" i="91"/>
  <c r="IP55" i="91"/>
  <c r="MI101" i="91"/>
  <c r="IP90" i="91"/>
  <c r="MB83" i="91"/>
  <c r="HW162" i="91"/>
  <c r="LV188" i="91"/>
  <c r="HW22" i="91"/>
  <c r="GV190" i="91"/>
  <c r="GV202" i="91" s="1"/>
  <c r="GV218" i="91" s="1"/>
  <c r="MI49" i="91"/>
  <c r="IP14" i="91"/>
  <c r="IP18" i="91"/>
  <c r="IP31" i="91"/>
  <c r="IP42" i="91"/>
  <c r="IP34" i="91"/>
  <c r="IP56" i="91"/>
  <c r="IP57" i="91"/>
  <c r="LW64" i="91"/>
  <c r="KC108" i="91"/>
  <c r="KE155" i="91"/>
  <c r="GK190" i="91"/>
  <c r="IN196" i="91"/>
  <c r="LT208" i="91"/>
  <c r="KD102" i="91"/>
  <c r="HW164" i="91"/>
  <c r="IN187" i="91"/>
  <c r="KI78" i="91"/>
  <c r="JZ86" i="91"/>
  <c r="IC82" i="91"/>
  <c r="KB82" i="91"/>
  <c r="HR92" i="91"/>
  <c r="MD182" i="91"/>
  <c r="HV205" i="91"/>
  <c r="MH32" i="91"/>
  <c r="GG202" i="91"/>
  <c r="GG218" i="91" s="1"/>
  <c r="LS196" i="91"/>
  <c r="HX18" i="91"/>
  <c r="IH50" i="91"/>
  <c r="HU93" i="91"/>
  <c r="HV93" i="91"/>
  <c r="LT131" i="91"/>
  <c r="LV182" i="91"/>
  <c r="LW211" i="91"/>
  <c r="KD198" i="91"/>
  <c r="LW197" i="91"/>
  <c r="HU33" i="91"/>
  <c r="JO46" i="91"/>
  <c r="KK90" i="91"/>
  <c r="IH93" i="91"/>
  <c r="JS88" i="91"/>
  <c r="LV126" i="91"/>
  <c r="HV127" i="91"/>
  <c r="LX197" i="91"/>
  <c r="KC215" i="91"/>
  <c r="JZ14" i="91"/>
  <c r="HV19" i="91"/>
  <c r="JT29" i="91"/>
  <c r="IC28" i="91"/>
  <c r="KL82" i="91"/>
  <c r="KB90" i="91"/>
  <c r="KA102" i="91"/>
  <c r="HW103" i="91"/>
  <c r="II142" i="91"/>
  <c r="IC187" i="91"/>
  <c r="KC212" i="91"/>
  <c r="IG179" i="91"/>
  <c r="GH190" i="91"/>
  <c r="GH202" i="91" s="1"/>
  <c r="GH218" i="91" s="1"/>
  <c r="MH65" i="91"/>
  <c r="KK129" i="91"/>
  <c r="GE168" i="91"/>
  <c r="HT198" i="91"/>
  <c r="IN28" i="91"/>
  <c r="IL28" i="91"/>
  <c r="KR39" i="91"/>
  <c r="JS58" i="91"/>
  <c r="KD70" i="91"/>
  <c r="KC90" i="91"/>
  <c r="JZ102" i="91"/>
  <c r="KO133" i="91"/>
  <c r="IA187" i="91"/>
  <c r="KC207" i="91"/>
  <c r="HU198" i="91"/>
  <c r="MD87" i="91"/>
  <c r="HW171" i="91"/>
  <c r="IH198" i="91"/>
  <c r="MH45" i="91"/>
  <c r="MH37" i="91"/>
  <c r="MH84" i="91"/>
  <c r="KL129" i="91"/>
  <c r="KN153" i="91"/>
  <c r="IA28" i="91"/>
  <c r="HE39" i="91"/>
  <c r="HE40" i="91" s="1"/>
  <c r="LU64" i="91"/>
  <c r="IN82" i="91"/>
  <c r="HV130" i="91"/>
  <c r="LV134" i="91"/>
  <c r="KE133" i="91"/>
  <c r="ER137" i="91"/>
  <c r="ER166" i="91" s="1"/>
  <c r="HX187" i="91"/>
  <c r="HV49" i="91"/>
  <c r="FY202" i="91"/>
  <c r="FY218" i="91" s="1"/>
  <c r="GS63" i="91"/>
  <c r="HW144" i="91"/>
  <c r="IH174" i="91"/>
  <c r="EM190" i="91"/>
  <c r="EM202" i="91" s="1"/>
  <c r="EM218" i="91" s="1"/>
  <c r="MB176" i="91"/>
  <c r="MH28" i="91"/>
  <c r="MH67" i="91"/>
  <c r="MH85" i="91"/>
  <c r="IJ160" i="91"/>
  <c r="KK121" i="91"/>
  <c r="KC186" i="91"/>
  <c r="GF190" i="91"/>
  <c r="GF202" i="91" s="1"/>
  <c r="GF218" i="91" s="1"/>
  <c r="KJ48" i="91"/>
  <c r="MH90" i="91"/>
  <c r="MC87" i="91"/>
  <c r="IL172" i="91"/>
  <c r="MD161" i="91"/>
  <c r="HK78" i="91"/>
  <c r="K55" i="1" s="1"/>
  <c r="ME129" i="91"/>
  <c r="MD187" i="91"/>
  <c r="IJ198" i="91"/>
  <c r="KD205" i="91"/>
  <c r="KL174" i="91"/>
  <c r="MH31" i="91"/>
  <c r="MH88" i="91"/>
  <c r="LW129" i="91"/>
  <c r="GU137" i="91"/>
  <c r="GU166" i="91" s="1"/>
  <c r="LV170" i="91"/>
  <c r="EV202" i="91"/>
  <c r="EV218" i="91" s="1"/>
  <c r="EK168" i="91"/>
  <c r="EK220" i="91" s="1"/>
  <c r="HV184" i="91"/>
  <c r="MC119" i="91"/>
  <c r="IJ205" i="91"/>
  <c r="MH100" i="91"/>
  <c r="MH42" i="91"/>
  <c r="MH99" i="91"/>
  <c r="MH48" i="91"/>
  <c r="MH33" i="91"/>
  <c r="MH93" i="91"/>
  <c r="MH57" i="91"/>
  <c r="II70" i="91"/>
  <c r="KJ125" i="91"/>
  <c r="KN131" i="91"/>
  <c r="HL176" i="91"/>
  <c r="L113" i="1" s="1"/>
  <c r="MD170" i="91"/>
  <c r="GI63" i="91"/>
  <c r="MC120" i="91"/>
  <c r="KD153" i="91"/>
  <c r="MH58" i="91"/>
  <c r="MH50" i="91"/>
  <c r="MH103" i="91"/>
  <c r="MH83" i="91"/>
  <c r="MH46" i="91"/>
  <c r="MH51" i="91"/>
  <c r="MH66" i="91"/>
  <c r="IC18" i="91"/>
  <c r="KF43" i="91"/>
  <c r="IH44" i="91"/>
  <c r="GC74" i="91"/>
  <c r="GC75" i="91" s="1"/>
  <c r="GG63" i="91"/>
  <c r="GZ137" i="91"/>
  <c r="GZ220" i="91" s="1"/>
  <c r="MB173" i="91"/>
  <c r="MD181" i="91"/>
  <c r="KJ68" i="91"/>
  <c r="KM198" i="91"/>
  <c r="HW24" i="91"/>
  <c r="MH101" i="91"/>
  <c r="MH55" i="91"/>
  <c r="MH53" i="91"/>
  <c r="MH54" i="91"/>
  <c r="MH69" i="91"/>
  <c r="HW55" i="91"/>
  <c r="GU39" i="91"/>
  <c r="GU60" i="91" s="1"/>
  <c r="IA18" i="91"/>
  <c r="HV44" i="91"/>
  <c r="IN54" i="91"/>
  <c r="IJ70" i="91"/>
  <c r="KI125" i="91"/>
  <c r="GG137" i="91"/>
  <c r="GG220" i="91" s="1"/>
  <c r="MC173" i="91"/>
  <c r="KF178" i="91"/>
  <c r="HW205" i="91"/>
  <c r="KA68" i="91"/>
  <c r="HW184" i="91"/>
  <c r="MH36" i="91"/>
  <c r="MH63" i="91"/>
  <c r="MH56" i="91"/>
  <c r="MH82" i="91"/>
  <c r="JZ68" i="91"/>
  <c r="IL18" i="91"/>
  <c r="KN43" i="91"/>
  <c r="II44" i="91"/>
  <c r="IL54" i="91"/>
  <c r="JZ125" i="91"/>
  <c r="ME181" i="91"/>
  <c r="KA193" i="91"/>
  <c r="JY117" i="91"/>
  <c r="KJ176" i="91"/>
  <c r="MH77" i="91"/>
  <c r="MH108" i="91"/>
  <c r="MH87" i="91"/>
  <c r="IC54" i="91"/>
  <c r="KO120" i="91"/>
  <c r="GT137" i="91"/>
  <c r="GT166" i="91" s="1"/>
  <c r="LU152" i="91"/>
  <c r="FZ202" i="91"/>
  <c r="FZ218" i="91" s="1"/>
  <c r="KC173" i="91"/>
  <c r="LT184" i="91"/>
  <c r="GT190" i="91"/>
  <c r="GT202" i="91" s="1"/>
  <c r="GT218" i="91" s="1"/>
  <c r="EH278" i="91"/>
  <c r="MH89" i="91"/>
  <c r="MH52" i="91"/>
  <c r="MH68" i="91"/>
  <c r="MH13" i="91"/>
  <c r="MH78" i="91"/>
  <c r="IA54" i="91"/>
  <c r="KE153" i="91"/>
  <c r="EU202" i="91"/>
  <c r="EU218" i="91" s="1"/>
  <c r="MC153" i="91"/>
  <c r="MD119" i="91"/>
  <c r="MH44" i="91"/>
  <c r="MH43" i="91"/>
  <c r="MH109" i="91"/>
  <c r="MH30" i="91"/>
  <c r="MH86" i="91"/>
  <c r="MH47" i="91"/>
  <c r="MH102" i="91"/>
  <c r="IL32" i="91"/>
  <c r="IK29" i="91"/>
  <c r="IH49" i="91"/>
  <c r="IK66" i="91"/>
  <c r="LU87" i="91"/>
  <c r="KC123" i="91"/>
  <c r="KC171" i="91"/>
  <c r="LX172" i="91"/>
  <c r="HV163" i="91"/>
  <c r="KI176" i="91"/>
  <c r="KM175" i="91"/>
  <c r="HV210" i="91"/>
  <c r="HV198" i="91"/>
  <c r="KN23" i="91"/>
  <c r="MF83" i="91"/>
  <c r="FL105" i="91"/>
  <c r="FL106" i="91" s="1"/>
  <c r="GP190" i="91"/>
  <c r="GP202" i="91" s="1"/>
  <c r="GP218" i="91" s="1"/>
  <c r="JZ193" i="91"/>
  <c r="KR22" i="91"/>
  <c r="KR58" i="91"/>
  <c r="KR33" i="91"/>
  <c r="KR51" i="91"/>
  <c r="KR68" i="91"/>
  <c r="GY39" i="91"/>
  <c r="GY60" i="91" s="1"/>
  <c r="GY61" i="91" s="1"/>
  <c r="KR21" i="91"/>
  <c r="KD23" i="91"/>
  <c r="IJ24" i="91"/>
  <c r="IC32" i="91"/>
  <c r="HX68" i="91"/>
  <c r="IC70" i="91"/>
  <c r="KK146" i="91"/>
  <c r="MF172" i="91"/>
  <c r="ME182" i="91"/>
  <c r="JZ176" i="91"/>
  <c r="FL202" i="91"/>
  <c r="FL218" i="91" s="1"/>
  <c r="II210" i="91"/>
  <c r="HW206" i="91"/>
  <c r="MD207" i="91"/>
  <c r="KR99" i="91"/>
  <c r="HU88" i="91"/>
  <c r="IA152" i="91"/>
  <c r="GX190" i="91"/>
  <c r="GX202" i="91" s="1"/>
  <c r="GX218" i="91" s="1"/>
  <c r="KI193" i="91"/>
  <c r="HR190" i="91"/>
  <c r="IA32" i="91"/>
  <c r="IG100" i="91"/>
  <c r="KK120" i="91"/>
  <c r="LT125" i="91"/>
  <c r="MA125" i="91"/>
  <c r="MA131" i="91"/>
  <c r="LW148" i="91"/>
  <c r="IL152" i="91"/>
  <c r="MF140" i="91"/>
  <c r="KB146" i="91"/>
  <c r="EP277" i="91"/>
  <c r="LW172" i="91"/>
  <c r="LT176" i="91"/>
  <c r="LV207" i="91"/>
  <c r="KA208" i="91"/>
  <c r="KR25" i="91"/>
  <c r="ME31" i="91"/>
  <c r="KR42" i="91"/>
  <c r="KE192" i="91"/>
  <c r="KR27" i="91"/>
  <c r="KR52" i="91"/>
  <c r="KR44" i="91"/>
  <c r="KR35" i="91"/>
  <c r="KR15" i="91"/>
  <c r="KB56" i="91"/>
  <c r="LW87" i="91"/>
  <c r="IF100" i="91"/>
  <c r="KB120" i="91"/>
  <c r="MB125" i="91"/>
  <c r="MF146" i="91"/>
  <c r="LX182" i="91"/>
  <c r="LU186" i="91"/>
  <c r="MF156" i="91"/>
  <c r="MB184" i="91"/>
  <c r="KK197" i="91"/>
  <c r="IN209" i="91"/>
  <c r="KR26" i="91"/>
  <c r="KR67" i="91"/>
  <c r="JZ93" i="91"/>
  <c r="KJ197" i="91"/>
  <c r="KR14" i="91"/>
  <c r="KR23" i="91"/>
  <c r="FH60" i="91"/>
  <c r="FH74" i="91" s="1"/>
  <c r="HH11" i="91"/>
  <c r="IS15" i="91" s="1"/>
  <c r="II24" i="91"/>
  <c r="HX25" i="91"/>
  <c r="KR63" i="91"/>
  <c r="KR77" i="91"/>
  <c r="KJ93" i="91"/>
  <c r="HS100" i="91"/>
  <c r="EJ137" i="91"/>
  <c r="EJ166" i="91" s="1"/>
  <c r="ME146" i="91"/>
  <c r="LW146" i="91"/>
  <c r="GM137" i="91"/>
  <c r="GM166" i="91" s="1"/>
  <c r="HU162" i="91"/>
  <c r="LV186" i="91"/>
  <c r="MC184" i="91"/>
  <c r="KC146" i="91"/>
  <c r="IJ185" i="91"/>
  <c r="KD192" i="91"/>
  <c r="IL209" i="91"/>
  <c r="KR16" i="91"/>
  <c r="KR49" i="91"/>
  <c r="MD129" i="91"/>
  <c r="GM190" i="91"/>
  <c r="GM202" i="91" s="1"/>
  <c r="GM218" i="91" s="1"/>
  <c r="KL186" i="91"/>
  <c r="HX209" i="91"/>
  <c r="KR13" i="91"/>
  <c r="LV87" i="91"/>
  <c r="ME87" i="91"/>
  <c r="HW101" i="91"/>
  <c r="GJ137" i="91"/>
  <c r="GJ166" i="91" s="1"/>
  <c r="LV155" i="91"/>
  <c r="IK159" i="91"/>
  <c r="KF177" i="91"/>
  <c r="IH210" i="91"/>
  <c r="HV192" i="91"/>
  <c r="II192" i="91"/>
  <c r="II198" i="91"/>
  <c r="KI208" i="91"/>
  <c r="KE101" i="91"/>
  <c r="KR92" i="91"/>
  <c r="HU173" i="91"/>
  <c r="IC209" i="91"/>
  <c r="KR54" i="91"/>
  <c r="KR24" i="91"/>
  <c r="HI78" i="91"/>
  <c r="HU78" i="91" s="1"/>
  <c r="IK148" i="91"/>
  <c r="KE126" i="91"/>
  <c r="MD186" i="91"/>
  <c r="IJ25" i="91"/>
  <c r="IJ29" i="91"/>
  <c r="IG15" i="91"/>
  <c r="KR12" i="91"/>
  <c r="HV54" i="91"/>
  <c r="GW63" i="91"/>
  <c r="FY74" i="91"/>
  <c r="FY105" i="91" s="1"/>
  <c r="HJ78" i="91"/>
  <c r="KI93" i="91"/>
  <c r="LZ138" i="91"/>
  <c r="GU168" i="91"/>
  <c r="FX74" i="91"/>
  <c r="FX75" i="91" s="1"/>
  <c r="FO74" i="91"/>
  <c r="FO75" i="91" s="1"/>
  <c r="IE117" i="91"/>
  <c r="KR43" i="91"/>
  <c r="IJ126" i="91"/>
  <c r="KR36" i="91"/>
  <c r="KR48" i="91"/>
  <c r="FR61" i="91"/>
  <c r="FR223" i="91"/>
  <c r="FR230" i="91" s="1"/>
  <c r="FR235" i="91" s="1"/>
  <c r="FR238" i="91" s="1"/>
  <c r="FR240" i="91" s="1"/>
  <c r="HD202" i="91"/>
  <c r="HD218" i="91" s="1"/>
  <c r="IK17" i="91"/>
  <c r="IA90" i="91"/>
  <c r="HX126" i="91"/>
  <c r="LU129" i="91"/>
  <c r="II134" i="91"/>
  <c r="IL17" i="91"/>
  <c r="MI45" i="91"/>
  <c r="IG48" i="91"/>
  <c r="IL52" i="91"/>
  <c r="IL66" i="91"/>
  <c r="IN70" i="91"/>
  <c r="KE85" i="91"/>
  <c r="IA85" i="91"/>
  <c r="MI86" i="91"/>
  <c r="LV129" i="91"/>
  <c r="MC129" i="91"/>
  <c r="KN126" i="91"/>
  <c r="IL140" i="91"/>
  <c r="KK151" i="91"/>
  <c r="LW153" i="91"/>
  <c r="KO161" i="91"/>
  <c r="HX66" i="91"/>
  <c r="KO187" i="91"/>
  <c r="IE190" i="91"/>
  <c r="GQ190" i="91"/>
  <c r="GQ202" i="91" s="1"/>
  <c r="GQ218" i="91" s="1"/>
  <c r="KL212" i="91"/>
  <c r="FP61" i="91"/>
  <c r="FP223" i="91"/>
  <c r="FP230" i="91" s="1"/>
  <c r="FP235" i="91" s="1"/>
  <c r="FP238" i="91" s="1"/>
  <c r="FP240" i="91" s="1"/>
  <c r="ME153" i="91"/>
  <c r="FT202" i="91"/>
  <c r="FT218" i="91" s="1"/>
  <c r="ME192" i="91"/>
  <c r="IL24" i="91"/>
  <c r="IC17" i="91"/>
  <c r="IC24" i="91"/>
  <c r="MI30" i="91"/>
  <c r="IJ30" i="91"/>
  <c r="LX31" i="91"/>
  <c r="MI44" i="91"/>
  <c r="MI48" i="91"/>
  <c r="MI52" i="91"/>
  <c r="IJ54" i="91"/>
  <c r="HX54" i="91"/>
  <c r="IC52" i="91"/>
  <c r="IC66" i="91"/>
  <c r="KK78" i="91"/>
  <c r="IK70" i="91"/>
  <c r="MC92" i="91"/>
  <c r="KN101" i="91"/>
  <c r="KH117" i="91"/>
  <c r="IC140" i="91"/>
  <c r="IH140" i="91"/>
  <c r="HS142" i="91"/>
  <c r="MF153" i="91"/>
  <c r="LV157" i="91"/>
  <c r="FG202" i="91"/>
  <c r="FG218" i="91" s="1"/>
  <c r="LW180" i="91"/>
  <c r="KD186" i="91"/>
  <c r="KN212" i="91"/>
  <c r="KE212" i="91"/>
  <c r="IJ209" i="91"/>
  <c r="KE207" i="91"/>
  <c r="KM212" i="91"/>
  <c r="KL215" i="91"/>
  <c r="IP12" i="91"/>
  <c r="MB88" i="91"/>
  <c r="KB118" i="91"/>
  <c r="HE202" i="91"/>
  <c r="HE220" i="91" s="1"/>
  <c r="LU182" i="91"/>
  <c r="FZ61" i="91"/>
  <c r="FZ223" i="91"/>
  <c r="FZ230" i="91" s="1"/>
  <c r="FZ235" i="91" s="1"/>
  <c r="FZ238" i="91" s="1"/>
  <c r="FZ240" i="91" s="1"/>
  <c r="LW192" i="91"/>
  <c r="KF196" i="91"/>
  <c r="KT89" i="91"/>
  <c r="KB16" i="91"/>
  <c r="KB19" i="91"/>
  <c r="IK19" i="91"/>
  <c r="IA17" i="91"/>
  <c r="HX19" i="91"/>
  <c r="IK24" i="91"/>
  <c r="MI28" i="91"/>
  <c r="II30" i="91"/>
  <c r="HW30" i="91"/>
  <c r="MF31" i="91"/>
  <c r="HU43" i="91"/>
  <c r="HW54" i="91"/>
  <c r="KK51" i="91"/>
  <c r="IA52" i="91"/>
  <c r="IL68" i="91"/>
  <c r="MI67" i="91"/>
  <c r="IL70" i="91"/>
  <c r="LT88" i="91"/>
  <c r="KD101" i="91"/>
  <c r="IA140" i="91"/>
  <c r="IF142" i="91"/>
  <c r="HX148" i="91"/>
  <c r="IL161" i="91"/>
  <c r="HV170" i="91"/>
  <c r="KD184" i="91"/>
  <c r="KB173" i="91"/>
  <c r="KM186" i="91"/>
  <c r="IC196" i="91"/>
  <c r="LR190" i="91"/>
  <c r="IP28" i="91"/>
  <c r="IG142" i="91"/>
  <c r="FN61" i="91"/>
  <c r="FN223" i="91"/>
  <c r="FN230" i="91" s="1"/>
  <c r="FN235" i="91" s="1"/>
  <c r="FN238" i="91" s="1"/>
  <c r="FN240" i="91" s="1"/>
  <c r="IA66" i="91"/>
  <c r="IA70" i="91"/>
  <c r="LU153" i="91"/>
  <c r="HX195" i="91"/>
  <c r="HG14" i="91"/>
  <c r="IF14" i="91" s="1"/>
  <c r="HG11" i="91"/>
  <c r="IR17" i="91" s="1"/>
  <c r="IJ19" i="91"/>
  <c r="IA24" i="91"/>
  <c r="MD31" i="91"/>
  <c r="JO29" i="91"/>
  <c r="KK26" i="91"/>
  <c r="MI33" i="91"/>
  <c r="IH30" i="91"/>
  <c r="LW31" i="91"/>
  <c r="MI46" i="91"/>
  <c r="MI60" i="91"/>
  <c r="IC68" i="91"/>
  <c r="IA68" i="91"/>
  <c r="IL85" i="91"/>
  <c r="HL78" i="91"/>
  <c r="L55" i="1" s="1"/>
  <c r="IN140" i="91"/>
  <c r="KK174" i="91"/>
  <c r="KL173" i="91"/>
  <c r="LU180" i="91"/>
  <c r="IL196" i="91"/>
  <c r="IK209" i="91"/>
  <c r="IJ50" i="91"/>
  <c r="II49" i="91"/>
  <c r="IG135" i="91"/>
  <c r="LU185" i="91"/>
  <c r="KK212" i="91"/>
  <c r="LV187" i="91"/>
  <c r="KL152" i="91"/>
  <c r="EQ39" i="91"/>
  <c r="EQ40" i="91" s="1"/>
  <c r="IK85" i="91"/>
  <c r="II170" i="91"/>
  <c r="HX24" i="91"/>
  <c r="KB26" i="91"/>
  <c r="FM74" i="91"/>
  <c r="FM105" i="91" s="1"/>
  <c r="MI84" i="91"/>
  <c r="HM78" i="91"/>
  <c r="HZ78" i="91" s="1"/>
  <c r="LS88" i="91"/>
  <c r="IN90" i="91"/>
  <c r="LU118" i="91"/>
  <c r="II123" i="91"/>
  <c r="LV142" i="91"/>
  <c r="GA202" i="91"/>
  <c r="GA218" i="91" s="1"/>
  <c r="LV153" i="91"/>
  <c r="KC174" i="91"/>
  <c r="MF180" i="91"/>
  <c r="IA195" i="91"/>
  <c r="EQ190" i="91"/>
  <c r="HS135" i="91"/>
  <c r="KD174" i="91"/>
  <c r="ME186" i="91"/>
  <c r="GU190" i="91"/>
  <c r="HV135" i="91"/>
  <c r="FX61" i="91"/>
  <c r="FX223" i="91"/>
  <c r="FX230" i="91" s="1"/>
  <c r="FX235" i="91" s="1"/>
  <c r="FX238" i="91" s="1"/>
  <c r="FX240" i="91" s="1"/>
  <c r="FJ61" i="91"/>
  <c r="FJ223" i="91"/>
  <c r="FJ230" i="91" s="1"/>
  <c r="FJ235" i="91" s="1"/>
  <c r="FJ238" i="91" s="1"/>
  <c r="FJ240" i="91" s="1"/>
  <c r="IK54" i="91"/>
  <c r="MD135" i="91"/>
  <c r="JO22" i="91"/>
  <c r="IJ23" i="91"/>
  <c r="IN24" i="91"/>
  <c r="MI34" i="91"/>
  <c r="MI37" i="91"/>
  <c r="IN85" i="91"/>
  <c r="MI89" i="91"/>
  <c r="HV123" i="91"/>
  <c r="IF135" i="91"/>
  <c r="GQ137" i="91"/>
  <c r="GQ166" i="91" s="1"/>
  <c r="MD192" i="91"/>
  <c r="IA196" i="91"/>
  <c r="MK88" i="91"/>
  <c r="IK90" i="91"/>
  <c r="II85" i="91"/>
  <c r="LZ117" i="91"/>
  <c r="KN129" i="91"/>
  <c r="HW50" i="91"/>
  <c r="IJ49" i="91"/>
  <c r="IC86" i="91"/>
  <c r="IJ90" i="91"/>
  <c r="HB137" i="91"/>
  <c r="GR137" i="91"/>
  <c r="GR166" i="91" s="1"/>
  <c r="KE178" i="91"/>
  <c r="KD206" i="91"/>
  <c r="GB105" i="91"/>
  <c r="GB106" i="91" s="1"/>
  <c r="HU129" i="91"/>
  <c r="IN135" i="91"/>
  <c r="KM195" i="91"/>
  <c r="GG39" i="91"/>
  <c r="GG40" i="91" s="1"/>
  <c r="HW49" i="91"/>
  <c r="HV85" i="91"/>
  <c r="HW90" i="91"/>
  <c r="HU135" i="91"/>
  <c r="KF174" i="91"/>
  <c r="HL169" i="91"/>
  <c r="L119" i="1" s="1"/>
  <c r="FO202" i="91"/>
  <c r="FO218" i="91" s="1"/>
  <c r="HM168" i="91"/>
  <c r="HZ168" i="91" s="1"/>
  <c r="KN178" i="91"/>
  <c r="LX212" i="91"/>
  <c r="HU89" i="91"/>
  <c r="KB126" i="91"/>
  <c r="IL135" i="91"/>
  <c r="II211" i="91"/>
  <c r="KE195" i="91"/>
  <c r="GQ39" i="91"/>
  <c r="GQ60" i="91" s="1"/>
  <c r="HW29" i="91"/>
  <c r="II32" i="91"/>
  <c r="KO68" i="91"/>
  <c r="KN68" i="91"/>
  <c r="LX84" i="91"/>
  <c r="KF86" i="91"/>
  <c r="KC126" i="91"/>
  <c r="KL153" i="91"/>
  <c r="HL145" i="91"/>
  <c r="L93" i="1" s="1"/>
  <c r="KM174" i="91"/>
  <c r="GR168" i="91"/>
  <c r="HW186" i="91"/>
  <c r="GL190" i="91"/>
  <c r="GL220" i="91" s="1"/>
  <c r="KL58" i="91"/>
  <c r="LT198" i="91"/>
  <c r="EL190" i="91"/>
  <c r="EL202" i="91" s="1"/>
  <c r="EL218" i="91" s="1"/>
  <c r="IJ144" i="91"/>
  <c r="KC153" i="91"/>
  <c r="KK153" i="91"/>
  <c r="KM178" i="91"/>
  <c r="MD160" i="91"/>
  <c r="KO192" i="91"/>
  <c r="KN195" i="91"/>
  <c r="IK186" i="91"/>
  <c r="LU198" i="91"/>
  <c r="II193" i="91"/>
  <c r="MA48" i="91"/>
  <c r="LS48" i="91"/>
  <c r="KE82" i="91"/>
  <c r="KM82" i="91"/>
  <c r="EO137" i="91"/>
  <c r="EO220" i="91" s="1"/>
  <c r="GO137" i="91"/>
  <c r="GO166" i="91" s="1"/>
  <c r="FH202" i="91"/>
  <c r="FH218" i="91" s="1"/>
  <c r="FJ202" i="91"/>
  <c r="FJ218" i="91" s="1"/>
  <c r="HV157" i="91"/>
  <c r="KF192" i="91"/>
  <c r="ME212" i="91"/>
  <c r="KL126" i="91"/>
  <c r="JZ47" i="91"/>
  <c r="II50" i="91"/>
  <c r="HW25" i="91"/>
  <c r="HX29" i="91"/>
  <c r="IH32" i="91"/>
  <c r="HV50" i="91"/>
  <c r="GO63" i="91"/>
  <c r="LX64" i="91"/>
  <c r="KD82" i="91"/>
  <c r="HX90" i="91"/>
  <c r="II129" i="91"/>
  <c r="HV144" i="91"/>
  <c r="KK152" i="91"/>
  <c r="GW137" i="91"/>
  <c r="GW220" i="91" s="1"/>
  <c r="LV160" i="91"/>
  <c r="MC160" i="91"/>
  <c r="KF169" i="91"/>
  <c r="KJ169" i="91"/>
  <c r="KN192" i="91"/>
  <c r="HU211" i="91"/>
  <c r="HU19" i="91"/>
  <c r="IC135" i="91"/>
  <c r="IK25" i="91"/>
  <c r="KE52" i="91"/>
  <c r="FQ74" i="91"/>
  <c r="FQ75" i="91" s="1"/>
  <c r="KN86" i="91"/>
  <c r="IA86" i="91"/>
  <c r="HW119" i="91"/>
  <c r="HX133" i="91"/>
  <c r="HV211" i="91"/>
  <c r="IA135" i="91"/>
  <c r="EI39" i="91"/>
  <c r="EI40" i="91" s="1"/>
  <c r="GX137" i="91"/>
  <c r="KR50" i="91"/>
  <c r="KR82" i="91"/>
  <c r="KR57" i="91"/>
  <c r="GR63" i="91"/>
  <c r="KM128" i="91"/>
  <c r="HX134" i="91"/>
  <c r="KR108" i="91"/>
  <c r="KR93" i="91"/>
  <c r="KR69" i="91"/>
  <c r="KR28" i="91"/>
  <c r="IH173" i="91"/>
  <c r="KN174" i="91"/>
  <c r="HV70" i="91"/>
  <c r="KR37" i="91"/>
  <c r="KR64" i="91"/>
  <c r="KR88" i="91"/>
  <c r="KR86" i="91"/>
  <c r="GT39" i="91"/>
  <c r="GT60" i="91" s="1"/>
  <c r="IA76" i="91"/>
  <c r="KR100" i="91"/>
  <c r="KR101" i="91"/>
  <c r="KR103" i="91"/>
  <c r="KR66" i="91"/>
  <c r="KR102" i="91"/>
  <c r="KR55" i="91"/>
  <c r="HF11" i="91"/>
  <c r="HR11" i="91" s="1"/>
  <c r="GM39" i="91"/>
  <c r="GM40" i="91" s="1"/>
  <c r="M22" i="1"/>
  <c r="M38" i="3" s="1"/>
  <c r="MB86" i="91"/>
  <c r="KR56" i="91"/>
  <c r="KR30" i="91"/>
  <c r="FK61" i="91"/>
  <c r="FK223" i="91"/>
  <c r="FK230" i="91" s="1"/>
  <c r="FK235" i="91" s="1"/>
  <c r="FK238" i="91" s="1"/>
  <c r="FK240" i="91" s="1"/>
  <c r="II54" i="91"/>
  <c r="KR19" i="91"/>
  <c r="KR53" i="91"/>
  <c r="KR78" i="91"/>
  <c r="KR84" i="91"/>
  <c r="KR32" i="91"/>
  <c r="ME151" i="91"/>
  <c r="KR85" i="91"/>
  <c r="KR87" i="91"/>
  <c r="KR83" i="91"/>
  <c r="GA61" i="91"/>
  <c r="GA223" i="91"/>
  <c r="GA230" i="91" s="1"/>
  <c r="GA235" i="91" s="1"/>
  <c r="GA238" i="91" s="1"/>
  <c r="GA240" i="91" s="1"/>
  <c r="HX121" i="91"/>
  <c r="IK134" i="91"/>
  <c r="KR90" i="91"/>
  <c r="FU61" i="91"/>
  <c r="FU223" i="91"/>
  <c r="FU230" i="91" s="1"/>
  <c r="FU235" i="91" s="1"/>
  <c r="FU238" i="91" s="1"/>
  <c r="FU240" i="91" s="1"/>
  <c r="FS61" i="91"/>
  <c r="FS74" i="91"/>
  <c r="FS75" i="91" s="1"/>
  <c r="FS223" i="91"/>
  <c r="FS230" i="91" s="1"/>
  <c r="FS235" i="91" s="1"/>
  <c r="FS238" i="91" s="1"/>
  <c r="FS240" i="91" s="1"/>
  <c r="KR89" i="91"/>
  <c r="FM61" i="91"/>
  <c r="FM223" i="91"/>
  <c r="FM230" i="91" s="1"/>
  <c r="FM235" i="91" s="1"/>
  <c r="FM238" i="91" s="1"/>
  <c r="FM240" i="91" s="1"/>
  <c r="GK39" i="91"/>
  <c r="GK40" i="91" s="1"/>
  <c r="HK31" i="91"/>
  <c r="HX152" i="91"/>
  <c r="K95" i="1"/>
  <c r="O34" i="3"/>
  <c r="O46" i="3" s="1"/>
  <c r="L32" i="1"/>
  <c r="L27" i="1" s="1"/>
  <c r="L59" i="3"/>
  <c r="O199" i="3"/>
  <c r="FG61" i="91"/>
  <c r="FG223" i="91"/>
  <c r="FG230" i="91" s="1"/>
  <c r="FG235" i="91" s="1"/>
  <c r="FG238" i="91" s="1"/>
  <c r="FG240" i="91" s="1"/>
  <c r="GS39" i="91"/>
  <c r="GS60" i="91" s="1"/>
  <c r="GS61" i="91" s="1"/>
  <c r="HX82" i="91"/>
  <c r="K56" i="1"/>
  <c r="IJ101" i="91"/>
  <c r="GF137" i="91"/>
  <c r="IK161" i="91"/>
  <c r="LW212" i="91"/>
  <c r="HX32" i="91"/>
  <c r="K22" i="1"/>
  <c r="GH39" i="91"/>
  <c r="GH60" i="91" s="1"/>
  <c r="HA39" i="91"/>
  <c r="HA60" i="91" s="1"/>
  <c r="HA61" i="91" s="1"/>
  <c r="HX48" i="91"/>
  <c r="K33" i="1"/>
  <c r="IL174" i="91"/>
  <c r="L111" i="1"/>
  <c r="M146" i="1" s="1"/>
  <c r="HT93" i="91"/>
  <c r="FO61" i="91"/>
  <c r="FO223" i="91"/>
  <c r="FO230" i="91" s="1"/>
  <c r="FO235" i="91" s="1"/>
  <c r="FO238" i="91" s="1"/>
  <c r="FO240" i="91" s="1"/>
  <c r="GZ39" i="91"/>
  <c r="GZ60" i="91" s="1"/>
  <c r="GZ61" i="91" s="1"/>
  <c r="JP78" i="91"/>
  <c r="IK121" i="91"/>
  <c r="IJ103" i="91"/>
  <c r="KL178" i="91"/>
  <c r="IA182" i="91"/>
  <c r="L115" i="1"/>
  <c r="IJ192" i="91"/>
  <c r="J120" i="1"/>
  <c r="IN161" i="91"/>
  <c r="L103" i="1"/>
  <c r="L100" i="1" s="1"/>
  <c r="HX52" i="91"/>
  <c r="K37" i="1"/>
  <c r="HX135" i="91"/>
  <c r="K86" i="1"/>
  <c r="II161" i="91"/>
  <c r="L22" i="1"/>
  <c r="HW123" i="91"/>
  <c r="K79" i="1"/>
  <c r="K101" i="1"/>
  <c r="HW93" i="91"/>
  <c r="K59" i="1"/>
  <c r="IL130" i="91"/>
  <c r="L82" i="1"/>
  <c r="HX17" i="91"/>
  <c r="GJ63" i="91"/>
  <c r="HX140" i="91"/>
  <c r="K91" i="1"/>
  <c r="HW209" i="91"/>
  <c r="IA25" i="91"/>
  <c r="L17" i="1"/>
  <c r="GC61" i="91"/>
  <c r="GC223" i="91"/>
  <c r="GC230" i="91" s="1"/>
  <c r="GC235" i="91" s="1"/>
  <c r="GC238" i="91" s="1"/>
  <c r="GC240" i="91" s="1"/>
  <c r="IN108" i="91"/>
  <c r="IL108" i="91"/>
  <c r="IC108" i="91"/>
  <c r="IA108" i="91"/>
  <c r="KF153" i="91"/>
  <c r="EN220" i="91"/>
  <c r="FU202" i="91"/>
  <c r="FU218" i="91" s="1"/>
  <c r="KJ179" i="91"/>
  <c r="LB220" i="91"/>
  <c r="KB179" i="91"/>
  <c r="IL178" i="91"/>
  <c r="KL176" i="91"/>
  <c r="HX172" i="91"/>
  <c r="GC202" i="91"/>
  <c r="GC218" i="91" s="1"/>
  <c r="GN137" i="91"/>
  <c r="GN220" i="91" s="1"/>
  <c r="ME160" i="91"/>
  <c r="EH137" i="91"/>
  <c r="HA137" i="91"/>
  <c r="HA166" i="91" s="1"/>
  <c r="GV137" i="91"/>
  <c r="EP137" i="91"/>
  <c r="EP166" i="91" s="1"/>
  <c r="EI137" i="91"/>
  <c r="KF160" i="91"/>
  <c r="KE160" i="91"/>
  <c r="IC161" i="91"/>
  <c r="GH137" i="91"/>
  <c r="KN160" i="91"/>
  <c r="GP137" i="91"/>
  <c r="IN130" i="91"/>
  <c r="MD16" i="91"/>
  <c r="KE43" i="91"/>
  <c r="KF87" i="91"/>
  <c r="KE86" i="91"/>
  <c r="EQ137" i="91"/>
  <c r="KD129" i="91"/>
  <c r="KM129" i="91"/>
  <c r="MI21" i="91"/>
  <c r="MF129" i="91"/>
  <c r="LX129" i="91"/>
  <c r="II140" i="91"/>
  <c r="HV140" i="91"/>
  <c r="IC157" i="91"/>
  <c r="IA157" i="91"/>
  <c r="IN157" i="91"/>
  <c r="KD215" i="91"/>
  <c r="LW182" i="91"/>
  <c r="LW186" i="91"/>
  <c r="II43" i="91"/>
  <c r="IN152" i="91"/>
  <c r="IC152" i="91"/>
  <c r="KL26" i="91"/>
  <c r="HW180" i="91"/>
  <c r="KL195" i="91"/>
  <c r="HW23" i="91"/>
  <c r="KE68" i="91"/>
  <c r="HU154" i="91"/>
  <c r="GN39" i="91"/>
  <c r="GN40" i="91" s="1"/>
  <c r="II26" i="91"/>
  <c r="GV39" i="91"/>
  <c r="GV60" i="91" s="1"/>
  <c r="GV61" i="91" s="1"/>
  <c r="HB39" i="91"/>
  <c r="HB60" i="91" s="1"/>
  <c r="LV143" i="91"/>
  <c r="MD155" i="91"/>
  <c r="KM126" i="91"/>
  <c r="IL177" i="91"/>
  <c r="IA177" i="91"/>
  <c r="IC177" i="91"/>
  <c r="KM33" i="91"/>
  <c r="HL64" i="91"/>
  <c r="L47" i="1" s="1"/>
  <c r="IP45" i="91"/>
  <c r="MI32" i="91"/>
  <c r="MI103" i="91"/>
  <c r="IP101" i="91"/>
  <c r="MI53" i="91"/>
  <c r="IP88" i="91"/>
  <c r="IP102" i="91"/>
  <c r="IP83" i="91"/>
  <c r="HV131" i="91"/>
  <c r="KD126" i="91"/>
  <c r="JB277" i="91"/>
  <c r="JB278" i="91"/>
  <c r="MC179" i="91"/>
  <c r="LU179" i="91"/>
  <c r="HS179" i="91"/>
  <c r="IF179" i="91"/>
  <c r="LX198" i="91"/>
  <c r="MF198" i="91"/>
  <c r="LW198" i="91"/>
  <c r="ME198" i="91"/>
  <c r="LX206" i="91"/>
  <c r="MF206" i="91"/>
  <c r="GW39" i="91"/>
  <c r="GW60" i="91" s="1"/>
  <c r="GW61" i="91" s="1"/>
  <c r="EH39" i="91"/>
  <c r="EH40" i="91" s="1"/>
  <c r="MI12" i="91"/>
  <c r="MI27" i="91"/>
  <c r="MI22" i="91"/>
  <c r="MI23" i="91"/>
  <c r="MI25" i="91"/>
  <c r="MI29" i="91"/>
  <c r="MI13" i="91"/>
  <c r="MI36" i="91"/>
  <c r="MI11" i="91"/>
  <c r="MI35" i="91"/>
  <c r="MI43" i="91"/>
  <c r="MI47" i="91"/>
  <c r="MI65" i="91"/>
  <c r="MI58" i="91"/>
  <c r="MI66" i="91"/>
  <c r="MI51" i="91"/>
  <c r="MI68" i="91"/>
  <c r="MI88" i="91"/>
  <c r="MI69" i="91"/>
  <c r="MI78" i="91"/>
  <c r="MI82" i="91"/>
  <c r="MI100" i="91"/>
  <c r="MI109" i="91"/>
  <c r="IP15" i="91"/>
  <c r="IP51" i="91"/>
  <c r="MI16" i="91"/>
  <c r="MB102" i="91"/>
  <c r="MK102" i="91"/>
  <c r="IP86" i="91"/>
  <c r="LT102" i="91"/>
  <c r="KF120" i="91"/>
  <c r="KN120" i="91"/>
  <c r="IP100" i="91"/>
  <c r="MD152" i="91"/>
  <c r="LV152" i="91"/>
  <c r="IN155" i="91"/>
  <c r="IC155" i="91"/>
  <c r="IL155" i="91"/>
  <c r="IA155" i="91"/>
  <c r="LC277" i="91"/>
  <c r="LC278" i="91"/>
  <c r="HV180" i="91"/>
  <c r="GY190" i="91"/>
  <c r="EM39" i="91"/>
  <c r="EM60" i="91" s="1"/>
  <c r="EP39" i="91"/>
  <c r="EP40" i="91" s="1"/>
  <c r="IK18" i="91"/>
  <c r="HH42" i="91"/>
  <c r="JP64" i="91"/>
  <c r="JS64" i="91" s="1"/>
  <c r="HM67" i="91"/>
  <c r="HZ67" i="91" s="1"/>
  <c r="EM137" i="91"/>
  <c r="IP19" i="91"/>
  <c r="MI15" i="91"/>
  <c r="MI24" i="91"/>
  <c r="MI64" i="91"/>
  <c r="IP87" i="91"/>
  <c r="IP49" i="91"/>
  <c r="KB128" i="91"/>
  <c r="KK128" i="91"/>
  <c r="MI83" i="91"/>
  <c r="MI108" i="91"/>
  <c r="HV148" i="91"/>
  <c r="HW148" i="91"/>
  <c r="IJ170" i="91"/>
  <c r="LU173" i="91"/>
  <c r="EW202" i="91"/>
  <c r="EW218" i="91" s="1"/>
  <c r="IJ148" i="91"/>
  <c r="HT179" i="91"/>
  <c r="GE39" i="91"/>
  <c r="GE60" i="91" s="1"/>
  <c r="JO45" i="91"/>
  <c r="KC65" i="91"/>
  <c r="GO168" i="91"/>
  <c r="GY168" i="91"/>
  <c r="IP23" i="91"/>
  <c r="LS31" i="91"/>
  <c r="MA31" i="91"/>
  <c r="MI63" i="91"/>
  <c r="IP66" i="91"/>
  <c r="IP52" i="91"/>
  <c r="IP67" i="91"/>
  <c r="IP89" i="91"/>
  <c r="KK154" i="91"/>
  <c r="KL154" i="91"/>
  <c r="KB154" i="91"/>
  <c r="KC154" i="91"/>
  <c r="KK178" i="91"/>
  <c r="KB178" i="91"/>
  <c r="FM202" i="91"/>
  <c r="FM218" i="91" s="1"/>
  <c r="MD174" i="91"/>
  <c r="LV174" i="91"/>
  <c r="II186" i="91"/>
  <c r="HV186" i="91"/>
  <c r="KC206" i="91"/>
  <c r="KD207" i="91"/>
  <c r="KM207" i="91"/>
  <c r="ME63" i="91"/>
  <c r="HL87" i="91"/>
  <c r="IN87" i="91" s="1"/>
  <c r="HW191" i="91"/>
  <c r="IP35" i="91"/>
  <c r="IP53" i="91"/>
  <c r="IP92" i="91"/>
  <c r="LS86" i="91"/>
  <c r="MA86" i="91"/>
  <c r="MK86" i="91"/>
  <c r="IP82" i="91"/>
  <c r="IG86" i="91"/>
  <c r="HT86" i="91"/>
  <c r="KF85" i="91"/>
  <c r="KO85" i="91"/>
  <c r="HV120" i="91"/>
  <c r="II120" i="91"/>
  <c r="LX140" i="91"/>
  <c r="ME140" i="91"/>
  <c r="MI92" i="91"/>
  <c r="LX123" i="91"/>
  <c r="MF123" i="91"/>
  <c r="LX159" i="91"/>
  <c r="MF159" i="91"/>
  <c r="HI149" i="91"/>
  <c r="KF176" i="91"/>
  <c r="KO176" i="91"/>
  <c r="IK171" i="91"/>
  <c r="IJ171" i="91"/>
  <c r="KB186" i="91"/>
  <c r="KK186" i="91"/>
  <c r="LV178" i="91"/>
  <c r="MD178" i="91"/>
  <c r="ME187" i="91"/>
  <c r="LW187" i="91"/>
  <c r="IK192" i="91"/>
  <c r="IN192" i="91"/>
  <c r="HX192" i="91"/>
  <c r="MB208" i="91"/>
  <c r="MF207" i="91"/>
  <c r="LX207" i="91"/>
  <c r="GF39" i="91"/>
  <c r="GF40" i="91" s="1"/>
  <c r="EJ39" i="91"/>
  <c r="EJ60" i="91" s="1"/>
  <c r="GP39" i="91"/>
  <c r="GP40" i="91" s="1"/>
  <c r="KM18" i="91"/>
  <c r="HI31" i="91"/>
  <c r="HU31" i="91" s="1"/>
  <c r="GJ202" i="91"/>
  <c r="GJ218" i="91" s="1"/>
  <c r="LT15" i="91"/>
  <c r="MB15" i="91"/>
  <c r="IP11" i="91"/>
  <c r="IP24" i="91"/>
  <c r="IP25" i="91"/>
  <c r="IP13" i="91"/>
  <c r="IP36" i="91"/>
  <c r="IP33" i="91"/>
  <c r="IP22" i="91"/>
  <c r="IP58" i="91"/>
  <c r="IP54" i="91"/>
  <c r="IP64" i="91"/>
  <c r="IP44" i="91"/>
  <c r="IP93" i="91"/>
  <c r="IP85" i="91"/>
  <c r="IP99" i="91"/>
  <c r="IP103" i="91"/>
  <c r="MI54" i="91"/>
  <c r="MI99" i="91"/>
  <c r="KK93" i="91"/>
  <c r="KB93" i="91"/>
  <c r="MI77" i="91"/>
  <c r="IP108" i="91"/>
  <c r="MI85" i="91"/>
  <c r="MI102" i="91"/>
  <c r="IA126" i="91"/>
  <c r="IC126" i="91"/>
  <c r="IL126" i="91"/>
  <c r="IN126" i="91"/>
  <c r="MB131" i="91"/>
  <c r="HU179" i="91"/>
  <c r="IH179" i="91"/>
  <c r="IC195" i="91"/>
  <c r="IK195" i="91"/>
  <c r="IN195" i="91"/>
  <c r="KE187" i="91"/>
  <c r="KD187" i="91"/>
  <c r="IJ186" i="91"/>
  <c r="EH190" i="91"/>
  <c r="EH202" i="91" s="1"/>
  <c r="EH218" i="91" s="1"/>
  <c r="MA208" i="91"/>
  <c r="LS208" i="91"/>
  <c r="EK39" i="91"/>
  <c r="EK40" i="91" s="1"/>
  <c r="ER39" i="91"/>
  <c r="ER60" i="91" s="1"/>
  <c r="GX39" i="91"/>
  <c r="GX60" i="91" s="1"/>
  <c r="GX61" i="91" s="1"/>
  <c r="EL39" i="91"/>
  <c r="EL40" i="91" s="1"/>
  <c r="EN39" i="91"/>
  <c r="EN40" i="91" s="1"/>
  <c r="JO30" i="91"/>
  <c r="IK147" i="91"/>
  <c r="IH16" i="91"/>
  <c r="HU16" i="91"/>
  <c r="MI14" i="91"/>
  <c r="IP65" i="91"/>
  <c r="IP47" i="91"/>
  <c r="MI93" i="91"/>
  <c r="IP78" i="91"/>
  <c r="KK123" i="91"/>
  <c r="KB123" i="91"/>
  <c r="MI87" i="91"/>
  <c r="KD123" i="91"/>
  <c r="KM123" i="91"/>
  <c r="IA127" i="91"/>
  <c r="IL127" i="91"/>
  <c r="IN127" i="91"/>
  <c r="IC127" i="91"/>
  <c r="MI90" i="91"/>
  <c r="KA121" i="91"/>
  <c r="KJ121" i="91"/>
  <c r="KM131" i="91"/>
  <c r="KD131" i="91"/>
  <c r="IK172" i="91"/>
  <c r="IJ172" i="91"/>
  <c r="KC152" i="91"/>
  <c r="KE174" i="91"/>
  <c r="ME152" i="91"/>
  <c r="ME169" i="91"/>
  <c r="KN187" i="91"/>
  <c r="KI196" i="91"/>
  <c r="JZ196" i="91"/>
  <c r="EP190" i="91"/>
  <c r="MC210" i="91"/>
  <c r="LU210" i="91"/>
  <c r="IH215" i="91"/>
  <c r="II215" i="91"/>
  <c r="HU215" i="91"/>
  <c r="ME205" i="91"/>
  <c r="LV205" i="91"/>
  <c r="MD205" i="91"/>
  <c r="KJ208" i="91"/>
  <c r="IK135" i="91"/>
  <c r="MI42" i="91"/>
  <c r="HG39" i="91"/>
  <c r="IP50" i="91"/>
  <c r="FY61" i="91"/>
  <c r="FY223" i="91"/>
  <c r="FY230" i="91" s="1"/>
  <c r="FY235" i="91" s="1"/>
  <c r="FY238" i="91" s="1"/>
  <c r="FY240" i="91" s="1"/>
  <c r="MI56" i="91"/>
  <c r="MI31" i="91"/>
  <c r="MI19" i="91"/>
  <c r="FW105" i="91"/>
  <c r="FW75" i="91"/>
  <c r="IC134" i="91"/>
  <c r="IL134" i="91"/>
  <c r="IN134" i="91"/>
  <c r="HL158" i="91"/>
  <c r="KB171" i="91"/>
  <c r="KN173" i="91"/>
  <c r="KE173" i="91"/>
  <c r="HM169" i="91"/>
  <c r="HZ169" i="91" s="1"/>
  <c r="LU188" i="91"/>
  <c r="MC188" i="91"/>
  <c r="LV198" i="91"/>
  <c r="MD198" i="91"/>
  <c r="HS196" i="91"/>
  <c r="IF196" i="91"/>
  <c r="KJ184" i="91"/>
  <c r="KA184" i="91"/>
  <c r="MD211" i="91"/>
  <c r="LV211" i="91"/>
  <c r="GI190" i="91"/>
  <c r="GI202" i="91" s="1"/>
  <c r="GI218" i="91" s="1"/>
  <c r="KC205" i="91"/>
  <c r="KL205" i="91"/>
  <c r="IS12" i="91"/>
  <c r="HK190" i="91"/>
  <c r="IQ13" i="91"/>
  <c r="IQ57" i="91"/>
  <c r="JS13" i="91"/>
  <c r="JT13" i="91"/>
  <c r="HL15" i="91"/>
  <c r="JP15" i="91"/>
  <c r="HI15" i="91"/>
  <c r="HU17" i="91"/>
  <c r="IH17" i="91"/>
  <c r="KQ17" i="91"/>
  <c r="KQ18" i="91"/>
  <c r="JT27" i="91"/>
  <c r="JS27" i="91"/>
  <c r="KM23" i="91"/>
  <c r="II27" i="91"/>
  <c r="HV27" i="91"/>
  <c r="KK35" i="91"/>
  <c r="KB35" i="91"/>
  <c r="MC16" i="91"/>
  <c r="LU16" i="91"/>
  <c r="GJ39" i="91"/>
  <c r="KU63" i="91"/>
  <c r="KE19" i="91"/>
  <c r="KN19" i="91"/>
  <c r="KF19" i="91"/>
  <c r="KO19" i="91"/>
  <c r="KS15" i="91"/>
  <c r="JY15" i="91"/>
  <c r="KH15" i="91"/>
  <c r="JZ15" i="91"/>
  <c r="KI15" i="91"/>
  <c r="GO39" i="91"/>
  <c r="GR39" i="91"/>
  <c r="GR60" i="91" s="1"/>
  <c r="HW12" i="91"/>
  <c r="IJ12" i="91"/>
  <c r="HI14" i="91"/>
  <c r="EO39" i="91"/>
  <c r="GL39" i="91"/>
  <c r="HK15" i="91"/>
  <c r="IJ17" i="91"/>
  <c r="HW17" i="91"/>
  <c r="KC18" i="91"/>
  <c r="KL18" i="91"/>
  <c r="IN23" i="91"/>
  <c r="IC23" i="91"/>
  <c r="IL23" i="91"/>
  <c r="IK23" i="91"/>
  <c r="HX23" i="91"/>
  <c r="IA23" i="91"/>
  <c r="KD22" i="91"/>
  <c r="KL22" i="91"/>
  <c r="KM22" i="91"/>
  <c r="KC22" i="91"/>
  <c r="KB25" i="91"/>
  <c r="KK25" i="91"/>
  <c r="KB32" i="91"/>
  <c r="KK32" i="91"/>
  <c r="HS21" i="91"/>
  <c r="IF21" i="91"/>
  <c r="KC29" i="91"/>
  <c r="KL29" i="91"/>
  <c r="KD29" i="91"/>
  <c r="KM29" i="91"/>
  <c r="HW27" i="91"/>
  <c r="IJ27" i="91"/>
  <c r="IJ28" i="91"/>
  <c r="II33" i="91"/>
  <c r="HV33" i="91"/>
  <c r="KS36" i="91"/>
  <c r="KQ42" i="91"/>
  <c r="KD35" i="91"/>
  <c r="KM35" i="91"/>
  <c r="KS37" i="91"/>
  <c r="KD43" i="91"/>
  <c r="KM43" i="91"/>
  <c r="HW33" i="91"/>
  <c r="KB43" i="91"/>
  <c r="KK43" i="91"/>
  <c r="HJ47" i="91"/>
  <c r="HU48" i="91"/>
  <c r="IH48" i="91"/>
  <c r="KC51" i="91"/>
  <c r="KL51" i="91"/>
  <c r="HU46" i="91"/>
  <c r="IH46" i="91"/>
  <c r="KC48" i="91"/>
  <c r="KL48" i="91"/>
  <c r="KC53" i="91"/>
  <c r="KL53" i="91"/>
  <c r="KE46" i="91"/>
  <c r="KN46" i="91"/>
  <c r="KF46" i="91"/>
  <c r="KO46" i="91"/>
  <c r="KS47" i="91"/>
  <c r="IJ52" i="91"/>
  <c r="HW52" i="91"/>
  <c r="KE58" i="91"/>
  <c r="KN58" i="91"/>
  <c r="KF58" i="91"/>
  <c r="KO58" i="91"/>
  <c r="IC50" i="91"/>
  <c r="IL50" i="91"/>
  <c r="IN50" i="91"/>
  <c r="HX50" i="91"/>
  <c r="IA50" i="91"/>
  <c r="IK50" i="91"/>
  <c r="HU53" i="91"/>
  <c r="IH53" i="91"/>
  <c r="HV65" i="91"/>
  <c r="II65" i="91"/>
  <c r="KB65" i="91"/>
  <c r="KK65" i="91"/>
  <c r="HI64" i="91"/>
  <c r="MD63" i="91"/>
  <c r="HW68" i="91"/>
  <c r="IJ68" i="91"/>
  <c r="ME67" i="91"/>
  <c r="LW67" i="91"/>
  <c r="MF67" i="91"/>
  <c r="LX67" i="91"/>
  <c r="II69" i="91"/>
  <c r="HV69" i="91"/>
  <c r="LV69" i="91"/>
  <c r="KM66" i="91"/>
  <c r="HW65" i="91"/>
  <c r="MD78" i="91"/>
  <c r="LV78" i="91"/>
  <c r="IK68" i="91"/>
  <c r="LW85" i="91"/>
  <c r="MF85" i="91"/>
  <c r="LX85" i="91"/>
  <c r="ME85" i="91"/>
  <c r="LU93" i="91"/>
  <c r="MC93" i="91"/>
  <c r="KS86" i="91"/>
  <c r="HL84" i="91"/>
  <c r="JP84" i="91"/>
  <c r="HL92" i="91"/>
  <c r="JP92" i="91"/>
  <c r="KS93" i="91"/>
  <c r="KD100" i="91"/>
  <c r="HL99" i="91"/>
  <c r="L60" i="1" s="1"/>
  <c r="JP99" i="91"/>
  <c r="JT103" i="91"/>
  <c r="JS103" i="91"/>
  <c r="MD120" i="91"/>
  <c r="ME120" i="91"/>
  <c r="LV120" i="91"/>
  <c r="IQ102" i="91"/>
  <c r="IG108" i="91"/>
  <c r="HT108" i="91"/>
  <c r="EH283" i="91"/>
  <c r="JZ118" i="91"/>
  <c r="KI118" i="91"/>
  <c r="EJ283" i="91"/>
  <c r="KA118" i="91"/>
  <c r="LW108" i="91"/>
  <c r="IJ121" i="91"/>
  <c r="HW121" i="91"/>
  <c r="HK125" i="91"/>
  <c r="K81" i="1" s="1"/>
  <c r="KF119" i="91"/>
  <c r="KN119" i="91"/>
  <c r="KO119" i="91"/>
  <c r="KE119" i="91"/>
  <c r="HT123" i="91"/>
  <c r="HS123" i="91"/>
  <c r="IF123" i="91"/>
  <c r="IG123" i="91"/>
  <c r="EM283" i="91"/>
  <c r="HW140" i="91"/>
  <c r="IJ140" i="91"/>
  <c r="IK140" i="91"/>
  <c r="LX127" i="91"/>
  <c r="ME127" i="91"/>
  <c r="LW127" i="91"/>
  <c r="MF127" i="91"/>
  <c r="IH133" i="91"/>
  <c r="HU133" i="91"/>
  <c r="HV133" i="91"/>
  <c r="II133" i="91"/>
  <c r="FY166" i="91"/>
  <c r="FY220" i="91"/>
  <c r="LX149" i="91"/>
  <c r="MF149" i="91"/>
  <c r="HJ141" i="91"/>
  <c r="KD144" i="91"/>
  <c r="KM144" i="91"/>
  <c r="FL166" i="91"/>
  <c r="FL220" i="91"/>
  <c r="HW152" i="91"/>
  <c r="IJ152" i="91"/>
  <c r="IK152" i="91"/>
  <c r="KC151" i="91"/>
  <c r="KL151" i="91"/>
  <c r="KD143" i="91"/>
  <c r="KM143" i="91"/>
  <c r="HI141" i="91"/>
  <c r="HM141" i="91"/>
  <c r="HZ141" i="91" s="1"/>
  <c r="KM147" i="91"/>
  <c r="KD147" i="91"/>
  <c r="MD150" i="91"/>
  <c r="LW150" i="91"/>
  <c r="LV150" i="91"/>
  <c r="ME150" i="91"/>
  <c r="II154" i="91"/>
  <c r="HW154" i="91"/>
  <c r="IJ154" i="91"/>
  <c r="HV154" i="91"/>
  <c r="FW166" i="91"/>
  <c r="FW220" i="91"/>
  <c r="KD164" i="91"/>
  <c r="KM164" i="91"/>
  <c r="LW174" i="91"/>
  <c r="LX174" i="91"/>
  <c r="ME174" i="91"/>
  <c r="MF174" i="91"/>
  <c r="KK162" i="91"/>
  <c r="KK175" i="91"/>
  <c r="KB175" i="91"/>
  <c r="KA158" i="91"/>
  <c r="KI158" i="91"/>
  <c r="KJ158" i="91"/>
  <c r="JZ158" i="91"/>
  <c r="KN172" i="91"/>
  <c r="IH177" i="91"/>
  <c r="HU177" i="91"/>
  <c r="MC161" i="91"/>
  <c r="LU161" i="91"/>
  <c r="II162" i="91"/>
  <c r="HV162" i="91"/>
  <c r="KE186" i="91"/>
  <c r="KN186" i="91"/>
  <c r="KF186" i="91"/>
  <c r="KO186" i="91"/>
  <c r="HK176" i="91"/>
  <c r="K113" i="1" s="1"/>
  <c r="KL182" i="91"/>
  <c r="KC182" i="91"/>
  <c r="HJ183" i="91"/>
  <c r="J116" i="1" s="1"/>
  <c r="HL179" i="91"/>
  <c r="L114" i="1" s="1"/>
  <c r="HL183" i="91"/>
  <c r="L116" i="1" s="1"/>
  <c r="HM183" i="91"/>
  <c r="HZ183" i="91" s="1"/>
  <c r="KK185" i="91"/>
  <c r="KB185" i="91"/>
  <c r="MA193" i="91"/>
  <c r="LS193" i="91"/>
  <c r="MB193" i="91"/>
  <c r="FI202" i="91"/>
  <c r="FI218" i="91" s="1"/>
  <c r="HU197" i="91"/>
  <c r="IH197" i="91"/>
  <c r="IE204" i="91"/>
  <c r="HR204" i="91"/>
  <c r="HF279" i="91"/>
  <c r="MB197" i="91"/>
  <c r="LT197" i="91"/>
  <c r="HW181" i="91"/>
  <c r="EN202" i="91"/>
  <c r="EN218" i="91" s="1"/>
  <c r="KD191" i="91"/>
  <c r="KM191" i="91"/>
  <c r="KN209" i="91"/>
  <c r="KO209" i="91"/>
  <c r="KE209" i="91"/>
  <c r="KF209" i="91"/>
  <c r="KB193" i="91"/>
  <c r="KQ11" i="91"/>
  <c r="KQ12" i="91"/>
  <c r="KQ13" i="91"/>
  <c r="KQ14" i="91"/>
  <c r="KQ15" i="91"/>
  <c r="KQ16" i="91"/>
  <c r="KQ19" i="91"/>
  <c r="KQ23" i="91"/>
  <c r="KQ29" i="91"/>
  <c r="KQ31" i="91"/>
  <c r="KQ32" i="91"/>
  <c r="KQ35" i="91"/>
  <c r="KQ33" i="91"/>
  <c r="KQ34" i="91"/>
  <c r="KQ37" i="91"/>
  <c r="KQ45" i="91"/>
  <c r="KQ49" i="91"/>
  <c r="KQ54" i="91"/>
  <c r="KQ51" i="91"/>
  <c r="KQ47" i="91"/>
  <c r="KQ50" i="91"/>
  <c r="KQ56" i="91"/>
  <c r="KQ57" i="91"/>
  <c r="KQ55" i="91"/>
  <c r="KQ58" i="91"/>
  <c r="KQ65" i="91"/>
  <c r="KQ68" i="91"/>
  <c r="KQ69" i="91"/>
  <c r="KQ83" i="91"/>
  <c r="KQ87" i="91"/>
  <c r="KQ90" i="91"/>
  <c r="KQ88" i="91"/>
  <c r="KQ103" i="91"/>
  <c r="KQ99" i="91"/>
  <c r="KQ101" i="91"/>
  <c r="HV16" i="91"/>
  <c r="II16" i="91"/>
  <c r="KB12" i="91"/>
  <c r="KK12" i="91"/>
  <c r="KL12" i="91"/>
  <c r="KC19" i="91"/>
  <c r="KL19" i="91"/>
  <c r="HV18" i="91"/>
  <c r="II18" i="91"/>
  <c r="MJ14" i="91"/>
  <c r="KD25" i="91"/>
  <c r="KM25" i="91"/>
  <c r="KE25" i="91"/>
  <c r="KN25" i="91"/>
  <c r="KS22" i="91"/>
  <c r="JY21" i="91"/>
  <c r="KH21" i="91"/>
  <c r="KS21" i="91"/>
  <c r="KB23" i="91"/>
  <c r="KK23" i="91"/>
  <c r="KC28" i="91"/>
  <c r="KL28" i="91"/>
  <c r="HT31" i="91"/>
  <c r="IG31" i="91"/>
  <c r="KM28" i="91"/>
  <c r="KD28" i="91"/>
  <c r="HM31" i="91"/>
  <c r="HZ31" i="91" s="1"/>
  <c r="KQ28" i="91"/>
  <c r="KK34" i="91"/>
  <c r="KB34" i="91"/>
  <c r="JT43" i="91"/>
  <c r="JS43" i="91"/>
  <c r="KB44" i="91"/>
  <c r="KK44" i="91"/>
  <c r="HW35" i="91"/>
  <c r="IJ35" i="91"/>
  <c r="HW43" i="91"/>
  <c r="IJ43" i="91"/>
  <c r="KC45" i="91"/>
  <c r="KL45" i="91"/>
  <c r="KC44" i="91"/>
  <c r="KD46" i="91"/>
  <c r="KM46" i="91"/>
  <c r="HI47" i="91"/>
  <c r="KC50" i="91"/>
  <c r="KL50" i="91"/>
  <c r="IK46" i="91"/>
  <c r="IN46" i="91"/>
  <c r="HX46" i="91"/>
  <c r="IA46" i="91"/>
  <c r="IC46" i="91"/>
  <c r="IL46" i="91"/>
  <c r="JT51" i="91"/>
  <c r="JS51" i="91"/>
  <c r="HV51" i="91"/>
  <c r="II51" i="91"/>
  <c r="IK48" i="91"/>
  <c r="KE55" i="91"/>
  <c r="KN55" i="91"/>
  <c r="KF55" i="91"/>
  <c r="KO55" i="91"/>
  <c r="HW51" i="91"/>
  <c r="IJ51" i="91"/>
  <c r="HW53" i="91"/>
  <c r="IJ53" i="91"/>
  <c r="HV55" i="91"/>
  <c r="II55" i="91"/>
  <c r="FJ75" i="91"/>
  <c r="FJ105" i="91"/>
  <c r="KD69" i="91"/>
  <c r="KM69" i="91"/>
  <c r="KS65" i="91"/>
  <c r="HV66" i="91"/>
  <c r="II66" i="91"/>
  <c r="KD58" i="91"/>
  <c r="KM58" i="91"/>
  <c r="KQ63" i="91"/>
  <c r="HJ67" i="91"/>
  <c r="IQ65" i="91"/>
  <c r="JT69" i="91"/>
  <c r="JS69" i="91"/>
  <c r="HJ63" i="91"/>
  <c r="MB77" i="91"/>
  <c r="JZ67" i="91"/>
  <c r="KI67" i="91"/>
  <c r="LV88" i="91"/>
  <c r="LW88" i="91"/>
  <c r="MD88" i="91"/>
  <c r="HU86" i="91"/>
  <c r="IH86" i="91"/>
  <c r="JZ88" i="91"/>
  <c r="KA88" i="91"/>
  <c r="KI88" i="91"/>
  <c r="KJ88" i="91"/>
  <c r="KQ82" i="91"/>
  <c r="II89" i="91"/>
  <c r="HV89" i="91"/>
  <c r="KC93" i="91"/>
  <c r="KL93" i="91"/>
  <c r="HX88" i="91"/>
  <c r="IK88" i="91"/>
  <c r="IA88" i="91"/>
  <c r="IL88" i="91"/>
  <c r="IC88" i="91"/>
  <c r="IN88" i="91"/>
  <c r="KH92" i="91"/>
  <c r="JY92" i="91"/>
  <c r="KS92" i="91"/>
  <c r="KQ92" i="91"/>
  <c r="JS100" i="91"/>
  <c r="JT100" i="91"/>
  <c r="JZ99" i="91"/>
  <c r="KI99" i="91"/>
  <c r="KA99" i="91"/>
  <c r="KO100" i="91"/>
  <c r="KE100" i="91"/>
  <c r="KF100" i="91"/>
  <c r="KN100" i="91"/>
  <c r="II100" i="91"/>
  <c r="HV100" i="91"/>
  <c r="HJ99" i="91"/>
  <c r="KB100" i="91"/>
  <c r="KK100" i="91"/>
  <c r="KM108" i="91"/>
  <c r="KD108" i="91"/>
  <c r="KA108" i="91"/>
  <c r="KJ108" i="91"/>
  <c r="LV121" i="91"/>
  <c r="MC121" i="91"/>
  <c r="MD121" i="91"/>
  <c r="LU121" i="91"/>
  <c r="EP283" i="91"/>
  <c r="LS118" i="91"/>
  <c r="MA118" i="91"/>
  <c r="LT118" i="91"/>
  <c r="EQ283" i="91"/>
  <c r="MF131" i="91"/>
  <c r="LW131" i="91"/>
  <c r="LX131" i="91"/>
  <c r="ME131" i="91"/>
  <c r="KK133" i="91"/>
  <c r="KL133" i="91"/>
  <c r="KB133" i="91"/>
  <c r="LW134" i="91"/>
  <c r="MF134" i="91"/>
  <c r="LX134" i="91"/>
  <c r="ME134" i="91"/>
  <c r="LU127" i="91"/>
  <c r="MC127" i="91"/>
  <c r="MD133" i="91"/>
  <c r="LU133" i="91"/>
  <c r="MC133" i="91"/>
  <c r="KL134" i="91"/>
  <c r="FT166" i="91"/>
  <c r="FT220" i="91"/>
  <c r="HJ145" i="91"/>
  <c r="HV147" i="91"/>
  <c r="II147" i="91"/>
  <c r="KN152" i="91"/>
  <c r="KD152" i="91"/>
  <c r="KM152" i="91"/>
  <c r="KD148" i="91"/>
  <c r="KM148" i="91"/>
  <c r="MD151" i="91"/>
  <c r="LV151" i="91"/>
  <c r="ME143" i="91"/>
  <c r="LW143" i="91"/>
  <c r="MF143" i="91"/>
  <c r="LX143" i="91"/>
  <c r="KE146" i="91"/>
  <c r="KF146" i="91"/>
  <c r="KN146" i="91"/>
  <c r="KO146" i="91"/>
  <c r="KE148" i="91"/>
  <c r="FH166" i="91"/>
  <c r="FH220" i="91"/>
  <c r="ME147" i="91"/>
  <c r="LW147" i="91"/>
  <c r="MF147" i="91"/>
  <c r="LX147" i="91"/>
  <c r="EW166" i="91"/>
  <c r="EW220" i="91"/>
  <c r="MD154" i="91"/>
  <c r="LV154" i="91"/>
  <c r="ME163" i="91"/>
  <c r="LW163" i="91"/>
  <c r="LX163" i="91"/>
  <c r="MF163" i="91"/>
  <c r="KD171" i="91"/>
  <c r="KM171" i="91"/>
  <c r="LV156" i="91"/>
  <c r="MD156" i="91"/>
  <c r="HK158" i="91"/>
  <c r="LU155" i="91"/>
  <c r="MC155" i="91"/>
  <c r="LV164" i="91"/>
  <c r="MD164" i="91"/>
  <c r="LW164" i="91"/>
  <c r="IA164" i="91"/>
  <c r="IK164" i="91"/>
  <c r="IC164" i="91"/>
  <c r="IN164" i="91"/>
  <c r="IL164" i="91"/>
  <c r="HX164" i="91"/>
  <c r="LU177" i="91"/>
  <c r="MC177" i="91"/>
  <c r="MF161" i="91"/>
  <c r="LX161" i="91"/>
  <c r="LW161" i="91"/>
  <c r="ME161" i="91"/>
  <c r="II177" i="91"/>
  <c r="HV177" i="91"/>
  <c r="KK181" i="91"/>
  <c r="KB181" i="91"/>
  <c r="KC181" i="91"/>
  <c r="KL181" i="91"/>
  <c r="KC175" i="91"/>
  <c r="ME177" i="91"/>
  <c r="MF177" i="91"/>
  <c r="LW177" i="91"/>
  <c r="LX177" i="91"/>
  <c r="KF182" i="91"/>
  <c r="KO182" i="91"/>
  <c r="KN182" i="91"/>
  <c r="KE182" i="91"/>
  <c r="LX179" i="91"/>
  <c r="MF179" i="91"/>
  <c r="MD184" i="91"/>
  <c r="LV184" i="91"/>
  <c r="HX180" i="91"/>
  <c r="IL180" i="91"/>
  <c r="IC180" i="91"/>
  <c r="IN180" i="91"/>
  <c r="IK180" i="91"/>
  <c r="IA180" i="91"/>
  <c r="MF185" i="91"/>
  <c r="LW185" i="91"/>
  <c r="LX185" i="91"/>
  <c r="ME185" i="91"/>
  <c r="HG190" i="91"/>
  <c r="FQ202" i="91"/>
  <c r="FQ218" i="91" s="1"/>
  <c r="ME188" i="91"/>
  <c r="LW188" i="91"/>
  <c r="LX188" i="91"/>
  <c r="MF188" i="91"/>
  <c r="KB194" i="91"/>
  <c r="KK194" i="91"/>
  <c r="IJ197" i="91"/>
  <c r="HW197" i="91"/>
  <c r="KE180" i="91"/>
  <c r="IH209" i="91"/>
  <c r="HU209" i="91"/>
  <c r="LZ204" i="91"/>
  <c r="LR204" i="91"/>
  <c r="LD279" i="91"/>
  <c r="HL193" i="91"/>
  <c r="L122" i="1" s="1"/>
  <c r="L177" i="1" s="1"/>
  <c r="LV197" i="91"/>
  <c r="MD197" i="91"/>
  <c r="LV209" i="91"/>
  <c r="MD209" i="91"/>
  <c r="KO206" i="91"/>
  <c r="KE206" i="91"/>
  <c r="KF206" i="91"/>
  <c r="KN206" i="91"/>
  <c r="HU212" i="91"/>
  <c r="IH212" i="91"/>
  <c r="ER202" i="91"/>
  <c r="ER218" i="91" s="1"/>
  <c r="KH204" i="91"/>
  <c r="KC16" i="91"/>
  <c r="KL16" i="91"/>
  <c r="IH12" i="91"/>
  <c r="HU12" i="91"/>
  <c r="KN18" i="91"/>
  <c r="KO18" i="91"/>
  <c r="KE18" i="91"/>
  <c r="KF18" i="91"/>
  <c r="HU22" i="91"/>
  <c r="IH22" i="91"/>
  <c r="HR21" i="91"/>
  <c r="IE21" i="91"/>
  <c r="HX26" i="91"/>
  <c r="IA26" i="91"/>
  <c r="IC26" i="91"/>
  <c r="IL26" i="91"/>
  <c r="IN26" i="91"/>
  <c r="IK26" i="91"/>
  <c r="HX27" i="91"/>
  <c r="IK27" i="91"/>
  <c r="IN27" i="91"/>
  <c r="IL27" i="91"/>
  <c r="IA27" i="91"/>
  <c r="IC27" i="91"/>
  <c r="KC34" i="91"/>
  <c r="KL34" i="91"/>
  <c r="HU34" i="91"/>
  <c r="IH34" i="91"/>
  <c r="KD44" i="91"/>
  <c r="KM44" i="91"/>
  <c r="MI39" i="91"/>
  <c r="II45" i="91"/>
  <c r="HV45" i="91"/>
  <c r="KB48" i="91"/>
  <c r="KK48" i="91"/>
  <c r="KD54" i="91"/>
  <c r="KM54" i="91"/>
  <c r="HW46" i="91"/>
  <c r="IJ46" i="91"/>
  <c r="KD51" i="91"/>
  <c r="KM51" i="91"/>
  <c r="MD47" i="91"/>
  <c r="LV47" i="91"/>
  <c r="KB50" i="91"/>
  <c r="KK50" i="91"/>
  <c r="JS46" i="91"/>
  <c r="JT46" i="91"/>
  <c r="KS54" i="91"/>
  <c r="KB49" i="91"/>
  <c r="KK49" i="91"/>
  <c r="HX51" i="91"/>
  <c r="IA51" i="91"/>
  <c r="IK51" i="91"/>
  <c r="IC51" i="91"/>
  <c r="IL51" i="91"/>
  <c r="IN51" i="91"/>
  <c r="KQ48" i="91"/>
  <c r="IK55" i="91"/>
  <c r="IC55" i="91"/>
  <c r="IL55" i="91"/>
  <c r="IN55" i="91"/>
  <c r="HX55" i="91"/>
  <c r="IA55" i="91"/>
  <c r="HV53" i="91"/>
  <c r="II53" i="91"/>
  <c r="KQ52" i="91"/>
  <c r="FR75" i="91"/>
  <c r="FR105" i="91"/>
  <c r="HR63" i="91"/>
  <c r="IE63" i="91"/>
  <c r="KC66" i="91"/>
  <c r="KL66" i="91"/>
  <c r="HW58" i="91"/>
  <c r="IJ58" i="91"/>
  <c r="JT66" i="91"/>
  <c r="JS66" i="91"/>
  <c r="KQ66" i="91"/>
  <c r="JY77" i="91"/>
  <c r="KH77" i="91"/>
  <c r="KS77" i="91"/>
  <c r="MD67" i="91"/>
  <c r="KE69" i="91"/>
  <c r="KN69" i="91"/>
  <c r="KF69" i="91"/>
  <c r="KO69" i="91"/>
  <c r="KA78" i="91"/>
  <c r="KJ78" i="91"/>
  <c r="KQ78" i="91"/>
  <c r="HS67" i="91"/>
  <c r="IF67" i="91"/>
  <c r="HT67" i="91"/>
  <c r="IG67" i="91"/>
  <c r="JT78" i="91"/>
  <c r="JS78" i="91"/>
  <c r="IF84" i="91"/>
  <c r="HS84" i="91"/>
  <c r="JS93" i="91"/>
  <c r="JT93" i="91"/>
  <c r="HM92" i="91"/>
  <c r="HK87" i="91"/>
  <c r="KL85" i="91"/>
  <c r="KC89" i="91"/>
  <c r="KL89" i="91"/>
  <c r="KO90" i="91"/>
  <c r="KE90" i="91"/>
  <c r="KF90" i="91"/>
  <c r="KN90" i="91"/>
  <c r="KD88" i="91"/>
  <c r="KM88" i="91"/>
  <c r="KD89" i="91"/>
  <c r="KM89" i="91"/>
  <c r="II86" i="91"/>
  <c r="JP87" i="91"/>
  <c r="KQ100" i="91"/>
  <c r="KC102" i="91"/>
  <c r="KL102" i="91"/>
  <c r="HI99" i="91"/>
  <c r="HM99" i="91"/>
  <c r="HZ99" i="91" s="1"/>
  <c r="KS108" i="91"/>
  <c r="JT102" i="91"/>
  <c r="JS102" i="91"/>
  <c r="KM103" i="91"/>
  <c r="KD103" i="91"/>
  <c r="HG117" i="91"/>
  <c r="HV122" i="91"/>
  <c r="HW122" i="91"/>
  <c r="II122" i="91"/>
  <c r="HJ125" i="91"/>
  <c r="HX119" i="91"/>
  <c r="IL119" i="91"/>
  <c r="IA119" i="91"/>
  <c r="IN119" i="91"/>
  <c r="IC119" i="91"/>
  <c r="IK119" i="91"/>
  <c r="MD127" i="91"/>
  <c r="HM139" i="91"/>
  <c r="HZ139" i="91" s="1"/>
  <c r="IJ134" i="91"/>
  <c r="HW134" i="91"/>
  <c r="KB127" i="91"/>
  <c r="KK127" i="91"/>
  <c r="KL127" i="91"/>
  <c r="ME133" i="91"/>
  <c r="MF133" i="91"/>
  <c r="LX133" i="91"/>
  <c r="LW133" i="91"/>
  <c r="GK166" i="91"/>
  <c r="HM145" i="91"/>
  <c r="HZ145" i="91" s="1"/>
  <c r="GB166" i="91"/>
  <c r="GB220" i="91"/>
  <c r="KC147" i="91"/>
  <c r="KL147" i="91"/>
  <c r="EK166" i="91"/>
  <c r="KK148" i="91"/>
  <c r="KB148" i="91"/>
  <c r="KC148" i="91"/>
  <c r="KL148" i="91"/>
  <c r="FP166" i="91"/>
  <c r="FP220" i="91"/>
  <c r="KE150" i="91"/>
  <c r="KN150" i="91"/>
  <c r="KF150" i="91"/>
  <c r="KO150" i="91"/>
  <c r="EN166" i="91"/>
  <c r="FM166" i="91"/>
  <c r="FM220" i="91"/>
  <c r="HI169" i="91"/>
  <c r="LV169" i="91"/>
  <c r="KC169" i="91"/>
  <c r="HV156" i="91"/>
  <c r="II156" i="91"/>
  <c r="HE278" i="91"/>
  <c r="HE277" i="91"/>
  <c r="KB155" i="91"/>
  <c r="KK155" i="91"/>
  <c r="KC155" i="91"/>
  <c r="HS169" i="91"/>
  <c r="IF169" i="91"/>
  <c r="HG280" i="91"/>
  <c r="HR168" i="91"/>
  <c r="LM280" i="91"/>
  <c r="KN149" i="91"/>
  <c r="KO149" i="91"/>
  <c r="KF149" i="91"/>
  <c r="KE149" i="91"/>
  <c r="KD161" i="91"/>
  <c r="KM161" i="91"/>
  <c r="KE161" i="91"/>
  <c r="KN161" i="91"/>
  <c r="HU175" i="91"/>
  <c r="IH175" i="91"/>
  <c r="LV177" i="91"/>
  <c r="MD177" i="91"/>
  <c r="HD277" i="91"/>
  <c r="HD278" i="91"/>
  <c r="KL175" i="91"/>
  <c r="HW177" i="91"/>
  <c r="IJ177" i="91"/>
  <c r="IK177" i="91"/>
  <c r="HJ179" i="91"/>
  <c r="KD179" i="91"/>
  <c r="EN283" i="91"/>
  <c r="KK184" i="91"/>
  <c r="KB184" i="91"/>
  <c r="KL184" i="91"/>
  <c r="IJ210" i="91"/>
  <c r="HW210" i="91"/>
  <c r="II212" i="91"/>
  <c r="IJ212" i="91"/>
  <c r="HV212" i="91"/>
  <c r="KM188" i="91"/>
  <c r="KD188" i="91"/>
  <c r="IH194" i="91"/>
  <c r="HU194" i="91"/>
  <c r="KM197" i="91"/>
  <c r="KD197" i="91"/>
  <c r="II185" i="91"/>
  <c r="HV185" i="91"/>
  <c r="HM193" i="91"/>
  <c r="HZ193" i="91" s="1"/>
  <c r="IN197" i="91"/>
  <c r="IA197" i="91"/>
  <c r="HX197" i="91"/>
  <c r="IL197" i="91"/>
  <c r="IC197" i="91"/>
  <c r="IK197" i="91"/>
  <c r="HV207" i="91"/>
  <c r="II207" i="91"/>
  <c r="II194" i="91"/>
  <c r="HX210" i="91"/>
  <c r="EX202" i="91"/>
  <c r="EX218" i="91" s="1"/>
  <c r="KO194" i="91"/>
  <c r="KN194" i="91"/>
  <c r="KE194" i="91"/>
  <c r="KF194" i="91"/>
  <c r="KC197" i="91"/>
  <c r="KL197" i="91"/>
  <c r="IN207" i="91"/>
  <c r="HX207" i="91"/>
  <c r="IK207" i="91"/>
  <c r="IA207" i="91"/>
  <c r="IL207" i="91"/>
  <c r="IC207" i="91"/>
  <c r="HV209" i="91"/>
  <c r="II209" i="91"/>
  <c r="GW202" i="91"/>
  <c r="GW218" i="91" s="1"/>
  <c r="FP202" i="91"/>
  <c r="FP218" i="91" s="1"/>
  <c r="GN202" i="91"/>
  <c r="GN218" i="91" s="1"/>
  <c r="GS202" i="91"/>
  <c r="GS218" i="91" s="1"/>
  <c r="JY204" i="91"/>
  <c r="LT193" i="91"/>
  <c r="KO208" i="91"/>
  <c r="KF208" i="91"/>
  <c r="II12" i="91"/>
  <c r="HV12" i="91"/>
  <c r="JS12" i="91"/>
  <c r="JT12" i="91"/>
  <c r="HM15" i="91"/>
  <c r="JS18" i="91"/>
  <c r="JT18" i="91"/>
  <c r="IE14" i="91"/>
  <c r="HR14" i="91"/>
  <c r="HU23" i="91"/>
  <c r="IH23" i="91"/>
  <c r="HV28" i="91"/>
  <c r="II28" i="91"/>
  <c r="HV22" i="91"/>
  <c r="KA31" i="91"/>
  <c r="KJ31" i="91"/>
  <c r="HW32" i="91"/>
  <c r="IJ32" i="91"/>
  <c r="JS32" i="91"/>
  <c r="JT32" i="91"/>
  <c r="JS33" i="91"/>
  <c r="JT33" i="91"/>
  <c r="JY42" i="91"/>
  <c r="KH42" i="91"/>
  <c r="KS42" i="91"/>
  <c r="GI39" i="91"/>
  <c r="HJ15" i="91"/>
  <c r="KD13" i="91"/>
  <c r="KM13" i="91"/>
  <c r="KB22" i="91"/>
  <c r="KK22" i="91"/>
  <c r="JY14" i="91"/>
  <c r="KS14" i="91"/>
  <c r="KH14" i="91"/>
  <c r="HL21" i="91"/>
  <c r="JP21" i="91"/>
  <c r="II22" i="91"/>
  <c r="KD32" i="91"/>
  <c r="KM32" i="91"/>
  <c r="JO27" i="91"/>
  <c r="KE30" i="91"/>
  <c r="KN30" i="91"/>
  <c r="KF30" i="91"/>
  <c r="KO30" i="91"/>
  <c r="LU31" i="91"/>
  <c r="MC31" i="91"/>
  <c r="JS28" i="91"/>
  <c r="JT28" i="91"/>
  <c r="KB27" i="91"/>
  <c r="KK27" i="91"/>
  <c r="HV34" i="91"/>
  <c r="II34" i="91"/>
  <c r="KF33" i="91"/>
  <c r="KO33" i="91"/>
  <c r="KN33" i="91"/>
  <c r="KE33" i="91"/>
  <c r="KQ30" i="91"/>
  <c r="LV31" i="91"/>
  <c r="HR42" i="91"/>
  <c r="IE42" i="91"/>
  <c r="II35" i="91"/>
  <c r="HV35" i="91"/>
  <c r="KE45" i="91"/>
  <c r="KN45" i="91"/>
  <c r="KO45" i="91"/>
  <c r="KF45" i="91"/>
  <c r="HL47" i="91"/>
  <c r="JP47" i="91"/>
  <c r="KD49" i="91"/>
  <c r="KM49" i="91"/>
  <c r="KQ44" i="91"/>
  <c r="HX45" i="91"/>
  <c r="IA45" i="91"/>
  <c r="IC45" i="91"/>
  <c r="IL45" i="91"/>
  <c r="IN45" i="91"/>
  <c r="IK45" i="91"/>
  <c r="KC49" i="91"/>
  <c r="IK43" i="91"/>
  <c r="MC47" i="91"/>
  <c r="LU47" i="91"/>
  <c r="JY63" i="91"/>
  <c r="KH63" i="91"/>
  <c r="KS63" i="91"/>
  <c r="HV52" i="91"/>
  <c r="II52" i="91"/>
  <c r="FZ75" i="91"/>
  <c r="FZ105" i="91"/>
  <c r="MB57" i="91"/>
  <c r="LS57" i="91"/>
  <c r="MA57" i="91"/>
  <c r="MK57" i="91"/>
  <c r="IK52" i="91"/>
  <c r="KJ67" i="91"/>
  <c r="LW66" i="91"/>
  <c r="MD66" i="91"/>
  <c r="LV66" i="91"/>
  <c r="ME66" i="91"/>
  <c r="FK75" i="91"/>
  <c r="FK105" i="91"/>
  <c r="HI67" i="91"/>
  <c r="IQ69" i="91"/>
  <c r="HX69" i="91"/>
  <c r="IK69" i="91"/>
  <c r="IL69" i="91"/>
  <c r="IA69" i="91"/>
  <c r="IN69" i="91"/>
  <c r="IC69" i="91"/>
  <c r="HV68" i="91"/>
  <c r="LU78" i="91"/>
  <c r="MC78" i="91"/>
  <c r="KB69" i="91"/>
  <c r="KK69" i="91"/>
  <c r="JZ84" i="91"/>
  <c r="KI84" i="91"/>
  <c r="KM86" i="91"/>
  <c r="KD86" i="91"/>
  <c r="KA84" i="91"/>
  <c r="KJ84" i="91"/>
  <c r="HM84" i="91"/>
  <c r="KQ85" i="91"/>
  <c r="IQ87" i="91"/>
  <c r="IJ89" i="91"/>
  <c r="HW89" i="91"/>
  <c r="KQ89" i="91"/>
  <c r="HV86" i="91"/>
  <c r="IA102" i="91"/>
  <c r="IL102" i="91"/>
  <c r="IK102" i="91"/>
  <c r="IN102" i="91"/>
  <c r="HX102" i="91"/>
  <c r="IC102" i="91"/>
  <c r="KQ108" i="91"/>
  <c r="LV100" i="91"/>
  <c r="MD100" i="91"/>
  <c r="HW100" i="91"/>
  <c r="HV102" i="91"/>
  <c r="II102" i="91"/>
  <c r="IN101" i="91"/>
  <c r="IK101" i="91"/>
  <c r="HX101" i="91"/>
  <c r="IL101" i="91"/>
  <c r="IA101" i="91"/>
  <c r="IC101" i="91"/>
  <c r="KE118" i="91"/>
  <c r="KO118" i="91"/>
  <c r="KF118" i="91"/>
  <c r="KN118" i="91"/>
  <c r="II103" i="91"/>
  <c r="HV103" i="91"/>
  <c r="LX118" i="91"/>
  <c r="LW118" i="91"/>
  <c r="ME118" i="91"/>
  <c r="MF118" i="91"/>
  <c r="KD135" i="91"/>
  <c r="KM135" i="91"/>
  <c r="KD151" i="91"/>
  <c r="KM151" i="91"/>
  <c r="LV128" i="91"/>
  <c r="MD128" i="91"/>
  <c r="LW128" i="91"/>
  <c r="HI125" i="91"/>
  <c r="HW133" i="91"/>
  <c r="IJ133" i="91"/>
  <c r="IK133" i="91"/>
  <c r="ES166" i="91"/>
  <c r="LV133" i="91"/>
  <c r="IK143" i="91"/>
  <c r="IN143" i="91"/>
  <c r="HX143" i="91"/>
  <c r="IA143" i="91"/>
  <c r="IC143" i="91"/>
  <c r="IL143" i="91"/>
  <c r="KF147" i="91"/>
  <c r="KO147" i="91"/>
  <c r="KN147" i="91"/>
  <c r="KE147" i="91"/>
  <c r="EX166" i="91"/>
  <c r="EX220" i="91"/>
  <c r="MC148" i="91"/>
  <c r="LU148" i="91"/>
  <c r="MD148" i="91"/>
  <c r="LV148" i="91"/>
  <c r="JZ149" i="91"/>
  <c r="KI149" i="91"/>
  <c r="FX166" i="91"/>
  <c r="FX220" i="91"/>
  <c r="HK141" i="91"/>
  <c r="K92" i="1" s="1"/>
  <c r="KB144" i="91"/>
  <c r="KK144" i="91"/>
  <c r="KC144" i="91"/>
  <c r="KL144" i="91"/>
  <c r="IA150" i="91"/>
  <c r="IK150" i="91"/>
  <c r="IC150" i="91"/>
  <c r="IL150" i="91"/>
  <c r="IN150" i="91"/>
  <c r="HX150" i="91"/>
  <c r="EU166" i="91"/>
  <c r="EU220" i="91"/>
  <c r="MC156" i="91"/>
  <c r="LU156" i="91"/>
  <c r="KL160" i="91"/>
  <c r="KC160" i="91"/>
  <c r="KD160" i="91"/>
  <c r="KM160" i="91"/>
  <c r="FU166" i="91"/>
  <c r="FU220" i="91"/>
  <c r="KE154" i="91"/>
  <c r="KN154" i="91"/>
  <c r="KF154" i="91"/>
  <c r="KO154" i="91"/>
  <c r="HI158" i="91"/>
  <c r="KC158" i="91"/>
  <c r="KC172" i="91"/>
  <c r="KL172" i="91"/>
  <c r="KB172" i="91"/>
  <c r="KK172" i="91"/>
  <c r="LW154" i="91"/>
  <c r="HU155" i="91"/>
  <c r="IH155" i="91"/>
  <c r="II155" i="91"/>
  <c r="HV155" i="91"/>
  <c r="HG168" i="91"/>
  <c r="IE168" i="91"/>
  <c r="KM169" i="91"/>
  <c r="HW161" i="91"/>
  <c r="HX161" i="91"/>
  <c r="IJ161" i="91"/>
  <c r="LT162" i="91"/>
  <c r="MB162" i="91"/>
  <c r="HX162" i="91"/>
  <c r="IL162" i="91"/>
  <c r="IC162" i="91"/>
  <c r="IN162" i="91"/>
  <c r="IK162" i="91"/>
  <c r="IA162" i="91"/>
  <c r="JA277" i="91"/>
  <c r="JA278" i="91"/>
  <c r="LX175" i="91"/>
  <c r="ME175" i="91"/>
  <c r="MF175" i="91"/>
  <c r="LW175" i="91"/>
  <c r="KM177" i="91"/>
  <c r="KD177" i="91"/>
  <c r="KE177" i="91"/>
  <c r="LU162" i="91"/>
  <c r="HU184" i="91"/>
  <c r="IH184" i="91"/>
  <c r="II184" i="91"/>
  <c r="ME210" i="91"/>
  <c r="MF210" i="91"/>
  <c r="LW210" i="91"/>
  <c r="LX210" i="91"/>
  <c r="IJ188" i="91"/>
  <c r="HW188" i="91"/>
  <c r="MC194" i="91"/>
  <c r="LU194" i="91"/>
  <c r="LV185" i="91"/>
  <c r="MD185" i="91"/>
  <c r="IK210" i="91"/>
  <c r="KC194" i="91"/>
  <c r="KL194" i="91"/>
  <c r="II199" i="91"/>
  <c r="HV199" i="91"/>
  <c r="HX205" i="91"/>
  <c r="IC205" i="91"/>
  <c r="IK205" i="91"/>
  <c r="IA205" i="91"/>
  <c r="IL205" i="91"/>
  <c r="IN205" i="91"/>
  <c r="FF202" i="91"/>
  <c r="FF218" i="91" s="1"/>
  <c r="KM194" i="91"/>
  <c r="II197" i="91"/>
  <c r="HV197" i="91"/>
  <c r="HJ208" i="91"/>
  <c r="KK191" i="91"/>
  <c r="KB191" i="91"/>
  <c r="MF209" i="91"/>
  <c r="ME209" i="91"/>
  <c r="LW209" i="91"/>
  <c r="LX209" i="91"/>
  <c r="HW199" i="91"/>
  <c r="IC208" i="91"/>
  <c r="IN208" i="91"/>
  <c r="IA208" i="91"/>
  <c r="IL208" i="91"/>
  <c r="JY11" i="91"/>
  <c r="KH11" i="91"/>
  <c r="KS11" i="91"/>
  <c r="KS12" i="91"/>
  <c r="KS17" i="91"/>
  <c r="KS13" i="91"/>
  <c r="KS16" i="91"/>
  <c r="KS18" i="91"/>
  <c r="KS24" i="91"/>
  <c r="KS26" i="91"/>
  <c r="KS23" i="91"/>
  <c r="KS27" i="91"/>
  <c r="KS30" i="91"/>
  <c r="KS29" i="91"/>
  <c r="KS33" i="91"/>
  <c r="KS32" i="91"/>
  <c r="KS34" i="91"/>
  <c r="KS43" i="91"/>
  <c r="KS55" i="91"/>
  <c r="KS52" i="91"/>
  <c r="KS49" i="91"/>
  <c r="KS46" i="91"/>
  <c r="KS48" i="91"/>
  <c r="KS56" i="91"/>
  <c r="KS53" i="91"/>
  <c r="KS58" i="91"/>
  <c r="KS66" i="91"/>
  <c r="KS67" i="91"/>
  <c r="KS64" i="91"/>
  <c r="KS69" i="91"/>
  <c r="KS78" i="91"/>
  <c r="KS85" i="91"/>
  <c r="KS83" i="91"/>
  <c r="KS82" i="91"/>
  <c r="KS84" i="91"/>
  <c r="KS87" i="91"/>
  <c r="KS90" i="91"/>
  <c r="KS99" i="91"/>
  <c r="KS100" i="91"/>
  <c r="KS101" i="91"/>
  <c r="KK18" i="91"/>
  <c r="KB18" i="91"/>
  <c r="LZ15" i="91"/>
  <c r="LR15" i="91"/>
  <c r="MA15" i="91"/>
  <c r="LS15" i="91"/>
  <c r="JT16" i="91"/>
  <c r="JS16" i="91"/>
  <c r="KE12" i="91"/>
  <c r="KN12" i="91"/>
  <c r="KF12" i="91"/>
  <c r="KO12" i="91"/>
  <c r="HX13" i="91"/>
  <c r="IA13" i="91"/>
  <c r="IK13" i="91"/>
  <c r="IL13" i="91"/>
  <c r="IN13" i="91"/>
  <c r="IC13" i="91"/>
  <c r="HW13" i="91"/>
  <c r="IJ13" i="91"/>
  <c r="HU18" i="91"/>
  <c r="IH18" i="91"/>
  <c r="KD19" i="91"/>
  <c r="KM19" i="91"/>
  <c r="HW16" i="91"/>
  <c r="IJ16" i="91"/>
  <c r="ML77" i="91"/>
  <c r="LR14" i="91"/>
  <c r="MA14" i="91"/>
  <c r="LS14" i="91"/>
  <c r="LZ14" i="91"/>
  <c r="HU24" i="91"/>
  <c r="HV24" i="91"/>
  <c r="IH24" i="91"/>
  <c r="KE27" i="91"/>
  <c r="KN27" i="91"/>
  <c r="KF27" i="91"/>
  <c r="KO27" i="91"/>
  <c r="HU26" i="91"/>
  <c r="IH26" i="91"/>
  <c r="JT26" i="91"/>
  <c r="JS26" i="91"/>
  <c r="HS31" i="91"/>
  <c r="IF31" i="91"/>
  <c r="KB29" i="91"/>
  <c r="KK29" i="91"/>
  <c r="KN28" i="91"/>
  <c r="KE28" i="91"/>
  <c r="KO28" i="91"/>
  <c r="KF28" i="91"/>
  <c r="IH27" i="91"/>
  <c r="HU27" i="91"/>
  <c r="KQ27" i="91"/>
  <c r="HJ31" i="91"/>
  <c r="HW31" i="91" s="1"/>
  <c r="IK32" i="91"/>
  <c r="KF34" i="91"/>
  <c r="KO34" i="91"/>
  <c r="KE34" i="91"/>
  <c r="KN34" i="91"/>
  <c r="HX33" i="91"/>
  <c r="IK33" i="91"/>
  <c r="IC33" i="91"/>
  <c r="IL33" i="91"/>
  <c r="IN33" i="91"/>
  <c r="IA33" i="91"/>
  <c r="KS31" i="91"/>
  <c r="KE44" i="91"/>
  <c r="KN44" i="91"/>
  <c r="KF44" i="91"/>
  <c r="KO44" i="91"/>
  <c r="KB53" i="91"/>
  <c r="KK53" i="91"/>
  <c r="KD45" i="91"/>
  <c r="KM45" i="91"/>
  <c r="HW48" i="91"/>
  <c r="IJ48" i="91"/>
  <c r="HK47" i="91"/>
  <c r="IQ53" i="91"/>
  <c r="KQ46" i="91"/>
  <c r="JS48" i="91"/>
  <c r="JT48" i="91"/>
  <c r="KL49" i="91"/>
  <c r="KB54" i="91"/>
  <c r="KK54" i="91"/>
  <c r="JS55" i="91"/>
  <c r="JT55" i="91"/>
  <c r="JS52" i="91"/>
  <c r="JT52" i="91"/>
  <c r="KI57" i="91"/>
  <c r="JZ57" i="91"/>
  <c r="KJ57" i="91"/>
  <c r="KA57" i="91"/>
  <c r="KC54" i="91"/>
  <c r="FU75" i="91"/>
  <c r="FU105" i="91"/>
  <c r="HJ64" i="91"/>
  <c r="MA78" i="91"/>
  <c r="LS78" i="91"/>
  <c r="MB78" i="91"/>
  <c r="MK78" i="91"/>
  <c r="LT78" i="91"/>
  <c r="MD64" i="91"/>
  <c r="LV64" i="91"/>
  <c r="HM63" i="91"/>
  <c r="KB68" i="91"/>
  <c r="KK68" i="91"/>
  <c r="KE70" i="91"/>
  <c r="KN70" i="91"/>
  <c r="KO70" i="91"/>
  <c r="KF70" i="91"/>
  <c r="KS68" i="91"/>
  <c r="HW66" i="91"/>
  <c r="IH69" i="91"/>
  <c r="HU69" i="91"/>
  <c r="KQ77" i="91"/>
  <c r="HI84" i="91"/>
  <c r="ME78" i="91"/>
  <c r="LW78" i="91"/>
  <c r="MF78" i="91"/>
  <c r="LX78" i="91"/>
  <c r="HR77" i="91"/>
  <c r="IE77" i="91"/>
  <c r="HT84" i="91"/>
  <c r="IG84" i="91"/>
  <c r="KD90" i="91"/>
  <c r="KM90" i="91"/>
  <c r="KA86" i="91"/>
  <c r="KJ86" i="91"/>
  <c r="ME88" i="91"/>
  <c r="KL88" i="91"/>
  <c r="KC88" i="91"/>
  <c r="JS89" i="91"/>
  <c r="JT89" i="91"/>
  <c r="KQ93" i="91"/>
  <c r="KS89" i="91"/>
  <c r="KC100" i="91"/>
  <c r="KL100" i="91"/>
  <c r="JT108" i="91"/>
  <c r="JS108" i="91"/>
  <c r="HG99" i="91"/>
  <c r="LV99" i="91"/>
  <c r="MD99" i="91"/>
  <c r="IJ100" i="91"/>
  <c r="KE102" i="91"/>
  <c r="KF102" i="91"/>
  <c r="KO102" i="91"/>
  <c r="KN102" i="91"/>
  <c r="HW102" i="91"/>
  <c r="IJ102" i="91"/>
  <c r="IH108" i="91"/>
  <c r="HU108" i="91"/>
  <c r="JS22" i="91"/>
  <c r="JT22" i="91"/>
  <c r="MD108" i="91"/>
  <c r="LV108" i="91"/>
  <c r="LV118" i="91"/>
  <c r="MD118" i="91"/>
  <c r="HG124" i="91"/>
  <c r="HG283" i="91" s="1"/>
  <c r="LE283" i="91"/>
  <c r="HV108" i="91"/>
  <c r="KM121" i="91"/>
  <c r="KN121" i="91"/>
  <c r="KD121" i="91"/>
  <c r="EL283" i="91"/>
  <c r="IH126" i="91"/>
  <c r="HU126" i="91"/>
  <c r="KC103" i="91"/>
  <c r="KL103" i="91"/>
  <c r="IJ118" i="91"/>
  <c r="HW118" i="91"/>
  <c r="EK283" i="91"/>
  <c r="KM134" i="91"/>
  <c r="KN134" i="91"/>
  <c r="KD134" i="91"/>
  <c r="HV128" i="91"/>
  <c r="II128" i="91"/>
  <c r="IJ128" i="91"/>
  <c r="IH127" i="91"/>
  <c r="II127" i="91"/>
  <c r="HU127" i="91"/>
  <c r="LW135" i="91"/>
  <c r="ME135" i="91"/>
  <c r="MF135" i="91"/>
  <c r="LX135" i="91"/>
  <c r="FB166" i="91"/>
  <c r="FB220" i="91"/>
  <c r="KF143" i="91"/>
  <c r="KO143" i="91"/>
  <c r="KN143" i="91"/>
  <c r="KE143" i="91"/>
  <c r="FF166" i="91"/>
  <c r="FF220" i="91"/>
  <c r="MA149" i="91"/>
  <c r="LS149" i="91"/>
  <c r="MB149" i="91"/>
  <c r="LT149" i="91"/>
  <c r="HW142" i="91"/>
  <c r="HX142" i="91"/>
  <c r="IK142" i="91"/>
  <c r="IJ142" i="91"/>
  <c r="MC144" i="91"/>
  <c r="LU144" i="91"/>
  <c r="MD144" i="91"/>
  <c r="FC166" i="91"/>
  <c r="FC220" i="91"/>
  <c r="HW157" i="91"/>
  <c r="HX157" i="91"/>
  <c r="IK157" i="91"/>
  <c r="IJ157" i="91"/>
  <c r="GC166" i="91"/>
  <c r="GC220" i="91"/>
  <c r="HV159" i="91"/>
  <c r="II159" i="91"/>
  <c r="IJ159" i="91"/>
  <c r="HV173" i="91"/>
  <c r="II173" i="91"/>
  <c r="KC170" i="91"/>
  <c r="KL170" i="91"/>
  <c r="KM170" i="91"/>
  <c r="KD170" i="91"/>
  <c r="ME154" i="91"/>
  <c r="IK155" i="91"/>
  <c r="HW155" i="91"/>
  <c r="IJ155" i="91"/>
  <c r="HX155" i="91"/>
  <c r="MA169" i="91"/>
  <c r="LS169" i="91"/>
  <c r="LT169" i="91"/>
  <c r="LE280" i="91"/>
  <c r="HW169" i="91"/>
  <c r="IJ169" i="91"/>
  <c r="KE175" i="91"/>
  <c r="KO175" i="91"/>
  <c r="KF175" i="91"/>
  <c r="KN175" i="91"/>
  <c r="HX149" i="91"/>
  <c r="IA149" i="91"/>
  <c r="IK149" i="91"/>
  <c r="IL149" i="91"/>
  <c r="IN149" i="91"/>
  <c r="IC149" i="91"/>
  <c r="IG162" i="91"/>
  <c r="IH162" i="91"/>
  <c r="HT162" i="91"/>
  <c r="LW178" i="91"/>
  <c r="LX178" i="91"/>
  <c r="ME178" i="91"/>
  <c r="MF178" i="91"/>
  <c r="KD182" i="91"/>
  <c r="KM182" i="91"/>
  <c r="HW173" i="91"/>
  <c r="IJ173" i="91"/>
  <c r="IK173" i="91"/>
  <c r="HX173" i="91"/>
  <c r="LR168" i="91"/>
  <c r="LZ168" i="91"/>
  <c r="LD277" i="91"/>
  <c r="LD278" i="91"/>
  <c r="KN177" i="91"/>
  <c r="HV188" i="91"/>
  <c r="II188" i="91"/>
  <c r="LW184" i="91"/>
  <c r="LX184" i="91"/>
  <c r="ME184" i="91"/>
  <c r="MF184" i="91"/>
  <c r="KL188" i="91"/>
  <c r="KC188" i="91"/>
  <c r="LX194" i="91"/>
  <c r="ME194" i="91"/>
  <c r="MF194" i="91"/>
  <c r="LW194" i="91"/>
  <c r="KL185" i="91"/>
  <c r="KC185" i="91"/>
  <c r="IJ182" i="91"/>
  <c r="HX212" i="91"/>
  <c r="IA212" i="91"/>
  <c r="IK212" i="91"/>
  <c r="IL212" i="91"/>
  <c r="IC212" i="91"/>
  <c r="IN212" i="91"/>
  <c r="KD196" i="91"/>
  <c r="HJ196" i="91"/>
  <c r="IJ196" i="91" s="1"/>
  <c r="ME196" i="91"/>
  <c r="HX188" i="91"/>
  <c r="IN188" i="91"/>
  <c r="IL188" i="91"/>
  <c r="IK188" i="91"/>
  <c r="IA188" i="91"/>
  <c r="IC188" i="91"/>
  <c r="FN202" i="91"/>
  <c r="FN218" i="91" s="1"/>
  <c r="KD194" i="91"/>
  <c r="KM185" i="91"/>
  <c r="MD206" i="91"/>
  <c r="ME206" i="91"/>
  <c r="LV206" i="91"/>
  <c r="LW206" i="91"/>
  <c r="HU191" i="91"/>
  <c r="IH191" i="91"/>
  <c r="KC198" i="91"/>
  <c r="KL198" i="91"/>
  <c r="LV212" i="91"/>
  <c r="MD212" i="91"/>
  <c r="HW212" i="91"/>
  <c r="HX16" i="91"/>
  <c r="IK16" i="91"/>
  <c r="IC16" i="91"/>
  <c r="IL16" i="91"/>
  <c r="IN16" i="91"/>
  <c r="IA16" i="91"/>
  <c r="KC17" i="91"/>
  <c r="KL17" i="91"/>
  <c r="MB14" i="91"/>
  <c r="LT14" i="91"/>
  <c r="KC25" i="91"/>
  <c r="KL25" i="91"/>
  <c r="HM21" i="91"/>
  <c r="KS19" i="91"/>
  <c r="IQ19" i="91"/>
  <c r="JZ31" i="91"/>
  <c r="KI31" i="91"/>
  <c r="KC30" i="91"/>
  <c r="KL30" i="91"/>
  <c r="KC32" i="91"/>
  <c r="KL32" i="91"/>
  <c r="KA21" i="91"/>
  <c r="KJ21" i="91"/>
  <c r="LX32" i="91"/>
  <c r="ME32" i="91"/>
  <c r="LW32" i="91"/>
  <c r="MF32" i="91"/>
  <c r="IJ26" i="91"/>
  <c r="HW26" i="91"/>
  <c r="KC27" i="91"/>
  <c r="KL27" i="91"/>
  <c r="LV33" i="91"/>
  <c r="MD33" i="91"/>
  <c r="IN34" i="91"/>
  <c r="HX34" i="91"/>
  <c r="IL34" i="91"/>
  <c r="IA34" i="91"/>
  <c r="IC34" i="91"/>
  <c r="IK34" i="91"/>
  <c r="HM42" i="91"/>
  <c r="HZ42" i="91" s="1"/>
  <c r="KD34" i="91"/>
  <c r="KM34" i="91"/>
  <c r="JS44" i="91"/>
  <c r="JT44" i="91"/>
  <c r="KQ36" i="91"/>
  <c r="KS44" i="91"/>
  <c r="KE49" i="91"/>
  <c r="KN49" i="91"/>
  <c r="KF49" i="91"/>
  <c r="KO49" i="91"/>
  <c r="HV48" i="91"/>
  <c r="II48" i="91"/>
  <c r="KE54" i="91"/>
  <c r="KN54" i="91"/>
  <c r="KF54" i="91"/>
  <c r="KO54" i="91"/>
  <c r="IJ45" i="91"/>
  <c r="HW45" i="91"/>
  <c r="KD48" i="91"/>
  <c r="KM48" i="91"/>
  <c r="KD53" i="91"/>
  <c r="KM53" i="91"/>
  <c r="HL42" i="91"/>
  <c r="KD50" i="91"/>
  <c r="KM50" i="91"/>
  <c r="KC55" i="91"/>
  <c r="KL55" i="91"/>
  <c r="KS45" i="91"/>
  <c r="IH54" i="91"/>
  <c r="HU54" i="91"/>
  <c r="KS50" i="91"/>
  <c r="KB52" i="91"/>
  <c r="KK52" i="91"/>
  <c r="IQ51" i="91"/>
  <c r="KL56" i="91"/>
  <c r="KC56" i="91"/>
  <c r="IH65" i="91"/>
  <c r="HU65" i="91"/>
  <c r="KE56" i="91"/>
  <c r="KN56" i="91"/>
  <c r="KF56" i="91"/>
  <c r="KO56" i="91"/>
  <c r="KE65" i="91"/>
  <c r="KO65" i="91"/>
  <c r="KN65" i="91"/>
  <c r="KF65" i="91"/>
  <c r="HM64" i="91"/>
  <c r="HZ64" i="91" s="1"/>
  <c r="HU68" i="91"/>
  <c r="IH68" i="91"/>
  <c r="MC69" i="91"/>
  <c r="LU69" i="91"/>
  <c r="FN75" i="91"/>
  <c r="ME64" i="91"/>
  <c r="KQ67" i="91"/>
  <c r="IJ66" i="91"/>
  <c r="KB85" i="91"/>
  <c r="KK85" i="91"/>
  <c r="KO66" i="91"/>
  <c r="KF66" i="91"/>
  <c r="KN66" i="91"/>
  <c r="KE66" i="91"/>
  <c r="HW85" i="91"/>
  <c r="HX85" i="91"/>
  <c r="IJ85" i="91"/>
  <c r="HV82" i="91"/>
  <c r="II82" i="91"/>
  <c r="JS85" i="91"/>
  <c r="JT85" i="91"/>
  <c r="HJ87" i="91"/>
  <c r="JS90" i="91"/>
  <c r="JT90" i="91"/>
  <c r="MA84" i="91"/>
  <c r="LS84" i="91"/>
  <c r="MB84" i="91"/>
  <c r="MK84" i="91"/>
  <c r="LT84" i="91"/>
  <c r="IQ89" i="91"/>
  <c r="MD93" i="91"/>
  <c r="LV93" i="91"/>
  <c r="LW93" i="91"/>
  <c r="ME93" i="91"/>
  <c r="HM87" i="91"/>
  <c r="KQ84" i="91"/>
  <c r="HJ84" i="91"/>
  <c r="HV88" i="91"/>
  <c r="II88" i="91"/>
  <c r="KN93" i="91"/>
  <c r="KE93" i="91"/>
  <c r="KO93" i="91"/>
  <c r="KF93" i="91"/>
  <c r="KQ86" i="91"/>
  <c r="KB101" i="91"/>
  <c r="KK101" i="91"/>
  <c r="HU103" i="91"/>
  <c r="IH103" i="91"/>
  <c r="KC101" i="91"/>
  <c r="KL101" i="91"/>
  <c r="HK99" i="91"/>
  <c r="K60" i="1" s="1"/>
  <c r="KF103" i="91"/>
  <c r="KO103" i="91"/>
  <c r="KE103" i="91"/>
  <c r="KN103" i="91"/>
  <c r="KB108" i="91"/>
  <c r="KK108" i="91"/>
  <c r="KL108" i="91"/>
  <c r="KM101" i="91"/>
  <c r="KF22" i="91"/>
  <c r="KO22" i="91"/>
  <c r="KE22" i="91"/>
  <c r="KN22" i="91"/>
  <c r="KL122" i="91"/>
  <c r="KM122" i="91"/>
  <c r="KC122" i="91"/>
  <c r="KD118" i="91"/>
  <c r="KM118" i="91"/>
  <c r="ME126" i="91"/>
  <c r="MF126" i="91"/>
  <c r="LW126" i="91"/>
  <c r="LX126" i="91"/>
  <c r="LV127" i="91"/>
  <c r="KK130" i="91"/>
  <c r="KB130" i="91"/>
  <c r="KC130" i="91"/>
  <c r="KL130" i="91"/>
  <c r="KE134" i="91"/>
  <c r="KL128" i="91"/>
  <c r="KC128" i="91"/>
  <c r="KM127" i="91"/>
  <c r="KD127" i="91"/>
  <c r="KN127" i="91"/>
  <c r="KD130" i="91"/>
  <c r="KN130" i="91"/>
  <c r="KE130" i="91"/>
  <c r="KM130" i="91"/>
  <c r="HW135" i="91"/>
  <c r="IJ135" i="91"/>
  <c r="KE135" i="91"/>
  <c r="FA166" i="91"/>
  <c r="FA220" i="91"/>
  <c r="FJ166" i="91"/>
  <c r="FJ220" i="91"/>
  <c r="KB147" i="91"/>
  <c r="KK147" i="91"/>
  <c r="FN166" i="91"/>
  <c r="FN220" i="91"/>
  <c r="IJ147" i="91"/>
  <c r="HW147" i="91"/>
  <c r="HG139" i="91"/>
  <c r="ME142" i="91"/>
  <c r="LX142" i="91"/>
  <c r="MF142" i="91"/>
  <c r="LW142" i="91"/>
  <c r="KM149" i="91"/>
  <c r="HJ149" i="91"/>
  <c r="FK166" i="91"/>
  <c r="FK220" i="91"/>
  <c r="ME157" i="91"/>
  <c r="MF157" i="91"/>
  <c r="LW157" i="91"/>
  <c r="LX157" i="91"/>
  <c r="EL137" i="91"/>
  <c r="EL166" i="91" s="1"/>
  <c r="MD159" i="91"/>
  <c r="LW159" i="91"/>
  <c r="LV159" i="91"/>
  <c r="ME159" i="91"/>
  <c r="KK163" i="91"/>
  <c r="KB163" i="91"/>
  <c r="KL163" i="91"/>
  <c r="FO166" i="91"/>
  <c r="FO220" i="91"/>
  <c r="LW155" i="91"/>
  <c r="MF155" i="91"/>
  <c r="ME155" i="91"/>
  <c r="LX155" i="91"/>
  <c r="IH181" i="91"/>
  <c r="HU181" i="91"/>
  <c r="KN162" i="91"/>
  <c r="KF162" i="91"/>
  <c r="KE162" i="91"/>
  <c r="KO162" i="91"/>
  <c r="II164" i="91"/>
  <c r="IJ164" i="91"/>
  <c r="HV164" i="91"/>
  <c r="HH137" i="91"/>
  <c r="HT169" i="91"/>
  <c r="ME173" i="91"/>
  <c r="LX173" i="91"/>
  <c r="MF173" i="91"/>
  <c r="LW173" i="91"/>
  <c r="HV175" i="91"/>
  <c r="II175" i="91"/>
  <c r="KH168" i="91"/>
  <c r="JY168" i="91"/>
  <c r="JC277" i="91"/>
  <c r="JC278" i="91"/>
  <c r="HM176" i="91"/>
  <c r="HZ176" i="91" s="1"/>
  <c r="IF183" i="91"/>
  <c r="HS183" i="91"/>
  <c r="HW175" i="91"/>
  <c r="HK183" i="91"/>
  <c r="K116" i="1" s="1"/>
  <c r="KN185" i="91"/>
  <c r="KE185" i="91"/>
  <c r="KF185" i="91"/>
  <c r="KO185" i="91"/>
  <c r="FV202" i="91"/>
  <c r="FV218" i="91" s="1"/>
  <c r="KF197" i="91"/>
  <c r="KN197" i="91"/>
  <c r="KO197" i="91"/>
  <c r="KE197" i="91"/>
  <c r="IK206" i="91"/>
  <c r="IC206" i="91"/>
  <c r="HX206" i="91"/>
  <c r="IA206" i="91"/>
  <c r="IL206" i="91"/>
  <c r="IN206" i="91"/>
  <c r="HI208" i="91"/>
  <c r="IJ199" i="91"/>
  <c r="LF279" i="91"/>
  <c r="KN208" i="91"/>
  <c r="HK208" i="91"/>
  <c r="KN191" i="91"/>
  <c r="ME197" i="91"/>
  <c r="HX12" i="91"/>
  <c r="IA12" i="91"/>
  <c r="IK12" i="91"/>
  <c r="IC12" i="91"/>
  <c r="IL12" i="91"/>
  <c r="IN12" i="91"/>
  <c r="KE16" i="91"/>
  <c r="KN16" i="91"/>
  <c r="KF16" i="91"/>
  <c r="KO16" i="91"/>
  <c r="KE13" i="91"/>
  <c r="KN13" i="91"/>
  <c r="KF13" i="91"/>
  <c r="KO13" i="91"/>
  <c r="KB24" i="91"/>
  <c r="KK24" i="91"/>
  <c r="KC24" i="91"/>
  <c r="KL24" i="91"/>
  <c r="JS24" i="91"/>
  <c r="JT24" i="91"/>
  <c r="KE32" i="91"/>
  <c r="KN32" i="91"/>
  <c r="KF32" i="91"/>
  <c r="KO32" i="91"/>
  <c r="IG21" i="91"/>
  <c r="HT21" i="91"/>
  <c r="JS34" i="91"/>
  <c r="JT34" i="91"/>
  <c r="KB46" i="91"/>
  <c r="KK46" i="91"/>
  <c r="HW34" i="91"/>
  <c r="IJ34" i="91"/>
  <c r="KB45" i="91"/>
  <c r="KK45" i="91"/>
  <c r="KC43" i="91"/>
  <c r="KL43" i="91"/>
  <c r="KE51" i="91"/>
  <c r="KN51" i="91"/>
  <c r="KF51" i="91"/>
  <c r="KO51" i="91"/>
  <c r="KE48" i="91"/>
  <c r="KN48" i="91"/>
  <c r="KF48" i="91"/>
  <c r="KO48" i="91"/>
  <c r="JS54" i="91"/>
  <c r="JT54" i="91"/>
  <c r="KC46" i="91"/>
  <c r="KL46" i="91"/>
  <c r="HT47" i="91"/>
  <c r="IG47" i="91"/>
  <c r="KI47" i="91"/>
  <c r="KE50" i="91"/>
  <c r="KN50" i="91"/>
  <c r="KF50" i="91"/>
  <c r="KO50" i="91"/>
  <c r="KC52" i="91"/>
  <c r="KL52" i="91"/>
  <c r="KD55" i="91"/>
  <c r="KM55" i="91"/>
  <c r="HX43" i="91"/>
  <c r="IK56" i="91"/>
  <c r="IC56" i="91"/>
  <c r="IL56" i="91"/>
  <c r="HX56" i="91"/>
  <c r="IN56" i="91"/>
  <c r="IA56" i="91"/>
  <c r="LW47" i="91"/>
  <c r="MF47" i="91"/>
  <c r="ME47" i="91"/>
  <c r="LX47" i="91"/>
  <c r="HU52" i="91"/>
  <c r="IH52" i="91"/>
  <c r="KD56" i="91"/>
  <c r="KM56" i="91"/>
  <c r="IN53" i="91"/>
  <c r="HX53" i="91"/>
  <c r="IA53" i="91"/>
  <c r="IK53" i="91"/>
  <c r="IC53" i="91"/>
  <c r="IL53" i="91"/>
  <c r="KS51" i="91"/>
  <c r="HV56" i="91"/>
  <c r="II56" i="91"/>
  <c r="JT65" i="91"/>
  <c r="JS65" i="91"/>
  <c r="KQ64" i="91"/>
  <c r="KS57" i="91"/>
  <c r="KI65" i="91"/>
  <c r="JZ65" i="91"/>
  <c r="KC68" i="91"/>
  <c r="KL68" i="91"/>
  <c r="HW69" i="91"/>
  <c r="IJ69" i="91"/>
  <c r="HK64" i="91"/>
  <c r="K47" i="1" s="1"/>
  <c r="HK67" i="91"/>
  <c r="K48" i="1" s="1"/>
  <c r="MC67" i="91"/>
  <c r="LU67" i="91"/>
  <c r="IH78" i="91"/>
  <c r="KD85" i="91"/>
  <c r="KM85" i="91"/>
  <c r="MD85" i="91"/>
  <c r="LV85" i="91"/>
  <c r="MA83" i="91"/>
  <c r="LS83" i="91"/>
  <c r="MK83" i="91"/>
  <c r="HG87" i="91"/>
  <c r="KJ87" i="91"/>
  <c r="HG83" i="91"/>
  <c r="HK84" i="91"/>
  <c r="HW88" i="91"/>
  <c r="IJ88" i="91"/>
  <c r="IA89" i="91"/>
  <c r="IK89" i="91"/>
  <c r="HX89" i="91"/>
  <c r="IL89" i="91"/>
  <c r="IC89" i="91"/>
  <c r="IN89" i="91"/>
  <c r="KM93" i="91"/>
  <c r="KD93" i="91"/>
  <c r="IA93" i="91"/>
  <c r="HX93" i="91"/>
  <c r="IK93" i="91"/>
  <c r="IL93" i="91"/>
  <c r="IC93" i="91"/>
  <c r="IN93" i="91"/>
  <c r="HU101" i="91"/>
  <c r="IH101" i="91"/>
  <c r="ME99" i="91"/>
  <c r="LX99" i="91"/>
  <c r="LW99" i="91"/>
  <c r="MF99" i="91"/>
  <c r="LU101" i="91"/>
  <c r="LV101" i="91"/>
  <c r="MC101" i="91"/>
  <c r="KS102" i="91"/>
  <c r="HX103" i="91"/>
  <c r="IC103" i="91"/>
  <c r="IK103" i="91"/>
  <c r="IL103" i="91"/>
  <c r="IN103" i="91"/>
  <c r="IA103" i="91"/>
  <c r="KQ102" i="91"/>
  <c r="IQ103" i="91"/>
  <c r="IJ108" i="91"/>
  <c r="HW108" i="91"/>
  <c r="IC22" i="91"/>
  <c r="IL22" i="91"/>
  <c r="IN22" i="91"/>
  <c r="IA22" i="91"/>
  <c r="IK22" i="91"/>
  <c r="HX22" i="91"/>
  <c r="KL118" i="91"/>
  <c r="KC118" i="91"/>
  <c r="MD122" i="91"/>
  <c r="LV122" i="91"/>
  <c r="ME122" i="91"/>
  <c r="HM125" i="91"/>
  <c r="HZ125" i="91" s="1"/>
  <c r="II119" i="91"/>
  <c r="HV119" i="91"/>
  <c r="IN118" i="91"/>
  <c r="HX118" i="91"/>
  <c r="IC118" i="91"/>
  <c r="IK118" i="91"/>
  <c r="IL118" i="91"/>
  <c r="IA118" i="91"/>
  <c r="LT123" i="91"/>
  <c r="MA123" i="91"/>
  <c r="LS123" i="91"/>
  <c r="MB123" i="91"/>
  <c r="KK134" i="91"/>
  <c r="KB134" i="91"/>
  <c r="EO283" i="91"/>
  <c r="MC150" i="91"/>
  <c r="LU150" i="91"/>
  <c r="HF137" i="91"/>
  <c r="HL125" i="91"/>
  <c r="L81" i="1" s="1"/>
  <c r="HX108" i="91"/>
  <c r="IJ127" i="91"/>
  <c r="HX127" i="91"/>
  <c r="IK127" i="91"/>
  <c r="HW127" i="91"/>
  <c r="LX130" i="91"/>
  <c r="MF130" i="91"/>
  <c r="LW130" i="91"/>
  <c r="ME130" i="91"/>
  <c r="KN135" i="91"/>
  <c r="FI166" i="91"/>
  <c r="FI220" i="91"/>
  <c r="GL166" i="91"/>
  <c r="FR166" i="91"/>
  <c r="FR220" i="91"/>
  <c r="HV143" i="91"/>
  <c r="II143" i="91"/>
  <c r="IJ143" i="91"/>
  <c r="HL141" i="91"/>
  <c r="L92" i="1" s="1"/>
  <c r="HT149" i="91"/>
  <c r="IF149" i="91"/>
  <c r="HS149" i="91"/>
  <c r="IG149" i="91"/>
  <c r="EV166" i="91"/>
  <c r="EV220" i="91"/>
  <c r="FV166" i="91"/>
  <c r="FV220" i="91"/>
  <c r="HU143" i="91"/>
  <c r="IH143" i="91"/>
  <c r="KC150" i="91"/>
  <c r="KL150" i="91"/>
  <c r="FS166" i="91"/>
  <c r="FS220" i="91"/>
  <c r="KF145" i="91"/>
  <c r="KO145" i="91"/>
  <c r="EY166" i="91"/>
  <c r="EY220" i="91"/>
  <c r="IN156" i="91"/>
  <c r="HX156" i="91"/>
  <c r="IL156" i="91"/>
  <c r="IC156" i="91"/>
  <c r="IK156" i="91"/>
  <c r="IA156" i="91"/>
  <c r="KM172" i="91"/>
  <c r="KD172" i="91"/>
  <c r="KM155" i="91"/>
  <c r="KD155" i="91"/>
  <c r="KN155" i="91"/>
  <c r="KA162" i="91"/>
  <c r="KJ162" i="91"/>
  <c r="KE171" i="91"/>
  <c r="HW159" i="91"/>
  <c r="MF162" i="91"/>
  <c r="LX162" i="91"/>
  <c r="ME162" i="91"/>
  <c r="LW162" i="91"/>
  <c r="EZ202" i="91"/>
  <c r="EZ218" i="91" s="1"/>
  <c r="EZ220" i="91"/>
  <c r="KL164" i="91"/>
  <c r="KC164" i="91"/>
  <c r="KM150" i="91"/>
  <c r="KK161" i="91"/>
  <c r="KL161" i="91"/>
  <c r="KB161" i="91"/>
  <c r="HM158" i="91"/>
  <c r="KL162" i="91"/>
  <c r="KM162" i="91"/>
  <c r="KC162" i="91"/>
  <c r="MD175" i="91"/>
  <c r="LV175" i="91"/>
  <c r="ME156" i="91"/>
  <c r="KB177" i="91"/>
  <c r="KK177" i="91"/>
  <c r="KC177" i="91"/>
  <c r="KL177" i="91"/>
  <c r="MA183" i="91"/>
  <c r="LS183" i="91"/>
  <c r="HH168" i="91"/>
  <c r="MD180" i="91"/>
  <c r="ME180" i="91"/>
  <c r="LV180" i="91"/>
  <c r="HH183" i="91"/>
  <c r="IJ175" i="91"/>
  <c r="II195" i="91"/>
  <c r="IJ195" i="91"/>
  <c r="HV195" i="91"/>
  <c r="HW195" i="91"/>
  <c r="LV199" i="91"/>
  <c r="MD199" i="91"/>
  <c r="LW199" i="91"/>
  <c r="HM196" i="91"/>
  <c r="HZ196" i="91" s="1"/>
  <c r="HX185" i="91"/>
  <c r="IC185" i="91"/>
  <c r="IK185" i="91"/>
  <c r="IL185" i="91"/>
  <c r="IN185" i="91"/>
  <c r="IA185" i="91"/>
  <c r="HA202" i="91"/>
  <c r="HA218" i="91" s="1"/>
  <c r="KC191" i="91"/>
  <c r="KL191" i="91"/>
  <c r="HV206" i="91"/>
  <c r="II206" i="91"/>
  <c r="KN198" i="91"/>
  <c r="KO198" i="91"/>
  <c r="KE198" i="91"/>
  <c r="KF198" i="91"/>
  <c r="HW185" i="91"/>
  <c r="GZ202" i="91"/>
  <c r="GZ218" i="91" s="1"/>
  <c r="GD202" i="91"/>
  <c r="GD218" i="91" s="1"/>
  <c r="HX199" i="91"/>
  <c r="IL199" i="91"/>
  <c r="IA199" i="91"/>
  <c r="IN199" i="91"/>
  <c r="IC199" i="91"/>
  <c r="IK199" i="91"/>
  <c r="JY190" i="91"/>
  <c r="KH190" i="91"/>
  <c r="LV194" i="91"/>
  <c r="MD194" i="91"/>
  <c r="HW207" i="91"/>
  <c r="HU193" i="91"/>
  <c r="IH193" i="91"/>
  <c r="KD16" i="91"/>
  <c r="KM16" i="91"/>
  <c r="KK17" i="91"/>
  <c r="KB17" i="91"/>
  <c r="IQ15" i="91"/>
  <c r="HV17" i="91"/>
  <c r="II17" i="91"/>
  <c r="KL23" i="91"/>
  <c r="KC23" i="91"/>
  <c r="KB30" i="91"/>
  <c r="KK30" i="91"/>
  <c r="KQ24" i="91"/>
  <c r="KE29" i="91"/>
  <c r="KN29" i="91"/>
  <c r="KF29" i="91"/>
  <c r="KO29" i="91"/>
  <c r="KF35" i="91"/>
  <c r="KO35" i="91"/>
  <c r="KE35" i="91"/>
  <c r="KN35" i="91"/>
  <c r="KD12" i="91"/>
  <c r="KM12" i="91"/>
  <c r="JS17" i="91"/>
  <c r="JT17" i="91"/>
  <c r="ES39" i="91"/>
  <c r="KD17" i="91"/>
  <c r="KM17" i="91"/>
  <c r="HW18" i="91"/>
  <c r="IJ18" i="91"/>
  <c r="KE17" i="91"/>
  <c r="HV23" i="91"/>
  <c r="II23" i="91"/>
  <c r="KD24" i="91"/>
  <c r="KM24" i="91"/>
  <c r="KE24" i="91"/>
  <c r="KN24" i="91"/>
  <c r="KQ21" i="91"/>
  <c r="KQ26" i="91"/>
  <c r="JZ21" i="91"/>
  <c r="KI21" i="91"/>
  <c r="KQ25" i="91"/>
  <c r="KD30" i="91"/>
  <c r="KM30" i="91"/>
  <c r="MB31" i="91"/>
  <c r="LT31" i="91"/>
  <c r="KK33" i="91"/>
  <c r="KB33" i="91"/>
  <c r="KD27" i="91"/>
  <c r="KM27" i="91"/>
  <c r="KS28" i="91"/>
  <c r="JP31" i="91"/>
  <c r="HL31" i="91"/>
  <c r="KS35" i="91"/>
  <c r="HX35" i="91"/>
  <c r="IC35" i="91"/>
  <c r="IL35" i="91"/>
  <c r="IK35" i="91"/>
  <c r="IA35" i="91"/>
  <c r="IN35" i="91"/>
  <c r="ME33" i="91"/>
  <c r="KL35" i="91"/>
  <c r="KC35" i="91"/>
  <c r="KC33" i="91"/>
  <c r="KL33" i="91"/>
  <c r="HU35" i="91"/>
  <c r="IH35" i="91"/>
  <c r="KQ43" i="91"/>
  <c r="HU45" i="91"/>
  <c r="IH45" i="91"/>
  <c r="IF47" i="91"/>
  <c r="HS47" i="91"/>
  <c r="JO43" i="91"/>
  <c r="HM47" i="91"/>
  <c r="MC48" i="91"/>
  <c r="LU48" i="91"/>
  <c r="MD48" i="91"/>
  <c r="KB55" i="91"/>
  <c r="KK55" i="91"/>
  <c r="HV46" i="91"/>
  <c r="II46" i="91"/>
  <c r="KE53" i="91"/>
  <c r="KN53" i="91"/>
  <c r="KF53" i="91"/>
  <c r="KO53" i="91"/>
  <c r="LX48" i="91"/>
  <c r="ME48" i="91"/>
  <c r="LW48" i="91"/>
  <c r="MF48" i="91"/>
  <c r="KD52" i="91"/>
  <c r="KM52" i="91"/>
  <c r="HW56" i="91"/>
  <c r="IJ56" i="91"/>
  <c r="KQ53" i="91"/>
  <c r="JT56" i="91"/>
  <c r="JS56" i="91"/>
  <c r="HG64" i="91"/>
  <c r="IJ55" i="91"/>
  <c r="GZ63" i="91"/>
  <c r="HS65" i="91"/>
  <c r="HT65" i="91"/>
  <c r="IF65" i="91"/>
  <c r="IG65" i="91"/>
  <c r="JP63" i="91"/>
  <c r="HL63" i="91"/>
  <c r="HX58" i="91"/>
  <c r="IA58" i="91"/>
  <c r="IK58" i="91"/>
  <c r="IN58" i="91"/>
  <c r="IC58" i="91"/>
  <c r="IL58" i="91"/>
  <c r="JP67" i="91"/>
  <c r="HL67" i="91"/>
  <c r="L48" i="1" s="1"/>
  <c r="KM68" i="91"/>
  <c r="KD68" i="91"/>
  <c r="ME69" i="91"/>
  <c r="MF69" i="91"/>
  <c r="LW69" i="91"/>
  <c r="LX69" i="91"/>
  <c r="KL69" i="91"/>
  <c r="KC69" i="91"/>
  <c r="KJ65" i="91"/>
  <c r="IC65" i="91"/>
  <c r="IL65" i="91"/>
  <c r="IA65" i="91"/>
  <c r="IK65" i="91"/>
  <c r="HX65" i="91"/>
  <c r="IN65" i="91"/>
  <c r="KK86" i="91"/>
  <c r="KB86" i="91"/>
  <c r="KN85" i="91"/>
  <c r="JS82" i="91"/>
  <c r="JT82" i="91"/>
  <c r="HW82" i="91"/>
  <c r="IJ82" i="91"/>
  <c r="IK82" i="91"/>
  <c r="HI87" i="91"/>
  <c r="KS88" i="91"/>
  <c r="HK92" i="91"/>
  <c r="HH83" i="91"/>
  <c r="MC84" i="91"/>
  <c r="LU84" i="91"/>
  <c r="KE89" i="91"/>
  <c r="KN89" i="91"/>
  <c r="KO89" i="91"/>
  <c r="KF89" i="91"/>
  <c r="KC86" i="91"/>
  <c r="KL86" i="91"/>
  <c r="KN88" i="91"/>
  <c r="KO88" i="91"/>
  <c r="KE88" i="91"/>
  <c r="KF88" i="91"/>
  <c r="ME100" i="91"/>
  <c r="LX100" i="91"/>
  <c r="LW100" i="91"/>
  <c r="MF100" i="91"/>
  <c r="HH117" i="91"/>
  <c r="II101" i="91"/>
  <c r="HV101" i="91"/>
  <c r="KB103" i="91"/>
  <c r="KK103" i="91"/>
  <c r="MC99" i="91"/>
  <c r="LU99" i="91"/>
  <c r="KM102" i="91"/>
  <c r="KE108" i="91"/>
  <c r="KO108" i="91"/>
  <c r="KF108" i="91"/>
  <c r="KN108" i="91"/>
  <c r="KS103" i="91"/>
  <c r="HV118" i="91"/>
  <c r="II118" i="91"/>
  <c r="IF125" i="91"/>
  <c r="HT125" i="91"/>
  <c r="HS125" i="91"/>
  <c r="IG125" i="91"/>
  <c r="HV126" i="91"/>
  <c r="HU118" i="91"/>
  <c r="IH118" i="91"/>
  <c r="KL119" i="91"/>
  <c r="KD119" i="91"/>
  <c r="KC119" i="91"/>
  <c r="KM119" i="91"/>
  <c r="KD122" i="91"/>
  <c r="LX121" i="91"/>
  <c r="LW121" i="91"/>
  <c r="ME121" i="91"/>
  <c r="MF121" i="91"/>
  <c r="LV123" i="91"/>
  <c r="MD123" i="91"/>
  <c r="LW123" i="91"/>
  <c r="KI123" i="91"/>
  <c r="JZ123" i="91"/>
  <c r="KJ123" i="91"/>
  <c r="KL135" i="91"/>
  <c r="KB135" i="91"/>
  <c r="KK135" i="91"/>
  <c r="EI283" i="91"/>
  <c r="MD134" i="91"/>
  <c r="LU134" i="91"/>
  <c r="MC134" i="91"/>
  <c r="HR138" i="91"/>
  <c r="IE138" i="91"/>
  <c r="IK108" i="91"/>
  <c r="IJ122" i="91"/>
  <c r="HW130" i="91"/>
  <c r="HX130" i="91"/>
  <c r="IJ130" i="91"/>
  <c r="IK130" i="91"/>
  <c r="FQ166" i="91"/>
  <c r="FQ220" i="91"/>
  <c r="HK145" i="91"/>
  <c r="K93" i="1" s="1"/>
  <c r="KN145" i="91"/>
  <c r="FZ166" i="91"/>
  <c r="FZ220" i="91"/>
  <c r="KE151" i="91"/>
  <c r="KN151" i="91"/>
  <c r="KF151" i="91"/>
  <c r="KO151" i="91"/>
  <c r="KC143" i="91"/>
  <c r="KL143" i="91"/>
  <c r="FD166" i="91"/>
  <c r="FD220" i="91"/>
  <c r="KE144" i="91"/>
  <c r="GD166" i="91"/>
  <c r="GD220" i="91"/>
  <c r="MC143" i="91"/>
  <c r="LU143" i="91"/>
  <c r="HX146" i="91"/>
  <c r="IC146" i="91"/>
  <c r="IL146" i="91"/>
  <c r="IA146" i="91"/>
  <c r="IN146" i="91"/>
  <c r="IK146" i="91"/>
  <c r="MC142" i="91"/>
  <c r="MD142" i="91"/>
  <c r="LU142" i="91"/>
  <c r="HI145" i="91"/>
  <c r="KJ149" i="91"/>
  <c r="HV150" i="91"/>
  <c r="II150" i="91"/>
  <c r="GA166" i="91"/>
  <c r="GA220" i="91"/>
  <c r="IN160" i="91"/>
  <c r="HX160" i="91"/>
  <c r="IK160" i="91"/>
  <c r="IA160" i="91"/>
  <c r="IL160" i="91"/>
  <c r="IC160" i="91"/>
  <c r="FG166" i="91"/>
  <c r="FG220" i="91"/>
  <c r="HW156" i="91"/>
  <c r="IJ156" i="91"/>
  <c r="IJ150" i="91"/>
  <c r="LS158" i="91"/>
  <c r="MB158" i="91"/>
  <c r="LT158" i="91"/>
  <c r="MA158" i="91"/>
  <c r="KF164" i="91"/>
  <c r="KO164" i="91"/>
  <c r="KN164" i="91"/>
  <c r="KE164" i="91"/>
  <c r="KD150" i="91"/>
  <c r="IH161" i="91"/>
  <c r="HU161" i="91"/>
  <c r="MD162" i="91"/>
  <c r="LV162" i="91"/>
  <c r="KB180" i="91"/>
  <c r="KK180" i="91"/>
  <c r="KC180" i="91"/>
  <c r="LW156" i="91"/>
  <c r="MC162" i="91"/>
  <c r="KD180" i="91"/>
  <c r="KM180" i="91"/>
  <c r="KB176" i="91"/>
  <c r="KK176" i="91"/>
  <c r="II182" i="91"/>
  <c r="HV182" i="91"/>
  <c r="HV181" i="91"/>
  <c r="II181" i="91"/>
  <c r="KF181" i="91"/>
  <c r="KN181" i="91"/>
  <c r="KE181" i="91"/>
  <c r="KO181" i="91"/>
  <c r="HK193" i="91"/>
  <c r="K122" i="1" s="1"/>
  <c r="K177" i="1" s="1"/>
  <c r="MC197" i="91"/>
  <c r="LU197" i="91"/>
  <c r="MD193" i="91"/>
  <c r="II191" i="91"/>
  <c r="HV191" i="91"/>
  <c r="IK194" i="91"/>
  <c r="HX194" i="91"/>
  <c r="IA194" i="91"/>
  <c r="IL194" i="91"/>
  <c r="IC194" i="91"/>
  <c r="IN194" i="91"/>
  <c r="IJ206" i="91"/>
  <c r="FE202" i="91"/>
  <c r="FE218" i="91" s="1"/>
  <c r="FE220" i="91"/>
  <c r="KN188" i="91"/>
  <c r="HV194" i="91"/>
  <c r="HH196" i="91"/>
  <c r="HU196" i="91" s="1"/>
  <c r="EO202" i="91"/>
  <c r="EO218" i="91" s="1"/>
  <c r="MC193" i="91"/>
  <c r="LU193" i="91"/>
  <c r="MF196" i="91"/>
  <c r="LX196" i="91"/>
  <c r="GN112" i="88"/>
  <c r="M52" i="77"/>
  <c r="M215" i="3" l="1"/>
  <c r="M145" i="1"/>
  <c r="N145" i="1"/>
  <c r="M191" i="3"/>
  <c r="M139" i="1"/>
  <c r="N139" i="1"/>
  <c r="M199" i="3"/>
  <c r="M143" i="1"/>
  <c r="N143" i="1"/>
  <c r="M192" i="3"/>
  <c r="M140" i="1"/>
  <c r="N140" i="1"/>
  <c r="M219" i="3"/>
  <c r="M149" i="1"/>
  <c r="N149" i="1"/>
  <c r="M220" i="3"/>
  <c r="M150" i="1"/>
  <c r="N150" i="1"/>
  <c r="M327" i="3"/>
  <c r="M176" i="1"/>
  <c r="N176" i="1"/>
  <c r="M316" i="3"/>
  <c r="M166" i="1"/>
  <c r="M165" i="1" s="1"/>
  <c r="N166" i="1"/>
  <c r="N165" i="1" s="1"/>
  <c r="N181" i="1"/>
  <c r="M217" i="3"/>
  <c r="M147" i="1"/>
  <c r="N147" i="1"/>
  <c r="O54" i="3"/>
  <c r="M54" i="3"/>
  <c r="M244" i="3"/>
  <c r="N272" i="3"/>
  <c r="M230" i="3"/>
  <c r="O230" i="3" s="1"/>
  <c r="M270" i="3"/>
  <c r="M242" i="3"/>
  <c r="N270" i="3"/>
  <c r="N97" i="3"/>
  <c r="O97" i="3" s="1"/>
  <c r="M190" i="3"/>
  <c r="M267" i="3"/>
  <c r="M239" i="3"/>
  <c r="N267" i="3"/>
  <c r="FL223" i="91"/>
  <c r="FL230" i="91" s="1"/>
  <c r="FL235" i="91" s="1"/>
  <c r="FL238" i="91" s="1"/>
  <c r="FL240" i="91" s="1"/>
  <c r="LX83" i="91"/>
  <c r="M272" i="3"/>
  <c r="FQ223" i="91"/>
  <c r="FQ230" i="91" s="1"/>
  <c r="FQ235" i="91" s="1"/>
  <c r="FQ238" i="91" s="1"/>
  <c r="FQ240" i="91" s="1"/>
  <c r="IE202" i="91"/>
  <c r="HE218" i="91"/>
  <c r="HD220" i="91"/>
  <c r="HY21" i="91"/>
  <c r="HZ21" i="91"/>
  <c r="HY63" i="91"/>
  <c r="HZ63" i="91"/>
  <c r="HY84" i="91"/>
  <c r="HZ84" i="91"/>
  <c r="M211" i="3"/>
  <c r="M100" i="1"/>
  <c r="HY179" i="91"/>
  <c r="HY47" i="91"/>
  <c r="HZ47" i="91"/>
  <c r="HY158" i="91"/>
  <c r="HZ158" i="91"/>
  <c r="HY92" i="91"/>
  <c r="HZ92" i="91"/>
  <c r="HY87" i="91"/>
  <c r="HZ87" i="91"/>
  <c r="HY15" i="91"/>
  <c r="HZ15" i="91"/>
  <c r="M48" i="1"/>
  <c r="HY67" i="91"/>
  <c r="M47" i="1"/>
  <c r="M248" i="3" s="1"/>
  <c r="HY64" i="91"/>
  <c r="M253" i="3"/>
  <c r="M257" i="3" s="1"/>
  <c r="M32" i="1"/>
  <c r="M122" i="1"/>
  <c r="HY193" i="91"/>
  <c r="M55" i="1"/>
  <c r="M92" i="3" s="1"/>
  <c r="HY78" i="91"/>
  <c r="M119" i="1"/>
  <c r="HY169" i="91"/>
  <c r="HY42" i="91"/>
  <c r="M92" i="1"/>
  <c r="HY141" i="91"/>
  <c r="M81" i="1"/>
  <c r="M195" i="3" s="1"/>
  <c r="M194" i="3" s="1"/>
  <c r="HY125" i="91"/>
  <c r="M113" i="1"/>
  <c r="HY176" i="91"/>
  <c r="M93" i="1"/>
  <c r="HY145" i="91"/>
  <c r="M121" i="1"/>
  <c r="HY196" i="91"/>
  <c r="M116" i="1"/>
  <c r="HY183" i="91"/>
  <c r="M60" i="1"/>
  <c r="M102" i="3" s="1"/>
  <c r="HY99" i="91"/>
  <c r="HY31" i="91"/>
  <c r="LV193" i="91"/>
  <c r="EK60" i="91"/>
  <c r="GE220" i="91"/>
  <c r="EK202" i="91"/>
  <c r="EK218" i="91" s="1"/>
  <c r="KN196" i="91"/>
  <c r="JY202" i="91"/>
  <c r="IL76" i="91"/>
  <c r="IK76" i="91"/>
  <c r="IS22" i="91"/>
  <c r="IS85" i="91"/>
  <c r="IS53" i="91"/>
  <c r="LU83" i="91"/>
  <c r="IS29" i="91"/>
  <c r="MC176" i="91"/>
  <c r="IS31" i="91"/>
  <c r="IS11" i="91"/>
  <c r="KT31" i="91"/>
  <c r="IS33" i="91"/>
  <c r="IP39" i="91"/>
  <c r="IS58" i="91"/>
  <c r="IQ85" i="91"/>
  <c r="IQ23" i="91"/>
  <c r="FT105" i="91"/>
  <c r="FT106" i="91" s="1"/>
  <c r="IQ50" i="91"/>
  <c r="IQ32" i="91"/>
  <c r="IQ58" i="91"/>
  <c r="IQ64" i="91"/>
  <c r="IQ18" i="91"/>
  <c r="IQ54" i="91"/>
  <c r="IQ43" i="91"/>
  <c r="IQ55" i="91"/>
  <c r="IQ12" i="91"/>
  <c r="ER220" i="91"/>
  <c r="IQ25" i="91"/>
  <c r="IQ24" i="91"/>
  <c r="IQ35" i="91"/>
  <c r="IQ16" i="91"/>
  <c r="IQ14" i="91"/>
  <c r="IQ99" i="91"/>
  <c r="IQ30" i="91"/>
  <c r="IQ84" i="91"/>
  <c r="IQ37" i="91"/>
  <c r="IQ49" i="91"/>
  <c r="IQ21" i="91"/>
  <c r="IQ92" i="91"/>
  <c r="IQ90" i="91"/>
  <c r="IQ36" i="91"/>
  <c r="HA220" i="91"/>
  <c r="K121" i="1"/>
  <c r="KE169" i="91"/>
  <c r="IQ77" i="91"/>
  <c r="IQ42" i="91"/>
  <c r="IQ63" i="91"/>
  <c r="IQ86" i="91"/>
  <c r="IQ22" i="91"/>
  <c r="IK196" i="91"/>
  <c r="EH277" i="91"/>
  <c r="MC42" i="91"/>
  <c r="HJ190" i="91"/>
  <c r="HW190" i="91" s="1"/>
  <c r="GA105" i="91"/>
  <c r="KL193" i="91"/>
  <c r="FV105" i="91"/>
  <c r="FV109" i="91" s="1"/>
  <c r="EM40" i="91"/>
  <c r="KB78" i="91"/>
  <c r="KC78" i="91"/>
  <c r="HI42" i="91"/>
  <c r="HL190" i="91"/>
  <c r="IL190" i="91" s="1"/>
  <c r="HI190" i="91"/>
  <c r="LW169" i="91"/>
  <c r="MD190" i="91"/>
  <c r="JA40" i="91"/>
  <c r="GR202" i="91"/>
  <c r="GR218" i="91" s="1"/>
  <c r="JY218" i="91"/>
  <c r="HL168" i="91"/>
  <c r="IA168" i="91" s="1"/>
  <c r="IH176" i="91"/>
  <c r="GV74" i="91"/>
  <c r="GE202" i="91"/>
  <c r="GE218" i="91" s="1"/>
  <c r="GG60" i="91"/>
  <c r="GG61" i="91" s="1"/>
  <c r="EJ40" i="91"/>
  <c r="LT83" i="91"/>
  <c r="IH183" i="91"/>
  <c r="MC183" i="91"/>
  <c r="MC83" i="91"/>
  <c r="GJ220" i="91"/>
  <c r="HJ42" i="91"/>
  <c r="KL42" i="91"/>
  <c r="HU176" i="91"/>
  <c r="GM60" i="91"/>
  <c r="GM74" i="91" s="1"/>
  <c r="II176" i="91"/>
  <c r="HJ168" i="91"/>
  <c r="EI220" i="91"/>
  <c r="FO105" i="91"/>
  <c r="FG105" i="91"/>
  <c r="FG109" i="91" s="1"/>
  <c r="LU92" i="91"/>
  <c r="MD176" i="91"/>
  <c r="KT17" i="91"/>
  <c r="GD223" i="91"/>
  <c r="GD230" i="91" s="1"/>
  <c r="GD235" i="91" s="1"/>
  <c r="GD238" i="91" s="1"/>
  <c r="GD240" i="91" s="1"/>
  <c r="GD61" i="91"/>
  <c r="EL277" i="91"/>
  <c r="GG166" i="91"/>
  <c r="GK220" i="91"/>
  <c r="HX78" i="91"/>
  <c r="HV158" i="91"/>
  <c r="EL278" i="91"/>
  <c r="KE190" i="91"/>
  <c r="KT30" i="91"/>
  <c r="GD74" i="91"/>
  <c r="IR88" i="91"/>
  <c r="KT69" i="91"/>
  <c r="EQ202" i="91"/>
  <c r="EQ218" i="91" s="1"/>
  <c r="HW78" i="91"/>
  <c r="IR46" i="91"/>
  <c r="IR45" i="91"/>
  <c r="GO220" i="91"/>
  <c r="FP105" i="91"/>
  <c r="FP106" i="91" s="1"/>
  <c r="FY75" i="91"/>
  <c r="IQ83" i="91"/>
  <c r="IQ52" i="91"/>
  <c r="IQ33" i="91"/>
  <c r="IQ27" i="91"/>
  <c r="GP220" i="91"/>
  <c r="FI74" i="91"/>
  <c r="LV176" i="91"/>
  <c r="KM78" i="91"/>
  <c r="IQ45" i="91"/>
  <c r="IQ108" i="91"/>
  <c r="IQ82" i="91"/>
  <c r="IQ56" i="91"/>
  <c r="IQ34" i="91"/>
  <c r="IQ17" i="91"/>
  <c r="HK63" i="91"/>
  <c r="IJ63" i="91" s="1"/>
  <c r="GX220" i="91"/>
  <c r="IQ68" i="91"/>
  <c r="IQ101" i="91"/>
  <c r="IQ66" i="91"/>
  <c r="IQ48" i="91"/>
  <c r="IQ31" i="91"/>
  <c r="IQ11" i="91"/>
  <c r="LU77" i="91"/>
  <c r="GC105" i="91"/>
  <c r="GC106" i="91" s="1"/>
  <c r="EQ60" i="91"/>
  <c r="EQ61" i="91" s="1"/>
  <c r="KC193" i="91"/>
  <c r="IQ100" i="91"/>
  <c r="IQ78" i="91"/>
  <c r="IQ46" i="91"/>
  <c r="IQ29" i="91"/>
  <c r="IE11" i="91"/>
  <c r="FI223" i="91"/>
  <c r="FI230" i="91" s="1"/>
  <c r="FI235" i="91" s="1"/>
  <c r="FI238" i="91" s="1"/>
  <c r="FI240" i="91" s="1"/>
  <c r="GK202" i="91"/>
  <c r="GK218" i="91" s="1"/>
  <c r="IQ88" i="91"/>
  <c r="IQ44" i="91"/>
  <c r="IQ93" i="91"/>
  <c r="IQ67" i="91"/>
  <c r="IQ47" i="91"/>
  <c r="IQ28" i="91"/>
  <c r="MH60" i="91"/>
  <c r="GK60" i="91"/>
  <c r="GK74" i="91" s="1"/>
  <c r="GF220" i="91"/>
  <c r="LW168" i="91"/>
  <c r="IN176" i="91"/>
  <c r="KL78" i="91"/>
  <c r="KE196" i="91"/>
  <c r="IS47" i="91"/>
  <c r="IN78" i="91"/>
  <c r="KU31" i="91"/>
  <c r="IS63" i="91"/>
  <c r="IS99" i="91"/>
  <c r="IS24" i="91"/>
  <c r="IS64" i="91"/>
  <c r="IS68" i="91"/>
  <c r="IS48" i="91"/>
  <c r="IS28" i="91"/>
  <c r="GV220" i="91"/>
  <c r="FX105" i="91"/>
  <c r="FX111" i="91" s="1"/>
  <c r="FX112" i="91" s="1"/>
  <c r="KO196" i="91"/>
  <c r="KJ14" i="91"/>
  <c r="EP278" i="91"/>
  <c r="IS23" i="91"/>
  <c r="IS35" i="91"/>
  <c r="IS25" i="91"/>
  <c r="IS102" i="91"/>
  <c r="IS69" i="91"/>
  <c r="IS54" i="91"/>
  <c r="IS32" i="91"/>
  <c r="HB220" i="91"/>
  <c r="EJ202" i="91"/>
  <c r="EJ218" i="91" s="1"/>
  <c r="LV92" i="91"/>
  <c r="KU84" i="91"/>
  <c r="KA14" i="91"/>
  <c r="IS108" i="91"/>
  <c r="KI14" i="91"/>
  <c r="IS51" i="91"/>
  <c r="IS92" i="91"/>
  <c r="IS49" i="91"/>
  <c r="IS103" i="91"/>
  <c r="IS56" i="91"/>
  <c r="IS44" i="91"/>
  <c r="IS30" i="91"/>
  <c r="IS78" i="91"/>
  <c r="IS87" i="91"/>
  <c r="IS66" i="91"/>
  <c r="IS101" i="91"/>
  <c r="IS65" i="91"/>
  <c r="IS43" i="91"/>
  <c r="IS27" i="91"/>
  <c r="FL111" i="91"/>
  <c r="FL112" i="91" s="1"/>
  <c r="MD92" i="91"/>
  <c r="EP60" i="91"/>
  <c r="EP61" i="91" s="1"/>
  <c r="GN60" i="91"/>
  <c r="GN61" i="91" s="1"/>
  <c r="FP109" i="91"/>
  <c r="GW74" i="91"/>
  <c r="IS14" i="91"/>
  <c r="IS89" i="91"/>
  <c r="IS34" i="91"/>
  <c r="IS67" i="91"/>
  <c r="IS86" i="91"/>
  <c r="IS55" i="91"/>
  <c r="IS37" i="91"/>
  <c r="IS19" i="91"/>
  <c r="FL109" i="91"/>
  <c r="KD78" i="91"/>
  <c r="GT220" i="91"/>
  <c r="IS21" i="91"/>
  <c r="IS18" i="91"/>
  <c r="IS93" i="91"/>
  <c r="IS46" i="91"/>
  <c r="IS82" i="91"/>
  <c r="IS88" i="91"/>
  <c r="IS57" i="91"/>
  <c r="IS45" i="91"/>
  <c r="IS16" i="91"/>
  <c r="IS42" i="91"/>
  <c r="IS84" i="91"/>
  <c r="IS17" i="91"/>
  <c r="IS100" i="91"/>
  <c r="IS52" i="91"/>
  <c r="IS13" i="91"/>
  <c r="IS90" i="91"/>
  <c r="IS50" i="91"/>
  <c r="IS36" i="91"/>
  <c r="GU61" i="91"/>
  <c r="GU74" i="91"/>
  <c r="ES220" i="91"/>
  <c r="GS166" i="91"/>
  <c r="HX176" i="91"/>
  <c r="GQ220" i="91"/>
  <c r="IC176" i="91"/>
  <c r="EJ220" i="91"/>
  <c r="LX63" i="91"/>
  <c r="IL176" i="91"/>
  <c r="GH220" i="91"/>
  <c r="MF63" i="91"/>
  <c r="IK176" i="91"/>
  <c r="LW63" i="91"/>
  <c r="IA176" i="91"/>
  <c r="KN87" i="91"/>
  <c r="EJ277" i="91"/>
  <c r="FH61" i="91"/>
  <c r="JZ77" i="91"/>
  <c r="EJ278" i="91"/>
  <c r="HG77" i="91"/>
  <c r="HS77" i="91" s="1"/>
  <c r="KO87" i="91"/>
  <c r="JT64" i="91"/>
  <c r="EM220" i="91"/>
  <c r="LU183" i="91"/>
  <c r="GU202" i="91"/>
  <c r="GU218" i="91" s="1"/>
  <c r="GX74" i="91"/>
  <c r="GX75" i="91" s="1"/>
  <c r="FQ105" i="91"/>
  <c r="FQ111" i="91" s="1"/>
  <c r="FQ112" i="91" s="1"/>
  <c r="FH223" i="91"/>
  <c r="FH230" i="91" s="1"/>
  <c r="FH235" i="91" s="1"/>
  <c r="FH238" i="91" s="1"/>
  <c r="FH240" i="91" s="1"/>
  <c r="JO47" i="91"/>
  <c r="HK83" i="91"/>
  <c r="K57" i="1" s="1"/>
  <c r="GV166" i="91"/>
  <c r="FM75" i="91"/>
  <c r="KT85" i="91"/>
  <c r="IR66" i="91"/>
  <c r="IR67" i="91"/>
  <c r="IR43" i="91"/>
  <c r="KT84" i="91"/>
  <c r="IR15" i="91"/>
  <c r="GY220" i="91"/>
  <c r="KT86" i="91"/>
  <c r="GF60" i="91"/>
  <c r="GF61" i="91" s="1"/>
  <c r="GM220" i="91"/>
  <c r="KT43" i="91"/>
  <c r="KT45" i="91"/>
  <c r="KT26" i="91"/>
  <c r="HG40" i="91"/>
  <c r="HM83" i="91"/>
  <c r="HZ83" i="91" s="1"/>
  <c r="KT39" i="91"/>
  <c r="IA169" i="91"/>
  <c r="EN277" i="91"/>
  <c r="HX169" i="91"/>
  <c r="MF84" i="91"/>
  <c r="EN278" i="91"/>
  <c r="IL169" i="91"/>
  <c r="IN169" i="91"/>
  <c r="GZ166" i="91"/>
  <c r="IC169" i="91"/>
  <c r="GY202" i="91"/>
  <c r="GY218" i="91" s="1"/>
  <c r="IK169" i="91"/>
  <c r="FH75" i="91"/>
  <c r="FH105" i="91"/>
  <c r="KT82" i="91"/>
  <c r="KT90" i="91"/>
  <c r="KT14" i="91"/>
  <c r="IR68" i="91"/>
  <c r="IR36" i="91"/>
  <c r="IF11" i="91"/>
  <c r="GR220" i="91"/>
  <c r="IR54" i="91"/>
  <c r="HV78" i="91"/>
  <c r="KT68" i="91"/>
  <c r="KT65" i="91"/>
  <c r="IR57" i="91"/>
  <c r="IR32" i="91"/>
  <c r="KU87" i="91"/>
  <c r="KT56" i="91"/>
  <c r="IR31" i="91"/>
  <c r="IR18" i="91"/>
  <c r="KT66" i="91"/>
  <c r="KT33" i="91"/>
  <c r="KT15" i="91"/>
  <c r="KT32" i="91"/>
  <c r="IR84" i="91"/>
  <c r="IC76" i="91"/>
  <c r="LW21" i="91"/>
  <c r="KT101" i="91"/>
  <c r="KT27" i="91"/>
  <c r="KU14" i="91"/>
  <c r="IR93" i="91"/>
  <c r="IR21" i="91"/>
  <c r="EI60" i="91"/>
  <c r="EI61" i="91" s="1"/>
  <c r="HT14" i="91"/>
  <c r="IR102" i="91"/>
  <c r="IR56" i="91"/>
  <c r="IR33" i="91"/>
  <c r="HS11" i="91"/>
  <c r="IR47" i="91"/>
  <c r="KT24" i="91"/>
  <c r="IR19" i="91"/>
  <c r="IR29" i="91"/>
  <c r="KT108" i="91"/>
  <c r="KT46" i="91"/>
  <c r="KU47" i="91"/>
  <c r="IR34" i="91"/>
  <c r="KT29" i="91"/>
  <c r="KT57" i="91"/>
  <c r="IR39" i="91"/>
  <c r="KT51" i="91"/>
  <c r="KT36" i="91"/>
  <c r="KT12" i="91"/>
  <c r="IR89" i="91"/>
  <c r="IN76" i="91"/>
  <c r="EI166" i="91"/>
  <c r="KT99" i="91"/>
  <c r="IR35" i="91"/>
  <c r="HS14" i="91"/>
  <c r="ER40" i="91"/>
  <c r="IG14" i="91"/>
  <c r="IR90" i="91"/>
  <c r="IR52" i="91"/>
  <c r="IR22" i="91"/>
  <c r="IR12" i="91"/>
  <c r="L13" i="1"/>
  <c r="KT22" i="91"/>
  <c r="KT54" i="91"/>
  <c r="IL78" i="91"/>
  <c r="KT53" i="91"/>
  <c r="KT52" i="91"/>
  <c r="KT34" i="91"/>
  <c r="KT11" i="91"/>
  <c r="LR202" i="91"/>
  <c r="IR100" i="91"/>
  <c r="KU78" i="91"/>
  <c r="KT67" i="91"/>
  <c r="IR69" i="91"/>
  <c r="IR13" i="91"/>
  <c r="KT48" i="91"/>
  <c r="KT19" i="91"/>
  <c r="IR14" i="91"/>
  <c r="IR16" i="91"/>
  <c r="IR86" i="91"/>
  <c r="IR55" i="91"/>
  <c r="IR24" i="91"/>
  <c r="IR11" i="91"/>
  <c r="EQ220" i="91"/>
  <c r="KT88" i="91"/>
  <c r="IR65" i="91"/>
  <c r="KT21" i="91"/>
  <c r="KT103" i="91"/>
  <c r="GW166" i="91"/>
  <c r="IC78" i="91"/>
  <c r="GU220" i="91"/>
  <c r="KU86" i="91"/>
  <c r="KT50" i="91"/>
  <c r="KT28" i="91"/>
  <c r="KI11" i="91"/>
  <c r="LZ202" i="91"/>
  <c r="GS74" i="91"/>
  <c r="GS75" i="91" s="1"/>
  <c r="IR30" i="91"/>
  <c r="HK139" i="91"/>
  <c r="IR49" i="91"/>
  <c r="IR101" i="91"/>
  <c r="IR27" i="91"/>
  <c r="IR78" i="91"/>
  <c r="IR50" i="91"/>
  <c r="IR23" i="91"/>
  <c r="IG11" i="91"/>
  <c r="HR202" i="91"/>
  <c r="KT93" i="91"/>
  <c r="II78" i="91"/>
  <c r="KT55" i="91"/>
  <c r="IJ78" i="91"/>
  <c r="IR37" i="91"/>
  <c r="KT100" i="91"/>
  <c r="KT58" i="91"/>
  <c r="IR103" i="91"/>
  <c r="IK78" i="91"/>
  <c r="KU21" i="91"/>
  <c r="IR58" i="91"/>
  <c r="KT44" i="91"/>
  <c r="KT25" i="91"/>
  <c r="JZ11" i="91"/>
  <c r="IR108" i="91"/>
  <c r="KT13" i="91"/>
  <c r="IR53" i="91"/>
  <c r="IR28" i="91"/>
  <c r="EM166" i="91"/>
  <c r="EH60" i="91"/>
  <c r="EH61" i="91" s="1"/>
  <c r="IR85" i="91"/>
  <c r="IR51" i="91"/>
  <c r="IR25" i="91"/>
  <c r="IL64" i="91"/>
  <c r="HT11" i="91"/>
  <c r="KT16" i="91"/>
  <c r="KT35" i="91"/>
  <c r="KT78" i="91"/>
  <c r="IA78" i="91"/>
  <c r="IR48" i="91"/>
  <c r="HJ21" i="91"/>
  <c r="KT49" i="91"/>
  <c r="KT102" i="91"/>
  <c r="KT37" i="91"/>
  <c r="KT18" i="91"/>
  <c r="KT23" i="91"/>
  <c r="IR82" i="91"/>
  <c r="IR44" i="91"/>
  <c r="IA64" i="91"/>
  <c r="KN169" i="91"/>
  <c r="GF166" i="91"/>
  <c r="IH31" i="91"/>
  <c r="MI74" i="91"/>
  <c r="GB111" i="91"/>
  <c r="GB112" i="91" s="1"/>
  <c r="M28" i="3"/>
  <c r="ML31" i="91"/>
  <c r="KO169" i="91"/>
  <c r="GB109" i="91"/>
  <c r="GL202" i="91"/>
  <c r="GL218" i="91" s="1"/>
  <c r="KJ47" i="91"/>
  <c r="LW196" i="91"/>
  <c r="KA47" i="91"/>
  <c r="EO166" i="91"/>
  <c r="ML83" i="91"/>
  <c r="KT47" i="91"/>
  <c r="HI63" i="91"/>
  <c r="IH63" i="91" s="1"/>
  <c r="LX139" i="91"/>
  <c r="HE60" i="91"/>
  <c r="HD60" i="91"/>
  <c r="HD61" i="91" s="1"/>
  <c r="GX166" i="91"/>
  <c r="KK63" i="91"/>
  <c r="IC87" i="91"/>
  <c r="GP60" i="91"/>
  <c r="GP61" i="91" s="1"/>
  <c r="IN145" i="91"/>
  <c r="LU139" i="91"/>
  <c r="L90" i="1"/>
  <c r="L89" i="1" s="1"/>
  <c r="L250" i="3" s="1"/>
  <c r="IL145" i="91"/>
  <c r="HI139" i="91"/>
  <c r="HU139" i="91" s="1"/>
  <c r="M13" i="1"/>
  <c r="KD149" i="91"/>
  <c r="JP42" i="91"/>
  <c r="JS42" i="91" s="1"/>
  <c r="IA145" i="91"/>
  <c r="IC145" i="91"/>
  <c r="KF42" i="91"/>
  <c r="HB166" i="91"/>
  <c r="GP166" i="91"/>
  <c r="IL87" i="91"/>
  <c r="LV158" i="91"/>
  <c r="FS105" i="91"/>
  <c r="KL169" i="91"/>
  <c r="HA74" i="91"/>
  <c r="HA75" i="91" s="1"/>
  <c r="HW196" i="91"/>
  <c r="MD169" i="91"/>
  <c r="HK168" i="91"/>
  <c r="KE21" i="91"/>
  <c r="MJ15" i="91"/>
  <c r="GE40" i="91"/>
  <c r="GH40" i="91"/>
  <c r="IN64" i="91"/>
  <c r="GZ74" i="91"/>
  <c r="GZ105" i="91" s="1"/>
  <c r="KN168" i="91"/>
  <c r="HK21" i="91"/>
  <c r="HX21" i="91" s="1"/>
  <c r="LB75" i="91"/>
  <c r="MH74" i="91"/>
  <c r="KK14" i="91"/>
  <c r="GN166" i="91"/>
  <c r="GO202" i="91"/>
  <c r="GO218" i="91" s="1"/>
  <c r="IA87" i="91"/>
  <c r="EL60" i="91"/>
  <c r="EL61" i="91" s="1"/>
  <c r="EQ166" i="91"/>
  <c r="IC64" i="91"/>
  <c r="GY74" i="91"/>
  <c r="GY105" i="91" s="1"/>
  <c r="EN60" i="91"/>
  <c r="EN61" i="91" s="1"/>
  <c r="MD158" i="91"/>
  <c r="LU21" i="91"/>
  <c r="KM196" i="91"/>
  <c r="K32" i="1"/>
  <c r="EI278" i="91"/>
  <c r="KU108" i="91"/>
  <c r="KN63" i="91"/>
  <c r="HX208" i="91"/>
  <c r="K130" i="1"/>
  <c r="L248" i="3"/>
  <c r="EH220" i="91"/>
  <c r="EP220" i="91"/>
  <c r="KM179" i="91"/>
  <c r="KC176" i="91"/>
  <c r="HJ202" i="91"/>
  <c r="EI277" i="91"/>
  <c r="GH166" i="91"/>
  <c r="II158" i="91"/>
  <c r="EH166" i="91"/>
  <c r="GI220" i="91"/>
  <c r="ML14" i="91"/>
  <c r="MF169" i="91"/>
  <c r="LX169" i="91"/>
  <c r="FG111" i="91"/>
  <c r="FG112" i="91" s="1"/>
  <c r="FW106" i="91"/>
  <c r="FW111" i="91"/>
  <c r="FW112" i="91" s="1"/>
  <c r="FW109" i="91"/>
  <c r="FO111" i="91"/>
  <c r="FO112" i="91" s="1"/>
  <c r="FO106" i="91"/>
  <c r="FO109" i="91"/>
  <c r="MC149" i="91"/>
  <c r="LU149" i="91"/>
  <c r="EP202" i="91"/>
  <c r="EP218" i="91" s="1"/>
  <c r="KF158" i="91"/>
  <c r="KO158" i="91"/>
  <c r="IH149" i="91"/>
  <c r="HU149" i="91"/>
  <c r="IN158" i="91"/>
  <c r="IL158" i="91"/>
  <c r="IA158" i="91"/>
  <c r="IC158" i="91"/>
  <c r="KB149" i="91"/>
  <c r="KK149" i="91"/>
  <c r="IJ145" i="91"/>
  <c r="HW145" i="91"/>
  <c r="IG117" i="91"/>
  <c r="HT117" i="91"/>
  <c r="KF67" i="91"/>
  <c r="KO67" i="91"/>
  <c r="KE67" i="91"/>
  <c r="KN67" i="91"/>
  <c r="HM190" i="91"/>
  <c r="HT183" i="91"/>
  <c r="IG183" i="91"/>
  <c r="HT168" i="91"/>
  <c r="IG168" i="91"/>
  <c r="IC141" i="91"/>
  <c r="IL141" i="91"/>
  <c r="IN141" i="91"/>
  <c r="IA141" i="91"/>
  <c r="IK141" i="91"/>
  <c r="HX141" i="91"/>
  <c r="EK61" i="91"/>
  <c r="EK74" i="91"/>
  <c r="EK105" i="91" s="1"/>
  <c r="HW183" i="91"/>
  <c r="IJ183" i="91"/>
  <c r="HH166" i="91"/>
  <c r="KC149" i="91"/>
  <c r="KL149" i="91"/>
  <c r="HG138" i="91"/>
  <c r="KB42" i="91"/>
  <c r="KK42" i="91"/>
  <c r="KC64" i="91"/>
  <c r="KL64" i="91"/>
  <c r="LU125" i="91"/>
  <c r="MC125" i="91"/>
  <c r="KE47" i="91"/>
  <c r="KN47" i="91"/>
  <c r="KO47" i="91"/>
  <c r="KF47" i="91"/>
  <c r="KF21" i="91"/>
  <c r="KO21" i="91"/>
  <c r="KO190" i="91"/>
  <c r="KF190" i="91"/>
  <c r="II125" i="91"/>
  <c r="HV125" i="91"/>
  <c r="IJ87" i="91"/>
  <c r="HW87" i="91"/>
  <c r="KF193" i="91"/>
  <c r="KO193" i="91"/>
  <c r="KE193" i="91"/>
  <c r="KN193" i="91"/>
  <c r="ME158" i="91"/>
  <c r="LX158" i="91"/>
  <c r="MF158" i="91"/>
  <c r="LW158" i="91"/>
  <c r="LV145" i="91"/>
  <c r="MD145" i="91"/>
  <c r="HJ92" i="91"/>
  <c r="IJ92" i="91" s="1"/>
  <c r="KC67" i="91"/>
  <c r="KL67" i="91"/>
  <c r="IH196" i="91"/>
  <c r="KL158" i="91"/>
  <c r="HU141" i="91"/>
  <c r="IH141" i="91"/>
  <c r="KE92" i="91"/>
  <c r="KN92" i="91"/>
  <c r="KO92" i="91"/>
  <c r="KF92" i="91"/>
  <c r="KL47" i="91"/>
  <c r="KC47" i="91"/>
  <c r="MC15" i="91"/>
  <c r="LU15" i="91"/>
  <c r="GR61" i="91"/>
  <c r="GR74" i="91"/>
  <c r="KA11" i="91"/>
  <c r="KJ11" i="91"/>
  <c r="KU11" i="91"/>
  <c r="KU12" i="91"/>
  <c r="KU13" i="91"/>
  <c r="KU16" i="91"/>
  <c r="KU19" i="91"/>
  <c r="KU22" i="91"/>
  <c r="KU25" i="91"/>
  <c r="KU24" i="91"/>
  <c r="KU23" i="91"/>
  <c r="KU27" i="91"/>
  <c r="KU26" i="91"/>
  <c r="KU32" i="91"/>
  <c r="KU29" i="91"/>
  <c r="KU28" i="91"/>
  <c r="KU43" i="91"/>
  <c r="KU45" i="91"/>
  <c r="KU53" i="91"/>
  <c r="KU55" i="91"/>
  <c r="KU54" i="91"/>
  <c r="KU51" i="91"/>
  <c r="KU58" i="91"/>
  <c r="KU68" i="91"/>
  <c r="KU66" i="91"/>
  <c r="KU69" i="91"/>
  <c r="KU85" i="91"/>
  <c r="KU90" i="91"/>
  <c r="KU89" i="91"/>
  <c r="KU88" i="91"/>
  <c r="KU99" i="91"/>
  <c r="KU100" i="91"/>
  <c r="KU103" i="91"/>
  <c r="KU64" i="91"/>
  <c r="KU18" i="91"/>
  <c r="KU65" i="91"/>
  <c r="KU48" i="91"/>
  <c r="KU46" i="91"/>
  <c r="KU35" i="91"/>
  <c r="KU17" i="91"/>
  <c r="KU37" i="91"/>
  <c r="KU36" i="91"/>
  <c r="KU34" i="91"/>
  <c r="KU92" i="91"/>
  <c r="KU44" i="91"/>
  <c r="KU52" i="91"/>
  <c r="KU101" i="91"/>
  <c r="KU93" i="91"/>
  <c r="KU50" i="91"/>
  <c r="KU33" i="91"/>
  <c r="KU30" i="91"/>
  <c r="KU102" i="91"/>
  <c r="KU67" i="91"/>
  <c r="KU49" i="91"/>
  <c r="KU15" i="91"/>
  <c r="KU82" i="91"/>
  <c r="KU56" i="91"/>
  <c r="KU57" i="91"/>
  <c r="KE15" i="91"/>
  <c r="KN15" i="91"/>
  <c r="KF15" i="91"/>
  <c r="KO15" i="91"/>
  <c r="HX87" i="91"/>
  <c r="LW190" i="91"/>
  <c r="LX190" i="91"/>
  <c r="ME190" i="91"/>
  <c r="MF190" i="91"/>
  <c r="KE87" i="91"/>
  <c r="IJ31" i="91"/>
  <c r="LX145" i="91"/>
  <c r="ME145" i="91"/>
  <c r="LW145" i="91"/>
  <c r="MF145" i="91"/>
  <c r="LT117" i="91"/>
  <c r="MB117" i="91"/>
  <c r="LF277" i="91"/>
  <c r="LF278" i="91"/>
  <c r="KK87" i="91"/>
  <c r="KB87" i="91"/>
  <c r="IK67" i="91"/>
  <c r="IC67" i="91"/>
  <c r="IL67" i="91"/>
  <c r="IN67" i="91"/>
  <c r="HX67" i="91"/>
  <c r="IA67" i="91"/>
  <c r="LT183" i="91"/>
  <c r="MB183" i="91"/>
  <c r="LF283" i="91"/>
  <c r="HF166" i="91"/>
  <c r="HF220" i="91" s="1"/>
  <c r="MD149" i="91"/>
  <c r="LV149" i="91"/>
  <c r="JZ139" i="91"/>
  <c r="KI139" i="91"/>
  <c r="KA139" i="91"/>
  <c r="KJ139" i="91"/>
  <c r="HJ77" i="91"/>
  <c r="FQ106" i="91"/>
  <c r="HU42" i="91"/>
  <c r="IH42" i="91"/>
  <c r="KB15" i="91"/>
  <c r="KK15" i="91"/>
  <c r="GA109" i="91"/>
  <c r="GA111" i="91"/>
  <c r="GA112" i="91" s="1"/>
  <c r="GA106" i="91"/>
  <c r="II64" i="91"/>
  <c r="HV64" i="91"/>
  <c r="II42" i="91"/>
  <c r="HV42" i="91"/>
  <c r="GQ61" i="91"/>
  <c r="GQ74" i="91"/>
  <c r="HI124" i="91"/>
  <c r="HX47" i="91"/>
  <c r="IK47" i="91"/>
  <c r="IL47" i="91"/>
  <c r="IA47" i="91"/>
  <c r="IN47" i="91"/>
  <c r="IC47" i="91"/>
  <c r="IA21" i="91"/>
  <c r="IC21" i="91"/>
  <c r="IL21" i="91"/>
  <c r="IN21" i="91"/>
  <c r="LV179" i="91"/>
  <c r="MD179" i="91"/>
  <c r="LV125" i="91"/>
  <c r="MD125" i="91"/>
  <c r="IF117" i="91"/>
  <c r="HS117" i="91"/>
  <c r="HG277" i="91"/>
  <c r="HG278" i="91"/>
  <c r="MD42" i="91"/>
  <c r="LV42" i="91"/>
  <c r="JZ190" i="91"/>
  <c r="KI190" i="91"/>
  <c r="ME179" i="91"/>
  <c r="KC145" i="91"/>
  <c r="KL145" i="91"/>
  <c r="FJ111" i="91"/>
  <c r="FJ112" i="91" s="1"/>
  <c r="FJ106" i="91"/>
  <c r="FJ109" i="91"/>
  <c r="MF21" i="91"/>
  <c r="LX21" i="91"/>
  <c r="HF39" i="91"/>
  <c r="KE183" i="91"/>
  <c r="KO183" i="91"/>
  <c r="KF183" i="91"/>
  <c r="KN183" i="91"/>
  <c r="KM176" i="91"/>
  <c r="KD176" i="91"/>
  <c r="KE176" i="91"/>
  <c r="KN176" i="91"/>
  <c r="KK141" i="91"/>
  <c r="KB141" i="91"/>
  <c r="KC141" i="91"/>
  <c r="KL141" i="91"/>
  <c r="EL220" i="91"/>
  <c r="JS99" i="91"/>
  <c r="JT99" i="91"/>
  <c r="IA92" i="91"/>
  <c r="IK92" i="91"/>
  <c r="IL92" i="91"/>
  <c r="IC92" i="91"/>
  <c r="IN92" i="91"/>
  <c r="HX92" i="91"/>
  <c r="LT77" i="91"/>
  <c r="HK14" i="91"/>
  <c r="K62" i="77" s="1"/>
  <c r="GJ40" i="91"/>
  <c r="GJ60" i="91"/>
  <c r="HL14" i="91"/>
  <c r="L62" i="77" s="1"/>
  <c r="JP14" i="91"/>
  <c r="IC42" i="91"/>
  <c r="IL42" i="91"/>
  <c r="IN42" i="91"/>
  <c r="IA42" i="91"/>
  <c r="KE31" i="91"/>
  <c r="KN31" i="91"/>
  <c r="KF31" i="91"/>
  <c r="KO31" i="91"/>
  <c r="KJ183" i="91"/>
  <c r="KA183" i="91"/>
  <c r="KB183" i="91"/>
  <c r="KK183" i="91"/>
  <c r="KE141" i="91"/>
  <c r="KN141" i="91"/>
  <c r="KF141" i="91"/>
  <c r="KO141" i="91"/>
  <c r="JY137" i="91"/>
  <c r="KH137" i="91"/>
  <c r="KB208" i="91"/>
  <c r="KK208" i="91"/>
  <c r="HS139" i="91"/>
  <c r="IF139" i="91"/>
  <c r="HT139" i="91"/>
  <c r="IG139" i="91"/>
  <c r="KD99" i="91"/>
  <c r="KM99" i="91"/>
  <c r="KD84" i="91"/>
  <c r="KM84" i="91"/>
  <c r="MD84" i="91"/>
  <c r="LV84" i="91"/>
  <c r="FN106" i="91"/>
  <c r="FN109" i="91"/>
  <c r="FN111" i="91"/>
  <c r="FN112" i="91" s="1"/>
  <c r="KC31" i="91"/>
  <c r="KL31" i="91"/>
  <c r="LW141" i="91"/>
  <c r="MF141" i="91"/>
  <c r="LX141" i="91"/>
  <c r="ME141" i="91"/>
  <c r="KK125" i="91"/>
  <c r="KB125" i="91"/>
  <c r="KK67" i="91"/>
  <c r="KB67" i="91"/>
  <c r="KC15" i="91"/>
  <c r="KL15" i="91"/>
  <c r="KC179" i="91"/>
  <c r="KL179" i="91"/>
  <c r="KC125" i="91"/>
  <c r="KL125" i="91"/>
  <c r="MA117" i="91"/>
  <c r="LS117" i="91"/>
  <c r="LE277" i="91"/>
  <c r="LE278" i="91"/>
  <c r="FR106" i="91"/>
  <c r="FR109" i="91"/>
  <c r="FR111" i="91"/>
  <c r="FR112" i="91" s="1"/>
  <c r="HX193" i="91"/>
  <c r="IK193" i="91"/>
  <c r="IL193" i="91"/>
  <c r="IA193" i="91"/>
  <c r="IN193" i="91"/>
  <c r="IC193" i="91"/>
  <c r="HG202" i="91"/>
  <c r="LW179" i="91"/>
  <c r="HV145" i="91"/>
  <c r="II145" i="91"/>
  <c r="LZ11" i="91"/>
  <c r="LR11" i="91"/>
  <c r="MJ11" i="91"/>
  <c r="MJ18" i="91"/>
  <c r="MJ12" i="91"/>
  <c r="MJ13" i="91"/>
  <c r="MJ17" i="91"/>
  <c r="LS11" i="91"/>
  <c r="MJ27" i="91"/>
  <c r="MJ32" i="91"/>
  <c r="MJ34" i="91"/>
  <c r="MJ29" i="91"/>
  <c r="MJ31" i="91"/>
  <c r="MJ28" i="91"/>
  <c r="MJ33" i="91"/>
  <c r="MJ37" i="91"/>
  <c r="MJ36" i="91"/>
  <c r="MJ44" i="91"/>
  <c r="MJ46" i="91"/>
  <c r="MJ45" i="91"/>
  <c r="MJ48" i="91"/>
  <c r="MJ53" i="91"/>
  <c r="MJ50" i="91"/>
  <c r="MJ49" i="91"/>
  <c r="MJ57" i="91"/>
  <c r="MJ58" i="91"/>
  <c r="MJ64" i="91"/>
  <c r="MJ65" i="91"/>
  <c r="MJ54" i="91"/>
  <c r="MJ68" i="91"/>
  <c r="MJ67" i="91"/>
  <c r="MJ82" i="91"/>
  <c r="MJ84" i="91"/>
  <c r="MJ86" i="91"/>
  <c r="MJ92" i="91"/>
  <c r="MJ85" i="91"/>
  <c r="MJ101" i="91"/>
  <c r="MJ99" i="91"/>
  <c r="MJ100" i="91"/>
  <c r="MJ103" i="91"/>
  <c r="MJ109" i="91"/>
  <c r="MJ108" i="91"/>
  <c r="MJ87" i="91"/>
  <c r="MJ55" i="91"/>
  <c r="MJ35" i="91"/>
  <c r="MA11" i="91"/>
  <c r="MJ78" i="91"/>
  <c r="MJ42" i="91"/>
  <c r="MJ22" i="91"/>
  <c r="MJ102" i="91"/>
  <c r="MJ16" i="91"/>
  <c r="MJ56" i="91"/>
  <c r="MJ25" i="91"/>
  <c r="MJ19" i="91"/>
  <c r="MJ89" i="91"/>
  <c r="MJ93" i="91"/>
  <c r="MJ66" i="91"/>
  <c r="MJ69" i="91"/>
  <c r="MJ63" i="91"/>
  <c r="MJ77" i="91"/>
  <c r="MJ47" i="91"/>
  <c r="MJ30" i="91"/>
  <c r="MJ23" i="91"/>
  <c r="MJ24" i="91"/>
  <c r="MJ90" i="91"/>
  <c r="MJ88" i="91"/>
  <c r="MJ83" i="91"/>
  <c r="MJ51" i="91"/>
  <c r="MJ52" i="91"/>
  <c r="MJ43" i="91"/>
  <c r="MJ21" i="91"/>
  <c r="LX176" i="91"/>
  <c r="ME176" i="91"/>
  <c r="MF176" i="91"/>
  <c r="LW176" i="91"/>
  <c r="HV141" i="91"/>
  <c r="II141" i="91"/>
  <c r="KB139" i="91"/>
  <c r="KK139" i="91"/>
  <c r="KF99" i="91"/>
  <c r="KO99" i="91"/>
  <c r="KE99" i="91"/>
  <c r="KN99" i="91"/>
  <c r="KK64" i="91"/>
  <c r="KB64" i="91"/>
  <c r="JO31" i="91"/>
  <c r="KD15" i="91"/>
  <c r="KM15" i="91"/>
  <c r="HX15" i="91"/>
  <c r="IA15" i="91"/>
  <c r="IK15" i="91"/>
  <c r="IL15" i="91"/>
  <c r="IC15" i="91"/>
  <c r="IN15" i="91"/>
  <c r="GH61" i="91"/>
  <c r="GH74" i="91"/>
  <c r="KA117" i="91"/>
  <c r="KJ117" i="91"/>
  <c r="KF63" i="91"/>
  <c r="KO63" i="91"/>
  <c r="LZ137" i="91"/>
  <c r="LR137" i="91"/>
  <c r="HM124" i="91"/>
  <c r="HZ124" i="91" s="1"/>
  <c r="KI87" i="91"/>
  <c r="KT87" i="91"/>
  <c r="JZ87" i="91"/>
  <c r="KD67" i="91"/>
  <c r="KM67" i="91"/>
  <c r="IJ208" i="91"/>
  <c r="HW208" i="91"/>
  <c r="HU208" i="91"/>
  <c r="IH208" i="91"/>
  <c r="IK145" i="91"/>
  <c r="HW99" i="91"/>
  <c r="IJ99" i="91"/>
  <c r="JZ83" i="91"/>
  <c r="KI83" i="91"/>
  <c r="KT83" i="91"/>
  <c r="LS99" i="91"/>
  <c r="MB99" i="91"/>
  <c r="MK99" i="91"/>
  <c r="MA99" i="91"/>
  <c r="LT99" i="91"/>
  <c r="HI83" i="91"/>
  <c r="FU111" i="91"/>
  <c r="FU112" i="91" s="1"/>
  <c r="FU106" i="91"/>
  <c r="FU109" i="91"/>
  <c r="KB31" i="91"/>
  <c r="KK31" i="91"/>
  <c r="HV31" i="91"/>
  <c r="II31" i="91"/>
  <c r="KI168" i="91"/>
  <c r="JZ168" i="91"/>
  <c r="HW141" i="91"/>
  <c r="IJ141" i="91"/>
  <c r="HU125" i="91"/>
  <c r="IH125" i="91"/>
  <c r="HU67" i="91"/>
  <c r="IH67" i="91"/>
  <c r="FZ106" i="91"/>
  <c r="FZ109" i="91"/>
  <c r="FZ111" i="91"/>
  <c r="FZ112" i="91" s="1"/>
  <c r="HV15" i="91"/>
  <c r="II15" i="91"/>
  <c r="GU75" i="91"/>
  <c r="GU105" i="91"/>
  <c r="LR218" i="91"/>
  <c r="LZ218" i="91"/>
  <c r="HV179" i="91"/>
  <c r="II179" i="91"/>
  <c r="KB169" i="91"/>
  <c r="KK169" i="91"/>
  <c r="HJ124" i="91"/>
  <c r="KI117" i="91"/>
  <c r="JZ117" i="91"/>
  <c r="IH99" i="91"/>
  <c r="HU99" i="91"/>
  <c r="JT87" i="91"/>
  <c r="JS87" i="91"/>
  <c r="MA190" i="91"/>
  <c r="LS190" i="91"/>
  <c r="EM277" i="91"/>
  <c r="KK47" i="91"/>
  <c r="KB47" i="91"/>
  <c r="HX183" i="91"/>
  <c r="IA183" i="91"/>
  <c r="IK183" i="91"/>
  <c r="IL183" i="91"/>
  <c r="IN183" i="91"/>
  <c r="IC183" i="91"/>
  <c r="HW176" i="91"/>
  <c r="IJ176" i="91"/>
  <c r="MD141" i="91"/>
  <c r="LV141" i="91"/>
  <c r="LW125" i="91"/>
  <c r="MF125" i="91"/>
  <c r="ME125" i="91"/>
  <c r="LX125" i="91"/>
  <c r="HX99" i="91"/>
  <c r="IK99" i="91"/>
  <c r="IC99" i="91"/>
  <c r="IL99" i="91"/>
  <c r="IA99" i="91"/>
  <c r="IN99" i="91"/>
  <c r="ME92" i="91"/>
  <c r="MF92" i="91"/>
  <c r="LW92" i="91"/>
  <c r="LX92" i="91"/>
  <c r="HU64" i="91"/>
  <c r="IH64" i="91"/>
  <c r="HW15" i="91"/>
  <c r="IJ15" i="91"/>
  <c r="KD31" i="91"/>
  <c r="KM31" i="91"/>
  <c r="ER61" i="91"/>
  <c r="ER74" i="91"/>
  <c r="ER105" i="91" s="1"/>
  <c r="HK77" i="91"/>
  <c r="ME42" i="91"/>
  <c r="LX42" i="91"/>
  <c r="LW42" i="91"/>
  <c r="MF42" i="91"/>
  <c r="IS83" i="91"/>
  <c r="HT83" i="91"/>
  <c r="IG83" i="91"/>
  <c r="MA64" i="91"/>
  <c r="MB64" i="91"/>
  <c r="LS64" i="91"/>
  <c r="LT64" i="91"/>
  <c r="MK64" i="91"/>
  <c r="HG42" i="91"/>
  <c r="KA42" i="91"/>
  <c r="JS31" i="91"/>
  <c r="JT31" i="91"/>
  <c r="HU183" i="91"/>
  <c r="KE145" i="91"/>
  <c r="HL139" i="91"/>
  <c r="HY139" i="91" s="1"/>
  <c r="HL124" i="91"/>
  <c r="L80" i="1" s="1"/>
  <c r="LM283" i="91"/>
  <c r="HR137" i="91"/>
  <c r="IE137" i="91"/>
  <c r="IR87" i="91"/>
  <c r="HS87" i="91"/>
  <c r="IF87" i="91"/>
  <c r="IG87" i="91"/>
  <c r="HT87" i="91"/>
  <c r="IJ67" i="91"/>
  <c r="HW67" i="91"/>
  <c r="LU208" i="91"/>
  <c r="MC208" i="91"/>
  <c r="KC87" i="91"/>
  <c r="KL87" i="91"/>
  <c r="LS124" i="91"/>
  <c r="MA124" i="91"/>
  <c r="MB124" i="91"/>
  <c r="LT124" i="91"/>
  <c r="IR99" i="91"/>
  <c r="HS99" i="91"/>
  <c r="IF99" i="91"/>
  <c r="HT99" i="91"/>
  <c r="IG99" i="91"/>
  <c r="HG92" i="91"/>
  <c r="KB84" i="91"/>
  <c r="KK84" i="91"/>
  <c r="MD208" i="91"/>
  <c r="LV208" i="91"/>
  <c r="MA168" i="91"/>
  <c r="LS168" i="91"/>
  <c r="MC158" i="91"/>
  <c r="LU158" i="91"/>
  <c r="KD141" i="91"/>
  <c r="KM141" i="91"/>
  <c r="FK109" i="91"/>
  <c r="FK111" i="91"/>
  <c r="FK112" i="91" s="1"/>
  <c r="FK106" i="91"/>
  <c r="HJ14" i="91"/>
  <c r="GI40" i="91"/>
  <c r="GI60" i="91"/>
  <c r="GK61" i="91"/>
  <c r="HW179" i="91"/>
  <c r="MC169" i="91"/>
  <c r="LU169" i="91"/>
  <c r="KK99" i="91"/>
  <c r="KB99" i="91"/>
  <c r="HS190" i="91"/>
  <c r="IF190" i="91"/>
  <c r="IH47" i="91"/>
  <c r="HU47" i="91"/>
  <c r="GT61" i="91"/>
  <c r="GT74" i="91"/>
  <c r="IC179" i="91"/>
  <c r="IN179" i="91"/>
  <c r="HX179" i="91"/>
  <c r="IA179" i="91"/>
  <c r="IK179" i="91"/>
  <c r="IL179" i="91"/>
  <c r="II183" i="91"/>
  <c r="HV183" i="91"/>
  <c r="HJ139" i="91"/>
  <c r="HW125" i="91"/>
  <c r="IJ125" i="91"/>
  <c r="JS84" i="91"/>
  <c r="JT84" i="91"/>
  <c r="LV63" i="91"/>
  <c r="GL40" i="91"/>
  <c r="GL60" i="91"/>
  <c r="IH15" i="91"/>
  <c r="HU15" i="91"/>
  <c r="EO277" i="91"/>
  <c r="EO278" i="91"/>
  <c r="IH87" i="91"/>
  <c r="HU87" i="91"/>
  <c r="JS67" i="91"/>
  <c r="JT67" i="91"/>
  <c r="KA83" i="91"/>
  <c r="KJ83" i="91"/>
  <c r="KU83" i="91"/>
  <c r="JT63" i="91"/>
  <c r="JS63" i="91"/>
  <c r="IH145" i="91"/>
  <c r="HU145" i="91"/>
  <c r="HH77" i="91"/>
  <c r="JZ64" i="91"/>
  <c r="KI64" i="91"/>
  <c r="KA64" i="91"/>
  <c r="KT64" i="91"/>
  <c r="KJ64" i="91"/>
  <c r="ES40" i="91"/>
  <c r="ES60" i="91"/>
  <c r="MA87" i="91"/>
  <c r="LS87" i="91"/>
  <c r="MK87" i="91"/>
  <c r="LT87" i="91"/>
  <c r="MB87" i="91"/>
  <c r="IJ64" i="91"/>
  <c r="HW64" i="91"/>
  <c r="FY109" i="91"/>
  <c r="FY111" i="91"/>
  <c r="FY112" i="91" s="1"/>
  <c r="FY106" i="91"/>
  <c r="ME208" i="91"/>
  <c r="LX208" i="91"/>
  <c r="MF208" i="91"/>
  <c r="LW208" i="91"/>
  <c r="HX145" i="91"/>
  <c r="II87" i="91"/>
  <c r="HV87" i="91"/>
  <c r="GC111" i="91"/>
  <c r="GC112" i="91" s="1"/>
  <c r="LV196" i="91"/>
  <c r="MD196" i="91"/>
  <c r="JZ124" i="91"/>
  <c r="KI124" i="91"/>
  <c r="KJ124" i="91"/>
  <c r="KA124" i="91"/>
  <c r="KC84" i="91"/>
  <c r="KL84" i="91"/>
  <c r="HU84" i="91"/>
  <c r="IH84" i="91"/>
  <c r="HG63" i="91"/>
  <c r="HH39" i="91"/>
  <c r="IK208" i="91"/>
  <c r="KL208" i="91"/>
  <c r="KC208" i="91"/>
  <c r="IF168" i="91"/>
  <c r="HS168" i="91"/>
  <c r="KB158" i="91"/>
  <c r="KK158" i="91"/>
  <c r="LW84" i="91"/>
  <c r="FM111" i="91"/>
  <c r="FM112" i="91" s="1"/>
  <c r="FM109" i="91"/>
  <c r="FM106" i="91"/>
  <c r="LW15" i="91"/>
  <c r="MF15" i="91"/>
  <c r="LX15" i="91"/>
  <c r="ME15" i="91"/>
  <c r="HM14" i="91"/>
  <c r="HZ14" i="91" s="1"/>
  <c r="HR218" i="91"/>
  <c r="IE218" i="91"/>
  <c r="KL190" i="91"/>
  <c r="KC190" i="91"/>
  <c r="IJ179" i="91"/>
  <c r="HI168" i="91"/>
  <c r="HI92" i="91"/>
  <c r="EM278" i="91"/>
  <c r="KE179" i="91"/>
  <c r="KO179" i="91"/>
  <c r="KF179" i="91"/>
  <c r="KN179" i="91"/>
  <c r="KL183" i="91"/>
  <c r="KC183" i="91"/>
  <c r="HK124" i="91"/>
  <c r="K80" i="1" s="1"/>
  <c r="ER283" i="91"/>
  <c r="KE84" i="91"/>
  <c r="KN84" i="91"/>
  <c r="KF84" i="91"/>
  <c r="KO84" i="91"/>
  <c r="GE61" i="91"/>
  <c r="GE74" i="91"/>
  <c r="EK277" i="91"/>
  <c r="IK64" i="91"/>
  <c r="IA63" i="91"/>
  <c r="IC63" i="91"/>
  <c r="IL63" i="91"/>
  <c r="HX63" i="91"/>
  <c r="IN63" i="91"/>
  <c r="LS47" i="91"/>
  <c r="LT47" i="91"/>
  <c r="MA47" i="91"/>
  <c r="MK47" i="91"/>
  <c r="MB47" i="91"/>
  <c r="KD193" i="91"/>
  <c r="KM193" i="91"/>
  <c r="LT196" i="91"/>
  <c r="MB196" i="91"/>
  <c r="MC196" i="91"/>
  <c r="LU196" i="91"/>
  <c r="ME193" i="91"/>
  <c r="LX193" i="91"/>
  <c r="LW193" i="91"/>
  <c r="MF193" i="91"/>
  <c r="KB145" i="91"/>
  <c r="KK145" i="91"/>
  <c r="KM92" i="91"/>
  <c r="KD92" i="91"/>
  <c r="IF64" i="91"/>
  <c r="IR64" i="91"/>
  <c r="HS64" i="91"/>
  <c r="HT64" i="91"/>
  <c r="IG64" i="91"/>
  <c r="MB168" i="91"/>
  <c r="LT168" i="91"/>
  <c r="KN125" i="91"/>
  <c r="KE125" i="91"/>
  <c r="KF125" i="91"/>
  <c r="KO125" i="91"/>
  <c r="HW84" i="91"/>
  <c r="IJ84" i="91"/>
  <c r="FV106" i="91"/>
  <c r="KM64" i="91"/>
  <c r="KD64" i="91"/>
  <c r="KM208" i="91"/>
  <c r="KD208" i="91"/>
  <c r="KM183" i="91"/>
  <c r="KD183" i="91"/>
  <c r="HV84" i="91"/>
  <c r="II84" i="91"/>
  <c r="II196" i="91"/>
  <c r="HV196" i="91"/>
  <c r="HS124" i="91"/>
  <c r="IF124" i="91"/>
  <c r="HT124" i="91"/>
  <c r="IG124" i="91"/>
  <c r="KF64" i="91"/>
  <c r="KO64" i="91"/>
  <c r="KE64" i="91"/>
  <c r="KN64" i="91"/>
  <c r="KM47" i="91"/>
  <c r="KD47" i="91"/>
  <c r="LT11" i="91"/>
  <c r="ML11" i="91"/>
  <c r="ML16" i="91"/>
  <c r="ML15" i="91"/>
  <c r="MB11" i="91"/>
  <c r="ML17" i="91"/>
  <c r="ML27" i="91"/>
  <c r="ML28" i="91"/>
  <c r="ML32" i="91"/>
  <c r="ML30" i="91"/>
  <c r="ML29" i="91"/>
  <c r="ML36" i="91"/>
  <c r="ML44" i="91"/>
  <c r="ML54" i="91"/>
  <c r="ML51" i="91"/>
  <c r="ML46" i="91"/>
  <c r="ML48" i="91"/>
  <c r="ML45" i="91"/>
  <c r="ML47" i="91"/>
  <c r="ML55" i="91"/>
  <c r="ML52" i="91"/>
  <c r="ML56" i="91"/>
  <c r="ML69" i="91"/>
  <c r="ML68" i="91"/>
  <c r="ML78" i="91"/>
  <c r="ML82" i="91"/>
  <c r="ML84" i="91"/>
  <c r="ML85" i="91"/>
  <c r="ML90" i="91"/>
  <c r="ML88" i="91"/>
  <c r="ML86" i="91"/>
  <c r="ML92" i="91"/>
  <c r="ML89" i="91"/>
  <c r="ML100" i="91"/>
  <c r="ML102" i="91"/>
  <c r="ML109" i="91"/>
  <c r="ML108" i="91"/>
  <c r="ML103" i="91"/>
  <c r="ML63" i="91"/>
  <c r="ML34" i="91"/>
  <c r="ML49" i="91"/>
  <c r="ML101" i="91"/>
  <c r="ML87" i="91"/>
  <c r="ML67" i="91"/>
  <c r="ML24" i="91"/>
  <c r="ML25" i="91"/>
  <c r="ML93" i="91"/>
  <c r="ML99" i="91"/>
  <c r="ML22" i="91"/>
  <c r="ML12" i="91"/>
  <c r="ML23" i="91"/>
  <c r="ML64" i="91"/>
  <c r="ML65" i="91"/>
  <c r="ML58" i="91"/>
  <c r="ML37" i="91"/>
  <c r="ML33" i="91"/>
  <c r="ML35" i="91"/>
  <c r="ML21" i="91"/>
  <c r="ML19" i="91"/>
  <c r="ML13" i="91"/>
  <c r="ML66" i="91"/>
  <c r="ML57" i="91"/>
  <c r="ML42" i="91"/>
  <c r="ML50" i="91"/>
  <c r="ML53" i="91"/>
  <c r="ML43" i="91"/>
  <c r="ML18" i="91"/>
  <c r="HU14" i="91"/>
  <c r="IH14" i="91"/>
  <c r="GV75" i="91"/>
  <c r="GV105" i="91"/>
  <c r="II208" i="91"/>
  <c r="HV208" i="91"/>
  <c r="HU158" i="91"/>
  <c r="IH158" i="91"/>
  <c r="ME84" i="91"/>
  <c r="MD15" i="91"/>
  <c r="LV15" i="91"/>
  <c r="IH169" i="91"/>
  <c r="HU169" i="91"/>
  <c r="II169" i="91"/>
  <c r="HV169" i="91"/>
  <c r="HM138" i="91"/>
  <c r="HZ138" i="91" s="1"/>
  <c r="KM158" i="91"/>
  <c r="KD158" i="91"/>
  <c r="KN158" i="91"/>
  <c r="KE158" i="91"/>
  <c r="HK138" i="91"/>
  <c r="KL99" i="91"/>
  <c r="KC99" i="91"/>
  <c r="GW75" i="91"/>
  <c r="GW105" i="91"/>
  <c r="MD183" i="91"/>
  <c r="LV183" i="91"/>
  <c r="LW149" i="91"/>
  <c r="KD125" i="91"/>
  <c r="KM125" i="91"/>
  <c r="IN84" i="91"/>
  <c r="HX84" i="91"/>
  <c r="IA84" i="91"/>
  <c r="IK84" i="91"/>
  <c r="IC84" i="91"/>
  <c r="IL84" i="91"/>
  <c r="LU63" i="91"/>
  <c r="MC63" i="91"/>
  <c r="KU42" i="91"/>
  <c r="EK278" i="91"/>
  <c r="KJ196" i="91"/>
  <c r="KA196" i="91"/>
  <c r="KB196" i="91"/>
  <c r="KK196" i="91"/>
  <c r="IK31" i="91"/>
  <c r="IC31" i="91"/>
  <c r="IL31" i="91"/>
  <c r="IN31" i="91"/>
  <c r="HX31" i="91"/>
  <c r="IA31" i="91"/>
  <c r="HH190" i="91"/>
  <c r="IJ193" i="91"/>
  <c r="HW193" i="91"/>
  <c r="HT196" i="91"/>
  <c r="IG196" i="91"/>
  <c r="KF168" i="91"/>
  <c r="KO168" i="91"/>
  <c r="MC145" i="91"/>
  <c r="LU145" i="91"/>
  <c r="KD145" i="91"/>
  <c r="KM145" i="91"/>
  <c r="MA63" i="91"/>
  <c r="LS63" i="91"/>
  <c r="MK63" i="91"/>
  <c r="MB63" i="91"/>
  <c r="LT63" i="91"/>
  <c r="KJ168" i="91"/>
  <c r="KA168" i="91"/>
  <c r="IN125" i="91"/>
  <c r="IL125" i="91"/>
  <c r="HX125" i="91"/>
  <c r="IK125" i="91"/>
  <c r="IA125" i="91"/>
  <c r="IC125" i="91"/>
  <c r="HS83" i="91"/>
  <c r="IF83" i="91"/>
  <c r="IR83" i="91"/>
  <c r="EM61" i="91"/>
  <c r="EM74" i="91"/>
  <c r="EM105" i="91" s="1"/>
  <c r="HI202" i="91"/>
  <c r="LX183" i="91"/>
  <c r="ME183" i="91"/>
  <c r="MF183" i="91"/>
  <c r="LW183" i="91"/>
  <c r="II149" i="91"/>
  <c r="HV149" i="91"/>
  <c r="HW149" i="91"/>
  <c r="IJ149" i="91"/>
  <c r="LS139" i="91"/>
  <c r="MB139" i="91"/>
  <c r="LT139" i="91"/>
  <c r="MA139" i="91"/>
  <c r="KL196" i="91"/>
  <c r="KC196" i="91"/>
  <c r="KA87" i="91"/>
  <c r="HW47" i="91"/>
  <c r="IJ47" i="91"/>
  <c r="EQ277" i="91"/>
  <c r="EQ278" i="91"/>
  <c r="KE78" i="91"/>
  <c r="KN78" i="91"/>
  <c r="KF78" i="91"/>
  <c r="KO78" i="91"/>
  <c r="JS47" i="91"/>
  <c r="JT47" i="91"/>
  <c r="JS21" i="91"/>
  <c r="JT21" i="91"/>
  <c r="HB61" i="91"/>
  <c r="HB74" i="91"/>
  <c r="KE208" i="91"/>
  <c r="HL202" i="91"/>
  <c r="KD87" i="91"/>
  <c r="KM87" i="91"/>
  <c r="HK42" i="91"/>
  <c r="IJ158" i="91"/>
  <c r="HW158" i="91"/>
  <c r="IK158" i="91"/>
  <c r="HX158" i="91"/>
  <c r="II99" i="91"/>
  <c r="HV99" i="91"/>
  <c r="MA77" i="91"/>
  <c r="LS77" i="91"/>
  <c r="MK77" i="91"/>
  <c r="II67" i="91"/>
  <c r="HV67" i="91"/>
  <c r="HI21" i="91"/>
  <c r="LU141" i="91"/>
  <c r="MC141" i="91"/>
  <c r="ME149" i="91"/>
  <c r="JS92" i="91"/>
  <c r="JT92" i="91"/>
  <c r="JP83" i="91"/>
  <c r="HL83" i="91"/>
  <c r="L57" i="1" s="1"/>
  <c r="II47" i="91"/>
  <c r="HV47" i="91"/>
  <c r="EO40" i="91"/>
  <c r="EO60" i="91"/>
  <c r="GO40" i="91"/>
  <c r="GO60" i="91"/>
  <c r="JS15" i="91"/>
  <c r="JT15" i="91"/>
  <c r="EJ61" i="91"/>
  <c r="EJ74" i="91"/>
  <c r="EJ105" i="91" s="1"/>
  <c r="IK87" i="91"/>
  <c r="HX64" i="91"/>
  <c r="HJ83" i="91"/>
  <c r="J57" i="1" s="1"/>
  <c r="C43" i="4"/>
  <c r="M221" i="3" l="1"/>
  <c r="M151" i="1"/>
  <c r="N151" i="1"/>
  <c r="M169" i="1"/>
  <c r="N169" i="1"/>
  <c r="M223" i="3"/>
  <c r="N177" i="1"/>
  <c r="M177" i="1"/>
  <c r="M222" i="3"/>
  <c r="M153" i="1"/>
  <c r="N153" i="1"/>
  <c r="M148" i="1"/>
  <c r="N148" i="1"/>
  <c r="M164" i="1"/>
  <c r="N164" i="1"/>
  <c r="M206" i="3"/>
  <c r="M227" i="3"/>
  <c r="O227" i="3" s="1"/>
  <c r="O229" i="3"/>
  <c r="M218" i="3"/>
  <c r="M229" i="3" s="1"/>
  <c r="M268" i="3"/>
  <c r="M240" i="3"/>
  <c r="N268" i="3"/>
  <c r="M27" i="1"/>
  <c r="M207" i="3" s="1"/>
  <c r="M58" i="3"/>
  <c r="M203" i="3"/>
  <c r="M226" i="3"/>
  <c r="O226" i="3" s="1"/>
  <c r="M53" i="3"/>
  <c r="M103" i="3" s="1"/>
  <c r="N72" i="3"/>
  <c r="M72" i="3"/>
  <c r="M269" i="3"/>
  <c r="M266" i="3" s="1"/>
  <c r="M241" i="3"/>
  <c r="N269" i="3"/>
  <c r="M228" i="3"/>
  <c r="M90" i="1"/>
  <c r="M89" i="1" s="1"/>
  <c r="D58" i="81"/>
  <c r="Q13" i="81"/>
  <c r="IC190" i="91"/>
  <c r="GF74" i="91"/>
  <c r="GM61" i="91"/>
  <c r="FQ109" i="91"/>
  <c r="HY190" i="91"/>
  <c r="HZ190" i="91"/>
  <c r="M57" i="1"/>
  <c r="M94" i="3" s="1"/>
  <c r="HY83" i="91"/>
  <c r="M62" i="77"/>
  <c r="M69" i="77" s="1"/>
  <c r="N70" i="77" s="1"/>
  <c r="HY14" i="91"/>
  <c r="HY168" i="91"/>
  <c r="M80" i="1"/>
  <c r="HY124" i="91"/>
  <c r="FT109" i="91"/>
  <c r="FT111" i="91"/>
  <c r="FT112" i="91" s="1"/>
  <c r="FX109" i="91"/>
  <c r="IK190" i="91"/>
  <c r="M208" i="3"/>
  <c r="IA190" i="91"/>
  <c r="IN168" i="91"/>
  <c r="IN190" i="91"/>
  <c r="IC168" i="91"/>
  <c r="IL168" i="91"/>
  <c r="HX190" i="91"/>
  <c r="IK168" i="91"/>
  <c r="KM190" i="91"/>
  <c r="KD190" i="91"/>
  <c r="LU190" i="91"/>
  <c r="LV190" i="91"/>
  <c r="II190" i="91"/>
  <c r="HV190" i="91"/>
  <c r="KH218" i="91"/>
  <c r="IJ190" i="91"/>
  <c r="KC42" i="91"/>
  <c r="KN190" i="91"/>
  <c r="IJ168" i="91"/>
  <c r="FV111" i="91"/>
  <c r="FV112" i="91" s="1"/>
  <c r="KE168" i="91"/>
  <c r="HX168" i="91"/>
  <c r="HW168" i="91"/>
  <c r="JO42" i="91"/>
  <c r="KD139" i="91"/>
  <c r="HA105" i="91"/>
  <c r="GG74" i="91"/>
  <c r="KO42" i="91"/>
  <c r="LB106" i="91"/>
  <c r="MC77" i="91"/>
  <c r="EI74" i="91"/>
  <c r="EI105" i="91" s="1"/>
  <c r="EI109" i="91" s="1"/>
  <c r="LX202" i="91"/>
  <c r="GY75" i="91"/>
  <c r="HK202" i="91"/>
  <c r="EQ74" i="91"/>
  <c r="EQ105" i="91" s="1"/>
  <c r="GC109" i="91"/>
  <c r="LW139" i="91"/>
  <c r="MC21" i="91"/>
  <c r="LX168" i="91"/>
  <c r="GN74" i="91"/>
  <c r="GN75" i="91" s="1"/>
  <c r="FG106" i="91"/>
  <c r="MF168" i="91"/>
  <c r="ME168" i="91"/>
  <c r="GD75" i="91"/>
  <c r="GD105" i="91"/>
  <c r="KN21" i="91"/>
  <c r="GS105" i="91"/>
  <c r="GS111" i="91" s="1"/>
  <c r="GS112" i="91" s="1"/>
  <c r="FX106" i="91"/>
  <c r="EH74" i="91"/>
  <c r="EH105" i="91" s="1"/>
  <c r="EH109" i="91" s="1"/>
  <c r="GP74" i="91"/>
  <c r="GP75" i="91" s="1"/>
  <c r="IH139" i="91"/>
  <c r="KD83" i="91"/>
  <c r="IK63" i="91"/>
  <c r="KL168" i="91"/>
  <c r="EP74" i="91"/>
  <c r="EP105" i="91" s="1"/>
  <c r="EP109" i="91" s="1"/>
  <c r="IR77" i="91"/>
  <c r="HW63" i="91"/>
  <c r="IF77" i="91"/>
  <c r="HU63" i="91"/>
  <c r="EL74" i="91"/>
  <c r="EL105" i="91" s="1"/>
  <c r="FP111" i="91"/>
  <c r="FP112" i="91" s="1"/>
  <c r="FI105" i="91"/>
  <c r="FI75" i="91"/>
  <c r="KT77" i="91"/>
  <c r="GX105" i="91"/>
  <c r="GX106" i="91" s="1"/>
  <c r="KI77" i="91"/>
  <c r="IK21" i="91"/>
  <c r="KQ74" i="91"/>
  <c r="KB14" i="91"/>
  <c r="GZ75" i="91"/>
  <c r="HW92" i="91"/>
  <c r="IJ139" i="91"/>
  <c r="HM77" i="91"/>
  <c r="HZ77" i="91" s="1"/>
  <c r="KE42" i="91"/>
  <c r="KD21" i="91"/>
  <c r="HD74" i="91"/>
  <c r="HD75" i="91" s="1"/>
  <c r="KL21" i="91"/>
  <c r="IJ21" i="91"/>
  <c r="MD21" i="91"/>
  <c r="ME21" i="91"/>
  <c r="KB138" i="91"/>
  <c r="II21" i="91"/>
  <c r="HW21" i="91"/>
  <c r="HI138" i="91"/>
  <c r="HU138" i="91" s="1"/>
  <c r="KM21" i="91"/>
  <c r="EN74" i="91"/>
  <c r="EN105" i="91" s="1"/>
  <c r="EN111" i="91" s="1"/>
  <c r="EN112" i="91" s="1"/>
  <c r="KR74" i="91"/>
  <c r="HE74" i="91"/>
  <c r="IP74" i="91" s="1"/>
  <c r="MF139" i="91"/>
  <c r="LV21" i="91"/>
  <c r="MC139" i="91"/>
  <c r="KD168" i="91"/>
  <c r="JT42" i="91"/>
  <c r="FH106" i="91"/>
  <c r="FH109" i="91"/>
  <c r="FH111" i="91"/>
  <c r="FH112" i="91" s="1"/>
  <c r="KD202" i="91"/>
  <c r="KE63" i="91"/>
  <c r="MD202" i="91"/>
  <c r="KR60" i="91"/>
  <c r="KM63" i="91"/>
  <c r="JA61" i="91"/>
  <c r="KQ60" i="91"/>
  <c r="KD63" i="91"/>
  <c r="KJ42" i="91"/>
  <c r="KB63" i="91"/>
  <c r="IP60" i="91"/>
  <c r="HE61" i="91"/>
  <c r="M209" i="3"/>
  <c r="O228" i="3"/>
  <c r="FS111" i="91"/>
  <c r="FS112" i="91" s="1"/>
  <c r="FS109" i="91"/>
  <c r="FS106" i="91"/>
  <c r="KM77" i="91"/>
  <c r="MI105" i="91"/>
  <c r="HW139" i="91"/>
  <c r="KM168" i="91"/>
  <c r="ME139" i="91"/>
  <c r="KN42" i="91"/>
  <c r="IJ42" i="91"/>
  <c r="HW42" i="91"/>
  <c r="EM111" i="91"/>
  <c r="EM112" i="91" s="1"/>
  <c r="EM106" i="91"/>
  <c r="EM109" i="91"/>
  <c r="HV83" i="91"/>
  <c r="II83" i="91"/>
  <c r="GS109" i="91"/>
  <c r="KA190" i="91"/>
  <c r="KJ190" i="91"/>
  <c r="GW106" i="91"/>
  <c r="GW111" i="91"/>
  <c r="GW112" i="91" s="1"/>
  <c r="GW109" i="91"/>
  <c r="KM124" i="91"/>
  <c r="KD124" i="91"/>
  <c r="IG77" i="91"/>
  <c r="IS77" i="91"/>
  <c r="HT77" i="91"/>
  <c r="HV139" i="91"/>
  <c r="II139" i="91"/>
  <c r="GT75" i="91"/>
  <c r="GT105" i="91"/>
  <c r="HX42" i="91"/>
  <c r="KE14" i="91"/>
  <c r="KN14" i="91"/>
  <c r="KF14" i="91"/>
  <c r="KO14" i="91"/>
  <c r="MC14" i="91"/>
  <c r="LU14" i="91"/>
  <c r="GF75" i="91"/>
  <c r="GF105" i="91"/>
  <c r="LU124" i="91"/>
  <c r="MC124" i="91"/>
  <c r="JY166" i="91"/>
  <c r="KH166" i="91"/>
  <c r="JP77" i="91"/>
  <c r="HL77" i="91"/>
  <c r="HB75" i="91"/>
  <c r="HB105" i="91"/>
  <c r="EJ111" i="91"/>
  <c r="EJ112" i="91" s="1"/>
  <c r="EJ106" i="91"/>
  <c r="EJ109" i="91"/>
  <c r="IG190" i="91"/>
  <c r="HT190" i="91"/>
  <c r="ME124" i="91"/>
  <c r="MF124" i="91"/>
  <c r="LW124" i="91"/>
  <c r="LX124" i="91"/>
  <c r="HU168" i="91"/>
  <c r="IH168" i="91"/>
  <c r="GY111" i="91"/>
  <c r="GY112" i="91" s="1"/>
  <c r="GY106" i="91"/>
  <c r="GY109" i="91"/>
  <c r="MD139" i="91"/>
  <c r="LV139" i="91"/>
  <c r="GI61" i="91"/>
  <c r="GI74" i="91"/>
  <c r="KF124" i="91"/>
  <c r="KO124" i="91"/>
  <c r="KE124" i="91"/>
  <c r="KN124" i="91"/>
  <c r="KE139" i="91"/>
  <c r="KN139" i="91"/>
  <c r="KO139" i="91"/>
  <c r="KF139" i="91"/>
  <c r="LV124" i="91"/>
  <c r="MD124" i="91"/>
  <c r="JZ202" i="91"/>
  <c r="KI202" i="91"/>
  <c r="KM83" i="91"/>
  <c r="KB190" i="91"/>
  <c r="IN14" i="91"/>
  <c r="HX14" i="91"/>
  <c r="IL14" i="91"/>
  <c r="IA14" i="91"/>
  <c r="IC14" i="91"/>
  <c r="IK14" i="91"/>
  <c r="HK11" i="91"/>
  <c r="IV42" i="91" s="1"/>
  <c r="KX42" i="91"/>
  <c r="HI117" i="91"/>
  <c r="LW77" i="91"/>
  <c r="GR75" i="91"/>
  <c r="GR105" i="91"/>
  <c r="MF77" i="91"/>
  <c r="LX77" i="91"/>
  <c r="HU190" i="91"/>
  <c r="MC138" i="91"/>
  <c r="LU138" i="91"/>
  <c r="HM137" i="91"/>
  <c r="HZ137" i="91" s="1"/>
  <c r="GV111" i="91"/>
  <c r="GV112" i="91" s="1"/>
  <c r="GV106" i="91"/>
  <c r="GV109" i="91"/>
  <c r="HK117" i="91"/>
  <c r="ER277" i="91"/>
  <c r="ER278" i="91"/>
  <c r="KB168" i="91"/>
  <c r="KK168" i="91"/>
  <c r="HS92" i="91"/>
  <c r="IF92" i="91"/>
  <c r="IR92" i="91"/>
  <c r="HT92" i="91"/>
  <c r="IG92" i="91"/>
  <c r="HW77" i="91"/>
  <c r="IJ77" i="91"/>
  <c r="II124" i="91"/>
  <c r="HV124" i="91"/>
  <c r="HV202" i="91"/>
  <c r="II202" i="91"/>
  <c r="HI77" i="91"/>
  <c r="HV77" i="91" s="1"/>
  <c r="IF202" i="91"/>
  <c r="HS202" i="91"/>
  <c r="KK190" i="91"/>
  <c r="KD14" i="91"/>
  <c r="KM14" i="91"/>
  <c r="MD83" i="91"/>
  <c r="LV83" i="91"/>
  <c r="ME83" i="91"/>
  <c r="LW83" i="91"/>
  <c r="MC190" i="91"/>
  <c r="HV92" i="91"/>
  <c r="II92" i="91"/>
  <c r="IH190" i="91"/>
  <c r="KC83" i="91"/>
  <c r="KL83" i="91"/>
  <c r="KB21" i="91"/>
  <c r="KK21" i="91"/>
  <c r="GE75" i="91"/>
  <c r="GE105" i="91"/>
  <c r="LU168" i="91"/>
  <c r="MC168" i="91"/>
  <c r="HM11" i="91"/>
  <c r="HZ11" i="91" s="1"/>
  <c r="KJ39" i="91"/>
  <c r="KU39" i="91"/>
  <c r="KA39" i="91"/>
  <c r="HV21" i="91"/>
  <c r="GL61" i="91"/>
  <c r="GL74" i="91"/>
  <c r="EL106" i="91"/>
  <c r="EL111" i="91"/>
  <c r="EL112" i="91" s="1"/>
  <c r="EL109" i="91"/>
  <c r="HJ11" i="91"/>
  <c r="IU63" i="91" s="1"/>
  <c r="KW92" i="91"/>
  <c r="KI92" i="91"/>
  <c r="JZ92" i="91"/>
  <c r="KT92" i="91"/>
  <c r="KJ92" i="91"/>
  <c r="KA92" i="91"/>
  <c r="KC21" i="91"/>
  <c r="JZ42" i="91"/>
  <c r="KI42" i="91"/>
  <c r="KT42" i="91"/>
  <c r="KL124" i="91"/>
  <c r="KC124" i="91"/>
  <c r="KB83" i="91"/>
  <c r="KK83" i="91"/>
  <c r="HW14" i="91"/>
  <c r="IJ14" i="91"/>
  <c r="IQ39" i="91"/>
  <c r="HR39" i="91"/>
  <c r="IE39" i="91"/>
  <c r="HF40" i="91"/>
  <c r="IF39" i="91"/>
  <c r="HS39" i="91"/>
  <c r="GQ75" i="91"/>
  <c r="GQ105" i="91"/>
  <c r="KC92" i="91"/>
  <c r="KL92" i="91"/>
  <c r="KM42" i="91"/>
  <c r="KD42" i="91"/>
  <c r="HT138" i="91"/>
  <c r="IF138" i="91"/>
  <c r="HS138" i="91"/>
  <c r="IG138" i="91"/>
  <c r="EK106" i="91"/>
  <c r="EK111" i="91"/>
  <c r="EK112" i="91" s="1"/>
  <c r="EK109" i="91"/>
  <c r="HM202" i="91"/>
  <c r="GM75" i="91"/>
  <c r="GM105" i="91"/>
  <c r="MN14" i="91"/>
  <c r="IG39" i="91"/>
  <c r="HH40" i="91"/>
  <c r="IS39" i="91"/>
  <c r="HT39" i="91"/>
  <c r="HS63" i="91"/>
  <c r="IR63" i="91"/>
  <c r="IF63" i="91"/>
  <c r="IG63" i="91"/>
  <c r="HT63" i="91"/>
  <c r="KC14" i="91"/>
  <c r="KL14" i="91"/>
  <c r="LS92" i="91"/>
  <c r="MB92" i="91"/>
  <c r="MK92" i="91"/>
  <c r="MA92" i="91"/>
  <c r="LT92" i="91"/>
  <c r="IK124" i="91"/>
  <c r="HX124" i="91"/>
  <c r="IL124" i="91"/>
  <c r="IA124" i="91"/>
  <c r="IN124" i="91"/>
  <c r="IC124" i="91"/>
  <c r="IR42" i="91"/>
  <c r="HS42" i="91"/>
  <c r="IF42" i="91"/>
  <c r="IG42" i="91"/>
  <c r="HT42" i="91"/>
  <c r="HU83" i="91"/>
  <c r="IH83" i="91"/>
  <c r="HM117" i="91"/>
  <c r="HZ117" i="91" s="1"/>
  <c r="JY39" i="91"/>
  <c r="KH39" i="91"/>
  <c r="KS39" i="91"/>
  <c r="JZ39" i="91"/>
  <c r="KI39" i="91"/>
  <c r="KM139" i="91"/>
  <c r="JZ138" i="91"/>
  <c r="KI138" i="91"/>
  <c r="KA138" i="91"/>
  <c r="KJ138" i="91"/>
  <c r="GO61" i="91"/>
  <c r="GO74" i="91"/>
  <c r="KE83" i="91"/>
  <c r="KN83" i="91"/>
  <c r="KF83" i="91"/>
  <c r="KO83" i="91"/>
  <c r="HI137" i="91"/>
  <c r="IK202" i="91"/>
  <c r="IL202" i="91"/>
  <c r="HX202" i="91"/>
  <c r="IA202" i="91"/>
  <c r="IN202" i="91"/>
  <c r="IC202" i="91"/>
  <c r="LX138" i="91"/>
  <c r="MF138" i="91"/>
  <c r="MO77" i="91"/>
  <c r="IH92" i="91"/>
  <c r="HU92" i="91"/>
  <c r="MD14" i="91"/>
  <c r="LV14" i="91"/>
  <c r="HH60" i="91"/>
  <c r="GK75" i="91"/>
  <c r="GK105" i="91"/>
  <c r="HV14" i="91"/>
  <c r="II14" i="91"/>
  <c r="HL117" i="91"/>
  <c r="HG60" i="91"/>
  <c r="ER111" i="91"/>
  <c r="ER112" i="91" s="1"/>
  <c r="ER106" i="91"/>
  <c r="ER109" i="91"/>
  <c r="HJ117" i="91"/>
  <c r="GU106" i="91"/>
  <c r="GU111" i="91"/>
  <c r="GU112" i="91" s="1"/>
  <c r="GU109" i="91"/>
  <c r="HW83" i="91"/>
  <c r="GJ61" i="91"/>
  <c r="GJ74" i="91"/>
  <c r="HF60" i="91"/>
  <c r="KC63" i="91"/>
  <c r="KL63" i="91"/>
  <c r="MD168" i="91"/>
  <c r="MA138" i="91"/>
  <c r="LS138" i="91"/>
  <c r="MB138" i="91"/>
  <c r="LT138" i="91"/>
  <c r="IH21" i="91"/>
  <c r="HU21" i="91"/>
  <c r="KE202" i="91"/>
  <c r="KO202" i="91"/>
  <c r="KF202" i="91"/>
  <c r="KN202" i="91"/>
  <c r="KB202" i="91"/>
  <c r="HH202" i="91"/>
  <c r="HH218" i="91" s="1"/>
  <c r="MC202" i="91"/>
  <c r="EQ111" i="91"/>
  <c r="EQ112" i="91" s="1"/>
  <c r="EQ106" i="91"/>
  <c r="EQ109" i="91"/>
  <c r="HK137" i="91"/>
  <c r="LW14" i="91"/>
  <c r="LX14" i="91"/>
  <c r="ME14" i="91"/>
  <c r="MF14" i="91"/>
  <c r="KK92" i="91"/>
  <c r="KB92" i="91"/>
  <c r="KC139" i="91"/>
  <c r="KL139" i="91"/>
  <c r="JZ63" i="91"/>
  <c r="KI63" i="91"/>
  <c r="KT63" i="91"/>
  <c r="KA63" i="91"/>
  <c r="KJ63" i="91"/>
  <c r="HL138" i="91"/>
  <c r="HY138" i="91" s="1"/>
  <c r="LS42" i="91"/>
  <c r="MK42" i="91"/>
  <c r="MA42" i="91"/>
  <c r="MB42" i="91"/>
  <c r="LT42" i="91"/>
  <c r="HV168" i="91"/>
  <c r="HL11" i="91"/>
  <c r="IW14" i="91" s="1"/>
  <c r="KY14" i="91"/>
  <c r="JP11" i="91"/>
  <c r="JV83" i="91" s="1"/>
  <c r="LR39" i="91"/>
  <c r="MJ39" i="91"/>
  <c r="LZ39" i="91"/>
  <c r="MA39" i="91"/>
  <c r="LS39" i="91"/>
  <c r="HV63" i="91"/>
  <c r="II63" i="91"/>
  <c r="HU124" i="91"/>
  <c r="IH124" i="91"/>
  <c r="LV168" i="91"/>
  <c r="HR166" i="91"/>
  <c r="IE166" i="91"/>
  <c r="EP106" i="91"/>
  <c r="EP111" i="91"/>
  <c r="EP112" i="91" s="1"/>
  <c r="HG137" i="91"/>
  <c r="GZ111" i="91"/>
  <c r="GZ112" i="91" s="1"/>
  <c r="GZ106" i="91"/>
  <c r="GZ109" i="91"/>
  <c r="IA83" i="91"/>
  <c r="IK83" i="91"/>
  <c r="IC83" i="91"/>
  <c r="IL83" i="91"/>
  <c r="IN83" i="91"/>
  <c r="HX83" i="91"/>
  <c r="EO61" i="91"/>
  <c r="EO74" i="91"/>
  <c r="EO105" i="91" s="1"/>
  <c r="JS83" i="91"/>
  <c r="JT83" i="91"/>
  <c r="MB190" i="91"/>
  <c r="LT190" i="91"/>
  <c r="HW202" i="91"/>
  <c r="IJ202" i="91"/>
  <c r="IJ124" i="91"/>
  <c r="HW124" i="91"/>
  <c r="MB39" i="91"/>
  <c r="ML39" i="91"/>
  <c r="LT39" i="91"/>
  <c r="ES61" i="91"/>
  <c r="ES74" i="91"/>
  <c r="ES105" i="91" s="1"/>
  <c r="KA77" i="91"/>
  <c r="KJ77" i="91"/>
  <c r="KU77" i="91"/>
  <c r="HJ138" i="91"/>
  <c r="IJ138" i="91" s="1"/>
  <c r="IC139" i="91"/>
  <c r="IL139" i="91"/>
  <c r="IN139" i="91"/>
  <c r="IA139" i="91"/>
  <c r="IK139" i="91"/>
  <c r="HX139" i="91"/>
  <c r="KL202" i="91"/>
  <c r="KC202" i="91"/>
  <c r="HA111" i="91"/>
  <c r="HA112" i="91" s="1"/>
  <c r="HA106" i="91"/>
  <c r="HA109" i="91"/>
  <c r="IJ83" i="91"/>
  <c r="KC168" i="91"/>
  <c r="GH75" i="91"/>
  <c r="GH105" i="91"/>
  <c r="LS202" i="91"/>
  <c r="MA202" i="91"/>
  <c r="II168" i="91"/>
  <c r="IK42" i="91"/>
  <c r="JS14" i="91"/>
  <c r="JT14" i="91"/>
  <c r="MM14" i="91"/>
  <c r="HI11" i="91"/>
  <c r="IT92" i="91" s="1"/>
  <c r="KV21" i="91"/>
  <c r="KB124" i="91"/>
  <c r="KK124" i="91"/>
  <c r="LR166" i="91"/>
  <c r="LZ166" i="91"/>
  <c r="EI106" i="91"/>
  <c r="GG75" i="91"/>
  <c r="GG105" i="91"/>
  <c r="M80" i="3"/>
  <c r="M81" i="3"/>
  <c r="M82" i="3"/>
  <c r="M83" i="3"/>
  <c r="M84" i="3"/>
  <c r="M85" i="3"/>
  <c r="M86" i="3"/>
  <c r="M87" i="3"/>
  <c r="M79" i="3"/>
  <c r="M142" i="1" l="1"/>
  <c r="M138" i="1" s="1"/>
  <c r="N142" i="1"/>
  <c r="N138" i="1" s="1"/>
  <c r="M157" i="1"/>
  <c r="M167" i="1" s="1"/>
  <c r="N157" i="1"/>
  <c r="N167" i="1" s="1"/>
  <c r="EI111" i="91"/>
  <c r="EI112" i="91" s="1"/>
  <c r="GP105" i="91"/>
  <c r="GS106" i="91"/>
  <c r="MH105" i="91"/>
  <c r="GX109" i="91"/>
  <c r="HH220" i="91"/>
  <c r="M250" i="3"/>
  <c r="O208" i="3"/>
  <c r="M246" i="3"/>
  <c r="N249" i="3" s="1"/>
  <c r="P249" i="3" s="1"/>
  <c r="Q249" i="3" s="1"/>
  <c r="R249" i="3" s="1"/>
  <c r="S249" i="3" s="1"/>
  <c r="EH111" i="91"/>
  <c r="EH112" i="91" s="1"/>
  <c r="HY202" i="91"/>
  <c r="HZ202" i="91"/>
  <c r="HY11" i="91"/>
  <c r="HY117" i="91"/>
  <c r="HY77" i="91"/>
  <c r="GN105" i="91"/>
  <c r="GN106" i="91" s="1"/>
  <c r="O207" i="3"/>
  <c r="KW63" i="91"/>
  <c r="EH106" i="91"/>
  <c r="JA75" i="91"/>
  <c r="KM202" i="91"/>
  <c r="GX111" i="91"/>
  <c r="GX112" i="91" s="1"/>
  <c r="KQ105" i="91"/>
  <c r="HD105" i="91"/>
  <c r="HD106" i="91" s="1"/>
  <c r="MF202" i="91"/>
  <c r="GD111" i="91"/>
  <c r="GD112" i="91" s="1"/>
  <c r="GD106" i="91"/>
  <c r="GD109" i="91"/>
  <c r="HE105" i="91"/>
  <c r="HE109" i="91" s="1"/>
  <c r="IP109" i="91" s="1"/>
  <c r="JB109" i="91" s="1"/>
  <c r="KR109" i="91" s="1"/>
  <c r="HE75" i="91"/>
  <c r="FI109" i="91"/>
  <c r="FI106" i="91"/>
  <c r="FI111" i="91"/>
  <c r="FI112" i="91" s="1"/>
  <c r="KK138" i="91"/>
  <c r="IH138" i="91"/>
  <c r="EN109" i="91"/>
  <c r="EN106" i="91"/>
  <c r="KR105" i="91"/>
  <c r="II77" i="91"/>
  <c r="IU77" i="91"/>
  <c r="LW202" i="91"/>
  <c r="ME202" i="91"/>
  <c r="LV202" i="91"/>
  <c r="IU14" i="91"/>
  <c r="KD77" i="91"/>
  <c r="EI75" i="91"/>
  <c r="KC77" i="91"/>
  <c r="KX14" i="91"/>
  <c r="KL77" i="91"/>
  <c r="MH111" i="91"/>
  <c r="LB112" i="91"/>
  <c r="KW77" i="91"/>
  <c r="IV14" i="91"/>
  <c r="MI111" i="91"/>
  <c r="KX77" i="91"/>
  <c r="IV77" i="91"/>
  <c r="ME77" i="91"/>
  <c r="IW83" i="91"/>
  <c r="KV39" i="91"/>
  <c r="KB39" i="91"/>
  <c r="KK39" i="91"/>
  <c r="KF138" i="91"/>
  <c r="KO138" i="91"/>
  <c r="KE138" i="91"/>
  <c r="KN138" i="91"/>
  <c r="HK166" i="91"/>
  <c r="KS60" i="91"/>
  <c r="JY60" i="91"/>
  <c r="KH60" i="91"/>
  <c r="KL117" i="91"/>
  <c r="KC117" i="91"/>
  <c r="KF117" i="91"/>
  <c r="KE117" i="91"/>
  <c r="KO117" i="91"/>
  <c r="KN117" i="91"/>
  <c r="MB60" i="91"/>
  <c r="LT60" i="91"/>
  <c r="ML60" i="91"/>
  <c r="GN111" i="91"/>
  <c r="GN112" i="91" s="1"/>
  <c r="KC11" i="91"/>
  <c r="KL11" i="91"/>
  <c r="KW11" i="91"/>
  <c r="KW37" i="91"/>
  <c r="KW49" i="91"/>
  <c r="KW24" i="91"/>
  <c r="KW13" i="91"/>
  <c r="KW57" i="91"/>
  <c r="KW108" i="91"/>
  <c r="KW58" i="91"/>
  <c r="KW54" i="91"/>
  <c r="KW65" i="91"/>
  <c r="KW82" i="91"/>
  <c r="KW44" i="91"/>
  <c r="KW26" i="91"/>
  <c r="KW12" i="91"/>
  <c r="KW36" i="91"/>
  <c r="KW90" i="91"/>
  <c r="KW85" i="91"/>
  <c r="KW29" i="91"/>
  <c r="KW53" i="91"/>
  <c r="KW16" i="91"/>
  <c r="KW78" i="91"/>
  <c r="KW35" i="91"/>
  <c r="KW25" i="91"/>
  <c r="KW46" i="91"/>
  <c r="KW93" i="91"/>
  <c r="KW89" i="91"/>
  <c r="KW17" i="91"/>
  <c r="KW56" i="91"/>
  <c r="KW23" i="91"/>
  <c r="KW69" i="91"/>
  <c r="KW86" i="91"/>
  <c r="KW101" i="91"/>
  <c r="KW51" i="91"/>
  <c r="KW48" i="91"/>
  <c r="KW45" i="91"/>
  <c r="KW66" i="91"/>
  <c r="KW30" i="91"/>
  <c r="KW33" i="91"/>
  <c r="KW88" i="91"/>
  <c r="KW55" i="91"/>
  <c r="KW68" i="91"/>
  <c r="KW22" i="91"/>
  <c r="KW19" i="91"/>
  <c r="KW100" i="91"/>
  <c r="KW27" i="91"/>
  <c r="KW18" i="91"/>
  <c r="KW28" i="91"/>
  <c r="KW50" i="91"/>
  <c r="KW34" i="91"/>
  <c r="KW102" i="91"/>
  <c r="KW103" i="91"/>
  <c r="KW32" i="91"/>
  <c r="KW43" i="91"/>
  <c r="KW52" i="91"/>
  <c r="KW67" i="91"/>
  <c r="KW42" i="91"/>
  <c r="KW21" i="91"/>
  <c r="KW64" i="91"/>
  <c r="KW47" i="91"/>
  <c r="KW31" i="91"/>
  <c r="KW99" i="91"/>
  <c r="KW87" i="91"/>
  <c r="KW15" i="91"/>
  <c r="KW84" i="91"/>
  <c r="GL75" i="91"/>
  <c r="GL105" i="91"/>
  <c r="GE111" i="91"/>
  <c r="GE112" i="91" s="1"/>
  <c r="GE106" i="91"/>
  <c r="GE109" i="91"/>
  <c r="KB117" i="91"/>
  <c r="KK117" i="91"/>
  <c r="HK39" i="91"/>
  <c r="IH202" i="91"/>
  <c r="JT77" i="91"/>
  <c r="JV77" i="91"/>
  <c r="JS77" i="91"/>
  <c r="EJ280" i="91"/>
  <c r="IE60" i="91"/>
  <c r="HF61" i="91"/>
  <c r="IQ60" i="91"/>
  <c r="HR60" i="91"/>
  <c r="II117" i="91"/>
  <c r="HV117" i="91"/>
  <c r="KT60" i="91"/>
  <c r="JZ60" i="91"/>
  <c r="KI60" i="91"/>
  <c r="IN117" i="91"/>
  <c r="HX117" i="91"/>
  <c r="IL117" i="91"/>
  <c r="IC117" i="91"/>
  <c r="IK117" i="91"/>
  <c r="IA117" i="91"/>
  <c r="EO280" i="91"/>
  <c r="HI166" i="91"/>
  <c r="KY83" i="91"/>
  <c r="IT83" i="91"/>
  <c r="GQ111" i="91"/>
  <c r="GQ112" i="91" s="1"/>
  <c r="GQ106" i="91"/>
  <c r="GQ109" i="91"/>
  <c r="HI39" i="91"/>
  <c r="II11" i="91"/>
  <c r="IU11" i="91"/>
  <c r="HV11" i="91"/>
  <c r="IU13" i="91"/>
  <c r="IU57" i="91"/>
  <c r="IU58" i="91"/>
  <c r="IU73" i="91"/>
  <c r="IU72" i="91"/>
  <c r="IU71" i="91"/>
  <c r="IU90" i="91"/>
  <c r="IU70" i="91"/>
  <c r="IU36" i="91"/>
  <c r="IU26" i="91"/>
  <c r="IU19" i="91"/>
  <c r="IU25" i="91"/>
  <c r="IU108" i="91"/>
  <c r="IU93" i="91"/>
  <c r="IU68" i="91"/>
  <c r="IU54" i="91"/>
  <c r="IU86" i="91"/>
  <c r="IU43" i="91"/>
  <c r="IU22" i="91"/>
  <c r="IU24" i="91"/>
  <c r="IU29" i="91"/>
  <c r="IU44" i="91"/>
  <c r="IU50" i="91"/>
  <c r="IU32" i="91"/>
  <c r="IU85" i="91"/>
  <c r="IU49" i="91"/>
  <c r="IU37" i="91"/>
  <c r="IU30" i="91"/>
  <c r="IU69" i="91"/>
  <c r="IU53" i="91"/>
  <c r="IU52" i="91"/>
  <c r="IU48" i="91"/>
  <c r="IU78" i="91"/>
  <c r="IU101" i="91"/>
  <c r="IU46" i="91"/>
  <c r="IU55" i="91"/>
  <c r="IU45" i="91"/>
  <c r="IU34" i="91"/>
  <c r="IU27" i="91"/>
  <c r="IU18" i="91"/>
  <c r="IU100" i="91"/>
  <c r="IU102" i="91"/>
  <c r="IU82" i="91"/>
  <c r="IU56" i="91"/>
  <c r="IU16" i="91"/>
  <c r="IU51" i="91"/>
  <c r="IU88" i="91"/>
  <c r="IU66" i="91"/>
  <c r="IU12" i="91"/>
  <c r="IU17" i="91"/>
  <c r="IU65" i="91"/>
  <c r="IU35" i="91"/>
  <c r="IU33" i="91"/>
  <c r="IU89" i="91"/>
  <c r="IU28" i="91"/>
  <c r="IU103" i="91"/>
  <c r="IU23" i="91"/>
  <c r="IU84" i="91"/>
  <c r="IU67" i="91"/>
  <c r="IU31" i="91"/>
  <c r="IU15" i="91"/>
  <c r="IU87" i="91"/>
  <c r="IU21" i="91"/>
  <c r="IU64" i="91"/>
  <c r="IU47" i="91"/>
  <c r="IU42" i="91"/>
  <c r="IU99" i="91"/>
  <c r="HM39" i="91"/>
  <c r="HZ39" i="91" s="1"/>
  <c r="GR106" i="91"/>
  <c r="GR109" i="91"/>
  <c r="GR111" i="91"/>
  <c r="GR112" i="91" s="1"/>
  <c r="LU117" i="91"/>
  <c r="MC117" i="91"/>
  <c r="KX11" i="91"/>
  <c r="KD11" i="91"/>
  <c r="KM11" i="91"/>
  <c r="KX29" i="91"/>
  <c r="KX102" i="91"/>
  <c r="KX66" i="91"/>
  <c r="KX37" i="91"/>
  <c r="KX22" i="91"/>
  <c r="KX101" i="91"/>
  <c r="KX57" i="91"/>
  <c r="KX100" i="91"/>
  <c r="KX82" i="91"/>
  <c r="KX23" i="91"/>
  <c r="KX18" i="91"/>
  <c r="KX65" i="91"/>
  <c r="KX36" i="91"/>
  <c r="KX33" i="91"/>
  <c r="KX26" i="91"/>
  <c r="KX58" i="91"/>
  <c r="KX108" i="91"/>
  <c r="KX30" i="91"/>
  <c r="KX68" i="91"/>
  <c r="KX43" i="91"/>
  <c r="KX89" i="91"/>
  <c r="KX103" i="91"/>
  <c r="KX49" i="91"/>
  <c r="KX27" i="91"/>
  <c r="KX46" i="91"/>
  <c r="KX50" i="91"/>
  <c r="KX55" i="91"/>
  <c r="KX78" i="91"/>
  <c r="KX12" i="91"/>
  <c r="KX24" i="91"/>
  <c r="KX35" i="91"/>
  <c r="KX53" i="91"/>
  <c r="KX16" i="91"/>
  <c r="KX45" i="91"/>
  <c r="KX34" i="91"/>
  <c r="KX85" i="91"/>
  <c r="KX86" i="91"/>
  <c r="KX19" i="91"/>
  <c r="KX90" i="91"/>
  <c r="KX56" i="91"/>
  <c r="KX17" i="91"/>
  <c r="KX44" i="91"/>
  <c r="KX13" i="91"/>
  <c r="KX48" i="91"/>
  <c r="KX93" i="91"/>
  <c r="KX52" i="91"/>
  <c r="KX25" i="91"/>
  <c r="KX28" i="91"/>
  <c r="KX69" i="91"/>
  <c r="KX54" i="91"/>
  <c r="KX51" i="91"/>
  <c r="KX88" i="91"/>
  <c r="KX32" i="91"/>
  <c r="KX31" i="91"/>
  <c r="KX92" i="91"/>
  <c r="KX87" i="91"/>
  <c r="KX84" i="91"/>
  <c r="KX15" i="91"/>
  <c r="KX99" i="91"/>
  <c r="KX21" i="91"/>
  <c r="KX47" i="91"/>
  <c r="KX63" i="91"/>
  <c r="KX64" i="91"/>
  <c r="KX83" i="91"/>
  <c r="KX67" i="91"/>
  <c r="HU202" i="91"/>
  <c r="EJ75" i="91"/>
  <c r="GT106" i="91"/>
  <c r="GT111" i="91"/>
  <c r="GT112" i="91" s="1"/>
  <c r="GT109" i="91"/>
  <c r="JS11" i="91"/>
  <c r="JT11" i="91"/>
  <c r="JV11" i="91"/>
  <c r="JV68" i="91"/>
  <c r="JV57" i="91"/>
  <c r="JV29" i="91"/>
  <c r="JV53" i="91"/>
  <c r="JV86" i="91"/>
  <c r="JV58" i="91"/>
  <c r="JV49" i="91"/>
  <c r="JV25" i="91"/>
  <c r="JV23" i="91"/>
  <c r="JV36" i="91"/>
  <c r="JV45" i="91"/>
  <c r="JV101" i="91"/>
  <c r="JV88" i="91"/>
  <c r="JV35" i="91"/>
  <c r="JV37" i="91"/>
  <c r="JV50" i="91"/>
  <c r="JV30" i="91"/>
  <c r="JV20" i="91"/>
  <c r="JV19" i="91"/>
  <c r="JV27" i="91"/>
  <c r="JV103" i="91"/>
  <c r="JV51" i="91"/>
  <c r="JV66" i="91"/>
  <c r="JV102" i="91"/>
  <c r="JV26" i="91"/>
  <c r="JV85" i="91"/>
  <c r="JV43" i="91"/>
  <c r="JV46" i="91"/>
  <c r="JV93" i="91"/>
  <c r="JV16" i="91"/>
  <c r="JV108" i="91"/>
  <c r="JV34" i="91"/>
  <c r="JV17" i="91"/>
  <c r="JV13" i="91"/>
  <c r="JV78" i="91"/>
  <c r="JV52" i="91"/>
  <c r="JV65" i="91"/>
  <c r="JV69" i="91"/>
  <c r="JV100" i="91"/>
  <c r="JV32" i="91"/>
  <c r="JV22" i="91"/>
  <c r="JV28" i="91"/>
  <c r="JV54" i="91"/>
  <c r="JV82" i="91"/>
  <c r="JV18" i="91"/>
  <c r="JV89" i="91"/>
  <c r="JV90" i="91"/>
  <c r="JV24" i="91"/>
  <c r="JV56" i="91"/>
  <c r="JV64" i="91"/>
  <c r="JV12" i="91"/>
  <c r="JV33" i="91"/>
  <c r="JV48" i="91"/>
  <c r="JV55" i="91"/>
  <c r="JV44" i="91"/>
  <c r="JV99" i="91"/>
  <c r="JV84" i="91"/>
  <c r="JV67" i="91"/>
  <c r="JV87" i="91"/>
  <c r="JV63" i="91"/>
  <c r="JV21" i="91"/>
  <c r="JV42" i="91"/>
  <c r="JV92" i="91"/>
  <c r="JV15" i="91"/>
  <c r="JV31" i="91"/>
  <c r="JV47" i="91"/>
  <c r="LX137" i="91"/>
  <c r="MF137" i="91"/>
  <c r="IT21" i="91"/>
  <c r="HF74" i="91"/>
  <c r="EH280" i="91"/>
  <c r="HG74" i="91"/>
  <c r="LM278" i="91"/>
  <c r="LM277" i="91"/>
  <c r="EO75" i="91"/>
  <c r="HU137" i="91"/>
  <c r="IH137" i="91"/>
  <c r="GO75" i="91"/>
  <c r="GO105" i="91"/>
  <c r="HT40" i="91"/>
  <c r="IG40" i="91"/>
  <c r="HU117" i="91"/>
  <c r="IH117" i="91"/>
  <c r="IJ11" i="91"/>
  <c r="IV11" i="91"/>
  <c r="HW11" i="91"/>
  <c r="IV36" i="91"/>
  <c r="IV37" i="91"/>
  <c r="IV72" i="91"/>
  <c r="IV73" i="91"/>
  <c r="IV65" i="91"/>
  <c r="IV71" i="91"/>
  <c r="IV57" i="91"/>
  <c r="IV33" i="91"/>
  <c r="IV103" i="91"/>
  <c r="IV101" i="91"/>
  <c r="IV93" i="91"/>
  <c r="IV66" i="91"/>
  <c r="IV54" i="91"/>
  <c r="IV100" i="91"/>
  <c r="IV86" i="91"/>
  <c r="IV90" i="91"/>
  <c r="IV70" i="91"/>
  <c r="IV44" i="91"/>
  <c r="IV29" i="91"/>
  <c r="IV50" i="91"/>
  <c r="IV30" i="91"/>
  <c r="IV28" i="91"/>
  <c r="IV55" i="91"/>
  <c r="IV49" i="91"/>
  <c r="IV25" i="91"/>
  <c r="IV23" i="91"/>
  <c r="IV24" i="91"/>
  <c r="IV22" i="91"/>
  <c r="IV19" i="91"/>
  <c r="IV45" i="91"/>
  <c r="IV69" i="91"/>
  <c r="IV56" i="91"/>
  <c r="IV52" i="91"/>
  <c r="IV43" i="91"/>
  <c r="IV89" i="91"/>
  <c r="IV27" i="91"/>
  <c r="IV13" i="91"/>
  <c r="IV34" i="91"/>
  <c r="IV88" i="91"/>
  <c r="IV46" i="91"/>
  <c r="IV26" i="91"/>
  <c r="IV85" i="91"/>
  <c r="IV78" i="91"/>
  <c r="IV17" i="91"/>
  <c r="IV31" i="91"/>
  <c r="IV12" i="91"/>
  <c r="IV68" i="91"/>
  <c r="IV58" i="91"/>
  <c r="IV32" i="91"/>
  <c r="IV48" i="91"/>
  <c r="IV51" i="91"/>
  <c r="IV18" i="91"/>
  <c r="IV82" i="91"/>
  <c r="IV35" i="91"/>
  <c r="IV53" i="91"/>
  <c r="IV16" i="91"/>
  <c r="IV102" i="91"/>
  <c r="IV108" i="91"/>
  <c r="IV84" i="91"/>
  <c r="IV47" i="91"/>
  <c r="IV83" i="91"/>
  <c r="IV87" i="91"/>
  <c r="IV99" i="91"/>
  <c r="IV15" i="91"/>
  <c r="IV67" i="91"/>
  <c r="IV63" i="91"/>
  <c r="IV21" i="91"/>
  <c r="IV64" i="91"/>
  <c r="IV92" i="91"/>
  <c r="GI75" i="91"/>
  <c r="GI105" i="91"/>
  <c r="LV138" i="91"/>
  <c r="MD138" i="91"/>
  <c r="LT202" i="91"/>
  <c r="MB202" i="91"/>
  <c r="ME11" i="91"/>
  <c r="LW11" i="91"/>
  <c r="MF11" i="91"/>
  <c r="MO11" i="91"/>
  <c r="LX11" i="91"/>
  <c r="MO12" i="91"/>
  <c r="MO17" i="91"/>
  <c r="MO16" i="91"/>
  <c r="MO13" i="91"/>
  <c r="MO22" i="91"/>
  <c r="MO23" i="91"/>
  <c r="MO25" i="91"/>
  <c r="MO43" i="91"/>
  <c r="MO36" i="91"/>
  <c r="MO52" i="91"/>
  <c r="MO57" i="91"/>
  <c r="MO66" i="91"/>
  <c r="MO56" i="91"/>
  <c r="MO90" i="91"/>
  <c r="MO93" i="91"/>
  <c r="MO82" i="91"/>
  <c r="MO68" i="91"/>
  <c r="MO50" i="91"/>
  <c r="MO34" i="91"/>
  <c r="MO44" i="91"/>
  <c r="MO37" i="91"/>
  <c r="MO58" i="91"/>
  <c r="MO46" i="91"/>
  <c r="MO102" i="91"/>
  <c r="MO87" i="91"/>
  <c r="MO89" i="91"/>
  <c r="MO49" i="91"/>
  <c r="MO31" i="91"/>
  <c r="MO64" i="91"/>
  <c r="MO51" i="91"/>
  <c r="MO54" i="91"/>
  <c r="MO28" i="91"/>
  <c r="MO33" i="91"/>
  <c r="MO19" i="91"/>
  <c r="MO24" i="91"/>
  <c r="MO88" i="91"/>
  <c r="MO53" i="91"/>
  <c r="MO29" i="91"/>
  <c r="MO30" i="91"/>
  <c r="MO65" i="91"/>
  <c r="MO35" i="91"/>
  <c r="MO108" i="91"/>
  <c r="MO45" i="91"/>
  <c r="MO103" i="91"/>
  <c r="MO101" i="91"/>
  <c r="MO86" i="91"/>
  <c r="MO55" i="91"/>
  <c r="MO27" i="91"/>
  <c r="MO18" i="91"/>
  <c r="MO78" i="91"/>
  <c r="MO83" i="91"/>
  <c r="MO63" i="91"/>
  <c r="MO32" i="91"/>
  <c r="MO99" i="91"/>
  <c r="MO67" i="91"/>
  <c r="MO48" i="91"/>
  <c r="MO100" i="91"/>
  <c r="MO84" i="91"/>
  <c r="MO85" i="91"/>
  <c r="MO47" i="91"/>
  <c r="MO69" i="91"/>
  <c r="MO92" i="91"/>
  <c r="MO21" i="91"/>
  <c r="MO42" i="91"/>
  <c r="MO15" i="91"/>
  <c r="KK137" i="91"/>
  <c r="KB137" i="91"/>
  <c r="MD11" i="91"/>
  <c r="LV11" i="91"/>
  <c r="MN11" i="91"/>
  <c r="MN19" i="91"/>
  <c r="MN24" i="91"/>
  <c r="MN30" i="91"/>
  <c r="MN43" i="91"/>
  <c r="MN44" i="91"/>
  <c r="MN54" i="91"/>
  <c r="MN46" i="91"/>
  <c r="MN50" i="91"/>
  <c r="MN65" i="91"/>
  <c r="MN68" i="91"/>
  <c r="MN82" i="91"/>
  <c r="MN89" i="91"/>
  <c r="MN101" i="91"/>
  <c r="MN69" i="91"/>
  <c r="MN34" i="91"/>
  <c r="MN87" i="91"/>
  <c r="MN32" i="91"/>
  <c r="MN102" i="91"/>
  <c r="MN90" i="91"/>
  <c r="MN86" i="91"/>
  <c r="MN36" i="91"/>
  <c r="MN27" i="91"/>
  <c r="MN22" i="91"/>
  <c r="MN56" i="91"/>
  <c r="MN52" i="91"/>
  <c r="MN45" i="91"/>
  <c r="MN29" i="91"/>
  <c r="MN12" i="91"/>
  <c r="MN103" i="91"/>
  <c r="MN67" i="91"/>
  <c r="MN57" i="91"/>
  <c r="MN55" i="91"/>
  <c r="MN53" i="91"/>
  <c r="MN51" i="91"/>
  <c r="MN37" i="91"/>
  <c r="MN35" i="91"/>
  <c r="MN25" i="91"/>
  <c r="MN23" i="91"/>
  <c r="MN17" i="91"/>
  <c r="MN31" i="91"/>
  <c r="MN28" i="91"/>
  <c r="MN16" i="91"/>
  <c r="MN49" i="91"/>
  <c r="MN58" i="91"/>
  <c r="MN48" i="91"/>
  <c r="MN18" i="91"/>
  <c r="MN13" i="91"/>
  <c r="MN78" i="91"/>
  <c r="MN93" i="91"/>
  <c r="MN47" i="91"/>
  <c r="MN66" i="91"/>
  <c r="MN33" i="91"/>
  <c r="MN63" i="91"/>
  <c r="MN64" i="91"/>
  <c r="MN99" i="91"/>
  <c r="MN85" i="91"/>
  <c r="MN88" i="91"/>
  <c r="MN100" i="91"/>
  <c r="MN108" i="91"/>
  <c r="MN92" i="91"/>
  <c r="MN15" i="91"/>
  <c r="MN84" i="91"/>
  <c r="MN42" i="91"/>
  <c r="MN21" i="91"/>
  <c r="KW83" i="91"/>
  <c r="IU92" i="91"/>
  <c r="MN83" i="91"/>
  <c r="LW117" i="91"/>
  <c r="MF117" i="91"/>
  <c r="ME117" i="91"/>
  <c r="LX117" i="91"/>
  <c r="KK202" i="91"/>
  <c r="HB106" i="91"/>
  <c r="HB111" i="91"/>
  <c r="HB112" i="91" s="1"/>
  <c r="HB109" i="91"/>
  <c r="GH111" i="91"/>
  <c r="GH112" i="91" s="1"/>
  <c r="GH106" i="91"/>
  <c r="GH109" i="91"/>
  <c r="HL39" i="91"/>
  <c r="KF11" i="91"/>
  <c r="KO11" i="91"/>
  <c r="KY11" i="91"/>
  <c r="KN11" i="91"/>
  <c r="KE11" i="91"/>
  <c r="KY23" i="91"/>
  <c r="KY36" i="91"/>
  <c r="KY37" i="91"/>
  <c r="KY57" i="91"/>
  <c r="KY91" i="91"/>
  <c r="KY24" i="91"/>
  <c r="KY85" i="91"/>
  <c r="KY68" i="91"/>
  <c r="KY52" i="91"/>
  <c r="KY43" i="91"/>
  <c r="KY26" i="91"/>
  <c r="KY86" i="91"/>
  <c r="KY101" i="91"/>
  <c r="KY82" i="91"/>
  <c r="KY25" i="91"/>
  <c r="KY17" i="91"/>
  <c r="KY87" i="91"/>
  <c r="KY22" i="91"/>
  <c r="KY16" i="91"/>
  <c r="KY29" i="91"/>
  <c r="KY35" i="91"/>
  <c r="KY58" i="91"/>
  <c r="KY90" i="91"/>
  <c r="KY44" i="91"/>
  <c r="KY103" i="91"/>
  <c r="KY89" i="91"/>
  <c r="KY46" i="91"/>
  <c r="KY55" i="91"/>
  <c r="KY12" i="91"/>
  <c r="KY34" i="91"/>
  <c r="KY65" i="91"/>
  <c r="KY102" i="91"/>
  <c r="KY32" i="91"/>
  <c r="KY48" i="91"/>
  <c r="KY88" i="91"/>
  <c r="KY19" i="91"/>
  <c r="KY45" i="91"/>
  <c r="KY50" i="91"/>
  <c r="KY100" i="91"/>
  <c r="KY18" i="91"/>
  <c r="KY30" i="91"/>
  <c r="KY33" i="91"/>
  <c r="KY93" i="91"/>
  <c r="KY13" i="91"/>
  <c r="KY27" i="91"/>
  <c r="KY28" i="91"/>
  <c r="KY49" i="91"/>
  <c r="KY54" i="91"/>
  <c r="KY66" i="91"/>
  <c r="KY51" i="91"/>
  <c r="KY53" i="91"/>
  <c r="KY108" i="91"/>
  <c r="KY69" i="91"/>
  <c r="KY56" i="91"/>
  <c r="KY67" i="91"/>
  <c r="KY21" i="91"/>
  <c r="KY78" i="91"/>
  <c r="KY47" i="91"/>
  <c r="KY63" i="91"/>
  <c r="KY84" i="91"/>
  <c r="KY92" i="91"/>
  <c r="KY99" i="91"/>
  <c r="KY42" i="91"/>
  <c r="KY31" i="91"/>
  <c r="KY15" i="91"/>
  <c r="KY64" i="91"/>
  <c r="LR60" i="91"/>
  <c r="MJ60" i="91"/>
  <c r="LZ60" i="91"/>
  <c r="EH75" i="91"/>
  <c r="KC138" i="91"/>
  <c r="KL138" i="91"/>
  <c r="EO106" i="91"/>
  <c r="EO111" i="91"/>
  <c r="EO112" i="91" s="1"/>
  <c r="EO109" i="91"/>
  <c r="HG166" i="91"/>
  <c r="HX11" i="91"/>
  <c r="IA11" i="91"/>
  <c r="IK11" i="91"/>
  <c r="IC11" i="91"/>
  <c r="IL11" i="91"/>
  <c r="IN11" i="91"/>
  <c r="IW11" i="91"/>
  <c r="IW37" i="91"/>
  <c r="IW57" i="91"/>
  <c r="IW72" i="91"/>
  <c r="IW71" i="91"/>
  <c r="IW73" i="91"/>
  <c r="IW52" i="91"/>
  <c r="IW49" i="91"/>
  <c r="IW43" i="91"/>
  <c r="IW32" i="91"/>
  <c r="IW25" i="91"/>
  <c r="IW82" i="91"/>
  <c r="IW54" i="91"/>
  <c r="IW19" i="91"/>
  <c r="IW29" i="91"/>
  <c r="IW18" i="91"/>
  <c r="IW86" i="91"/>
  <c r="IW85" i="91"/>
  <c r="IW66" i="91"/>
  <c r="IW48" i="91"/>
  <c r="IW24" i="91"/>
  <c r="IW28" i="91"/>
  <c r="IW68" i="91"/>
  <c r="IW36" i="91"/>
  <c r="IW70" i="91"/>
  <c r="IW44" i="91"/>
  <c r="IW108" i="91"/>
  <c r="IW100" i="91"/>
  <c r="IW90" i="91"/>
  <c r="IW30" i="91"/>
  <c r="IW17" i="91"/>
  <c r="IW26" i="91"/>
  <c r="IW27" i="91"/>
  <c r="IW53" i="91"/>
  <c r="IW78" i="91"/>
  <c r="IW12" i="91"/>
  <c r="IW89" i="91"/>
  <c r="IW58" i="91"/>
  <c r="IW46" i="91"/>
  <c r="IW33" i="91"/>
  <c r="IW56" i="91"/>
  <c r="IW65" i="91"/>
  <c r="IW87" i="91"/>
  <c r="IW88" i="91"/>
  <c r="IW55" i="91"/>
  <c r="IW13" i="91"/>
  <c r="IW22" i="91"/>
  <c r="IW35" i="91"/>
  <c r="IW45" i="91"/>
  <c r="IW50" i="91"/>
  <c r="IW51" i="91"/>
  <c r="IW69" i="91"/>
  <c r="IW101" i="91"/>
  <c r="IW93" i="91"/>
  <c r="IW103" i="91"/>
  <c r="IW102" i="91"/>
  <c r="IW34" i="91"/>
  <c r="IW64" i="91"/>
  <c r="IW23" i="91"/>
  <c r="IW16" i="91"/>
  <c r="IW63" i="91"/>
  <c r="IW31" i="91"/>
  <c r="IW47" i="91"/>
  <c r="IW15" i="91"/>
  <c r="IW42" i="91"/>
  <c r="IW84" i="91"/>
  <c r="IW21" i="91"/>
  <c r="IW67" i="91"/>
  <c r="IW92" i="91"/>
  <c r="IW99" i="91"/>
  <c r="MO14" i="91"/>
  <c r="KA60" i="91"/>
  <c r="KJ60" i="91"/>
  <c r="KU60" i="91"/>
  <c r="MC137" i="91"/>
  <c r="LU137" i="91"/>
  <c r="KM138" i="91"/>
  <c r="GM106" i="91"/>
  <c r="GM111" i="91"/>
  <c r="GM112" i="91" s="1"/>
  <c r="GM109" i="91"/>
  <c r="GP111" i="91"/>
  <c r="GP112" i="91" s="1"/>
  <c r="GP106" i="91"/>
  <c r="GP109" i="91"/>
  <c r="HW138" i="91"/>
  <c r="EN280" i="91"/>
  <c r="KV77" i="91"/>
  <c r="KB77" i="91"/>
  <c r="KK77" i="91"/>
  <c r="IJ117" i="91"/>
  <c r="HW117" i="91"/>
  <c r="ES106" i="91"/>
  <c r="ES111" i="91"/>
  <c r="ES112" i="91" s="1"/>
  <c r="ES109" i="91"/>
  <c r="HJ137" i="91"/>
  <c r="IJ137" i="91" s="1"/>
  <c r="KM137" i="91"/>
  <c r="MC11" i="91"/>
  <c r="LU11" i="91"/>
  <c r="MM11" i="91"/>
  <c r="MM13" i="91"/>
  <c r="MM19" i="91"/>
  <c r="MM23" i="91"/>
  <c r="MM22" i="91"/>
  <c r="MM25" i="91"/>
  <c r="MM24" i="91"/>
  <c r="MM34" i="91"/>
  <c r="MM35" i="91"/>
  <c r="MM33" i="91"/>
  <c r="MM37" i="91"/>
  <c r="MM54" i="91"/>
  <c r="MM51" i="91"/>
  <c r="MM45" i="91"/>
  <c r="MM50" i="91"/>
  <c r="MM55" i="91"/>
  <c r="MM57" i="91"/>
  <c r="MM56" i="91"/>
  <c r="MM90" i="91"/>
  <c r="MM86" i="91"/>
  <c r="MM102" i="91"/>
  <c r="MM103" i="91"/>
  <c r="MM89" i="91"/>
  <c r="MM85" i="91"/>
  <c r="MM53" i="91"/>
  <c r="MM28" i="91"/>
  <c r="MM12" i="91"/>
  <c r="MM88" i="91"/>
  <c r="MM87" i="91"/>
  <c r="MM65" i="91"/>
  <c r="MM64" i="91"/>
  <c r="MM49" i="91"/>
  <c r="MM44" i="91"/>
  <c r="MM32" i="91"/>
  <c r="MM36" i="91"/>
  <c r="MM30" i="91"/>
  <c r="MM82" i="91"/>
  <c r="MM68" i="91"/>
  <c r="MM17" i="91"/>
  <c r="MM108" i="91"/>
  <c r="MM66" i="91"/>
  <c r="MM58" i="91"/>
  <c r="MM46" i="91"/>
  <c r="MM100" i="91"/>
  <c r="MM52" i="91"/>
  <c r="MM27" i="91"/>
  <c r="MM18" i="91"/>
  <c r="MM43" i="91"/>
  <c r="MM29" i="91"/>
  <c r="MM31" i="91"/>
  <c r="MM16" i="91"/>
  <c r="MM47" i="91"/>
  <c r="MM92" i="91"/>
  <c r="MM78" i="91"/>
  <c r="MM93" i="91"/>
  <c r="MM83" i="91"/>
  <c r="MM42" i="91"/>
  <c r="MM69" i="91"/>
  <c r="MM101" i="91"/>
  <c r="MM67" i="91"/>
  <c r="MM48" i="91"/>
  <c r="MM84" i="91"/>
  <c r="MM99" i="91"/>
  <c r="MM63" i="91"/>
  <c r="MM15" i="91"/>
  <c r="MM21" i="91"/>
  <c r="MM77" i="91"/>
  <c r="JV14" i="91"/>
  <c r="IG202" i="91"/>
  <c r="HT202" i="91"/>
  <c r="GJ75" i="91"/>
  <c r="GJ105" i="91"/>
  <c r="MA60" i="91"/>
  <c r="LS60" i="91"/>
  <c r="MK60" i="91"/>
  <c r="HT60" i="91"/>
  <c r="IS60" i="91"/>
  <c r="HH61" i="91"/>
  <c r="IG60" i="91"/>
  <c r="LW138" i="91"/>
  <c r="KD138" i="91"/>
  <c r="HR40" i="91"/>
  <c r="IE40" i="91"/>
  <c r="IF40" i="91"/>
  <c r="HS40" i="91"/>
  <c r="EN75" i="91"/>
  <c r="IH77" i="91"/>
  <c r="IT77" i="91"/>
  <c r="HU77" i="91"/>
  <c r="KD117" i="91"/>
  <c r="KM117" i="91"/>
  <c r="EK280" i="91"/>
  <c r="MD77" i="91"/>
  <c r="LV77" i="91"/>
  <c r="MN77" i="91"/>
  <c r="EQ280" i="91"/>
  <c r="GF111" i="91"/>
  <c r="GF112" i="91" s="1"/>
  <c r="GF106" i="91"/>
  <c r="GF109" i="91"/>
  <c r="IU83" i="91"/>
  <c r="IR60" i="91"/>
  <c r="HG61" i="91"/>
  <c r="IF60" i="91"/>
  <c r="HS60" i="91"/>
  <c r="HV138" i="91"/>
  <c r="II138" i="91"/>
  <c r="KI137" i="91"/>
  <c r="JZ137" i="91"/>
  <c r="KJ137" i="91"/>
  <c r="KA137" i="91"/>
  <c r="GG111" i="91"/>
  <c r="GG112" i="91" s="1"/>
  <c r="GG106" i="91"/>
  <c r="GG109" i="91"/>
  <c r="KB11" i="91"/>
  <c r="KK11" i="91"/>
  <c r="KV11" i="91"/>
  <c r="KV13" i="91"/>
  <c r="KV37" i="91"/>
  <c r="KV36" i="91"/>
  <c r="KV57" i="91"/>
  <c r="KV58" i="91"/>
  <c r="KV93" i="91"/>
  <c r="KV102" i="91"/>
  <c r="KV90" i="91"/>
  <c r="KV51" i="91"/>
  <c r="KV89" i="91"/>
  <c r="KV82" i="91"/>
  <c r="KV16" i="91"/>
  <c r="KV26" i="91"/>
  <c r="KV56" i="91"/>
  <c r="KV19" i="91"/>
  <c r="KV88" i="91"/>
  <c r="KV66" i="91"/>
  <c r="KV28" i="91"/>
  <c r="KV32" i="91"/>
  <c r="KV23" i="91"/>
  <c r="KV53" i="91"/>
  <c r="KV78" i="91"/>
  <c r="KV108" i="91"/>
  <c r="KV86" i="91"/>
  <c r="KV25" i="91"/>
  <c r="KV65" i="91"/>
  <c r="KV44" i="91"/>
  <c r="KV29" i="91"/>
  <c r="KV55" i="91"/>
  <c r="KV43" i="91"/>
  <c r="KV18" i="91"/>
  <c r="KV68" i="91"/>
  <c r="KV34" i="91"/>
  <c r="KV100" i="91"/>
  <c r="KV69" i="91"/>
  <c r="KV54" i="91"/>
  <c r="KV24" i="91"/>
  <c r="KV50" i="91"/>
  <c r="KV49" i="91"/>
  <c r="KV22" i="91"/>
  <c r="KV27" i="91"/>
  <c r="KV52" i="91"/>
  <c r="KV85" i="91"/>
  <c r="KV101" i="91"/>
  <c r="KV45" i="91"/>
  <c r="KV35" i="91"/>
  <c r="KV12" i="91"/>
  <c r="KV48" i="91"/>
  <c r="KV17" i="91"/>
  <c r="KV30" i="91"/>
  <c r="KV33" i="91"/>
  <c r="KV103" i="91"/>
  <c r="KV46" i="91"/>
  <c r="KV87" i="91"/>
  <c r="KV84" i="91"/>
  <c r="KV67" i="91"/>
  <c r="KV99" i="91"/>
  <c r="KV31" i="91"/>
  <c r="KV47" i="91"/>
  <c r="KV64" i="91"/>
  <c r="KV63" i="91"/>
  <c r="KV14" i="91"/>
  <c r="KV42" i="91"/>
  <c r="KV15" i="91"/>
  <c r="LS137" i="91"/>
  <c r="MA137" i="91"/>
  <c r="MB137" i="91"/>
  <c r="LT137" i="91"/>
  <c r="HL137" i="91"/>
  <c r="HY137" i="91" s="1"/>
  <c r="KA202" i="91"/>
  <c r="KJ202" i="91"/>
  <c r="HH74" i="91"/>
  <c r="ME138" i="91"/>
  <c r="KW14" i="91"/>
  <c r="EL280" i="91"/>
  <c r="HM166" i="91"/>
  <c r="EK75" i="91"/>
  <c r="EP280" i="91"/>
  <c r="EM280" i="91"/>
  <c r="KE77" i="91"/>
  <c r="KN77" i="91"/>
  <c r="KY77" i="91"/>
  <c r="KF77" i="91"/>
  <c r="KO77" i="91"/>
  <c r="EQ75" i="91"/>
  <c r="IT11" i="91"/>
  <c r="HU11" i="91"/>
  <c r="IH11" i="91"/>
  <c r="IT19" i="91"/>
  <c r="IT37" i="91"/>
  <c r="IT50" i="91"/>
  <c r="IT57" i="91"/>
  <c r="IT70" i="91"/>
  <c r="IT72" i="91"/>
  <c r="IT89" i="91"/>
  <c r="IT93" i="91"/>
  <c r="IT56" i="91"/>
  <c r="IT30" i="91"/>
  <c r="IT28" i="91"/>
  <c r="IT55" i="91"/>
  <c r="IT51" i="91"/>
  <c r="IT43" i="91"/>
  <c r="IT100" i="91"/>
  <c r="IT85" i="91"/>
  <c r="IT82" i="91"/>
  <c r="IT25" i="91"/>
  <c r="IT58" i="91"/>
  <c r="IT49" i="91"/>
  <c r="IT33" i="91"/>
  <c r="IT16" i="91"/>
  <c r="IT32" i="91"/>
  <c r="IT29" i="91"/>
  <c r="IT66" i="91"/>
  <c r="IT36" i="91"/>
  <c r="IT102" i="91"/>
  <c r="IT90" i="91"/>
  <c r="IT88" i="91"/>
  <c r="IT71" i="91"/>
  <c r="IT44" i="91"/>
  <c r="IT13" i="91"/>
  <c r="IT54" i="91"/>
  <c r="IT68" i="91"/>
  <c r="IT52" i="91"/>
  <c r="IT31" i="91"/>
  <c r="IT23" i="91"/>
  <c r="IT27" i="91"/>
  <c r="IT35" i="91"/>
  <c r="IT34" i="91"/>
  <c r="IT108" i="91"/>
  <c r="IT45" i="91"/>
  <c r="IT48" i="91"/>
  <c r="IT53" i="91"/>
  <c r="IT12" i="91"/>
  <c r="IT22" i="91"/>
  <c r="IT24" i="91"/>
  <c r="IT101" i="91"/>
  <c r="IT17" i="91"/>
  <c r="IT26" i="91"/>
  <c r="IT78" i="91"/>
  <c r="IT86" i="91"/>
  <c r="IT103" i="91"/>
  <c r="IT46" i="91"/>
  <c r="IT18" i="91"/>
  <c r="IT69" i="91"/>
  <c r="IT65" i="91"/>
  <c r="IT63" i="91"/>
  <c r="IT15" i="91"/>
  <c r="IT42" i="91"/>
  <c r="IT67" i="91"/>
  <c r="IT84" i="91"/>
  <c r="IT14" i="91"/>
  <c r="IT99" i="91"/>
  <c r="IT87" i="91"/>
  <c r="IT64" i="91"/>
  <c r="IT47" i="91"/>
  <c r="HS137" i="91"/>
  <c r="IF137" i="91"/>
  <c r="HT137" i="91"/>
  <c r="IG137" i="91"/>
  <c r="HX138" i="91"/>
  <c r="IA138" i="91"/>
  <c r="IK138" i="91"/>
  <c r="IN138" i="91"/>
  <c r="IC138" i="91"/>
  <c r="IL138" i="91"/>
  <c r="KV92" i="91"/>
  <c r="EI280" i="91"/>
  <c r="LV117" i="91"/>
  <c r="MD117" i="91"/>
  <c r="GK111" i="91"/>
  <c r="GK112" i="91" s="1"/>
  <c r="GK106" i="91"/>
  <c r="GK109" i="91"/>
  <c r="EL75" i="91"/>
  <c r="KV83" i="91"/>
  <c r="HJ39" i="91"/>
  <c r="LU202" i="91"/>
  <c r="EP75" i="91"/>
  <c r="EM75" i="91"/>
  <c r="IA77" i="91"/>
  <c r="IK77" i="91"/>
  <c r="IC77" i="91"/>
  <c r="IL77" i="91"/>
  <c r="IN77" i="91"/>
  <c r="IW77" i="91"/>
  <c r="HX77" i="91"/>
  <c r="DH200" i="88"/>
  <c r="DG200" i="88"/>
  <c r="DD200" i="88"/>
  <c r="DA200" i="88"/>
  <c r="CZ200" i="88"/>
  <c r="CY200" i="88"/>
  <c r="CW200" i="88"/>
  <c r="DH185" i="88"/>
  <c r="DE185" i="88"/>
  <c r="DA185" i="88"/>
  <c r="CZ185" i="88"/>
  <c r="CX185" i="88"/>
  <c r="CW185" i="88"/>
  <c r="DD175" i="88"/>
  <c r="DH175" i="88"/>
  <c r="CZ175" i="88"/>
  <c r="CW175" i="88"/>
  <c r="DD161" i="88"/>
  <c r="DC161" i="88"/>
  <c r="DB161" i="88"/>
  <c r="DH137" i="88"/>
  <c r="DG137" i="88"/>
  <c r="DF133" i="88"/>
  <c r="DE133" i="88"/>
  <c r="CX133" i="88"/>
  <c r="DC117" i="88"/>
  <c r="DC116" i="88" s="1"/>
  <c r="DH221" i="88"/>
  <c r="DG221" i="88"/>
  <c r="DF221" i="88"/>
  <c r="DD221" i="88"/>
  <c r="DC221" i="88"/>
  <c r="DB221" i="88"/>
  <c r="DA221" i="88"/>
  <c r="CZ221" i="88"/>
  <c r="CY221" i="88"/>
  <c r="CX221" i="88"/>
  <c r="DH91" i="88"/>
  <c r="DH225" i="88"/>
  <c r="DG225" i="88"/>
  <c r="DF225" i="88"/>
  <c r="DD225" i="88"/>
  <c r="DC225" i="88"/>
  <c r="DB225" i="88"/>
  <c r="DA225" i="88"/>
  <c r="CZ225" i="88"/>
  <c r="CY225" i="88"/>
  <c r="CX225" i="88"/>
  <c r="DH67" i="88"/>
  <c r="DD31" i="88"/>
  <c r="DB15" i="88"/>
  <c r="DB14" i="88" s="1"/>
  <c r="DH15" i="88"/>
  <c r="DH14" i="88" s="1"/>
  <c r="DG15" i="88"/>
  <c r="GN109" i="91" l="1"/>
  <c r="HZ166" i="91"/>
  <c r="HZ40" i="91"/>
  <c r="HY39" i="91"/>
  <c r="HD109" i="91"/>
  <c r="JA106" i="91"/>
  <c r="HE106" i="91"/>
  <c r="IP105" i="91"/>
  <c r="HD111" i="91"/>
  <c r="HD112" i="91" s="1"/>
  <c r="KQ111" i="91"/>
  <c r="HE111" i="91"/>
  <c r="IP111" i="91" s="1"/>
  <c r="DC185" i="88"/>
  <c r="DD137" i="88"/>
  <c r="DE200" i="88"/>
  <c r="CZ188" i="88"/>
  <c r="DH188" i="88"/>
  <c r="DD188" i="88"/>
  <c r="DH141" i="88"/>
  <c r="DE161" i="88"/>
  <c r="DB150" i="88"/>
  <c r="DC137" i="88"/>
  <c r="CW117" i="88"/>
  <c r="CW116" i="88" s="1"/>
  <c r="CW109" i="88" s="1"/>
  <c r="DE117" i="88"/>
  <c r="DE116" i="88" s="1"/>
  <c r="DE109" i="88" s="1"/>
  <c r="CW137" i="88"/>
  <c r="DD141" i="88"/>
  <c r="CW188" i="88"/>
  <c r="CW182" i="88" s="1"/>
  <c r="DE188" i="88"/>
  <c r="DB81" i="88"/>
  <c r="CX117" i="88"/>
  <c r="CX116" i="88" s="1"/>
  <c r="CX109" i="88" s="1"/>
  <c r="DB133" i="88"/>
  <c r="CX67" i="88"/>
  <c r="CX63" i="88" s="1"/>
  <c r="DF67" i="88"/>
  <c r="DC81" i="88"/>
  <c r="CY185" i="88"/>
  <c r="DG185" i="88"/>
  <c r="CY188" i="88"/>
  <c r="DG188" i="88"/>
  <c r="DC188" i="88"/>
  <c r="DC182" i="88" s="1"/>
  <c r="CX200" i="88"/>
  <c r="DF200" i="88"/>
  <c r="DG67" i="88"/>
  <c r="CY67" i="88"/>
  <c r="CW81" i="88"/>
  <c r="DE81" i="88"/>
  <c r="DD91" i="88"/>
  <c r="CY117" i="88"/>
  <c r="CY116" i="88" s="1"/>
  <c r="DG117" i="88"/>
  <c r="DG116" i="88" s="1"/>
  <c r="DG109" i="88" s="1"/>
  <c r="DG133" i="88"/>
  <c r="DC133" i="88"/>
  <c r="DD185" i="88"/>
  <c r="DD182" i="88" s="1"/>
  <c r="CX81" i="88"/>
  <c r="DF81" i="88"/>
  <c r="CX150" i="88"/>
  <c r="CX168" i="88"/>
  <c r="DF168" i="88"/>
  <c r="CX171" i="88"/>
  <c r="DF171" i="88"/>
  <c r="DB171" i="88"/>
  <c r="DB175" i="88"/>
  <c r="DG81" i="88"/>
  <c r="DF185" i="88"/>
  <c r="CX188" i="88"/>
  <c r="DF188" i="88"/>
  <c r="DB188" i="88"/>
  <c r="DB200" i="88"/>
  <c r="CW91" i="88"/>
  <c r="DE91" i="88"/>
  <c r="CZ117" i="88"/>
  <c r="CZ116" i="88" s="1"/>
  <c r="DH117" i="88"/>
  <c r="DD117" i="88"/>
  <c r="DD116" i="88" s="1"/>
  <c r="DD219" i="88" s="1"/>
  <c r="DH133" i="88"/>
  <c r="DH131" i="88" s="1"/>
  <c r="DH130" i="88" s="1"/>
  <c r="DH129" i="88" s="1"/>
  <c r="CY81" i="88"/>
  <c r="DG84" i="88"/>
  <c r="DF150" i="88"/>
  <c r="DH84" i="88"/>
  <c r="CY91" i="88"/>
  <c r="CY89" i="88" s="1"/>
  <c r="DG91" i="88"/>
  <c r="DG89" i="88" s="1"/>
  <c r="DB117" i="88"/>
  <c r="DB116" i="88" s="1"/>
  <c r="DC219" i="88" s="1"/>
  <c r="DE137" i="88"/>
  <c r="DG168" i="88"/>
  <c r="CY171" i="88"/>
  <c r="DG171" i="88"/>
  <c r="CY182" i="88"/>
  <c r="CZ150" i="88"/>
  <c r="DH150" i="88"/>
  <c r="DH168" i="88"/>
  <c r="CZ171" i="88"/>
  <c r="DH171" i="88"/>
  <c r="DD171" i="88"/>
  <c r="DA91" i="88"/>
  <c r="DA89" i="88" s="1"/>
  <c r="DA133" i="88"/>
  <c r="CW133" i="88"/>
  <c r="CY141" i="88"/>
  <c r="DG141" i="88"/>
  <c r="DG131" i="88" s="1"/>
  <c r="DC84" i="88"/>
  <c r="DC80" i="88" s="1"/>
  <c r="DC77" i="88" s="1"/>
  <c r="CY84" i="88"/>
  <c r="DB91" i="88"/>
  <c r="DB89" i="88" s="1"/>
  <c r="CW161" i="88"/>
  <c r="DA171" i="88"/>
  <c r="CW171" i="88"/>
  <c r="DE171" i="88"/>
  <c r="DD84" i="88"/>
  <c r="DB137" i="88"/>
  <c r="DG150" i="88"/>
  <c r="DC168" i="88"/>
  <c r="CY168" i="88"/>
  <c r="DE175" i="88"/>
  <c r="DB185" i="88"/>
  <c r="CX228" i="88"/>
  <c r="DF228" i="88"/>
  <c r="DA228" i="88"/>
  <c r="DC200" i="88"/>
  <c r="DD168" i="88"/>
  <c r="DD160" i="88" s="1"/>
  <c r="CZ168" i="88"/>
  <c r="DC171" i="88"/>
  <c r="CX175" i="88"/>
  <c r="DF175" i="88"/>
  <c r="CY228" i="88"/>
  <c r="DG228" i="88"/>
  <c r="CW168" i="88"/>
  <c r="DE168" i="88"/>
  <c r="DA168" i="88"/>
  <c r="CY175" i="88"/>
  <c r="DG175" i="88"/>
  <c r="DC175" i="88"/>
  <c r="DB47" i="88"/>
  <c r="DB42" i="88" s="1"/>
  <c r="DD47" i="88"/>
  <c r="DD42" i="88" s="1"/>
  <c r="DA84" i="88"/>
  <c r="CZ91" i="88"/>
  <c r="CZ89" i="88" s="1"/>
  <c r="DE231" i="88"/>
  <c r="CX141" i="88"/>
  <c r="DF141" i="88"/>
  <c r="DC224" i="88"/>
  <c r="CX182" i="88"/>
  <c r="DF47" i="88"/>
  <c r="DF42" i="88" s="1"/>
  <c r="CZ67" i="88"/>
  <c r="CZ63" i="88" s="1"/>
  <c r="DD67" i="88"/>
  <c r="DD63" i="88" s="1"/>
  <c r="DA67" i="88"/>
  <c r="CW67" i="88"/>
  <c r="CW63" i="88" s="1"/>
  <c r="DE67" i="88"/>
  <c r="DE63" i="88" s="1"/>
  <c r="CY80" i="88"/>
  <c r="DC64" i="88"/>
  <c r="CX47" i="88"/>
  <c r="CX42" i="88" s="1"/>
  <c r="DG80" i="88"/>
  <c r="DG77" i="88" s="1"/>
  <c r="HJ60" i="91"/>
  <c r="KF137" i="91"/>
  <c r="KN137" i="91"/>
  <c r="KE137" i="91"/>
  <c r="KO137" i="91"/>
  <c r="IF61" i="91"/>
  <c r="HS61" i="91"/>
  <c r="MD137" i="91"/>
  <c r="LV137" i="91"/>
  <c r="IA39" i="91"/>
  <c r="IK39" i="91"/>
  <c r="IN39" i="91"/>
  <c r="HX39" i="91"/>
  <c r="IC39" i="91"/>
  <c r="IW39" i="91"/>
  <c r="IL39" i="91"/>
  <c r="HW137" i="91"/>
  <c r="MA74" i="91"/>
  <c r="LS74" i="91"/>
  <c r="MK74" i="91"/>
  <c r="KB166" i="91"/>
  <c r="KK166" i="91"/>
  <c r="HK60" i="91"/>
  <c r="IK137" i="91"/>
  <c r="IA137" i="91"/>
  <c r="IC137" i="91"/>
  <c r="IN137" i="91"/>
  <c r="HX137" i="91"/>
  <c r="IL137" i="91"/>
  <c r="KC137" i="91"/>
  <c r="KL137" i="91"/>
  <c r="HS166" i="91"/>
  <c r="IF166" i="91"/>
  <c r="HT166" i="91"/>
  <c r="IG166" i="91"/>
  <c r="KE39" i="91"/>
  <c r="KN39" i="91"/>
  <c r="KY39" i="91"/>
  <c r="KF39" i="91"/>
  <c r="KO39" i="91"/>
  <c r="LZ74" i="91"/>
  <c r="LR74" i="91"/>
  <c r="MJ74" i="91"/>
  <c r="HM60" i="91"/>
  <c r="HM74" i="91"/>
  <c r="HZ74" i="91" s="1"/>
  <c r="IH166" i="91"/>
  <c r="HU166" i="91"/>
  <c r="KD39" i="91"/>
  <c r="KM39" i="91"/>
  <c r="KX39" i="91"/>
  <c r="KW39" i="91"/>
  <c r="KL39" i="91"/>
  <c r="KC39" i="91"/>
  <c r="KD137" i="91"/>
  <c r="II137" i="91"/>
  <c r="HV137" i="91"/>
  <c r="KI166" i="91"/>
  <c r="JZ166" i="91"/>
  <c r="KJ166" i="91"/>
  <c r="KA166" i="91"/>
  <c r="HW39" i="91"/>
  <c r="IJ39" i="91"/>
  <c r="IV39" i="91"/>
  <c r="KJ74" i="91"/>
  <c r="KA74" i="91"/>
  <c r="KU74" i="91"/>
  <c r="MA166" i="91"/>
  <c r="LS166" i="91"/>
  <c r="LT166" i="91"/>
  <c r="MB166" i="91"/>
  <c r="JL40" i="91"/>
  <c r="JP40" i="91" s="1"/>
  <c r="JP39" i="91"/>
  <c r="HH75" i="91"/>
  <c r="IG74" i="91"/>
  <c r="IS74" i="91"/>
  <c r="HT74" i="91"/>
  <c r="HI60" i="91"/>
  <c r="GI106" i="91"/>
  <c r="GI111" i="91"/>
  <c r="GI112" i="91" s="1"/>
  <c r="GI109" i="91"/>
  <c r="MD39" i="91"/>
  <c r="LV39" i="91"/>
  <c r="MN39" i="91"/>
  <c r="ME39" i="91"/>
  <c r="LX39" i="91"/>
  <c r="MF39" i="91"/>
  <c r="MO39" i="91"/>
  <c r="LW39" i="91"/>
  <c r="JY74" i="91"/>
  <c r="KH74" i="91"/>
  <c r="KS74" i="91"/>
  <c r="HH105" i="91"/>
  <c r="HL166" i="91"/>
  <c r="LU39" i="91"/>
  <c r="MM39" i="91"/>
  <c r="MC39" i="91"/>
  <c r="GJ109" i="91"/>
  <c r="GJ106" i="91"/>
  <c r="GJ111" i="91"/>
  <c r="GJ112" i="91" s="1"/>
  <c r="LX40" i="91"/>
  <c r="MF40" i="91"/>
  <c r="HS74" i="91"/>
  <c r="IF74" i="91"/>
  <c r="IR74" i="91"/>
  <c r="HG75" i="91"/>
  <c r="HR74" i="91"/>
  <c r="IQ74" i="91"/>
  <c r="HF75" i="91"/>
  <c r="IE74" i="91"/>
  <c r="LW137" i="91"/>
  <c r="IH39" i="91"/>
  <c r="HI40" i="91"/>
  <c r="IT39" i="91"/>
  <c r="HU39" i="91"/>
  <c r="LX166" i="91"/>
  <c r="MF166" i="91"/>
  <c r="MB74" i="91"/>
  <c r="LT74" i="91"/>
  <c r="ML74" i="91"/>
  <c r="IG61" i="91"/>
  <c r="HT61" i="91"/>
  <c r="JZ74" i="91"/>
  <c r="KI74" i="91"/>
  <c r="KT74" i="91"/>
  <c r="ME137" i="91"/>
  <c r="HV39" i="91"/>
  <c r="IU39" i="91"/>
  <c r="II39" i="91"/>
  <c r="HJ40" i="91"/>
  <c r="HJ166" i="91"/>
  <c r="HL60" i="91"/>
  <c r="HL74" i="91"/>
  <c r="GO111" i="91"/>
  <c r="GO112" i="91" s="1"/>
  <c r="GO106" i="91"/>
  <c r="GO109" i="91"/>
  <c r="HG105" i="91"/>
  <c r="HF105" i="91"/>
  <c r="MC166" i="91"/>
  <c r="LU166" i="91"/>
  <c r="HR61" i="91"/>
  <c r="IE61" i="91"/>
  <c r="GL106" i="91"/>
  <c r="GL111" i="91"/>
  <c r="GL112" i="91" s="1"/>
  <c r="GL109" i="91"/>
  <c r="CZ141" i="88"/>
  <c r="DE141" i="88"/>
  <c r="DB141" i="88"/>
  <c r="DC141" i="88"/>
  <c r="CY133" i="88"/>
  <c r="CZ133" i="88"/>
  <c r="CX137" i="88"/>
  <c r="DF137" i="88"/>
  <c r="CY137" i="88"/>
  <c r="CZ137" i="88"/>
  <c r="DB84" i="88"/>
  <c r="DB80" i="88" s="1"/>
  <c r="DB77" i="88" s="1"/>
  <c r="CZ81" i="88"/>
  <c r="DH81" i="88"/>
  <c r="CW84" i="88"/>
  <c r="CW80" i="88" s="1"/>
  <c r="CW77" i="88" s="1"/>
  <c r="DE84" i="88"/>
  <c r="DE80" i="88" s="1"/>
  <c r="DE77" i="88" s="1"/>
  <c r="CY63" i="88"/>
  <c r="DG63" i="88"/>
  <c r="CY64" i="88"/>
  <c r="DG64" i="88"/>
  <c r="DA64" i="88"/>
  <c r="DB11" i="88"/>
  <c r="DE31" i="88"/>
  <c r="DC47" i="88"/>
  <c r="DC42" i="88" s="1"/>
  <c r="CX64" i="88"/>
  <c r="DF64" i="88"/>
  <c r="CZ231" i="88"/>
  <c r="DH231" i="88"/>
  <c r="DC109" i="88"/>
  <c r="DF117" i="88"/>
  <c r="DF116" i="88" s="1"/>
  <c r="DF219" i="88" s="1"/>
  <c r="DA141" i="88"/>
  <c r="CW141" i="88"/>
  <c r="DD150" i="88"/>
  <c r="CY161" i="88"/>
  <c r="DG161" i="88"/>
  <c r="DA188" i="88"/>
  <c r="DA182" i="88" s="1"/>
  <c r="DA47" i="88"/>
  <c r="DA42" i="88" s="1"/>
  <c r="CZ84" i="88"/>
  <c r="DD133" i="88"/>
  <c r="DD131" i="88" s="1"/>
  <c r="DD130" i="88" s="1"/>
  <c r="CW150" i="88"/>
  <c r="DE150" i="88"/>
  <c r="DA150" i="88"/>
  <c r="CZ161" i="88"/>
  <c r="DH161" i="88"/>
  <c r="CX91" i="88"/>
  <c r="CX89" i="88" s="1"/>
  <c r="DA161" i="88"/>
  <c r="DB224" i="88" s="1"/>
  <c r="DB168" i="88"/>
  <c r="DB160" i="88" s="1"/>
  <c r="DH182" i="88"/>
  <c r="CZ228" i="88"/>
  <c r="DH228" i="88"/>
  <c r="DD224" i="88"/>
  <c r="DB228" i="88"/>
  <c r="DE224" i="88"/>
  <c r="DC228" i="88"/>
  <c r="CX31" i="88"/>
  <c r="CX21" i="88" s="1"/>
  <c r="DF31" i="88"/>
  <c r="DF21" i="88" s="1"/>
  <c r="DC31" i="88"/>
  <c r="DC21" i="88" s="1"/>
  <c r="DD64" i="88"/>
  <c r="DH64" i="88"/>
  <c r="DB67" i="88"/>
  <c r="DB63" i="88" s="1"/>
  <c r="DD81" i="88"/>
  <c r="DF91" i="88"/>
  <c r="DF89" i="88" s="1"/>
  <c r="DE182" i="88"/>
  <c r="DD228" i="88"/>
  <c r="DC15" i="88"/>
  <c r="DC14" i="88" s="1"/>
  <c r="DC11" i="88" s="1"/>
  <c r="CY15" i="88"/>
  <c r="CY14" i="88" s="1"/>
  <c r="CY11" i="88" s="1"/>
  <c r="CY31" i="88"/>
  <c r="CY21" i="88" s="1"/>
  <c r="DG31" i="88"/>
  <c r="DG21" i="88" s="1"/>
  <c r="DD15" i="88"/>
  <c r="DD14" i="88" s="1"/>
  <c r="DD11" i="88" s="1"/>
  <c r="CZ15" i="88"/>
  <c r="CZ14" i="88" s="1"/>
  <c r="CZ11" i="88" s="1"/>
  <c r="DD21" i="88"/>
  <c r="CZ31" i="88"/>
  <c r="DH31" i="88"/>
  <c r="CW64" i="88"/>
  <c r="DE64" i="88"/>
  <c r="DA81" i="88"/>
  <c r="DA80" i="88" s="1"/>
  <c r="DA77" i="88" s="1"/>
  <c r="DA226" i="88" s="1"/>
  <c r="CX84" i="88"/>
  <c r="CX80" i="88" s="1"/>
  <c r="CX77" i="88" s="1"/>
  <c r="DF84" i="88"/>
  <c r="DF80" i="88" s="1"/>
  <c r="DF77" i="88" s="1"/>
  <c r="DC91" i="88"/>
  <c r="DC89" i="88" s="1"/>
  <c r="CY231" i="88"/>
  <c r="DG231" i="88"/>
  <c r="DA117" i="88"/>
  <c r="DA116" i="88" s="1"/>
  <c r="DA137" i="88"/>
  <c r="DC150" i="88"/>
  <c r="CY150" i="88"/>
  <c r="CX161" i="88"/>
  <c r="DF161" i="88"/>
  <c r="DA175" i="88"/>
  <c r="DE228" i="88"/>
  <c r="DG14" i="88"/>
  <c r="DG11" i="88" s="1"/>
  <c r="CW15" i="88"/>
  <c r="CW14" i="88" s="1"/>
  <c r="CW11" i="88" s="1"/>
  <c r="DE15" i="88"/>
  <c r="DE14" i="88" s="1"/>
  <c r="DE11" i="88" s="1"/>
  <c r="DA15" i="88"/>
  <c r="DA14" i="88" s="1"/>
  <c r="DA11" i="88" s="1"/>
  <c r="DF15" i="88"/>
  <c r="DF14" i="88" s="1"/>
  <c r="DF11" i="88" s="1"/>
  <c r="DA31" i="88"/>
  <c r="CW31" i="88"/>
  <c r="CW21" i="88" s="1"/>
  <c r="DF63" i="88"/>
  <c r="DH11" i="88"/>
  <c r="DA21" i="88"/>
  <c r="DB31" i="88"/>
  <c r="DH63" i="88"/>
  <c r="DC67" i="88"/>
  <c r="DC63" i="88" s="1"/>
  <c r="DE21" i="88"/>
  <c r="CY47" i="88"/>
  <c r="CY42" i="88" s="1"/>
  <c r="DG47" i="88"/>
  <c r="DG42" i="88" s="1"/>
  <c r="CZ47" i="88"/>
  <c r="CZ42" i="88" s="1"/>
  <c r="DH47" i="88"/>
  <c r="DH42" i="88" s="1"/>
  <c r="DB64" i="88"/>
  <c r="CW47" i="88"/>
  <c r="CW42" i="88" s="1"/>
  <c r="DE47" i="88"/>
  <c r="DE42" i="88" s="1"/>
  <c r="CX15" i="88"/>
  <c r="CX14" i="88" s="1"/>
  <c r="CX11" i="88" s="1"/>
  <c r="DH116" i="88"/>
  <c r="DH109" i="88" s="1"/>
  <c r="DF131" i="88"/>
  <c r="CZ21" i="88"/>
  <c r="DH21" i="88"/>
  <c r="DB21" i="88"/>
  <c r="DB39" i="88" s="1"/>
  <c r="CY77" i="88"/>
  <c r="CY226" i="88" s="1"/>
  <c r="CZ64" i="88"/>
  <c r="DA63" i="88"/>
  <c r="DD89" i="88"/>
  <c r="DA231" i="88"/>
  <c r="DE221" i="88"/>
  <c r="DB231" i="88"/>
  <c r="DC231" i="88"/>
  <c r="DH89" i="88"/>
  <c r="DD231" i="88"/>
  <c r="CY219" i="88"/>
  <c r="DF224" i="88"/>
  <c r="CW89" i="88"/>
  <c r="CW225" i="88"/>
  <c r="DE89" i="88"/>
  <c r="DE225" i="88"/>
  <c r="CY109" i="88"/>
  <c r="CZ219" i="88"/>
  <c r="CZ109" i="88"/>
  <c r="CX231" i="88"/>
  <c r="DF231" i="88"/>
  <c r="CW221" i="88"/>
  <c r="CZ182" i="88"/>
  <c r="HZ60" i="91" l="1"/>
  <c r="HM61" i="91"/>
  <c r="HZ61" i="91" s="1"/>
  <c r="B70" i="91"/>
  <c r="HL61" i="91"/>
  <c r="B71" i="91"/>
  <c r="L49" i="1" s="1"/>
  <c r="L69" i="3" s="1"/>
  <c r="HY166" i="91"/>
  <c r="HY74" i="91"/>
  <c r="HY60" i="91"/>
  <c r="HY40" i="91"/>
  <c r="JA112" i="91"/>
  <c r="HE112" i="91"/>
  <c r="KR111" i="91"/>
  <c r="DE219" i="88"/>
  <c r="DF182" i="88"/>
  <c r="CZ224" i="88"/>
  <c r="DB131" i="88"/>
  <c r="DB130" i="88" s="1"/>
  <c r="DB129" i="88" s="1"/>
  <c r="DE131" i="88"/>
  <c r="DG182" i="88"/>
  <c r="CX219" i="88"/>
  <c r="DD80" i="88"/>
  <c r="DD77" i="88" s="1"/>
  <c r="DD226" i="88" s="1"/>
  <c r="DB182" i="88"/>
  <c r="DB194" i="88" s="1"/>
  <c r="CW160" i="88"/>
  <c r="CW194" i="88" s="1"/>
  <c r="CX131" i="88"/>
  <c r="DG226" i="88"/>
  <c r="DE160" i="88"/>
  <c r="DE220" i="88" s="1"/>
  <c r="DE218" i="88" s="1"/>
  <c r="DC160" i="88"/>
  <c r="CY160" i="88"/>
  <c r="CY194" i="88" s="1"/>
  <c r="DF160" i="88"/>
  <c r="DF194" i="88" s="1"/>
  <c r="CX160" i="88"/>
  <c r="DC131" i="88"/>
  <c r="DD216" i="88" s="1"/>
  <c r="DG224" i="88"/>
  <c r="DA131" i="88"/>
  <c r="DD109" i="88"/>
  <c r="CW131" i="88"/>
  <c r="CW130" i="88" s="1"/>
  <c r="CW129" i="88" s="1"/>
  <c r="CW158" i="88" s="1"/>
  <c r="DB109" i="88"/>
  <c r="DB158" i="88" s="1"/>
  <c r="DD194" i="88"/>
  <c r="DB219" i="88"/>
  <c r="DF109" i="88"/>
  <c r="DG219" i="88"/>
  <c r="DF226" i="88"/>
  <c r="CZ160" i="88"/>
  <c r="CZ194" i="88" s="1"/>
  <c r="DG160" i="88"/>
  <c r="DG194" i="88" s="1"/>
  <c r="DA224" i="88"/>
  <c r="DA109" i="88"/>
  <c r="CZ80" i="88"/>
  <c r="CZ77" i="88" s="1"/>
  <c r="CZ226" i="88" s="1"/>
  <c r="DA219" i="88"/>
  <c r="CX224" i="88"/>
  <c r="DH224" i="88"/>
  <c r="DE39" i="88"/>
  <c r="DE40" i="88" s="1"/>
  <c r="DD39" i="88"/>
  <c r="DD40" i="88" s="1"/>
  <c r="DH160" i="88"/>
  <c r="DA160" i="88"/>
  <c r="DB220" i="88" s="1"/>
  <c r="CY224" i="88"/>
  <c r="DC226" i="88"/>
  <c r="CY131" i="88"/>
  <c r="CY216" i="88" s="1"/>
  <c r="DH80" i="88"/>
  <c r="DH77" i="88" s="1"/>
  <c r="DH226" i="88" s="1"/>
  <c r="HF111" i="91"/>
  <c r="KL166" i="91"/>
  <c r="KC166" i="91"/>
  <c r="IF75" i="91"/>
  <c r="HS75" i="91"/>
  <c r="HH111" i="91"/>
  <c r="LX61" i="91"/>
  <c r="MF61" i="91"/>
  <c r="JO60" i="91"/>
  <c r="HX60" i="91"/>
  <c r="IA60" i="91"/>
  <c r="IK60" i="91"/>
  <c r="IC60" i="91"/>
  <c r="IW60" i="91"/>
  <c r="IL60" i="91"/>
  <c r="IN60" i="91"/>
  <c r="II166" i="91"/>
  <c r="HV166" i="91"/>
  <c r="HT75" i="91"/>
  <c r="IG75" i="91"/>
  <c r="KM166" i="91"/>
  <c r="LZ105" i="91"/>
  <c r="LR105" i="91"/>
  <c r="MJ105" i="91"/>
  <c r="KN166" i="91"/>
  <c r="KF166" i="91"/>
  <c r="KE166" i="91"/>
  <c r="KO166" i="91"/>
  <c r="KV60" i="91"/>
  <c r="KB60" i="91"/>
  <c r="KK60" i="91"/>
  <c r="KD166" i="91"/>
  <c r="MD60" i="91"/>
  <c r="MN60" i="91"/>
  <c r="LV60" i="91"/>
  <c r="MD166" i="91"/>
  <c r="LV166" i="91"/>
  <c r="HX166" i="91"/>
  <c r="IA166" i="91"/>
  <c r="IK166" i="91"/>
  <c r="IC166" i="91"/>
  <c r="IN166" i="91"/>
  <c r="IL166" i="91"/>
  <c r="IH60" i="91"/>
  <c r="HI61" i="91"/>
  <c r="IT60" i="91"/>
  <c r="HU60" i="91"/>
  <c r="JT39" i="91"/>
  <c r="JV39" i="91"/>
  <c r="JS39" i="91"/>
  <c r="HJ74" i="91"/>
  <c r="KE60" i="91"/>
  <c r="KN60" i="91"/>
  <c r="KF60" i="91"/>
  <c r="KO60" i="91"/>
  <c r="KY60" i="91"/>
  <c r="KJ105" i="91"/>
  <c r="KA105" i="91"/>
  <c r="KU105" i="91"/>
  <c r="JS40" i="91"/>
  <c r="JT40" i="91"/>
  <c r="HK74" i="91"/>
  <c r="KW60" i="91"/>
  <c r="KC60" i="91"/>
  <c r="KL60" i="91"/>
  <c r="KT105" i="91"/>
  <c r="KI105" i="91"/>
  <c r="JZ105" i="91"/>
  <c r="ME166" i="91"/>
  <c r="HS105" i="91"/>
  <c r="IR105" i="91"/>
  <c r="IF105" i="91"/>
  <c r="HG106" i="91"/>
  <c r="HG109" i="91"/>
  <c r="LW166" i="91"/>
  <c r="MA105" i="91"/>
  <c r="MK105" i="91"/>
  <c r="LS105" i="91"/>
  <c r="JP74" i="91"/>
  <c r="IE75" i="91"/>
  <c r="HR75" i="91"/>
  <c r="HT105" i="91"/>
  <c r="IG105" i="91"/>
  <c r="HH106" i="91"/>
  <c r="IS105" i="91"/>
  <c r="HH109" i="91"/>
  <c r="ER280" i="91"/>
  <c r="HW40" i="91"/>
  <c r="IJ40" i="91"/>
  <c r="IN40" i="91"/>
  <c r="HX40" i="91"/>
  <c r="IK40" i="91"/>
  <c r="IL40" i="91"/>
  <c r="IA40" i="91"/>
  <c r="IC40" i="91"/>
  <c r="HW166" i="91"/>
  <c r="ER75" i="91"/>
  <c r="HZ75" i="91"/>
  <c r="KD60" i="91"/>
  <c r="KM60" i="91"/>
  <c r="KX60" i="91"/>
  <c r="II60" i="91"/>
  <c r="HJ61" i="91"/>
  <c r="IU60" i="91"/>
  <c r="HV60" i="91"/>
  <c r="IE105" i="91"/>
  <c r="IQ105" i="91"/>
  <c r="HR105" i="91"/>
  <c r="HF106" i="91"/>
  <c r="HF109" i="91"/>
  <c r="JY105" i="91"/>
  <c r="KS105" i="91"/>
  <c r="KH105" i="91"/>
  <c r="HG111" i="91"/>
  <c r="JP60" i="91"/>
  <c r="JL61" i="91"/>
  <c r="II40" i="91"/>
  <c r="HV40" i="91"/>
  <c r="HU40" i="91"/>
  <c r="IH40" i="91"/>
  <c r="MB105" i="91"/>
  <c r="ML105" i="91"/>
  <c r="LT105" i="91"/>
  <c r="IJ166" i="91"/>
  <c r="MC60" i="91"/>
  <c r="LU60" i="91"/>
  <c r="MM60" i="91"/>
  <c r="LW60" i="91"/>
  <c r="MF60" i="91"/>
  <c r="MO60" i="91"/>
  <c r="LX60" i="91"/>
  <c r="ME60" i="91"/>
  <c r="IV60" i="91"/>
  <c r="HW60" i="91"/>
  <c r="IJ60" i="91"/>
  <c r="HK61" i="91"/>
  <c r="HI74" i="91"/>
  <c r="DE216" i="88"/>
  <c r="CZ131" i="88"/>
  <c r="CZ130" i="88" s="1"/>
  <c r="CZ129" i="88" s="1"/>
  <c r="CZ158" i="88" s="1"/>
  <c r="DB216" i="88"/>
  <c r="DE130" i="88"/>
  <c r="DE129" i="88" s="1"/>
  <c r="DE158" i="88" s="1"/>
  <c r="DH219" i="88"/>
  <c r="DE226" i="88"/>
  <c r="CW226" i="88"/>
  <c r="DG39" i="88"/>
  <c r="DG40" i="88" s="1"/>
  <c r="CY39" i="88"/>
  <c r="CY40" i="88" s="1"/>
  <c r="DH39" i="88"/>
  <c r="DH60" i="88" s="1"/>
  <c r="CZ39" i="88"/>
  <c r="CZ40" i="88" s="1"/>
  <c r="DB226" i="88"/>
  <c r="DC194" i="88"/>
  <c r="DD129" i="88"/>
  <c r="CX39" i="88"/>
  <c r="CX60" i="88" s="1"/>
  <c r="DF39" i="88"/>
  <c r="DF60" i="88" s="1"/>
  <c r="DC39" i="88"/>
  <c r="CX226" i="88"/>
  <c r="DA39" i="88"/>
  <c r="CW39" i="88"/>
  <c r="CW60" i="88" s="1"/>
  <c r="DD220" i="88"/>
  <c r="DD218" i="88" s="1"/>
  <c r="CZ60" i="88"/>
  <c r="DB40" i="88"/>
  <c r="DB60" i="88"/>
  <c r="DG216" i="88"/>
  <c r="DG130" i="88"/>
  <c r="DG129" i="88" s="1"/>
  <c r="DH217" i="88" s="1"/>
  <c r="DH158" i="88"/>
  <c r="CY130" i="88"/>
  <c r="CY129" i="88" s="1"/>
  <c r="DE60" i="88"/>
  <c r="CX194" i="88"/>
  <c r="DF216" i="88"/>
  <c r="DF130" i="88"/>
  <c r="DF129" i="88" s="1"/>
  <c r="DE194" i="88"/>
  <c r="DH216" i="88"/>
  <c r="CX130" i="88"/>
  <c r="CX129" i="88" s="1"/>
  <c r="DA130" i="88"/>
  <c r="DA129" i="88" s="1"/>
  <c r="HY61" i="91" l="1"/>
  <c r="L46" i="1"/>
  <c r="CX216" i="88"/>
  <c r="DF220" i="88"/>
  <c r="DF218" i="88" s="1"/>
  <c r="CY220" i="88"/>
  <c r="CY218" i="88" s="1"/>
  <c r="DC216" i="88"/>
  <c r="DC220" i="88"/>
  <c r="DC218" i="88" s="1"/>
  <c r="CX220" i="88"/>
  <c r="CX218" i="88" s="1"/>
  <c r="DD158" i="88"/>
  <c r="DC130" i="88"/>
  <c r="DC129" i="88" s="1"/>
  <c r="DC158" i="88" s="1"/>
  <c r="DB218" i="88"/>
  <c r="DA194" i="88"/>
  <c r="DA220" i="88"/>
  <c r="DA218" i="88" s="1"/>
  <c r="CZ220" i="88"/>
  <c r="CZ218" i="88" s="1"/>
  <c r="DG220" i="88"/>
  <c r="DG218" i="88" s="1"/>
  <c r="DD60" i="88"/>
  <c r="DD61" i="88" s="1"/>
  <c r="DH220" i="88"/>
  <c r="DH218" i="88" s="1"/>
  <c r="DH194" i="88"/>
  <c r="DA216" i="88"/>
  <c r="JP75" i="91"/>
  <c r="JT75" i="91" s="1"/>
  <c r="CY60" i="88"/>
  <c r="CY74" i="88" s="1"/>
  <c r="CZ217" i="88"/>
  <c r="KK74" i="91"/>
  <c r="KB74" i="91"/>
  <c r="KV74" i="91"/>
  <c r="IG106" i="91"/>
  <c r="HT106" i="91"/>
  <c r="KM74" i="91"/>
  <c r="KD74" i="91"/>
  <c r="KX74" i="91"/>
  <c r="HU61" i="91"/>
  <c r="IH61" i="91"/>
  <c r="LT111" i="91"/>
  <c r="ML111" i="91"/>
  <c r="MB111" i="91"/>
  <c r="HL105" i="91"/>
  <c r="JP105" i="91"/>
  <c r="HS109" i="91"/>
  <c r="IR109" i="91"/>
  <c r="IF109" i="91"/>
  <c r="IV74" i="91"/>
  <c r="HK75" i="91"/>
  <c r="HW74" i="91"/>
  <c r="IJ74" i="91"/>
  <c r="HF112" i="91"/>
  <c r="IQ111" i="91"/>
  <c r="HR111" i="91"/>
  <c r="IE111" i="91"/>
  <c r="IK74" i="91"/>
  <c r="IL74" i="91"/>
  <c r="IC74" i="91"/>
  <c r="IW74" i="91"/>
  <c r="HY75" i="91"/>
  <c r="HX74" i="91"/>
  <c r="IA74" i="91"/>
  <c r="IN74" i="91"/>
  <c r="HS106" i="91"/>
  <c r="IF106" i="91"/>
  <c r="HI105" i="91"/>
  <c r="MN109" i="91"/>
  <c r="KH111" i="91"/>
  <c r="KS111" i="91"/>
  <c r="JY111" i="91"/>
  <c r="LX75" i="91"/>
  <c r="MF75" i="91"/>
  <c r="MC74" i="91"/>
  <c r="LU74" i="91"/>
  <c r="MM74" i="91"/>
  <c r="KE74" i="91"/>
  <c r="KO74" i="91"/>
  <c r="KY74" i="91"/>
  <c r="KF74" i="91"/>
  <c r="KN74" i="91"/>
  <c r="HJ105" i="91"/>
  <c r="IK61" i="91"/>
  <c r="IN61" i="91"/>
  <c r="HX61" i="91"/>
  <c r="IL61" i="91"/>
  <c r="IA61" i="91"/>
  <c r="IC61" i="91"/>
  <c r="JT60" i="91"/>
  <c r="JV60" i="91"/>
  <c r="JS60" i="91"/>
  <c r="IR111" i="91"/>
  <c r="HG112" i="91"/>
  <c r="IF111" i="91"/>
  <c r="HS111" i="91"/>
  <c r="HV61" i="91"/>
  <c r="II61" i="91"/>
  <c r="JS75" i="91"/>
  <c r="HV74" i="91"/>
  <c r="II74" i="91"/>
  <c r="IU74" i="91"/>
  <c r="HJ75" i="91"/>
  <c r="LV74" i="91"/>
  <c r="MN74" i="91"/>
  <c r="MD74" i="91"/>
  <c r="MA111" i="91"/>
  <c r="MK111" i="91"/>
  <c r="LS111" i="91"/>
  <c r="IT74" i="91"/>
  <c r="HI75" i="91"/>
  <c r="HU74" i="91"/>
  <c r="IH74" i="91"/>
  <c r="IE109" i="91"/>
  <c r="HR109" i="91"/>
  <c r="IQ109" i="91"/>
  <c r="JC109" i="91" s="1"/>
  <c r="KS109" i="91" s="1"/>
  <c r="JT74" i="91"/>
  <c r="JV74" i="91"/>
  <c r="JS74" i="91"/>
  <c r="KL74" i="91"/>
  <c r="KC74" i="91"/>
  <c r="KW74" i="91"/>
  <c r="KA111" i="91"/>
  <c r="KU111" i="91"/>
  <c r="KJ111" i="91"/>
  <c r="JP61" i="91"/>
  <c r="HR106" i="91"/>
  <c r="IE106" i="91"/>
  <c r="HM105" i="91"/>
  <c r="HZ105" i="91" s="1"/>
  <c r="HT109" i="91"/>
  <c r="IG109" i="91"/>
  <c r="IS109" i="91"/>
  <c r="IG111" i="91"/>
  <c r="IS111" i="91"/>
  <c r="HT111" i="91"/>
  <c r="HH112" i="91"/>
  <c r="LR111" i="91"/>
  <c r="MJ111" i="91"/>
  <c r="LZ111" i="91"/>
  <c r="ME74" i="91"/>
  <c r="LW74" i="91"/>
  <c r="MF74" i="91"/>
  <c r="MO74" i="91"/>
  <c r="LX74" i="91"/>
  <c r="HW61" i="91"/>
  <c r="IJ61" i="91"/>
  <c r="JZ111" i="91"/>
  <c r="KT111" i="91"/>
  <c r="KI111" i="91"/>
  <c r="HK105" i="91"/>
  <c r="CZ216" i="88"/>
  <c r="DE217" i="88"/>
  <c r="DH40" i="88"/>
  <c r="DG60" i="88"/>
  <c r="DG215" i="88" s="1"/>
  <c r="DF40" i="88"/>
  <c r="CW40" i="88"/>
  <c r="DD215" i="88"/>
  <c r="CX40" i="88"/>
  <c r="DC40" i="88"/>
  <c r="DC60" i="88"/>
  <c r="DA60" i="88"/>
  <c r="DA40" i="88"/>
  <c r="DB215" i="88"/>
  <c r="DB61" i="88"/>
  <c r="DB74" i="88"/>
  <c r="DA158" i="88"/>
  <c r="DA217" i="88"/>
  <c r="CY217" i="88"/>
  <c r="CY158" i="88"/>
  <c r="CX215" i="88"/>
  <c r="CX74" i="88"/>
  <c r="CX61" i="88"/>
  <c r="DB217" i="88"/>
  <c r="CX217" i="88"/>
  <c r="CX158" i="88"/>
  <c r="DF217" i="88"/>
  <c r="DF158" i="88"/>
  <c r="DE215" i="88"/>
  <c r="DE74" i="88"/>
  <c r="DE61" i="88"/>
  <c r="CZ215" i="88"/>
  <c r="CZ74" i="88"/>
  <c r="CZ61" i="88"/>
  <c r="DG217" i="88"/>
  <c r="DG158" i="88"/>
  <c r="CY215" i="88"/>
  <c r="CW215" i="88"/>
  <c r="CW74" i="88"/>
  <c r="CW61" i="88"/>
  <c r="DF215" i="88"/>
  <c r="DF74" i="88"/>
  <c r="DF61" i="88"/>
  <c r="DH215" i="88"/>
  <c r="DH61" i="88"/>
  <c r="DH74" i="88"/>
  <c r="JD109" i="91" l="1"/>
  <c r="KT109" i="91" s="1"/>
  <c r="JE109" i="91"/>
  <c r="KU109" i="91" s="1"/>
  <c r="HY105" i="91"/>
  <c r="DG74" i="88"/>
  <c r="DD217" i="88"/>
  <c r="DC217" i="88"/>
  <c r="DE222" i="88"/>
  <c r="DE227" i="88" s="1"/>
  <c r="DE230" i="88" s="1"/>
  <c r="DE232" i="88" s="1"/>
  <c r="DE234" i="88" s="1"/>
  <c r="DD222" i="88"/>
  <c r="DD227" i="88" s="1"/>
  <c r="DD230" i="88" s="1"/>
  <c r="DD232" i="88" s="1"/>
  <c r="DD234" i="88" s="1"/>
  <c r="CZ222" i="88"/>
  <c r="CZ227" i="88" s="1"/>
  <c r="CZ230" i="88" s="1"/>
  <c r="CZ232" i="88" s="1"/>
  <c r="CZ234" i="88" s="1"/>
  <c r="DD74" i="88"/>
  <c r="CY61" i="88"/>
  <c r="DG61" i="88"/>
  <c r="DH222" i="88"/>
  <c r="DH227" i="88" s="1"/>
  <c r="DH230" i="88" s="1"/>
  <c r="DH232" i="88" s="1"/>
  <c r="DH234" i="88" s="1"/>
  <c r="IE112" i="91"/>
  <c r="HR112" i="91"/>
  <c r="JP109" i="91"/>
  <c r="HL109" i="91"/>
  <c r="HI111" i="91"/>
  <c r="IV105" i="91"/>
  <c r="HK106" i="91"/>
  <c r="IJ105" i="91"/>
  <c r="HW105" i="91"/>
  <c r="HK111" i="91"/>
  <c r="HJ109" i="91"/>
  <c r="IH105" i="91"/>
  <c r="HU105" i="91"/>
  <c r="IT105" i="91"/>
  <c r="HI106" i="91"/>
  <c r="JP111" i="91"/>
  <c r="HL111" i="91"/>
  <c r="JP112" i="91"/>
  <c r="MM105" i="91"/>
  <c r="LU105" i="91"/>
  <c r="MC105" i="91"/>
  <c r="HU75" i="91"/>
  <c r="IH75" i="91"/>
  <c r="KC105" i="91"/>
  <c r="KL105" i="91"/>
  <c r="KW105" i="91"/>
  <c r="JS105" i="91"/>
  <c r="JT105" i="91"/>
  <c r="JV105" i="91"/>
  <c r="II75" i="91"/>
  <c r="HV75" i="91"/>
  <c r="IF213" i="91"/>
  <c r="HS213" i="91"/>
  <c r="HV105" i="91"/>
  <c r="IU105" i="91"/>
  <c r="HJ106" i="91"/>
  <c r="II105" i="91"/>
  <c r="HW75" i="91"/>
  <c r="IJ75" i="91"/>
  <c r="KO105" i="91"/>
  <c r="KN105" i="91"/>
  <c r="KY105" i="91"/>
  <c r="KF105" i="91"/>
  <c r="KE105" i="91"/>
  <c r="HT213" i="91"/>
  <c r="IG213" i="91"/>
  <c r="HR213" i="91"/>
  <c r="IE213" i="91"/>
  <c r="IA105" i="91"/>
  <c r="IL105" i="91"/>
  <c r="IW105" i="91"/>
  <c r="IC105" i="91"/>
  <c r="IN105" i="91"/>
  <c r="HX105" i="91"/>
  <c r="IK105" i="91"/>
  <c r="MF109" i="91"/>
  <c r="MO109" i="91"/>
  <c r="LX109" i="91"/>
  <c r="HK109" i="91"/>
  <c r="HT112" i="91"/>
  <c r="IG112" i="91"/>
  <c r="JS61" i="91"/>
  <c r="JT61" i="91"/>
  <c r="HG204" i="91"/>
  <c r="HJ111" i="91"/>
  <c r="JP106" i="91"/>
  <c r="LX105" i="91"/>
  <c r="MF105" i="91"/>
  <c r="LW105" i="91"/>
  <c r="ME105" i="91"/>
  <c r="MO105" i="91"/>
  <c r="HM109" i="91"/>
  <c r="KI213" i="91"/>
  <c r="JZ213" i="91"/>
  <c r="KJ213" i="91"/>
  <c r="KA213" i="91"/>
  <c r="HS112" i="91"/>
  <c r="IF112" i="91"/>
  <c r="MN105" i="91"/>
  <c r="MD105" i="91"/>
  <c r="LV105" i="91"/>
  <c r="MM109" i="91"/>
  <c r="HI109" i="91"/>
  <c r="MF106" i="91"/>
  <c r="LX106" i="91"/>
  <c r="KB105" i="91"/>
  <c r="KK105" i="91"/>
  <c r="KV105" i="91"/>
  <c r="KD105" i="91"/>
  <c r="KX105" i="91"/>
  <c r="KM105" i="91"/>
  <c r="HM111" i="91"/>
  <c r="HZ111" i="91" s="1"/>
  <c r="MA213" i="91"/>
  <c r="LS213" i="91"/>
  <c r="LT213" i="91"/>
  <c r="MB213" i="91"/>
  <c r="IN75" i="91"/>
  <c r="HX75" i="91"/>
  <c r="IA75" i="91"/>
  <c r="IK75" i="91"/>
  <c r="IC75" i="91"/>
  <c r="IL75" i="91"/>
  <c r="DC61" i="88"/>
  <c r="DC74" i="88"/>
  <c r="DC215" i="88"/>
  <c r="DC222" i="88" s="1"/>
  <c r="DC227" i="88" s="1"/>
  <c r="DC230" i="88" s="1"/>
  <c r="DC232" i="88" s="1"/>
  <c r="DC234" i="88" s="1"/>
  <c r="DG222" i="88"/>
  <c r="DG227" i="88" s="1"/>
  <c r="DG230" i="88" s="1"/>
  <c r="DG232" i="88" s="1"/>
  <c r="DG234" i="88" s="1"/>
  <c r="CX222" i="88"/>
  <c r="CX227" i="88" s="1"/>
  <c r="CX230" i="88" s="1"/>
  <c r="CX232" i="88" s="1"/>
  <c r="CX234" i="88" s="1"/>
  <c r="DB222" i="88"/>
  <c r="DB227" i="88" s="1"/>
  <c r="DB230" i="88" s="1"/>
  <c r="DB232" i="88" s="1"/>
  <c r="DB234" i="88" s="1"/>
  <c r="DA74" i="88"/>
  <c r="DA215" i="88"/>
  <c r="DA222" i="88" s="1"/>
  <c r="DA227" i="88" s="1"/>
  <c r="DA230" i="88" s="1"/>
  <c r="DA232" i="88" s="1"/>
  <c r="DA234" i="88" s="1"/>
  <c r="DA61" i="88"/>
  <c r="CW75" i="88"/>
  <c r="CW97" i="88"/>
  <c r="CZ97" i="88"/>
  <c r="CZ75" i="88"/>
  <c r="CY97" i="88"/>
  <c r="CY75" i="88"/>
  <c r="DF97" i="88"/>
  <c r="DF75" i="88"/>
  <c r="CX97" i="88"/>
  <c r="CX75" i="88"/>
  <c r="DB97" i="88"/>
  <c r="DB75" i="88"/>
  <c r="CY222" i="88"/>
  <c r="CY227" i="88" s="1"/>
  <c r="CY230" i="88" s="1"/>
  <c r="CY232" i="88" s="1"/>
  <c r="CY234" i="88" s="1"/>
  <c r="DF222" i="88"/>
  <c r="DF227" i="88" s="1"/>
  <c r="DF230" i="88" s="1"/>
  <c r="DF232" i="88" s="1"/>
  <c r="DF234" i="88" s="1"/>
  <c r="DG97" i="88"/>
  <c r="DG75" i="88"/>
  <c r="DH97" i="88"/>
  <c r="DH103" i="88" s="1"/>
  <c r="DH75" i="88"/>
  <c r="DE75" i="88"/>
  <c r="DE97" i="88"/>
  <c r="HG218" i="91" l="1"/>
  <c r="HG220" i="91"/>
  <c r="HY109" i="91"/>
  <c r="HZ109" i="91"/>
  <c r="HY106" i="91"/>
  <c r="HZ106" i="91"/>
  <c r="HZ213" i="91"/>
  <c r="HY111" i="91"/>
  <c r="DD75" i="88"/>
  <c r="DD97" i="88"/>
  <c r="JT106" i="91"/>
  <c r="JS106" i="91"/>
  <c r="IF204" i="91"/>
  <c r="HS204" i="91"/>
  <c r="IG204" i="91"/>
  <c r="HT204" i="91"/>
  <c r="HG279" i="91"/>
  <c r="HU111" i="91"/>
  <c r="HI112" i="91"/>
  <c r="IH111" i="91"/>
  <c r="IT111" i="91"/>
  <c r="HU109" i="91"/>
  <c r="IH109" i="91"/>
  <c r="IT109" i="91"/>
  <c r="JF109" i="91" s="1"/>
  <c r="KB109" i="91" s="1"/>
  <c r="JZ204" i="91"/>
  <c r="KI204" i="91"/>
  <c r="KA204" i="91"/>
  <c r="KJ204" i="91"/>
  <c r="JS112" i="91"/>
  <c r="JT112" i="91"/>
  <c r="IU109" i="91"/>
  <c r="II109" i="91"/>
  <c r="HV109" i="91"/>
  <c r="LU111" i="91"/>
  <c r="MC111" i="91"/>
  <c r="MM111" i="91"/>
  <c r="KN111" i="91"/>
  <c r="KY111" i="91"/>
  <c r="KF111" i="91"/>
  <c r="KE111" i="91"/>
  <c r="KO111" i="91"/>
  <c r="MD111" i="91"/>
  <c r="MN111" i="91"/>
  <c r="LV111" i="91"/>
  <c r="IC111" i="91"/>
  <c r="IN111" i="91"/>
  <c r="IA111" i="91"/>
  <c r="IW111" i="91"/>
  <c r="HY112" i="91"/>
  <c r="HX111" i="91"/>
  <c r="IK111" i="91"/>
  <c r="IL111" i="91"/>
  <c r="L132" i="1"/>
  <c r="IA109" i="91"/>
  <c r="IL109" i="91"/>
  <c r="IW109" i="91"/>
  <c r="IC109" i="91"/>
  <c r="IK109" i="91"/>
  <c r="IN109" i="91"/>
  <c r="JA109" i="91" s="1"/>
  <c r="KQ109" i="91" s="1"/>
  <c r="HX109" i="91"/>
  <c r="KV109" i="91"/>
  <c r="HV111" i="91"/>
  <c r="II111" i="91"/>
  <c r="HJ112" i="91"/>
  <c r="IU111" i="91"/>
  <c r="JT111" i="91"/>
  <c r="JV111" i="91"/>
  <c r="JS111" i="91"/>
  <c r="KD111" i="91"/>
  <c r="KM111" i="91"/>
  <c r="KX111" i="91"/>
  <c r="MF111" i="91"/>
  <c r="LX111" i="91"/>
  <c r="MO111" i="91"/>
  <c r="LW111" i="91"/>
  <c r="ME111" i="91"/>
  <c r="IV109" i="91"/>
  <c r="JH109" i="91" s="1"/>
  <c r="IJ109" i="91"/>
  <c r="HW109" i="91"/>
  <c r="IA106" i="91"/>
  <c r="IK106" i="91"/>
  <c r="IL106" i="91"/>
  <c r="HX106" i="91"/>
  <c r="IC106" i="91"/>
  <c r="IN106" i="91"/>
  <c r="HV106" i="91"/>
  <c r="II106" i="91"/>
  <c r="IH106" i="91"/>
  <c r="HU106" i="91"/>
  <c r="HW111" i="91"/>
  <c r="IJ111" i="91"/>
  <c r="IV111" i="91"/>
  <c r="HK112" i="91"/>
  <c r="K132" i="1"/>
  <c r="HW106" i="91"/>
  <c r="IJ106" i="91"/>
  <c r="MF112" i="91"/>
  <c r="LX112" i="91"/>
  <c r="KL111" i="91"/>
  <c r="KC111" i="91"/>
  <c r="KW111" i="91"/>
  <c r="MA204" i="91"/>
  <c r="LS204" i="91"/>
  <c r="MB204" i="91"/>
  <c r="LT204" i="91"/>
  <c r="LE279" i="91"/>
  <c r="KV111" i="91"/>
  <c r="KK111" i="91"/>
  <c r="KB111" i="91"/>
  <c r="DC75" i="88"/>
  <c r="DC97" i="88"/>
  <c r="DA97" i="88"/>
  <c r="DA75" i="88"/>
  <c r="DG103" i="88"/>
  <c r="DG98" i="88"/>
  <c r="DG101" i="88"/>
  <c r="CW98" i="88"/>
  <c r="CW103" i="88"/>
  <c r="CW101" i="88"/>
  <c r="CX103" i="88"/>
  <c r="CX98" i="88"/>
  <c r="CX101" i="88"/>
  <c r="CY98" i="88"/>
  <c r="CY101" i="88"/>
  <c r="CY103" i="88"/>
  <c r="DE98" i="88"/>
  <c r="DE103" i="88"/>
  <c r="DE101" i="88"/>
  <c r="DH98" i="88"/>
  <c r="DH101" i="88"/>
  <c r="DF103" i="88"/>
  <c r="DF98" i="88"/>
  <c r="DF101" i="88"/>
  <c r="DB101" i="88"/>
  <c r="DB103" i="88"/>
  <c r="DB98" i="88"/>
  <c r="CZ101" i="88"/>
  <c r="CZ98" i="88"/>
  <c r="CZ103" i="88"/>
  <c r="JG109" i="91" l="1"/>
  <c r="KC109" i="91" s="1"/>
  <c r="KX109" i="91"/>
  <c r="JJ109" i="91"/>
  <c r="JI109" i="91"/>
  <c r="M132" i="1"/>
  <c r="HY213" i="91"/>
  <c r="DD101" i="88"/>
  <c r="DD103" i="88"/>
  <c r="DD104" i="88" s="1"/>
  <c r="DD98" i="88"/>
  <c r="HI214" i="91"/>
  <c r="IC112" i="91"/>
  <c r="IL112" i="91"/>
  <c r="HX112" i="91"/>
  <c r="IA112" i="91"/>
  <c r="IK112" i="91"/>
  <c r="IN112" i="91"/>
  <c r="II213" i="91"/>
  <c r="HV213" i="91"/>
  <c r="IH112" i="91"/>
  <c r="HU112" i="91"/>
  <c r="HS218" i="91"/>
  <c r="IF218" i="91"/>
  <c r="HT218" i="91"/>
  <c r="IG218" i="91"/>
  <c r="IJ112" i="91"/>
  <c r="HW112" i="91"/>
  <c r="IN213" i="91"/>
  <c r="IA213" i="91"/>
  <c r="IK213" i="91"/>
  <c r="IL213" i="91"/>
  <c r="IC213" i="91"/>
  <c r="HX213" i="91"/>
  <c r="JZ218" i="91"/>
  <c r="KI218" i="91"/>
  <c r="KJ218" i="91"/>
  <c r="KA218" i="91"/>
  <c r="HW213" i="91"/>
  <c r="IJ213" i="91"/>
  <c r="II112" i="91"/>
  <c r="HV112" i="91"/>
  <c r="MA218" i="91"/>
  <c r="LS218" i="91"/>
  <c r="LT218" i="91"/>
  <c r="MB218" i="91"/>
  <c r="HU213" i="91"/>
  <c r="IH213" i="91"/>
  <c r="DC103" i="88"/>
  <c r="DC104" i="88" s="1"/>
  <c r="DC98" i="88"/>
  <c r="DC101" i="88"/>
  <c r="DA103" i="88"/>
  <c r="DA104" i="88" s="1"/>
  <c r="DA101" i="88"/>
  <c r="DA98" i="88"/>
  <c r="DG104" i="88"/>
  <c r="CX104" i="88"/>
  <c r="CZ104" i="88"/>
  <c r="DE104" i="88"/>
  <c r="DF104" i="88"/>
  <c r="DH104" i="88"/>
  <c r="CW104" i="88"/>
  <c r="CW205" i="88"/>
  <c r="CY104" i="88"/>
  <c r="DB104" i="88"/>
  <c r="KW109" i="91" l="1"/>
  <c r="KD109" i="91"/>
  <c r="KY109" i="91"/>
  <c r="KF109" i="91"/>
  <c r="KE109" i="91"/>
  <c r="KO109" i="91"/>
  <c r="HU214" i="91"/>
  <c r="IH214" i="91"/>
  <c r="MC214" i="91"/>
  <c r="LU214" i="91"/>
  <c r="KB214" i="91"/>
  <c r="KK214" i="91"/>
  <c r="CX205" i="88"/>
  <c r="CY205" i="88" l="1"/>
  <c r="CZ205" i="88" l="1"/>
  <c r="DA205" i="88" l="1"/>
  <c r="DB205" i="88" l="1"/>
  <c r="DC205" i="88" l="1"/>
  <c r="DD205" i="88" l="1"/>
  <c r="DE205" i="88" l="1"/>
  <c r="KK213" i="91" l="1"/>
  <c r="KB213" i="91"/>
  <c r="MC213" i="91"/>
  <c r="LU213" i="91"/>
  <c r="HI204" i="91"/>
  <c r="DF205" i="88"/>
  <c r="HI218" i="91" l="1"/>
  <c r="HI220" i="91"/>
  <c r="KK204" i="91"/>
  <c r="KB204" i="91"/>
  <c r="IH204" i="91"/>
  <c r="HU204" i="91"/>
  <c r="MC204" i="91"/>
  <c r="LU204" i="91"/>
  <c r="DG205" i="88"/>
  <c r="KM213" i="91" l="1"/>
  <c r="KD213" i="91"/>
  <c r="KE213" i="91"/>
  <c r="KO213" i="91"/>
  <c r="KF213" i="91"/>
  <c r="KN213" i="91"/>
  <c r="MD213" i="91"/>
  <c r="LV213" i="91"/>
  <c r="HU218" i="91"/>
  <c r="IH218" i="91"/>
  <c r="KL213" i="91"/>
  <c r="KC213" i="91"/>
  <c r="KB218" i="91"/>
  <c r="KK218" i="91"/>
  <c r="LW213" i="91"/>
  <c r="MF213" i="91"/>
  <c r="ME213" i="91"/>
  <c r="LX213" i="91"/>
  <c r="HM204" i="91"/>
  <c r="MC218" i="91"/>
  <c r="LU218" i="91"/>
  <c r="DH205" i="88"/>
  <c r="HZ204" i="91" l="1"/>
  <c r="HM218" i="91"/>
  <c r="HZ218" i="91" s="1"/>
  <c r="HM220" i="91"/>
  <c r="I22" i="80" l="1"/>
  <c r="GJ91" i="88" l="1"/>
  <c r="DK161" i="88"/>
  <c r="DL161" i="88"/>
  <c r="DM161" i="88"/>
  <c r="DN161" i="88"/>
  <c r="DO161" i="88"/>
  <c r="DP161" i="88"/>
  <c r="DQ161" i="88"/>
  <c r="DR161" i="88"/>
  <c r="DS161" i="88"/>
  <c r="DT161" i="88"/>
  <c r="DU161" i="88"/>
  <c r="DJ161" i="88"/>
  <c r="B59" i="81" l="1"/>
  <c r="B54" i="81"/>
  <c r="B53" i="81"/>
  <c r="B52" i="81"/>
  <c r="P51" i="81"/>
  <c r="Q51" i="81" s="1"/>
  <c r="R51" i="81" s="1"/>
  <c r="L170" i="1" l="1"/>
  <c r="J170" i="1"/>
  <c r="I170" i="1"/>
  <c r="H170" i="1"/>
  <c r="G170" i="1"/>
  <c r="J169" i="1"/>
  <c r="G169" i="1"/>
  <c r="K170" i="1"/>
  <c r="S12" i="3" l="1"/>
  <c r="S13" i="3" s="1"/>
  <c r="O146" i="3"/>
  <c r="P146" i="3" s="1"/>
  <c r="Q146" i="3" s="1"/>
  <c r="R146" i="3" s="1"/>
  <c r="S146" i="3" s="1"/>
  <c r="S379" i="3"/>
  <c r="R379" i="3"/>
  <c r="Q379" i="3"/>
  <c r="P379" i="3"/>
  <c r="O379" i="3"/>
  <c r="N379" i="3"/>
  <c r="M379" i="3"/>
  <c r="L379" i="3"/>
  <c r="K379" i="3"/>
  <c r="K378" i="3"/>
  <c r="S377" i="3"/>
  <c r="R377" i="3"/>
  <c r="Q377" i="3"/>
  <c r="P377" i="3"/>
  <c r="O377" i="3"/>
  <c r="N377" i="3"/>
  <c r="M377" i="3"/>
  <c r="L377" i="3"/>
  <c r="K377" i="3"/>
  <c r="S376" i="3"/>
  <c r="R376" i="3"/>
  <c r="Q376" i="3"/>
  <c r="P376" i="3"/>
  <c r="O376" i="3"/>
  <c r="N376" i="3"/>
  <c r="M376" i="3"/>
  <c r="L376" i="3"/>
  <c r="K376" i="3"/>
  <c r="L375" i="3"/>
  <c r="M375" i="3"/>
  <c r="O345" i="3"/>
  <c r="P345" i="3" s="1"/>
  <c r="Q345" i="3" s="1"/>
  <c r="R345" i="3" s="1"/>
  <c r="S345" i="3" s="1"/>
  <c r="S375" i="3" s="1"/>
  <c r="K375" i="3"/>
  <c r="O171" i="3"/>
  <c r="P172" i="3"/>
  <c r="Q173" i="3"/>
  <c r="R174" i="3"/>
  <c r="S175" i="3"/>
  <c r="E9" i="81"/>
  <c r="M11" i="77"/>
  <c r="O375" i="3" l="1"/>
  <c r="Q375" i="3"/>
  <c r="P375" i="3"/>
  <c r="R375" i="3"/>
  <c r="O137" i="3"/>
  <c r="P137" i="3"/>
  <c r="Q137" i="3"/>
  <c r="R137" i="3"/>
  <c r="S137" i="3"/>
  <c r="L132" i="3"/>
  <c r="M132" i="3" s="1"/>
  <c r="N132" i="3" s="1"/>
  <c r="O132" i="3" s="1"/>
  <c r="P132" i="3" s="1"/>
  <c r="Q132" i="3" s="1"/>
  <c r="R132" i="3" s="1"/>
  <c r="S132" i="3" s="1"/>
  <c r="K129" i="3"/>
  <c r="L129" i="3" s="1"/>
  <c r="M129" i="3" s="1"/>
  <c r="N129" i="3" s="1"/>
  <c r="O129" i="3" s="1"/>
  <c r="P129" i="3" s="1"/>
  <c r="Q129" i="3" s="1"/>
  <c r="R129" i="3" s="1"/>
  <c r="S129" i="3" s="1"/>
  <c r="HJ214" i="91" l="1"/>
  <c r="LV214" i="91" l="1"/>
  <c r="MD214" i="91"/>
  <c r="HJ204" i="91"/>
  <c r="II214" i="91"/>
  <c r="HV214" i="91"/>
  <c r="KL214" i="91"/>
  <c r="KC214" i="91"/>
  <c r="J322" i="3"/>
  <c r="J321" i="3"/>
  <c r="HJ218" i="91" l="1"/>
  <c r="HJ220" i="91"/>
  <c r="HV204" i="91"/>
  <c r="II204" i="91"/>
  <c r="KL204" i="91"/>
  <c r="KC204" i="91"/>
  <c r="MD204" i="91"/>
  <c r="LV204" i="91"/>
  <c r="F169" i="1"/>
  <c r="J318" i="3"/>
  <c r="J316" i="3"/>
  <c r="P304" i="3" l="1"/>
  <c r="MD218" i="91"/>
  <c r="LV218" i="91"/>
  <c r="KC218" i="91"/>
  <c r="KL218" i="91"/>
  <c r="EH279" i="91"/>
  <c r="HV218" i="91"/>
  <c r="II218" i="91"/>
  <c r="L289" i="3"/>
  <c r="M289" i="3" s="1"/>
  <c r="N289" i="3" s="1"/>
  <c r="EI279" i="91" l="1"/>
  <c r="J267" i="3"/>
  <c r="J268" i="3"/>
  <c r="J269" i="3"/>
  <c r="J270" i="3"/>
  <c r="J271" i="3"/>
  <c r="J272" i="3"/>
  <c r="EJ279" i="91" l="1"/>
  <c r="K47" i="77"/>
  <c r="S37" i="77"/>
  <c r="A305" i="88"/>
  <c r="GK274" i="88"/>
  <c r="GJ274" i="88"/>
  <c r="DU274" i="88"/>
  <c r="AN274" i="88"/>
  <c r="AM274" i="88"/>
  <c r="AL274" i="88"/>
  <c r="AK274" i="88"/>
  <c r="AJ274" i="88"/>
  <c r="AI274" i="88"/>
  <c r="AH274" i="88"/>
  <c r="AG274" i="88"/>
  <c r="AF274" i="88"/>
  <c r="AE274" i="88"/>
  <c r="AD274" i="88"/>
  <c r="AC274" i="88"/>
  <c r="AB274" i="88"/>
  <c r="AA274" i="88"/>
  <c r="Z274" i="88"/>
  <c r="Y274" i="88"/>
  <c r="X274" i="88"/>
  <c r="W274" i="88"/>
  <c r="V274" i="88"/>
  <c r="U274" i="88"/>
  <c r="T274" i="88"/>
  <c r="S274" i="88"/>
  <c r="R274" i="88"/>
  <c r="Q274" i="88"/>
  <c r="P274" i="88"/>
  <c r="O274" i="88"/>
  <c r="N274" i="88"/>
  <c r="M274" i="88"/>
  <c r="L274" i="88"/>
  <c r="K274" i="88"/>
  <c r="J274" i="88"/>
  <c r="I274" i="88"/>
  <c r="H274" i="88"/>
  <c r="G274" i="88"/>
  <c r="F274" i="88"/>
  <c r="E274" i="88"/>
  <c r="GK271" i="88"/>
  <c r="GJ271" i="88"/>
  <c r="DU271" i="88"/>
  <c r="AN271" i="88"/>
  <c r="AM271" i="88"/>
  <c r="AL271" i="88"/>
  <c r="AK271" i="88"/>
  <c r="AJ271" i="88"/>
  <c r="AI271" i="88"/>
  <c r="AH271" i="88"/>
  <c r="AG271" i="88"/>
  <c r="AF271" i="88"/>
  <c r="AE271" i="88"/>
  <c r="AD271" i="88"/>
  <c r="AC271" i="88"/>
  <c r="AB271" i="88"/>
  <c r="AA271" i="88"/>
  <c r="Z271" i="88"/>
  <c r="Y271" i="88"/>
  <c r="X271" i="88"/>
  <c r="W271" i="88"/>
  <c r="V271" i="88"/>
  <c r="U271" i="88"/>
  <c r="T271" i="88"/>
  <c r="S271" i="88"/>
  <c r="R271" i="88"/>
  <c r="Q271" i="88"/>
  <c r="P271" i="88"/>
  <c r="O271" i="88"/>
  <c r="N271" i="88"/>
  <c r="M271" i="88"/>
  <c r="L271" i="88"/>
  <c r="K271" i="88"/>
  <c r="J271" i="88"/>
  <c r="I271" i="88"/>
  <c r="H271" i="88"/>
  <c r="G271" i="88"/>
  <c r="F271" i="88"/>
  <c r="E271" i="88"/>
  <c r="GK270" i="88"/>
  <c r="GJ270" i="88"/>
  <c r="DU270" i="88"/>
  <c r="GK269" i="88"/>
  <c r="GJ269" i="88"/>
  <c r="DU269" i="88"/>
  <c r="GK268" i="88"/>
  <c r="GJ268" i="88"/>
  <c r="DU268" i="88"/>
  <c r="JY263" i="88"/>
  <c r="JX263" i="88"/>
  <c r="JW263" i="88"/>
  <c r="JS263" i="88"/>
  <c r="JR263" i="88"/>
  <c r="JQ263" i="88"/>
  <c r="JP263" i="88"/>
  <c r="JO263" i="88"/>
  <c r="JY262" i="88"/>
  <c r="JX262" i="88"/>
  <c r="JW262" i="88"/>
  <c r="JS262" i="88"/>
  <c r="JR262" i="88"/>
  <c r="JQ262" i="88"/>
  <c r="JP262" i="88"/>
  <c r="JO262" i="88"/>
  <c r="JY261" i="88"/>
  <c r="JX261" i="88"/>
  <c r="JW261" i="88"/>
  <c r="JS261" i="88"/>
  <c r="JR261" i="88"/>
  <c r="JQ261" i="88"/>
  <c r="JP261" i="88"/>
  <c r="JO261" i="88"/>
  <c r="JY260" i="88"/>
  <c r="JX260" i="88"/>
  <c r="JW260" i="88"/>
  <c r="JS260" i="88"/>
  <c r="JR260" i="88"/>
  <c r="JQ260" i="88"/>
  <c r="JP260" i="88"/>
  <c r="JO260" i="88"/>
  <c r="JY259" i="88"/>
  <c r="JX259" i="88"/>
  <c r="JW259" i="88"/>
  <c r="JS259" i="88"/>
  <c r="JR259" i="88"/>
  <c r="JQ259" i="88"/>
  <c r="JP259" i="88"/>
  <c r="JO259" i="88"/>
  <c r="JY258" i="88"/>
  <c r="JX258" i="88"/>
  <c r="JW258" i="88"/>
  <c r="JS258" i="88"/>
  <c r="JR258" i="88"/>
  <c r="JQ258" i="88"/>
  <c r="JP258" i="88"/>
  <c r="JO258" i="88"/>
  <c r="JY257" i="88"/>
  <c r="JX257" i="88"/>
  <c r="JW257" i="88"/>
  <c r="JS257" i="88"/>
  <c r="JR257" i="88"/>
  <c r="JQ257" i="88"/>
  <c r="JP257" i="88"/>
  <c r="JO257" i="88"/>
  <c r="JY256" i="88"/>
  <c r="JX256" i="88"/>
  <c r="JW256" i="88"/>
  <c r="JS256" i="88"/>
  <c r="JR256" i="88"/>
  <c r="JQ256" i="88"/>
  <c r="JP256" i="88"/>
  <c r="JO256" i="88"/>
  <c r="JY255" i="88"/>
  <c r="JX255" i="88"/>
  <c r="JW255" i="88"/>
  <c r="JS255" i="88"/>
  <c r="JR255" i="88"/>
  <c r="JQ255" i="88"/>
  <c r="JP255" i="88"/>
  <c r="JO255" i="88"/>
  <c r="JY254" i="88"/>
  <c r="JX254" i="88"/>
  <c r="JW254" i="88"/>
  <c r="JS254" i="88"/>
  <c r="JR254" i="88"/>
  <c r="JQ254" i="88"/>
  <c r="JP254" i="88"/>
  <c r="JO254" i="88"/>
  <c r="JY253" i="88"/>
  <c r="JX253" i="88"/>
  <c r="JW253" i="88"/>
  <c r="JS253" i="88"/>
  <c r="JR253" i="88"/>
  <c r="JQ253" i="88"/>
  <c r="JP253" i="88"/>
  <c r="JO253" i="88"/>
  <c r="JY252" i="88"/>
  <c r="JX252" i="88"/>
  <c r="JW252" i="88"/>
  <c r="JS252" i="88"/>
  <c r="JR252" i="88"/>
  <c r="JQ252" i="88"/>
  <c r="JP252" i="88"/>
  <c r="JO252" i="88"/>
  <c r="JY251" i="88"/>
  <c r="JX251" i="88"/>
  <c r="JW251" i="88"/>
  <c r="JS251" i="88"/>
  <c r="JR251" i="88"/>
  <c r="JQ251" i="88"/>
  <c r="JP251" i="88"/>
  <c r="JO251" i="88"/>
  <c r="JY250" i="88"/>
  <c r="JX250" i="88"/>
  <c r="JW250" i="88"/>
  <c r="JS250" i="88"/>
  <c r="JR250" i="88"/>
  <c r="JQ250" i="88"/>
  <c r="JP250" i="88"/>
  <c r="JO250" i="88"/>
  <c r="JY249" i="88"/>
  <c r="JX249" i="88"/>
  <c r="JW249" i="88"/>
  <c r="JS249" i="88"/>
  <c r="JR249" i="88"/>
  <c r="JQ249" i="88"/>
  <c r="JP249" i="88"/>
  <c r="JO249" i="88"/>
  <c r="JY246" i="88"/>
  <c r="JX246" i="88"/>
  <c r="JW246" i="88"/>
  <c r="JS246" i="88"/>
  <c r="JR246" i="88"/>
  <c r="JQ246" i="88"/>
  <c r="JP246" i="88"/>
  <c r="JO246" i="88"/>
  <c r="BF246" i="88"/>
  <c r="BE246" i="88"/>
  <c r="BD246" i="88"/>
  <c r="BC246" i="88"/>
  <c r="BB246" i="88"/>
  <c r="BA246" i="88"/>
  <c r="BM245" i="88"/>
  <c r="BN245" i="88" s="1"/>
  <c r="BL245" i="88"/>
  <c r="BL246" i="88" s="1"/>
  <c r="BK245" i="88"/>
  <c r="BK246" i="88" s="1"/>
  <c r="BJ245" i="88"/>
  <c r="BJ246" i="88" s="1"/>
  <c r="BI245" i="88"/>
  <c r="BI246" i="88" s="1"/>
  <c r="BH245" i="88"/>
  <c r="BH246" i="88" s="1"/>
  <c r="BG245" i="88"/>
  <c r="BG246" i="88" s="1"/>
  <c r="JY244" i="88"/>
  <c r="JX244" i="88"/>
  <c r="JW244" i="88"/>
  <c r="JS244" i="88"/>
  <c r="JR244" i="88"/>
  <c r="JQ244" i="88"/>
  <c r="JP244" i="88"/>
  <c r="JO244" i="88"/>
  <c r="JY240" i="88"/>
  <c r="JX240" i="88"/>
  <c r="JW240" i="88"/>
  <c r="JS240" i="88"/>
  <c r="JR240" i="88"/>
  <c r="JQ240" i="88"/>
  <c r="JP240" i="88"/>
  <c r="JO240" i="88"/>
  <c r="JY238" i="88"/>
  <c r="JX238" i="88"/>
  <c r="JW238" i="88"/>
  <c r="JS238" i="88"/>
  <c r="JR238" i="88"/>
  <c r="JQ238" i="88"/>
  <c r="JP238" i="88"/>
  <c r="JO238" i="88"/>
  <c r="JY237" i="88"/>
  <c r="JX237" i="88"/>
  <c r="JW237" i="88"/>
  <c r="JS237" i="88"/>
  <c r="JR237" i="88"/>
  <c r="JQ237" i="88"/>
  <c r="JP237" i="88"/>
  <c r="JO237" i="88"/>
  <c r="JY236" i="88"/>
  <c r="JX236" i="88"/>
  <c r="JW236" i="88"/>
  <c r="JS236" i="88"/>
  <c r="JR236" i="88"/>
  <c r="JQ236" i="88"/>
  <c r="JP236" i="88"/>
  <c r="JO236" i="88"/>
  <c r="BL234" i="88"/>
  <c r="BK234" i="88"/>
  <c r="BJ234" i="88"/>
  <c r="BI234" i="88"/>
  <c r="BH234" i="88"/>
  <c r="BG234" i="88"/>
  <c r="BF234" i="88"/>
  <c r="BE234" i="88"/>
  <c r="BD234" i="88"/>
  <c r="BC234" i="88"/>
  <c r="BB234" i="88"/>
  <c r="BA234" i="88"/>
  <c r="BM231" i="88"/>
  <c r="GM212" i="88"/>
  <c r="GK212" i="88"/>
  <c r="KP211" i="88"/>
  <c r="KP209" i="88"/>
  <c r="KH209" i="88"/>
  <c r="GM209" i="88"/>
  <c r="GL209" i="88"/>
  <c r="HE209" i="88" s="1"/>
  <c r="IY208" i="88"/>
  <c r="IX208" i="88"/>
  <c r="IQ208" i="88"/>
  <c r="IP208" i="88"/>
  <c r="IC208" i="88"/>
  <c r="IB208" i="88"/>
  <c r="IA208" i="88"/>
  <c r="HZ208" i="88"/>
  <c r="HY208" i="88"/>
  <c r="GM208" i="88"/>
  <c r="GL208" i="88"/>
  <c r="GK208" i="88"/>
  <c r="GJ208" i="88"/>
  <c r="GN208" i="88"/>
  <c r="ID208" i="88"/>
  <c r="IH208" i="88" s="1"/>
  <c r="IE208" i="88"/>
  <c r="IG208" i="88" s="1"/>
  <c r="HY207" i="88"/>
  <c r="HX207" i="88"/>
  <c r="HW207" i="88"/>
  <c r="HV207" i="88"/>
  <c r="HU207" i="88"/>
  <c r="GJ207" i="88"/>
  <c r="GI207" i="88"/>
  <c r="GH207" i="88"/>
  <c r="HA207" i="88" s="1"/>
  <c r="GG207" i="88"/>
  <c r="GF207" i="88"/>
  <c r="GN207" i="88"/>
  <c r="ID207" i="88"/>
  <c r="IH207" i="88" s="1"/>
  <c r="IE207" i="88"/>
  <c r="IC207" i="88"/>
  <c r="GM207" i="88"/>
  <c r="IB207" i="88"/>
  <c r="GL207" i="88"/>
  <c r="IA207" i="88"/>
  <c r="GK207" i="88"/>
  <c r="HZ207" i="88"/>
  <c r="HY206" i="88"/>
  <c r="HX206" i="88"/>
  <c r="HW206" i="88"/>
  <c r="HV206" i="88"/>
  <c r="HU206" i="88"/>
  <c r="GN206" i="88"/>
  <c r="ID206" i="88"/>
  <c r="IH206" i="88" s="1"/>
  <c r="IE206" i="88"/>
  <c r="BN206" i="88"/>
  <c r="BO206" i="88" s="1"/>
  <c r="BP206" i="88" s="1"/>
  <c r="BQ206" i="88" s="1"/>
  <c r="BR206" i="88" s="1"/>
  <c r="HY205" i="88"/>
  <c r="HX205" i="88"/>
  <c r="HW205" i="88"/>
  <c r="HV205" i="88"/>
  <c r="HU205" i="88"/>
  <c r="GN205" i="88"/>
  <c r="ID205" i="88"/>
  <c r="IH205" i="88" s="1"/>
  <c r="IE205" i="88"/>
  <c r="HY204" i="88"/>
  <c r="HX204" i="88"/>
  <c r="HW204" i="88"/>
  <c r="HV204" i="88"/>
  <c r="HU204" i="88"/>
  <c r="GJ204" i="88"/>
  <c r="GI204" i="88"/>
  <c r="GH204" i="88"/>
  <c r="GG204" i="88"/>
  <c r="GF204" i="88"/>
  <c r="GN204" i="88"/>
  <c r="ID204" i="88"/>
  <c r="IH204" i="88" s="1"/>
  <c r="IE204" i="88"/>
  <c r="IC204" i="88"/>
  <c r="GM204" i="88"/>
  <c r="IB204" i="88"/>
  <c r="GL204" i="88"/>
  <c r="IA204" i="88"/>
  <c r="GK204" i="88"/>
  <c r="HZ204" i="88"/>
  <c r="HY203" i="88"/>
  <c r="HX203" i="88"/>
  <c r="HW203" i="88"/>
  <c r="HV203" i="88"/>
  <c r="HU203" i="88"/>
  <c r="GJ203" i="88"/>
  <c r="GI203" i="88"/>
  <c r="GH203" i="88"/>
  <c r="GG203" i="88"/>
  <c r="GF203" i="88"/>
  <c r="GN203" i="88"/>
  <c r="IE203" i="88"/>
  <c r="IC203" i="88"/>
  <c r="GM203" i="88"/>
  <c r="GL203" i="88"/>
  <c r="IA203" i="88"/>
  <c r="GK203" i="88"/>
  <c r="HZ203" i="88"/>
  <c r="HY202" i="88"/>
  <c r="HX202" i="88"/>
  <c r="HW202" i="88"/>
  <c r="HV202" i="88"/>
  <c r="IP202" i="88" s="1"/>
  <c r="HU202" i="88"/>
  <c r="GJ202" i="88"/>
  <c r="GI202" i="88"/>
  <c r="GH202" i="88"/>
  <c r="GG202" i="88"/>
  <c r="GF202" i="88"/>
  <c r="GN202" i="88"/>
  <c r="ID202" i="88"/>
  <c r="IH202" i="88" s="1"/>
  <c r="IE202" i="88"/>
  <c r="IC202" i="88"/>
  <c r="GM202" i="88"/>
  <c r="IB202" i="88"/>
  <c r="GL202" i="88"/>
  <c r="IA202" i="88"/>
  <c r="GK202" i="88"/>
  <c r="HZ202" i="88"/>
  <c r="HY201" i="88"/>
  <c r="HX201" i="88"/>
  <c r="HW201" i="88"/>
  <c r="HV201" i="88"/>
  <c r="HU201" i="88"/>
  <c r="GJ201" i="88"/>
  <c r="GI201" i="88"/>
  <c r="GH201" i="88"/>
  <c r="GG201" i="88"/>
  <c r="GF201" i="88"/>
  <c r="FZ200" i="88"/>
  <c r="FW200" i="88"/>
  <c r="GN201" i="88"/>
  <c r="FQ200" i="88"/>
  <c r="FO200" i="88"/>
  <c r="ID201" i="88"/>
  <c r="IH201" i="88" s="1"/>
  <c r="FJ200" i="88"/>
  <c r="FI200" i="88"/>
  <c r="FG200" i="88"/>
  <c r="DQ200" i="88"/>
  <c r="DP200" i="88"/>
  <c r="DO200" i="88"/>
  <c r="IE200" i="88" s="1"/>
  <c r="DN200" i="88"/>
  <c r="IC200" i="88"/>
  <c r="CT200" i="88"/>
  <c r="IB201" i="88"/>
  <c r="CL200" i="88"/>
  <c r="GL201" i="88"/>
  <c r="BZ200" i="88"/>
  <c r="BV200" i="88"/>
  <c r="HZ201" i="88"/>
  <c r="BN200" i="88"/>
  <c r="HY200" i="88"/>
  <c r="HX200" i="88"/>
  <c r="HW200" i="88"/>
  <c r="HV200" i="88"/>
  <c r="HU200" i="88"/>
  <c r="GH200" i="88"/>
  <c r="GQ200" i="88" s="1"/>
  <c r="GG200" i="88"/>
  <c r="GF200" i="88"/>
  <c r="FY200" i="88"/>
  <c r="FF200" i="88"/>
  <c r="FF196" i="88" s="1"/>
  <c r="FE200" i="88"/>
  <c r="FE196" i="88" s="1"/>
  <c r="FD200" i="88"/>
  <c r="FD196" i="88" s="1"/>
  <c r="FC200" i="88"/>
  <c r="FC196" i="88" s="1"/>
  <c r="FB200" i="88"/>
  <c r="FB196" i="88" s="1"/>
  <c r="FA200" i="88"/>
  <c r="FA196" i="88" s="1"/>
  <c r="EZ200" i="88"/>
  <c r="EZ196" i="88" s="1"/>
  <c r="EY200" i="88"/>
  <c r="EY196" i="88" s="1"/>
  <c r="EX200" i="88"/>
  <c r="EX196" i="88" s="1"/>
  <c r="EW200" i="88"/>
  <c r="EW196" i="88" s="1"/>
  <c r="EV200" i="88"/>
  <c r="EV196" i="88" s="1"/>
  <c r="EU200" i="88"/>
  <c r="EU196" i="88" s="1"/>
  <c r="ET200" i="88"/>
  <c r="ET196" i="88" s="1"/>
  <c r="ES200" i="88"/>
  <c r="ES196" i="88" s="1"/>
  <c r="ER200" i="88"/>
  <c r="ER196" i="88" s="1"/>
  <c r="EQ200" i="88"/>
  <c r="EQ196" i="88" s="1"/>
  <c r="EP200" i="88"/>
  <c r="EP196" i="88" s="1"/>
  <c r="EO200" i="88"/>
  <c r="EO196" i="88" s="1"/>
  <c r="EN200" i="88"/>
  <c r="EN196" i="88" s="1"/>
  <c r="EM200" i="88"/>
  <c r="EM196" i="88" s="1"/>
  <c r="EL200" i="88"/>
  <c r="EL196" i="88" s="1"/>
  <c r="EK200" i="88"/>
  <c r="EJ200" i="88"/>
  <c r="EJ196" i="88" s="1"/>
  <c r="EI200" i="88"/>
  <c r="EI196" i="88" s="1"/>
  <c r="EH200" i="88"/>
  <c r="EH196" i="88" s="1"/>
  <c r="EG200" i="88"/>
  <c r="EG196" i="88" s="1"/>
  <c r="EF200" i="88"/>
  <c r="EF196" i="88" s="1"/>
  <c r="EE200" i="88"/>
  <c r="EE196" i="88" s="1"/>
  <c r="ED200" i="88"/>
  <c r="ED196" i="88" s="1"/>
  <c r="EC200" i="88"/>
  <c r="EC196" i="88" s="1"/>
  <c r="EB200" i="88"/>
  <c r="EA200" i="88"/>
  <c r="EA196" i="88" s="1"/>
  <c r="DZ200" i="88"/>
  <c r="DZ196" i="88" s="1"/>
  <c r="DY200" i="88"/>
  <c r="DY196" i="88" s="1"/>
  <c r="DX200" i="88"/>
  <c r="DX196" i="88" s="1"/>
  <c r="DW200" i="88"/>
  <c r="DW196" i="88" s="1"/>
  <c r="BL200" i="88"/>
  <c r="GJ200" i="88" s="1"/>
  <c r="AZ200" i="88"/>
  <c r="GI200" i="88" s="1"/>
  <c r="IC199" i="88"/>
  <c r="HY199" i="88"/>
  <c r="HX199" i="88"/>
  <c r="HW199" i="88"/>
  <c r="HV199" i="88"/>
  <c r="HU199" i="88"/>
  <c r="GJ199" i="88"/>
  <c r="GI199" i="88"/>
  <c r="GH199" i="88"/>
  <c r="GG199" i="88"/>
  <c r="GF199" i="88"/>
  <c r="GN199" i="88"/>
  <c r="IE199" i="88"/>
  <c r="GM199" i="88"/>
  <c r="K329" i="3" s="1"/>
  <c r="IB199" i="88"/>
  <c r="GL199" i="88"/>
  <c r="IA199" i="88"/>
  <c r="GK199" i="88"/>
  <c r="HZ199" i="88"/>
  <c r="HY198" i="88"/>
  <c r="HX198" i="88"/>
  <c r="HW198" i="88"/>
  <c r="HV198" i="88"/>
  <c r="HU198" i="88"/>
  <c r="GJ198" i="88"/>
  <c r="GI198" i="88"/>
  <c r="GH198" i="88"/>
  <c r="GG198" i="88"/>
  <c r="GF198" i="88"/>
  <c r="GN198" i="88"/>
  <c r="ID198" i="88"/>
  <c r="IH198" i="88" s="1"/>
  <c r="IE198" i="88"/>
  <c r="IC198" i="88"/>
  <c r="GM198" i="88"/>
  <c r="IB198" i="88"/>
  <c r="GL198" i="88"/>
  <c r="IA198" i="88"/>
  <c r="GK198" i="88"/>
  <c r="HZ198" i="88"/>
  <c r="HY197" i="88"/>
  <c r="HX197" i="88"/>
  <c r="HW197" i="88"/>
  <c r="HV197" i="88"/>
  <c r="HU197" i="88"/>
  <c r="GJ197" i="88"/>
  <c r="GI197" i="88"/>
  <c r="GR197" i="88" s="1"/>
  <c r="GH197" i="88"/>
  <c r="GG197" i="88"/>
  <c r="GF197" i="88"/>
  <c r="GN197" i="88"/>
  <c r="ID197" i="88"/>
  <c r="IH197" i="88" s="1"/>
  <c r="L327" i="3"/>
  <c r="IC197" i="88"/>
  <c r="IB197" i="88"/>
  <c r="IA197" i="88"/>
  <c r="HZ197" i="88"/>
  <c r="EK196" i="88"/>
  <c r="EB196" i="88"/>
  <c r="BK196" i="88"/>
  <c r="BJ196" i="88"/>
  <c r="BI196" i="88"/>
  <c r="BH196" i="88"/>
  <c r="BG196" i="88"/>
  <c r="BF196" i="88"/>
  <c r="HY196" i="88" s="1"/>
  <c r="BE196" i="88"/>
  <c r="BD196" i="88"/>
  <c r="BC196" i="88"/>
  <c r="BB196" i="88"/>
  <c r="BA196" i="88"/>
  <c r="AY196" i="88"/>
  <c r="AX196" i="88"/>
  <c r="AW196" i="88"/>
  <c r="AV196" i="88"/>
  <c r="AU196" i="88"/>
  <c r="AT196" i="88"/>
  <c r="HX196" i="88" s="1"/>
  <c r="AS196" i="88"/>
  <c r="AR196" i="88"/>
  <c r="AQ196" i="88"/>
  <c r="AP196" i="88"/>
  <c r="AO196" i="88"/>
  <c r="AN196" i="88"/>
  <c r="AN270" i="88" s="1"/>
  <c r="AM196" i="88"/>
  <c r="AM270" i="88" s="1"/>
  <c r="AL196" i="88"/>
  <c r="AL270" i="88" s="1"/>
  <c r="AK196" i="88"/>
  <c r="AK270" i="88" s="1"/>
  <c r="AJ196" i="88"/>
  <c r="AJ270" i="88" s="1"/>
  <c r="AI196" i="88"/>
  <c r="AI270" i="88" s="1"/>
  <c r="AH196" i="88"/>
  <c r="AH270" i="88" s="1"/>
  <c r="AG196" i="88"/>
  <c r="AG270" i="88" s="1"/>
  <c r="AF196" i="88"/>
  <c r="AF270" i="88" s="1"/>
  <c r="AE196" i="88"/>
  <c r="AE270" i="88" s="1"/>
  <c r="AD196" i="88"/>
  <c r="AD270" i="88" s="1"/>
  <c r="AC196" i="88"/>
  <c r="AC270" i="88" s="1"/>
  <c r="AB196" i="88"/>
  <c r="AA196" i="88"/>
  <c r="AA270" i="88" s="1"/>
  <c r="Z196" i="88"/>
  <c r="Z270" i="88" s="1"/>
  <c r="Y196" i="88"/>
  <c r="Y270" i="88" s="1"/>
  <c r="X196" i="88"/>
  <c r="X270" i="88" s="1"/>
  <c r="W196" i="88"/>
  <c r="W270" i="88" s="1"/>
  <c r="V196" i="88"/>
  <c r="V270" i="88" s="1"/>
  <c r="U196" i="88"/>
  <c r="U270" i="88" s="1"/>
  <c r="T196" i="88"/>
  <c r="T270" i="88" s="1"/>
  <c r="S196" i="88"/>
  <c r="S270" i="88" s="1"/>
  <c r="R196" i="88"/>
  <c r="R270" i="88" s="1"/>
  <c r="Q196" i="88"/>
  <c r="Q270" i="88" s="1"/>
  <c r="P196" i="88"/>
  <c r="P270" i="88" s="1"/>
  <c r="O196" i="88"/>
  <c r="O270" i="88" s="1"/>
  <c r="N196" i="88"/>
  <c r="N270" i="88" s="1"/>
  <c r="M196" i="88"/>
  <c r="M270" i="88" s="1"/>
  <c r="L196" i="88"/>
  <c r="L270" i="88" s="1"/>
  <c r="K196" i="88"/>
  <c r="K270" i="88" s="1"/>
  <c r="J196" i="88"/>
  <c r="I196" i="88"/>
  <c r="I270" i="88" s="1"/>
  <c r="H196" i="88"/>
  <c r="H270" i="88" s="1"/>
  <c r="G196" i="88"/>
  <c r="G270" i="88" s="1"/>
  <c r="F196" i="88"/>
  <c r="F270" i="88" s="1"/>
  <c r="E196" i="88"/>
  <c r="E270" i="88" s="1"/>
  <c r="KP195" i="88"/>
  <c r="KH195" i="88"/>
  <c r="GM195" i="88"/>
  <c r="GW195" i="88" s="1"/>
  <c r="GL195" i="88"/>
  <c r="HE195" i="88" s="1"/>
  <c r="KP193" i="88"/>
  <c r="KH193" i="88"/>
  <c r="GM193" i="88"/>
  <c r="GW193" i="88" s="1"/>
  <c r="GL193" i="88"/>
  <c r="IE192" i="88"/>
  <c r="ID192" i="88"/>
  <c r="IH192" i="88" s="1"/>
  <c r="IC192" i="88"/>
  <c r="IB192" i="88"/>
  <c r="IA192" i="88"/>
  <c r="JB192" i="88" s="1"/>
  <c r="HZ192" i="88"/>
  <c r="HY192" i="88"/>
  <c r="HX192" i="88"/>
  <c r="HW192" i="88"/>
  <c r="HV192" i="88"/>
  <c r="HU192" i="88"/>
  <c r="L322" i="3"/>
  <c r="GN192" i="88"/>
  <c r="GM192" i="88"/>
  <c r="GY192" i="88" s="1"/>
  <c r="GL192" i="88"/>
  <c r="GK192" i="88"/>
  <c r="GJ192" i="88"/>
  <c r="GI192" i="88"/>
  <c r="GH192" i="88"/>
  <c r="GG192" i="88"/>
  <c r="GF192" i="88"/>
  <c r="HY191" i="88"/>
  <c r="HX191" i="88"/>
  <c r="HW191" i="88"/>
  <c r="HV191" i="88"/>
  <c r="HU191" i="88"/>
  <c r="GJ191" i="88"/>
  <c r="GI191" i="88"/>
  <c r="GH191" i="88"/>
  <c r="GG191" i="88"/>
  <c r="GF191" i="88"/>
  <c r="GN191" i="88"/>
  <c r="ID191" i="88"/>
  <c r="IH191" i="88" s="1"/>
  <c r="IE191" i="88"/>
  <c r="IC191" i="88"/>
  <c r="GM191" i="88"/>
  <c r="IB191" i="88"/>
  <c r="IA191" i="88"/>
  <c r="GK191" i="88"/>
  <c r="HZ191" i="88"/>
  <c r="HY190" i="88"/>
  <c r="HX190" i="88"/>
  <c r="HW190" i="88"/>
  <c r="HV190" i="88"/>
  <c r="HU190" i="88"/>
  <c r="GI190" i="88"/>
  <c r="GH190" i="88"/>
  <c r="GG190" i="88"/>
  <c r="GF190" i="88"/>
  <c r="ID190" i="88"/>
  <c r="IH190" i="88" s="1"/>
  <c r="IE190" i="88"/>
  <c r="GM190" i="88"/>
  <c r="IB190" i="88"/>
  <c r="GL190" i="88"/>
  <c r="HZ190" i="88"/>
  <c r="BL190" i="88"/>
  <c r="GJ190" i="88" s="1"/>
  <c r="HY189" i="88"/>
  <c r="HX189" i="88"/>
  <c r="HW189" i="88"/>
  <c r="IQ189" i="88" s="1"/>
  <c r="HV189" i="88"/>
  <c r="HU189" i="88"/>
  <c r="GI189" i="88"/>
  <c r="GH189" i="88"/>
  <c r="GG189" i="88"/>
  <c r="GF189" i="88"/>
  <c r="GD188" i="88"/>
  <c r="GC188" i="88"/>
  <c r="GA188" i="88"/>
  <c r="FX188" i="88"/>
  <c r="FW188" i="88"/>
  <c r="FV188" i="88"/>
  <c r="FU188" i="88"/>
  <c r="GN189" i="88"/>
  <c r="FP188" i="88"/>
  <c r="FO188" i="88"/>
  <c r="FN188" i="88"/>
  <c r="FM188" i="88"/>
  <c r="ID189" i="88"/>
  <c r="IH189" i="88" s="1"/>
  <c r="FH188" i="88"/>
  <c r="FG188" i="88"/>
  <c r="DT188" i="88"/>
  <c r="DO188" i="88"/>
  <c r="IE188" i="88" s="1"/>
  <c r="DN188" i="88"/>
  <c r="DL188" i="88"/>
  <c r="IC189" i="88"/>
  <c r="GM189" i="88"/>
  <c r="IB189" i="88"/>
  <c r="GL189" i="88"/>
  <c r="IA189" i="88"/>
  <c r="GK189" i="88"/>
  <c r="BL189" i="88"/>
  <c r="GJ189" i="88" s="1"/>
  <c r="HY188" i="88"/>
  <c r="HX188" i="88"/>
  <c r="HW188" i="88"/>
  <c r="HV188" i="88"/>
  <c r="HU188" i="88"/>
  <c r="GH188" i="88"/>
  <c r="GG188" i="88"/>
  <c r="GF188" i="88"/>
  <c r="FF188" i="88"/>
  <c r="FE188" i="88"/>
  <c r="FD188" i="88"/>
  <c r="FC188" i="88"/>
  <c r="FB188" i="88"/>
  <c r="FA188" i="88"/>
  <c r="EZ188" i="88"/>
  <c r="EY188" i="88"/>
  <c r="EX188" i="88"/>
  <c r="EW188" i="88"/>
  <c r="EV188" i="88"/>
  <c r="EU188" i="88"/>
  <c r="ET188" i="88"/>
  <c r="ES188" i="88"/>
  <c r="ER188" i="88"/>
  <c r="EQ188" i="88"/>
  <c r="EP188" i="88"/>
  <c r="EO188" i="88"/>
  <c r="EN188" i="88"/>
  <c r="EM188" i="88"/>
  <c r="EL188" i="88"/>
  <c r="EK188" i="88"/>
  <c r="EJ188" i="88"/>
  <c r="EI188" i="88"/>
  <c r="EH188" i="88"/>
  <c r="EG188" i="88"/>
  <c r="EF188" i="88"/>
  <c r="EE188" i="88"/>
  <c r="ED188" i="88"/>
  <c r="EC188" i="88"/>
  <c r="EB188" i="88"/>
  <c r="EA188" i="88"/>
  <c r="DZ188" i="88"/>
  <c r="DY188" i="88"/>
  <c r="DX188" i="88"/>
  <c r="DW188" i="88"/>
  <c r="AZ188" i="88"/>
  <c r="GI188" i="88" s="1"/>
  <c r="HY187" i="88"/>
  <c r="HX187" i="88"/>
  <c r="HW187" i="88"/>
  <c r="HV187" i="88"/>
  <c r="HU187" i="88"/>
  <c r="GJ187" i="88"/>
  <c r="GI187" i="88"/>
  <c r="GH187" i="88"/>
  <c r="GG187" i="88"/>
  <c r="GF187" i="88"/>
  <c r="GN187" i="88"/>
  <c r="ID187" i="88"/>
  <c r="IH187" i="88" s="1"/>
  <c r="IE187" i="88"/>
  <c r="IC187" i="88"/>
  <c r="GM187" i="88"/>
  <c r="IB187" i="88"/>
  <c r="GL187" i="88"/>
  <c r="IA187" i="88"/>
  <c r="GK187" i="88"/>
  <c r="HZ187" i="88"/>
  <c r="HY186" i="88"/>
  <c r="HX186" i="88"/>
  <c r="HW186" i="88"/>
  <c r="HV186" i="88"/>
  <c r="HU186" i="88"/>
  <c r="GJ186" i="88"/>
  <c r="GI186" i="88"/>
  <c r="GH186" i="88"/>
  <c r="HA186" i="88" s="1"/>
  <c r="GG186" i="88"/>
  <c r="GF186" i="88"/>
  <c r="GD185" i="88"/>
  <c r="GB185" i="88"/>
  <c r="FY185" i="88"/>
  <c r="FW185" i="88"/>
  <c r="FV185" i="88"/>
  <c r="FT185" i="88"/>
  <c r="GN186" i="88"/>
  <c r="FQ185" i="88"/>
  <c r="FO185" i="88"/>
  <c r="FN185" i="88"/>
  <c r="ID186" i="88"/>
  <c r="IH186" i="88" s="1"/>
  <c r="FK185" i="88"/>
  <c r="FI185" i="88"/>
  <c r="FG185" i="88"/>
  <c r="DU185" i="88"/>
  <c r="DS185" i="88"/>
  <c r="DP185" i="88"/>
  <c r="IE186" i="88"/>
  <c r="DN185" i="88"/>
  <c r="DM185" i="88"/>
  <c r="DK185" i="88"/>
  <c r="DJ185" i="88"/>
  <c r="IC186" i="88"/>
  <c r="CS185" i="88"/>
  <c r="IB186" i="88"/>
  <c r="GL186" i="88"/>
  <c r="IA186" i="88"/>
  <c r="GK186" i="88"/>
  <c r="HY185" i="88"/>
  <c r="HX185" i="88"/>
  <c r="HW185" i="88"/>
  <c r="HV185" i="88"/>
  <c r="HU185" i="88"/>
  <c r="GJ185" i="88"/>
  <c r="GH185" i="88"/>
  <c r="GG185" i="88"/>
  <c r="GF185" i="88"/>
  <c r="GA185" i="88"/>
  <c r="FS185" i="88"/>
  <c r="FF185" i="88"/>
  <c r="FF182" i="88" s="1"/>
  <c r="FE185" i="88"/>
  <c r="FE182" i="88" s="1"/>
  <c r="FD185" i="88"/>
  <c r="FC185" i="88"/>
  <c r="FC182" i="88" s="1"/>
  <c r="FB185" i="88"/>
  <c r="FA185" i="88"/>
  <c r="EZ185" i="88"/>
  <c r="EZ182" i="88" s="1"/>
  <c r="EY185" i="88"/>
  <c r="EX185" i="88"/>
  <c r="EX182" i="88" s="1"/>
  <c r="EW185" i="88"/>
  <c r="EW182" i="88" s="1"/>
  <c r="EV185" i="88"/>
  <c r="EU185" i="88"/>
  <c r="EU182" i="88" s="1"/>
  <c r="ET185" i="88"/>
  <c r="ET182" i="88" s="1"/>
  <c r="ES185" i="88"/>
  <c r="ER185" i="88"/>
  <c r="ER182" i="88" s="1"/>
  <c r="EQ185" i="88"/>
  <c r="EQ182" i="88" s="1"/>
  <c r="EP185" i="88"/>
  <c r="EP182" i="88" s="1"/>
  <c r="EO185" i="88"/>
  <c r="EO182" i="88" s="1"/>
  <c r="EN185" i="88"/>
  <c r="EM185" i="88"/>
  <c r="EL185" i="88"/>
  <c r="EK185" i="88"/>
  <c r="EJ185" i="88"/>
  <c r="EJ182" i="88" s="1"/>
  <c r="EI185" i="88"/>
  <c r="EH185" i="88"/>
  <c r="EH182" i="88" s="1"/>
  <c r="EG185" i="88"/>
  <c r="EG182" i="88" s="1"/>
  <c r="EF185" i="88"/>
  <c r="EE185" i="88"/>
  <c r="EE182" i="88" s="1"/>
  <c r="ED185" i="88"/>
  <c r="EC185" i="88"/>
  <c r="EB185" i="88"/>
  <c r="EB182" i="88" s="1"/>
  <c r="EA185" i="88"/>
  <c r="DZ185" i="88"/>
  <c r="DZ182" i="88" s="1"/>
  <c r="DY185" i="88"/>
  <c r="DY182" i="88" s="1"/>
  <c r="DX185" i="88"/>
  <c r="DW185" i="88"/>
  <c r="DW182" i="88" s="1"/>
  <c r="AZ185" i="88"/>
  <c r="HY184" i="88"/>
  <c r="HX184" i="88"/>
  <c r="HW184" i="88"/>
  <c r="HV184" i="88"/>
  <c r="HU184" i="88"/>
  <c r="GJ184" i="88"/>
  <c r="GI184" i="88"/>
  <c r="GH184" i="88"/>
  <c r="GG184" i="88"/>
  <c r="GF184" i="88"/>
  <c r="ID184" i="88"/>
  <c r="IH184" i="88" s="1"/>
  <c r="L321" i="3"/>
  <c r="IE184" i="88"/>
  <c r="IC184" i="88"/>
  <c r="GM184" i="88"/>
  <c r="K321" i="3" s="1"/>
  <c r="IB184" i="88"/>
  <c r="GL184" i="88"/>
  <c r="IA184" i="88"/>
  <c r="GK184" i="88"/>
  <c r="HZ184" i="88"/>
  <c r="HY183" i="88"/>
  <c r="HX183" i="88"/>
  <c r="HW183" i="88"/>
  <c r="HV183" i="88"/>
  <c r="HU183" i="88"/>
  <c r="GJ183" i="88"/>
  <c r="GI183" i="88"/>
  <c r="GH183" i="88"/>
  <c r="GG183" i="88"/>
  <c r="GF183" i="88"/>
  <c r="GN183" i="88"/>
  <c r="ID183" i="88"/>
  <c r="IH183" i="88" s="1"/>
  <c r="IE183" i="88"/>
  <c r="IC183" i="88"/>
  <c r="GM183" i="88"/>
  <c r="IB183" i="88"/>
  <c r="GL183" i="88"/>
  <c r="IA183" i="88"/>
  <c r="GK183" i="88"/>
  <c r="HZ183" i="88"/>
  <c r="FB182" i="88"/>
  <c r="EY182" i="88"/>
  <c r="EM182" i="88"/>
  <c r="EL182" i="88"/>
  <c r="EI182" i="88"/>
  <c r="ED182" i="88"/>
  <c r="BK182" i="88"/>
  <c r="BJ182" i="88"/>
  <c r="BI182" i="88"/>
  <c r="BH182" i="88"/>
  <c r="BG182" i="88"/>
  <c r="BF182" i="88"/>
  <c r="BE182" i="88"/>
  <c r="BD182" i="88"/>
  <c r="BC182" i="88"/>
  <c r="BB182" i="88"/>
  <c r="BA182" i="88"/>
  <c r="AY182" i="88"/>
  <c r="AX182" i="88"/>
  <c r="AW182" i="88"/>
  <c r="AV182" i="88"/>
  <c r="AU182" i="88"/>
  <c r="AT182" i="88"/>
  <c r="AS182" i="88"/>
  <c r="AR182" i="88"/>
  <c r="AQ182" i="88"/>
  <c r="AP182" i="88"/>
  <c r="AO182" i="88"/>
  <c r="AN182" i="88"/>
  <c r="GH182" i="88" s="1"/>
  <c r="AM182" i="88"/>
  <c r="AL182" i="88"/>
  <c r="AK182" i="88"/>
  <c r="AJ182" i="88"/>
  <c r="AI182" i="88"/>
  <c r="AH182" i="88"/>
  <c r="HW182" i="88" s="1"/>
  <c r="AG182" i="88"/>
  <c r="AF182" i="88"/>
  <c r="AE182" i="88"/>
  <c r="AD182" i="88"/>
  <c r="AC182" i="88"/>
  <c r="AB182" i="88"/>
  <c r="AA182" i="88"/>
  <c r="Z182" i="88"/>
  <c r="Y182" i="88"/>
  <c r="X182" i="88"/>
  <c r="W182" i="88"/>
  <c r="V182" i="88"/>
  <c r="U182" i="88"/>
  <c r="T182" i="88"/>
  <c r="S182" i="88"/>
  <c r="R182" i="88"/>
  <c r="Q182" i="88"/>
  <c r="P182" i="88"/>
  <c r="GF182" i="88" s="1"/>
  <c r="O182" i="88"/>
  <c r="N182" i="88"/>
  <c r="M182" i="88"/>
  <c r="L182" i="88"/>
  <c r="K182" i="88"/>
  <c r="J182" i="88"/>
  <c r="HU182" i="88" s="1"/>
  <c r="I182" i="88"/>
  <c r="H182" i="88"/>
  <c r="G182" i="88"/>
  <c r="F182" i="88"/>
  <c r="E182" i="88"/>
  <c r="KP181" i="88"/>
  <c r="KH181" i="88"/>
  <c r="GM181" i="88"/>
  <c r="GY181" i="88" s="1"/>
  <c r="GL181" i="88"/>
  <c r="HE181" i="88" s="1"/>
  <c r="IY180" i="88"/>
  <c r="IX180" i="88"/>
  <c r="IQ180" i="88"/>
  <c r="IP180" i="88"/>
  <c r="HY180" i="88"/>
  <c r="IR180" i="88" s="1"/>
  <c r="GJ180" i="88"/>
  <c r="GN180" i="88"/>
  <c r="ID180" i="88"/>
  <c r="IH180" i="88" s="1"/>
  <c r="IE180" i="88"/>
  <c r="IC180" i="88"/>
  <c r="GM180" i="88"/>
  <c r="IB180" i="88"/>
  <c r="GL180" i="88"/>
  <c r="IA180" i="88"/>
  <c r="GK180" i="88"/>
  <c r="HZ180" i="88"/>
  <c r="IY179" i="88"/>
  <c r="IX179" i="88"/>
  <c r="IQ179" i="88"/>
  <c r="IP179" i="88"/>
  <c r="HY179" i="88"/>
  <c r="IR179" i="88" s="1"/>
  <c r="GJ179" i="88"/>
  <c r="GN179" i="88"/>
  <c r="ID179" i="88"/>
  <c r="IH179" i="88" s="1"/>
  <c r="IE179" i="88"/>
  <c r="IC179" i="88"/>
  <c r="GM179" i="88"/>
  <c r="IB179" i="88"/>
  <c r="GL179" i="88"/>
  <c r="IA179" i="88"/>
  <c r="GK179" i="88"/>
  <c r="HZ179" i="88"/>
  <c r="IY178" i="88"/>
  <c r="IX178" i="88"/>
  <c r="IQ178" i="88"/>
  <c r="IP178" i="88"/>
  <c r="HY178" i="88"/>
  <c r="IZ178" i="88" s="1"/>
  <c r="GJ178" i="88"/>
  <c r="GN178" i="88"/>
  <c r="ID178" i="88"/>
  <c r="IH178" i="88" s="1"/>
  <c r="IE178" i="88"/>
  <c r="IC178" i="88"/>
  <c r="GM178" i="88"/>
  <c r="IB178" i="88"/>
  <c r="GL178" i="88"/>
  <c r="IA178" i="88"/>
  <c r="GK178" i="88"/>
  <c r="HZ178" i="88"/>
  <c r="IY177" i="88"/>
  <c r="IX177" i="88"/>
  <c r="IQ177" i="88"/>
  <c r="IP177" i="88"/>
  <c r="HY177" i="88"/>
  <c r="IR177" i="88" s="1"/>
  <c r="GJ177" i="88"/>
  <c r="GN177" i="88"/>
  <c r="ID177" i="88"/>
  <c r="IH177" i="88" s="1"/>
  <c r="IE177" i="88"/>
  <c r="IC177" i="88"/>
  <c r="GM177" i="88"/>
  <c r="IB177" i="88"/>
  <c r="GL177" i="88"/>
  <c r="IA177" i="88"/>
  <c r="GK177" i="88"/>
  <c r="HZ177" i="88"/>
  <c r="IY176" i="88"/>
  <c r="IX176" i="88"/>
  <c r="IQ176" i="88"/>
  <c r="IP176" i="88"/>
  <c r="HY176" i="88"/>
  <c r="IZ176" i="88" s="1"/>
  <c r="FZ175" i="88"/>
  <c r="ID176" i="88"/>
  <c r="IH176" i="88" s="1"/>
  <c r="FJ175" i="88"/>
  <c r="DQ175" i="88"/>
  <c r="IE176" i="88"/>
  <c r="GM176" i="88"/>
  <c r="IB176" i="88"/>
  <c r="GL176" i="88"/>
  <c r="GK176" i="88"/>
  <c r="BL176" i="88"/>
  <c r="GJ176" i="88" s="1"/>
  <c r="HY175" i="88"/>
  <c r="HX175" i="88"/>
  <c r="HW175" i="88"/>
  <c r="HV175" i="88"/>
  <c r="HU175" i="88"/>
  <c r="GH175" i="88"/>
  <c r="GG175" i="88"/>
  <c r="GF175" i="88"/>
  <c r="FF175" i="88"/>
  <c r="FE175" i="88"/>
  <c r="FD175" i="88"/>
  <c r="FC175" i="88"/>
  <c r="FB175" i="88"/>
  <c r="FA175" i="88"/>
  <c r="EZ175" i="88"/>
  <c r="EY175" i="88"/>
  <c r="EX175" i="88"/>
  <c r="EW175" i="88"/>
  <c r="EV175" i="88"/>
  <c r="EU175" i="88"/>
  <c r="ET175" i="88"/>
  <c r="ES175" i="88"/>
  <c r="ER175" i="88"/>
  <c r="EQ175" i="88"/>
  <c r="EP175" i="88"/>
  <c r="EO175" i="88"/>
  <c r="EN175" i="88"/>
  <c r="EM175" i="88"/>
  <c r="EL175" i="88"/>
  <c r="EK175" i="88"/>
  <c r="EJ175" i="88"/>
  <c r="EI175" i="88"/>
  <c r="EH175" i="88"/>
  <c r="EG175" i="88"/>
  <c r="EF175" i="88"/>
  <c r="EE175" i="88"/>
  <c r="ED175" i="88"/>
  <c r="EC175" i="88"/>
  <c r="EB175" i="88"/>
  <c r="EA175" i="88"/>
  <c r="DZ175" i="88"/>
  <c r="DY175" i="88"/>
  <c r="DX175" i="88"/>
  <c r="DW175" i="88"/>
  <c r="AZ175" i="88"/>
  <c r="GI175" i="88" s="1"/>
  <c r="HY174" i="88"/>
  <c r="HX174" i="88"/>
  <c r="HW174" i="88"/>
  <c r="HV174" i="88"/>
  <c r="HU174" i="88"/>
  <c r="GJ174" i="88"/>
  <c r="GI174" i="88"/>
  <c r="GH174" i="88"/>
  <c r="GG174" i="88"/>
  <c r="GF174" i="88"/>
  <c r="GN174" i="88"/>
  <c r="ID174" i="88"/>
  <c r="IH174" i="88" s="1"/>
  <c r="L220" i="3"/>
  <c r="IE174" i="88"/>
  <c r="IC174" i="88"/>
  <c r="GM174" i="88"/>
  <c r="K220" i="3" s="1"/>
  <c r="IB174" i="88"/>
  <c r="GL174" i="88"/>
  <c r="IA174" i="88"/>
  <c r="GK174" i="88"/>
  <c r="HZ174" i="88"/>
  <c r="HY173" i="88"/>
  <c r="HX173" i="88"/>
  <c r="HW173" i="88"/>
  <c r="IX173" i="88" s="1"/>
  <c r="HV173" i="88"/>
  <c r="HU173" i="88"/>
  <c r="GJ173" i="88"/>
  <c r="GI173" i="88"/>
  <c r="GH173" i="88"/>
  <c r="GG173" i="88"/>
  <c r="GF173" i="88"/>
  <c r="GN173" i="88"/>
  <c r="ID173" i="88"/>
  <c r="IH173" i="88" s="1"/>
  <c r="IE173" i="88"/>
  <c r="IC173" i="88"/>
  <c r="GM173" i="88"/>
  <c r="IB173" i="88"/>
  <c r="GL173" i="88"/>
  <c r="IA173" i="88"/>
  <c r="GK173" i="88"/>
  <c r="HZ173" i="88"/>
  <c r="HY172" i="88"/>
  <c r="HX172" i="88"/>
  <c r="HW172" i="88"/>
  <c r="HV172" i="88"/>
  <c r="HU172" i="88"/>
  <c r="GJ172" i="88"/>
  <c r="GI172" i="88"/>
  <c r="GH172" i="88"/>
  <c r="GG172" i="88"/>
  <c r="GF172" i="88"/>
  <c r="GB171" i="88"/>
  <c r="GA171" i="88"/>
  <c r="FW171" i="88"/>
  <c r="FT171" i="88"/>
  <c r="FS171" i="88"/>
  <c r="GN172" i="88"/>
  <c r="FP171" i="88"/>
  <c r="FO171" i="88"/>
  <c r="ID172" i="88"/>
  <c r="IH172" i="88" s="1"/>
  <c r="FK171" i="88"/>
  <c r="FG171" i="88"/>
  <c r="DS171" i="88"/>
  <c r="DR171" i="88"/>
  <c r="IE172" i="88"/>
  <c r="DN171" i="88"/>
  <c r="DL171" i="88"/>
  <c r="DK171" i="88"/>
  <c r="DJ171" i="88"/>
  <c r="IB172" i="88"/>
  <c r="GL172" i="88"/>
  <c r="HZ172" i="88"/>
  <c r="HY171" i="88"/>
  <c r="HX171" i="88"/>
  <c r="HW171" i="88"/>
  <c r="HV171" i="88"/>
  <c r="HU171" i="88"/>
  <c r="GH171" i="88"/>
  <c r="GG171" i="88"/>
  <c r="GF171" i="88"/>
  <c r="FF171" i="88"/>
  <c r="FE171" i="88"/>
  <c r="FD171" i="88"/>
  <c r="FC171" i="88"/>
  <c r="FB171" i="88"/>
  <c r="FA171" i="88"/>
  <c r="EZ171" i="88"/>
  <c r="EY171" i="88"/>
  <c r="EX171" i="88"/>
  <c r="EW171" i="88"/>
  <c r="EV171" i="88"/>
  <c r="EU171" i="88"/>
  <c r="ET171" i="88"/>
  <c r="ES171" i="88"/>
  <c r="ER171" i="88"/>
  <c r="EQ171" i="88"/>
  <c r="EP171" i="88"/>
  <c r="EO171" i="88"/>
  <c r="EN171" i="88"/>
  <c r="EM171" i="88"/>
  <c r="EL171" i="88"/>
  <c r="EK171" i="88"/>
  <c r="EJ171" i="88"/>
  <c r="EI171" i="88"/>
  <c r="EH171" i="88"/>
  <c r="EG171" i="88"/>
  <c r="EF171" i="88"/>
  <c r="EE171" i="88"/>
  <c r="ED171" i="88"/>
  <c r="EC171" i="88"/>
  <c r="EB171" i="88"/>
  <c r="EA171" i="88"/>
  <c r="DZ171" i="88"/>
  <c r="DY171" i="88"/>
  <c r="DX171" i="88"/>
  <c r="DW171" i="88"/>
  <c r="BL171" i="88"/>
  <c r="GJ171" i="88" s="1"/>
  <c r="AZ171" i="88"/>
  <c r="GI171" i="88" s="1"/>
  <c r="HY170" i="88"/>
  <c r="HX170" i="88"/>
  <c r="HW170" i="88"/>
  <c r="HV170" i="88"/>
  <c r="HU170" i="88"/>
  <c r="GJ170" i="88"/>
  <c r="GI170" i="88"/>
  <c r="GH170" i="88"/>
  <c r="GG170" i="88"/>
  <c r="GF170" i="88"/>
  <c r="GN170" i="88"/>
  <c r="ID170" i="88"/>
  <c r="IH170" i="88" s="1"/>
  <c r="IC170" i="88"/>
  <c r="GM170" i="88"/>
  <c r="IB170" i="88"/>
  <c r="IA170" i="88"/>
  <c r="GK170" i="88"/>
  <c r="HZ170" i="88"/>
  <c r="HY169" i="88"/>
  <c r="HX169" i="88"/>
  <c r="HW169" i="88"/>
  <c r="HV169" i="88"/>
  <c r="HU169" i="88"/>
  <c r="GJ169" i="88"/>
  <c r="GI169" i="88"/>
  <c r="GH169" i="88"/>
  <c r="GG169" i="88"/>
  <c r="GF169" i="88"/>
  <c r="GC168" i="88"/>
  <c r="FU168" i="88"/>
  <c r="FQ168" i="88"/>
  <c r="FM168" i="88"/>
  <c r="ID169" i="88"/>
  <c r="IH169" i="88" s="1"/>
  <c r="FH168" i="88"/>
  <c r="DT168" i="88"/>
  <c r="IE169" i="88"/>
  <c r="DL168" i="88"/>
  <c r="GM169" i="88"/>
  <c r="GL169" i="88"/>
  <c r="GK169" i="88"/>
  <c r="HZ169" i="88"/>
  <c r="HY168" i="88"/>
  <c r="HX168" i="88"/>
  <c r="HW168" i="88"/>
  <c r="HV168" i="88"/>
  <c r="HU168" i="88"/>
  <c r="GH168" i="88"/>
  <c r="GG168" i="88"/>
  <c r="GF168" i="88"/>
  <c r="FF168" i="88"/>
  <c r="FE168" i="88"/>
  <c r="FD168" i="88"/>
  <c r="FC168" i="88"/>
  <c r="FB168" i="88"/>
  <c r="FA168" i="88"/>
  <c r="EZ168" i="88"/>
  <c r="EY168" i="88"/>
  <c r="EX168" i="88"/>
  <c r="EW168" i="88"/>
  <c r="EV168" i="88"/>
  <c r="EU168" i="88"/>
  <c r="ET168" i="88"/>
  <c r="ES168" i="88"/>
  <c r="ER168" i="88"/>
  <c r="EQ168" i="88"/>
  <c r="EP168" i="88"/>
  <c r="EO168" i="88"/>
  <c r="EN168" i="88"/>
  <c r="EM168" i="88"/>
  <c r="EL168" i="88"/>
  <c r="EK168" i="88"/>
  <c r="EJ168" i="88"/>
  <c r="EI168" i="88"/>
  <c r="EH168" i="88"/>
  <c r="EG168" i="88"/>
  <c r="EF168" i="88"/>
  <c r="EE168" i="88"/>
  <c r="ED168" i="88"/>
  <c r="EC168" i="88"/>
  <c r="EB168" i="88"/>
  <c r="EA168" i="88"/>
  <c r="DZ168" i="88"/>
  <c r="DY168" i="88"/>
  <c r="DX168" i="88"/>
  <c r="DW168" i="88"/>
  <c r="BL168" i="88"/>
  <c r="GJ168" i="88" s="1"/>
  <c r="AZ168" i="88"/>
  <c r="GI168" i="88" s="1"/>
  <c r="HY167" i="88"/>
  <c r="HX167" i="88"/>
  <c r="HW167" i="88"/>
  <c r="HV167" i="88"/>
  <c r="HU167" i="88"/>
  <c r="L217" i="3"/>
  <c r="GJ167" i="88"/>
  <c r="GI167" i="88"/>
  <c r="GH167" i="88"/>
  <c r="GG167" i="88"/>
  <c r="GF167" i="88"/>
  <c r="GN167" i="88"/>
  <c r="ID167" i="88"/>
  <c r="IH167" i="88" s="1"/>
  <c r="IE167" i="88"/>
  <c r="IC167" i="88"/>
  <c r="GM167" i="88"/>
  <c r="K217" i="3" s="1"/>
  <c r="IB167" i="88"/>
  <c r="GL167" i="88"/>
  <c r="IA167" i="88"/>
  <c r="GK167" i="88"/>
  <c r="HZ167" i="88"/>
  <c r="HY166" i="88"/>
  <c r="HX166" i="88"/>
  <c r="HW166" i="88"/>
  <c r="HV166" i="88"/>
  <c r="HU166" i="88"/>
  <c r="GJ166" i="88"/>
  <c r="GI166" i="88"/>
  <c r="GH166" i="88"/>
  <c r="GG166" i="88"/>
  <c r="GF166" i="88"/>
  <c r="GN166" i="88"/>
  <c r="ID166" i="88"/>
  <c r="IH166" i="88" s="1"/>
  <c r="L216" i="3"/>
  <c r="IE166" i="88"/>
  <c r="IG166" i="88" s="1"/>
  <c r="IC166" i="88"/>
  <c r="GM166" i="88"/>
  <c r="K216" i="3" s="1"/>
  <c r="IA166" i="88"/>
  <c r="GK166" i="88"/>
  <c r="HZ166" i="88"/>
  <c r="HY165" i="88"/>
  <c r="HX165" i="88"/>
  <c r="HW165" i="88"/>
  <c r="HV165" i="88"/>
  <c r="HU165" i="88"/>
  <c r="GI165" i="88"/>
  <c r="GH165" i="88"/>
  <c r="GG165" i="88"/>
  <c r="GF165" i="88"/>
  <c r="GN165" i="88"/>
  <c r="ID165" i="88"/>
  <c r="IH165" i="88" s="1"/>
  <c r="IE165" i="88"/>
  <c r="GM165" i="88"/>
  <c r="K215" i="3" s="1"/>
  <c r="IB165" i="88"/>
  <c r="IA165" i="88"/>
  <c r="GK165" i="88"/>
  <c r="HZ165" i="88"/>
  <c r="BL165" i="88"/>
  <c r="GJ165" i="88" s="1"/>
  <c r="IY164" i="88"/>
  <c r="IX164" i="88"/>
  <c r="IQ164" i="88"/>
  <c r="IP164" i="88"/>
  <c r="IE164" i="88"/>
  <c r="ID164" i="88"/>
  <c r="IH164" i="88" s="1"/>
  <c r="HY164" i="88"/>
  <c r="IZ164" i="88" s="1"/>
  <c r="GN164" i="88"/>
  <c r="GJ164" i="88"/>
  <c r="IC164" i="88"/>
  <c r="DB245" i="88"/>
  <c r="DA245" i="88"/>
  <c r="CZ245" i="88"/>
  <c r="CY245" i="88"/>
  <c r="CX245" i="88"/>
  <c r="CV245" i="88"/>
  <c r="CU245" i="88"/>
  <c r="CT245" i="88"/>
  <c r="CS245" i="88"/>
  <c r="CR245" i="88"/>
  <c r="CQ245" i="88"/>
  <c r="CP245" i="88"/>
  <c r="CO245" i="88"/>
  <c r="CN245" i="88"/>
  <c r="CM245" i="88"/>
  <c r="CL245" i="88"/>
  <c r="CK245" i="88"/>
  <c r="CJ245" i="88"/>
  <c r="CI245" i="88"/>
  <c r="CH245" i="88"/>
  <c r="CG245" i="88"/>
  <c r="CF245" i="88"/>
  <c r="CD245" i="88"/>
  <c r="CC245" i="88"/>
  <c r="CB245" i="88"/>
  <c r="CA245" i="88"/>
  <c r="BZ245" i="88"/>
  <c r="BY245" i="88"/>
  <c r="BX245" i="88"/>
  <c r="BW245" i="88"/>
  <c r="BV245" i="88"/>
  <c r="BU245" i="88"/>
  <c r="BT245" i="88"/>
  <c r="BS245" i="88"/>
  <c r="BR245" i="88"/>
  <c r="BQ245" i="88"/>
  <c r="BP245" i="88"/>
  <c r="BO245" i="88"/>
  <c r="HY163" i="88"/>
  <c r="HX163" i="88"/>
  <c r="HW163" i="88"/>
  <c r="HV163" i="88"/>
  <c r="HU163" i="88"/>
  <c r="GJ163" i="88"/>
  <c r="GI163" i="88"/>
  <c r="GH163" i="88"/>
  <c r="GG163" i="88"/>
  <c r="GF163" i="88"/>
  <c r="GN163" i="88"/>
  <c r="ID163" i="88"/>
  <c r="IH163" i="88" s="1"/>
  <c r="IE163" i="88"/>
  <c r="IG163" i="88" s="1"/>
  <c r="IC163" i="88"/>
  <c r="GM163" i="88"/>
  <c r="IB163" i="88"/>
  <c r="GL163" i="88"/>
  <c r="IA163" i="88"/>
  <c r="GK163" i="88"/>
  <c r="HZ163" i="88"/>
  <c r="HY162" i="88"/>
  <c r="HX162" i="88"/>
  <c r="HW162" i="88"/>
  <c r="HV162" i="88"/>
  <c r="HU162" i="88"/>
  <c r="GJ162" i="88"/>
  <c r="GI162" i="88"/>
  <c r="GH162" i="88"/>
  <c r="GG162" i="88"/>
  <c r="GF162" i="88"/>
  <c r="GD161" i="88"/>
  <c r="FZ161" i="88"/>
  <c r="FX161" i="88"/>
  <c r="FV161" i="88"/>
  <c r="GN162" i="88"/>
  <c r="FP161" i="88"/>
  <c r="ID162" i="88"/>
  <c r="IH162" i="88" s="1"/>
  <c r="FJ161" i="88"/>
  <c r="FH161" i="88"/>
  <c r="IE162" i="88"/>
  <c r="IG162" i="88" s="1"/>
  <c r="IC162" i="88"/>
  <c r="IA162" i="88"/>
  <c r="BV161" i="88"/>
  <c r="HY161" i="88"/>
  <c r="HX161" i="88"/>
  <c r="HW161" i="88"/>
  <c r="HV161" i="88"/>
  <c r="HU161" i="88"/>
  <c r="GH161" i="88"/>
  <c r="GG161" i="88"/>
  <c r="GF161" i="88"/>
  <c r="FF161" i="88"/>
  <c r="FE161" i="88"/>
  <c r="FD161" i="88"/>
  <c r="FC161" i="88"/>
  <c r="FB161" i="88"/>
  <c r="FA161" i="88"/>
  <c r="FA160" i="88" s="1"/>
  <c r="EZ161" i="88"/>
  <c r="EY161" i="88"/>
  <c r="EX161" i="88"/>
  <c r="EW161" i="88"/>
  <c r="EV161" i="88"/>
  <c r="EU161" i="88"/>
  <c r="ET161" i="88"/>
  <c r="ES161" i="88"/>
  <c r="ES160" i="88" s="1"/>
  <c r="ER161" i="88"/>
  <c r="EQ161" i="88"/>
  <c r="EP161" i="88"/>
  <c r="EO161" i="88"/>
  <c r="EN161" i="88"/>
  <c r="EM161" i="88"/>
  <c r="EL161" i="88"/>
  <c r="EK161" i="88"/>
  <c r="EK160" i="88" s="1"/>
  <c r="EJ161" i="88"/>
  <c r="EI161" i="88"/>
  <c r="EH161" i="88"/>
  <c r="EG161" i="88"/>
  <c r="EF161" i="88"/>
  <c r="EE161" i="88"/>
  <c r="ED161" i="88"/>
  <c r="ED160" i="88" s="1"/>
  <c r="EC161" i="88"/>
  <c r="EC160" i="88" s="1"/>
  <c r="EB161" i="88"/>
  <c r="EA161" i="88"/>
  <c r="DZ161" i="88"/>
  <c r="DY161" i="88"/>
  <c r="DX161" i="88"/>
  <c r="DW161" i="88"/>
  <c r="BL161" i="88"/>
  <c r="GJ161" i="88" s="1"/>
  <c r="AZ161" i="88"/>
  <c r="BK160" i="88"/>
  <c r="BJ160" i="88"/>
  <c r="BI160" i="88"/>
  <c r="BH160" i="88"/>
  <c r="BG160" i="88"/>
  <c r="BF160" i="88"/>
  <c r="HY160" i="88" s="1"/>
  <c r="BE160" i="88"/>
  <c r="BD160" i="88"/>
  <c r="BC160" i="88"/>
  <c r="BB160" i="88"/>
  <c r="BA160" i="88"/>
  <c r="AY160" i="88"/>
  <c r="AX160" i="88"/>
  <c r="AW160" i="88"/>
  <c r="AV160" i="88"/>
  <c r="AU160" i="88"/>
  <c r="AT160" i="88"/>
  <c r="HX160" i="88" s="1"/>
  <c r="AS160" i="88"/>
  <c r="AR160" i="88"/>
  <c r="AQ160" i="88"/>
  <c r="AP160" i="88"/>
  <c r="AO160" i="88"/>
  <c r="AN160" i="88"/>
  <c r="GH160" i="88" s="1"/>
  <c r="AM160" i="88"/>
  <c r="AL160" i="88"/>
  <c r="AK160" i="88"/>
  <c r="AJ160" i="88"/>
  <c r="AI160" i="88"/>
  <c r="AH160" i="88"/>
  <c r="HW160" i="88" s="1"/>
  <c r="AG160" i="88"/>
  <c r="AF160" i="88"/>
  <c r="AE160" i="88"/>
  <c r="AD160" i="88"/>
  <c r="AC160" i="88"/>
  <c r="AB160" i="88"/>
  <c r="GG160" i="88" s="1"/>
  <c r="AA160" i="88"/>
  <c r="Z160" i="88"/>
  <c r="Y160" i="88"/>
  <c r="X160" i="88"/>
  <c r="W160" i="88"/>
  <c r="V160" i="88"/>
  <c r="HV160" i="88" s="1"/>
  <c r="U160" i="88"/>
  <c r="T160" i="88"/>
  <c r="S160" i="88"/>
  <c r="R160" i="88"/>
  <c r="Q160" i="88"/>
  <c r="P160" i="88"/>
  <c r="GF160" i="88" s="1"/>
  <c r="O160" i="88"/>
  <c r="N160" i="88"/>
  <c r="M160" i="88"/>
  <c r="L160" i="88"/>
  <c r="K160" i="88"/>
  <c r="J160" i="88"/>
  <c r="HU160" i="88" s="1"/>
  <c r="I160" i="88"/>
  <c r="H160" i="88"/>
  <c r="G160" i="88"/>
  <c r="F160" i="88"/>
  <c r="E160" i="88"/>
  <c r="KP159" i="88"/>
  <c r="KH159" i="88"/>
  <c r="GM159" i="88"/>
  <c r="HI159" i="88" s="1"/>
  <c r="GL159" i="88"/>
  <c r="HE159" i="88" s="1"/>
  <c r="KP157" i="88"/>
  <c r="KH157" i="88"/>
  <c r="GM157" i="88"/>
  <c r="HG157" i="88" s="1"/>
  <c r="GL157" i="88"/>
  <c r="HE157" i="88" s="1"/>
  <c r="HY156" i="88"/>
  <c r="HX156" i="88"/>
  <c r="HW156" i="88"/>
  <c r="HV156" i="88"/>
  <c r="HU156" i="88"/>
  <c r="GJ156" i="88"/>
  <c r="GI156" i="88"/>
  <c r="GH156" i="88"/>
  <c r="GG156" i="88"/>
  <c r="GF156" i="88"/>
  <c r="GN156" i="88"/>
  <c r="ID156" i="88"/>
  <c r="IH156" i="88" s="1"/>
  <c r="IE156" i="88"/>
  <c r="IC156" i="88"/>
  <c r="GM156" i="88"/>
  <c r="IB156" i="88"/>
  <c r="GL156" i="88"/>
  <c r="IA156" i="88"/>
  <c r="GK156" i="88"/>
  <c r="HZ156" i="88"/>
  <c r="HY155" i="88"/>
  <c r="HX155" i="88"/>
  <c r="IQ155" i="88" s="1"/>
  <c r="HW155" i="88"/>
  <c r="HV155" i="88"/>
  <c r="HU155" i="88"/>
  <c r="GJ155" i="88"/>
  <c r="GI155" i="88"/>
  <c r="GH155" i="88"/>
  <c r="GG155" i="88"/>
  <c r="GF155" i="88"/>
  <c r="GN155" i="88"/>
  <c r="ID155" i="88"/>
  <c r="IH155" i="88" s="1"/>
  <c r="IE155" i="88"/>
  <c r="IC155" i="88"/>
  <c r="GM155" i="88"/>
  <c r="K318" i="3" s="1"/>
  <c r="IB155" i="88"/>
  <c r="GL155" i="88"/>
  <c r="IA155" i="88"/>
  <c r="GK155" i="88"/>
  <c r="HZ155" i="88"/>
  <c r="HY154" i="88"/>
  <c r="HX154" i="88"/>
  <c r="HW154" i="88"/>
  <c r="HV154" i="88"/>
  <c r="HU154" i="88"/>
  <c r="GI154" i="88"/>
  <c r="GH154" i="88"/>
  <c r="HA154" i="88" s="1"/>
  <c r="GG154" i="88"/>
  <c r="GF154" i="88"/>
  <c r="GN154" i="88"/>
  <c r="ID154" i="88"/>
  <c r="IH154" i="88" s="1"/>
  <c r="L260" i="3"/>
  <c r="L264" i="3" s="1"/>
  <c r="IE154" i="88"/>
  <c r="IC154" i="88"/>
  <c r="GM154" i="88"/>
  <c r="K260" i="3" s="1"/>
  <c r="K264" i="3" s="1"/>
  <c r="IB154" i="88"/>
  <c r="GL154" i="88"/>
  <c r="IA154" i="88"/>
  <c r="GK154" i="88"/>
  <c r="HZ154" i="88"/>
  <c r="BL154" i="88"/>
  <c r="GJ154" i="88" s="1"/>
  <c r="HY153" i="88"/>
  <c r="HX153" i="88"/>
  <c r="HW153" i="88"/>
  <c r="HV153" i="88"/>
  <c r="HU153" i="88"/>
  <c r="GJ153" i="88"/>
  <c r="GI153" i="88"/>
  <c r="GH153" i="88"/>
  <c r="GG153" i="88"/>
  <c r="GF153" i="88"/>
  <c r="GN153" i="88"/>
  <c r="ID153" i="88"/>
  <c r="IH153" i="88" s="1"/>
  <c r="L254" i="3"/>
  <c r="IE153" i="88"/>
  <c r="IC153" i="88"/>
  <c r="GM153" i="88"/>
  <c r="K254" i="3" s="1"/>
  <c r="IB153" i="88"/>
  <c r="GL153" i="88"/>
  <c r="IA153" i="88"/>
  <c r="GK153" i="88"/>
  <c r="HZ153" i="88"/>
  <c r="HY152" i="88"/>
  <c r="HX152" i="88"/>
  <c r="HW152" i="88"/>
  <c r="HV152" i="88"/>
  <c r="HU152" i="88"/>
  <c r="GJ152" i="88"/>
  <c r="GI152" i="88"/>
  <c r="GH152" i="88"/>
  <c r="GG152" i="88"/>
  <c r="GF152" i="88"/>
  <c r="GN152" i="88"/>
  <c r="ID152" i="88"/>
  <c r="IH152" i="88" s="1"/>
  <c r="IE152" i="88"/>
  <c r="IC152" i="88"/>
  <c r="GM152" i="88"/>
  <c r="IB152" i="88"/>
  <c r="GL152" i="88"/>
  <c r="IA152" i="88"/>
  <c r="GK152" i="88"/>
  <c r="HZ152" i="88"/>
  <c r="HY151" i="88"/>
  <c r="HX151" i="88"/>
  <c r="HW151" i="88"/>
  <c r="HV151" i="88"/>
  <c r="HU151" i="88"/>
  <c r="GJ151" i="88"/>
  <c r="GI151" i="88"/>
  <c r="GH151" i="88"/>
  <c r="GG151" i="88"/>
  <c r="GF151" i="88"/>
  <c r="FX150" i="88"/>
  <c r="FW150" i="88"/>
  <c r="FT150" i="88"/>
  <c r="GN151" i="88"/>
  <c r="FP150" i="88"/>
  <c r="ID151" i="88"/>
  <c r="IH151" i="88" s="1"/>
  <c r="FH150" i="88"/>
  <c r="IE151" i="88"/>
  <c r="IC151" i="88"/>
  <c r="GM151" i="88"/>
  <c r="IB151" i="88"/>
  <c r="GL151" i="88"/>
  <c r="GK151" i="88"/>
  <c r="HZ151" i="88"/>
  <c r="HY150" i="88"/>
  <c r="HX150" i="88"/>
  <c r="HW150" i="88"/>
  <c r="HV150" i="88"/>
  <c r="HU150" i="88"/>
  <c r="GJ150" i="88"/>
  <c r="GH150" i="88"/>
  <c r="GG150" i="88"/>
  <c r="GF150" i="88"/>
  <c r="FF150" i="88"/>
  <c r="FE150" i="88"/>
  <c r="FD150" i="88"/>
  <c r="FC150" i="88"/>
  <c r="FB150" i="88"/>
  <c r="FA150" i="88"/>
  <c r="EZ150" i="88"/>
  <c r="EY150" i="88"/>
  <c r="EX150" i="88"/>
  <c r="EW150" i="88"/>
  <c r="EV150" i="88"/>
  <c r="EU150" i="88"/>
  <c r="ET150" i="88"/>
  <c r="ES150" i="88"/>
  <c r="ER150" i="88"/>
  <c r="EQ150" i="88"/>
  <c r="EP150" i="88"/>
  <c r="EO150" i="88"/>
  <c r="EN150" i="88"/>
  <c r="EM150" i="88"/>
  <c r="EL150" i="88"/>
  <c r="EK150" i="88"/>
  <c r="EJ150" i="88"/>
  <c r="EI150" i="88"/>
  <c r="EH150" i="88"/>
  <c r="EG150" i="88"/>
  <c r="EF150" i="88"/>
  <c r="EE150" i="88"/>
  <c r="ED150" i="88"/>
  <c r="EC150" i="88"/>
  <c r="EB150" i="88"/>
  <c r="EA150" i="88"/>
  <c r="DZ150" i="88"/>
  <c r="DY150" i="88"/>
  <c r="DX150" i="88"/>
  <c r="DW150" i="88"/>
  <c r="AZ150" i="88"/>
  <c r="GI150" i="88" s="1"/>
  <c r="HY149" i="88"/>
  <c r="HX149" i="88"/>
  <c r="HW149" i="88"/>
  <c r="HV149" i="88"/>
  <c r="HU149" i="88"/>
  <c r="GJ149" i="88"/>
  <c r="GI149" i="88"/>
  <c r="GH149" i="88"/>
  <c r="GG149" i="88"/>
  <c r="GF149" i="88"/>
  <c r="GN149" i="88"/>
  <c r="ID149" i="88"/>
  <c r="IH149" i="88" s="1"/>
  <c r="L316" i="3"/>
  <c r="IE149" i="88"/>
  <c r="IG149" i="88" s="1"/>
  <c r="IC149" i="88"/>
  <c r="GM149" i="88"/>
  <c r="K316" i="3" s="1"/>
  <c r="IB149" i="88"/>
  <c r="GL149" i="88"/>
  <c r="IA149" i="88"/>
  <c r="GK149" i="88"/>
  <c r="HZ149" i="88"/>
  <c r="HY148" i="88"/>
  <c r="HX148" i="88"/>
  <c r="HW148" i="88"/>
  <c r="HV148" i="88"/>
  <c r="HU148" i="88"/>
  <c r="GI148" i="88"/>
  <c r="GH148" i="88"/>
  <c r="GG148" i="88"/>
  <c r="GF148" i="88"/>
  <c r="GN148" i="88"/>
  <c r="ID148" i="88"/>
  <c r="IH148" i="88" s="1"/>
  <c r="IE148" i="88"/>
  <c r="IG148" i="88" s="1"/>
  <c r="IC148" i="88"/>
  <c r="GM148" i="88"/>
  <c r="IB148" i="88"/>
  <c r="GL148" i="88"/>
  <c r="IA148" i="88"/>
  <c r="GK148" i="88"/>
  <c r="HZ148" i="88"/>
  <c r="BL148" i="88"/>
  <c r="GJ148" i="88" s="1"/>
  <c r="HY147" i="88"/>
  <c r="HX147" i="88"/>
  <c r="HW147" i="88"/>
  <c r="HV147" i="88"/>
  <c r="HU147" i="88"/>
  <c r="GJ147" i="88"/>
  <c r="GI147" i="88"/>
  <c r="GH147" i="88"/>
  <c r="GG147" i="88"/>
  <c r="GF147" i="88"/>
  <c r="GN147" i="88"/>
  <c r="ID147" i="88"/>
  <c r="IH147" i="88" s="1"/>
  <c r="IE147" i="88"/>
  <c r="IC147" i="88"/>
  <c r="GM147" i="88"/>
  <c r="IB147" i="88"/>
  <c r="GL147" i="88"/>
  <c r="IA147" i="88"/>
  <c r="GK147" i="88"/>
  <c r="HZ147" i="88"/>
  <c r="IY146" i="88"/>
  <c r="IX146" i="88"/>
  <c r="IQ146" i="88"/>
  <c r="IP146" i="88"/>
  <c r="HY146" i="88"/>
  <c r="GJ146" i="88"/>
  <c r="GN146" i="88"/>
  <c r="ID146" i="88"/>
  <c r="IH146" i="88" s="1"/>
  <c r="IE146" i="88"/>
  <c r="IC146" i="88"/>
  <c r="GM146" i="88"/>
  <c r="IB146" i="88"/>
  <c r="GL146" i="88"/>
  <c r="IA146" i="88"/>
  <c r="GK146" i="88"/>
  <c r="HZ146" i="88"/>
  <c r="HY145" i="88"/>
  <c r="HX145" i="88"/>
  <c r="HW145" i="88"/>
  <c r="HV145" i="88"/>
  <c r="HU145" i="88"/>
  <c r="GJ145" i="88"/>
  <c r="GI145" i="88"/>
  <c r="GH145" i="88"/>
  <c r="GG145" i="88"/>
  <c r="GF145" i="88"/>
  <c r="GN145" i="88"/>
  <c r="ID145" i="88"/>
  <c r="IH145" i="88" s="1"/>
  <c r="IE145" i="88"/>
  <c r="IC145" i="88"/>
  <c r="GM145" i="88"/>
  <c r="IB145" i="88"/>
  <c r="GL145" i="88"/>
  <c r="IA145" i="88"/>
  <c r="GK145" i="88"/>
  <c r="HZ145" i="88"/>
  <c r="HY144" i="88"/>
  <c r="HX144" i="88"/>
  <c r="HW144" i="88"/>
  <c r="HV144" i="88"/>
  <c r="HU144" i="88"/>
  <c r="GJ144" i="88"/>
  <c r="GI144" i="88"/>
  <c r="GH144" i="88"/>
  <c r="GG144" i="88"/>
  <c r="GF144" i="88"/>
  <c r="GN144" i="88"/>
  <c r="ID144" i="88"/>
  <c r="IH144" i="88" s="1"/>
  <c r="IE144" i="88"/>
  <c r="IG144" i="88" s="1"/>
  <c r="IC144" i="88"/>
  <c r="GM144" i="88"/>
  <c r="IB144" i="88"/>
  <c r="GL144" i="88"/>
  <c r="IA144" i="88"/>
  <c r="GK144" i="88"/>
  <c r="HZ144" i="88"/>
  <c r="HY143" i="88"/>
  <c r="HX143" i="88"/>
  <c r="HW143" i="88"/>
  <c r="HV143" i="88"/>
  <c r="HU143" i="88"/>
  <c r="GJ143" i="88"/>
  <c r="GI143" i="88"/>
  <c r="GH143" i="88"/>
  <c r="GG143" i="88"/>
  <c r="GF143" i="88"/>
  <c r="GN143" i="88"/>
  <c r="ID143" i="88"/>
  <c r="IH143" i="88" s="1"/>
  <c r="IE143" i="88"/>
  <c r="IC143" i="88"/>
  <c r="GM143" i="88"/>
  <c r="IB143" i="88"/>
  <c r="GL143" i="88"/>
  <c r="IA143" i="88"/>
  <c r="GK143" i="88"/>
  <c r="HZ143" i="88"/>
  <c r="HY142" i="88"/>
  <c r="HX142" i="88"/>
  <c r="HW142" i="88"/>
  <c r="HV142" i="88"/>
  <c r="HU142" i="88"/>
  <c r="GJ142" i="88"/>
  <c r="GI142" i="88"/>
  <c r="GH142" i="88"/>
  <c r="GG142" i="88"/>
  <c r="GF142" i="88"/>
  <c r="GC141" i="88"/>
  <c r="FU141" i="88"/>
  <c r="GN142" i="88"/>
  <c r="FM141" i="88"/>
  <c r="ID142" i="88"/>
  <c r="IH142" i="88" s="1"/>
  <c r="DT141" i="88"/>
  <c r="DQ141" i="88"/>
  <c r="DP141" i="88"/>
  <c r="IE142" i="88"/>
  <c r="IG142" i="88" s="1"/>
  <c r="DL141" i="88"/>
  <c r="IC142" i="88"/>
  <c r="IB142" i="88"/>
  <c r="GL142" i="88"/>
  <c r="IA142" i="88"/>
  <c r="GK142" i="88"/>
  <c r="HZ142" i="88"/>
  <c r="HY141" i="88"/>
  <c r="HX141" i="88"/>
  <c r="HW141" i="88"/>
  <c r="HV141" i="88"/>
  <c r="HU141" i="88"/>
  <c r="GJ141" i="88"/>
  <c r="GH141" i="88"/>
  <c r="GG141" i="88"/>
  <c r="GF141" i="88"/>
  <c r="FF141" i="88"/>
  <c r="FE141" i="88"/>
  <c r="FD141" i="88"/>
  <c r="FC141" i="88"/>
  <c r="FB141" i="88"/>
  <c r="FA141" i="88"/>
  <c r="EZ141" i="88"/>
  <c r="EY141" i="88"/>
  <c r="EX141" i="88"/>
  <c r="EW141" i="88"/>
  <c r="EV141" i="88"/>
  <c r="EU141" i="88"/>
  <c r="ET141" i="88"/>
  <c r="ES141" i="88"/>
  <c r="ER141" i="88"/>
  <c r="EQ141" i="88"/>
  <c r="EP141" i="88"/>
  <c r="EO141" i="88"/>
  <c r="EN141" i="88"/>
  <c r="EM141" i="88"/>
  <c r="EL141" i="88"/>
  <c r="EK141" i="88"/>
  <c r="EJ141" i="88"/>
  <c r="EI141" i="88"/>
  <c r="EH141" i="88"/>
  <c r="EG141" i="88"/>
  <c r="EF141" i="88"/>
  <c r="EE141" i="88"/>
  <c r="ED141" i="88"/>
  <c r="EC141" i="88"/>
  <c r="EB141" i="88"/>
  <c r="EA141" i="88"/>
  <c r="DZ141" i="88"/>
  <c r="DY141" i="88"/>
  <c r="DX141" i="88"/>
  <c r="DW141" i="88"/>
  <c r="AZ141" i="88"/>
  <c r="GI141" i="88" s="1"/>
  <c r="IE140" i="88"/>
  <c r="IG140" i="88" s="1"/>
  <c r="ID140" i="88"/>
  <c r="IH140" i="88" s="1"/>
  <c r="HY140" i="88"/>
  <c r="HX140" i="88"/>
  <c r="HW140" i="88"/>
  <c r="HV140" i="88"/>
  <c r="HU140" i="88"/>
  <c r="GN140" i="88"/>
  <c r="GJ140" i="88"/>
  <c r="GI140" i="88"/>
  <c r="GH140" i="88"/>
  <c r="GG140" i="88"/>
  <c r="GF140" i="88"/>
  <c r="IC140" i="88"/>
  <c r="GM140" i="88"/>
  <c r="IB140" i="88"/>
  <c r="GL140" i="88"/>
  <c r="IA140" i="88"/>
  <c r="GK140" i="88"/>
  <c r="HZ140" i="88"/>
  <c r="IE139" i="88"/>
  <c r="IG139" i="88" s="1"/>
  <c r="ID139" i="88"/>
  <c r="IH139" i="88" s="1"/>
  <c r="HY139" i="88"/>
  <c r="HX139" i="88"/>
  <c r="HW139" i="88"/>
  <c r="HV139" i="88"/>
  <c r="HU139" i="88"/>
  <c r="GN139" i="88"/>
  <c r="HH139" i="88" s="1"/>
  <c r="GJ139" i="88"/>
  <c r="GI139" i="88"/>
  <c r="GH139" i="88"/>
  <c r="GG139" i="88"/>
  <c r="GF139" i="88"/>
  <c r="IC139" i="88"/>
  <c r="GM139" i="88"/>
  <c r="GY139" i="88" s="1"/>
  <c r="IB139" i="88"/>
  <c r="GL139" i="88"/>
  <c r="GK139" i="88"/>
  <c r="HZ139" i="88"/>
  <c r="IE138" i="88"/>
  <c r="IG138" i="88" s="1"/>
  <c r="ID138" i="88"/>
  <c r="IH138" i="88" s="1"/>
  <c r="HY138" i="88"/>
  <c r="HX138" i="88"/>
  <c r="HW138" i="88"/>
  <c r="HV138" i="88"/>
  <c r="HU138" i="88"/>
  <c r="GN138" i="88"/>
  <c r="GJ138" i="88"/>
  <c r="GI138" i="88"/>
  <c r="GH138" i="88"/>
  <c r="GG138" i="88"/>
  <c r="GF138" i="88"/>
  <c r="IC138" i="88"/>
  <c r="GM138" i="88"/>
  <c r="IA138" i="88"/>
  <c r="GK138" i="88"/>
  <c r="HY137" i="88"/>
  <c r="HX137" i="88"/>
  <c r="HW137" i="88"/>
  <c r="HV137" i="88"/>
  <c r="HU137" i="88"/>
  <c r="GJ137" i="88"/>
  <c r="GI137" i="88"/>
  <c r="GH137" i="88"/>
  <c r="GG137" i="88"/>
  <c r="GF137" i="88"/>
  <c r="GD137" i="88"/>
  <c r="GC137" i="88"/>
  <c r="GB137" i="88"/>
  <c r="GA137" i="88"/>
  <c r="FZ137" i="88"/>
  <c r="FY137" i="88"/>
  <c r="FX137" i="88"/>
  <c r="FW137" i="88"/>
  <c r="FV137" i="88"/>
  <c r="FU137" i="88"/>
  <c r="FT137" i="88"/>
  <c r="FS137" i="88"/>
  <c r="FR137" i="88"/>
  <c r="GN137" i="88" s="1"/>
  <c r="FQ137" i="88"/>
  <c r="FP137" i="88"/>
  <c r="FO137" i="88"/>
  <c r="FN137" i="88"/>
  <c r="FM137" i="88"/>
  <c r="FL137" i="88"/>
  <c r="ID137" i="88" s="1"/>
  <c r="IH137" i="88" s="1"/>
  <c r="FK137" i="88"/>
  <c r="FJ137" i="88"/>
  <c r="FI137" i="88"/>
  <c r="FH137" i="88"/>
  <c r="FG137" i="88"/>
  <c r="FF137" i="88"/>
  <c r="FE137" i="88"/>
  <c r="FD137" i="88"/>
  <c r="FC137" i="88"/>
  <c r="FB137" i="88"/>
  <c r="FA137" i="88"/>
  <c r="EZ137" i="88"/>
  <c r="EY137" i="88"/>
  <c r="EX137" i="88"/>
  <c r="EW137" i="88"/>
  <c r="EV137" i="88"/>
  <c r="EU137" i="88"/>
  <c r="ET137" i="88"/>
  <c r="ES137" i="88"/>
  <c r="ER137" i="88"/>
  <c r="EQ137" i="88"/>
  <c r="EP137" i="88"/>
  <c r="EO137" i="88"/>
  <c r="EN137" i="88"/>
  <c r="EM137" i="88"/>
  <c r="EL137" i="88"/>
  <c r="EK137" i="88"/>
  <c r="EJ137" i="88"/>
  <c r="EI137" i="88"/>
  <c r="EH137" i="88"/>
  <c r="EG137" i="88"/>
  <c r="EF137" i="88"/>
  <c r="EE137" i="88"/>
  <c r="ED137" i="88"/>
  <c r="EC137" i="88"/>
  <c r="EB137" i="88"/>
  <c r="EA137" i="88"/>
  <c r="DZ137" i="88"/>
  <c r="DY137" i="88"/>
  <c r="DX137" i="88"/>
  <c r="DW137" i="88"/>
  <c r="DU137" i="88"/>
  <c r="DT137" i="88"/>
  <c r="DS137" i="88"/>
  <c r="DR137" i="88"/>
  <c r="DQ137" i="88"/>
  <c r="DP137" i="88"/>
  <c r="DO137" i="88"/>
  <c r="IE137" i="88" s="1"/>
  <c r="IG137" i="88" s="1"/>
  <c r="DN137" i="88"/>
  <c r="DM137" i="88"/>
  <c r="DL137" i="88"/>
  <c r="DK137" i="88"/>
  <c r="DJ137" i="88"/>
  <c r="IE136" i="88"/>
  <c r="ID136" i="88"/>
  <c r="IH136" i="88" s="1"/>
  <c r="HY136" i="88"/>
  <c r="HX136" i="88"/>
  <c r="HW136" i="88"/>
  <c r="HV136" i="88"/>
  <c r="HU136" i="88"/>
  <c r="GN136" i="88"/>
  <c r="GJ136" i="88"/>
  <c r="GI136" i="88"/>
  <c r="GH136" i="88"/>
  <c r="GG136" i="88"/>
  <c r="GF136" i="88"/>
  <c r="IC136" i="88"/>
  <c r="GM136" i="88"/>
  <c r="IB136" i="88"/>
  <c r="GL136" i="88"/>
  <c r="IA136" i="88"/>
  <c r="GK136" i="88"/>
  <c r="HZ136" i="88"/>
  <c r="IE135" i="88"/>
  <c r="IG135" i="88" s="1"/>
  <c r="ID135" i="88"/>
  <c r="IH135" i="88" s="1"/>
  <c r="HY135" i="88"/>
  <c r="HX135" i="88"/>
  <c r="HW135" i="88"/>
  <c r="HV135" i="88"/>
  <c r="HU135" i="88"/>
  <c r="GN135" i="88"/>
  <c r="GJ135" i="88"/>
  <c r="GI135" i="88"/>
  <c r="GH135" i="88"/>
  <c r="GG135" i="88"/>
  <c r="GF135" i="88"/>
  <c r="IC135" i="88"/>
  <c r="GM135" i="88"/>
  <c r="IB135" i="88"/>
  <c r="GL135" i="88"/>
  <c r="IA135" i="88"/>
  <c r="GK135" i="88"/>
  <c r="HZ135" i="88"/>
  <c r="HY134" i="88"/>
  <c r="HX134" i="88"/>
  <c r="HW134" i="88"/>
  <c r="HV134" i="88"/>
  <c r="HU134" i="88"/>
  <c r="GJ134" i="88"/>
  <c r="GH134" i="88"/>
  <c r="GG134" i="88"/>
  <c r="GF134" i="88"/>
  <c r="GD133" i="88"/>
  <c r="GC133" i="88"/>
  <c r="GB133" i="88"/>
  <c r="GA133" i="88"/>
  <c r="FZ133" i="88"/>
  <c r="FY133" i="88"/>
  <c r="FX133" i="88"/>
  <c r="FW133" i="88"/>
  <c r="FV133" i="88"/>
  <c r="FU133" i="88"/>
  <c r="FT133" i="88"/>
  <c r="FS133" i="88"/>
  <c r="FR133" i="88"/>
  <c r="GN133" i="88" s="1"/>
  <c r="FQ133" i="88"/>
  <c r="FP133" i="88"/>
  <c r="FO133" i="88"/>
  <c r="FN133" i="88"/>
  <c r="FM133" i="88"/>
  <c r="ID134" i="88"/>
  <c r="IH134" i="88" s="1"/>
  <c r="FK133" i="88"/>
  <c r="FJ133" i="88"/>
  <c r="FI133" i="88"/>
  <c r="FH133" i="88"/>
  <c r="FG133" i="88"/>
  <c r="DT133" i="88"/>
  <c r="DS133" i="88"/>
  <c r="DR133" i="88"/>
  <c r="DQ133" i="88"/>
  <c r="DP133" i="88"/>
  <c r="DN133" i="88"/>
  <c r="DM133" i="88"/>
  <c r="DL133" i="88"/>
  <c r="DK133" i="88"/>
  <c r="DJ133" i="88"/>
  <c r="IC134" i="88"/>
  <c r="GM134" i="88"/>
  <c r="IA134" i="88"/>
  <c r="GK134" i="88"/>
  <c r="AZ134" i="88"/>
  <c r="GI134" i="88" s="1"/>
  <c r="HY133" i="88"/>
  <c r="HX133" i="88"/>
  <c r="HW133" i="88"/>
  <c r="HV133" i="88"/>
  <c r="HU133" i="88"/>
  <c r="GJ133" i="88"/>
  <c r="GI133" i="88"/>
  <c r="GH133" i="88"/>
  <c r="GG133" i="88"/>
  <c r="GF133" i="88"/>
  <c r="FF133" i="88"/>
  <c r="FE133" i="88"/>
  <c r="FD133" i="88"/>
  <c r="FC133" i="88"/>
  <c r="FB133" i="88"/>
  <c r="FA133" i="88"/>
  <c r="EZ133" i="88"/>
  <c r="EZ131" i="88" s="1"/>
  <c r="EZ130" i="88" s="1"/>
  <c r="EZ129" i="88" s="1"/>
  <c r="EY133" i="88"/>
  <c r="EY131" i="88" s="1"/>
  <c r="EY130" i="88" s="1"/>
  <c r="EY129" i="88" s="1"/>
  <c r="EX133" i="88"/>
  <c r="EW133" i="88"/>
  <c r="EV133" i="88"/>
  <c r="EU133" i="88"/>
  <c r="ET133" i="88"/>
  <c r="ES133" i="88"/>
  <c r="ER133" i="88"/>
  <c r="ER131" i="88" s="1"/>
  <c r="ER130" i="88" s="1"/>
  <c r="ER129" i="88" s="1"/>
  <c r="EQ133" i="88"/>
  <c r="EQ131" i="88" s="1"/>
  <c r="EQ130" i="88" s="1"/>
  <c r="EQ129" i="88" s="1"/>
  <c r="EP133" i="88"/>
  <c r="EO133" i="88"/>
  <c r="EN133" i="88"/>
  <c r="EM133" i="88"/>
  <c r="EL133" i="88"/>
  <c r="EK133" i="88"/>
  <c r="EJ133" i="88"/>
  <c r="EJ131" i="88" s="1"/>
  <c r="EJ130" i="88" s="1"/>
  <c r="EJ129" i="88" s="1"/>
  <c r="EI133" i="88"/>
  <c r="EI131" i="88" s="1"/>
  <c r="EI130" i="88" s="1"/>
  <c r="EI129" i="88" s="1"/>
  <c r="EH133" i="88"/>
  <c r="EG133" i="88"/>
  <c r="EF133" i="88"/>
  <c r="EE133" i="88"/>
  <c r="ED133" i="88"/>
  <c r="EC133" i="88"/>
  <c r="EB133" i="88"/>
  <c r="EB131" i="88" s="1"/>
  <c r="EB130" i="88" s="1"/>
  <c r="EB129" i="88" s="1"/>
  <c r="EA133" i="88"/>
  <c r="EA131" i="88" s="1"/>
  <c r="EA130" i="88" s="1"/>
  <c r="EA129" i="88" s="1"/>
  <c r="DZ133" i="88"/>
  <c r="DY133" i="88"/>
  <c r="DX133" i="88"/>
  <c r="DW133" i="88"/>
  <c r="HY132" i="88"/>
  <c r="HX132" i="88"/>
  <c r="HW132" i="88"/>
  <c r="HV132" i="88"/>
  <c r="HU132" i="88"/>
  <c r="GJ132" i="88"/>
  <c r="GI132" i="88"/>
  <c r="GH132" i="88"/>
  <c r="GG132" i="88"/>
  <c r="GF132" i="88"/>
  <c r="GN132" i="88"/>
  <c r="ID132" i="88"/>
  <c r="IH132" i="88" s="1"/>
  <c r="IE132" i="88"/>
  <c r="IG132" i="88" s="1"/>
  <c r="DL131" i="88"/>
  <c r="DL130" i="88" s="1"/>
  <c r="IC132" i="88"/>
  <c r="GM132" i="88"/>
  <c r="IB132" i="88"/>
  <c r="GL132" i="88"/>
  <c r="IA132" i="88"/>
  <c r="GK132" i="88"/>
  <c r="HZ132" i="88"/>
  <c r="HY131" i="88"/>
  <c r="HX131" i="88"/>
  <c r="HW131" i="88"/>
  <c r="HV131" i="88"/>
  <c r="HU131" i="88"/>
  <c r="GJ131" i="88"/>
  <c r="GH131" i="88"/>
  <c r="GG131" i="88"/>
  <c r="GF131" i="88"/>
  <c r="HY130" i="88"/>
  <c r="HX130" i="88"/>
  <c r="HW130" i="88"/>
  <c r="HV130" i="88"/>
  <c r="HU130" i="88"/>
  <c r="GJ130" i="88"/>
  <c r="GG130" i="88"/>
  <c r="GF130" i="88"/>
  <c r="AN130" i="88"/>
  <c r="BL129" i="88"/>
  <c r="BK129" i="88"/>
  <c r="BJ129" i="88"/>
  <c r="BI129" i="88"/>
  <c r="BH129" i="88"/>
  <c r="BG129" i="88"/>
  <c r="BF129" i="88"/>
  <c r="HY129" i="88" s="1"/>
  <c r="BE129" i="88"/>
  <c r="BD129" i="88"/>
  <c r="BC129" i="88"/>
  <c r="BB129" i="88"/>
  <c r="BA129" i="88"/>
  <c r="AY129" i="88"/>
  <c r="AX129" i="88"/>
  <c r="AW129" i="88"/>
  <c r="AV129" i="88"/>
  <c r="AU129" i="88"/>
  <c r="AT129" i="88"/>
  <c r="HX129" i="88" s="1"/>
  <c r="AS129" i="88"/>
  <c r="AR129" i="88"/>
  <c r="AQ129" i="88"/>
  <c r="AP129" i="88"/>
  <c r="AO129" i="88"/>
  <c r="AM129" i="88"/>
  <c r="AL129" i="88"/>
  <c r="AK129" i="88"/>
  <c r="AJ129" i="88"/>
  <c r="AI129" i="88"/>
  <c r="AH129" i="88"/>
  <c r="HW129" i="88" s="1"/>
  <c r="AG129" i="88"/>
  <c r="AF129" i="88"/>
  <c r="AE129" i="88"/>
  <c r="AD129" i="88"/>
  <c r="AC129" i="88"/>
  <c r="AB129" i="88"/>
  <c r="AA129" i="88"/>
  <c r="Z129" i="88"/>
  <c r="Y129" i="88"/>
  <c r="X129" i="88"/>
  <c r="W129" i="88"/>
  <c r="V129" i="88"/>
  <c r="HV129" i="88" s="1"/>
  <c r="U129" i="88"/>
  <c r="T129" i="88"/>
  <c r="S129" i="88"/>
  <c r="R129" i="88"/>
  <c r="Q129" i="88"/>
  <c r="P129" i="88"/>
  <c r="O129" i="88"/>
  <c r="N129" i="88"/>
  <c r="M129" i="88"/>
  <c r="L129" i="88"/>
  <c r="K129" i="88"/>
  <c r="J129" i="88"/>
  <c r="I129" i="88"/>
  <c r="H129" i="88"/>
  <c r="G129" i="88"/>
  <c r="F129" i="88"/>
  <c r="E129" i="88"/>
  <c r="ID128" i="88"/>
  <c r="IC128" i="88"/>
  <c r="IB128" i="88"/>
  <c r="JD128" i="88" s="1"/>
  <c r="IA128" i="88"/>
  <c r="HZ128" i="88"/>
  <c r="HD128" i="88"/>
  <c r="GT128" i="88"/>
  <c r="GM128" i="88"/>
  <c r="GL128" i="88"/>
  <c r="HE128" i="88" s="1"/>
  <c r="HY127" i="88"/>
  <c r="HX127" i="88"/>
  <c r="HW127" i="88"/>
  <c r="HV127" i="88"/>
  <c r="HU127" i="88"/>
  <c r="GJ127" i="88"/>
  <c r="GH127" i="88"/>
  <c r="GG127" i="88"/>
  <c r="GF127" i="88"/>
  <c r="GN127" i="88"/>
  <c r="ID127" i="88"/>
  <c r="IH127" i="88" s="1"/>
  <c r="L200" i="3"/>
  <c r="IE127" i="88"/>
  <c r="IC127" i="88"/>
  <c r="GM127" i="88"/>
  <c r="K200" i="3" s="1"/>
  <c r="IB127" i="88"/>
  <c r="GL127" i="88"/>
  <c r="IA127" i="88"/>
  <c r="GK127" i="88"/>
  <c r="HZ127" i="88"/>
  <c r="AZ127" i="88"/>
  <c r="GI127" i="88" s="1"/>
  <c r="HY126" i="88"/>
  <c r="HX126" i="88"/>
  <c r="HW126" i="88"/>
  <c r="HV126" i="88"/>
  <c r="HU126" i="88"/>
  <c r="GJ126" i="88"/>
  <c r="GI126" i="88"/>
  <c r="GH126" i="88"/>
  <c r="GG126" i="88"/>
  <c r="GF126" i="88"/>
  <c r="GN126" i="88"/>
  <c r="ID126" i="88"/>
  <c r="IH126" i="88" s="1"/>
  <c r="L199" i="3"/>
  <c r="IE126" i="88"/>
  <c r="IC126" i="88"/>
  <c r="GM126" i="88"/>
  <c r="K199" i="3" s="1"/>
  <c r="IB126" i="88"/>
  <c r="GL126" i="88"/>
  <c r="IA126" i="88"/>
  <c r="GK126" i="88"/>
  <c r="HZ126" i="88"/>
  <c r="HY125" i="88"/>
  <c r="HX125" i="88"/>
  <c r="HW125" i="88"/>
  <c r="HV125" i="88"/>
  <c r="HU125" i="88"/>
  <c r="GJ125" i="88"/>
  <c r="GI125" i="88"/>
  <c r="GH125" i="88"/>
  <c r="GG125" i="88"/>
  <c r="GF125" i="88"/>
  <c r="GN125" i="88"/>
  <c r="ID125" i="88"/>
  <c r="IH125" i="88" s="1"/>
  <c r="L198" i="3"/>
  <c r="IE125" i="88"/>
  <c r="IC125" i="88"/>
  <c r="GM125" i="88"/>
  <c r="K198" i="3" s="1"/>
  <c r="IB125" i="88"/>
  <c r="GL125" i="88"/>
  <c r="IA125" i="88"/>
  <c r="GK125" i="88"/>
  <c r="HZ125" i="88"/>
  <c r="IC124" i="88"/>
  <c r="IB124" i="88"/>
  <c r="IA124" i="88"/>
  <c r="HZ124" i="88"/>
  <c r="HY124" i="88"/>
  <c r="HX124" i="88"/>
  <c r="HW124" i="88"/>
  <c r="HV124" i="88"/>
  <c r="HU124" i="88"/>
  <c r="GM124" i="88"/>
  <c r="GL124" i="88"/>
  <c r="GK124" i="88"/>
  <c r="GJ124" i="88"/>
  <c r="GI124" i="88"/>
  <c r="GH124" i="88"/>
  <c r="GG124" i="88"/>
  <c r="GF124" i="88"/>
  <c r="GN124" i="88"/>
  <c r="ID124" i="88"/>
  <c r="IH124" i="88" s="1"/>
  <c r="IE124" i="88"/>
  <c r="HY123" i="88"/>
  <c r="HX123" i="88"/>
  <c r="HW123" i="88"/>
  <c r="HV123" i="88"/>
  <c r="HU123" i="88"/>
  <c r="GJ123" i="88"/>
  <c r="GH123" i="88"/>
  <c r="GG123" i="88"/>
  <c r="GF123" i="88"/>
  <c r="GN123" i="88"/>
  <c r="ID123" i="88"/>
  <c r="IH123" i="88" s="1"/>
  <c r="IC123" i="88"/>
  <c r="GM123" i="88"/>
  <c r="K197" i="3" s="1"/>
  <c r="IB123" i="88"/>
  <c r="GL123" i="88"/>
  <c r="IA123" i="88"/>
  <c r="GK123" i="88"/>
  <c r="HZ123" i="88"/>
  <c r="AZ123" i="88"/>
  <c r="GI123" i="88" s="1"/>
  <c r="HY122" i="88"/>
  <c r="HX122" i="88"/>
  <c r="HW122" i="88"/>
  <c r="HV122" i="88"/>
  <c r="HU122" i="88"/>
  <c r="GJ122" i="88"/>
  <c r="GI122" i="88"/>
  <c r="GH122" i="88"/>
  <c r="GG122" i="88"/>
  <c r="GF122" i="88"/>
  <c r="GN122" i="88"/>
  <c r="ID122" i="88"/>
  <c r="IH122" i="88" s="1"/>
  <c r="L196" i="3"/>
  <c r="IE122" i="88"/>
  <c r="IC122" i="88"/>
  <c r="GM122" i="88"/>
  <c r="K196" i="3" s="1"/>
  <c r="IB122" i="88"/>
  <c r="GL122" i="88"/>
  <c r="IA122" i="88"/>
  <c r="GK122" i="88"/>
  <c r="HZ122" i="88"/>
  <c r="HY121" i="88"/>
  <c r="HX121" i="88"/>
  <c r="HW121" i="88"/>
  <c r="HV121" i="88"/>
  <c r="HU121" i="88"/>
  <c r="GJ121" i="88"/>
  <c r="GI121" i="88"/>
  <c r="GH121" i="88"/>
  <c r="GG121" i="88"/>
  <c r="GF121" i="88"/>
  <c r="GN121" i="88"/>
  <c r="ID121" i="88"/>
  <c r="IH121" i="88" s="1"/>
  <c r="IE121" i="88"/>
  <c r="IC121" i="88"/>
  <c r="GM121" i="88"/>
  <c r="IB121" i="88"/>
  <c r="GL121" i="88"/>
  <c r="IA121" i="88"/>
  <c r="GK121" i="88"/>
  <c r="HZ121" i="88"/>
  <c r="HY120" i="88"/>
  <c r="HX120" i="88"/>
  <c r="HW120" i="88"/>
  <c r="HV120" i="88"/>
  <c r="HU120" i="88"/>
  <c r="GJ120" i="88"/>
  <c r="GI120" i="88"/>
  <c r="GH120" i="88"/>
  <c r="GG120" i="88"/>
  <c r="GF120" i="88"/>
  <c r="GN120" i="88"/>
  <c r="ID120" i="88"/>
  <c r="IH120" i="88" s="1"/>
  <c r="IE120" i="88"/>
  <c r="IG120" i="88" s="1"/>
  <c r="IC120" i="88"/>
  <c r="GM120" i="88"/>
  <c r="IB120" i="88"/>
  <c r="IA120" i="88"/>
  <c r="GK120" i="88"/>
  <c r="HZ120" i="88"/>
  <c r="HY119" i="88"/>
  <c r="HX119" i="88"/>
  <c r="HW119" i="88"/>
  <c r="HV119" i="88"/>
  <c r="HU119" i="88"/>
  <c r="GJ119" i="88"/>
  <c r="GI119" i="88"/>
  <c r="GH119" i="88"/>
  <c r="GG119" i="88"/>
  <c r="GF119" i="88"/>
  <c r="GN119" i="88"/>
  <c r="ID119" i="88"/>
  <c r="IH119" i="88" s="1"/>
  <c r="IE119" i="88"/>
  <c r="IG119" i="88" s="1"/>
  <c r="IC119" i="88"/>
  <c r="GM119" i="88"/>
  <c r="IB119" i="88"/>
  <c r="GL119" i="88"/>
  <c r="IA119" i="88"/>
  <c r="GK119" i="88"/>
  <c r="HZ119" i="88"/>
  <c r="HY118" i="88"/>
  <c r="HX118" i="88"/>
  <c r="HW118" i="88"/>
  <c r="HV118" i="88"/>
  <c r="HU118" i="88"/>
  <c r="GJ118" i="88"/>
  <c r="GI118" i="88"/>
  <c r="GH118" i="88"/>
  <c r="GG118" i="88"/>
  <c r="GF118" i="88"/>
  <c r="GB117" i="88"/>
  <c r="FX117" i="88"/>
  <c r="FW117" i="88"/>
  <c r="FW116" i="88" s="1"/>
  <c r="FV117" i="88"/>
  <c r="FV116" i="88" s="1"/>
  <c r="FS117" i="88"/>
  <c r="FS116" i="88" s="1"/>
  <c r="ID118" i="88"/>
  <c r="IH118" i="88" s="1"/>
  <c r="FK117" i="88"/>
  <c r="FI117" i="88"/>
  <c r="FH117" i="88"/>
  <c r="IE118" i="88"/>
  <c r="IG118" i="88" s="1"/>
  <c r="GM118" i="88"/>
  <c r="IB118" i="88"/>
  <c r="GL118" i="88"/>
  <c r="IA118" i="88"/>
  <c r="GK118" i="88"/>
  <c r="HZ118" i="88"/>
  <c r="HY117" i="88"/>
  <c r="HX117" i="88"/>
  <c r="HW117" i="88"/>
  <c r="HV117" i="88"/>
  <c r="HU117" i="88"/>
  <c r="GJ117" i="88"/>
  <c r="GH117" i="88"/>
  <c r="GG117" i="88"/>
  <c r="GF117" i="88"/>
  <c r="FF117" i="88"/>
  <c r="FF116" i="88" s="1"/>
  <c r="FE117" i="88"/>
  <c r="FE116" i="88" s="1"/>
  <c r="FE109" i="88" s="1"/>
  <c r="FD117" i="88"/>
  <c r="FD116" i="88" s="1"/>
  <c r="FD109" i="88" s="1"/>
  <c r="FC117" i="88"/>
  <c r="FC116" i="88" s="1"/>
  <c r="FC109" i="88" s="1"/>
  <c r="FB117" i="88"/>
  <c r="FB116" i="88" s="1"/>
  <c r="FB109" i="88" s="1"/>
  <c r="FA117" i="88"/>
  <c r="FA116" i="88" s="1"/>
  <c r="FA109" i="88" s="1"/>
  <c r="EZ117" i="88"/>
  <c r="EZ116" i="88" s="1"/>
  <c r="EZ109" i="88" s="1"/>
  <c r="EY117" i="88"/>
  <c r="EY116" i="88" s="1"/>
  <c r="EY109" i="88" s="1"/>
  <c r="EX117" i="88"/>
  <c r="EX116" i="88" s="1"/>
  <c r="EX109" i="88" s="1"/>
  <c r="EW117" i="88"/>
  <c r="EW116" i="88" s="1"/>
  <c r="EW109" i="88" s="1"/>
  <c r="EV117" i="88"/>
  <c r="EV116" i="88" s="1"/>
  <c r="EV109" i="88" s="1"/>
  <c r="EU117" i="88"/>
  <c r="EU116" i="88" s="1"/>
  <c r="EU109" i="88" s="1"/>
  <c r="ET117" i="88"/>
  <c r="ET116" i="88" s="1"/>
  <c r="ET109" i="88" s="1"/>
  <c r="ES117" i="88"/>
  <c r="ES116" i="88" s="1"/>
  <c r="ES109" i="88" s="1"/>
  <c r="ER117" i="88"/>
  <c r="ER116" i="88" s="1"/>
  <c r="ER109" i="88" s="1"/>
  <c r="EQ117" i="88"/>
  <c r="EQ116" i="88" s="1"/>
  <c r="EQ109" i="88" s="1"/>
  <c r="EP117" i="88"/>
  <c r="EP116" i="88" s="1"/>
  <c r="EP109" i="88" s="1"/>
  <c r="EO117" i="88"/>
  <c r="EO116" i="88" s="1"/>
  <c r="EO109" i="88" s="1"/>
  <c r="EN117" i="88"/>
  <c r="EN116" i="88" s="1"/>
  <c r="EN109" i="88" s="1"/>
  <c r="EM117" i="88"/>
  <c r="EM116" i="88" s="1"/>
  <c r="EM109" i="88" s="1"/>
  <c r="EL117" i="88"/>
  <c r="EL116" i="88" s="1"/>
  <c r="EL109" i="88" s="1"/>
  <c r="EK117" i="88"/>
  <c r="EK116" i="88" s="1"/>
  <c r="EK109" i="88" s="1"/>
  <c r="EJ117" i="88"/>
  <c r="EJ116" i="88" s="1"/>
  <c r="EJ109" i="88" s="1"/>
  <c r="EI117" i="88"/>
  <c r="EI116" i="88" s="1"/>
  <c r="EI109" i="88" s="1"/>
  <c r="IE117" i="88"/>
  <c r="AZ117" i="88"/>
  <c r="HY116" i="88"/>
  <c r="HX116" i="88"/>
  <c r="HW116" i="88"/>
  <c r="HV116" i="88"/>
  <c r="HU116" i="88"/>
  <c r="GH116" i="88"/>
  <c r="GG116" i="88"/>
  <c r="GF116" i="88"/>
  <c r="BL116" i="88"/>
  <c r="GJ116" i="88" s="1"/>
  <c r="HY115" i="88"/>
  <c r="HX115" i="88"/>
  <c r="HW115" i="88"/>
  <c r="HV115" i="88"/>
  <c r="HU115" i="88"/>
  <c r="GJ115" i="88"/>
  <c r="GH115" i="88"/>
  <c r="GG115" i="88"/>
  <c r="GF115" i="88"/>
  <c r="GN115" i="88"/>
  <c r="ID115" i="88"/>
  <c r="IH115" i="88" s="1"/>
  <c r="L193" i="3"/>
  <c r="IE115" i="88"/>
  <c r="GM115" i="88"/>
  <c r="K193" i="3" s="1"/>
  <c r="IB115" i="88"/>
  <c r="GL115" i="88"/>
  <c r="GK115" i="88"/>
  <c r="HZ115" i="88"/>
  <c r="AZ115" i="88"/>
  <c r="GI115" i="88" s="1"/>
  <c r="HY114" i="88"/>
  <c r="HX114" i="88"/>
  <c r="HW114" i="88"/>
  <c r="HV114" i="88"/>
  <c r="HU114" i="88"/>
  <c r="GJ114" i="88"/>
  <c r="GI114" i="88"/>
  <c r="GH114" i="88"/>
  <c r="GG114" i="88"/>
  <c r="GF114" i="88"/>
  <c r="GN114" i="88"/>
  <c r="ID114" i="88"/>
  <c r="IH114" i="88" s="1"/>
  <c r="IC114" i="88"/>
  <c r="GM114" i="88"/>
  <c r="K192" i="3" s="1"/>
  <c r="IB114" i="88"/>
  <c r="GL114" i="88"/>
  <c r="IA114" i="88"/>
  <c r="HY113" i="88"/>
  <c r="HX113" i="88"/>
  <c r="HW113" i="88"/>
  <c r="HV113" i="88"/>
  <c r="HU113" i="88"/>
  <c r="GI113" i="88"/>
  <c r="GH113" i="88"/>
  <c r="GG113" i="88"/>
  <c r="GF113" i="88"/>
  <c r="GN113" i="88"/>
  <c r="ID113" i="88"/>
  <c r="L191" i="3"/>
  <c r="IE113" i="88"/>
  <c r="IG113" i="88" s="1"/>
  <c r="IB113" i="88"/>
  <c r="IA113" i="88"/>
  <c r="BL113" i="88"/>
  <c r="IY112" i="88"/>
  <c r="IX112" i="88"/>
  <c r="IQ112" i="88"/>
  <c r="IP112" i="88"/>
  <c r="IE112" i="88"/>
  <c r="ID112" i="88"/>
  <c r="IH112" i="88" s="1"/>
  <c r="HZ112" i="88"/>
  <c r="HY112" i="88"/>
  <c r="IR112" i="88" s="1"/>
  <c r="IC112" i="88"/>
  <c r="GM112" i="88"/>
  <c r="HG112" i="88" s="1"/>
  <c r="IB112" i="88"/>
  <c r="GL112" i="88"/>
  <c r="IA112" i="88"/>
  <c r="GK112" i="88"/>
  <c r="HY111" i="88"/>
  <c r="HX111" i="88"/>
  <c r="HW111" i="88"/>
  <c r="HV111" i="88"/>
  <c r="HU111" i="88"/>
  <c r="GJ111" i="88"/>
  <c r="GI111" i="88"/>
  <c r="GH111" i="88"/>
  <c r="GG111" i="88"/>
  <c r="GF111" i="88"/>
  <c r="GN111" i="88"/>
  <c r="ID111" i="88"/>
  <c r="IH111" i="88" s="1"/>
  <c r="IE111" i="88"/>
  <c r="GM111" i="88"/>
  <c r="IB111" i="88"/>
  <c r="GL111" i="88"/>
  <c r="IA111" i="88"/>
  <c r="GK111" i="88"/>
  <c r="HZ111" i="88"/>
  <c r="HY110" i="88"/>
  <c r="HX110" i="88"/>
  <c r="HW110" i="88"/>
  <c r="HV110" i="88"/>
  <c r="HU110" i="88"/>
  <c r="GJ110" i="88"/>
  <c r="GH110" i="88"/>
  <c r="GG110" i="88"/>
  <c r="GF110" i="88"/>
  <c r="GN110" i="88"/>
  <c r="IC110" i="88"/>
  <c r="IB110" i="88"/>
  <c r="GK110" i="88"/>
  <c r="HZ110" i="88"/>
  <c r="AZ110" i="88"/>
  <c r="FF109" i="88"/>
  <c r="EH109" i="88"/>
  <c r="EG109" i="88"/>
  <c r="EF109" i="88"/>
  <c r="EE109" i="88"/>
  <c r="ED109" i="88"/>
  <c r="EC109" i="88"/>
  <c r="EB109" i="88"/>
  <c r="EA109" i="88"/>
  <c r="DZ109" i="88"/>
  <c r="DY109" i="88"/>
  <c r="DX109" i="88"/>
  <c r="DW109" i="88"/>
  <c r="BK109" i="88"/>
  <c r="BJ109" i="88"/>
  <c r="BI109" i="88"/>
  <c r="BH109" i="88"/>
  <c r="BG109" i="88"/>
  <c r="BF109" i="88"/>
  <c r="HY109" i="88" s="1"/>
  <c r="BE109" i="88"/>
  <c r="BD109" i="88"/>
  <c r="BC109" i="88"/>
  <c r="BB109" i="88"/>
  <c r="BA109" i="88"/>
  <c r="AY109" i="88"/>
  <c r="AX109" i="88"/>
  <c r="AW109" i="88"/>
  <c r="AV109" i="88"/>
  <c r="AU109" i="88"/>
  <c r="AT109" i="88"/>
  <c r="HX109" i="88" s="1"/>
  <c r="AS109" i="88"/>
  <c r="AR109" i="88"/>
  <c r="AQ109" i="88"/>
  <c r="AP109" i="88"/>
  <c r="AO109" i="88"/>
  <c r="AN109" i="88"/>
  <c r="GH109" i="88" s="1"/>
  <c r="AM109" i="88"/>
  <c r="AL109" i="88"/>
  <c r="AK109" i="88"/>
  <c r="AJ109" i="88"/>
  <c r="AI109" i="88"/>
  <c r="AH109" i="88"/>
  <c r="HW109" i="88" s="1"/>
  <c r="AG109" i="88"/>
  <c r="AF109" i="88"/>
  <c r="AE109" i="88"/>
  <c r="AD109" i="88"/>
  <c r="AC109" i="88"/>
  <c r="AB109" i="88"/>
  <c r="GG109" i="88" s="1"/>
  <c r="AA109" i="88"/>
  <c r="Z109" i="88"/>
  <c r="Y109" i="88"/>
  <c r="X109" i="88"/>
  <c r="W109" i="88"/>
  <c r="V109" i="88"/>
  <c r="HV109" i="88" s="1"/>
  <c r="U109" i="88"/>
  <c r="T109" i="88"/>
  <c r="S109" i="88"/>
  <c r="R109" i="88"/>
  <c r="Q109" i="88"/>
  <c r="P109" i="88"/>
  <c r="O109" i="88"/>
  <c r="N109" i="88"/>
  <c r="M109" i="88"/>
  <c r="L109" i="88"/>
  <c r="K109" i="88"/>
  <c r="J109" i="88"/>
  <c r="HU109" i="88" s="1"/>
  <c r="I109" i="88"/>
  <c r="H109" i="88"/>
  <c r="G109" i="88"/>
  <c r="F109" i="88"/>
  <c r="E109" i="88"/>
  <c r="HI108" i="88"/>
  <c r="HG108" i="88"/>
  <c r="HF108" i="88"/>
  <c r="HE108" i="88"/>
  <c r="GY108" i="88"/>
  <c r="GW108" i="88"/>
  <c r="HI107" i="88"/>
  <c r="HG107" i="88"/>
  <c r="HF107" i="88"/>
  <c r="HE107" i="88"/>
  <c r="GY107" i="88"/>
  <c r="GW107" i="88"/>
  <c r="HI106" i="88"/>
  <c r="HG106" i="88"/>
  <c r="HF106" i="88"/>
  <c r="HE106" i="88"/>
  <c r="GY106" i="88"/>
  <c r="GW106" i="88"/>
  <c r="HI105" i="88"/>
  <c r="HG105" i="88"/>
  <c r="HF105" i="88"/>
  <c r="HE105" i="88"/>
  <c r="GY105" i="88"/>
  <c r="GW105" i="88"/>
  <c r="KP102" i="88"/>
  <c r="KH102" i="88"/>
  <c r="GN102" i="88"/>
  <c r="GM102" i="88"/>
  <c r="GL102" i="88"/>
  <c r="HE102" i="88" s="1"/>
  <c r="HW101" i="88"/>
  <c r="HV101" i="88"/>
  <c r="HU101" i="88"/>
  <c r="HY100" i="88"/>
  <c r="HX100" i="88"/>
  <c r="HW100" i="88"/>
  <c r="HV100" i="88"/>
  <c r="HU100" i="88"/>
  <c r="GI100" i="88"/>
  <c r="GH100" i="88"/>
  <c r="GG100" i="88"/>
  <c r="GF100" i="88"/>
  <c r="CV221" i="88"/>
  <c r="CU221" i="88"/>
  <c r="CT221" i="88"/>
  <c r="CQ221" i="88"/>
  <c r="CP221" i="88"/>
  <c r="CN221" i="88"/>
  <c r="CM221" i="88"/>
  <c r="CL221" i="88"/>
  <c r="CI221" i="88"/>
  <c r="CH221" i="88"/>
  <c r="CE221" i="88"/>
  <c r="CD221" i="88"/>
  <c r="CA221" i="88"/>
  <c r="BZ221" i="88"/>
  <c r="BV221" i="88"/>
  <c r="BS221" i="88"/>
  <c r="BR221" i="88"/>
  <c r="BQ221" i="88"/>
  <c r="BP221" i="88"/>
  <c r="BN221" i="88"/>
  <c r="BL100" i="88"/>
  <c r="GN99" i="88"/>
  <c r="GM99" i="88"/>
  <c r="HI99" i="88" s="1"/>
  <c r="GL99" i="88"/>
  <c r="HE99" i="88" s="1"/>
  <c r="GN96" i="88"/>
  <c r="GM96" i="88"/>
  <c r="GL96" i="88"/>
  <c r="HE96" i="88" s="1"/>
  <c r="ID95" i="88"/>
  <c r="IH95" i="88" s="1"/>
  <c r="HY95" i="88"/>
  <c r="HX95" i="88"/>
  <c r="HW95" i="88"/>
  <c r="HV95" i="88"/>
  <c r="HU95" i="88"/>
  <c r="GN95" i="88"/>
  <c r="GJ95" i="88"/>
  <c r="GH95" i="88"/>
  <c r="GG95" i="88"/>
  <c r="GF95" i="88"/>
  <c r="IE95" i="88"/>
  <c r="AZ95" i="88"/>
  <c r="GI95" i="88" s="1"/>
  <c r="HY94" i="88"/>
  <c r="HX94" i="88"/>
  <c r="HW94" i="88"/>
  <c r="HV94" i="88"/>
  <c r="HU94" i="88"/>
  <c r="GJ94" i="88"/>
  <c r="GH94" i="88"/>
  <c r="GG94" i="88"/>
  <c r="GF94" i="88"/>
  <c r="DS91" i="88"/>
  <c r="IE94" i="88"/>
  <c r="AZ94" i="88"/>
  <c r="GI94" i="88" s="1"/>
  <c r="HY93" i="88"/>
  <c r="HX93" i="88"/>
  <c r="HW93" i="88"/>
  <c r="HV93" i="88"/>
  <c r="HU93" i="88"/>
  <c r="GJ93" i="88"/>
  <c r="GI93" i="88"/>
  <c r="GH93" i="88"/>
  <c r="GG93" i="88"/>
  <c r="GF93" i="88"/>
  <c r="DR91" i="88"/>
  <c r="DQ91" i="88"/>
  <c r="HY92" i="88"/>
  <c r="HX92" i="88"/>
  <c r="HW92" i="88"/>
  <c r="HV92" i="88"/>
  <c r="HU92" i="88"/>
  <c r="GJ92" i="88"/>
  <c r="GH92" i="88"/>
  <c r="GG92" i="88"/>
  <c r="GF92" i="88"/>
  <c r="GD91" i="88"/>
  <c r="FV91" i="88"/>
  <c r="FH91" i="88"/>
  <c r="DU91" i="88"/>
  <c r="DT91" i="88"/>
  <c r="DP91" i="88"/>
  <c r="DM91" i="88"/>
  <c r="IE92" i="88"/>
  <c r="AZ92" i="88"/>
  <c r="GI92" i="88" s="1"/>
  <c r="HY91" i="88"/>
  <c r="HW91" i="88"/>
  <c r="HV91" i="88"/>
  <c r="HU91" i="88"/>
  <c r="GH91" i="88"/>
  <c r="GG91" i="88"/>
  <c r="GF91" i="88"/>
  <c r="FF91" i="88"/>
  <c r="FF89" i="88" s="1"/>
  <c r="FE91" i="88"/>
  <c r="FE89" i="88" s="1"/>
  <c r="FD91" i="88"/>
  <c r="FD89" i="88" s="1"/>
  <c r="FC91" i="88"/>
  <c r="FC89" i="88" s="1"/>
  <c r="FB91" i="88"/>
  <c r="FB89" i="88" s="1"/>
  <c r="FA91" i="88"/>
  <c r="FA89" i="88" s="1"/>
  <c r="EZ91" i="88"/>
  <c r="EZ89" i="88" s="1"/>
  <c r="EY91" i="88"/>
  <c r="EY89" i="88" s="1"/>
  <c r="EX91" i="88"/>
  <c r="EX89" i="88" s="1"/>
  <c r="EW91" i="88"/>
  <c r="EW89" i="88" s="1"/>
  <c r="EV91" i="88"/>
  <c r="EV89" i="88" s="1"/>
  <c r="EU91" i="88"/>
  <c r="EU89" i="88" s="1"/>
  <c r="ET91" i="88"/>
  <c r="ET89" i="88" s="1"/>
  <c r="ES91" i="88"/>
  <c r="ES89" i="88" s="1"/>
  <c r="ER91" i="88"/>
  <c r="ER89" i="88" s="1"/>
  <c r="EQ91" i="88"/>
  <c r="EQ89" i="88" s="1"/>
  <c r="EP91" i="88"/>
  <c r="EP89" i="88" s="1"/>
  <c r="EO91" i="88"/>
  <c r="EO89" i="88" s="1"/>
  <c r="EN91" i="88"/>
  <c r="EN89" i="88" s="1"/>
  <c r="EM91" i="88"/>
  <c r="EM89" i="88" s="1"/>
  <c r="EL91" i="88"/>
  <c r="EL89" i="88" s="1"/>
  <c r="EK91" i="88"/>
  <c r="EK89" i="88" s="1"/>
  <c r="EJ91" i="88"/>
  <c r="EJ89" i="88" s="1"/>
  <c r="EI91" i="88"/>
  <c r="EI89" i="88" s="1"/>
  <c r="DJ91" i="88"/>
  <c r="AY91" i="88"/>
  <c r="AY89" i="88" s="1"/>
  <c r="AX91" i="88"/>
  <c r="AX89" i="88" s="1"/>
  <c r="AW91" i="88"/>
  <c r="AW89" i="88" s="1"/>
  <c r="AV91" i="88"/>
  <c r="AV89" i="88" s="1"/>
  <c r="AU91" i="88"/>
  <c r="AU89" i="88" s="1"/>
  <c r="AT91" i="88"/>
  <c r="AT89" i="88" s="1"/>
  <c r="AS91" i="88"/>
  <c r="AS89" i="88" s="1"/>
  <c r="AR91" i="88"/>
  <c r="AR89" i="88" s="1"/>
  <c r="AQ91" i="88"/>
  <c r="AQ89" i="88" s="1"/>
  <c r="AP91" i="88"/>
  <c r="AP89" i="88" s="1"/>
  <c r="AO91" i="88"/>
  <c r="HY90" i="88"/>
  <c r="HX90" i="88"/>
  <c r="HW90" i="88"/>
  <c r="HV90" i="88"/>
  <c r="HU90" i="88"/>
  <c r="GJ90" i="88"/>
  <c r="GH90" i="88"/>
  <c r="GG90" i="88"/>
  <c r="GF90" i="88"/>
  <c r="CU225" i="88"/>
  <c r="CR225" i="88"/>
  <c r="CQ225" i="88"/>
  <c r="CP225" i="88"/>
  <c r="CM225" i="88"/>
  <c r="CJ225" i="88"/>
  <c r="CI225" i="88"/>
  <c r="CH225" i="88"/>
  <c r="CE225" i="88"/>
  <c r="CC225" i="88"/>
  <c r="CB225" i="88"/>
  <c r="CA225" i="88"/>
  <c r="BZ225" i="88"/>
  <c r="BW225" i="88"/>
  <c r="BT225" i="88"/>
  <c r="BS225" i="88"/>
  <c r="BR225" i="88"/>
  <c r="BO225" i="88"/>
  <c r="AZ90" i="88"/>
  <c r="GI90" i="88" s="1"/>
  <c r="BL89" i="88"/>
  <c r="BK89" i="88"/>
  <c r="BJ89" i="88"/>
  <c r="BI89" i="88"/>
  <c r="BH89" i="88"/>
  <c r="BG89" i="88"/>
  <c r="BF89" i="88"/>
  <c r="BE89" i="88"/>
  <c r="BD89" i="88"/>
  <c r="BC89" i="88"/>
  <c r="BB89" i="88"/>
  <c r="BA89" i="88"/>
  <c r="AN89" i="88"/>
  <c r="AM89" i="88"/>
  <c r="AL89" i="88"/>
  <c r="AK89" i="88"/>
  <c r="AJ89" i="88"/>
  <c r="AI89" i="88"/>
  <c r="AH89" i="88"/>
  <c r="AG89" i="88"/>
  <c r="AF89" i="88"/>
  <c r="AE89" i="88"/>
  <c r="AD89" i="88"/>
  <c r="AC89" i="88"/>
  <c r="AB89" i="88"/>
  <c r="AA89" i="88"/>
  <c r="Z89" i="88"/>
  <c r="Y89" i="88"/>
  <c r="X89" i="88"/>
  <c r="W89" i="88"/>
  <c r="V89" i="88"/>
  <c r="U89" i="88"/>
  <c r="T89" i="88"/>
  <c r="S89" i="88"/>
  <c r="R89" i="88"/>
  <c r="Q89" i="88"/>
  <c r="P89" i="88"/>
  <c r="O89" i="88"/>
  <c r="N89" i="88"/>
  <c r="M89" i="88"/>
  <c r="L89" i="88"/>
  <c r="K89" i="88"/>
  <c r="J89" i="88"/>
  <c r="I89" i="88"/>
  <c r="H89" i="88"/>
  <c r="G89" i="88"/>
  <c r="F89" i="88"/>
  <c r="E89" i="88"/>
  <c r="GN88" i="88"/>
  <c r="GM88" i="88"/>
  <c r="HI88" i="88" s="1"/>
  <c r="GL88" i="88"/>
  <c r="HE88" i="88" s="1"/>
  <c r="HY87" i="88"/>
  <c r="HX87" i="88"/>
  <c r="HW87" i="88"/>
  <c r="HV87" i="88"/>
  <c r="HU87" i="88"/>
  <c r="GJ87" i="88"/>
  <c r="GI87" i="88"/>
  <c r="GH87" i="88"/>
  <c r="GG87" i="88"/>
  <c r="GF87" i="88"/>
  <c r="HY86" i="88"/>
  <c r="HX86" i="88"/>
  <c r="HW86" i="88"/>
  <c r="HV86" i="88"/>
  <c r="HU86" i="88"/>
  <c r="GJ86" i="88"/>
  <c r="GI86" i="88"/>
  <c r="GH86" i="88"/>
  <c r="GG86" i="88"/>
  <c r="GF86" i="88"/>
  <c r="GC84" i="88"/>
  <c r="GB84" i="88"/>
  <c r="FU84" i="88"/>
  <c r="FT84" i="88"/>
  <c r="FM84" i="88"/>
  <c r="FL84" i="88"/>
  <c r="DT84" i="88"/>
  <c r="DT77" i="88" s="1"/>
  <c r="DS84" i="88"/>
  <c r="DL84" i="88"/>
  <c r="DK84" i="88"/>
  <c r="DK77" i="88" s="1"/>
  <c r="IE85" i="88"/>
  <c r="ID85" i="88"/>
  <c r="IH85" i="88" s="1"/>
  <c r="HY85" i="88"/>
  <c r="HX85" i="88"/>
  <c r="HW85" i="88"/>
  <c r="HV85" i="88"/>
  <c r="HU85" i="88"/>
  <c r="GN85" i="88"/>
  <c r="GJ85" i="88"/>
  <c r="GH85" i="88"/>
  <c r="GG85" i="88"/>
  <c r="GF85" i="88"/>
  <c r="AZ85" i="88"/>
  <c r="GI85" i="88" s="1"/>
  <c r="HW84" i="88"/>
  <c r="HV84" i="88"/>
  <c r="HU84" i="88"/>
  <c r="GH84" i="88"/>
  <c r="GG84" i="88"/>
  <c r="GF84" i="88"/>
  <c r="FF84" i="88"/>
  <c r="FE84" i="88"/>
  <c r="FD84" i="88"/>
  <c r="FC84" i="88"/>
  <c r="FB84" i="88"/>
  <c r="FA84" i="88"/>
  <c r="EZ84" i="88"/>
  <c r="EY84" i="88"/>
  <c r="EX84" i="88"/>
  <c r="EW84" i="88"/>
  <c r="EV84" i="88"/>
  <c r="EU84" i="88"/>
  <c r="ET84" i="88"/>
  <c r="ES84" i="88"/>
  <c r="ER84" i="88"/>
  <c r="EQ84" i="88"/>
  <c r="EP84" i="88"/>
  <c r="EO84" i="88"/>
  <c r="EN84" i="88"/>
  <c r="EM84" i="88"/>
  <c r="EL84" i="88"/>
  <c r="EK84" i="88"/>
  <c r="EJ84" i="88"/>
  <c r="EI84" i="88"/>
  <c r="BL84" i="88"/>
  <c r="BK84" i="88"/>
  <c r="BJ84" i="88"/>
  <c r="BI84" i="88"/>
  <c r="BH84" i="88"/>
  <c r="BG84" i="88"/>
  <c r="BF84" i="88"/>
  <c r="BE84" i="88"/>
  <c r="BD84" i="88"/>
  <c r="BC84" i="88"/>
  <c r="BB84" i="88"/>
  <c r="BA84" i="88"/>
  <c r="AY84" i="88"/>
  <c r="AX84" i="88"/>
  <c r="AW84" i="88"/>
  <c r="AV84" i="88"/>
  <c r="AU84" i="88"/>
  <c r="AT84" i="88"/>
  <c r="AS84" i="88"/>
  <c r="AR84" i="88"/>
  <c r="AQ84" i="88"/>
  <c r="AP84" i="88"/>
  <c r="AO84" i="88"/>
  <c r="HX83" i="88"/>
  <c r="HW83" i="88"/>
  <c r="HV83" i="88"/>
  <c r="HU83" i="88"/>
  <c r="GH83" i="88"/>
  <c r="GG83" i="88"/>
  <c r="GF83" i="88"/>
  <c r="GC81" i="88"/>
  <c r="GB81" i="88"/>
  <c r="GA81" i="88"/>
  <c r="FZ81" i="88"/>
  <c r="FY81" i="88"/>
  <c r="FW81" i="88"/>
  <c r="FV81" i="88"/>
  <c r="FU81" i="88"/>
  <c r="FT81" i="88"/>
  <c r="FS81" i="88"/>
  <c r="FR81" i="88"/>
  <c r="FQ81" i="88"/>
  <c r="FP81" i="88"/>
  <c r="FO81" i="88"/>
  <c r="FN81" i="88"/>
  <c r="FM81" i="88"/>
  <c r="FL81" i="88"/>
  <c r="FK81" i="88"/>
  <c r="FJ81" i="88"/>
  <c r="FH81" i="88"/>
  <c r="BD83" i="88"/>
  <c r="GJ83" i="88" s="1"/>
  <c r="AZ83" i="88"/>
  <c r="AZ81" i="88" s="1"/>
  <c r="IE82" i="88"/>
  <c r="ID82" i="88"/>
  <c r="IH82" i="88" s="1"/>
  <c r="HY82" i="88"/>
  <c r="HX82" i="88"/>
  <c r="HW82" i="88"/>
  <c r="HV82" i="88"/>
  <c r="HU82" i="88"/>
  <c r="GN82" i="88"/>
  <c r="GJ82" i="88"/>
  <c r="GI82" i="88"/>
  <c r="GH82" i="88"/>
  <c r="GG82" i="88"/>
  <c r="GF82" i="88"/>
  <c r="HW81" i="88"/>
  <c r="HV81" i="88"/>
  <c r="HU81" i="88"/>
  <c r="GH81" i="88"/>
  <c r="GG81" i="88"/>
  <c r="GF81" i="88"/>
  <c r="GD81" i="88"/>
  <c r="FX81" i="88"/>
  <c r="FI81" i="88"/>
  <c r="FF81" i="88"/>
  <c r="FF80" i="88" s="1"/>
  <c r="FF77" i="88" s="1"/>
  <c r="FE81" i="88"/>
  <c r="FD81" i="88"/>
  <c r="FC81" i="88"/>
  <c r="FB81" i="88"/>
  <c r="FA81" i="88"/>
  <c r="EZ81" i="88"/>
  <c r="EY81" i="88"/>
  <c r="EY80" i="88" s="1"/>
  <c r="EY77" i="88" s="1"/>
  <c r="EX81" i="88"/>
  <c r="EX80" i="88" s="1"/>
  <c r="EX77" i="88" s="1"/>
  <c r="EW81" i="88"/>
  <c r="EV81" i="88"/>
  <c r="EU81" i="88"/>
  <c r="ET81" i="88"/>
  <c r="ES81" i="88"/>
  <c r="ER81" i="88"/>
  <c r="EQ81" i="88"/>
  <c r="EQ80" i="88" s="1"/>
  <c r="EQ77" i="88" s="1"/>
  <c r="EP81" i="88"/>
  <c r="EP80" i="88" s="1"/>
  <c r="EP77" i="88" s="1"/>
  <c r="EO81" i="88"/>
  <c r="EN81" i="88"/>
  <c r="EM81" i="88"/>
  <c r="EL81" i="88"/>
  <c r="EK81" i="88"/>
  <c r="EJ81" i="88"/>
  <c r="EI81" i="88"/>
  <c r="EI80" i="88" s="1"/>
  <c r="EI77" i="88" s="1"/>
  <c r="BL81" i="88"/>
  <c r="BK81" i="88"/>
  <c r="BJ81" i="88"/>
  <c r="BI81" i="88"/>
  <c r="BH81" i="88"/>
  <c r="BH80" i="88" s="1"/>
  <c r="BH77" i="88" s="1"/>
  <c r="BG81" i="88"/>
  <c r="BF81" i="88"/>
  <c r="BE81" i="88"/>
  <c r="BD81" i="88"/>
  <c r="BC81" i="88"/>
  <c r="BC80" i="88" s="1"/>
  <c r="BC77" i="88" s="1"/>
  <c r="BB81" i="88"/>
  <c r="BA81" i="88"/>
  <c r="AY81" i="88"/>
  <c r="AY80" i="88" s="1"/>
  <c r="AY77" i="88" s="1"/>
  <c r="AX81" i="88"/>
  <c r="AW81" i="88"/>
  <c r="AV81" i="88"/>
  <c r="AV80" i="88" s="1"/>
  <c r="AV77" i="88" s="1"/>
  <c r="AU81" i="88"/>
  <c r="AU80" i="88" s="1"/>
  <c r="AU77" i="88" s="1"/>
  <c r="AT81" i="88"/>
  <c r="AS81" i="88"/>
  <c r="AR81" i="88"/>
  <c r="AQ81" i="88"/>
  <c r="AQ80" i="88" s="1"/>
  <c r="AQ77" i="88" s="1"/>
  <c r="AP81" i="88"/>
  <c r="AO81" i="88"/>
  <c r="HW80" i="88"/>
  <c r="HV80" i="88"/>
  <c r="HU80" i="88"/>
  <c r="GH80" i="88"/>
  <c r="GG80" i="88"/>
  <c r="GF80" i="88"/>
  <c r="HY79" i="88"/>
  <c r="HX79" i="88"/>
  <c r="HW79" i="88"/>
  <c r="HV79" i="88"/>
  <c r="HU79" i="88"/>
  <c r="GJ79" i="88"/>
  <c r="GH79" i="88"/>
  <c r="GG79" i="88"/>
  <c r="GF79" i="88"/>
  <c r="IE79" i="88"/>
  <c r="AZ79" i="88"/>
  <c r="HY78" i="88"/>
  <c r="HX78" i="88"/>
  <c r="HW78" i="88"/>
  <c r="HV78" i="88"/>
  <c r="HU78" i="88"/>
  <c r="GH78" i="88"/>
  <c r="GG78" i="88"/>
  <c r="GF78" i="88"/>
  <c r="DU77" i="88"/>
  <c r="BJ78" i="88"/>
  <c r="BG78" i="88"/>
  <c r="AZ78" i="88"/>
  <c r="GI78" i="88" s="1"/>
  <c r="AN77" i="88"/>
  <c r="AM77" i="88"/>
  <c r="AL77" i="88"/>
  <c r="AK77" i="88"/>
  <c r="AJ77" i="88"/>
  <c r="AI77" i="88"/>
  <c r="AH77" i="88"/>
  <c r="AG77" i="88"/>
  <c r="AF77" i="88"/>
  <c r="AE77" i="88"/>
  <c r="AD77" i="88"/>
  <c r="AC77" i="88"/>
  <c r="AB77" i="88"/>
  <c r="AA77" i="88"/>
  <c r="Z77" i="88"/>
  <c r="Y77" i="88"/>
  <c r="X77" i="88"/>
  <c r="W77" i="88"/>
  <c r="V77" i="88"/>
  <c r="U77" i="88"/>
  <c r="T77" i="88"/>
  <c r="S77" i="88"/>
  <c r="R77" i="88"/>
  <c r="Q77" i="88"/>
  <c r="P77" i="88"/>
  <c r="O77" i="88"/>
  <c r="N77" i="88"/>
  <c r="M77" i="88"/>
  <c r="L77" i="88"/>
  <c r="K77" i="88"/>
  <c r="J77" i="88"/>
  <c r="I77" i="88"/>
  <c r="H77" i="88"/>
  <c r="G77" i="88"/>
  <c r="F77" i="88"/>
  <c r="E77" i="88"/>
  <c r="GN76" i="88"/>
  <c r="GM76" i="88"/>
  <c r="GY76" i="88" s="1"/>
  <c r="GL76" i="88"/>
  <c r="HE76" i="88" s="1"/>
  <c r="DU75" i="88"/>
  <c r="GN73" i="88"/>
  <c r="GM73" i="88"/>
  <c r="HI73" i="88" s="1"/>
  <c r="GL73" i="88"/>
  <c r="HE73" i="88" s="1"/>
  <c r="GN72" i="88"/>
  <c r="IE71" i="88"/>
  <c r="ID71" i="88"/>
  <c r="IH71" i="88" s="1"/>
  <c r="IC71" i="88"/>
  <c r="IG71" i="88" s="1"/>
  <c r="IB71" i="88"/>
  <c r="IA71" i="88"/>
  <c r="HZ71" i="88"/>
  <c r="HY71" i="88"/>
  <c r="HX71" i="88"/>
  <c r="HW71" i="88"/>
  <c r="HV71" i="88"/>
  <c r="HU71" i="88"/>
  <c r="GN71" i="88"/>
  <c r="GM71" i="88"/>
  <c r="HI71" i="88" s="1"/>
  <c r="GL71" i="88"/>
  <c r="GK71" i="88"/>
  <c r="HD71" i="88" s="1"/>
  <c r="IE70" i="88"/>
  <c r="ID70" i="88"/>
  <c r="IH70" i="88" s="1"/>
  <c r="HY70" i="88"/>
  <c r="HX70" i="88"/>
  <c r="HW70" i="88"/>
  <c r="HV70" i="88"/>
  <c r="HU70" i="88"/>
  <c r="GN70" i="88"/>
  <c r="HY69" i="88"/>
  <c r="HX69" i="88"/>
  <c r="HW69" i="88"/>
  <c r="HV69" i="88"/>
  <c r="HU69" i="88"/>
  <c r="GJ69" i="88"/>
  <c r="GI69" i="88"/>
  <c r="GH69" i="88"/>
  <c r="GG69" i="88"/>
  <c r="GF69" i="88"/>
  <c r="HY68" i="88"/>
  <c r="HX68" i="88"/>
  <c r="HW68" i="88"/>
  <c r="HV68" i="88"/>
  <c r="HU68" i="88"/>
  <c r="GJ68" i="88"/>
  <c r="GH68" i="88"/>
  <c r="GG68" i="88"/>
  <c r="GF68" i="88"/>
  <c r="AX68" i="88"/>
  <c r="GI68" i="88" s="1"/>
  <c r="HY67" i="88"/>
  <c r="HW67" i="88"/>
  <c r="HV67" i="88"/>
  <c r="HU67" i="88"/>
  <c r="GJ67" i="88"/>
  <c r="GH67" i="88"/>
  <c r="GG67" i="88"/>
  <c r="GF67" i="88"/>
  <c r="FF67" i="88"/>
  <c r="FE67" i="88"/>
  <c r="FD67" i="88"/>
  <c r="FC67" i="88"/>
  <c r="FB67" i="88"/>
  <c r="FA67" i="88"/>
  <c r="EZ67" i="88"/>
  <c r="EY67" i="88"/>
  <c r="EX67" i="88"/>
  <c r="EW67" i="88"/>
  <c r="EV67" i="88"/>
  <c r="EU67" i="88"/>
  <c r="ET67" i="88"/>
  <c r="ES67" i="88"/>
  <c r="ER67" i="88"/>
  <c r="EQ67" i="88"/>
  <c r="EP67" i="88"/>
  <c r="EO67" i="88"/>
  <c r="EN67" i="88"/>
  <c r="EM67" i="88"/>
  <c r="EL67" i="88"/>
  <c r="EK67" i="88"/>
  <c r="EJ67" i="88"/>
  <c r="EI67" i="88"/>
  <c r="AZ67" i="88"/>
  <c r="AY67" i="88"/>
  <c r="AX67" i="88"/>
  <c r="AW67" i="88"/>
  <c r="AV67" i="88"/>
  <c r="AU67" i="88"/>
  <c r="AT67" i="88"/>
  <c r="AS67" i="88"/>
  <c r="AR67" i="88"/>
  <c r="AQ67" i="88"/>
  <c r="AP67" i="88"/>
  <c r="AO67" i="88"/>
  <c r="HY66" i="88"/>
  <c r="HX66" i="88"/>
  <c r="HW66" i="88"/>
  <c r="HV66" i="88"/>
  <c r="HU66" i="88"/>
  <c r="GJ66" i="88"/>
  <c r="GI66" i="88"/>
  <c r="HB66" i="88" s="1"/>
  <c r="GH66" i="88"/>
  <c r="GG66" i="88"/>
  <c r="GF66" i="88"/>
  <c r="HY65" i="88"/>
  <c r="HX65" i="88"/>
  <c r="HW65" i="88"/>
  <c r="HV65" i="88"/>
  <c r="HU65" i="88"/>
  <c r="GJ65" i="88"/>
  <c r="GH65" i="88"/>
  <c r="GG65" i="88"/>
  <c r="GF65" i="88"/>
  <c r="AZ65" i="88"/>
  <c r="GI65" i="88" s="1"/>
  <c r="HY64" i="88"/>
  <c r="HW64" i="88"/>
  <c r="HV64" i="88"/>
  <c r="HU64" i="88"/>
  <c r="GJ64" i="88"/>
  <c r="GH64" i="88"/>
  <c r="GG64" i="88"/>
  <c r="GF64" i="88"/>
  <c r="FF64" i="88"/>
  <c r="FE64" i="88"/>
  <c r="FD64" i="88"/>
  <c r="FC64" i="88"/>
  <c r="FB64" i="88"/>
  <c r="FA64" i="88"/>
  <c r="EZ64" i="88"/>
  <c r="EY64" i="88"/>
  <c r="EX64" i="88"/>
  <c r="EW64" i="88"/>
  <c r="EV64" i="88"/>
  <c r="EU64" i="88"/>
  <c r="ET64" i="88"/>
  <c r="ES64" i="88"/>
  <c r="ER64" i="88"/>
  <c r="EQ64" i="88"/>
  <c r="EP64" i="88"/>
  <c r="EO64" i="88"/>
  <c r="EN64" i="88"/>
  <c r="EM64" i="88"/>
  <c r="EL64" i="88"/>
  <c r="EK64" i="88"/>
  <c r="EJ64" i="88"/>
  <c r="EI64" i="88"/>
  <c r="AY64" i="88"/>
  <c r="AX64" i="88"/>
  <c r="AW64" i="88"/>
  <c r="AV64" i="88"/>
  <c r="AU64" i="88"/>
  <c r="AT64" i="88"/>
  <c r="AT63" i="88" s="1"/>
  <c r="AS64" i="88"/>
  <c r="AR64" i="88"/>
  <c r="AQ64" i="88"/>
  <c r="AP64" i="88"/>
  <c r="AO64" i="88"/>
  <c r="BL63" i="88"/>
  <c r="BK63" i="88"/>
  <c r="BJ63" i="88"/>
  <c r="BI63" i="88"/>
  <c r="BH63" i="88"/>
  <c r="BG63" i="88"/>
  <c r="BF63" i="88"/>
  <c r="BE63" i="88"/>
  <c r="BD63" i="88"/>
  <c r="BC63" i="88"/>
  <c r="BB63" i="88"/>
  <c r="BA63" i="88"/>
  <c r="AN63" i="88"/>
  <c r="AM63" i="88"/>
  <c r="AL63" i="88"/>
  <c r="AK63" i="88"/>
  <c r="AJ63" i="88"/>
  <c r="AI63" i="88"/>
  <c r="AH63" i="88"/>
  <c r="AG63" i="88"/>
  <c r="AF63" i="88"/>
  <c r="AE63" i="88"/>
  <c r="AD63" i="88"/>
  <c r="AC63" i="88"/>
  <c r="AB63" i="88"/>
  <c r="AA63" i="88"/>
  <c r="Z63" i="88"/>
  <c r="Y63" i="88"/>
  <c r="X63" i="88"/>
  <c r="W63" i="88"/>
  <c r="V63" i="88"/>
  <c r="U63" i="88"/>
  <c r="T63" i="88"/>
  <c r="S63" i="88"/>
  <c r="R63" i="88"/>
  <c r="Q63" i="88"/>
  <c r="P63" i="88"/>
  <c r="O63" i="88"/>
  <c r="N63" i="88"/>
  <c r="M63" i="88"/>
  <c r="L63" i="88"/>
  <c r="K63" i="88"/>
  <c r="J63" i="88"/>
  <c r="I63" i="88"/>
  <c r="H63" i="88"/>
  <c r="G63" i="88"/>
  <c r="F63" i="88"/>
  <c r="E63" i="88"/>
  <c r="KP62" i="88"/>
  <c r="KH62" i="88"/>
  <c r="GN62" i="88"/>
  <c r="GM62" i="88"/>
  <c r="HI62" i="88" s="1"/>
  <c r="GL62" i="88"/>
  <c r="HE62" i="88" s="1"/>
  <c r="IF59" i="88"/>
  <c r="HI59" i="88"/>
  <c r="HG59" i="88"/>
  <c r="HF59" i="88"/>
  <c r="HE59" i="88"/>
  <c r="GY59" i="88"/>
  <c r="GW59" i="88"/>
  <c r="IE58" i="88"/>
  <c r="ID58" i="88"/>
  <c r="IH58" i="88" s="1"/>
  <c r="HY58" i="88"/>
  <c r="HX58" i="88"/>
  <c r="HW58" i="88"/>
  <c r="HV58" i="88"/>
  <c r="HU58" i="88"/>
  <c r="GN58" i="88"/>
  <c r="GJ58" i="88"/>
  <c r="GI58" i="88"/>
  <c r="GH58" i="88"/>
  <c r="GG58" i="88"/>
  <c r="GF58" i="88"/>
  <c r="EV58" i="88"/>
  <c r="IE57" i="88"/>
  <c r="ID57" i="88"/>
  <c r="IH57" i="88" s="1"/>
  <c r="IC57" i="88"/>
  <c r="IG57" i="88" s="1"/>
  <c r="IB57" i="88"/>
  <c r="IA57" i="88"/>
  <c r="HZ57" i="88"/>
  <c r="HY57" i="88"/>
  <c r="HX57" i="88"/>
  <c r="HW57" i="88"/>
  <c r="HV57" i="88"/>
  <c r="HU57" i="88"/>
  <c r="GN57" i="88"/>
  <c r="GM57" i="88"/>
  <c r="GL57" i="88"/>
  <c r="GK57" i="88"/>
  <c r="GJ57" i="88"/>
  <c r="GH57" i="88"/>
  <c r="GG57" i="88"/>
  <c r="GF57" i="88"/>
  <c r="AZ57" i="88"/>
  <c r="GI57" i="88" s="1"/>
  <c r="HY56" i="88"/>
  <c r="HX56" i="88"/>
  <c r="HW56" i="88"/>
  <c r="HV56" i="88"/>
  <c r="HU56" i="88"/>
  <c r="GJ56" i="88"/>
  <c r="GI56" i="88"/>
  <c r="GH56" i="88"/>
  <c r="GG56" i="88"/>
  <c r="GF56" i="88"/>
  <c r="HY55" i="88"/>
  <c r="HX55" i="88"/>
  <c r="HW55" i="88"/>
  <c r="HV55" i="88"/>
  <c r="HU55" i="88"/>
  <c r="GJ55" i="88"/>
  <c r="GI55" i="88"/>
  <c r="GH55" i="88"/>
  <c r="GG55" i="88"/>
  <c r="GF55" i="88"/>
  <c r="HY54" i="88"/>
  <c r="HX54" i="88"/>
  <c r="HW54" i="88"/>
  <c r="HV54" i="88"/>
  <c r="HU54" i="88"/>
  <c r="GJ54" i="88"/>
  <c r="GI54" i="88"/>
  <c r="GH54" i="88"/>
  <c r="GG54" i="88"/>
  <c r="GF54" i="88"/>
  <c r="HY53" i="88"/>
  <c r="HX53" i="88"/>
  <c r="HW53" i="88"/>
  <c r="HV53" i="88"/>
  <c r="HU53" i="88"/>
  <c r="GJ53" i="88"/>
  <c r="GI53" i="88"/>
  <c r="GH53" i="88"/>
  <c r="GG53" i="88"/>
  <c r="GF53" i="88"/>
  <c r="HY52" i="88"/>
  <c r="HX52" i="88"/>
  <c r="HW52" i="88"/>
  <c r="HV52" i="88"/>
  <c r="HU52" i="88"/>
  <c r="GJ52" i="88"/>
  <c r="GI52" i="88"/>
  <c r="GH52" i="88"/>
  <c r="GG52" i="88"/>
  <c r="GF52" i="88"/>
  <c r="HY51" i="88"/>
  <c r="HX51" i="88"/>
  <c r="HW51" i="88"/>
  <c r="HV51" i="88"/>
  <c r="HU51" i="88"/>
  <c r="GJ51" i="88"/>
  <c r="GI51" i="88"/>
  <c r="GH51" i="88"/>
  <c r="GG51" i="88"/>
  <c r="GF51" i="88"/>
  <c r="HY50" i="88"/>
  <c r="HX50" i="88"/>
  <c r="HW50" i="88"/>
  <c r="HV50" i="88"/>
  <c r="HU50" i="88"/>
  <c r="GJ50" i="88"/>
  <c r="GI50" i="88"/>
  <c r="GH50" i="88"/>
  <c r="GG50" i="88"/>
  <c r="GF50" i="88"/>
  <c r="HY49" i="88"/>
  <c r="HX49" i="88"/>
  <c r="HW49" i="88"/>
  <c r="HV49" i="88"/>
  <c r="HU49" i="88"/>
  <c r="GJ49" i="88"/>
  <c r="GI49" i="88"/>
  <c r="GH49" i="88"/>
  <c r="GG49" i="88"/>
  <c r="GF49" i="88"/>
  <c r="HY48" i="88"/>
  <c r="HX48" i="88"/>
  <c r="HW48" i="88"/>
  <c r="HV48" i="88"/>
  <c r="HU48" i="88"/>
  <c r="GJ48" i="88"/>
  <c r="GH48" i="88"/>
  <c r="GG48" i="88"/>
  <c r="GF48" i="88"/>
  <c r="AZ48" i="88"/>
  <c r="AZ47" i="88" s="1"/>
  <c r="AZ42" i="88" s="1"/>
  <c r="HW47" i="88"/>
  <c r="HV47" i="88"/>
  <c r="HU47" i="88"/>
  <c r="GH47" i="88"/>
  <c r="GG47" i="88"/>
  <c r="GF47" i="88"/>
  <c r="FF47" i="88"/>
  <c r="FE47" i="88"/>
  <c r="FE42" i="88" s="1"/>
  <c r="FD47" i="88"/>
  <c r="FD42" i="88" s="1"/>
  <c r="FC47" i="88"/>
  <c r="FC42" i="88" s="1"/>
  <c r="FB47" i="88"/>
  <c r="FB42" i="88" s="1"/>
  <c r="FA47" i="88"/>
  <c r="FA42" i="88" s="1"/>
  <c r="EZ47" i="88"/>
  <c r="EZ42" i="88" s="1"/>
  <c r="EY47" i="88"/>
  <c r="EY42" i="88" s="1"/>
  <c r="EX47" i="88"/>
  <c r="EX42" i="88" s="1"/>
  <c r="EW47" i="88"/>
  <c r="EW42" i="88" s="1"/>
  <c r="EV47" i="88"/>
  <c r="EV42" i="88" s="1"/>
  <c r="EU47" i="88"/>
  <c r="EU42" i="88" s="1"/>
  <c r="ET47" i="88"/>
  <c r="ET42" i="88" s="1"/>
  <c r="ES47" i="88"/>
  <c r="ES42" i="88" s="1"/>
  <c r="ER47" i="88"/>
  <c r="ER42" i="88" s="1"/>
  <c r="EQ47" i="88"/>
  <c r="EP47" i="88"/>
  <c r="EP42" i="88" s="1"/>
  <c r="EO47" i="88"/>
  <c r="EO42" i="88" s="1"/>
  <c r="EN47" i="88"/>
  <c r="EM47" i="88"/>
  <c r="EM42" i="88" s="1"/>
  <c r="EL47" i="88"/>
  <c r="EL42" i="88" s="1"/>
  <c r="EK47" i="88"/>
  <c r="EK42" i="88" s="1"/>
  <c r="EJ47" i="88"/>
  <c r="EJ42" i="88" s="1"/>
  <c r="EI47" i="88"/>
  <c r="EI42" i="88" s="1"/>
  <c r="BL47" i="88"/>
  <c r="BL42" i="88" s="1"/>
  <c r="BK47" i="88"/>
  <c r="BK42" i="88" s="1"/>
  <c r="BJ47" i="88"/>
  <c r="BJ42" i="88" s="1"/>
  <c r="BI47" i="88"/>
  <c r="BI42" i="88" s="1"/>
  <c r="BH47" i="88"/>
  <c r="BH42" i="88" s="1"/>
  <c r="BG47" i="88"/>
  <c r="BG42" i="88" s="1"/>
  <c r="BF47" i="88"/>
  <c r="BF42" i="88" s="1"/>
  <c r="BE47" i="88"/>
  <c r="BD47" i="88"/>
  <c r="BD42" i="88" s="1"/>
  <c r="BC47" i="88"/>
  <c r="BB47" i="88"/>
  <c r="BB42" i="88" s="1"/>
  <c r="BA47" i="88"/>
  <c r="BA42" i="88" s="1"/>
  <c r="AY47" i="88"/>
  <c r="AY42" i="88" s="1"/>
  <c r="AX47" i="88"/>
  <c r="AX42" i="88" s="1"/>
  <c r="AW47" i="88"/>
  <c r="AW42" i="88" s="1"/>
  <c r="AV47" i="88"/>
  <c r="AV42" i="88" s="1"/>
  <c r="AU47" i="88"/>
  <c r="AU42" i="88" s="1"/>
  <c r="AT47" i="88"/>
  <c r="AT42" i="88" s="1"/>
  <c r="AS47" i="88"/>
  <c r="AS42" i="88" s="1"/>
  <c r="AR47" i="88"/>
  <c r="AR42" i="88" s="1"/>
  <c r="AQ47" i="88"/>
  <c r="AQ42" i="88" s="1"/>
  <c r="AP47" i="88"/>
  <c r="AO47" i="88"/>
  <c r="HY46" i="88"/>
  <c r="HX46" i="88"/>
  <c r="HW46" i="88"/>
  <c r="HV46" i="88"/>
  <c r="HU46" i="88"/>
  <c r="GJ46" i="88"/>
  <c r="GI46" i="88"/>
  <c r="GH46" i="88"/>
  <c r="GG46" i="88"/>
  <c r="GF46" i="88"/>
  <c r="HY45" i="88"/>
  <c r="HX45" i="88"/>
  <c r="HW45" i="88"/>
  <c r="HV45" i="88"/>
  <c r="HU45" i="88"/>
  <c r="GJ45" i="88"/>
  <c r="GI45" i="88"/>
  <c r="GH45" i="88"/>
  <c r="GG45" i="88"/>
  <c r="GF45" i="88"/>
  <c r="HY44" i="88"/>
  <c r="HX44" i="88"/>
  <c r="HW44" i="88"/>
  <c r="HV44" i="88"/>
  <c r="HU44" i="88"/>
  <c r="GJ44" i="88"/>
  <c r="GI44" i="88"/>
  <c r="GH44" i="88"/>
  <c r="GG44" i="88"/>
  <c r="GF44" i="88"/>
  <c r="HY43" i="88"/>
  <c r="HX43" i="88"/>
  <c r="HW43" i="88"/>
  <c r="HV43" i="88"/>
  <c r="HU43" i="88"/>
  <c r="GJ43" i="88"/>
  <c r="GI43" i="88"/>
  <c r="GH43" i="88"/>
  <c r="GG43" i="88"/>
  <c r="GF43" i="88"/>
  <c r="FF42" i="88"/>
  <c r="EQ42" i="88"/>
  <c r="EN42" i="88"/>
  <c r="BE42" i="88"/>
  <c r="BC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F42" i="88"/>
  <c r="E42" i="88"/>
  <c r="IF41" i="88"/>
  <c r="HI41" i="88"/>
  <c r="HG41" i="88"/>
  <c r="HF41" i="88"/>
  <c r="HE41" i="88"/>
  <c r="GY41" i="88"/>
  <c r="GW41" i="88"/>
  <c r="EH40" i="88"/>
  <c r="EG40" i="88"/>
  <c r="EF40" i="88"/>
  <c r="EE40" i="88"/>
  <c r="ED40" i="88"/>
  <c r="EC40" i="88"/>
  <c r="EB40" i="88"/>
  <c r="EA40" i="88"/>
  <c r="DZ40" i="88"/>
  <c r="DY40" i="88"/>
  <c r="DX40" i="88"/>
  <c r="DW40" i="88"/>
  <c r="IF38" i="88"/>
  <c r="GN38" i="88"/>
  <c r="GM38" i="88"/>
  <c r="HI38" i="88" s="1"/>
  <c r="GL38" i="88"/>
  <c r="HE38" i="88" s="1"/>
  <c r="ID37" i="88"/>
  <c r="IH37" i="88" s="1"/>
  <c r="IC37" i="88"/>
  <c r="IG37" i="88" s="1"/>
  <c r="IB37" i="88"/>
  <c r="IA37" i="88"/>
  <c r="HZ37" i="88"/>
  <c r="HY37" i="88"/>
  <c r="HX37" i="88"/>
  <c r="HW37" i="88"/>
  <c r="HV37" i="88"/>
  <c r="HU37" i="88"/>
  <c r="GN37" i="88"/>
  <c r="GM37" i="88"/>
  <c r="GL37" i="88"/>
  <c r="GK37" i="88"/>
  <c r="GJ37" i="88"/>
  <c r="GI37" i="88"/>
  <c r="GH37" i="88"/>
  <c r="GG37" i="88"/>
  <c r="GF37" i="88"/>
  <c r="DK37" i="88"/>
  <c r="DJ37" i="88"/>
  <c r="IE36" i="88"/>
  <c r="ID36" i="88"/>
  <c r="IH36" i="88" s="1"/>
  <c r="IC36" i="88"/>
  <c r="IG36" i="88" s="1"/>
  <c r="IB36" i="88"/>
  <c r="IA36" i="88"/>
  <c r="HZ36" i="88"/>
  <c r="HY36" i="88"/>
  <c r="HX36" i="88"/>
  <c r="HW36" i="88"/>
  <c r="HV36" i="88"/>
  <c r="HU36" i="88"/>
  <c r="GN36" i="88"/>
  <c r="GM36" i="88"/>
  <c r="GL36" i="88"/>
  <c r="GK36" i="88"/>
  <c r="GJ36" i="88"/>
  <c r="GI36" i="88"/>
  <c r="GH36" i="88"/>
  <c r="GG36" i="88"/>
  <c r="GF36" i="88"/>
  <c r="HY35" i="88"/>
  <c r="HX35" i="88"/>
  <c r="HW35" i="88"/>
  <c r="HV35" i="88"/>
  <c r="HU35" i="88"/>
  <c r="GJ35" i="88"/>
  <c r="GI35" i="88"/>
  <c r="GH35" i="88"/>
  <c r="GG35" i="88"/>
  <c r="GF35" i="88"/>
  <c r="HY34" i="88"/>
  <c r="HX34" i="88"/>
  <c r="HW34" i="88"/>
  <c r="HV34" i="88"/>
  <c r="HU34" i="88"/>
  <c r="GJ34" i="88"/>
  <c r="GI34" i="88"/>
  <c r="GH34" i="88"/>
  <c r="GG34" i="88"/>
  <c r="GF34" i="88"/>
  <c r="HY33" i="88"/>
  <c r="HX33" i="88"/>
  <c r="HW33" i="88"/>
  <c r="HV33" i="88"/>
  <c r="HU33" i="88"/>
  <c r="GJ33" i="88"/>
  <c r="GI33" i="88"/>
  <c r="GH33" i="88"/>
  <c r="GG33" i="88"/>
  <c r="GF33" i="88"/>
  <c r="HY32" i="88"/>
  <c r="HX32" i="88"/>
  <c r="HW32" i="88"/>
  <c r="HV32" i="88"/>
  <c r="HU32" i="88"/>
  <c r="GJ32" i="88"/>
  <c r="GI32" i="88"/>
  <c r="GH32" i="88"/>
  <c r="GG32" i="88"/>
  <c r="GF32" i="88"/>
  <c r="IE31" i="88"/>
  <c r="ID31" i="88"/>
  <c r="IH31" i="88" s="1"/>
  <c r="HW31" i="88"/>
  <c r="HV31" i="88"/>
  <c r="HU31" i="88"/>
  <c r="GN31" i="88"/>
  <c r="GH31" i="88"/>
  <c r="GG31" i="88"/>
  <c r="GF31" i="88"/>
  <c r="BL31" i="88"/>
  <c r="BL21" i="88" s="1"/>
  <c r="BK31" i="88"/>
  <c r="BK21" i="88" s="1"/>
  <c r="BJ31" i="88"/>
  <c r="BJ21" i="88" s="1"/>
  <c r="BI31" i="88"/>
  <c r="BI21" i="88" s="1"/>
  <c r="BH31" i="88"/>
  <c r="BH21" i="88" s="1"/>
  <c r="BG31" i="88"/>
  <c r="BG21" i="88" s="1"/>
  <c r="BF31" i="88"/>
  <c r="BF21" i="88" s="1"/>
  <c r="BE31" i="88"/>
  <c r="BE21" i="88" s="1"/>
  <c r="BD31" i="88"/>
  <c r="BD21" i="88" s="1"/>
  <c r="BC31" i="88"/>
  <c r="BC21" i="88" s="1"/>
  <c r="BB31" i="88"/>
  <c r="BB21" i="88" s="1"/>
  <c r="BA31" i="88"/>
  <c r="BA21" i="88" s="1"/>
  <c r="AZ31" i="88"/>
  <c r="AZ21" i="88" s="1"/>
  <c r="AY31" i="88"/>
  <c r="AY21" i="88" s="1"/>
  <c r="AX31" i="88"/>
  <c r="AX21" i="88" s="1"/>
  <c r="AW31" i="88"/>
  <c r="AW21" i="88" s="1"/>
  <c r="AV31" i="88"/>
  <c r="AV21" i="88" s="1"/>
  <c r="AU31" i="88"/>
  <c r="AU21" i="88" s="1"/>
  <c r="AT31" i="88"/>
  <c r="AT21" i="88" s="1"/>
  <c r="AS31" i="88"/>
  <c r="AS21" i="88" s="1"/>
  <c r="AR31" i="88"/>
  <c r="AR21" i="88" s="1"/>
  <c r="AQ31" i="88"/>
  <c r="AQ21" i="88" s="1"/>
  <c r="AP31" i="88"/>
  <c r="AO31" i="88"/>
  <c r="AO21" i="88" s="1"/>
  <c r="HY30" i="88"/>
  <c r="HX30" i="88"/>
  <c r="HW30" i="88"/>
  <c r="HV30" i="88"/>
  <c r="HU30" i="88"/>
  <c r="GJ30" i="88"/>
  <c r="GI30" i="88"/>
  <c r="GH30" i="88"/>
  <c r="GG30" i="88"/>
  <c r="GF30" i="88"/>
  <c r="HY29" i="88"/>
  <c r="HX29" i="88"/>
  <c r="HW29" i="88"/>
  <c r="HV29" i="88"/>
  <c r="HU29" i="88"/>
  <c r="GJ29" i="88"/>
  <c r="GI29" i="88"/>
  <c r="GH29" i="88"/>
  <c r="GG29" i="88"/>
  <c r="GF29" i="88"/>
  <c r="HY28" i="88"/>
  <c r="HX28" i="88"/>
  <c r="HW28" i="88"/>
  <c r="HV28" i="88"/>
  <c r="HU28" i="88"/>
  <c r="GJ28" i="88"/>
  <c r="GI28" i="88"/>
  <c r="GH28" i="88"/>
  <c r="GG28" i="88"/>
  <c r="GF28" i="88"/>
  <c r="HY27" i="88"/>
  <c r="HX27" i="88"/>
  <c r="HW27" i="88"/>
  <c r="HV27" i="88"/>
  <c r="HU27" i="88"/>
  <c r="GJ27" i="88"/>
  <c r="GI27" i="88"/>
  <c r="GH27" i="88"/>
  <c r="GG27" i="88"/>
  <c r="GF27" i="88"/>
  <c r="HY26" i="88"/>
  <c r="HX26" i="88"/>
  <c r="HW26" i="88"/>
  <c r="HV26" i="88"/>
  <c r="HU26" i="88"/>
  <c r="GJ26" i="88"/>
  <c r="GI26" i="88"/>
  <c r="GH26" i="88"/>
  <c r="GG26" i="88"/>
  <c r="GF26" i="88"/>
  <c r="HY25" i="88"/>
  <c r="HX25" i="88"/>
  <c r="HW25" i="88"/>
  <c r="HV25" i="88"/>
  <c r="HU25" i="88"/>
  <c r="GJ25" i="88"/>
  <c r="GI25" i="88"/>
  <c r="GH25" i="88"/>
  <c r="GG25" i="88"/>
  <c r="GQ25" i="88" s="1"/>
  <c r="GF25" i="88"/>
  <c r="IC25" i="88"/>
  <c r="HY24" i="88"/>
  <c r="HX24" i="88"/>
  <c r="HW24" i="88"/>
  <c r="HV24" i="88"/>
  <c r="HU24" i="88"/>
  <c r="GJ24" i="88"/>
  <c r="GI24" i="88"/>
  <c r="GH24" i="88"/>
  <c r="GG24" i="88"/>
  <c r="GF24" i="88"/>
  <c r="HY23" i="88"/>
  <c r="HX23" i="88"/>
  <c r="HW23" i="88"/>
  <c r="HV23" i="88"/>
  <c r="HU23" i="88"/>
  <c r="GJ23" i="88"/>
  <c r="GI23" i="88"/>
  <c r="GH23" i="88"/>
  <c r="GG23" i="88"/>
  <c r="GF23" i="88"/>
  <c r="HY22" i="88"/>
  <c r="HX22" i="88"/>
  <c r="HW22" i="88"/>
  <c r="HV22" i="88"/>
  <c r="HU22" i="88"/>
  <c r="GJ22" i="88"/>
  <c r="GI22" i="88"/>
  <c r="GH22" i="88"/>
  <c r="GG22" i="88"/>
  <c r="GF22" i="88"/>
  <c r="FF21" i="88"/>
  <c r="FE21" i="88"/>
  <c r="FD21" i="88"/>
  <c r="FC21" i="88"/>
  <c r="FB21" i="88"/>
  <c r="FA21" i="88"/>
  <c r="EZ21" i="88"/>
  <c r="EY21" i="88"/>
  <c r="EX21" i="88"/>
  <c r="EW21" i="88"/>
  <c r="EV21" i="88"/>
  <c r="EU21" i="88"/>
  <c r="ET21" i="88"/>
  <c r="ES21" i="88"/>
  <c r="ER21" i="88"/>
  <c r="EQ21" i="88"/>
  <c r="EP21" i="88"/>
  <c r="EO21" i="88"/>
  <c r="EN21" i="88"/>
  <c r="EM21" i="88"/>
  <c r="EL21" i="88"/>
  <c r="EK21" i="88"/>
  <c r="EJ21" i="88"/>
  <c r="EI21" i="88"/>
  <c r="AN21" i="88"/>
  <c r="AM21" i="88"/>
  <c r="AL21" i="88"/>
  <c r="AK21" i="88"/>
  <c r="AJ21" i="88"/>
  <c r="AI21" i="88"/>
  <c r="AH21" i="88"/>
  <c r="AG21" i="88"/>
  <c r="AF21" i="88"/>
  <c r="AE21" i="88"/>
  <c r="AD21" i="88"/>
  <c r="AC21" i="88"/>
  <c r="AB21" i="88"/>
  <c r="AA21" i="88"/>
  <c r="Z21" i="88"/>
  <c r="Y21" i="88"/>
  <c r="X21" i="88"/>
  <c r="W21" i="88"/>
  <c r="V21" i="88"/>
  <c r="U21" i="88"/>
  <c r="T21" i="88"/>
  <c r="S21" i="88"/>
  <c r="R21" i="88"/>
  <c r="Q21" i="88"/>
  <c r="P21" i="88"/>
  <c r="O21" i="88"/>
  <c r="N21" i="88"/>
  <c r="M21" i="88"/>
  <c r="L21" i="88"/>
  <c r="K21" i="88"/>
  <c r="J21" i="88"/>
  <c r="I21" i="88"/>
  <c r="H21" i="88"/>
  <c r="G21" i="88"/>
  <c r="F21" i="88"/>
  <c r="E21" i="88"/>
  <c r="HI20" i="88"/>
  <c r="HG20" i="88"/>
  <c r="HF20" i="88"/>
  <c r="HE20" i="88"/>
  <c r="GY20" i="88"/>
  <c r="GW20" i="88"/>
  <c r="HY19" i="88"/>
  <c r="HX19" i="88"/>
  <c r="HW19" i="88"/>
  <c r="HV19" i="88"/>
  <c r="HU19" i="88"/>
  <c r="GJ19" i="88"/>
  <c r="GI19" i="88"/>
  <c r="GH19" i="88"/>
  <c r="GG19" i="88"/>
  <c r="GQ19" i="88" s="1"/>
  <c r="GF19" i="88"/>
  <c r="ID18" i="88"/>
  <c r="IH18" i="88" s="1"/>
  <c r="HY18" i="88"/>
  <c r="HX18" i="88"/>
  <c r="HW18" i="88"/>
  <c r="HV18" i="88"/>
  <c r="HU18" i="88"/>
  <c r="GN18" i="88"/>
  <c r="GJ18" i="88"/>
  <c r="GI18" i="88"/>
  <c r="GH18" i="88"/>
  <c r="GG18" i="88"/>
  <c r="GF18" i="88"/>
  <c r="HY17" i="88"/>
  <c r="HX17" i="88"/>
  <c r="HW17" i="88"/>
  <c r="HV17" i="88"/>
  <c r="HU17" i="88"/>
  <c r="GJ17" i="88"/>
  <c r="GI17" i="88"/>
  <c r="GH17" i="88"/>
  <c r="GG17" i="88"/>
  <c r="GF17" i="88"/>
  <c r="HY16" i="88"/>
  <c r="HX16" i="88"/>
  <c r="HW16" i="88"/>
  <c r="HV16" i="88"/>
  <c r="HU16" i="88"/>
  <c r="GJ16" i="88"/>
  <c r="GI16" i="88"/>
  <c r="GH16" i="88"/>
  <c r="GG16" i="88"/>
  <c r="GF16" i="88"/>
  <c r="IE15" i="88"/>
  <c r="ID15" i="88"/>
  <c r="IH15" i="88" s="1"/>
  <c r="HW15" i="88"/>
  <c r="HV15" i="88"/>
  <c r="HU15" i="88"/>
  <c r="GN15" i="88"/>
  <c r="GG15" i="88"/>
  <c r="GF15" i="88"/>
  <c r="BL15" i="88"/>
  <c r="BL14" i="88" s="1"/>
  <c r="BL11" i="88" s="1"/>
  <c r="BK15" i="88"/>
  <c r="BK14" i="88" s="1"/>
  <c r="BK11" i="88" s="1"/>
  <c r="BJ15" i="88"/>
  <c r="BJ14" i="88" s="1"/>
  <c r="BJ11" i="88" s="1"/>
  <c r="BI15" i="88"/>
  <c r="BI14" i="88" s="1"/>
  <c r="BI11" i="88" s="1"/>
  <c r="BH15" i="88"/>
  <c r="BH14" i="88" s="1"/>
  <c r="BH11" i="88" s="1"/>
  <c r="BG15" i="88"/>
  <c r="BG14" i="88" s="1"/>
  <c r="BG11" i="88" s="1"/>
  <c r="BF15" i="88"/>
  <c r="BF14" i="88" s="1"/>
  <c r="BF11" i="88" s="1"/>
  <c r="BE15" i="88"/>
  <c r="BE14" i="88" s="1"/>
  <c r="BE11" i="88" s="1"/>
  <c r="BD15" i="88"/>
  <c r="BD14" i="88" s="1"/>
  <c r="BD11" i="88" s="1"/>
  <c r="BC15" i="88"/>
  <c r="BB15" i="88"/>
  <c r="BB14" i="88" s="1"/>
  <c r="BB11" i="88" s="1"/>
  <c r="BA15" i="88"/>
  <c r="BA14" i="88" s="1"/>
  <c r="BA11" i="88" s="1"/>
  <c r="AO15" i="88"/>
  <c r="GI15" i="88" s="1"/>
  <c r="AN15" i="88"/>
  <c r="AN14" i="88" s="1"/>
  <c r="GH14" i="88" s="1"/>
  <c r="IE14" i="88"/>
  <c r="ID14" i="88"/>
  <c r="IH14" i="88" s="1"/>
  <c r="HW14" i="88"/>
  <c r="HV14" i="88"/>
  <c r="HU14" i="88"/>
  <c r="GN14" i="88"/>
  <c r="GG14" i="88"/>
  <c r="GF14" i="88"/>
  <c r="AZ14" i="88"/>
  <c r="AZ11" i="88" s="1"/>
  <c r="AY14" i="88"/>
  <c r="AY11" i="88" s="1"/>
  <c r="AX14" i="88"/>
  <c r="AX11" i="88" s="1"/>
  <c r="AW14" i="88"/>
  <c r="AW11" i="88" s="1"/>
  <c r="AV14" i="88"/>
  <c r="AV11" i="88" s="1"/>
  <c r="AU14" i="88"/>
  <c r="AU11" i="88" s="1"/>
  <c r="AT14" i="88"/>
  <c r="AT11" i="88" s="1"/>
  <c r="AS14" i="88"/>
  <c r="AS11" i="88" s="1"/>
  <c r="AR14" i="88"/>
  <c r="AR11" i="88" s="1"/>
  <c r="AQ14" i="88"/>
  <c r="AQ11" i="88" s="1"/>
  <c r="AP14" i="88"/>
  <c r="AP11" i="88" s="1"/>
  <c r="IE13" i="88"/>
  <c r="ID13" i="88"/>
  <c r="IH13" i="88" s="1"/>
  <c r="IA13" i="88"/>
  <c r="HZ13" i="88"/>
  <c r="HY13" i="88"/>
  <c r="HX13" i="88"/>
  <c r="HW13" i="88"/>
  <c r="HV13" i="88"/>
  <c r="HU13" i="88"/>
  <c r="GN13" i="88"/>
  <c r="HH13" i="88" s="1"/>
  <c r="GL13" i="88"/>
  <c r="GK13" i="88"/>
  <c r="GJ13" i="88"/>
  <c r="GI13" i="88"/>
  <c r="GH13" i="88"/>
  <c r="GG13" i="88"/>
  <c r="GF13" i="88"/>
  <c r="HY12" i="88"/>
  <c r="HX12" i="88"/>
  <c r="HW12" i="88"/>
  <c r="HV12" i="88"/>
  <c r="HU12" i="88"/>
  <c r="GJ12" i="88"/>
  <c r="GI12" i="88"/>
  <c r="GH12" i="88"/>
  <c r="GG12" i="88"/>
  <c r="GF12" i="88"/>
  <c r="FF12" i="88"/>
  <c r="FF11" i="88" s="1"/>
  <c r="FF39" i="88" s="1"/>
  <c r="FE12" i="88"/>
  <c r="FE11" i="88" s="1"/>
  <c r="FD12" i="88"/>
  <c r="FD11" i="88" s="1"/>
  <c r="FC12" i="88"/>
  <c r="FC11" i="88" s="1"/>
  <c r="FB12" i="88"/>
  <c r="FB11" i="88" s="1"/>
  <c r="FA12" i="88"/>
  <c r="FA11" i="88" s="1"/>
  <c r="EZ12" i="88"/>
  <c r="EZ11" i="88" s="1"/>
  <c r="EZ39" i="88" s="1"/>
  <c r="EY12" i="88"/>
  <c r="EY11" i="88" s="1"/>
  <c r="EX12" i="88"/>
  <c r="EX11" i="88" s="1"/>
  <c r="EW12" i="88"/>
  <c r="EW11" i="88" s="1"/>
  <c r="EV12" i="88"/>
  <c r="EV11" i="88" s="1"/>
  <c r="EU12" i="88"/>
  <c r="EU11" i="88" s="1"/>
  <c r="ET11" i="88"/>
  <c r="ES11" i="88"/>
  <c r="ER11" i="88"/>
  <c r="EQ11" i="88"/>
  <c r="EP11" i="88"/>
  <c r="EO11" i="88"/>
  <c r="EN11" i="88"/>
  <c r="EM11" i="88"/>
  <c r="EL11" i="88"/>
  <c r="EK11" i="88"/>
  <c r="EJ11" i="88"/>
  <c r="EI11" i="88"/>
  <c r="AM11" i="88"/>
  <c r="AL11" i="88"/>
  <c r="AK11" i="88"/>
  <c r="AJ11" i="88"/>
  <c r="AI11" i="88"/>
  <c r="AH11" i="88"/>
  <c r="AG11" i="88"/>
  <c r="AF11" i="88"/>
  <c r="AE11" i="88"/>
  <c r="AD11" i="88"/>
  <c r="AC11" i="88"/>
  <c r="AB11" i="88"/>
  <c r="AA11" i="88"/>
  <c r="Z11" i="88"/>
  <c r="Y11" i="88"/>
  <c r="X11" i="88"/>
  <c r="W11" i="88"/>
  <c r="V11" i="88"/>
  <c r="U11" i="88"/>
  <c r="T11" i="88"/>
  <c r="S11" i="88"/>
  <c r="R11" i="88"/>
  <c r="Q11" i="88"/>
  <c r="P11" i="88"/>
  <c r="O11" i="88"/>
  <c r="N11" i="88"/>
  <c r="M11" i="88"/>
  <c r="L11" i="88"/>
  <c r="K11" i="88"/>
  <c r="J11" i="88"/>
  <c r="I11" i="88"/>
  <c r="H11" i="88"/>
  <c r="G11" i="88"/>
  <c r="F11" i="88"/>
  <c r="E11" i="88"/>
  <c r="JQ5" i="88"/>
  <c r="JR23" i="88" s="1"/>
  <c r="IC5" i="88"/>
  <c r="IG5" i="88" s="1"/>
  <c r="L211" i="3" l="1"/>
  <c r="CM91" i="88"/>
  <c r="DK67" i="88"/>
  <c r="DS67" i="88"/>
  <c r="FL67" i="88"/>
  <c r="FT67" i="88"/>
  <c r="GB67" i="88"/>
  <c r="CT67" i="88"/>
  <c r="DO67" i="88"/>
  <c r="FH67" i="88"/>
  <c r="FP67" i="88"/>
  <c r="FX67" i="88"/>
  <c r="FM91" i="88"/>
  <c r="FU91" i="88"/>
  <c r="BP185" i="88"/>
  <c r="CF185" i="88"/>
  <c r="CN185" i="88"/>
  <c r="CV185" i="88"/>
  <c r="GM185" i="88" s="1"/>
  <c r="CE84" i="88"/>
  <c r="BO117" i="88"/>
  <c r="BW117" i="88"/>
  <c r="CE117" i="88"/>
  <c r="CE116" i="88" s="1"/>
  <c r="CE109" i="88" s="1"/>
  <c r="CM117" i="88"/>
  <c r="CU117" i="88"/>
  <c r="FI91" i="88"/>
  <c r="FQ91" i="88"/>
  <c r="FQ89" i="88" s="1"/>
  <c r="FY91" i="88"/>
  <c r="GC64" i="88"/>
  <c r="FU67" i="88"/>
  <c r="CS67" i="88"/>
  <c r="DP64" i="88"/>
  <c r="FY64" i="88"/>
  <c r="BS200" i="88"/>
  <c r="CA200" i="88"/>
  <c r="CI200" i="88"/>
  <c r="CQ200" i="88"/>
  <c r="FR11" i="88"/>
  <c r="BZ185" i="88"/>
  <c r="CH185" i="88"/>
  <c r="BX67" i="88"/>
  <c r="CF67" i="88"/>
  <c r="CF63" i="88" s="1"/>
  <c r="CN67" i="88"/>
  <c r="CV67" i="88"/>
  <c r="DQ67" i="88"/>
  <c r="FZ67" i="88"/>
  <c r="BR81" i="88"/>
  <c r="CH81" i="88"/>
  <c r="CR171" i="88"/>
  <c r="CR64" i="88"/>
  <c r="DM64" i="88"/>
  <c r="DU64" i="88"/>
  <c r="FN64" i="88"/>
  <c r="FV64" i="88"/>
  <c r="GD64" i="88"/>
  <c r="CQ67" i="88"/>
  <c r="DL67" i="88"/>
  <c r="DT67" i="88"/>
  <c r="DT63" i="88" s="1"/>
  <c r="FM67" i="88"/>
  <c r="GC67" i="88"/>
  <c r="GC63" i="88" s="1"/>
  <c r="BE80" i="88"/>
  <c r="BE77" i="88" s="1"/>
  <c r="GB80" i="88"/>
  <c r="GB77" i="88" s="1"/>
  <c r="FG67" i="88"/>
  <c r="FW84" i="88"/>
  <c r="CI81" i="88"/>
  <c r="GI83" i="88"/>
  <c r="BS185" i="88"/>
  <c r="CA185" i="88"/>
  <c r="CI185" i="88"/>
  <c r="CQ185" i="88"/>
  <c r="IQ197" i="88"/>
  <c r="IY203" i="88"/>
  <c r="AO80" i="88"/>
  <c r="AO77" i="88" s="1"/>
  <c r="AW80" i="88"/>
  <c r="AW77" i="88" s="1"/>
  <c r="IZ175" i="88"/>
  <c r="HH183" i="88"/>
  <c r="DO185" i="88"/>
  <c r="IE185" i="88" s="1"/>
  <c r="CR185" i="88"/>
  <c r="EA160" i="88"/>
  <c r="HF193" i="88"/>
  <c r="IX45" i="88"/>
  <c r="HA152" i="88"/>
  <c r="IR166" i="88"/>
  <c r="HI181" i="88"/>
  <c r="DJ67" i="88"/>
  <c r="DJ63" i="88" s="1"/>
  <c r="DR67" i="88"/>
  <c r="DR63" i="88" s="1"/>
  <c r="FK67" i="88"/>
  <c r="FS67" i="88"/>
  <c r="GA67" i="88"/>
  <c r="BM185" i="88"/>
  <c r="CK185" i="88"/>
  <c r="EP63" i="88"/>
  <c r="EX63" i="88"/>
  <c r="FF63" i="88"/>
  <c r="DN84" i="88"/>
  <c r="FO84" i="88"/>
  <c r="IQ94" i="88"/>
  <c r="BM117" i="88"/>
  <c r="HI157" i="88"/>
  <c r="EI160" i="88"/>
  <c r="EI212" i="88" s="1"/>
  <c r="EQ160" i="88"/>
  <c r="EY160" i="88"/>
  <c r="CG171" i="88"/>
  <c r="BM200" i="88"/>
  <c r="BU200" i="88"/>
  <c r="CC200" i="88"/>
  <c r="CK200" i="88"/>
  <c r="CS200" i="88"/>
  <c r="IU57" i="88"/>
  <c r="DL64" i="88"/>
  <c r="DT64" i="88"/>
  <c r="FM64" i="88"/>
  <c r="FU64" i="88"/>
  <c r="BT67" i="88"/>
  <c r="CB67" i="88"/>
  <c r="CB63" i="88" s="1"/>
  <c r="CJ67" i="88"/>
  <c r="CR67" i="88"/>
  <c r="CR63" i="88" s="1"/>
  <c r="DU67" i="88"/>
  <c r="DU63" i="88" s="1"/>
  <c r="FN67" i="88"/>
  <c r="FV67" i="88"/>
  <c r="GD67" i="88"/>
  <c r="GD63" i="88" s="1"/>
  <c r="EM80" i="88"/>
  <c r="EM77" i="88" s="1"/>
  <c r="EU80" i="88"/>
  <c r="EU77" i="88" s="1"/>
  <c r="FC80" i="88"/>
  <c r="FC77" i="88" s="1"/>
  <c r="FH84" i="88"/>
  <c r="FH80" i="88" s="1"/>
  <c r="FP84" i="88"/>
  <c r="FP80" i="88" s="1"/>
  <c r="FP77" i="88" s="1"/>
  <c r="FX84" i="88"/>
  <c r="CT117" i="88"/>
  <c r="EB160" i="88"/>
  <c r="EZ160" i="88"/>
  <c r="IY165" i="88"/>
  <c r="EA182" i="88"/>
  <c r="EA212" i="88" s="1"/>
  <c r="IX183" i="88"/>
  <c r="DJ11" i="88"/>
  <c r="BO67" i="88"/>
  <c r="BW67" i="88"/>
  <c r="CE67" i="88"/>
  <c r="CE63" i="88" s="1"/>
  <c r="CM67" i="88"/>
  <c r="CU67" i="88"/>
  <c r="AR80" i="88"/>
  <c r="AR77" i="88" s="1"/>
  <c r="BA80" i="88"/>
  <c r="BA77" i="88" s="1"/>
  <c r="BI80" i="88"/>
  <c r="BI77" i="88" s="1"/>
  <c r="CK81" i="88"/>
  <c r="FZ91" i="88"/>
  <c r="CU141" i="88"/>
  <c r="IQ149" i="88"/>
  <c r="BZ150" i="88"/>
  <c r="CH150" i="88"/>
  <c r="HC152" i="88"/>
  <c r="IZ153" i="88"/>
  <c r="HB201" i="88"/>
  <c r="IY202" i="88"/>
  <c r="IZ205" i="88"/>
  <c r="IX206" i="88"/>
  <c r="AS80" i="88"/>
  <c r="AS77" i="88" s="1"/>
  <c r="BJ80" i="88"/>
  <c r="BJ77" i="88" s="1"/>
  <c r="BT137" i="88"/>
  <c r="CB137" i="88"/>
  <c r="HA202" i="88"/>
  <c r="EK279" i="91"/>
  <c r="EN131" i="88"/>
  <c r="EN130" i="88" s="1"/>
  <c r="EN129" i="88" s="1"/>
  <c r="FD131" i="88"/>
  <c r="FD130" i="88" s="1"/>
  <c r="FD129" i="88" s="1"/>
  <c r="IR142" i="88"/>
  <c r="IP134" i="88"/>
  <c r="DW131" i="88"/>
  <c r="DW130" i="88" s="1"/>
  <c r="DW129" i="88" s="1"/>
  <c r="EM131" i="88"/>
  <c r="EM130" i="88" s="1"/>
  <c r="EM129" i="88" s="1"/>
  <c r="FC131" i="88"/>
  <c r="FC130" i="88" s="1"/>
  <c r="FC129" i="88" s="1"/>
  <c r="HE13" i="88"/>
  <c r="BE39" i="88"/>
  <c r="IZ45" i="88"/>
  <c r="FH11" i="88"/>
  <c r="HC29" i="88"/>
  <c r="DO47" i="88"/>
  <c r="JY47" i="88" s="1"/>
  <c r="FH47" i="88"/>
  <c r="FP47" i="88"/>
  <c r="FP42" i="88" s="1"/>
  <c r="FX47" i="88"/>
  <c r="FX42" i="88" s="1"/>
  <c r="JX42" i="88" s="1"/>
  <c r="BM67" i="88"/>
  <c r="CK67" i="88"/>
  <c r="CK63" i="88" s="1"/>
  <c r="DN67" i="88"/>
  <c r="DN63" i="88" s="1"/>
  <c r="FO67" i="88"/>
  <c r="FW67" i="88"/>
  <c r="IQ90" i="88"/>
  <c r="IP115" i="88"/>
  <c r="CN117" i="88"/>
  <c r="CN116" i="88" s="1"/>
  <c r="CN109" i="88" s="1"/>
  <c r="GY157" i="88"/>
  <c r="CG168" i="88"/>
  <c r="AZ84" i="88"/>
  <c r="IX142" i="88"/>
  <c r="FP64" i="88"/>
  <c r="FP63" i="88" s="1"/>
  <c r="BP64" i="88"/>
  <c r="IP145" i="88"/>
  <c r="IR150" i="88"/>
  <c r="IQ153" i="88"/>
  <c r="IX169" i="88"/>
  <c r="CN137" i="88"/>
  <c r="BU150" i="88"/>
  <c r="FR47" i="88"/>
  <c r="HY83" i="88"/>
  <c r="HA94" i="88"/>
  <c r="IZ111" i="88"/>
  <c r="BM133" i="88"/>
  <c r="IY134" i="88"/>
  <c r="HC155" i="88"/>
  <c r="DQ171" i="88"/>
  <c r="FJ171" i="88"/>
  <c r="FZ171" i="88"/>
  <c r="HA55" i="88"/>
  <c r="IP65" i="88"/>
  <c r="DS64" i="88"/>
  <c r="GB64" i="88"/>
  <c r="HA85" i="88"/>
  <c r="CT116" i="88"/>
  <c r="HB124" i="88"/>
  <c r="IR125" i="88"/>
  <c r="BY141" i="88"/>
  <c r="CS168" i="88"/>
  <c r="BS188" i="88"/>
  <c r="CA188" i="88"/>
  <c r="CI188" i="88"/>
  <c r="CQ188" i="88"/>
  <c r="FQ21" i="88"/>
  <c r="AF39" i="88"/>
  <c r="FP11" i="88"/>
  <c r="JX12" i="88"/>
  <c r="AU63" i="88"/>
  <c r="CS171" i="88"/>
  <c r="IV174" i="88"/>
  <c r="AQ39" i="88"/>
  <c r="AY39" i="88"/>
  <c r="FH21" i="88"/>
  <c r="DP21" i="88"/>
  <c r="ID27" i="88"/>
  <c r="IH27" i="88" s="1"/>
  <c r="DK47" i="88"/>
  <c r="DS47" i="88"/>
  <c r="DS42" i="88" s="1"/>
  <c r="FL47" i="88"/>
  <c r="FL42" i="88" s="1"/>
  <c r="FT47" i="88"/>
  <c r="FT42" i="88" s="1"/>
  <c r="GB47" i="88"/>
  <c r="GB42" i="88" s="1"/>
  <c r="IX48" i="88"/>
  <c r="EN63" i="88"/>
  <c r="EV63" i="88"/>
  <c r="FD63" i="88"/>
  <c r="FI64" i="88"/>
  <c r="GQ66" i="88"/>
  <c r="BR67" i="88"/>
  <c r="BR63" i="88" s="1"/>
  <c r="JT63" i="88" s="1"/>
  <c r="BZ67" i="88"/>
  <c r="BY84" i="88"/>
  <c r="DR84" i="88"/>
  <c r="FK84" i="88"/>
  <c r="FK80" i="88" s="1"/>
  <c r="FK77" i="88" s="1"/>
  <c r="FS84" i="88"/>
  <c r="FS80" i="88" s="1"/>
  <c r="FS77" i="88" s="1"/>
  <c r="GA84" i="88"/>
  <c r="GA80" i="88" s="1"/>
  <c r="GA77" i="88" s="1"/>
  <c r="IY111" i="88"/>
  <c r="HB114" i="88"/>
  <c r="IQ132" i="88"/>
  <c r="IX137" i="88"/>
  <c r="GR184" i="88"/>
  <c r="JA192" i="88"/>
  <c r="BS67" i="88"/>
  <c r="CA67" i="88"/>
  <c r="CI67" i="88"/>
  <c r="HB82" i="88"/>
  <c r="JB111" i="88"/>
  <c r="CB150" i="88"/>
  <c r="CR150" i="88"/>
  <c r="HB163" i="88"/>
  <c r="FK91" i="88"/>
  <c r="GA91" i="88"/>
  <c r="GA89" i="88" s="1"/>
  <c r="FT21" i="88"/>
  <c r="AM39" i="88"/>
  <c r="GC21" i="88"/>
  <c r="GS35" i="88"/>
  <c r="HB45" i="88"/>
  <c r="DM47" i="88"/>
  <c r="DM42" i="88" s="1"/>
  <c r="FN47" i="88"/>
  <c r="EI63" i="88"/>
  <c r="EQ63" i="88"/>
  <c r="EY63" i="88"/>
  <c r="FT64" i="88"/>
  <c r="FT63" i="88" s="1"/>
  <c r="GU71" i="88"/>
  <c r="DJ89" i="88"/>
  <c r="HC120" i="88"/>
  <c r="HA142" i="88"/>
  <c r="HB186" i="88"/>
  <c r="IR198" i="88"/>
  <c r="IZ204" i="88"/>
  <c r="GR207" i="88"/>
  <c r="FM63" i="88"/>
  <c r="IX172" i="88"/>
  <c r="IQ199" i="88"/>
  <c r="GQ28" i="88"/>
  <c r="GB11" i="88"/>
  <c r="DQ11" i="88"/>
  <c r="GY38" i="88"/>
  <c r="HG73" i="88"/>
  <c r="IX78" i="88"/>
  <c r="CW231" i="88"/>
  <c r="IY110" i="88"/>
  <c r="HE124" i="88"/>
  <c r="GQ151" i="88"/>
  <c r="HC153" i="88"/>
  <c r="GY159" i="88"/>
  <c r="DW160" i="88"/>
  <c r="DW212" i="88" s="1"/>
  <c r="EE160" i="88"/>
  <c r="EM160" i="88"/>
  <c r="EM212" i="88" s="1"/>
  <c r="EU160" i="88"/>
  <c r="FC160" i="88"/>
  <c r="DP168" i="88"/>
  <c r="FI168" i="88"/>
  <c r="FY168" i="88"/>
  <c r="IX200" i="88"/>
  <c r="IQ206" i="88"/>
  <c r="BY31" i="88"/>
  <c r="BY21" i="88" s="1"/>
  <c r="BO15" i="88"/>
  <c r="IR26" i="88"/>
  <c r="HC28" i="88"/>
  <c r="HC33" i="88"/>
  <c r="DQ47" i="88"/>
  <c r="DQ42" i="88" s="1"/>
  <c r="GT71" i="88"/>
  <c r="DP84" i="88"/>
  <c r="FI84" i="88"/>
  <c r="FQ84" i="88"/>
  <c r="FY84" i="88"/>
  <c r="IQ115" i="88"/>
  <c r="HA147" i="88"/>
  <c r="HB170" i="88"/>
  <c r="BT185" i="88"/>
  <c r="IZ190" i="88"/>
  <c r="JD192" i="88"/>
  <c r="HA199" i="88"/>
  <c r="DU11" i="88"/>
  <c r="HF57" i="88"/>
  <c r="HB58" i="88"/>
  <c r="HA64" i="88"/>
  <c r="FH64" i="88"/>
  <c r="FG64" i="88"/>
  <c r="GQ79" i="88"/>
  <c r="BP84" i="88"/>
  <c r="HB86" i="88"/>
  <c r="BT168" i="88"/>
  <c r="BO171" i="88"/>
  <c r="BW171" i="88"/>
  <c r="CE171" i="88"/>
  <c r="CM171" i="88"/>
  <c r="CU171" i="88"/>
  <c r="BQ188" i="88"/>
  <c r="BY188" i="88"/>
  <c r="CG188" i="88"/>
  <c r="CO188" i="88"/>
  <c r="CB200" i="88"/>
  <c r="CR200" i="88"/>
  <c r="FT11" i="88"/>
  <c r="IE16" i="88"/>
  <c r="Z39" i="88"/>
  <c r="AR39" i="88"/>
  <c r="AR60" i="88" s="1"/>
  <c r="BV15" i="88"/>
  <c r="BV14" i="88" s="1"/>
  <c r="BV11" i="88" s="1"/>
  <c r="CT15" i="88"/>
  <c r="CT14" i="88" s="1"/>
  <c r="CT11" i="88" s="1"/>
  <c r="FX11" i="88"/>
  <c r="ID29" i="88"/>
  <c r="IH29" i="88" s="1"/>
  <c r="CE31" i="88"/>
  <c r="CE21" i="88" s="1"/>
  <c r="ID46" i="88"/>
  <c r="IH46" i="88" s="1"/>
  <c r="IZ46" i="88"/>
  <c r="IZ52" i="88"/>
  <c r="IE53" i="88"/>
  <c r="AZ64" i="88"/>
  <c r="AZ63" i="88" s="1"/>
  <c r="CG64" i="88"/>
  <c r="BX63" i="88"/>
  <c r="BF80" i="88"/>
  <c r="BF77" i="88" s="1"/>
  <c r="IQ82" i="88"/>
  <c r="ID83" i="88"/>
  <c r="IH83" i="88" s="1"/>
  <c r="BO84" i="88"/>
  <c r="BW84" i="88"/>
  <c r="DM84" i="88"/>
  <c r="DU84" i="88"/>
  <c r="FN84" i="88"/>
  <c r="FV84" i="88"/>
  <c r="GD84" i="88"/>
  <c r="BN141" i="88"/>
  <c r="BV141" i="88"/>
  <c r="CL141" i="88"/>
  <c r="CT141" i="88"/>
  <c r="IZ168" i="88"/>
  <c r="DL175" i="88"/>
  <c r="FU175" i="88"/>
  <c r="GC175" i="88"/>
  <c r="HC203" i="88"/>
  <c r="IQ204" i="88"/>
  <c r="IY205" i="88"/>
  <c r="IV207" i="88"/>
  <c r="GV208" i="88"/>
  <c r="J39" i="88"/>
  <c r="EO39" i="88"/>
  <c r="BN15" i="88"/>
  <c r="BN14" i="88" s="1"/>
  <c r="CD15" i="88"/>
  <c r="CD14" i="88" s="1"/>
  <c r="CD11" i="88" s="1"/>
  <c r="JU11" i="88" s="1"/>
  <c r="HB24" i="88"/>
  <c r="EP39" i="88"/>
  <c r="BW15" i="88"/>
  <c r="BW14" i="88" s="1"/>
  <c r="BW11" i="88" s="1"/>
  <c r="CE15" i="88"/>
  <c r="CE14" i="88" s="1"/>
  <c r="CE11" i="88" s="1"/>
  <c r="CM15" i="88"/>
  <c r="CU15" i="88"/>
  <c r="FY11" i="88"/>
  <c r="JO19" i="88"/>
  <c r="EI39" i="88"/>
  <c r="EQ39" i="88"/>
  <c r="FN11" i="88"/>
  <c r="FV11" i="88"/>
  <c r="GD11" i="88"/>
  <c r="JB13" i="88"/>
  <c r="FJ11" i="88"/>
  <c r="FZ11" i="88"/>
  <c r="HB16" i="88"/>
  <c r="DO11" i="88"/>
  <c r="JY11" i="88" s="1"/>
  <c r="DO21" i="88"/>
  <c r="FP21" i="88"/>
  <c r="ER39" i="88"/>
  <c r="FO11" i="88"/>
  <c r="ID17" i="88"/>
  <c r="IH17" i="88" s="1"/>
  <c r="HC19" i="88"/>
  <c r="FY21" i="88"/>
  <c r="HB25" i="88"/>
  <c r="FI21" i="88"/>
  <c r="IP36" i="88"/>
  <c r="IR37" i="88"/>
  <c r="GW38" i="88"/>
  <c r="FN42" i="88"/>
  <c r="IE54" i="88"/>
  <c r="GR55" i="88"/>
  <c r="BZ64" i="88"/>
  <c r="CH64" i="88"/>
  <c r="CP64" i="88"/>
  <c r="JV64" i="88" s="1"/>
  <c r="ID69" i="88"/>
  <c r="IH69" i="88" s="1"/>
  <c r="EV80" i="88"/>
  <c r="EV77" i="88" s="1"/>
  <c r="CV84" i="88"/>
  <c r="AZ91" i="88"/>
  <c r="FI89" i="88"/>
  <c r="FJ91" i="88"/>
  <c r="FR91" i="88"/>
  <c r="FR89" i="88" s="1"/>
  <c r="HA114" i="88"/>
  <c r="IP131" i="88"/>
  <c r="CM137" i="88"/>
  <c r="IP147" i="88"/>
  <c r="GS198" i="88"/>
  <c r="GQ204" i="88"/>
  <c r="DJ47" i="88"/>
  <c r="DJ42" i="88" s="1"/>
  <c r="FK47" i="88"/>
  <c r="FK42" i="88" s="1"/>
  <c r="GA47" i="88"/>
  <c r="GA42" i="88" s="1"/>
  <c r="EW63" i="88"/>
  <c r="FE63" i="88"/>
  <c r="GR26" i="88"/>
  <c r="GQ30" i="88"/>
  <c r="IZ36" i="88"/>
  <c r="JC37" i="88"/>
  <c r="FJ47" i="88"/>
  <c r="FJ42" i="88" s="1"/>
  <c r="FZ47" i="88"/>
  <c r="HD57" i="88"/>
  <c r="AS63" i="88"/>
  <c r="HC69" i="88"/>
  <c r="DM89" i="88"/>
  <c r="GQ115" i="88"/>
  <c r="IY147" i="88"/>
  <c r="HA149" i="88"/>
  <c r="GQ153" i="88"/>
  <c r="GQ155" i="88"/>
  <c r="HA175" i="88"/>
  <c r="IX184" i="88"/>
  <c r="HC186" i="88"/>
  <c r="HB190" i="88"/>
  <c r="IX203" i="88"/>
  <c r="HF209" i="88"/>
  <c r="HC26" i="88"/>
  <c r="HA27" i="88"/>
  <c r="GN29" i="88"/>
  <c r="DL63" i="88"/>
  <c r="IX71" i="88"/>
  <c r="IV71" i="88"/>
  <c r="GS82" i="88"/>
  <c r="IX84" i="88"/>
  <c r="FT80" i="88"/>
  <c r="FT77" i="88" s="1"/>
  <c r="FH89" i="88"/>
  <c r="DP89" i="88"/>
  <c r="FL91" i="88"/>
  <c r="FL89" i="88" s="1"/>
  <c r="GT111" i="88"/>
  <c r="HA113" i="88"/>
  <c r="HC122" i="88"/>
  <c r="IP124" i="88"/>
  <c r="HG149" i="88"/>
  <c r="GS150" i="88"/>
  <c r="IR151" i="88"/>
  <c r="BO168" i="88"/>
  <c r="CU168" i="88"/>
  <c r="BP171" i="88"/>
  <c r="BX171" i="88"/>
  <c r="GK171" i="88" s="1"/>
  <c r="CF171" i="88"/>
  <c r="CN171" i="88"/>
  <c r="CV171" i="88"/>
  <c r="FM171" i="88"/>
  <c r="FU171" i="88"/>
  <c r="GC171" i="88"/>
  <c r="BN175" i="88"/>
  <c r="BV175" i="88"/>
  <c r="CL175" i="88"/>
  <c r="CT175" i="88"/>
  <c r="BT188" i="88"/>
  <c r="HG192" i="88"/>
  <c r="GY193" i="88"/>
  <c r="CW228" i="88"/>
  <c r="HC199" i="88"/>
  <c r="IX29" i="88"/>
  <c r="ID34" i="88"/>
  <c r="IH34" i="88" s="1"/>
  <c r="GR34" i="88"/>
  <c r="IR35" i="88"/>
  <c r="JB36" i="88"/>
  <c r="IX46" i="88"/>
  <c r="GQ54" i="88"/>
  <c r="EJ63" i="88"/>
  <c r="IE69" i="88"/>
  <c r="GJ78" i="88"/>
  <c r="IP83" i="88"/>
  <c r="FV89" i="88"/>
  <c r="DR89" i="88"/>
  <c r="GQ131" i="88"/>
  <c r="IP137" i="88"/>
  <c r="K253" i="3"/>
  <c r="K257" i="3" s="1"/>
  <c r="FN150" i="88"/>
  <c r="FV150" i="88"/>
  <c r="BU168" i="88"/>
  <c r="CC168" i="88"/>
  <c r="CK168" i="88"/>
  <c r="GD168" i="88"/>
  <c r="FV171" i="88"/>
  <c r="IR184" i="88"/>
  <c r="HI193" i="88"/>
  <c r="IU202" i="88"/>
  <c r="HC202" i="88"/>
  <c r="GN27" i="88"/>
  <c r="DN47" i="88"/>
  <c r="DN42" i="88" s="1"/>
  <c r="ID55" i="88"/>
  <c r="IH55" i="88" s="1"/>
  <c r="FO47" i="88"/>
  <c r="FW47" i="88"/>
  <c r="FW42" i="88" s="1"/>
  <c r="BB80" i="88"/>
  <c r="BB77" i="88" s="1"/>
  <c r="DU89" i="88"/>
  <c r="IX168" i="88"/>
  <c r="BQ168" i="88"/>
  <c r="BY168" i="88"/>
  <c r="CO168" i="88"/>
  <c r="GT176" i="88"/>
  <c r="BU185" i="88"/>
  <c r="CC185" i="88"/>
  <c r="HB187" i="88"/>
  <c r="BL188" i="88"/>
  <c r="GJ188" i="88" s="1"/>
  <c r="GQ188" i="88"/>
  <c r="IR189" i="88"/>
  <c r="DR188" i="88"/>
  <c r="FS188" i="88"/>
  <c r="HA192" i="88"/>
  <c r="IQ198" i="88"/>
  <c r="IY201" i="88"/>
  <c r="GQ203" i="88"/>
  <c r="DN11" i="88"/>
  <c r="DM11" i="88"/>
  <c r="EX39" i="88"/>
  <c r="CL15" i="88"/>
  <c r="CL14" i="88" s="1"/>
  <c r="ID28" i="88"/>
  <c r="IH28" i="88" s="1"/>
  <c r="FZ21" i="88"/>
  <c r="GR28" i="88"/>
  <c r="IQ29" i="88"/>
  <c r="BV31" i="88"/>
  <c r="BV21" i="88" s="1"/>
  <c r="CL31" i="88"/>
  <c r="CL21" i="88" s="1"/>
  <c r="IE43" i="88"/>
  <c r="GR50" i="88"/>
  <c r="HB54" i="88"/>
  <c r="DU47" i="88"/>
  <c r="DU42" i="88" s="1"/>
  <c r="FV47" i="88"/>
  <c r="FV42" i="88" s="1"/>
  <c r="AQ63" i="88"/>
  <c r="AY63" i="88"/>
  <c r="CF64" i="88"/>
  <c r="CN64" i="88"/>
  <c r="FQ64" i="88"/>
  <c r="EL80" i="88"/>
  <c r="EL77" i="88" s="1"/>
  <c r="FB80" i="88"/>
  <c r="FB77" i="88" s="1"/>
  <c r="ID86" i="88"/>
  <c r="IH86" i="88" s="1"/>
  <c r="IQ86" i="88"/>
  <c r="IX122" i="88"/>
  <c r="HB125" i="88"/>
  <c r="HC135" i="88"/>
  <c r="BU141" i="88"/>
  <c r="CS141" i="88"/>
  <c r="IX150" i="88"/>
  <c r="IZ154" i="88"/>
  <c r="HB156" i="88"/>
  <c r="CI171" i="88"/>
  <c r="CQ171" i="88"/>
  <c r="IQ207" i="88"/>
  <c r="FS11" i="88"/>
  <c r="GN12" i="88"/>
  <c r="GM113" i="88"/>
  <c r="K191" i="3" s="1"/>
  <c r="K211" i="3" s="1"/>
  <c r="HF192" i="88"/>
  <c r="K322" i="3"/>
  <c r="L195" i="3"/>
  <c r="IE123" i="88"/>
  <c r="IE114" i="88"/>
  <c r="JD114" i="88" s="1"/>
  <c r="L197" i="3"/>
  <c r="L192" i="3"/>
  <c r="K267" i="3"/>
  <c r="K239" i="3"/>
  <c r="L239" i="3"/>
  <c r="L267" i="3"/>
  <c r="L241" i="3"/>
  <c r="K271" i="3"/>
  <c r="K243" i="3"/>
  <c r="L271" i="3"/>
  <c r="L243" i="3"/>
  <c r="K272" i="3"/>
  <c r="K244" i="3"/>
  <c r="L272" i="3"/>
  <c r="L244" i="3"/>
  <c r="K100" i="1"/>
  <c r="L253" i="3"/>
  <c r="L257" i="3" s="1"/>
  <c r="GY155" i="88"/>
  <c r="L318" i="3"/>
  <c r="L215" i="3"/>
  <c r="K223" i="3"/>
  <c r="L329" i="3"/>
  <c r="GY204" i="88"/>
  <c r="GR93" i="88"/>
  <c r="IR94" i="88"/>
  <c r="HC92" i="88"/>
  <c r="CE91" i="88"/>
  <c r="CU91" i="88"/>
  <c r="HC93" i="88"/>
  <c r="IR93" i="88"/>
  <c r="CL161" i="88"/>
  <c r="IZ161" i="88"/>
  <c r="IR160" i="88"/>
  <c r="EL160" i="88"/>
  <c r="EL194" i="88" s="1"/>
  <c r="EL210" i="88" s="1"/>
  <c r="GQ160" i="88"/>
  <c r="GS163" i="88"/>
  <c r="HZ164" i="88"/>
  <c r="JA164" i="88" s="1"/>
  <c r="EJ160" i="88"/>
  <c r="EJ212" i="88" s="1"/>
  <c r="ER160" i="88"/>
  <c r="ER212" i="88" s="1"/>
  <c r="EZ212" i="88"/>
  <c r="GR162" i="88"/>
  <c r="IS118" i="88"/>
  <c r="IQ117" i="88"/>
  <c r="IU119" i="88"/>
  <c r="FL117" i="88"/>
  <c r="FL116" i="88" s="1"/>
  <c r="ID116" i="88" s="1"/>
  <c r="IH116" i="88" s="1"/>
  <c r="IX117" i="88"/>
  <c r="HA131" i="88"/>
  <c r="IP141" i="88"/>
  <c r="IP143" i="88"/>
  <c r="DY131" i="88"/>
  <c r="DY130" i="88" s="1"/>
  <c r="DY129" i="88" s="1"/>
  <c r="EG131" i="88"/>
  <c r="EG130" i="88" s="1"/>
  <c r="EG129" i="88" s="1"/>
  <c r="EO131" i="88"/>
  <c r="EO130" i="88" s="1"/>
  <c r="EO129" i="88" s="1"/>
  <c r="EW131" i="88"/>
  <c r="EW130" i="88" s="1"/>
  <c r="EW129" i="88" s="1"/>
  <c r="FE131" i="88"/>
  <c r="FE130" i="88" s="1"/>
  <c r="FE129" i="88" s="1"/>
  <c r="FE158" i="88" s="1"/>
  <c r="IQ129" i="88"/>
  <c r="FC212" i="88"/>
  <c r="AZ131" i="88"/>
  <c r="AZ130" i="88" s="1"/>
  <c r="IQ131" i="88"/>
  <c r="CF141" i="88"/>
  <c r="IP139" i="88"/>
  <c r="IP140" i="88"/>
  <c r="IQ140" i="88"/>
  <c r="HH140" i="88"/>
  <c r="HH136" i="88"/>
  <c r="IP135" i="88"/>
  <c r="EC131" i="88"/>
  <c r="EC130" i="88" s="1"/>
  <c r="EC129" i="88" s="1"/>
  <c r="ED131" i="88"/>
  <c r="ED130" i="88" s="1"/>
  <c r="ED129" i="88" s="1"/>
  <c r="GR136" i="88"/>
  <c r="EE131" i="88"/>
  <c r="EE130" i="88" s="1"/>
  <c r="EE129" i="88" s="1"/>
  <c r="EU131" i="88"/>
  <c r="EU130" i="88" s="1"/>
  <c r="EU129" i="88" s="1"/>
  <c r="EU158" i="88" s="1"/>
  <c r="HH138" i="88"/>
  <c r="GU144" i="88"/>
  <c r="HA148" i="88"/>
  <c r="CC141" i="88"/>
  <c r="CK141" i="88"/>
  <c r="FY141" i="88"/>
  <c r="FY131" i="88" s="1"/>
  <c r="FY130" i="88" s="1"/>
  <c r="HB148" i="88"/>
  <c r="IK139" i="88"/>
  <c r="GR143" i="88"/>
  <c r="CR137" i="88"/>
  <c r="EK131" i="88"/>
  <c r="EK130" i="88" s="1"/>
  <c r="EK129" i="88" s="1"/>
  <c r="ES131" i="88"/>
  <c r="ES130" i="88" s="1"/>
  <c r="ES129" i="88" s="1"/>
  <c r="FA131" i="88"/>
  <c r="FA130" i="88" s="1"/>
  <c r="FA129" i="88" s="1"/>
  <c r="IX134" i="88"/>
  <c r="IQ138" i="88"/>
  <c r="CF133" i="88"/>
  <c r="CN133" i="88"/>
  <c r="GT140" i="88"/>
  <c r="BZ141" i="88"/>
  <c r="CH141" i="88"/>
  <c r="DM141" i="88"/>
  <c r="FN141" i="88"/>
  <c r="FV141" i="88"/>
  <c r="FV131" i="88" s="1"/>
  <c r="FV130" i="88" s="1"/>
  <c r="GD141" i="88"/>
  <c r="EL131" i="88"/>
  <c r="EL130" i="88" s="1"/>
  <c r="EL129" i="88" s="1"/>
  <c r="EL158" i="88" s="1"/>
  <c r="ET131" i="88"/>
  <c r="ET130" i="88" s="1"/>
  <c r="ET129" i="88" s="1"/>
  <c r="HA137" i="88"/>
  <c r="IR139" i="88"/>
  <c r="CO137" i="88"/>
  <c r="GQ140" i="88"/>
  <c r="FM161" i="88"/>
  <c r="FM160" i="88" s="1"/>
  <c r="BO137" i="88"/>
  <c r="BW137" i="88"/>
  <c r="CE137" i="88"/>
  <c r="CU137" i="88"/>
  <c r="FR150" i="88"/>
  <c r="GN150" i="88" s="1"/>
  <c r="GX150" i="88" s="1"/>
  <c r="BN11" i="88"/>
  <c r="CU14" i="88"/>
  <c r="CU11" i="88" s="1"/>
  <c r="ID19" i="88"/>
  <c r="IH19" i="88" s="1"/>
  <c r="GN28" i="88"/>
  <c r="IY32" i="88"/>
  <c r="ID33" i="88"/>
  <c r="IH33" i="88" s="1"/>
  <c r="DL47" i="88"/>
  <c r="DT47" i="88"/>
  <c r="DT42" i="88" s="1"/>
  <c r="FM47" i="88"/>
  <c r="FU47" i="88"/>
  <c r="GC47" i="88"/>
  <c r="IX49" i="88"/>
  <c r="GD47" i="88"/>
  <c r="GD42" i="88" s="1"/>
  <c r="IR65" i="88"/>
  <c r="FR67" i="88"/>
  <c r="BW81" i="88"/>
  <c r="IQ87" i="88"/>
  <c r="BV91" i="88"/>
  <c r="FJ21" i="88"/>
  <c r="DQ21" i="88"/>
  <c r="FR21" i="88"/>
  <c r="IQ28" i="88"/>
  <c r="IQ43" i="88"/>
  <c r="IX44" i="88"/>
  <c r="FG47" i="88"/>
  <c r="ID49" i="88"/>
  <c r="IH49" i="88" s="1"/>
  <c r="DO64" i="88"/>
  <c r="FX64" i="88"/>
  <c r="JX64" i="88" s="1"/>
  <c r="FG84" i="88"/>
  <c r="IB85" i="88"/>
  <c r="JD85" i="88" s="1"/>
  <c r="DO84" i="88"/>
  <c r="JY84" i="88" s="1"/>
  <c r="DL91" i="88"/>
  <c r="DL89" i="88" s="1"/>
  <c r="CV91" i="88"/>
  <c r="DK91" i="88"/>
  <c r="FT91" i="88"/>
  <c r="FT89" i="88" s="1"/>
  <c r="GB91" i="88"/>
  <c r="GB89" i="88" s="1"/>
  <c r="IX95" i="88"/>
  <c r="DP116" i="88"/>
  <c r="GV119" i="88"/>
  <c r="IT127" i="88"/>
  <c r="DP131" i="88"/>
  <c r="DP130" i="88" s="1"/>
  <c r="CA133" i="88"/>
  <c r="BY137" i="88"/>
  <c r="BP137" i="88"/>
  <c r="CF137" i="88"/>
  <c r="BP141" i="88"/>
  <c r="CN141" i="88"/>
  <c r="DK141" i="88"/>
  <c r="DS141" i="88"/>
  <c r="FT141" i="88"/>
  <c r="FT131" i="88" s="1"/>
  <c r="FT130" i="88" s="1"/>
  <c r="FT129" i="88" s="1"/>
  <c r="GB141" i="88"/>
  <c r="GB131" i="88" s="1"/>
  <c r="GB130" i="88" s="1"/>
  <c r="IJ149" i="88"/>
  <c r="BQ150" i="88"/>
  <c r="BY150" i="88"/>
  <c r="CG150" i="88"/>
  <c r="CO150" i="88"/>
  <c r="DL150" i="88"/>
  <c r="DL129" i="88" s="1"/>
  <c r="DT150" i="88"/>
  <c r="FM150" i="88"/>
  <c r="FU150" i="88"/>
  <c r="GC150" i="88"/>
  <c r="GB150" i="88"/>
  <c r="IR154" i="88"/>
  <c r="BS161" i="88"/>
  <c r="CA161" i="88"/>
  <c r="CQ161" i="88"/>
  <c r="FG161" i="88"/>
  <c r="FO161" i="88"/>
  <c r="FW161" i="88"/>
  <c r="DU168" i="88"/>
  <c r="L218" i="3" s="1"/>
  <c r="CJ168" i="88"/>
  <c r="GL168" i="88" s="1"/>
  <c r="CR168" i="88"/>
  <c r="DO168" i="88"/>
  <c r="IE168" i="88" s="1"/>
  <c r="FX168" i="88"/>
  <c r="BQ171" i="88"/>
  <c r="BY171" i="88"/>
  <c r="CO171" i="88"/>
  <c r="DT171" i="88"/>
  <c r="DJ175" i="88"/>
  <c r="GX197" i="88"/>
  <c r="DR11" i="88"/>
  <c r="FG11" i="88"/>
  <c r="FW11" i="88"/>
  <c r="IX28" i="88"/>
  <c r="GN30" i="88"/>
  <c r="IQ33" i="88"/>
  <c r="GN44" i="88"/>
  <c r="DN64" i="88"/>
  <c r="ID65" i="88"/>
  <c r="IH65" i="88" s="1"/>
  <c r="FO64" i="88"/>
  <c r="FW64" i="88"/>
  <c r="IZ66" i="88"/>
  <c r="FJ67" i="88"/>
  <c r="BO81" i="88"/>
  <c r="BO80" i="88" s="1"/>
  <c r="BO77" i="88" s="1"/>
  <c r="CE81" i="88"/>
  <c r="CE80" i="88" s="1"/>
  <c r="CM81" i="88"/>
  <c r="CU81" i="88"/>
  <c r="IX83" i="88"/>
  <c r="IR86" i="88"/>
  <c r="FI116" i="88"/>
  <c r="ID12" i="88"/>
  <c r="IH12" i="88" s="1"/>
  <c r="DS11" i="88"/>
  <c r="DR21" i="88"/>
  <c r="FK21" i="88"/>
  <c r="GA21" i="88"/>
  <c r="ID52" i="88"/>
  <c r="IH52" i="88" s="1"/>
  <c r="IQ54" i="88"/>
  <c r="BU64" i="88"/>
  <c r="CC64" i="88"/>
  <c r="CK64" i="88"/>
  <c r="CS63" i="88"/>
  <c r="FJ64" i="88"/>
  <c r="FR64" i="88"/>
  <c r="FZ64" i="88"/>
  <c r="CN63" i="88"/>
  <c r="DK63" i="88"/>
  <c r="DS77" i="88"/>
  <c r="GN78" i="88"/>
  <c r="BV81" i="88"/>
  <c r="CT81" i="88"/>
  <c r="DQ84" i="88"/>
  <c r="DQ77" i="88" s="1"/>
  <c r="FJ84" i="88"/>
  <c r="FR84" i="88"/>
  <c r="FR80" i="88" s="1"/>
  <c r="FR77" i="88" s="1"/>
  <c r="FZ84" i="88"/>
  <c r="FZ80" i="88" s="1"/>
  <c r="FZ77" i="88" s="1"/>
  <c r="IP92" i="88"/>
  <c r="DQ131" i="88"/>
  <c r="DQ130" i="88" s="1"/>
  <c r="BU133" i="88"/>
  <c r="CC133" i="88"/>
  <c r="CK133" i="88"/>
  <c r="CS133" i="88"/>
  <c r="HE135" i="88"/>
  <c r="IR136" i="88"/>
  <c r="IR138" i="88"/>
  <c r="BQ137" i="88"/>
  <c r="CG137" i="88"/>
  <c r="BQ141" i="88"/>
  <c r="CG141" i="88"/>
  <c r="CO141" i="88"/>
  <c r="BO141" i="88"/>
  <c r="GA141" i="88"/>
  <c r="JB146" i="88"/>
  <c r="HG146" i="88"/>
  <c r="GY147" i="88"/>
  <c r="CP150" i="88"/>
  <c r="IB150" i="88" s="1"/>
  <c r="DM150" i="88"/>
  <c r="BT161" i="88"/>
  <c r="CB161" i="88"/>
  <c r="CR161" i="88"/>
  <c r="BR168" i="88"/>
  <c r="HZ168" i="88" s="1"/>
  <c r="JA168" i="88" s="1"/>
  <c r="BN168" i="88"/>
  <c r="BV168" i="88"/>
  <c r="CL168" i="88"/>
  <c r="CT168" i="88"/>
  <c r="DQ168" i="88"/>
  <c r="FJ168" i="88"/>
  <c r="FZ168" i="88"/>
  <c r="FN171" i="88"/>
  <c r="GD171" i="88"/>
  <c r="BP175" i="88"/>
  <c r="CF175" i="88"/>
  <c r="CN175" i="88"/>
  <c r="CV175" i="88"/>
  <c r="GM175" i="88" s="1"/>
  <c r="K221" i="3" s="1"/>
  <c r="DK175" i="88"/>
  <c r="DS175" i="88"/>
  <c r="FT175" i="88"/>
  <c r="GB175" i="88"/>
  <c r="IR176" i="88"/>
  <c r="IS177" i="88"/>
  <c r="HF190" i="88"/>
  <c r="GX198" i="88"/>
  <c r="DN21" i="88"/>
  <c r="FU89" i="88"/>
  <c r="GB21" i="88"/>
  <c r="GB39" i="88" s="1"/>
  <c r="FX21" i="88"/>
  <c r="JX21" i="88" s="1"/>
  <c r="ID35" i="88"/>
  <c r="IH35" i="88" s="1"/>
  <c r="DP47" i="88"/>
  <c r="DP42" i="88" s="1"/>
  <c r="FI47" i="88"/>
  <c r="FI42" i="88" s="1"/>
  <c r="FQ47" i="88"/>
  <c r="FQ42" i="88" s="1"/>
  <c r="FY47" i="88"/>
  <c r="FY42" i="88" s="1"/>
  <c r="FM80" i="88"/>
  <c r="FM77" i="88" s="1"/>
  <c r="FV109" i="88"/>
  <c r="BS137" i="88"/>
  <c r="CA137" i="88"/>
  <c r="CI137" i="88"/>
  <c r="CQ137" i="88"/>
  <c r="HD138" i="88"/>
  <c r="BM161" i="88"/>
  <c r="BM224" i="88" s="1"/>
  <c r="BU161" i="88"/>
  <c r="CC161" i="88"/>
  <c r="CK161" i="88"/>
  <c r="CS161" i="88"/>
  <c r="FI161" i="88"/>
  <c r="FI160" i="88" s="1"/>
  <c r="FQ161" i="88"/>
  <c r="FY161" i="88"/>
  <c r="CM175" i="88"/>
  <c r="JA191" i="88"/>
  <c r="CL11" i="88"/>
  <c r="DK42" i="88"/>
  <c r="IE35" i="88"/>
  <c r="ID45" i="88"/>
  <c r="IH45" i="88" s="1"/>
  <c r="ID48" i="88"/>
  <c r="IH48" i="88" s="1"/>
  <c r="GA11" i="88"/>
  <c r="GA39" i="88" s="1"/>
  <c r="BO14" i="88"/>
  <c r="ID26" i="88"/>
  <c r="IH26" i="88" s="1"/>
  <c r="GN26" i="88"/>
  <c r="GX26" i="88" s="1"/>
  <c r="BW64" i="88"/>
  <c r="FK64" i="88"/>
  <c r="GA64" i="88"/>
  <c r="L93" i="3"/>
  <c r="BS81" i="88"/>
  <c r="DL77" i="88"/>
  <c r="CN84" i="88"/>
  <c r="CP91" i="88"/>
  <c r="JV91" i="88" s="1"/>
  <c r="FN91" i="88"/>
  <c r="FN89" i="88" s="1"/>
  <c r="GC91" i="88"/>
  <c r="ID100" i="88"/>
  <c r="IH100" i="88" s="1"/>
  <c r="CU133" i="88"/>
  <c r="DM131" i="88"/>
  <c r="DM130" i="88" s="1"/>
  <c r="GV145" i="88"/>
  <c r="IZ150" i="88"/>
  <c r="BS150" i="88"/>
  <c r="CA150" i="88"/>
  <c r="CI150" i="88"/>
  <c r="CQ150" i="88"/>
  <c r="DN150" i="88"/>
  <c r="FG150" i="88"/>
  <c r="FO150" i="88"/>
  <c r="IZ166" i="88"/>
  <c r="BT171" i="88"/>
  <c r="CB171" i="88"/>
  <c r="CJ171" i="88"/>
  <c r="GL171" i="88" s="1"/>
  <c r="FH171" i="88"/>
  <c r="FX171" i="88"/>
  <c r="GY180" i="88"/>
  <c r="GV184" i="88"/>
  <c r="GX205" i="88"/>
  <c r="FY67" i="88"/>
  <c r="FY63" i="88" s="1"/>
  <c r="FK11" i="88"/>
  <c r="IA22" i="88"/>
  <c r="IC22" i="88"/>
  <c r="IG22" i="88" s="1"/>
  <c r="DL21" i="88"/>
  <c r="GN23" i="88"/>
  <c r="IR29" i="88"/>
  <c r="ID30" i="88"/>
  <c r="IH30" i="88" s="1"/>
  <c r="ID44" i="88"/>
  <c r="IH44" i="88" s="1"/>
  <c r="IE55" i="88"/>
  <c r="IE66" i="88"/>
  <c r="ID66" i="88"/>
  <c r="IH66" i="88" s="1"/>
  <c r="GN66" i="88"/>
  <c r="IQ68" i="88"/>
  <c r="DM67" i="88"/>
  <c r="DM63" i="88" s="1"/>
  <c r="DM77" i="88"/>
  <c r="CA81" i="88"/>
  <c r="CQ81" i="88"/>
  <c r="IZ16" i="88"/>
  <c r="IP25" i="88"/>
  <c r="IP31" i="88"/>
  <c r="CL47" i="88"/>
  <c r="CT47" i="88"/>
  <c r="IE49" i="88"/>
  <c r="DR47" i="88"/>
  <c r="DR42" i="88" s="1"/>
  <c r="GN50" i="88"/>
  <c r="ID51" i="88"/>
  <c r="IH51" i="88" s="1"/>
  <c r="GN51" i="88"/>
  <c r="GN52" i="88"/>
  <c r="ID54" i="88"/>
  <c r="IH54" i="88" s="1"/>
  <c r="ID56" i="88"/>
  <c r="IH56" i="88" s="1"/>
  <c r="FG81" i="88"/>
  <c r="CG84" i="88"/>
  <c r="BQ84" i="88"/>
  <c r="IX86" i="88"/>
  <c r="DN91" i="88"/>
  <c r="DN89" i="88" s="1"/>
  <c r="FG91" i="88"/>
  <c r="FO91" i="88"/>
  <c r="FO89" i="88" s="1"/>
  <c r="FW91" i="88"/>
  <c r="FW89" i="88" s="1"/>
  <c r="ID93" i="88"/>
  <c r="IH93" i="88" s="1"/>
  <c r="FP91" i="88"/>
  <c r="FP89" i="88" s="1"/>
  <c r="FX91" i="88"/>
  <c r="FX89" i="88" s="1"/>
  <c r="IX94" i="88"/>
  <c r="IS115" i="88"/>
  <c r="HI115" i="88"/>
  <c r="BT141" i="88"/>
  <c r="CB141" i="88"/>
  <c r="CR141" i="88"/>
  <c r="FX141" i="88"/>
  <c r="JX141" i="88" s="1"/>
  <c r="IV147" i="88"/>
  <c r="BM150" i="88"/>
  <c r="CC150" i="88"/>
  <c r="CK150" i="88"/>
  <c r="CS150" i="88"/>
  <c r="DP150" i="88"/>
  <c r="FI150" i="88"/>
  <c r="FQ150" i="88"/>
  <c r="FY150" i="88"/>
  <c r="CI161" i="88"/>
  <c r="FS161" i="88"/>
  <c r="FS160" i="88" s="1"/>
  <c r="GA161" i="88"/>
  <c r="BU171" i="88"/>
  <c r="CK171" i="88"/>
  <c r="DP171" i="88"/>
  <c r="FI171" i="88"/>
  <c r="FQ171" i="88"/>
  <c r="FY171" i="88"/>
  <c r="BS175" i="88"/>
  <c r="CA175" i="88"/>
  <c r="CI175" i="88"/>
  <c r="CQ175" i="88"/>
  <c r="DN175" i="88"/>
  <c r="FG175" i="88"/>
  <c r="FO175" i="88"/>
  <c r="FW175" i="88"/>
  <c r="FI175" i="88"/>
  <c r="IZ180" i="88"/>
  <c r="BO263" i="88"/>
  <c r="BW263" i="88"/>
  <c r="CE263" i="88"/>
  <c r="CM263" i="88"/>
  <c r="CU263" i="88"/>
  <c r="FQ67" i="88"/>
  <c r="FQ63" i="88" s="1"/>
  <c r="DP109" i="88"/>
  <c r="FI11" i="88"/>
  <c r="ID22" i="88"/>
  <c r="IH22" i="88" s="1"/>
  <c r="FO21" i="88"/>
  <c r="FW21" i="88"/>
  <c r="IY26" i="88"/>
  <c r="IA28" i="88"/>
  <c r="GN32" i="88"/>
  <c r="GN33" i="88"/>
  <c r="GN34" i="88"/>
  <c r="IE46" i="88"/>
  <c r="GN46" i="88"/>
  <c r="FL64" i="88"/>
  <c r="FL63" i="88" s="1"/>
  <c r="IP64" i="88"/>
  <c r="DS63" i="88"/>
  <c r="CJ63" i="88"/>
  <c r="ID68" i="88"/>
  <c r="IH68" i="88" s="1"/>
  <c r="IZ70" i="88"/>
  <c r="GC80" i="88"/>
  <c r="GC77" i="88" s="1"/>
  <c r="BZ81" i="88"/>
  <c r="IX87" i="88"/>
  <c r="DS89" i="88"/>
  <c r="ID94" i="88"/>
  <c r="IH94" i="88" s="1"/>
  <c r="BM116" i="88"/>
  <c r="BM109" i="88" s="1"/>
  <c r="FI141" i="88"/>
  <c r="FI131" i="88" s="1"/>
  <c r="FI130" i="88" s="1"/>
  <c r="FQ141" i="88"/>
  <c r="FQ131" i="88" s="1"/>
  <c r="FQ130" i="88" s="1"/>
  <c r="GY146" i="88"/>
  <c r="FJ150" i="88"/>
  <c r="FZ150" i="88"/>
  <c r="BZ168" i="88"/>
  <c r="CH168" i="88"/>
  <c r="DM168" i="88"/>
  <c r="GY169" i="88"/>
  <c r="FN168" i="88"/>
  <c r="FV168" i="88"/>
  <c r="BN171" i="88"/>
  <c r="JA180" i="88"/>
  <c r="BQ185" i="88"/>
  <c r="BQ182" i="88" s="1"/>
  <c r="BY185" i="88"/>
  <c r="BY182" i="88" s="1"/>
  <c r="CG185" i="88"/>
  <c r="CO185" i="88"/>
  <c r="DL185" i="88"/>
  <c r="DT185" i="88"/>
  <c r="FM185" i="88"/>
  <c r="FU185" i="88"/>
  <c r="GC185" i="88"/>
  <c r="HG198" i="88"/>
  <c r="IZ118" i="88"/>
  <c r="HA120" i="88"/>
  <c r="IP118" i="88"/>
  <c r="JD119" i="88"/>
  <c r="BQ117" i="88"/>
  <c r="BQ116" i="88" s="1"/>
  <c r="FM117" i="88"/>
  <c r="FM116" i="88" s="1"/>
  <c r="FU117" i="88"/>
  <c r="FU116" i="88" s="1"/>
  <c r="IY124" i="88"/>
  <c r="HC125" i="88"/>
  <c r="IZ116" i="88"/>
  <c r="HA117" i="88"/>
  <c r="IR117" i="88"/>
  <c r="IY119" i="88"/>
  <c r="JC120" i="88"/>
  <c r="CI117" i="88"/>
  <c r="CI116" i="88" s="1"/>
  <c r="CI109" i="88" s="1"/>
  <c r="FG117" i="88"/>
  <c r="FG116" i="88" s="1"/>
  <c r="FO117" i="88"/>
  <c r="FO116" i="88" s="1"/>
  <c r="IQ119" i="88"/>
  <c r="FP117" i="88"/>
  <c r="FP116" i="88" s="1"/>
  <c r="FP109" i="88" s="1"/>
  <c r="IZ121" i="88"/>
  <c r="IX123" i="88"/>
  <c r="JB124" i="88"/>
  <c r="BX117" i="88"/>
  <c r="BX116" i="88" s="1"/>
  <c r="IZ122" i="88"/>
  <c r="IQ123" i="88"/>
  <c r="IU124" i="88"/>
  <c r="CV117" i="88"/>
  <c r="HB120" i="88"/>
  <c r="IR123" i="88"/>
  <c r="HA124" i="88"/>
  <c r="GQ48" i="88"/>
  <c r="HB49" i="88"/>
  <c r="IR53" i="88"/>
  <c r="AQ60" i="88"/>
  <c r="AY60" i="88"/>
  <c r="CD47" i="88"/>
  <c r="IZ55" i="88"/>
  <c r="HZ52" i="88"/>
  <c r="IS52" i="88" s="1"/>
  <c r="HC52" i="88"/>
  <c r="BZ47" i="88"/>
  <c r="BZ42" i="88" s="1"/>
  <c r="FH42" i="88"/>
  <c r="IQ50" i="88"/>
  <c r="GS56" i="88"/>
  <c r="BH39" i="88"/>
  <c r="BH60" i="88" s="1"/>
  <c r="FJ39" i="88"/>
  <c r="HA205" i="88"/>
  <c r="BG39" i="88"/>
  <c r="BA39" i="88"/>
  <c r="BA60" i="88" s="1"/>
  <c r="AZ39" i="88"/>
  <c r="AZ60" i="88" s="1"/>
  <c r="BN31" i="88"/>
  <c r="AT39" i="88"/>
  <c r="AT60" i="88" s="1"/>
  <c r="JR60" i="88" s="1"/>
  <c r="BB39" i="88"/>
  <c r="BJ39" i="88"/>
  <c r="CP31" i="88"/>
  <c r="BR31" i="88"/>
  <c r="JT31" i="88" s="1"/>
  <c r="BL39" i="88"/>
  <c r="HA31" i="88"/>
  <c r="IQ36" i="88"/>
  <c r="IR34" i="88"/>
  <c r="IY36" i="88"/>
  <c r="HE37" i="88"/>
  <c r="JA37" i="88"/>
  <c r="HB17" i="88"/>
  <c r="CV15" i="88"/>
  <c r="CV14" i="88" s="1"/>
  <c r="CV11" i="88" s="1"/>
  <c r="ET39" i="88"/>
  <c r="BI39" i="88"/>
  <c r="GQ16" i="88"/>
  <c r="IR16" i="88"/>
  <c r="BS15" i="88"/>
  <c r="BS14" i="88" s="1"/>
  <c r="BS11" i="88" s="1"/>
  <c r="CQ15" i="88"/>
  <c r="CQ14" i="88" s="1"/>
  <c r="GQ17" i="88"/>
  <c r="IY18" i="88"/>
  <c r="IZ51" i="88"/>
  <c r="GS58" i="88"/>
  <c r="ER63" i="88"/>
  <c r="EZ63" i="88"/>
  <c r="FH63" i="88"/>
  <c r="HG76" i="88"/>
  <c r="HY81" i="88"/>
  <c r="BS84" i="88"/>
  <c r="CA84" i="88"/>
  <c r="CI84" i="88"/>
  <c r="CI80" i="88" s="1"/>
  <c r="CI77" i="88" s="1"/>
  <c r="CQ84" i="88"/>
  <c r="GS17" i="88"/>
  <c r="IC18" i="88"/>
  <c r="GQ22" i="88"/>
  <c r="IY24" i="88"/>
  <c r="JO11" i="88"/>
  <c r="JY22" i="88"/>
  <c r="HC27" i="88"/>
  <c r="EY39" i="88"/>
  <c r="GX13" i="88"/>
  <c r="BQ15" i="88"/>
  <c r="BQ14" i="88" s="1"/>
  <c r="CG15" i="88"/>
  <c r="CG14" i="88" s="1"/>
  <c r="CO15" i="88"/>
  <c r="CO14" i="88" s="1"/>
  <c r="HC17" i="88"/>
  <c r="HC18" i="88"/>
  <c r="IZ19" i="88"/>
  <c r="AK39" i="88"/>
  <c r="GK22" i="88"/>
  <c r="GT22" i="88" s="1"/>
  <c r="IB22" i="88"/>
  <c r="GQ24" i="88"/>
  <c r="HA25" i="88"/>
  <c r="GQ31" i="88"/>
  <c r="CB31" i="88"/>
  <c r="CB21" i="88" s="1"/>
  <c r="CR31" i="88"/>
  <c r="CR21" i="88" s="1"/>
  <c r="CU31" i="88"/>
  <c r="GS34" i="88"/>
  <c r="GY36" i="88"/>
  <c r="HD37" i="88"/>
  <c r="IY37" i="88"/>
  <c r="IZ44" i="88"/>
  <c r="HA47" i="88"/>
  <c r="GQ55" i="88"/>
  <c r="HC56" i="88"/>
  <c r="IX57" i="88"/>
  <c r="AR63" i="88"/>
  <c r="EK63" i="88"/>
  <c r="ES63" i="88"/>
  <c r="FA63" i="88"/>
  <c r="GR66" i="88"/>
  <c r="GL68" i="88"/>
  <c r="GY71" i="88"/>
  <c r="IU71" i="88"/>
  <c r="CL81" i="88"/>
  <c r="HY84" i="88"/>
  <c r="HA13" i="88"/>
  <c r="BD39" i="88"/>
  <c r="GS19" i="88"/>
  <c r="IQ32" i="88"/>
  <c r="BT31" i="88"/>
  <c r="BT21" i="88" s="1"/>
  <c r="CJ31" i="88"/>
  <c r="HA33" i="88"/>
  <c r="HC43" i="88"/>
  <c r="HA45" i="88"/>
  <c r="IY46" i="88"/>
  <c r="IA48" i="88"/>
  <c r="GL49" i="88"/>
  <c r="BO47" i="88"/>
  <c r="BO42" i="88" s="1"/>
  <c r="BW47" i="88"/>
  <c r="BW42" i="88" s="1"/>
  <c r="HB51" i="88"/>
  <c r="HC53" i="88"/>
  <c r="IV57" i="88"/>
  <c r="BQ64" i="88"/>
  <c r="BY64" i="88"/>
  <c r="CO64" i="88"/>
  <c r="ET80" i="88"/>
  <c r="ET77" i="88" s="1"/>
  <c r="GL46" i="88"/>
  <c r="BR47" i="88"/>
  <c r="BR42" i="88" s="1"/>
  <c r="JT42" i="88" s="1"/>
  <c r="CH47" i="88"/>
  <c r="CH42" i="88" s="1"/>
  <c r="HA54" i="88"/>
  <c r="IZ54" i="88"/>
  <c r="IX55" i="88"/>
  <c r="IB56" i="88"/>
  <c r="GQ58" i="88"/>
  <c r="GW73" i="88"/>
  <c r="HW77" i="88"/>
  <c r="IR87" i="88"/>
  <c r="BR91" i="88"/>
  <c r="BR89" i="88" s="1"/>
  <c r="JT89" i="88" s="1"/>
  <c r="BZ91" i="88"/>
  <c r="BZ89" i="88" s="1"/>
  <c r="CH91" i="88"/>
  <c r="CH89" i="88" s="1"/>
  <c r="IX93" i="88"/>
  <c r="IP93" i="88"/>
  <c r="IX27" i="88"/>
  <c r="IX30" i="88"/>
  <c r="BO31" i="88"/>
  <c r="BO21" i="88" s="1"/>
  <c r="CM31" i="88"/>
  <c r="CM21" i="88" s="1"/>
  <c r="CM39" i="88" s="1"/>
  <c r="HC32" i="88"/>
  <c r="IX47" i="88"/>
  <c r="CI47" i="88"/>
  <c r="CI42" i="88" s="1"/>
  <c r="CQ47" i="88"/>
  <c r="CQ42" i="88" s="1"/>
  <c r="IZ48" i="88"/>
  <c r="CN91" i="88"/>
  <c r="GR13" i="88"/>
  <c r="CM14" i="88"/>
  <c r="CM11" i="88" s="1"/>
  <c r="CB15" i="88"/>
  <c r="CB14" i="88" s="1"/>
  <c r="CB11" i="88" s="1"/>
  <c r="IZ33" i="88"/>
  <c r="HA36" i="88"/>
  <c r="GW37" i="88"/>
  <c r="HU11" i="88"/>
  <c r="JF28" i="88" s="1"/>
  <c r="FH39" i="88"/>
  <c r="FH60" i="88" s="1"/>
  <c r="GQ12" i="88"/>
  <c r="GS13" i="88"/>
  <c r="IX13" i="88"/>
  <c r="HA26" i="88"/>
  <c r="IX35" i="88"/>
  <c r="GS36" i="88"/>
  <c r="IC43" i="88"/>
  <c r="IG43" i="88" s="1"/>
  <c r="HC45" i="88"/>
  <c r="GR46" i="88"/>
  <c r="CR47" i="88"/>
  <c r="IX50" i="88"/>
  <c r="AV63" i="88"/>
  <c r="EO63" i="88"/>
  <c r="FX63" i="88"/>
  <c r="JX63" i="88" s="1"/>
  <c r="IY71" i="88"/>
  <c r="EO80" i="88"/>
  <c r="EO77" i="88" s="1"/>
  <c r="EW80" i="88"/>
  <c r="EW77" i="88" s="1"/>
  <c r="FE80" i="88"/>
  <c r="FE77" i="88" s="1"/>
  <c r="IY82" i="88"/>
  <c r="BM81" i="88"/>
  <c r="IA83" i="88"/>
  <c r="CS81" i="88"/>
  <c r="HA83" i="88"/>
  <c r="FM89" i="88"/>
  <c r="IA27" i="88"/>
  <c r="IB27" i="88"/>
  <c r="JC27" i="88" s="1"/>
  <c r="IZ29" i="88"/>
  <c r="IX32" i="88"/>
  <c r="GR33" i="88"/>
  <c r="IR33" i="88"/>
  <c r="IK37" i="88"/>
  <c r="GR45" i="88"/>
  <c r="HZ48" i="88"/>
  <c r="IB49" i="88"/>
  <c r="IA51" i="88"/>
  <c r="IB58" i="88"/>
  <c r="IV58" i="88" s="1"/>
  <c r="BM63" i="88"/>
  <c r="HF76" i="88"/>
  <c r="IA79" i="88"/>
  <c r="FU80" i="88"/>
  <c r="FU77" i="88" s="1"/>
  <c r="CO84" i="88"/>
  <c r="BX84" i="88"/>
  <c r="GD89" i="88"/>
  <c r="AX39" i="88"/>
  <c r="AX60" i="88" s="1"/>
  <c r="FC39" i="88"/>
  <c r="HX15" i="88"/>
  <c r="IQ15" i="88" s="1"/>
  <c r="BZ31" i="88"/>
  <c r="BZ21" i="88" s="1"/>
  <c r="CO31" i="88"/>
  <c r="CO21" i="88" s="1"/>
  <c r="IB34" i="88"/>
  <c r="GS37" i="88"/>
  <c r="IP37" i="88"/>
  <c r="IQ44" i="88"/>
  <c r="GL45" i="88"/>
  <c r="CD91" i="88"/>
  <c r="JU91" i="88" s="1"/>
  <c r="CL91" i="88"/>
  <c r="CL89" i="88" s="1"/>
  <c r="CT91" i="88"/>
  <c r="BW91" i="88"/>
  <c r="IY93" i="88"/>
  <c r="IY94" i="88"/>
  <c r="FK63" i="88"/>
  <c r="GS66" i="88"/>
  <c r="BN67" i="88"/>
  <c r="BV67" i="88"/>
  <c r="BV63" i="88" s="1"/>
  <c r="CD67" i="88"/>
  <c r="HB69" i="88"/>
  <c r="AX80" i="88"/>
  <c r="AX77" i="88" s="1"/>
  <c r="FW80" i="88"/>
  <c r="FW77" i="88" s="1"/>
  <c r="CN81" i="88"/>
  <c r="CV81" i="88"/>
  <c r="CV80" i="88" s="1"/>
  <c r="CV77" i="88" s="1"/>
  <c r="IY86" i="88"/>
  <c r="GD80" i="88"/>
  <c r="GD77" i="88" s="1"/>
  <c r="FK89" i="88"/>
  <c r="BQ91" i="88"/>
  <c r="CG91" i="88"/>
  <c r="CG89" i="88" s="1"/>
  <c r="CO91" i="88"/>
  <c r="GT110" i="88"/>
  <c r="DN116" i="88"/>
  <c r="DN109" i="88" s="1"/>
  <c r="EQ212" i="88"/>
  <c r="EY212" i="88"/>
  <c r="CC117" i="88"/>
  <c r="CC116" i="88" s="1"/>
  <c r="CC109" i="88" s="1"/>
  <c r="BU117" i="88"/>
  <c r="BU116" i="88" s="1"/>
  <c r="BU109" i="88" s="1"/>
  <c r="CK117" i="88"/>
  <c r="CK116" i="88" s="1"/>
  <c r="FQ117" i="88"/>
  <c r="FQ116" i="88" s="1"/>
  <c r="FQ109" i="88" s="1"/>
  <c r="FY117" i="88"/>
  <c r="FY116" i="88" s="1"/>
  <c r="IP120" i="88"/>
  <c r="IY131" i="88"/>
  <c r="HA132" i="88"/>
  <c r="FN131" i="88"/>
  <c r="FN130" i="88" s="1"/>
  <c r="BT133" i="88"/>
  <c r="CB133" i="88"/>
  <c r="CR133" i="88"/>
  <c r="HA134" i="88"/>
  <c r="BN137" i="88"/>
  <c r="CT137" i="88"/>
  <c r="IZ140" i="88"/>
  <c r="BM141" i="88"/>
  <c r="GR142" i="88"/>
  <c r="HI167" i="88"/>
  <c r="IB169" i="88"/>
  <c r="CP168" i="88"/>
  <c r="IB168" i="88" s="1"/>
  <c r="BQ175" i="88"/>
  <c r="BY175" i="88"/>
  <c r="CG175" i="88"/>
  <c r="CO175" i="88"/>
  <c r="DT175" i="88"/>
  <c r="FM175" i="88"/>
  <c r="FM109" i="88"/>
  <c r="FU109" i="88"/>
  <c r="FS109" i="88"/>
  <c r="IX113" i="88"/>
  <c r="HB115" i="88"/>
  <c r="HA116" i="88"/>
  <c r="BO116" i="88"/>
  <c r="BW116" i="88"/>
  <c r="CM116" i="88"/>
  <c r="CU116" i="88"/>
  <c r="FK116" i="88"/>
  <c r="FK109" i="88" s="1"/>
  <c r="HC118" i="88"/>
  <c r="IY120" i="88"/>
  <c r="IS123" i="88"/>
  <c r="HC126" i="88"/>
  <c r="GR132" i="88"/>
  <c r="FB131" i="88"/>
  <c r="FB130" i="88" s="1"/>
  <c r="FB129" i="88" s="1"/>
  <c r="IR135" i="88"/>
  <c r="J270" i="88"/>
  <c r="HU196" i="88"/>
  <c r="IZ95" i="88"/>
  <c r="GW111" i="88"/>
  <c r="GW112" i="88"/>
  <c r="GB116" i="88"/>
  <c r="GB109" i="88" s="1"/>
  <c r="HA123" i="88"/>
  <c r="IQ124" i="88"/>
  <c r="BO133" i="88"/>
  <c r="BW133" i="88"/>
  <c r="GA131" i="88"/>
  <c r="GA130" i="88" s="1"/>
  <c r="GQ136" i="88"/>
  <c r="IZ138" i="88"/>
  <c r="HA139" i="88"/>
  <c r="IX139" i="88"/>
  <c r="IK140" i="88"/>
  <c r="GM142" i="88"/>
  <c r="CV141" i="88"/>
  <c r="GM141" i="88" s="1"/>
  <c r="AT80" i="88"/>
  <c r="AT77" i="88" s="1"/>
  <c r="JR77" i="88" s="1"/>
  <c r="EJ80" i="88"/>
  <c r="EJ77" i="88" s="1"/>
  <c r="ER80" i="88"/>
  <c r="ER77" i="88" s="1"/>
  <c r="EZ80" i="88"/>
  <c r="EZ77" i="88" s="1"/>
  <c r="BT81" i="88"/>
  <c r="CB81" i="88"/>
  <c r="CJ81" i="88"/>
  <c r="CR81" i="88"/>
  <c r="CF84" i="88"/>
  <c r="HB87" i="88"/>
  <c r="BU91" i="88"/>
  <c r="BU89" i="88" s="1"/>
  <c r="CC91" i="88"/>
  <c r="CC89" i="88" s="1"/>
  <c r="CS91" i="88"/>
  <c r="CS89" i="88" s="1"/>
  <c r="GL94" i="88"/>
  <c r="GQ95" i="88"/>
  <c r="HA110" i="88"/>
  <c r="IR110" i="88"/>
  <c r="BL109" i="88"/>
  <c r="GJ109" i="88" s="1"/>
  <c r="IY115" i="88"/>
  <c r="BR117" i="88"/>
  <c r="BR116" i="88" s="1"/>
  <c r="HZ116" i="88" s="1"/>
  <c r="IY117" i="88"/>
  <c r="BY117" i="88"/>
  <c r="BY116" i="88" s="1"/>
  <c r="CO117" i="88"/>
  <c r="CO116" i="88" s="1"/>
  <c r="CO109" i="88" s="1"/>
  <c r="IX118" i="88"/>
  <c r="GC117" i="88"/>
  <c r="GC116" i="88" s="1"/>
  <c r="GC109" i="88" s="1"/>
  <c r="HF119" i="88"/>
  <c r="IV121" i="88"/>
  <c r="HA121" i="88"/>
  <c r="IP122" i="88"/>
  <c r="GR124" i="88"/>
  <c r="HA127" i="88"/>
  <c r="IR127" i="88"/>
  <c r="IR129" i="88"/>
  <c r="DX131" i="88"/>
  <c r="DX130" i="88" s="1"/>
  <c r="DX129" i="88" s="1"/>
  <c r="EF131" i="88"/>
  <c r="EF130" i="88" s="1"/>
  <c r="EF129" i="88" s="1"/>
  <c r="EV131" i="88"/>
  <c r="EV130" i="88" s="1"/>
  <c r="EV129" i="88" s="1"/>
  <c r="BP133" i="88"/>
  <c r="DK131" i="88"/>
  <c r="DK130" i="88" s="1"/>
  <c r="DS131" i="88"/>
  <c r="DS130" i="88" s="1"/>
  <c r="HB136" i="88"/>
  <c r="CV137" i="88"/>
  <c r="GM137" i="88" s="1"/>
  <c r="L269" i="3" s="1"/>
  <c r="HB139" i="88"/>
  <c r="IQ139" i="88"/>
  <c r="CD141" i="88"/>
  <c r="IA141" i="88" s="1"/>
  <c r="GS143" i="88"/>
  <c r="FV182" i="88"/>
  <c r="GR100" i="88"/>
  <c r="DK116" i="88"/>
  <c r="DK109" i="88" s="1"/>
  <c r="DS116" i="88"/>
  <c r="DS109" i="88" s="1"/>
  <c r="BZ117" i="88"/>
  <c r="BZ116" i="88" s="1"/>
  <c r="CH117" i="88"/>
  <c r="CH116" i="88" s="1"/>
  <c r="CH109" i="88" s="1"/>
  <c r="JC118" i="88"/>
  <c r="FN117" i="88"/>
  <c r="FN116" i="88" s="1"/>
  <c r="FN109" i="88" s="1"/>
  <c r="GD117" i="88"/>
  <c r="GD116" i="88" s="1"/>
  <c r="DJ116" i="88"/>
  <c r="DJ109" i="88" s="1"/>
  <c r="DR116" i="88"/>
  <c r="GA117" i="88"/>
  <c r="GA116" i="88" s="1"/>
  <c r="GA109" i="88" s="1"/>
  <c r="HH126" i="88"/>
  <c r="DT131" i="88"/>
  <c r="DT130" i="88" s="1"/>
  <c r="DT129" i="88" s="1"/>
  <c r="FM131" i="88"/>
  <c r="FM130" i="88" s="1"/>
  <c r="FU131" i="88"/>
  <c r="FU130" i="88" s="1"/>
  <c r="GC131" i="88"/>
  <c r="GC130" i="88" s="1"/>
  <c r="HD136" i="88"/>
  <c r="IP149" i="88"/>
  <c r="IX149" i="88"/>
  <c r="IR155" i="88"/>
  <c r="IE170" i="88"/>
  <c r="IG170" i="88" s="1"/>
  <c r="IK170" i="88" s="1"/>
  <c r="ED212" i="88"/>
  <c r="JC113" i="88"/>
  <c r="HB113" i="88"/>
  <c r="JA115" i="88"/>
  <c r="DL116" i="88"/>
  <c r="DL109" i="88" s="1"/>
  <c r="DT116" i="88"/>
  <c r="DT109" i="88" s="1"/>
  <c r="FT117" i="88"/>
  <c r="FT116" i="88" s="1"/>
  <c r="FT109" i="88" s="1"/>
  <c r="GR121" i="88"/>
  <c r="FH116" i="88"/>
  <c r="FH109" i="88" s="1"/>
  <c r="FX116" i="88"/>
  <c r="FX109" i="88" s="1"/>
  <c r="HA122" i="88"/>
  <c r="IQ122" i="88"/>
  <c r="IR124" i="88"/>
  <c r="HB127" i="88"/>
  <c r="IS132" i="88"/>
  <c r="HI132" i="88"/>
  <c r="IY132" i="88"/>
  <c r="DZ131" i="88"/>
  <c r="DZ130" i="88" s="1"/>
  <c r="DZ129" i="88" s="1"/>
  <c r="EH131" i="88"/>
  <c r="EH130" i="88" s="1"/>
  <c r="EH129" i="88" s="1"/>
  <c r="EP131" i="88"/>
  <c r="EP130" i="88" s="1"/>
  <c r="EP129" i="88" s="1"/>
  <c r="EP158" i="88" s="1"/>
  <c r="EX131" i="88"/>
  <c r="EX130" i="88" s="1"/>
  <c r="EX129" i="88" s="1"/>
  <c r="EX158" i="88" s="1"/>
  <c r="FF131" i="88"/>
  <c r="FF130" i="88" s="1"/>
  <c r="FF129" i="88" s="1"/>
  <c r="FF158" i="88" s="1"/>
  <c r="IY133" i="88"/>
  <c r="BZ133" i="88"/>
  <c r="CH133" i="88"/>
  <c r="CP133" i="88"/>
  <c r="IB133" i="88" s="1"/>
  <c r="IQ134" i="88"/>
  <c r="GR140" i="88"/>
  <c r="IC141" i="88"/>
  <c r="IP142" i="88"/>
  <c r="GX148" i="88"/>
  <c r="IZ152" i="88"/>
  <c r="IY152" i="88"/>
  <c r="GB168" i="88"/>
  <c r="IU192" i="88"/>
  <c r="GS94" i="88"/>
  <c r="IZ94" i="88"/>
  <c r="EE212" i="88"/>
  <c r="ID110" i="88"/>
  <c r="IH110" i="88" s="1"/>
  <c r="HA111" i="88"/>
  <c r="GV112" i="88"/>
  <c r="DO116" i="88"/>
  <c r="IE116" i="88" s="1"/>
  <c r="HA118" i="88"/>
  <c r="CV133" i="88"/>
  <c r="GM133" i="88" s="1"/>
  <c r="BX137" i="88"/>
  <c r="GK137" i="88" s="1"/>
  <c r="HD137" i="88" s="1"/>
  <c r="GY138" i="88"/>
  <c r="FL141" i="88"/>
  <c r="ID141" i="88" s="1"/>
  <c r="IH141" i="88" s="1"/>
  <c r="GU142" i="88"/>
  <c r="IJ142" i="88"/>
  <c r="IT144" i="88"/>
  <c r="IU144" i="88"/>
  <c r="JC144" i="88"/>
  <c r="GL164" i="88"/>
  <c r="GL170" i="88"/>
  <c r="GV170" i="88" s="1"/>
  <c r="JA179" i="88"/>
  <c r="CF188" i="88"/>
  <c r="GK190" i="88"/>
  <c r="HD190" i="88" s="1"/>
  <c r="BX188" i="88"/>
  <c r="GK188" i="88" s="1"/>
  <c r="FT188" i="88"/>
  <c r="JC198" i="88"/>
  <c r="IQ141" i="88"/>
  <c r="GU145" i="88"/>
  <c r="JD145" i="88"/>
  <c r="IX147" i="88"/>
  <c r="IR152" i="88"/>
  <c r="IZ155" i="88"/>
  <c r="HG159" i="88"/>
  <c r="IQ160" i="88"/>
  <c r="DX160" i="88"/>
  <c r="EN160" i="88"/>
  <c r="FD160" i="88"/>
  <c r="IQ161" i="88"/>
  <c r="BQ161" i="88"/>
  <c r="BY161" i="88"/>
  <c r="CG161" i="88"/>
  <c r="CO161" i="88"/>
  <c r="FU161" i="88"/>
  <c r="FU160" i="88" s="1"/>
  <c r="GC161" i="88"/>
  <c r="GC160" i="88" s="1"/>
  <c r="GQ165" i="88"/>
  <c r="IQ169" i="88"/>
  <c r="EG160" i="88"/>
  <c r="EG212" i="88" s="1"/>
  <c r="FR171" i="88"/>
  <c r="GN171" i="88" s="1"/>
  <c r="GQ174" i="88"/>
  <c r="IY183" i="88"/>
  <c r="GA182" i="88"/>
  <c r="DL182" i="88"/>
  <c r="DL194" i="88" s="1"/>
  <c r="DT182" i="88"/>
  <c r="DR185" i="88"/>
  <c r="IZ188" i="88"/>
  <c r="HB192" i="88"/>
  <c r="HG193" i="88"/>
  <c r="FI196" i="88"/>
  <c r="FQ196" i="88"/>
  <c r="FY196" i="88"/>
  <c r="HB198" i="88"/>
  <c r="GQ201" i="88"/>
  <c r="IX202" i="88"/>
  <c r="FT200" i="88"/>
  <c r="GB200" i="88"/>
  <c r="GB196" i="88" s="1"/>
  <c r="IZ207" i="88"/>
  <c r="HF208" i="88"/>
  <c r="GW209" i="88"/>
  <c r="IX143" i="88"/>
  <c r="HE146" i="88"/>
  <c r="GX149" i="88"/>
  <c r="IQ165" i="88"/>
  <c r="IJ166" i="88"/>
  <c r="CB168" i="88"/>
  <c r="FP168" i="88"/>
  <c r="BZ171" i="88"/>
  <c r="CH171" i="88"/>
  <c r="DM171" i="88"/>
  <c r="BM175" i="88"/>
  <c r="BU175" i="88"/>
  <c r="CC175" i="88"/>
  <c r="CK175" i="88"/>
  <c r="CS175" i="88"/>
  <c r="DP175" i="88"/>
  <c r="FY175" i="88"/>
  <c r="BO175" i="88"/>
  <c r="BW175" i="88"/>
  <c r="CE175" i="88"/>
  <c r="CU175" i="88"/>
  <c r="DR175" i="88"/>
  <c r="FK175" i="88"/>
  <c r="FS175" i="88"/>
  <c r="GA175" i="88"/>
  <c r="GD182" i="88"/>
  <c r="GS199" i="88"/>
  <c r="FZ196" i="88"/>
  <c r="IE201" i="88"/>
  <c r="IV201" i="88" s="1"/>
  <c r="BT200" i="88"/>
  <c r="IV202" i="88"/>
  <c r="FH200" i="88"/>
  <c r="FP200" i="88"/>
  <c r="FX200" i="88"/>
  <c r="FX196" i="88" s="1"/>
  <c r="JX196" i="88" s="1"/>
  <c r="IR204" i="88"/>
  <c r="IX148" i="88"/>
  <c r="BT150" i="88"/>
  <c r="HA160" i="88"/>
  <c r="CD161" i="88"/>
  <c r="JU161" i="88" s="1"/>
  <c r="IR161" i="88"/>
  <c r="IR162" i="88"/>
  <c r="IU163" i="88"/>
  <c r="FN161" i="88"/>
  <c r="HC165" i="88"/>
  <c r="IX167" i="88"/>
  <c r="BM168" i="88"/>
  <c r="IR169" i="88"/>
  <c r="CA168" i="88"/>
  <c r="DN168" i="88"/>
  <c r="IY170" i="88"/>
  <c r="DO171" i="88"/>
  <c r="IE171" i="88" s="1"/>
  <c r="IG171" i="88" s="1"/>
  <c r="BS171" i="88"/>
  <c r="CA171" i="88"/>
  <c r="IQ172" i="88"/>
  <c r="HA183" i="88"/>
  <c r="BS182" i="88"/>
  <c r="CI182" i="88"/>
  <c r="DN182" i="88"/>
  <c r="DN194" i="88" s="1"/>
  <c r="IR185" i="88"/>
  <c r="IP186" i="88"/>
  <c r="GQ189" i="88"/>
  <c r="IE189" i="88"/>
  <c r="IG189" i="88" s="1"/>
  <c r="IK189" i="88" s="1"/>
  <c r="IP191" i="88"/>
  <c r="GU192" i="88"/>
  <c r="BR228" i="88"/>
  <c r="BZ228" i="88"/>
  <c r="CH228" i="88"/>
  <c r="CP228" i="88"/>
  <c r="HC198" i="88"/>
  <c r="JC199" i="88"/>
  <c r="FJ196" i="88"/>
  <c r="IR202" i="88"/>
  <c r="CH200" i="88"/>
  <c r="CP200" i="88"/>
  <c r="IB200" i="88" s="1"/>
  <c r="IV200" i="88" s="1"/>
  <c r="DM200" i="88"/>
  <c r="DM196" i="88" s="1"/>
  <c r="FN200" i="88"/>
  <c r="FN196" i="88" s="1"/>
  <c r="FV200" i="88"/>
  <c r="FV196" i="88" s="1"/>
  <c r="GD200" i="88"/>
  <c r="GS204" i="88"/>
  <c r="HC207" i="88"/>
  <c r="HG209" i="88"/>
  <c r="CB188" i="88"/>
  <c r="CJ188" i="88"/>
  <c r="GL188" i="88" s="1"/>
  <c r="HE188" i="88" s="1"/>
  <c r="CR188" i="88"/>
  <c r="JC197" i="88"/>
  <c r="DU200" i="88"/>
  <c r="HB202" i="88"/>
  <c r="GU208" i="88"/>
  <c r="BW141" i="88"/>
  <c r="CE141" i="88"/>
  <c r="CM141" i="88"/>
  <c r="DJ141" i="88"/>
  <c r="DJ131" i="88" s="1"/>
  <c r="DJ130" i="88" s="1"/>
  <c r="DR141" i="88"/>
  <c r="FK141" i="88"/>
  <c r="FK131" i="88" s="1"/>
  <c r="FK130" i="88" s="1"/>
  <c r="FS141" i="88"/>
  <c r="FS131" i="88" s="1"/>
  <c r="FS130" i="88" s="1"/>
  <c r="GS142" i="88"/>
  <c r="GU143" i="88"/>
  <c r="GQ143" i="88"/>
  <c r="IP144" i="88"/>
  <c r="IY150" i="88"/>
  <c r="GD150" i="88"/>
  <c r="IY153" i="88"/>
  <c r="IP154" i="88"/>
  <c r="HA170" i="88"/>
  <c r="GQ172" i="88"/>
  <c r="IZ172" i="88"/>
  <c r="IQ173" i="88"/>
  <c r="IX174" i="88"/>
  <c r="GW181" i="88"/>
  <c r="HC183" i="88"/>
  <c r="HA184" i="88"/>
  <c r="IZ184" i="88"/>
  <c r="CJ185" i="88"/>
  <c r="GL185" i="88" s="1"/>
  <c r="HF185" i="88" s="1"/>
  <c r="EC182" i="88"/>
  <c r="EC212" i="88" s="1"/>
  <c r="EK182" i="88"/>
  <c r="EK212" i="88" s="1"/>
  <c r="ES182" i="88"/>
  <c r="ES212" i="88" s="1"/>
  <c r="FA182" i="88"/>
  <c r="GQ190" i="88"/>
  <c r="BM188" i="88"/>
  <c r="BM182" i="88" s="1"/>
  <c r="CC188" i="88"/>
  <c r="FQ188" i="88"/>
  <c r="FQ182" i="88" s="1"/>
  <c r="HA191" i="88"/>
  <c r="IR191" i="88"/>
  <c r="GV192" i="88"/>
  <c r="GH196" i="88"/>
  <c r="DN196" i="88"/>
  <c r="FG196" i="88"/>
  <c r="FO196" i="88"/>
  <c r="FW196" i="88"/>
  <c r="CM200" i="88"/>
  <c r="CU200" i="88"/>
  <c r="DJ200" i="88"/>
  <c r="DR200" i="88"/>
  <c r="FK200" i="88"/>
  <c r="FK196" i="88" s="1"/>
  <c r="FS200" i="88"/>
  <c r="FS196" i="88" s="1"/>
  <c r="GA200" i="88"/>
  <c r="GA196" i="88" s="1"/>
  <c r="IX145" i="88"/>
  <c r="IZ151" i="88"/>
  <c r="FJ160" i="88"/>
  <c r="FZ160" i="88"/>
  <c r="IU165" i="88"/>
  <c r="GY165" i="88"/>
  <c r="GW167" i="88"/>
  <c r="EF160" i="88"/>
  <c r="BP168" i="88"/>
  <c r="CF168" i="88"/>
  <c r="CN168" i="88"/>
  <c r="GV169" i="88"/>
  <c r="DK168" i="88"/>
  <c r="DS168" i="88"/>
  <c r="FT168" i="88"/>
  <c r="GW170" i="88"/>
  <c r="DU171" i="88"/>
  <c r="L219" i="3" s="1"/>
  <c r="BV171" i="88"/>
  <c r="CD171" i="88"/>
  <c r="IA171" i="88" s="1"/>
  <c r="CL171" i="88"/>
  <c r="CT171" i="88"/>
  <c r="IC171" i="88"/>
  <c r="HF183" i="88"/>
  <c r="BN185" i="88"/>
  <c r="BV185" i="88"/>
  <c r="CL185" i="88"/>
  <c r="CT185" i="88"/>
  <c r="DQ185" i="88"/>
  <c r="FJ185" i="88"/>
  <c r="FZ185" i="88"/>
  <c r="CB185" i="88"/>
  <c r="FH185" i="88"/>
  <c r="FH182" i="88" s="1"/>
  <c r="FP185" i="88"/>
  <c r="FP182" i="88" s="1"/>
  <c r="FX185" i="88"/>
  <c r="FX182" i="88" s="1"/>
  <c r="BP188" i="88"/>
  <c r="CN188" i="88"/>
  <c r="CN182" i="88" s="1"/>
  <c r="DK188" i="88"/>
  <c r="DS188" i="88"/>
  <c r="GB188" i="88"/>
  <c r="BN188" i="88"/>
  <c r="BV188" i="88"/>
  <c r="CL188" i="88"/>
  <c r="CT188" i="88"/>
  <c r="DQ188" i="88"/>
  <c r="FJ188" i="88"/>
  <c r="FZ188" i="88"/>
  <c r="GD196" i="88"/>
  <c r="IS204" i="88"/>
  <c r="BM246" i="88"/>
  <c r="ET160" i="88"/>
  <c r="ET194" i="88" s="1"/>
  <c r="ET210" i="88" s="1"/>
  <c r="FB160" i="88"/>
  <c r="FR161" i="88"/>
  <c r="GN161" i="88" s="1"/>
  <c r="FK161" i="88"/>
  <c r="HC162" i="88"/>
  <c r="IZ163" i="88"/>
  <c r="IR165" i="88"/>
  <c r="GS170" i="88"/>
  <c r="GQ173" i="88"/>
  <c r="IZ173" i="88"/>
  <c r="IY174" i="88"/>
  <c r="IP183" i="88"/>
  <c r="DX182" i="88"/>
  <c r="EF182" i="88"/>
  <c r="EN182" i="88"/>
  <c r="EN194" i="88" s="1"/>
  <c r="EN210" i="88" s="1"/>
  <c r="EV182" i="88"/>
  <c r="FD182" i="88"/>
  <c r="HA190" i="88"/>
  <c r="CE188" i="88"/>
  <c r="CM188" i="88"/>
  <c r="CU188" i="88"/>
  <c r="DJ188" i="88"/>
  <c r="FK188" i="88"/>
  <c r="HC191" i="88"/>
  <c r="HI192" i="88"/>
  <c r="HB199" i="88"/>
  <c r="IP201" i="88"/>
  <c r="FM200" i="88"/>
  <c r="FU200" i="88"/>
  <c r="GC200" i="88"/>
  <c r="GC196" i="88" s="1"/>
  <c r="IQ205" i="88"/>
  <c r="IZ206" i="88"/>
  <c r="GT208" i="88"/>
  <c r="GR12" i="88"/>
  <c r="HB12" i="88"/>
  <c r="GU13" i="88"/>
  <c r="GT13" i="88"/>
  <c r="HD13" i="88"/>
  <c r="IZ27" i="88"/>
  <c r="IQ27" i="88"/>
  <c r="HY21" i="88"/>
  <c r="AS39" i="88"/>
  <c r="AS60" i="88" s="1"/>
  <c r="GR18" i="88"/>
  <c r="CU21" i="88"/>
  <c r="HC22" i="88"/>
  <c r="GS22" i="88"/>
  <c r="AH39" i="88"/>
  <c r="AH60" i="88" s="1"/>
  <c r="JQ11" i="88"/>
  <c r="KT11" i="88" s="1"/>
  <c r="IQ12" i="88"/>
  <c r="CC15" i="88"/>
  <c r="CC14" i="88" s="1"/>
  <c r="CC11" i="88" s="1"/>
  <c r="IX12" i="88"/>
  <c r="IP12" i="88"/>
  <c r="IB12" i="88"/>
  <c r="HC16" i="88"/>
  <c r="GQ13" i="88"/>
  <c r="AO14" i="88"/>
  <c r="AO11" i="88" s="1"/>
  <c r="AW39" i="88"/>
  <c r="AW60" i="88" s="1"/>
  <c r="IQ18" i="88"/>
  <c r="JS24" i="88"/>
  <c r="IX25" i="88"/>
  <c r="GK26" i="88"/>
  <c r="HD26" i="88" s="1"/>
  <c r="GM26" i="88"/>
  <c r="GY26" i="88" s="1"/>
  <c r="GQ26" i="88"/>
  <c r="IZ26" i="88"/>
  <c r="IC27" i="88"/>
  <c r="HZ28" i="88"/>
  <c r="IS28" i="88" s="1"/>
  <c r="HA28" i="88"/>
  <c r="IY28" i="88"/>
  <c r="GX31" i="88"/>
  <c r="BS31" i="88"/>
  <c r="BS21" i="88" s="1"/>
  <c r="CA31" i="88"/>
  <c r="CI31" i="88"/>
  <c r="CI21" i="88" s="1"/>
  <c r="CQ31" i="88"/>
  <c r="CQ21" i="88" s="1"/>
  <c r="IA33" i="88"/>
  <c r="HA34" i="88"/>
  <c r="IX34" i="88"/>
  <c r="IZ34" i="88"/>
  <c r="IY35" i="88"/>
  <c r="GT36" i="88"/>
  <c r="HB36" i="88"/>
  <c r="GR37" i="88"/>
  <c r="IX37" i="88"/>
  <c r="HU42" i="88"/>
  <c r="GR43" i="88"/>
  <c r="IY44" i="88"/>
  <c r="BT47" i="88"/>
  <c r="BT42" i="88" s="1"/>
  <c r="CB47" i="88"/>
  <c r="CB42" i="88" s="1"/>
  <c r="CJ47" i="88"/>
  <c r="CJ42" i="88" s="1"/>
  <c r="HA48" i="88"/>
  <c r="BS47" i="88"/>
  <c r="BS42" i="88" s="1"/>
  <c r="CA47" i="88"/>
  <c r="CA42" i="88" s="1"/>
  <c r="BU47" i="88"/>
  <c r="BU42" i="88" s="1"/>
  <c r="CC47" i="88"/>
  <c r="CC42" i="88" s="1"/>
  <c r="CS47" i="88"/>
  <c r="CS42" i="88" s="1"/>
  <c r="HB50" i="88"/>
  <c r="IP51" i="88"/>
  <c r="GS52" i="88"/>
  <c r="IR52" i="88"/>
  <c r="GM54" i="88"/>
  <c r="IC54" i="88"/>
  <c r="IY55" i="88"/>
  <c r="IY57" i="88"/>
  <c r="CS64" i="88"/>
  <c r="CA64" i="88"/>
  <c r="CI63" i="88"/>
  <c r="IC66" i="88"/>
  <c r="IG66" i="88" s="1"/>
  <c r="IK66" i="88" s="1"/>
  <c r="IZ71" i="88"/>
  <c r="IP78" i="88"/>
  <c r="BU81" i="88"/>
  <c r="CC81" i="88"/>
  <c r="IA19" i="88"/>
  <c r="JX19" i="88"/>
  <c r="IC13" i="88"/>
  <c r="IS13" i="88"/>
  <c r="JX15" i="88"/>
  <c r="CA15" i="88"/>
  <c r="CA14" i="88" s="1"/>
  <c r="CA11" i="88" s="1"/>
  <c r="CI15" i="88"/>
  <c r="CI14" i="88" s="1"/>
  <c r="CI11" i="88" s="1"/>
  <c r="IC19" i="88"/>
  <c r="IG19" i="88" s="1"/>
  <c r="IC26" i="88"/>
  <c r="HC36" i="88"/>
  <c r="GU37" i="88"/>
  <c r="CR42" i="88"/>
  <c r="IA45" i="88"/>
  <c r="IC45" i="88"/>
  <c r="IG45" i="88" s="1"/>
  <c r="GM48" i="88"/>
  <c r="IY51" i="88"/>
  <c r="IB55" i="88"/>
  <c r="IV55" i="88" s="1"/>
  <c r="JA57" i="88"/>
  <c r="IQ57" i="88"/>
  <c r="HY63" i="88"/>
  <c r="BM64" i="88"/>
  <c r="HB65" i="88"/>
  <c r="BT63" i="88"/>
  <c r="CB64" i="88"/>
  <c r="CJ64" i="88"/>
  <c r="HA66" i="88"/>
  <c r="IR66" i="88"/>
  <c r="HZ68" i="88"/>
  <c r="JA68" i="88" s="1"/>
  <c r="IP68" i="88"/>
  <c r="IX68" i="88"/>
  <c r="GS69" i="88"/>
  <c r="IQ78" i="88"/>
  <c r="GW121" i="88"/>
  <c r="HG121" i="88"/>
  <c r="GR24" i="88"/>
  <c r="IR24" i="88"/>
  <c r="IA25" i="88"/>
  <c r="FY39" i="88"/>
  <c r="AD39" i="88"/>
  <c r="AL39" i="88"/>
  <c r="EL39" i="88"/>
  <c r="EL40" i="88" s="1"/>
  <c r="EM39" i="88"/>
  <c r="EU39" i="88"/>
  <c r="EU60" i="88" s="1"/>
  <c r="AN11" i="88"/>
  <c r="AN39" i="88" s="1"/>
  <c r="AN60" i="88" s="1"/>
  <c r="EN39" i="88"/>
  <c r="EV39" i="88"/>
  <c r="BK39" i="88"/>
  <c r="BU15" i="88"/>
  <c r="BU14" i="88" s="1"/>
  <c r="GM16" i="88"/>
  <c r="CS15" i="88"/>
  <c r="CS14" i="88" s="1"/>
  <c r="CS11" i="88" s="1"/>
  <c r="JT17" i="88"/>
  <c r="BT15" i="88"/>
  <c r="BT14" i="88" s="1"/>
  <c r="BT11" i="88" s="1"/>
  <c r="HZ19" i="88"/>
  <c r="GM24" i="88"/>
  <c r="IC24" i="88"/>
  <c r="IG24" i="88" s="1"/>
  <c r="IA26" i="88"/>
  <c r="HZ32" i="88"/>
  <c r="IS32" i="88" s="1"/>
  <c r="BU31" i="88"/>
  <c r="BU21" i="88" s="1"/>
  <c r="CC31" i="88"/>
  <c r="CC21" i="88" s="1"/>
  <c r="CS31" i="88"/>
  <c r="CS21" i="88" s="1"/>
  <c r="HA32" i="88"/>
  <c r="IC33" i="88"/>
  <c r="IG33" i="88" s="1"/>
  <c r="CD31" i="88"/>
  <c r="CD21" i="88" s="1"/>
  <c r="CT31" i="88"/>
  <c r="CT21" i="88" s="1"/>
  <c r="IY34" i="88"/>
  <c r="IB35" i="88"/>
  <c r="IV35" i="88" s="1"/>
  <c r="HB35" i="88"/>
  <c r="IZ35" i="88"/>
  <c r="GU36" i="88"/>
  <c r="HE36" i="88"/>
  <c r="JC36" i="88"/>
  <c r="HB37" i="88"/>
  <c r="IZ37" i="88"/>
  <c r="IA44" i="88"/>
  <c r="GQ44" i="88"/>
  <c r="GK46" i="88"/>
  <c r="GM46" i="88"/>
  <c r="GS46" i="88"/>
  <c r="GK48" i="88"/>
  <c r="HD48" i="88" s="1"/>
  <c r="CE47" i="88"/>
  <c r="CE42" i="88" s="1"/>
  <c r="CM47" i="88"/>
  <c r="CM42" i="88" s="1"/>
  <c r="CU47" i="88"/>
  <c r="CU42" i="88" s="1"/>
  <c r="EL63" i="88"/>
  <c r="ET63" i="88"/>
  <c r="FB63" i="88"/>
  <c r="BQ67" i="88"/>
  <c r="BQ63" i="88" s="1"/>
  <c r="IA69" i="88"/>
  <c r="IC86" i="88"/>
  <c r="IG86" i="88" s="1"/>
  <c r="IG111" i="88"/>
  <c r="IK111" i="88" s="1"/>
  <c r="JD111" i="88"/>
  <c r="BW31" i="88"/>
  <c r="BW21" i="88" s="1"/>
  <c r="GR49" i="88"/>
  <c r="IQ49" i="88"/>
  <c r="HZ53" i="88"/>
  <c r="IS53" i="88" s="1"/>
  <c r="BV47" i="88"/>
  <c r="BV42" i="88" s="1"/>
  <c r="GM53" i="88"/>
  <c r="HC55" i="88"/>
  <c r="IC56" i="88"/>
  <c r="IF56" i="88" s="1"/>
  <c r="GT57" i="88"/>
  <c r="IA58" i="88"/>
  <c r="IC58" i="88"/>
  <c r="IG58" i="88" s="1"/>
  <c r="IK58" i="88" s="1"/>
  <c r="HA58" i="88"/>
  <c r="HU63" i="88"/>
  <c r="HW63" i="88"/>
  <c r="IX67" i="88"/>
  <c r="BZ63" i="88"/>
  <c r="BZ72" i="88" s="1"/>
  <c r="BZ84" i="88"/>
  <c r="CH84" i="88"/>
  <c r="CH80" i="88" s="1"/>
  <c r="CH77" i="88" s="1"/>
  <c r="CH226" i="88" s="1"/>
  <c r="CP84" i="88"/>
  <c r="JV84" i="88" s="1"/>
  <c r="GK25" i="88"/>
  <c r="GT25" i="88" s="1"/>
  <c r="GM25" i="88"/>
  <c r="GL28" i="88"/>
  <c r="HB30" i="88"/>
  <c r="HZ33" i="88"/>
  <c r="IS33" i="88" s="1"/>
  <c r="GQ33" i="88"/>
  <c r="GR35" i="88"/>
  <c r="HG38" i="88"/>
  <c r="IA46" i="88"/>
  <c r="HB46" i="88"/>
  <c r="BP47" i="88"/>
  <c r="BP42" i="88" s="1"/>
  <c r="BX47" i="88"/>
  <c r="BX42" i="88" s="1"/>
  <c r="CF47" i="88"/>
  <c r="CF42" i="88" s="1"/>
  <c r="CN47" i="88"/>
  <c r="CN42" i="88" s="1"/>
  <c r="CV47" i="88"/>
  <c r="CV42" i="88" s="1"/>
  <c r="HC49" i="88"/>
  <c r="IR51" i="88"/>
  <c r="IP52" i="88"/>
  <c r="IY54" i="88"/>
  <c r="GK56" i="88"/>
  <c r="GT56" i="88" s="1"/>
  <c r="BR64" i="88"/>
  <c r="JT64" i="88" s="1"/>
  <c r="GR65" i="88"/>
  <c r="GK66" i="88"/>
  <c r="FR63" i="88"/>
  <c r="IR68" i="88"/>
  <c r="GW76" i="88"/>
  <c r="FN80" i="88"/>
  <c r="FN77" i="88" s="1"/>
  <c r="GW119" i="88"/>
  <c r="HG119" i="88"/>
  <c r="AI39" i="88"/>
  <c r="AI60" i="88" s="1"/>
  <c r="FB39" i="88"/>
  <c r="FB60" i="88" s="1"/>
  <c r="FK39" i="88"/>
  <c r="FK40" i="88" s="1"/>
  <c r="GM13" i="88"/>
  <c r="GW13" i="88" s="1"/>
  <c r="JR14" i="88"/>
  <c r="KR19" i="88"/>
  <c r="HA24" i="88"/>
  <c r="CJ21" i="88"/>
  <c r="IC29" i="88"/>
  <c r="IY29" i="88"/>
  <c r="IX31" i="88"/>
  <c r="BP31" i="88"/>
  <c r="BP21" i="88" s="1"/>
  <c r="BX31" i="88"/>
  <c r="BX21" i="88" s="1"/>
  <c r="CF31" i="88"/>
  <c r="CF21" i="88" s="1"/>
  <c r="CN31" i="88"/>
  <c r="CN21" i="88" s="1"/>
  <c r="CV31" i="88"/>
  <c r="CV21" i="88" s="1"/>
  <c r="HB33" i="88"/>
  <c r="IY33" i="88"/>
  <c r="IA34" i="88"/>
  <c r="JC34" i="88" s="1"/>
  <c r="IA35" i="88"/>
  <c r="GX36" i="88"/>
  <c r="IX36" i="88"/>
  <c r="IE37" i="88"/>
  <c r="JD37" i="88" s="1"/>
  <c r="GV37" i="88"/>
  <c r="HG37" i="88"/>
  <c r="GF42" i="88"/>
  <c r="GH42" i="88"/>
  <c r="IX43" i="88"/>
  <c r="BN47" i="88"/>
  <c r="BN42" i="88" s="1"/>
  <c r="IA50" i="88"/>
  <c r="CP47" i="88"/>
  <c r="CP42" i="88" s="1"/>
  <c r="JV42" i="88" s="1"/>
  <c r="GR51" i="88"/>
  <c r="GK52" i="88"/>
  <c r="GT52" i="88" s="1"/>
  <c r="IB52" i="88"/>
  <c r="IA55" i="88"/>
  <c r="GR56" i="88"/>
  <c r="IZ56" i="88"/>
  <c r="IF57" i="88"/>
  <c r="GR58" i="88"/>
  <c r="GQ68" i="88"/>
  <c r="HG115" i="88"/>
  <c r="GW115" i="88"/>
  <c r="GX121" i="88"/>
  <c r="GK18" i="88"/>
  <c r="HD18" i="88" s="1"/>
  <c r="CF15" i="88"/>
  <c r="CF14" i="88" s="1"/>
  <c r="CF11" i="88" s="1"/>
  <c r="HZ23" i="88"/>
  <c r="JA23" i="88" s="1"/>
  <c r="IP27" i="88"/>
  <c r="IC28" i="88"/>
  <c r="GR30" i="88"/>
  <c r="BQ31" i="88"/>
  <c r="BQ21" i="88" s="1"/>
  <c r="IA32" i="88"/>
  <c r="CG31" i="88"/>
  <c r="CG21" i="88" s="1"/>
  <c r="IQ34" i="88"/>
  <c r="GL35" i="88"/>
  <c r="CH31" i="88"/>
  <c r="CH21" i="88" s="1"/>
  <c r="FO42" i="88"/>
  <c r="IA49" i="88"/>
  <c r="IC49" i="88"/>
  <c r="IG49" i="88" s="1"/>
  <c r="IK49" i="88" s="1"/>
  <c r="GS49" i="88"/>
  <c r="GL51" i="88"/>
  <c r="IC51" i="88"/>
  <c r="IG51" i="88" s="1"/>
  <c r="GR52" i="88"/>
  <c r="GS54" i="88"/>
  <c r="IY58" i="88"/>
  <c r="GY62" i="88"/>
  <c r="HV63" i="88"/>
  <c r="EM63" i="88"/>
  <c r="EU63" i="88"/>
  <c r="FC63" i="88"/>
  <c r="BX64" i="88"/>
  <c r="CV63" i="88"/>
  <c r="GB63" i="88"/>
  <c r="GK68" i="88"/>
  <c r="HE68" i="88" s="1"/>
  <c r="BU67" i="88"/>
  <c r="BU63" i="88" s="1"/>
  <c r="IB69" i="88"/>
  <c r="JD69" i="88" s="1"/>
  <c r="GM79" i="88"/>
  <c r="IR82" i="88"/>
  <c r="IZ82" i="88"/>
  <c r="HF111" i="88"/>
  <c r="CQ11" i="88"/>
  <c r="HA23" i="88"/>
  <c r="AJ39" i="88"/>
  <c r="FD39" i="88"/>
  <c r="JT16" i="88"/>
  <c r="BX15" i="88"/>
  <c r="BX14" i="88" s="1"/>
  <c r="BX11" i="88" s="1"/>
  <c r="CN15" i="88"/>
  <c r="CN14" i="88" s="1"/>
  <c r="CN11" i="88" s="1"/>
  <c r="GM12" i="88"/>
  <c r="EW39" i="88"/>
  <c r="EW60" i="88" s="1"/>
  <c r="FE39" i="88"/>
  <c r="JU13" i="88"/>
  <c r="BR15" i="88"/>
  <c r="BR14" i="88" s="1"/>
  <c r="BR11" i="88" s="1"/>
  <c r="JT11" i="88" s="1"/>
  <c r="BZ15" i="88"/>
  <c r="BZ14" i="88" s="1"/>
  <c r="BZ11" i="88" s="1"/>
  <c r="CH15" i="88"/>
  <c r="CH14" i="88" s="1"/>
  <c r="HZ17" i="88"/>
  <c r="IS17" i="88" s="1"/>
  <c r="IP17" i="88"/>
  <c r="IJ22" i="88"/>
  <c r="GS23" i="88"/>
  <c r="GS24" i="88"/>
  <c r="GS26" i="88"/>
  <c r="GL27" i="88"/>
  <c r="GK29" i="88"/>
  <c r="IJ37" i="88"/>
  <c r="GM58" i="88"/>
  <c r="GW58" i="88" s="1"/>
  <c r="GQ80" i="88"/>
  <c r="HA81" i="88"/>
  <c r="BP81" i="88"/>
  <c r="BP80" i="88" s="1"/>
  <c r="BP77" i="88" s="1"/>
  <c r="BX81" i="88"/>
  <c r="CF81" i="88"/>
  <c r="HX84" i="88"/>
  <c r="IQ84" i="88" s="1"/>
  <c r="GY88" i="88"/>
  <c r="HY89" i="88"/>
  <c r="CU89" i="88"/>
  <c r="IR109" i="88"/>
  <c r="IX109" i="88"/>
  <c r="BY109" i="88"/>
  <c r="GX110" i="88"/>
  <c r="GV114" i="88"/>
  <c r="HG120" i="88"/>
  <c r="GH130" i="88"/>
  <c r="AN129" i="88"/>
  <c r="AN158" i="88" s="1"/>
  <c r="HA80" i="88"/>
  <c r="BQ81" i="88"/>
  <c r="BQ80" i="88" s="1"/>
  <c r="BQ77" i="88" s="1"/>
  <c r="CG81" i="88"/>
  <c r="CO81" i="88"/>
  <c r="CO80" i="88" s="1"/>
  <c r="CO77" i="88" s="1"/>
  <c r="BT91" i="88"/>
  <c r="BT89" i="88" s="1"/>
  <c r="CJ91" i="88"/>
  <c r="CJ89" i="88" s="1"/>
  <c r="CR91" i="88"/>
  <c r="CR89" i="88" s="1"/>
  <c r="IC93" i="88"/>
  <c r="IG93" i="88" s="1"/>
  <c r="GY99" i="88"/>
  <c r="GW102" i="88"/>
  <c r="GQ111" i="88"/>
  <c r="HB111" i="88"/>
  <c r="IS111" i="88"/>
  <c r="HC115" i="88"/>
  <c r="GR119" i="88"/>
  <c r="HB119" i="88"/>
  <c r="IP121" i="88"/>
  <c r="GQ122" i="88"/>
  <c r="IT123" i="88"/>
  <c r="IZ124" i="88"/>
  <c r="AW63" i="88"/>
  <c r="CL67" i="88"/>
  <c r="CL63" i="88" s="1"/>
  <c r="HZ70" i="88"/>
  <c r="JA70" i="88" s="1"/>
  <c r="GL70" i="88"/>
  <c r="IT71" i="88"/>
  <c r="JB71" i="88"/>
  <c r="HF73" i="88"/>
  <c r="HI76" i="88"/>
  <c r="IC78" i="88"/>
  <c r="IG78" i="88" s="1"/>
  <c r="DN77" i="88"/>
  <c r="BK80" i="88"/>
  <c r="BK77" i="88" s="1"/>
  <c r="FO80" i="88"/>
  <c r="FO77" i="88" s="1"/>
  <c r="CP81" i="88"/>
  <c r="JV81" i="88" s="1"/>
  <c r="AZ80" i="88"/>
  <c r="IY83" i="88"/>
  <c r="GQ85" i="88"/>
  <c r="GR86" i="88"/>
  <c r="GR87" i="88"/>
  <c r="HF88" i="88"/>
  <c r="GI91" i="88"/>
  <c r="HC91" i="88" s="1"/>
  <c r="GS92" i="88"/>
  <c r="IP95" i="88"/>
  <c r="EB212" i="88"/>
  <c r="IZ109" i="88"/>
  <c r="GR111" i="88"/>
  <c r="FI109" i="88"/>
  <c r="FY109" i="88"/>
  <c r="GH274" i="88"/>
  <c r="GR114" i="88"/>
  <c r="IX114" i="88"/>
  <c r="GT115" i="88"/>
  <c r="IR116" i="88"/>
  <c r="DM116" i="88"/>
  <c r="DM109" i="88" s="1"/>
  <c r="DU116" i="88"/>
  <c r="GQ117" i="88"/>
  <c r="HC119" i="88"/>
  <c r="HC121" i="88"/>
  <c r="IY121" i="88"/>
  <c r="IP123" i="88"/>
  <c r="HF124" i="88"/>
  <c r="IT124" i="88"/>
  <c r="IS124" i="88"/>
  <c r="JA124" i="88"/>
  <c r="JA127" i="88"/>
  <c r="IS127" i="88"/>
  <c r="IZ132" i="88"/>
  <c r="IR132" i="88"/>
  <c r="BS133" i="88"/>
  <c r="CI133" i="88"/>
  <c r="CQ133" i="88"/>
  <c r="JC71" i="88"/>
  <c r="GH77" i="88"/>
  <c r="BD80" i="88"/>
  <c r="BD77" i="88" s="1"/>
  <c r="BL80" i="88"/>
  <c r="BL77" i="88" s="1"/>
  <c r="IC83" i="88"/>
  <c r="IG83" i="88" s="1"/>
  <c r="FL80" i="88"/>
  <c r="FL77" i="88" s="1"/>
  <c r="GS85" i="88"/>
  <c r="IP86" i="88"/>
  <c r="HG88" i="88"/>
  <c r="DQ89" i="88"/>
  <c r="BN91" i="88"/>
  <c r="BN89" i="88" s="1"/>
  <c r="IP94" i="88"/>
  <c r="HF99" i="88"/>
  <c r="HC111" i="88"/>
  <c r="GS111" i="88"/>
  <c r="HG111" i="88"/>
  <c r="CS117" i="88"/>
  <c r="CS116" i="88" s="1"/>
  <c r="CS109" i="88" s="1"/>
  <c r="IQ118" i="88"/>
  <c r="IR119" i="88"/>
  <c r="IR120" i="88"/>
  <c r="IV125" i="88"/>
  <c r="GS126" i="88"/>
  <c r="IV126" i="88"/>
  <c r="HB134" i="88"/>
  <c r="GS134" i="88"/>
  <c r="GR134" i="88"/>
  <c r="CJ133" i="88"/>
  <c r="GL133" i="88" s="1"/>
  <c r="GL134" i="88"/>
  <c r="HF134" i="88" s="1"/>
  <c r="IE134" i="88"/>
  <c r="IG134" i="88" s="1"/>
  <c r="IJ134" i="88" s="1"/>
  <c r="DO133" i="88"/>
  <c r="IE133" i="88" s="1"/>
  <c r="BW89" i="88"/>
  <c r="GQ110" i="88"/>
  <c r="GU111" i="88"/>
  <c r="GR115" i="88"/>
  <c r="AZ116" i="88"/>
  <c r="GI116" i="88" s="1"/>
  <c r="GR116" i="88" s="1"/>
  <c r="GI117" i="88"/>
  <c r="IZ117" i="88"/>
  <c r="BN117" i="88"/>
  <c r="BN116" i="88" s="1"/>
  <c r="BN109" i="88" s="1"/>
  <c r="BV117" i="88"/>
  <c r="BV116" i="88" s="1"/>
  <c r="BV274" i="88" s="1"/>
  <c r="CL117" i="88"/>
  <c r="CL116" i="88" s="1"/>
  <c r="CM219" i="88" s="1"/>
  <c r="FJ117" i="88"/>
  <c r="FJ116" i="88" s="1"/>
  <c r="GN118" i="88"/>
  <c r="HH118" i="88" s="1"/>
  <c r="FR117" i="88"/>
  <c r="FZ117" i="88"/>
  <c r="FZ116" i="88" s="1"/>
  <c r="FZ109" i="88" s="1"/>
  <c r="GS120" i="88"/>
  <c r="IR122" i="88"/>
  <c r="JC126" i="88"/>
  <c r="IU126" i="88"/>
  <c r="GS133" i="88"/>
  <c r="HC133" i="88"/>
  <c r="EK80" i="88"/>
  <c r="EK77" i="88" s="1"/>
  <c r="ES80" i="88"/>
  <c r="ES77" i="88" s="1"/>
  <c r="FA80" i="88"/>
  <c r="FA77" i="88" s="1"/>
  <c r="GR83" i="88"/>
  <c r="GI84" i="88"/>
  <c r="HB84" i="88" s="1"/>
  <c r="BP91" i="88"/>
  <c r="BP89" i="88" s="1"/>
  <c r="BX91" i="88"/>
  <c r="BX89" i="88" s="1"/>
  <c r="CF91" i="88"/>
  <c r="CF89" i="88" s="1"/>
  <c r="IB94" i="88"/>
  <c r="JD94" i="88" s="1"/>
  <c r="IU113" i="88"/>
  <c r="HZ117" i="88"/>
  <c r="JA117" i="88" s="1"/>
  <c r="IC118" i="88"/>
  <c r="GW120" i="88"/>
  <c r="CH67" i="88"/>
  <c r="CH63" i="88" s="1"/>
  <c r="CP67" i="88"/>
  <c r="CP63" i="88" s="1"/>
  <c r="JV63" i="88" s="1"/>
  <c r="FN63" i="88"/>
  <c r="JD71" i="88"/>
  <c r="CE77" i="88"/>
  <c r="IB78" i="88"/>
  <c r="DR77" i="88"/>
  <c r="BG80" i="88"/>
  <c r="FJ80" i="88"/>
  <c r="FJ77" i="88" s="1"/>
  <c r="BN81" i="88"/>
  <c r="CD81" i="88"/>
  <c r="JU81" i="88" s="1"/>
  <c r="GK83" i="88"/>
  <c r="HD83" i="88" s="1"/>
  <c r="BU84" i="88"/>
  <c r="CC84" i="88"/>
  <c r="CS84" i="88"/>
  <c r="IA86" i="88"/>
  <c r="HA86" i="88"/>
  <c r="CB84" i="88"/>
  <c r="CB80" i="88" s="1"/>
  <c r="CB77" i="88" s="1"/>
  <c r="CJ84" i="88"/>
  <c r="CJ80" i="88" s="1"/>
  <c r="CJ77" i="88" s="1"/>
  <c r="CR84" i="88"/>
  <c r="DT89" i="88"/>
  <c r="GC89" i="88"/>
  <c r="BS91" i="88"/>
  <c r="BS89" i="88" s="1"/>
  <c r="CA91" i="88"/>
  <c r="CA89" i="88" s="1"/>
  <c r="CI91" i="88"/>
  <c r="CI89" i="88" s="1"/>
  <c r="CQ91" i="88"/>
  <c r="CQ89" i="88" s="1"/>
  <c r="JA111" i="88"/>
  <c r="IP113" i="88"/>
  <c r="IU114" i="88"/>
  <c r="GS114" i="88"/>
  <c r="HA115" i="88"/>
  <c r="IQ116" i="88"/>
  <c r="BP117" i="88"/>
  <c r="BP116" i="88" s="1"/>
  <c r="BP109" i="88" s="1"/>
  <c r="CF117" i="88"/>
  <c r="CF116" i="88" s="1"/>
  <c r="CF109" i="88" s="1"/>
  <c r="GS118" i="88"/>
  <c r="BT117" i="88"/>
  <c r="BT116" i="88" s="1"/>
  <c r="BT109" i="88" s="1"/>
  <c r="CB117" i="88"/>
  <c r="CB116" i="88" s="1"/>
  <c r="CR117" i="88"/>
  <c r="CR116" i="88" s="1"/>
  <c r="IQ120" i="88"/>
  <c r="HB121" i="88"/>
  <c r="IQ121" i="88"/>
  <c r="IS122" i="88"/>
  <c r="IY122" i="88"/>
  <c r="IU123" i="88"/>
  <c r="GX123" i="88"/>
  <c r="IY123" i="88"/>
  <c r="IZ123" i="88"/>
  <c r="IQ130" i="88"/>
  <c r="IZ130" i="88"/>
  <c r="FV80" i="88"/>
  <c r="FV77" i="88" s="1"/>
  <c r="EN80" i="88"/>
  <c r="EN77" i="88" s="1"/>
  <c r="FD80" i="88"/>
  <c r="FD77" i="88" s="1"/>
  <c r="BN84" i="88"/>
  <c r="BV84" i="88"/>
  <c r="BV80" i="88" s="1"/>
  <c r="BV77" i="88" s="1"/>
  <c r="CD84" i="88"/>
  <c r="JU84" i="88" s="1"/>
  <c r="CL84" i="88"/>
  <c r="CT84" i="88"/>
  <c r="CT80" i="88" s="1"/>
  <c r="CT77" i="88" s="1"/>
  <c r="IB86" i="88"/>
  <c r="GW88" i="88"/>
  <c r="GR95" i="88"/>
  <c r="GD109" i="88"/>
  <c r="HD115" i="88"/>
  <c r="CD117" i="88"/>
  <c r="IA117" i="88" s="1"/>
  <c r="CP117" i="88"/>
  <c r="JV117" i="88" s="1"/>
  <c r="CG117" i="88"/>
  <c r="CG116" i="88" s="1"/>
  <c r="CG109" i="88" s="1"/>
  <c r="IY118" i="88"/>
  <c r="HA119" i="88"/>
  <c r="GQ120" i="88"/>
  <c r="IX120" i="88"/>
  <c r="IX121" i="88"/>
  <c r="HC124" i="88"/>
  <c r="IX124" i="88"/>
  <c r="HA126" i="88"/>
  <c r="IP132" i="88"/>
  <c r="BN133" i="88"/>
  <c r="BV133" i="88"/>
  <c r="JB135" i="88"/>
  <c r="CL133" i="88"/>
  <c r="CT133" i="88"/>
  <c r="HA136" i="88"/>
  <c r="IV136" i="88"/>
  <c r="IG136" i="88"/>
  <c r="IK136" i="88" s="1"/>
  <c r="HG148" i="88"/>
  <c r="GW148" i="88"/>
  <c r="JC132" i="88"/>
  <c r="IR134" i="88"/>
  <c r="IQ136" i="88"/>
  <c r="BS141" i="88"/>
  <c r="CA141" i="88"/>
  <c r="CA131" i="88" s="1"/>
  <c r="CI141" i="88"/>
  <c r="CQ141" i="88"/>
  <c r="DN141" i="88"/>
  <c r="DN131" i="88" s="1"/>
  <c r="DN130" i="88" s="1"/>
  <c r="DN129" i="88" s="1"/>
  <c r="FG141" i="88"/>
  <c r="FG131" i="88" s="1"/>
  <c r="FG130" i="88" s="1"/>
  <c r="FG129" i="88" s="1"/>
  <c r="FO141" i="88"/>
  <c r="FO131" i="88" s="1"/>
  <c r="FO130" i="88" s="1"/>
  <c r="FW141" i="88"/>
  <c r="FW131" i="88" s="1"/>
  <c r="FW130" i="88" s="1"/>
  <c r="FW129" i="88" s="1"/>
  <c r="IX132" i="88"/>
  <c r="BX133" i="88"/>
  <c r="HA133" i="88"/>
  <c r="BQ133" i="88"/>
  <c r="BY133" i="88"/>
  <c r="CG133" i="88"/>
  <c r="CO133" i="88"/>
  <c r="IY136" i="88"/>
  <c r="GV144" i="88"/>
  <c r="HF144" i="88"/>
  <c r="HF118" i="88"/>
  <c r="IK118" i="88"/>
  <c r="IJ119" i="88"/>
  <c r="IX119" i="88"/>
  <c r="GR120" i="88"/>
  <c r="IR121" i="88"/>
  <c r="HB122" i="88"/>
  <c r="GQ124" i="88"/>
  <c r="GQ125" i="88"/>
  <c r="IR126" i="88"/>
  <c r="GQ127" i="88"/>
  <c r="GD131" i="88"/>
  <c r="GD130" i="88" s="1"/>
  <c r="GD129" i="88" s="1"/>
  <c r="GQ135" i="88"/>
  <c r="HA135" i="88"/>
  <c r="GU136" i="88"/>
  <c r="HE136" i="88"/>
  <c r="IX138" i="88"/>
  <c r="IP138" i="88"/>
  <c r="IA139" i="88"/>
  <c r="IT139" i="88" s="1"/>
  <c r="CD137" i="88"/>
  <c r="IA137" i="88" s="1"/>
  <c r="HG145" i="88"/>
  <c r="GW145" i="88"/>
  <c r="JC149" i="88"/>
  <c r="JD149" i="88"/>
  <c r="IV149" i="88"/>
  <c r="IU149" i="88"/>
  <c r="GR125" i="88"/>
  <c r="IZ125" i="88"/>
  <c r="JB126" i="88"/>
  <c r="JB127" i="88"/>
  <c r="HC127" i="88"/>
  <c r="IQ127" i="88"/>
  <c r="HF128" i="88"/>
  <c r="IP130" i="88"/>
  <c r="GR133" i="88"/>
  <c r="IZ133" i="88"/>
  <c r="JC135" i="88"/>
  <c r="HB135" i="88"/>
  <c r="IX135" i="88"/>
  <c r="GY136" i="88"/>
  <c r="HI136" i="88"/>
  <c r="CJ137" i="88"/>
  <c r="GL137" i="88" s="1"/>
  <c r="GL138" i="88"/>
  <c r="HF138" i="88" s="1"/>
  <c r="GT138" i="88"/>
  <c r="GY140" i="88"/>
  <c r="HI140" i="88"/>
  <c r="JC148" i="88"/>
  <c r="IV148" i="88"/>
  <c r="IU148" i="88"/>
  <c r="IQ111" i="88"/>
  <c r="HC114" i="88"/>
  <c r="IX115" i="88"/>
  <c r="DQ116" i="88"/>
  <c r="DQ109" i="88" s="1"/>
  <c r="BS117" i="88"/>
  <c r="BS116" i="88" s="1"/>
  <c r="BS109" i="88" s="1"/>
  <c r="CA117" i="88"/>
  <c r="CA116" i="88" s="1"/>
  <c r="CA109" i="88" s="1"/>
  <c r="CQ117" i="88"/>
  <c r="CQ116" i="88" s="1"/>
  <c r="CQ109" i="88" s="1"/>
  <c r="HD124" i="88"/>
  <c r="HA125" i="88"/>
  <c r="GU128" i="88"/>
  <c r="IR130" i="88"/>
  <c r="DR131" i="88"/>
  <c r="DR130" i="88" s="1"/>
  <c r="HC132" i="88"/>
  <c r="GS132" i="88"/>
  <c r="IZ134" i="88"/>
  <c r="IZ136" i="88"/>
  <c r="BV137" i="88"/>
  <c r="CL137" i="88"/>
  <c r="IC137" i="88"/>
  <c r="GX138" i="88"/>
  <c r="HI138" i="88"/>
  <c r="GR127" i="88"/>
  <c r="IX129" i="88"/>
  <c r="FL133" i="88"/>
  <c r="HB133" i="88"/>
  <c r="HC134" i="88"/>
  <c r="IR131" i="88"/>
  <c r="GX136" i="88"/>
  <c r="IX136" i="88"/>
  <c r="IP136" i="88"/>
  <c r="BZ137" i="88"/>
  <c r="CH137" i="88"/>
  <c r="GR138" i="88"/>
  <c r="HB138" i="88"/>
  <c r="BX141" i="88"/>
  <c r="GK141" i="88" s="1"/>
  <c r="HD141" i="88" s="1"/>
  <c r="IU145" i="88"/>
  <c r="HC147" i="88"/>
  <c r="IJ148" i="88"/>
  <c r="HC149" i="88"/>
  <c r="FL150" i="88"/>
  <c r="ID150" i="88" s="1"/>
  <c r="IH150" i="88" s="1"/>
  <c r="IQ151" i="88"/>
  <c r="HI153" i="88"/>
  <c r="HA153" i="88"/>
  <c r="IX154" i="88"/>
  <c r="BN161" i="88"/>
  <c r="IE161" i="88"/>
  <c r="IE271" i="88" s="1"/>
  <c r="CQ168" i="88"/>
  <c r="FW168" i="88"/>
  <c r="GU140" i="88"/>
  <c r="GQ144" i="88"/>
  <c r="IX144" i="88"/>
  <c r="IP148" i="88"/>
  <c r="CJ150" i="88"/>
  <c r="GL150" i="88" s="1"/>
  <c r="GT156" i="88"/>
  <c r="HD156" i="88"/>
  <c r="GL162" i="88"/>
  <c r="CJ161" i="88"/>
  <c r="GL161" i="88" s="1"/>
  <c r="JC170" i="88"/>
  <c r="IU170" i="88"/>
  <c r="HE145" i="88"/>
  <c r="IX151" i="88"/>
  <c r="IP151" i="88"/>
  <c r="IY151" i="88"/>
  <c r="HA168" i="88"/>
  <c r="GQ168" i="88"/>
  <c r="HG174" i="88"/>
  <c r="HH174" i="88"/>
  <c r="GQ137" i="88"/>
  <c r="BM137" i="88"/>
  <c r="BU137" i="88"/>
  <c r="BU131" i="88" s="1"/>
  <c r="CC137" i="88"/>
  <c r="CK137" i="88"/>
  <c r="CS137" i="88"/>
  <c r="CS131" i="88" s="1"/>
  <c r="GX139" i="88"/>
  <c r="HG140" i="88"/>
  <c r="IR141" i="88"/>
  <c r="JD142" i="88"/>
  <c r="IV143" i="88"/>
  <c r="FH141" i="88"/>
  <c r="FH131" i="88" s="1"/>
  <c r="FH130" i="88" s="1"/>
  <c r="FH129" i="88" s="1"/>
  <c r="FP141" i="88"/>
  <c r="FP131" i="88" s="1"/>
  <c r="FP130" i="88" s="1"/>
  <c r="FP129" i="88" s="1"/>
  <c r="HA145" i="88"/>
  <c r="IV145" i="88"/>
  <c r="IQ147" i="88"/>
  <c r="IQ148" i="88"/>
  <c r="GW149" i="88"/>
  <c r="IY149" i="88"/>
  <c r="GQ150" i="88"/>
  <c r="GR151" i="88"/>
  <c r="IX152" i="88"/>
  <c r="IX153" i="88"/>
  <c r="IP153" i="88"/>
  <c r="IY154" i="88"/>
  <c r="CD168" i="88"/>
  <c r="IA168" i="88" s="1"/>
  <c r="IA169" i="88"/>
  <c r="JC169" i="88" s="1"/>
  <c r="IC168" i="88"/>
  <c r="IC169" i="88"/>
  <c r="GN169" i="88"/>
  <c r="GW169" i="88" s="1"/>
  <c r="FR168" i="88"/>
  <c r="GN168" i="88" s="1"/>
  <c r="HH168" i="88" s="1"/>
  <c r="GR169" i="88"/>
  <c r="HB169" i="88"/>
  <c r="GT136" i="88"/>
  <c r="HB137" i="88"/>
  <c r="GX140" i="88"/>
  <c r="IX140" i="88"/>
  <c r="HA141" i="88"/>
  <c r="HA143" i="88"/>
  <c r="IQ143" i="88"/>
  <c r="GS144" i="88"/>
  <c r="HB145" i="88"/>
  <c r="JD146" i="88"/>
  <c r="HB150" i="88"/>
  <c r="FK150" i="88"/>
  <c r="FS150" i="88"/>
  <c r="GA150" i="88"/>
  <c r="HC151" i="88"/>
  <c r="GQ152" i="88"/>
  <c r="IQ152" i="88"/>
  <c r="HF135" i="88"/>
  <c r="HC137" i="88"/>
  <c r="HG138" i="88"/>
  <c r="GQ139" i="88"/>
  <c r="HF139" i="88"/>
  <c r="HA140" i="88"/>
  <c r="IR140" i="88"/>
  <c r="IY140" i="88"/>
  <c r="GS141" i="88"/>
  <c r="IY142" i="88"/>
  <c r="FJ141" i="88"/>
  <c r="FJ131" i="88" s="1"/>
  <c r="FJ130" i="88" s="1"/>
  <c r="FJ129" i="88" s="1"/>
  <c r="FZ141" i="88"/>
  <c r="FZ131" i="88" s="1"/>
  <c r="FZ130" i="88" s="1"/>
  <c r="HB143" i="88"/>
  <c r="GS145" i="88"/>
  <c r="IY148" i="88"/>
  <c r="DO150" i="88"/>
  <c r="IE150" i="88" s="1"/>
  <c r="JD150" i="88" s="1"/>
  <c r="IP150" i="88"/>
  <c r="BP150" i="88"/>
  <c r="CF150" i="88"/>
  <c r="CN150" i="88"/>
  <c r="DK150" i="88"/>
  <c r="DS150" i="88"/>
  <c r="HB152" i="88"/>
  <c r="IR153" i="88"/>
  <c r="IV156" i="88"/>
  <c r="HB140" i="88"/>
  <c r="HG144" i="88"/>
  <c r="IQ150" i="88"/>
  <c r="HA151" i="88"/>
  <c r="CT161" i="88"/>
  <c r="GQ134" i="88"/>
  <c r="CE133" i="88"/>
  <c r="CM133" i="88"/>
  <c r="HG136" i="88"/>
  <c r="GQ138" i="88"/>
  <c r="HA138" i="88"/>
  <c r="IY138" i="88"/>
  <c r="HC139" i="88"/>
  <c r="HD140" i="88"/>
  <c r="HE140" i="88"/>
  <c r="GW147" i="88"/>
  <c r="HB147" i="88"/>
  <c r="IR147" i="88"/>
  <c r="IZ147" i="88"/>
  <c r="HB149" i="88"/>
  <c r="BR150" i="88"/>
  <c r="HZ150" i="88" s="1"/>
  <c r="JA150" i="88" s="1"/>
  <c r="DU150" i="88"/>
  <c r="HA150" i="88"/>
  <c r="HI151" i="88"/>
  <c r="HB151" i="88"/>
  <c r="IP152" i="88"/>
  <c r="GR153" i="88"/>
  <c r="GQ154" i="88"/>
  <c r="IU155" i="88"/>
  <c r="GA160" i="88"/>
  <c r="GA194" i="88" s="1"/>
  <c r="CE245" i="88"/>
  <c r="CE246" i="88" s="1"/>
  <c r="IA164" i="88"/>
  <c r="EV160" i="88"/>
  <c r="HC163" i="88"/>
  <c r="BS168" i="88"/>
  <c r="CI168" i="88"/>
  <c r="FG168" i="88"/>
  <c r="FG160" i="88" s="1"/>
  <c r="FO168" i="88"/>
  <c r="FO160" i="88" s="1"/>
  <c r="IQ170" i="88"/>
  <c r="GT171" i="88"/>
  <c r="IA172" i="88"/>
  <c r="JB172" i="88" s="1"/>
  <c r="GN184" i="88"/>
  <c r="GX184" i="88" s="1"/>
  <c r="IP184" i="88"/>
  <c r="GS187" i="88"/>
  <c r="HC187" i="88"/>
  <c r="IY155" i="88"/>
  <c r="GR156" i="88"/>
  <c r="IP156" i="88"/>
  <c r="IY160" i="88"/>
  <c r="IZ160" i="88"/>
  <c r="DY160" i="88"/>
  <c r="DY212" i="88" s="1"/>
  <c r="EO160" i="88"/>
  <c r="EO212" i="88" s="1"/>
  <c r="EW160" i="88"/>
  <c r="EW212" i="88" s="1"/>
  <c r="FE160" i="88"/>
  <c r="FE212" i="88" s="1"/>
  <c r="IR163" i="88"/>
  <c r="IR164" i="88"/>
  <c r="HC166" i="88"/>
  <c r="FL168" i="88"/>
  <c r="ID168" i="88" s="1"/>
  <c r="IH168" i="88" s="1"/>
  <c r="IR171" i="88"/>
  <c r="IC172" i="88"/>
  <c r="IY175" i="88"/>
  <c r="IQ175" i="88"/>
  <c r="CD185" i="88"/>
  <c r="DP196" i="88"/>
  <c r="IR201" i="88"/>
  <c r="IZ201" i="88"/>
  <c r="ID203" i="88"/>
  <c r="IH203" i="88" s="1"/>
  <c r="FL200" i="88"/>
  <c r="ID200" i="88" s="1"/>
  <c r="IH200" i="88" s="1"/>
  <c r="HC154" i="88"/>
  <c r="GR155" i="88"/>
  <c r="HC156" i="88"/>
  <c r="IY156" i="88"/>
  <c r="GW157" i="88"/>
  <c r="GW159" i="88"/>
  <c r="DZ160" i="88"/>
  <c r="DZ212" i="88" s="1"/>
  <c r="EH160" i="88"/>
  <c r="EH212" i="88" s="1"/>
  <c r="EP160" i="88"/>
  <c r="EX160" i="88"/>
  <c r="EX194" i="88" s="1"/>
  <c r="EX210" i="88" s="1"/>
  <c r="FF160" i="88"/>
  <c r="IP165" i="88"/>
  <c r="HH167" i="88"/>
  <c r="GR168" i="88"/>
  <c r="HA169" i="88"/>
  <c r="IR170" i="88"/>
  <c r="FL171" i="88"/>
  <c r="ID171" i="88" s="1"/>
  <c r="IH171" i="88" s="1"/>
  <c r="IZ174" i="88"/>
  <c r="IR178" i="88"/>
  <c r="FG182" i="88"/>
  <c r="FO182" i="88"/>
  <c r="FW182" i="88"/>
  <c r="GR175" i="88"/>
  <c r="HB175" i="88"/>
  <c r="FN182" i="88"/>
  <c r="IR197" i="88"/>
  <c r="IZ197" i="88"/>
  <c r="IU199" i="88"/>
  <c r="HB200" i="88"/>
  <c r="GR200" i="88"/>
  <c r="HB153" i="88"/>
  <c r="IQ154" i="88"/>
  <c r="GS156" i="88"/>
  <c r="HF159" i="88"/>
  <c r="HB162" i="88"/>
  <c r="IP162" i="88"/>
  <c r="GR163" i="88"/>
  <c r="IX165" i="88"/>
  <c r="IX166" i="88"/>
  <c r="HA167" i="88"/>
  <c r="IR168" i="88"/>
  <c r="BW168" i="88"/>
  <c r="CE168" i="88"/>
  <c r="CM168" i="88"/>
  <c r="DJ168" i="88"/>
  <c r="DR168" i="88"/>
  <c r="FK168" i="88"/>
  <c r="FS168" i="88"/>
  <c r="GA168" i="88"/>
  <c r="HC169" i="88"/>
  <c r="IQ174" i="88"/>
  <c r="IR183" i="88"/>
  <c r="IZ183" i="88"/>
  <c r="BU188" i="88"/>
  <c r="BU182" i="88" s="1"/>
  <c r="CK188" i="88"/>
  <c r="CK182" i="88" s="1"/>
  <c r="CS188" i="88"/>
  <c r="CS182" i="88" s="1"/>
  <c r="DP188" i="88"/>
  <c r="DP182" i="88" s="1"/>
  <c r="FI188" i="88"/>
  <c r="FI182" i="88" s="1"/>
  <c r="FY188" i="88"/>
  <c r="FY182" i="88" s="1"/>
  <c r="AB270" i="88"/>
  <c r="GG196" i="88"/>
  <c r="IU197" i="88"/>
  <c r="FR200" i="88"/>
  <c r="GN200" i="88" s="1"/>
  <c r="GU169" i="88"/>
  <c r="HF170" i="88"/>
  <c r="BM171" i="88"/>
  <c r="CC171" i="88"/>
  <c r="FQ175" i="88"/>
  <c r="FQ160" i="88" s="1"/>
  <c r="CT182" i="88"/>
  <c r="DQ182" i="88"/>
  <c r="DQ194" i="88" s="1"/>
  <c r="ID199" i="88"/>
  <c r="IH199" i="88" s="1"/>
  <c r="FL196" i="88"/>
  <c r="ID196" i="88" s="1"/>
  <c r="IH196" i="88" s="1"/>
  <c r="IZ199" i="88"/>
  <c r="BO161" i="88"/>
  <c r="BW161" i="88"/>
  <c r="CE161" i="88"/>
  <c r="CE224" i="88" s="1"/>
  <c r="CM161" i="88"/>
  <c r="CU161" i="88"/>
  <c r="GS162" i="88"/>
  <c r="IZ162" i="88"/>
  <c r="HA165" i="88"/>
  <c r="IZ165" i="88"/>
  <c r="HC167" i="88"/>
  <c r="GR170" i="88"/>
  <c r="GR172" i="88"/>
  <c r="IY172" i="88"/>
  <c r="IY173" i="88"/>
  <c r="GR174" i="88"/>
  <c r="GT178" i="88"/>
  <c r="HD178" i="88"/>
  <c r="FK182" i="88"/>
  <c r="FS182" i="88"/>
  <c r="IQ184" i="88"/>
  <c r="FT196" i="88"/>
  <c r="IX155" i="88"/>
  <c r="GQ156" i="88"/>
  <c r="FL161" i="88"/>
  <c r="ID161" i="88" s="1"/>
  <c r="IH161" i="88" s="1"/>
  <c r="FT161" i="88"/>
  <c r="FT160" i="88" s="1"/>
  <c r="GB161" i="88"/>
  <c r="GB160" i="88" s="1"/>
  <c r="HB165" i="88"/>
  <c r="GQ166" i="88"/>
  <c r="GT167" i="88"/>
  <c r="GY167" i="88"/>
  <c r="IR167" i="88"/>
  <c r="HC170" i="88"/>
  <c r="HA171" i="88"/>
  <c r="HC172" i="88"/>
  <c r="IR172" i="88"/>
  <c r="HC173" i="88"/>
  <c r="IR173" i="88"/>
  <c r="HC174" i="88"/>
  <c r="FT182" i="88"/>
  <c r="GB182" i="88"/>
  <c r="IA190" i="88"/>
  <c r="CD188" i="88"/>
  <c r="IA188" i="88" s="1"/>
  <c r="IC190" i="88"/>
  <c r="IC188" i="88"/>
  <c r="GN190" i="88"/>
  <c r="GX190" i="88" s="1"/>
  <c r="FR188" i="88"/>
  <c r="GN188" i="88" s="1"/>
  <c r="GX199" i="88"/>
  <c r="IZ200" i="88"/>
  <c r="IY200" i="88"/>
  <c r="FM196" i="88"/>
  <c r="FU196" i="88"/>
  <c r="GY183" i="88"/>
  <c r="FL188" i="88"/>
  <c r="ID188" i="88" s="1"/>
  <c r="IH188" i="88" s="1"/>
  <c r="BP200" i="88"/>
  <c r="BX200" i="88"/>
  <c r="GK200" i="88" s="1"/>
  <c r="GT200" i="88" s="1"/>
  <c r="CF200" i="88"/>
  <c r="CN200" i="88"/>
  <c r="CV200" i="88"/>
  <c r="GM200" i="88" s="1"/>
  <c r="DK200" i="88"/>
  <c r="DK196" i="88" s="1"/>
  <c r="DS200" i="88"/>
  <c r="DS196" i="88" s="1"/>
  <c r="IR175" i="88"/>
  <c r="IZ179" i="88"/>
  <c r="GQ185" i="88"/>
  <c r="GR189" i="88"/>
  <c r="IY189" i="88"/>
  <c r="GT191" i="88"/>
  <c r="GL191" i="88"/>
  <c r="GV191" i="88" s="1"/>
  <c r="HH192" i="88"/>
  <c r="BL196" i="88"/>
  <c r="GJ196" i="88" s="1"/>
  <c r="FH196" i="88"/>
  <c r="FP196" i="88"/>
  <c r="HB197" i="88"/>
  <c r="IY198" i="88"/>
  <c r="IX198" i="88"/>
  <c r="BQ200" i="88"/>
  <c r="BY200" i="88"/>
  <c r="CG200" i="88"/>
  <c r="CO200" i="88"/>
  <c r="DL200" i="88"/>
  <c r="DL196" i="88" s="1"/>
  <c r="DT200" i="88"/>
  <c r="DT196" i="88" s="1"/>
  <c r="HA201" i="88"/>
  <c r="HA204" i="88"/>
  <c r="JA204" i="88"/>
  <c r="HC206" i="88"/>
  <c r="IR206" i="88"/>
  <c r="HB207" i="88"/>
  <c r="BR263" i="88"/>
  <c r="BZ263" i="88"/>
  <c r="CH263" i="88"/>
  <c r="CP263" i="88"/>
  <c r="CX263" i="88"/>
  <c r="BR175" i="88"/>
  <c r="HZ175" i="88" s="1"/>
  <c r="IS175" i="88" s="1"/>
  <c r="BZ175" i="88"/>
  <c r="CH175" i="88"/>
  <c r="CP175" i="88"/>
  <c r="IB175" i="88" s="1"/>
  <c r="DM175" i="88"/>
  <c r="DU175" i="88"/>
  <c r="L221" i="3" s="1"/>
  <c r="FN175" i="88"/>
  <c r="FV175" i="88"/>
  <c r="FV160" i="88" s="1"/>
  <c r="GD175" i="88"/>
  <c r="GD160" i="88" s="1"/>
  <c r="IQ183" i="88"/>
  <c r="GY184" i="88"/>
  <c r="GQ184" i="88"/>
  <c r="FR185" i="88"/>
  <c r="GN185" i="88" s="1"/>
  <c r="GQ186" i="88"/>
  <c r="IR186" i="88"/>
  <c r="IP187" i="88"/>
  <c r="BO188" i="88"/>
  <c r="BW188" i="88"/>
  <c r="DM188" i="88"/>
  <c r="DM182" i="88" s="1"/>
  <c r="IP190" i="88"/>
  <c r="GF196" i="88"/>
  <c r="GF270" i="88" s="1"/>
  <c r="BV228" i="88"/>
  <c r="CD228" i="88"/>
  <c r="CL228" i="88"/>
  <c r="CT228" i="88"/>
  <c r="IZ198" i="88"/>
  <c r="IV199" i="88"/>
  <c r="BR200" i="88"/>
  <c r="JT200" i="88" s="1"/>
  <c r="HA200" i="88"/>
  <c r="IP200" i="88"/>
  <c r="IZ202" i="88"/>
  <c r="GR204" i="88"/>
  <c r="IV208" i="88"/>
  <c r="JD208" i="88"/>
  <c r="HG191" i="88"/>
  <c r="DQ196" i="88"/>
  <c r="IR205" i="88"/>
  <c r="IR207" i="88"/>
  <c r="BT175" i="88"/>
  <c r="CB175" i="88"/>
  <c r="CR175" i="88"/>
  <c r="FH175" i="88"/>
  <c r="FH160" i="88" s="1"/>
  <c r="FP175" i="88"/>
  <c r="FP160" i="88" s="1"/>
  <c r="FX175" i="88"/>
  <c r="FX160" i="88" s="1"/>
  <c r="FL185" i="88"/>
  <c r="HA185" i="88"/>
  <c r="BO185" i="88"/>
  <c r="BW185" i="88"/>
  <c r="CE185" i="88"/>
  <c r="CE182" i="88" s="1"/>
  <c r="CM185" i="88"/>
  <c r="CU185" i="88"/>
  <c r="CU182" i="88" s="1"/>
  <c r="GS186" i="88"/>
  <c r="GQ187" i="88"/>
  <c r="IR187" i="88"/>
  <c r="IP188" i="88"/>
  <c r="FM182" i="88"/>
  <c r="FU182" i="88"/>
  <c r="GC182" i="88"/>
  <c r="HA189" i="88"/>
  <c r="IR190" i="88"/>
  <c r="GS191" i="88"/>
  <c r="IP192" i="88"/>
  <c r="HE193" i="88"/>
  <c r="DJ196" i="88"/>
  <c r="DR196" i="88"/>
  <c r="HC197" i="88"/>
  <c r="IY197" i="88"/>
  <c r="IX197" i="88"/>
  <c r="GR199" i="88"/>
  <c r="CJ200" i="88"/>
  <c r="GL200" i="88" s="1"/>
  <c r="IX201" i="88"/>
  <c r="GQ202" i="88"/>
  <c r="HB203" i="88"/>
  <c r="IR203" i="88"/>
  <c r="IY206" i="88"/>
  <c r="GQ207" i="88"/>
  <c r="IY207" i="88"/>
  <c r="BN246" i="88"/>
  <c r="DJ182" i="88"/>
  <c r="DR182" i="88"/>
  <c r="DR194" i="88" s="1"/>
  <c r="DR210" i="88" s="1"/>
  <c r="BP182" i="88"/>
  <c r="CF182" i="88"/>
  <c r="DK182" i="88"/>
  <c r="DK194" i="88" s="1"/>
  <c r="DS182" i="88"/>
  <c r="CV188" i="88"/>
  <c r="GM188" i="88" s="1"/>
  <c r="K222" i="3" s="1"/>
  <c r="IR188" i="88"/>
  <c r="BR188" i="88"/>
  <c r="HZ188" i="88" s="1"/>
  <c r="IS188" i="88" s="1"/>
  <c r="BZ188" i="88"/>
  <c r="BZ182" i="88" s="1"/>
  <c r="CH188" i="88"/>
  <c r="CH182" i="88" s="1"/>
  <c r="HB189" i="88"/>
  <c r="HD191" i="88"/>
  <c r="IV198" i="88"/>
  <c r="IU198" i="88"/>
  <c r="IY199" i="88"/>
  <c r="IX199" i="88"/>
  <c r="IB203" i="88"/>
  <c r="IV203" i="88" s="1"/>
  <c r="IX205" i="88"/>
  <c r="BN263" i="88"/>
  <c r="BV263" i="88"/>
  <c r="DB263" i="88"/>
  <c r="IR174" i="88"/>
  <c r="IP175" i="88"/>
  <c r="HI180" i="88"/>
  <c r="GS183" i="88"/>
  <c r="HC184" i="88"/>
  <c r="IY184" i="88"/>
  <c r="HA187" i="88"/>
  <c r="HA188" i="88"/>
  <c r="GR191" i="88"/>
  <c r="GS192" i="88"/>
  <c r="HC192" i="88"/>
  <c r="HW196" i="88"/>
  <c r="IY196" i="88" s="1"/>
  <c r="GS197" i="88"/>
  <c r="GR198" i="88"/>
  <c r="IR199" i="88"/>
  <c r="IR200" i="88"/>
  <c r="BO200" i="88"/>
  <c r="BW200" i="88"/>
  <c r="CE200" i="88"/>
  <c r="HC201" i="88"/>
  <c r="HA203" i="88"/>
  <c r="IP203" i="88"/>
  <c r="IX204" i="88"/>
  <c r="HA206" i="88"/>
  <c r="HD22" i="88"/>
  <c r="IC20" i="88"/>
  <c r="HF13" i="88"/>
  <c r="BJ60" i="88"/>
  <c r="BJ40" i="88"/>
  <c r="BG40" i="88"/>
  <c r="BG60" i="88"/>
  <c r="EQ60" i="88"/>
  <c r="EQ40" i="88"/>
  <c r="IP14" i="88"/>
  <c r="S275" i="88"/>
  <c r="S277" i="88"/>
  <c r="S276" i="88"/>
  <c r="H39" i="88"/>
  <c r="AI277" i="88"/>
  <c r="AI276" i="88"/>
  <c r="AI275" i="88"/>
  <c r="X39" i="88"/>
  <c r="X278" i="88"/>
  <c r="M39" i="88"/>
  <c r="AF278" i="88"/>
  <c r="U39" i="88"/>
  <c r="AN278" i="88"/>
  <c r="HW21" i="88"/>
  <c r="GH21" i="88"/>
  <c r="AC39" i="88"/>
  <c r="V275" i="88"/>
  <c r="V276" i="88"/>
  <c r="V277" i="88"/>
  <c r="K39" i="88"/>
  <c r="AI40" i="88"/>
  <c r="DK11" i="88"/>
  <c r="EZ60" i="88"/>
  <c r="EZ40" i="88"/>
  <c r="FX40" i="88"/>
  <c r="JX40" i="88" s="1"/>
  <c r="JO13" i="88"/>
  <c r="KR13" i="88" s="1"/>
  <c r="BE60" i="88"/>
  <c r="BE40" i="88"/>
  <c r="HH14" i="88"/>
  <c r="GX14" i="88"/>
  <c r="IC16" i="88"/>
  <c r="JW18" i="88"/>
  <c r="S278" i="88"/>
  <c r="AA278" i="88"/>
  <c r="AI278" i="88"/>
  <c r="IC23" i="88"/>
  <c r="GM23" i="88"/>
  <c r="IG27" i="88"/>
  <c r="HH33" i="88"/>
  <c r="GX33" i="88"/>
  <c r="IZ13" i="88"/>
  <c r="IA17" i="88"/>
  <c r="BY15" i="88"/>
  <c r="KR101" i="88"/>
  <c r="KR11" i="88"/>
  <c r="GK16" i="88"/>
  <c r="BM15" i="88"/>
  <c r="IG18" i="88"/>
  <c r="IS23" i="88"/>
  <c r="J60" i="88"/>
  <c r="J40" i="88"/>
  <c r="JS208" i="88"/>
  <c r="JY208" i="88"/>
  <c r="JP208" i="88"/>
  <c r="JV208" i="88"/>
  <c r="JT208" i="88"/>
  <c r="JW207" i="88"/>
  <c r="JO207" i="88"/>
  <c r="JO206" i="88"/>
  <c r="JW204" i="88"/>
  <c r="JO204" i="88"/>
  <c r="JV207" i="88"/>
  <c r="JV204" i="88"/>
  <c r="JX208" i="88"/>
  <c r="JU207" i="88"/>
  <c r="JU204" i="88"/>
  <c r="JW208" i="88"/>
  <c r="JT207" i="88"/>
  <c r="JT206" i="88"/>
  <c r="JU208" i="88"/>
  <c r="JS207" i="88"/>
  <c r="JS206" i="88"/>
  <c r="JQ208" i="88"/>
  <c r="JY207" i="88"/>
  <c r="JQ207" i="88"/>
  <c r="JY206" i="88"/>
  <c r="JQ206" i="88"/>
  <c r="JX205" i="88"/>
  <c r="JP205" i="88"/>
  <c r="JY204" i="88"/>
  <c r="JQ204" i="88"/>
  <c r="JO208" i="88"/>
  <c r="JX207" i="88"/>
  <c r="JP207" i="88"/>
  <c r="JX203" i="88"/>
  <c r="JP203" i="88"/>
  <c r="JX202" i="88"/>
  <c r="JP202" i="88"/>
  <c r="JX201" i="88"/>
  <c r="JP201" i="88"/>
  <c r="JX200" i="88"/>
  <c r="JP200" i="88"/>
  <c r="JV199" i="88"/>
  <c r="JV198" i="88"/>
  <c r="JV197" i="88"/>
  <c r="JY205" i="88"/>
  <c r="JX204" i="88"/>
  <c r="JW203" i="88"/>
  <c r="JO203" i="88"/>
  <c r="JW202" i="88"/>
  <c r="JO202" i="88"/>
  <c r="JW201" i="88"/>
  <c r="JO201" i="88"/>
  <c r="JW200" i="88"/>
  <c r="JO200" i="88"/>
  <c r="JU199" i="88"/>
  <c r="JU198" i="88"/>
  <c r="JU197" i="88"/>
  <c r="JY192" i="88"/>
  <c r="JQ192" i="88"/>
  <c r="JS191" i="88"/>
  <c r="JT204" i="88"/>
  <c r="JV203" i="88"/>
  <c r="JV202" i="88"/>
  <c r="JV201" i="88"/>
  <c r="JV200" i="88"/>
  <c r="JT199" i="88"/>
  <c r="JT198" i="88"/>
  <c r="JT197" i="88"/>
  <c r="JS205" i="88"/>
  <c r="JS204" i="88"/>
  <c r="JU203" i="88"/>
  <c r="JU202" i="88"/>
  <c r="JU201" i="88"/>
  <c r="JS199" i="88"/>
  <c r="JS198" i="88"/>
  <c r="JS197" i="88"/>
  <c r="JS196" i="88"/>
  <c r="JW192" i="88"/>
  <c r="JO192" i="88"/>
  <c r="JY191" i="88"/>
  <c r="JQ191" i="88"/>
  <c r="JR205" i="88"/>
  <c r="JR204" i="88"/>
  <c r="JT203" i="88"/>
  <c r="JT202" i="88"/>
  <c r="JT201" i="88"/>
  <c r="JR208" i="88"/>
  <c r="JX206" i="88"/>
  <c r="JQ205" i="88"/>
  <c r="JP204" i="88"/>
  <c r="JS203" i="88"/>
  <c r="JS202" i="88"/>
  <c r="JS201" i="88"/>
  <c r="JS200" i="88"/>
  <c r="JY199" i="88"/>
  <c r="JQ199" i="88"/>
  <c r="JY198" i="88"/>
  <c r="JQ198" i="88"/>
  <c r="JY197" i="88"/>
  <c r="JQ197" i="88"/>
  <c r="JQ196" i="88"/>
  <c r="JU192" i="88"/>
  <c r="JW191" i="88"/>
  <c r="JO191" i="88"/>
  <c r="JR206" i="88"/>
  <c r="JO205" i="88"/>
  <c r="JR203" i="88"/>
  <c r="JR202" i="88"/>
  <c r="JR201" i="88"/>
  <c r="JR200" i="88"/>
  <c r="JX199" i="88"/>
  <c r="JP199" i="88"/>
  <c r="JX198" i="88"/>
  <c r="JP198" i="88"/>
  <c r="JX197" i="88"/>
  <c r="JP197" i="88"/>
  <c r="JP196" i="88"/>
  <c r="JR207" i="88"/>
  <c r="JP206" i="88"/>
  <c r="JY203" i="88"/>
  <c r="JQ203" i="88"/>
  <c r="JY202" i="88"/>
  <c r="JQ202" i="88"/>
  <c r="JY201" i="88"/>
  <c r="JQ201" i="88"/>
  <c r="JR198" i="88"/>
  <c r="JX192" i="88"/>
  <c r="JT190" i="88"/>
  <c r="JU189" i="88"/>
  <c r="JT187" i="88"/>
  <c r="JT186" i="88"/>
  <c r="JY184" i="88"/>
  <c r="JQ184" i="88"/>
  <c r="JY183" i="88"/>
  <c r="JQ183" i="88"/>
  <c r="JQ182" i="88"/>
  <c r="JS180" i="88"/>
  <c r="JW199" i="88"/>
  <c r="JO198" i="88"/>
  <c r="JV192" i="88"/>
  <c r="JS190" i="88"/>
  <c r="JT189" i="88"/>
  <c r="JS187" i="88"/>
  <c r="JS186" i="88"/>
  <c r="JR199" i="88"/>
  <c r="JT192" i="88"/>
  <c r="JX191" i="88"/>
  <c r="JR190" i="88"/>
  <c r="JS189" i="88"/>
  <c r="JT188" i="88"/>
  <c r="JR187" i="88"/>
  <c r="JR186" i="88"/>
  <c r="JR185" i="88"/>
  <c r="JW184" i="88"/>
  <c r="JO184" i="88"/>
  <c r="JW183" i="88"/>
  <c r="JO183" i="88"/>
  <c r="JO182" i="88"/>
  <c r="JY180" i="88"/>
  <c r="JQ180" i="88"/>
  <c r="JO199" i="88"/>
  <c r="JS192" i="88"/>
  <c r="JV191" i="88"/>
  <c r="JY190" i="88"/>
  <c r="JQ190" i="88"/>
  <c r="JR189" i="88"/>
  <c r="JS188" i="88"/>
  <c r="JY187" i="88"/>
  <c r="JQ187" i="88"/>
  <c r="JY186" i="88"/>
  <c r="JQ186" i="88"/>
  <c r="JQ185" i="88"/>
  <c r="JV184" i="88"/>
  <c r="JV183" i="88"/>
  <c r="JX180" i="88"/>
  <c r="JP180" i="88"/>
  <c r="JY200" i="88"/>
  <c r="JR196" i="88"/>
  <c r="JR192" i="88"/>
  <c r="JU191" i="88"/>
  <c r="JX190" i="88"/>
  <c r="JP190" i="88"/>
  <c r="JY189" i="88"/>
  <c r="JQ189" i="88"/>
  <c r="JR188" i="88"/>
  <c r="JX187" i="88"/>
  <c r="JP187" i="88"/>
  <c r="JX186" i="88"/>
  <c r="JP186" i="88"/>
  <c r="JX185" i="88"/>
  <c r="JP185" i="88"/>
  <c r="JU184" i="88"/>
  <c r="JU183" i="88"/>
  <c r="JW180" i="88"/>
  <c r="JO180" i="88"/>
  <c r="JQ200" i="88"/>
  <c r="JW197" i="88"/>
  <c r="JO196" i="88"/>
  <c r="JP192" i="88"/>
  <c r="JT191" i="88"/>
  <c r="JW190" i="88"/>
  <c r="JO190" i="88"/>
  <c r="JX189" i="88"/>
  <c r="JP189" i="88"/>
  <c r="JY188" i="88"/>
  <c r="JQ188" i="88"/>
  <c r="JW187" i="88"/>
  <c r="JO187" i="88"/>
  <c r="JW186" i="88"/>
  <c r="JO186" i="88"/>
  <c r="JW185" i="88"/>
  <c r="JO185" i="88"/>
  <c r="JT184" i="88"/>
  <c r="JT183" i="88"/>
  <c r="JV180" i="88"/>
  <c r="JR197" i="88"/>
  <c r="JR191" i="88"/>
  <c r="JV190" i="88"/>
  <c r="JW189" i="88"/>
  <c r="JO189" i="88"/>
  <c r="JX188" i="88"/>
  <c r="JP188" i="88"/>
  <c r="JV187" i="88"/>
  <c r="JV186" i="88"/>
  <c r="JS184" i="88"/>
  <c r="JS183" i="88"/>
  <c r="JS182" i="88"/>
  <c r="JU180" i="88"/>
  <c r="JS179" i="88"/>
  <c r="JW198" i="88"/>
  <c r="JO197" i="88"/>
  <c r="JP191" i="88"/>
  <c r="JU190" i="88"/>
  <c r="JV189" i="88"/>
  <c r="JW188" i="88"/>
  <c r="JO188" i="88"/>
  <c r="JU187" i="88"/>
  <c r="JU186" i="88"/>
  <c r="JR180" i="88"/>
  <c r="JT179" i="88"/>
  <c r="JW178" i="88"/>
  <c r="JO178" i="88"/>
  <c r="JU177" i="88"/>
  <c r="JX183" i="88"/>
  <c r="JR179" i="88"/>
  <c r="JV178" i="88"/>
  <c r="JT177" i="88"/>
  <c r="JR176" i="88"/>
  <c r="JQ175" i="88"/>
  <c r="JW174" i="88"/>
  <c r="JO174" i="88"/>
  <c r="JW173" i="88"/>
  <c r="JO173" i="88"/>
  <c r="JW172" i="88"/>
  <c r="JO172" i="88"/>
  <c r="JW171" i="88"/>
  <c r="JO171" i="88"/>
  <c r="JU170" i="88"/>
  <c r="JU169" i="88"/>
  <c r="JS167" i="88"/>
  <c r="JU185" i="88"/>
  <c r="JR183" i="88"/>
  <c r="JQ179" i="88"/>
  <c r="JU178" i="88"/>
  <c r="JS177" i="88"/>
  <c r="JY176" i="88"/>
  <c r="JQ176" i="88"/>
  <c r="JP175" i="88"/>
  <c r="JV174" i="88"/>
  <c r="JV173" i="88"/>
  <c r="JV172" i="88"/>
  <c r="JT170" i="88"/>
  <c r="JS185" i="88"/>
  <c r="JP183" i="88"/>
  <c r="JY179" i="88"/>
  <c r="JP179" i="88"/>
  <c r="JT178" i="88"/>
  <c r="JR177" i="88"/>
  <c r="JX176" i="88"/>
  <c r="JP176" i="88"/>
  <c r="JO175" i="88"/>
  <c r="JU174" i="88"/>
  <c r="JU173" i="88"/>
  <c r="JU172" i="88"/>
  <c r="JU171" i="88"/>
  <c r="JS170" i="88"/>
  <c r="JS169" i="88"/>
  <c r="JS168" i="88"/>
  <c r="JY167" i="88"/>
  <c r="JQ167" i="88"/>
  <c r="JX182" i="88"/>
  <c r="JX179" i="88"/>
  <c r="JO179" i="88"/>
  <c r="JS178" i="88"/>
  <c r="JY177" i="88"/>
  <c r="JQ177" i="88"/>
  <c r="JW176" i="88"/>
  <c r="JO176" i="88"/>
  <c r="JT174" i="88"/>
  <c r="JT173" i="88"/>
  <c r="JT172" i="88"/>
  <c r="JX184" i="88"/>
  <c r="JR182" i="88"/>
  <c r="JW179" i="88"/>
  <c r="JR178" i="88"/>
  <c r="JX177" i="88"/>
  <c r="JP177" i="88"/>
  <c r="JV176" i="88"/>
  <c r="JS174" i="88"/>
  <c r="JS173" i="88"/>
  <c r="JS172" i="88"/>
  <c r="JS171" i="88"/>
  <c r="JY170" i="88"/>
  <c r="JQ170" i="88"/>
  <c r="JY169" i="88"/>
  <c r="JQ169" i="88"/>
  <c r="JY168" i="88"/>
  <c r="JQ168" i="88"/>
  <c r="JW167" i="88"/>
  <c r="JO167" i="88"/>
  <c r="JR184" i="88"/>
  <c r="JP182" i="88"/>
  <c r="JV179" i="88"/>
  <c r="JY178" i="88"/>
  <c r="JQ178" i="88"/>
  <c r="JW177" i="88"/>
  <c r="JO177" i="88"/>
  <c r="JU176" i="88"/>
  <c r="JR174" i="88"/>
  <c r="JR173" i="88"/>
  <c r="JR172" i="88"/>
  <c r="JR171" i="88"/>
  <c r="JX170" i="88"/>
  <c r="JP170" i="88"/>
  <c r="JP184" i="88"/>
  <c r="JT180" i="88"/>
  <c r="JU179" i="88"/>
  <c r="JX178" i="88"/>
  <c r="JP178" i="88"/>
  <c r="JV177" i="88"/>
  <c r="JT176" i="88"/>
  <c r="JS175" i="88"/>
  <c r="JY174" i="88"/>
  <c r="JQ174" i="88"/>
  <c r="JY173" i="88"/>
  <c r="JQ173" i="88"/>
  <c r="JY172" i="88"/>
  <c r="JQ172" i="88"/>
  <c r="JQ171" i="88"/>
  <c r="JW170" i="88"/>
  <c r="JO170" i="88"/>
  <c r="JW169" i="88"/>
  <c r="JO169" i="88"/>
  <c r="JW168" i="88"/>
  <c r="JO168" i="88"/>
  <c r="JU167" i="88"/>
  <c r="JU166" i="88"/>
  <c r="JP174" i="88"/>
  <c r="JR168" i="88"/>
  <c r="JV167" i="88"/>
  <c r="JQ166" i="88"/>
  <c r="JT165" i="88"/>
  <c r="JU164" i="88"/>
  <c r="JW163" i="88"/>
  <c r="JO163" i="88"/>
  <c r="JW162" i="88"/>
  <c r="JO162" i="88"/>
  <c r="JW161" i="88"/>
  <c r="JO161" i="88"/>
  <c r="JY156" i="88"/>
  <c r="JQ156" i="88"/>
  <c r="JY155" i="88"/>
  <c r="JQ155" i="88"/>
  <c r="JV170" i="88"/>
  <c r="JX169" i="88"/>
  <c r="JP168" i="88"/>
  <c r="JT167" i="88"/>
  <c r="JY166" i="88"/>
  <c r="JP166" i="88"/>
  <c r="JS165" i="88"/>
  <c r="JT164" i="88"/>
  <c r="JV163" i="88"/>
  <c r="JV162" i="88"/>
  <c r="JR170" i="88"/>
  <c r="JV169" i="88"/>
  <c r="JR167" i="88"/>
  <c r="JX166" i="88"/>
  <c r="JO166" i="88"/>
  <c r="JR165" i="88"/>
  <c r="JS164" i="88"/>
  <c r="JR175" i="88"/>
  <c r="JX172" i="88"/>
  <c r="JX171" i="88"/>
  <c r="JT169" i="88"/>
  <c r="JP167" i="88"/>
  <c r="JW166" i="88"/>
  <c r="JY165" i="88"/>
  <c r="JQ165" i="88"/>
  <c r="JR164" i="88"/>
  <c r="JT163" i="88"/>
  <c r="JT162" i="88"/>
  <c r="JP172" i="88"/>
  <c r="JR169" i="88"/>
  <c r="JV166" i="88"/>
  <c r="JX173" i="88"/>
  <c r="JP171" i="88"/>
  <c r="JP169" i="88"/>
  <c r="JX168" i="88"/>
  <c r="JT166" i="88"/>
  <c r="JW165" i="88"/>
  <c r="JO165" i="88"/>
  <c r="JX164" i="88"/>
  <c r="JP164" i="88"/>
  <c r="JR163" i="88"/>
  <c r="JR162" i="88"/>
  <c r="JP173" i="88"/>
  <c r="JS166" i="88"/>
  <c r="JV165" i="88"/>
  <c r="JW164" i="88"/>
  <c r="JO164" i="88"/>
  <c r="JY163" i="88"/>
  <c r="JQ163" i="88"/>
  <c r="JY162" i="88"/>
  <c r="JQ162" i="88"/>
  <c r="JQ161" i="88"/>
  <c r="JO160" i="88"/>
  <c r="JS156" i="88"/>
  <c r="JS176" i="88"/>
  <c r="JX174" i="88"/>
  <c r="JX167" i="88"/>
  <c r="JR166" i="88"/>
  <c r="JU165" i="88"/>
  <c r="JV164" i="88"/>
  <c r="JX163" i="88"/>
  <c r="JP163" i="88"/>
  <c r="JX162" i="88"/>
  <c r="JP162" i="88"/>
  <c r="JX161" i="88"/>
  <c r="JP161" i="88"/>
  <c r="JS163" i="88"/>
  <c r="JR160" i="88"/>
  <c r="JX156" i="88"/>
  <c r="JX155" i="88"/>
  <c r="JO155" i="88"/>
  <c r="JU154" i="88"/>
  <c r="JV153" i="88"/>
  <c r="JV152" i="88"/>
  <c r="JV151" i="88"/>
  <c r="JV150" i="88"/>
  <c r="JS149" i="88"/>
  <c r="JS148" i="88"/>
  <c r="JT147" i="88"/>
  <c r="JT146" i="88"/>
  <c r="JR145" i="88"/>
  <c r="JR144" i="88"/>
  <c r="JR143" i="88"/>
  <c r="JS161" i="88"/>
  <c r="JQ160" i="88"/>
  <c r="JW156" i="88"/>
  <c r="JW155" i="88"/>
  <c r="JT154" i="88"/>
  <c r="JU153" i="88"/>
  <c r="JU152" i="88"/>
  <c r="JU151" i="88"/>
  <c r="JR149" i="88"/>
  <c r="JR148" i="88"/>
  <c r="JS147" i="88"/>
  <c r="JS146" i="88"/>
  <c r="JY145" i="88"/>
  <c r="JQ145" i="88"/>
  <c r="JY144" i="88"/>
  <c r="JQ144" i="88"/>
  <c r="JY143" i="88"/>
  <c r="JQ143" i="88"/>
  <c r="JR161" i="88"/>
  <c r="JP160" i="88"/>
  <c r="JV156" i="88"/>
  <c r="JV155" i="88"/>
  <c r="JS154" i="88"/>
  <c r="JT153" i="88"/>
  <c r="JT152" i="88"/>
  <c r="JT151" i="88"/>
  <c r="JY149" i="88"/>
  <c r="JQ149" i="88"/>
  <c r="JY148" i="88"/>
  <c r="JQ148" i="88"/>
  <c r="JR147" i="88"/>
  <c r="JR146" i="88"/>
  <c r="JX145" i="88"/>
  <c r="JP145" i="88"/>
  <c r="JU156" i="88"/>
  <c r="JU155" i="88"/>
  <c r="JR154" i="88"/>
  <c r="JS153" i="88"/>
  <c r="JS152" i="88"/>
  <c r="JS151" i="88"/>
  <c r="JS150" i="88"/>
  <c r="JX149" i="88"/>
  <c r="JP149" i="88"/>
  <c r="JX148" i="88"/>
  <c r="JP148" i="88"/>
  <c r="JY147" i="88"/>
  <c r="JQ147" i="88"/>
  <c r="JY164" i="88"/>
  <c r="JT156" i="88"/>
  <c r="JT155" i="88"/>
  <c r="JY154" i="88"/>
  <c r="JQ154" i="88"/>
  <c r="JR153" i="88"/>
  <c r="JP165" i="88"/>
  <c r="JS162" i="88"/>
  <c r="JP156" i="88"/>
  <c r="JR155" i="88"/>
  <c r="JW154" i="88"/>
  <c r="JO154" i="88"/>
  <c r="JX153" i="88"/>
  <c r="JP153" i="88"/>
  <c r="JX152" i="88"/>
  <c r="JP152" i="88"/>
  <c r="JX151" i="88"/>
  <c r="JP151" i="88"/>
  <c r="JX150" i="88"/>
  <c r="JP150" i="88"/>
  <c r="JU149" i="88"/>
  <c r="JU148" i="88"/>
  <c r="JV147" i="88"/>
  <c r="JV146" i="88"/>
  <c r="JT145" i="88"/>
  <c r="JT144" i="88"/>
  <c r="JT143" i="88"/>
  <c r="JT142" i="88"/>
  <c r="JU163" i="88"/>
  <c r="JS160" i="88"/>
  <c r="JO156" i="88"/>
  <c r="JP155" i="88"/>
  <c r="JV154" i="88"/>
  <c r="JW153" i="88"/>
  <c r="JO153" i="88"/>
  <c r="JW152" i="88"/>
  <c r="JO152" i="88"/>
  <c r="JW151" i="88"/>
  <c r="JO151" i="88"/>
  <c r="JO150" i="88"/>
  <c r="JT149" i="88"/>
  <c r="JT148" i="88"/>
  <c r="JU147" i="88"/>
  <c r="JU146" i="88"/>
  <c r="JS145" i="88"/>
  <c r="JS144" i="88"/>
  <c r="JS143" i="88"/>
  <c r="JS142" i="88"/>
  <c r="JY152" i="88"/>
  <c r="JQ146" i="88"/>
  <c r="JW145" i="88"/>
  <c r="JX144" i="88"/>
  <c r="JV143" i="88"/>
  <c r="JU142" i="88"/>
  <c r="JO141" i="88"/>
  <c r="JT140" i="88"/>
  <c r="JX139" i="88"/>
  <c r="JP139" i="88"/>
  <c r="JT138" i="88"/>
  <c r="JX137" i="88"/>
  <c r="JP137" i="88"/>
  <c r="JT136" i="88"/>
  <c r="JX135" i="88"/>
  <c r="JP135" i="88"/>
  <c r="JT134" i="88"/>
  <c r="JR152" i="88"/>
  <c r="JP146" i="88"/>
  <c r="JV145" i="88"/>
  <c r="JW144" i="88"/>
  <c r="JU143" i="88"/>
  <c r="JR142" i="88"/>
  <c r="JS140" i="88"/>
  <c r="JW139" i="88"/>
  <c r="JO139" i="88"/>
  <c r="JS138" i="88"/>
  <c r="JO137" i="88"/>
  <c r="JS136" i="88"/>
  <c r="JW135" i="88"/>
  <c r="JO135" i="88"/>
  <c r="JS134" i="88"/>
  <c r="JX132" i="88"/>
  <c r="JP132" i="88"/>
  <c r="JX165" i="88"/>
  <c r="JU162" i="88"/>
  <c r="JS155" i="88"/>
  <c r="JQ152" i="88"/>
  <c r="JR150" i="88"/>
  <c r="JO146" i="88"/>
  <c r="JU145" i="88"/>
  <c r="JV144" i="88"/>
  <c r="JP143" i="88"/>
  <c r="JQ142" i="88"/>
  <c r="JU141" i="88"/>
  <c r="JR140" i="88"/>
  <c r="JV139" i="88"/>
  <c r="JR138" i="88"/>
  <c r="JR136" i="88"/>
  <c r="JV135" i="88"/>
  <c r="JQ150" i="88"/>
  <c r="JO145" i="88"/>
  <c r="JU144" i="88"/>
  <c r="JO143" i="88"/>
  <c r="JP142" i="88"/>
  <c r="JY140" i="88"/>
  <c r="JQ140" i="88"/>
  <c r="JU139" i="88"/>
  <c r="JY138" i="88"/>
  <c r="JQ138" i="88"/>
  <c r="JX147" i="88"/>
  <c r="JP144" i="88"/>
  <c r="JY142" i="88"/>
  <c r="JO142" i="88"/>
  <c r="JS141" i="88"/>
  <c r="JX140" i="88"/>
  <c r="JP140" i="88"/>
  <c r="JT139" i="88"/>
  <c r="JX138" i="88"/>
  <c r="JP138" i="88"/>
  <c r="JX136" i="88"/>
  <c r="JP136" i="88"/>
  <c r="JT135" i="88"/>
  <c r="JX134" i="88"/>
  <c r="JP134" i="88"/>
  <c r="JQ133" i="88"/>
  <c r="JU132" i="88"/>
  <c r="JQ164" i="88"/>
  <c r="JR156" i="88"/>
  <c r="JX154" i="88"/>
  <c r="JY153" i="88"/>
  <c r="JY151" i="88"/>
  <c r="JW149" i="88"/>
  <c r="JW148" i="88"/>
  <c r="JW147" i="88"/>
  <c r="JY146" i="88"/>
  <c r="JO144" i="88"/>
  <c r="JX142" i="88"/>
  <c r="JR141" i="88"/>
  <c r="JW140" i="88"/>
  <c r="JO140" i="88"/>
  <c r="JS139" i="88"/>
  <c r="JW138" i="88"/>
  <c r="JO138" i="88"/>
  <c r="JS137" i="88"/>
  <c r="JW136" i="88"/>
  <c r="JO136" i="88"/>
  <c r="JS135" i="88"/>
  <c r="JW134" i="88"/>
  <c r="JO134" i="88"/>
  <c r="JX133" i="88"/>
  <c r="JP133" i="88"/>
  <c r="JT132" i="88"/>
  <c r="JQ130" i="88"/>
  <c r="JO129" i="88"/>
  <c r="JX127" i="88"/>
  <c r="JP127" i="88"/>
  <c r="JY126" i="88"/>
  <c r="JQ126" i="88"/>
  <c r="JY125" i="88"/>
  <c r="JQ125" i="88"/>
  <c r="JP154" i="88"/>
  <c r="JQ153" i="88"/>
  <c r="JR151" i="88"/>
  <c r="JV149" i="88"/>
  <c r="JV148" i="88"/>
  <c r="JP147" i="88"/>
  <c r="JX146" i="88"/>
  <c r="JX143" i="88"/>
  <c r="JW142" i="88"/>
  <c r="JQ141" i="88"/>
  <c r="JV140" i="88"/>
  <c r="JR139" i="88"/>
  <c r="JV138" i="88"/>
  <c r="JR137" i="88"/>
  <c r="JV136" i="88"/>
  <c r="JR135" i="88"/>
  <c r="JQ151" i="88"/>
  <c r="JO149" i="88"/>
  <c r="JO148" i="88"/>
  <c r="JO147" i="88"/>
  <c r="JW146" i="88"/>
  <c r="JW143" i="88"/>
  <c r="JV142" i="88"/>
  <c r="JP141" i="88"/>
  <c r="JU140" i="88"/>
  <c r="JY139" i="88"/>
  <c r="JQ139" i="88"/>
  <c r="JU138" i="88"/>
  <c r="JY137" i="88"/>
  <c r="JQ137" i="88"/>
  <c r="JU136" i="88"/>
  <c r="JY135" i="88"/>
  <c r="JQ135" i="88"/>
  <c r="JU134" i="88"/>
  <c r="JY136" i="88"/>
  <c r="JR134" i="88"/>
  <c r="JQ132" i="88"/>
  <c r="JP131" i="88"/>
  <c r="JS130" i="88"/>
  <c r="JP129" i="88"/>
  <c r="JV127" i="88"/>
  <c r="JV126" i="88"/>
  <c r="JU125" i="88"/>
  <c r="JY124" i="88"/>
  <c r="JQ124" i="88"/>
  <c r="JW123" i="88"/>
  <c r="JO123" i="88"/>
  <c r="JX122" i="88"/>
  <c r="JP122" i="88"/>
  <c r="JX121" i="88"/>
  <c r="JP121" i="88"/>
  <c r="JX120" i="88"/>
  <c r="JP120" i="88"/>
  <c r="JX119" i="88"/>
  <c r="JP119" i="88"/>
  <c r="JQ136" i="88"/>
  <c r="JQ134" i="88"/>
  <c r="JO132" i="88"/>
  <c r="JO131" i="88"/>
  <c r="JR130" i="88"/>
  <c r="JU127" i="88"/>
  <c r="JU126" i="88"/>
  <c r="JT125" i="88"/>
  <c r="JX124" i="88"/>
  <c r="JP124" i="88"/>
  <c r="JV123" i="88"/>
  <c r="JW122" i="88"/>
  <c r="JO122" i="88"/>
  <c r="JP130" i="88"/>
  <c r="JT127" i="88"/>
  <c r="JT126" i="88"/>
  <c r="JS125" i="88"/>
  <c r="JW124" i="88"/>
  <c r="JO124" i="88"/>
  <c r="JU123" i="88"/>
  <c r="JV122" i="88"/>
  <c r="JV121" i="88"/>
  <c r="JU135" i="88"/>
  <c r="JV133" i="88"/>
  <c r="JY132" i="88"/>
  <c r="JO130" i="88"/>
  <c r="JX128" i="88"/>
  <c r="JS127" i="88"/>
  <c r="JS126" i="88"/>
  <c r="JR125" i="88"/>
  <c r="JV124" i="88"/>
  <c r="JT123" i="88"/>
  <c r="JU122" i="88"/>
  <c r="JU121" i="88"/>
  <c r="JU120" i="88"/>
  <c r="JU119" i="88"/>
  <c r="JU118" i="88"/>
  <c r="JU137" i="88"/>
  <c r="JW132" i="88"/>
  <c r="JW128" i="88"/>
  <c r="JR127" i="88"/>
  <c r="JR126" i="88"/>
  <c r="JP125" i="88"/>
  <c r="JU124" i="88"/>
  <c r="JS123" i="88"/>
  <c r="JT122" i="88"/>
  <c r="JT121" i="88"/>
  <c r="JT120" i="88"/>
  <c r="JT119" i="88"/>
  <c r="JT118" i="88"/>
  <c r="JS133" i="88"/>
  <c r="JV132" i="88"/>
  <c r="JS131" i="88"/>
  <c r="JS129" i="88"/>
  <c r="JV128" i="88"/>
  <c r="JQ127" i="88"/>
  <c r="JP126" i="88"/>
  <c r="JX125" i="88"/>
  <c r="JO125" i="88"/>
  <c r="JT124" i="88"/>
  <c r="JR123" i="88"/>
  <c r="JS122" i="88"/>
  <c r="JS121" i="88"/>
  <c r="JS120" i="88"/>
  <c r="JS119" i="88"/>
  <c r="JY134" i="88"/>
  <c r="JR133" i="88"/>
  <c r="JS132" i="88"/>
  <c r="JR131" i="88"/>
  <c r="JR129" i="88"/>
  <c r="JU128" i="88"/>
  <c r="JY127" i="88"/>
  <c r="JO127" i="88"/>
  <c r="JX126" i="88"/>
  <c r="JO126" i="88"/>
  <c r="JW125" i="88"/>
  <c r="JS124" i="88"/>
  <c r="JY123" i="88"/>
  <c r="JQ123" i="88"/>
  <c r="JR122" i="88"/>
  <c r="JV134" i="88"/>
  <c r="JO133" i="88"/>
  <c r="JR132" i="88"/>
  <c r="JQ131" i="88"/>
  <c r="JQ129" i="88"/>
  <c r="JT128" i="88"/>
  <c r="JW127" i="88"/>
  <c r="JW126" i="88"/>
  <c r="JV125" i="88"/>
  <c r="JR124" i="88"/>
  <c r="JX123" i="88"/>
  <c r="JP123" i="88"/>
  <c r="JY122" i="88"/>
  <c r="JQ122" i="88"/>
  <c r="JY121" i="88"/>
  <c r="JQ121" i="88"/>
  <c r="JY120" i="88"/>
  <c r="JQ120" i="88"/>
  <c r="JY119" i="88"/>
  <c r="JQ119" i="88"/>
  <c r="JV119" i="88"/>
  <c r="JX118" i="88"/>
  <c r="JT117" i="88"/>
  <c r="JW115" i="88"/>
  <c r="JO115" i="88"/>
  <c r="JX114" i="88"/>
  <c r="JP114" i="88"/>
  <c r="JW121" i="88"/>
  <c r="JW120" i="88"/>
  <c r="JR121" i="88"/>
  <c r="JV120" i="88"/>
  <c r="JO119" i="88"/>
  <c r="JV118" i="88"/>
  <c r="JR117" i="88"/>
  <c r="JS116" i="88"/>
  <c r="JU115" i="88"/>
  <c r="JV114" i="88"/>
  <c r="JV113" i="88"/>
  <c r="JW112" i="88"/>
  <c r="JO112" i="88"/>
  <c r="JX111" i="88"/>
  <c r="JP111" i="88"/>
  <c r="JX110" i="88"/>
  <c r="JP110" i="88"/>
  <c r="JQ109" i="88"/>
  <c r="JO121" i="88"/>
  <c r="JR120" i="88"/>
  <c r="JO120" i="88"/>
  <c r="JR118" i="88"/>
  <c r="JX117" i="88"/>
  <c r="JP117" i="88"/>
  <c r="JY116" i="88"/>
  <c r="JQ116" i="88"/>
  <c r="JS115" i="88"/>
  <c r="JT114" i="88"/>
  <c r="JT113" i="88"/>
  <c r="JU112" i="88"/>
  <c r="JQ118" i="88"/>
  <c r="JW117" i="88"/>
  <c r="JO117" i="88"/>
  <c r="JX116" i="88"/>
  <c r="JP116" i="88"/>
  <c r="JR115" i="88"/>
  <c r="JS114" i="88"/>
  <c r="JS113" i="88"/>
  <c r="JT112" i="88"/>
  <c r="JU111" i="88"/>
  <c r="JU110" i="88"/>
  <c r="JX100" i="88"/>
  <c r="JP100" i="88"/>
  <c r="JW119" i="88"/>
  <c r="JY118" i="88"/>
  <c r="JO118" i="88"/>
  <c r="JX115" i="88"/>
  <c r="JP115" i="88"/>
  <c r="JY114" i="88"/>
  <c r="JQ114" i="88"/>
  <c r="JP118" i="88"/>
  <c r="JQ117" i="88"/>
  <c r="JU114" i="88"/>
  <c r="JU113" i="88"/>
  <c r="JQ112" i="88"/>
  <c r="JO111" i="88"/>
  <c r="JW110" i="88"/>
  <c r="JS100" i="88"/>
  <c r="JW95" i="88"/>
  <c r="JO95" i="88"/>
  <c r="KR95" i="88" s="1"/>
  <c r="JT94" i="88"/>
  <c r="JY115" i="88"/>
  <c r="JR114" i="88"/>
  <c r="JR113" i="88"/>
  <c r="JP112" i="88"/>
  <c r="JT116" i="88"/>
  <c r="JV115" i="88"/>
  <c r="JO114" i="88"/>
  <c r="JQ113" i="88"/>
  <c r="JR116" i="88"/>
  <c r="JT115" i="88"/>
  <c r="JP113" i="88"/>
  <c r="JY112" i="88"/>
  <c r="JO116" i="88"/>
  <c r="JQ115" i="88"/>
  <c r="JO113" i="88"/>
  <c r="JX112" i="88"/>
  <c r="JT111" i="88"/>
  <c r="JR110" i="88"/>
  <c r="JP109" i="88"/>
  <c r="JW100" i="88"/>
  <c r="JS95" i="88"/>
  <c r="JX94" i="88"/>
  <c r="JP94" i="88"/>
  <c r="JU93" i="88"/>
  <c r="JR119" i="88"/>
  <c r="JW118" i="88"/>
  <c r="JS118" i="88"/>
  <c r="JS117" i="88"/>
  <c r="JW114" i="88"/>
  <c r="JW113" i="88"/>
  <c r="JR112" i="88"/>
  <c r="JQ111" i="88"/>
  <c r="JY110" i="88"/>
  <c r="JT100" i="88"/>
  <c r="JX95" i="88"/>
  <c r="JP95" i="88"/>
  <c r="JU94" i="88"/>
  <c r="JR93" i="88"/>
  <c r="JV92" i="88"/>
  <c r="JS91" i="88"/>
  <c r="JS90" i="88"/>
  <c r="JX89" i="88"/>
  <c r="JP89" i="88"/>
  <c r="JY87" i="88"/>
  <c r="JQ87" i="88"/>
  <c r="JU86" i="88"/>
  <c r="JR111" i="88"/>
  <c r="JV110" i="88"/>
  <c r="JO109" i="88"/>
  <c r="JS93" i="88"/>
  <c r="JQ92" i="88"/>
  <c r="JP91" i="88"/>
  <c r="JR90" i="88"/>
  <c r="JS89" i="88"/>
  <c r="JW87" i="88"/>
  <c r="JW86" i="88"/>
  <c r="JT85" i="88"/>
  <c r="JY83" i="88"/>
  <c r="JQ83" i="88"/>
  <c r="JY117" i="88"/>
  <c r="JT110" i="88"/>
  <c r="JY100" i="88"/>
  <c r="JS110" i="88"/>
  <c r="JV100" i="88"/>
  <c r="JY113" i="88"/>
  <c r="JV112" i="88"/>
  <c r="JQ110" i="88"/>
  <c r="JU100" i="88"/>
  <c r="JU95" i="88"/>
  <c r="JV94" i="88"/>
  <c r="JY93" i="88"/>
  <c r="JO93" i="88"/>
  <c r="KR93" i="88" s="1"/>
  <c r="JW92" i="88"/>
  <c r="JX90" i="88"/>
  <c r="JO90" i="88"/>
  <c r="KR90" i="88" s="1"/>
  <c r="JO89" i="88"/>
  <c r="KR89" i="88" s="1"/>
  <c r="JT87" i="88"/>
  <c r="JS86" i="88"/>
  <c r="JY85" i="88"/>
  <c r="JQ85" i="88"/>
  <c r="JX113" i="88"/>
  <c r="JS112" i="88"/>
  <c r="JY111" i="88"/>
  <c r="JO110" i="88"/>
  <c r="JX109" i="88"/>
  <c r="JR100" i="88"/>
  <c r="JT95" i="88"/>
  <c r="JS94" i="88"/>
  <c r="JX93" i="88"/>
  <c r="JW111" i="88"/>
  <c r="JQ100" i="88"/>
  <c r="JR95" i="88"/>
  <c r="JV111" i="88"/>
  <c r="JS109" i="88"/>
  <c r="JO100" i="88"/>
  <c r="KR100" i="88" s="1"/>
  <c r="JQ95" i="88"/>
  <c r="JQ94" i="88"/>
  <c r="JV93" i="88"/>
  <c r="JS92" i="88"/>
  <c r="JR91" i="88"/>
  <c r="JU90" i="88"/>
  <c r="JP87" i="88"/>
  <c r="JY86" i="88"/>
  <c r="JP86" i="88"/>
  <c r="JV85" i="88"/>
  <c r="JW84" i="88"/>
  <c r="JO84" i="88"/>
  <c r="KR84" i="88" s="1"/>
  <c r="JS83" i="88"/>
  <c r="JY82" i="88"/>
  <c r="JQ82" i="88"/>
  <c r="JY81" i="88"/>
  <c r="JQ81" i="88"/>
  <c r="JY79" i="88"/>
  <c r="JQ79" i="88"/>
  <c r="JS111" i="88"/>
  <c r="JR109" i="88"/>
  <c r="JO94" i="88"/>
  <c r="KR94" i="88" s="1"/>
  <c r="JT93" i="88"/>
  <c r="JR92" i="88"/>
  <c r="JQ91" i="88"/>
  <c r="JT90" i="88"/>
  <c r="JX87" i="88"/>
  <c r="JO87" i="88"/>
  <c r="KR87" i="88" s="1"/>
  <c r="JX86" i="88"/>
  <c r="JO86" i="88"/>
  <c r="KR86" i="88" s="1"/>
  <c r="JU85" i="88"/>
  <c r="JR83" i="88"/>
  <c r="JX82" i="88"/>
  <c r="JP82" i="88"/>
  <c r="JX81" i="88"/>
  <c r="JP81" i="88"/>
  <c r="JX79" i="88"/>
  <c r="JP79" i="88"/>
  <c r="JU78" i="88"/>
  <c r="JW94" i="88"/>
  <c r="JR89" i="88"/>
  <c r="JT86" i="88"/>
  <c r="JS85" i="88"/>
  <c r="JW83" i="88"/>
  <c r="JS82" i="88"/>
  <c r="JY95" i="88"/>
  <c r="JW93" i="88"/>
  <c r="JY92" i="88"/>
  <c r="JW90" i="88"/>
  <c r="JV87" i="88"/>
  <c r="JQ86" i="88"/>
  <c r="JP85" i="88"/>
  <c r="JX84" i="88"/>
  <c r="JU83" i="88"/>
  <c r="JO82" i="88"/>
  <c r="KR82" i="88" s="1"/>
  <c r="JO81" i="88"/>
  <c r="KR81" i="88" s="1"/>
  <c r="JO79" i="88"/>
  <c r="KR79" i="88" s="1"/>
  <c r="JW78" i="88"/>
  <c r="JV71" i="88"/>
  <c r="JS70" i="88"/>
  <c r="JS69" i="88"/>
  <c r="JW68" i="88"/>
  <c r="JO68" i="88"/>
  <c r="KR68" i="88" s="1"/>
  <c r="JT66" i="88"/>
  <c r="JX65" i="88"/>
  <c r="JP65" i="88"/>
  <c r="JV95" i="88"/>
  <c r="JQ93" i="88"/>
  <c r="JX92" i="88"/>
  <c r="JV90" i="88"/>
  <c r="JU87" i="88"/>
  <c r="JO85" i="88"/>
  <c r="KR85" i="88" s="1"/>
  <c r="JT83" i="88"/>
  <c r="JP93" i="88"/>
  <c r="JU92" i="88"/>
  <c r="JY94" i="88"/>
  <c r="JT92" i="88"/>
  <c r="JX91" i="88"/>
  <c r="JP90" i="88"/>
  <c r="JR87" i="88"/>
  <c r="JR84" i="88"/>
  <c r="JO83" i="88"/>
  <c r="KR83" i="88" s="1"/>
  <c r="JP92" i="88"/>
  <c r="JO92" i="88"/>
  <c r="KR92" i="88" s="1"/>
  <c r="JW91" i="88"/>
  <c r="JV86" i="88"/>
  <c r="JX85" i="88"/>
  <c r="JW79" i="88"/>
  <c r="JR78" i="88"/>
  <c r="JX71" i="88"/>
  <c r="JO71" i="88"/>
  <c r="JV70" i="88"/>
  <c r="JU69" i="88"/>
  <c r="JT68" i="88"/>
  <c r="JU67" i="88"/>
  <c r="JX66" i="88"/>
  <c r="JO66" i="88"/>
  <c r="KR66" i="88" s="1"/>
  <c r="JW65" i="88"/>
  <c r="JO64" i="88"/>
  <c r="KR64" i="88" s="1"/>
  <c r="JS87" i="88"/>
  <c r="JR86" i="88"/>
  <c r="JW85" i="88"/>
  <c r="JW82" i="88"/>
  <c r="JV79" i="88"/>
  <c r="JQ78" i="88"/>
  <c r="JW71" i="88"/>
  <c r="JU70" i="88"/>
  <c r="JT69" i="88"/>
  <c r="JS68" i="88"/>
  <c r="JO91" i="88"/>
  <c r="KR91" i="88" s="1"/>
  <c r="JQ84" i="88"/>
  <c r="JV83" i="88"/>
  <c r="JT82" i="88"/>
  <c r="JS79" i="88"/>
  <c r="JX78" i="88"/>
  <c r="JQ77" i="88"/>
  <c r="JS71" i="88"/>
  <c r="JQ70" i="88"/>
  <c r="JY69" i="88"/>
  <c r="JP69" i="88"/>
  <c r="JY68" i="88"/>
  <c r="JP68" i="88"/>
  <c r="JY67" i="88"/>
  <c r="JP67" i="88"/>
  <c r="JS66" i="88"/>
  <c r="JS65" i="88"/>
  <c r="JY90" i="88"/>
  <c r="JP84" i="88"/>
  <c r="JP83" i="88"/>
  <c r="JR82" i="88"/>
  <c r="JT81" i="88"/>
  <c r="JQ80" i="88"/>
  <c r="JR79" i="88"/>
  <c r="JV78" i="88"/>
  <c r="JP77" i="88"/>
  <c r="JR71" i="88"/>
  <c r="JY70" i="88"/>
  <c r="JP70" i="88"/>
  <c r="JX69" i="88"/>
  <c r="JO69" i="88"/>
  <c r="KR69" i="88" s="1"/>
  <c r="JX68" i="88"/>
  <c r="JX67" i="88"/>
  <c r="JO67" i="88"/>
  <c r="KR67" i="88" s="1"/>
  <c r="JR66" i="88"/>
  <c r="JR94" i="88"/>
  <c r="JQ90" i="88"/>
  <c r="JQ89" i="88"/>
  <c r="JX83" i="88"/>
  <c r="JV82" i="88"/>
  <c r="JS81" i="88"/>
  <c r="JS80" i="88"/>
  <c r="JU79" i="88"/>
  <c r="JO77" i="88"/>
  <c r="KR77" i="88" s="1"/>
  <c r="JT71" i="88"/>
  <c r="JW70" i="88"/>
  <c r="JR69" i="88"/>
  <c r="JW67" i="88"/>
  <c r="JY66" i="88"/>
  <c r="JS63" i="88"/>
  <c r="JU58" i="88"/>
  <c r="JU82" i="88"/>
  <c r="JR81" i="88"/>
  <c r="JP80" i="88"/>
  <c r="JT79" i="88"/>
  <c r="JY78" i="88"/>
  <c r="JQ71" i="88"/>
  <c r="JT70" i="88"/>
  <c r="JQ69" i="88"/>
  <c r="JW66" i="88"/>
  <c r="JY65" i="88"/>
  <c r="JS64" i="88"/>
  <c r="JR63" i="88"/>
  <c r="JO60" i="88"/>
  <c r="JT58" i="88"/>
  <c r="JY57" i="88"/>
  <c r="JQ57" i="88"/>
  <c r="JU56" i="88"/>
  <c r="JR55" i="88"/>
  <c r="JW54" i="88"/>
  <c r="JO54" i="88"/>
  <c r="KR54" i="88" s="1"/>
  <c r="JO80" i="88"/>
  <c r="KR80" i="88" s="1"/>
  <c r="JT78" i="88"/>
  <c r="JP71" i="88"/>
  <c r="JR70" i="88"/>
  <c r="JV68" i="88"/>
  <c r="JS67" i="88"/>
  <c r="JV66" i="88"/>
  <c r="JV65" i="88"/>
  <c r="JR64" i="88"/>
  <c r="JQ63" i="88"/>
  <c r="JS58" i="88"/>
  <c r="JS78" i="88"/>
  <c r="JO70" i="88"/>
  <c r="JU68" i="88"/>
  <c r="JR67" i="88"/>
  <c r="JU66" i="88"/>
  <c r="JU65" i="88"/>
  <c r="JR85" i="88"/>
  <c r="JS84" i="88"/>
  <c r="JP78" i="88"/>
  <c r="JR68" i="88"/>
  <c r="JQ67" i="88"/>
  <c r="JQ66" i="88"/>
  <c r="JT65" i="88"/>
  <c r="JP64" i="88"/>
  <c r="JO63" i="88"/>
  <c r="KR63" i="88" s="1"/>
  <c r="JY58" i="88"/>
  <c r="JQ58" i="88"/>
  <c r="JV57" i="88"/>
  <c r="JR56" i="88"/>
  <c r="JW55" i="88"/>
  <c r="JO55" i="88"/>
  <c r="KR55" i="88" s="1"/>
  <c r="JO78" i="88"/>
  <c r="KR78" i="88" s="1"/>
  <c r="JQ68" i="88"/>
  <c r="JP66" i="88"/>
  <c r="JR65" i="88"/>
  <c r="JY64" i="88"/>
  <c r="JX58" i="88"/>
  <c r="JP58" i="88"/>
  <c r="JU57" i="88"/>
  <c r="JY56" i="88"/>
  <c r="JQ56" i="88"/>
  <c r="JV55" i="88"/>
  <c r="JS54" i="88"/>
  <c r="JX53" i="88"/>
  <c r="JP53" i="88"/>
  <c r="JU52" i="88"/>
  <c r="JR51" i="88"/>
  <c r="JW50" i="88"/>
  <c r="JO50" i="88"/>
  <c r="KR50" i="88" s="1"/>
  <c r="JT49" i="88"/>
  <c r="JW81" i="88"/>
  <c r="JY71" i="88"/>
  <c r="JW69" i="88"/>
  <c r="JQ65" i="88"/>
  <c r="JW58" i="88"/>
  <c r="JO58" i="88"/>
  <c r="KR58" i="88" s="1"/>
  <c r="JT57" i="88"/>
  <c r="JX56" i="88"/>
  <c r="JP56" i="88"/>
  <c r="JU71" i="88"/>
  <c r="JX70" i="88"/>
  <c r="JV69" i="88"/>
  <c r="JO65" i="88"/>
  <c r="KR65" i="88" s="1"/>
  <c r="JX57" i="88"/>
  <c r="JS56" i="88"/>
  <c r="JP55" i="88"/>
  <c r="JT54" i="88"/>
  <c r="JS53" i="88"/>
  <c r="JS52" i="88"/>
  <c r="JT51" i="88"/>
  <c r="JT50" i="88"/>
  <c r="JU49" i="88"/>
  <c r="JR48" i="88"/>
  <c r="JP47" i="88"/>
  <c r="JU46" i="88"/>
  <c r="JR45" i="88"/>
  <c r="JW44" i="88"/>
  <c r="JO44" i="88"/>
  <c r="KR44" i="88" s="1"/>
  <c r="JW57" i="88"/>
  <c r="JO56" i="88"/>
  <c r="KR56" i="88" s="1"/>
  <c r="JR54" i="88"/>
  <c r="JR53" i="88"/>
  <c r="JR52" i="88"/>
  <c r="JS51" i="88"/>
  <c r="JS50" i="88"/>
  <c r="JS49" i="88"/>
  <c r="JY48" i="88"/>
  <c r="JQ48" i="88"/>
  <c r="JW47" i="88"/>
  <c r="JO47" i="88"/>
  <c r="KR47" i="88" s="1"/>
  <c r="JT46" i="88"/>
  <c r="JY45" i="88"/>
  <c r="JQ45" i="88"/>
  <c r="JV44" i="88"/>
  <c r="JS43" i="88"/>
  <c r="JP42" i="88"/>
  <c r="JW37" i="88"/>
  <c r="JO37" i="88"/>
  <c r="KR37" i="88" s="1"/>
  <c r="JX36" i="88"/>
  <c r="JP36" i="88"/>
  <c r="JW35" i="88"/>
  <c r="JO35" i="88"/>
  <c r="KR35" i="88" s="1"/>
  <c r="JT34" i="88"/>
  <c r="JY33" i="88"/>
  <c r="JQ33" i="88"/>
  <c r="JV32" i="88"/>
  <c r="JS31" i="88"/>
  <c r="JT30" i="88"/>
  <c r="JY29" i="88"/>
  <c r="JQ29" i="88"/>
  <c r="JV28" i="88"/>
  <c r="JS27" i="88"/>
  <c r="JW26" i="88"/>
  <c r="JO26" i="88"/>
  <c r="JX25" i="88"/>
  <c r="JP25" i="88"/>
  <c r="JU24" i="88"/>
  <c r="JS57" i="88"/>
  <c r="JY55" i="88"/>
  <c r="JP63" i="88"/>
  <c r="JR57" i="88"/>
  <c r="JX55" i="88"/>
  <c r="JP54" i="88"/>
  <c r="JY53" i="88"/>
  <c r="JO53" i="88"/>
  <c r="KR53" i="88" s="1"/>
  <c r="JY52" i="88"/>
  <c r="JP52" i="88"/>
  <c r="JY51" i="88"/>
  <c r="JP51" i="88"/>
  <c r="JQ50" i="88"/>
  <c r="JQ49" i="88"/>
  <c r="JP57" i="88"/>
  <c r="JU55" i="88"/>
  <c r="JY54" i="88"/>
  <c r="JW53" i="88"/>
  <c r="JX52" i="88"/>
  <c r="JO52" i="88"/>
  <c r="KR52" i="88" s="1"/>
  <c r="JX51" i="88"/>
  <c r="JO51" i="88"/>
  <c r="KR51" i="88" s="1"/>
  <c r="JY50" i="88"/>
  <c r="JP50" i="88"/>
  <c r="JY49" i="88"/>
  <c r="JP49" i="88"/>
  <c r="JV48" i="88"/>
  <c r="JT47" i="88"/>
  <c r="JY46" i="88"/>
  <c r="JQ46" i="88"/>
  <c r="JV45" i="88"/>
  <c r="JS44" i="88"/>
  <c r="JX43" i="88"/>
  <c r="JP43" i="88"/>
  <c r="JQ39" i="88"/>
  <c r="JT37" i="88"/>
  <c r="JU36" i="88"/>
  <c r="JT35" i="88"/>
  <c r="JY34" i="88"/>
  <c r="JQ34" i="88"/>
  <c r="JV33" i="88"/>
  <c r="JS32" i="88"/>
  <c r="JX31" i="88"/>
  <c r="JP31" i="88"/>
  <c r="JY30" i="88"/>
  <c r="JQ30" i="88"/>
  <c r="JV29" i="88"/>
  <c r="JS28" i="88"/>
  <c r="JX27" i="88"/>
  <c r="JP27" i="88"/>
  <c r="JT26" i="88"/>
  <c r="JU25" i="88"/>
  <c r="JR24" i="88"/>
  <c r="KD24" i="88" s="1"/>
  <c r="JW23" i="88"/>
  <c r="JO23" i="88"/>
  <c r="KR23" i="88" s="1"/>
  <c r="JT22" i="88"/>
  <c r="JQ21" i="88"/>
  <c r="JY19" i="88"/>
  <c r="JQ19" i="88"/>
  <c r="JV18" i="88"/>
  <c r="JS17" i="88"/>
  <c r="JX16" i="88"/>
  <c r="JP16" i="88"/>
  <c r="JU15" i="88"/>
  <c r="JV13" i="88"/>
  <c r="JW12" i="88"/>
  <c r="JO12" i="88"/>
  <c r="KR12" i="88" s="1"/>
  <c r="JX11" i="88"/>
  <c r="JP11" i="88"/>
  <c r="JX54" i="88"/>
  <c r="JV58" i="88"/>
  <c r="JO57" i="88"/>
  <c r="KR57" i="88" s="1"/>
  <c r="JW56" i="88"/>
  <c r="JT55" i="88"/>
  <c r="JQ64" i="88"/>
  <c r="JQ60" i="88"/>
  <c r="JR58" i="88"/>
  <c r="JV56" i="88"/>
  <c r="JS55" i="88"/>
  <c r="JV54" i="88"/>
  <c r="JU53" i="88"/>
  <c r="JV52" i="88"/>
  <c r="JV51" i="88"/>
  <c r="JV50" i="88"/>
  <c r="JW49" i="88"/>
  <c r="JT48" i="88"/>
  <c r="JR47" i="88"/>
  <c r="JW46" i="88"/>
  <c r="JO46" i="88"/>
  <c r="KR46" i="88" s="1"/>
  <c r="JT45" i="88"/>
  <c r="JY44" i="88"/>
  <c r="JQ44" i="88"/>
  <c r="JV43" i="88"/>
  <c r="JS42" i="88"/>
  <c r="JO39" i="88"/>
  <c r="JR37" i="88"/>
  <c r="JS36" i="88"/>
  <c r="JR35" i="88"/>
  <c r="JW34" i="88"/>
  <c r="JO34" i="88"/>
  <c r="KR34" i="88" s="1"/>
  <c r="JT33" i="88"/>
  <c r="JY32" i="88"/>
  <c r="JQ32" i="88"/>
  <c r="JV31" i="88"/>
  <c r="JW30" i="88"/>
  <c r="JO30" i="88"/>
  <c r="KR30" i="88" s="1"/>
  <c r="JT29" i="88"/>
  <c r="JY28" i="88"/>
  <c r="JQ28" i="88"/>
  <c r="JV27" i="88"/>
  <c r="JR26" i="88"/>
  <c r="JS25" i="88"/>
  <c r="JX24" i="88"/>
  <c r="JP24" i="88"/>
  <c r="JT56" i="88"/>
  <c r="JQ55" i="88"/>
  <c r="JU54" i="88"/>
  <c r="JT53" i="88"/>
  <c r="JO49" i="88"/>
  <c r="KR49" i="88" s="1"/>
  <c r="JO48" i="88"/>
  <c r="KR48" i="88" s="1"/>
  <c r="JU47" i="88"/>
  <c r="JV46" i="88"/>
  <c r="JP44" i="88"/>
  <c r="JU37" i="88"/>
  <c r="JR36" i="88"/>
  <c r="JX33" i="88"/>
  <c r="JW32" i="88"/>
  <c r="JX28" i="88"/>
  <c r="JW27" i="88"/>
  <c r="JY26" i="88"/>
  <c r="JT25" i="88"/>
  <c r="JV53" i="88"/>
  <c r="JQ53" i="88"/>
  <c r="JQ47" i="88"/>
  <c r="JR46" i="88"/>
  <c r="JW45" i="88"/>
  <c r="JQ54" i="88"/>
  <c r="JW52" i="88"/>
  <c r="JT52" i="88"/>
  <c r="JW51" i="88"/>
  <c r="JW48" i="88"/>
  <c r="JS45" i="88"/>
  <c r="JX44" i="88"/>
  <c r="JT43" i="88"/>
  <c r="JR42" i="88"/>
  <c r="JY36" i="88"/>
  <c r="JU35" i="88"/>
  <c r="JS34" i="88"/>
  <c r="JR33" i="88"/>
  <c r="JP32" i="88"/>
  <c r="JO31" i="88"/>
  <c r="KR31" i="88" s="1"/>
  <c r="JU30" i="88"/>
  <c r="JS29" i="88"/>
  <c r="JR28" i="88"/>
  <c r="JQ27" i="88"/>
  <c r="JS26" i="88"/>
  <c r="JY24" i="88"/>
  <c r="JU23" i="88"/>
  <c r="JV22" i="88"/>
  <c r="KH22" i="88" s="1"/>
  <c r="JS19" i="88"/>
  <c r="JQ52" i="88"/>
  <c r="JU51" i="88"/>
  <c r="JX50" i="88"/>
  <c r="JX49" i="88"/>
  <c r="JU48" i="88"/>
  <c r="JP45" i="88"/>
  <c r="JU44" i="88"/>
  <c r="JR43" i="88"/>
  <c r="JQ42" i="88"/>
  <c r="JY37" i="88"/>
  <c r="JW36" i="88"/>
  <c r="JS35" i="88"/>
  <c r="JR34" i="88"/>
  <c r="JP33" i="88"/>
  <c r="JO32" i="88"/>
  <c r="KR32" i="88" s="1"/>
  <c r="JS30" i="88"/>
  <c r="JR29" i="88"/>
  <c r="JP28" i="88"/>
  <c r="JO27" i="88"/>
  <c r="KR27" i="88" s="1"/>
  <c r="JQ26" i="88"/>
  <c r="JY25" i="88"/>
  <c r="JW24" i="88"/>
  <c r="JT23" i="88"/>
  <c r="JU22" i="88"/>
  <c r="JR19" i="88"/>
  <c r="JR18" i="88"/>
  <c r="JR17" i="88"/>
  <c r="JS16" i="88"/>
  <c r="JS15" i="88"/>
  <c r="JX14" i="88"/>
  <c r="JO14" i="88"/>
  <c r="KR14" i="88" s="1"/>
  <c r="JT13" i="88"/>
  <c r="JY12" i="88"/>
  <c r="JP12" i="88"/>
  <c r="JQ43" i="88"/>
  <c r="JO42" i="88"/>
  <c r="KR42" i="88" s="1"/>
  <c r="JX37" i="88"/>
  <c r="JV36" i="88"/>
  <c r="JQ35" i="88"/>
  <c r="JP34" i="88"/>
  <c r="JO33" i="88"/>
  <c r="KR33" i="88" s="1"/>
  <c r="JY31" i="88"/>
  <c r="JR30" i="88"/>
  <c r="JP29" i="88"/>
  <c r="JO28" i="88"/>
  <c r="KR28" i="88" s="1"/>
  <c r="JP26" i="88"/>
  <c r="JQ18" i="88"/>
  <c r="JQ17" i="88"/>
  <c r="JR16" i="88"/>
  <c r="JR15" i="88"/>
  <c r="JW14" i="88"/>
  <c r="JS13" i="88"/>
  <c r="JQ51" i="88"/>
  <c r="JU50" i="88"/>
  <c r="JV49" i="88"/>
  <c r="JS48" i="88"/>
  <c r="JO45" i="88"/>
  <c r="KR45" i="88" s="1"/>
  <c r="JT44" i="88"/>
  <c r="JW25" i="88"/>
  <c r="JV24" i="88"/>
  <c r="JS23" i="88"/>
  <c r="JS22" i="88"/>
  <c r="JP19" i="88"/>
  <c r="JR50" i="88"/>
  <c r="JR49" i="88"/>
  <c r="JP48" i="88"/>
  <c r="JX46" i="88"/>
  <c r="JR44" i="88"/>
  <c r="JO43" i="88"/>
  <c r="KR43" i="88" s="1"/>
  <c r="JR39" i="88"/>
  <c r="JV37" i="88"/>
  <c r="JT36" i="88"/>
  <c r="JP35" i="88"/>
  <c r="JX45" i="88"/>
  <c r="JU43" i="88"/>
  <c r="JY35" i="88"/>
  <c r="JU32" i="88"/>
  <c r="JU45" i="88"/>
  <c r="JX35" i="88"/>
  <c r="JT32" i="88"/>
  <c r="JW31" i="88"/>
  <c r="JX29" i="88"/>
  <c r="JS47" i="88"/>
  <c r="JS46" i="88"/>
  <c r="JV35" i="88"/>
  <c r="JR32" i="88"/>
  <c r="JW29" i="88"/>
  <c r="JX26" i="88"/>
  <c r="JO24" i="88"/>
  <c r="KR24" i="88" s="1"/>
  <c r="JY23" i="88"/>
  <c r="JX22" i="88"/>
  <c r="JV19" i="88"/>
  <c r="JU18" i="88"/>
  <c r="JV17" i="88"/>
  <c r="JV16" i="88"/>
  <c r="JW15" i="88"/>
  <c r="JQ14" i="88"/>
  <c r="JQ13" i="88"/>
  <c r="JR12" i="88"/>
  <c r="JR11" i="88"/>
  <c r="JW28" i="88"/>
  <c r="JY27" i="88"/>
  <c r="JV26" i="88"/>
  <c r="JX23" i="88"/>
  <c r="JW22" i="88"/>
  <c r="JS21" i="88"/>
  <c r="JU19" i="88"/>
  <c r="JT18" i="88"/>
  <c r="JU17" i="88"/>
  <c r="JU16" i="88"/>
  <c r="JV15" i="88"/>
  <c r="JP14" i="88"/>
  <c r="JP13" i="88"/>
  <c r="JQ12" i="88"/>
  <c r="JP46" i="88"/>
  <c r="JS37" i="88"/>
  <c r="JX34" i="88"/>
  <c r="JR31" i="88"/>
  <c r="JX30" i="88"/>
  <c r="JU29" i="88"/>
  <c r="JX48" i="88"/>
  <c r="JQ37" i="88"/>
  <c r="JQ36" i="88"/>
  <c r="JV34" i="88"/>
  <c r="JQ31" i="88"/>
  <c r="JV30" i="88"/>
  <c r="JO29" i="88"/>
  <c r="KR29" i="88" s="1"/>
  <c r="JU28" i="88"/>
  <c r="JU27" i="88"/>
  <c r="JU26" i="88"/>
  <c r="JV25" i="88"/>
  <c r="JP37" i="88"/>
  <c r="JO36" i="88"/>
  <c r="KR36" i="88" s="1"/>
  <c r="JU34" i="88"/>
  <c r="JW33" i="88"/>
  <c r="JP30" i="88"/>
  <c r="JT28" i="88"/>
  <c r="JT27" i="88"/>
  <c r="JY43" i="88"/>
  <c r="JU33" i="88"/>
  <c r="JR27" i="88"/>
  <c r="JQ25" i="88"/>
  <c r="JQ23" i="88"/>
  <c r="KC23" i="88" s="1"/>
  <c r="JP22" i="88"/>
  <c r="JO21" i="88"/>
  <c r="KR21" i="88" s="1"/>
  <c r="JO18" i="88"/>
  <c r="KR18" i="88" s="1"/>
  <c r="JO17" i="88"/>
  <c r="KR17" i="88" s="1"/>
  <c r="JO16" i="88"/>
  <c r="KR16" i="88" s="1"/>
  <c r="JP15" i="88"/>
  <c r="JV14" i="88"/>
  <c r="JX13" i="88"/>
  <c r="JV12" i="88"/>
  <c r="JW11" i="88"/>
  <c r="JO25" i="88"/>
  <c r="KR25" i="88" s="1"/>
  <c r="JT24" i="88"/>
  <c r="JP23" i="88"/>
  <c r="JO22" i="88"/>
  <c r="KR22" i="88" s="1"/>
  <c r="JY18" i="88"/>
  <c r="JY17" i="88"/>
  <c r="JO15" i="88"/>
  <c r="KR15" i="88" s="1"/>
  <c r="JU14" i="88"/>
  <c r="JW13" i="88"/>
  <c r="JU12" i="88"/>
  <c r="JW43" i="88"/>
  <c r="JS33" i="88"/>
  <c r="JX32" i="88"/>
  <c r="AD276" i="88"/>
  <c r="AD275" i="88"/>
  <c r="AD277" i="88"/>
  <c r="S39" i="88"/>
  <c r="GG11" i="88"/>
  <c r="HK28" i="88" s="1"/>
  <c r="AL275" i="88"/>
  <c r="AL277" i="88"/>
  <c r="AL276" i="88"/>
  <c r="AA39" i="88"/>
  <c r="EX60" i="88"/>
  <c r="EX40" i="88"/>
  <c r="FV40" i="88"/>
  <c r="JR5" i="88"/>
  <c r="W277" i="88"/>
  <c r="W276" i="88"/>
  <c r="W275" i="88"/>
  <c r="L39" i="88"/>
  <c r="AE276" i="88"/>
  <c r="AE275" i="88"/>
  <c r="AE277" i="88"/>
  <c r="T39" i="88"/>
  <c r="AM276" i="88"/>
  <c r="AM275" i="88"/>
  <c r="AM277" i="88"/>
  <c r="AB39" i="88"/>
  <c r="AJ60" i="88"/>
  <c r="AJ40" i="88"/>
  <c r="EP60" i="88"/>
  <c r="EP40" i="88"/>
  <c r="FW40" i="88"/>
  <c r="EY40" i="88"/>
  <c r="EY60" i="88"/>
  <c r="FA39" i="88"/>
  <c r="FQ11" i="88"/>
  <c r="IR13" i="88"/>
  <c r="JR13" i="88"/>
  <c r="BC14" i="88"/>
  <c r="BC11" i="88" s="1"/>
  <c r="HY11" i="88" s="1"/>
  <c r="HY15" i="88"/>
  <c r="BK60" i="88"/>
  <c r="BK40" i="88"/>
  <c r="HH15" i="88"/>
  <c r="GX15" i="88"/>
  <c r="GL16" i="88"/>
  <c r="GL17" i="88"/>
  <c r="IC17" i="88"/>
  <c r="IR18" i="88"/>
  <c r="IZ18" i="88"/>
  <c r="JX18" i="88"/>
  <c r="GM19" i="88"/>
  <c r="IB19" i="88"/>
  <c r="GR19" i="88"/>
  <c r="HA19" i="88"/>
  <c r="T278" i="88"/>
  <c r="AB278" i="88"/>
  <c r="HV21" i="88"/>
  <c r="GG21" i="88"/>
  <c r="AJ278" i="88"/>
  <c r="GM22" i="88"/>
  <c r="JV23" i="88"/>
  <c r="GK24" i="88"/>
  <c r="HZ24" i="88"/>
  <c r="IB24" i="88"/>
  <c r="HZ25" i="88"/>
  <c r="IT25" i="88" s="1"/>
  <c r="IG28" i="88"/>
  <c r="JF31" i="88"/>
  <c r="IE22" i="88"/>
  <c r="DJ21" i="88"/>
  <c r="GN22" i="88"/>
  <c r="FS21" i="88"/>
  <c r="FS39" i="88" s="1"/>
  <c r="IG25" i="88"/>
  <c r="FC60" i="88"/>
  <c r="GA40" i="88"/>
  <c r="FC40" i="88"/>
  <c r="HC12" i="88"/>
  <c r="GS12" i="88"/>
  <c r="IR12" i="88"/>
  <c r="IZ12" i="88"/>
  <c r="IY12" i="88"/>
  <c r="JS12" i="88"/>
  <c r="JY13" i="88"/>
  <c r="AW74" i="88"/>
  <c r="AW97" i="88" s="1"/>
  <c r="AW61" i="88"/>
  <c r="JS14" i="88"/>
  <c r="JQ15" i="88"/>
  <c r="IA18" i="88"/>
  <c r="JT19" i="88"/>
  <c r="DK21" i="88"/>
  <c r="DS21" i="88"/>
  <c r="FL21" i="88"/>
  <c r="JQ22" i="88"/>
  <c r="IP23" i="88"/>
  <c r="IX23" i="88"/>
  <c r="GK27" i="88"/>
  <c r="HZ27" i="88"/>
  <c r="JB27" i="88" s="1"/>
  <c r="IU27" i="88"/>
  <c r="IG29" i="88"/>
  <c r="HH29" i="88"/>
  <c r="GX29" i="88"/>
  <c r="AV39" i="88"/>
  <c r="AV60" i="88" s="1"/>
  <c r="BH40" i="88"/>
  <c r="ER60" i="88"/>
  <c r="ER40" i="88"/>
  <c r="FD60" i="88"/>
  <c r="GB40" i="88"/>
  <c r="FD40" i="88"/>
  <c r="R277" i="88"/>
  <c r="R276" i="88"/>
  <c r="R275" i="88"/>
  <c r="G39" i="88"/>
  <c r="Z277" i="88"/>
  <c r="Z276" i="88"/>
  <c r="Z275" i="88"/>
  <c r="O39" i="88"/>
  <c r="AH277" i="88"/>
  <c r="AH276" i="88"/>
  <c r="AH275" i="88"/>
  <c r="W39" i="88"/>
  <c r="AE39" i="88"/>
  <c r="HW11" i="88"/>
  <c r="JH22" i="88" s="1"/>
  <c r="AM60" i="88"/>
  <c r="AM40" i="88"/>
  <c r="AX61" i="88"/>
  <c r="EK39" i="88"/>
  <c r="ES39" i="88"/>
  <c r="FF60" i="88"/>
  <c r="FF40" i="88"/>
  <c r="GD40" i="88"/>
  <c r="JT12" i="88"/>
  <c r="CP11" i="88"/>
  <c r="JV11" i="88" s="1"/>
  <c r="IG13" i="88"/>
  <c r="HB13" i="88"/>
  <c r="HC13" i="88"/>
  <c r="JA13" i="88"/>
  <c r="IX14" i="88"/>
  <c r="JY14" i="88"/>
  <c r="BF39" i="88"/>
  <c r="JS39" i="88" s="1"/>
  <c r="IX15" i="88"/>
  <c r="IP15" i="88"/>
  <c r="IX16" i="88"/>
  <c r="IP16" i="88"/>
  <c r="IQ16" i="88"/>
  <c r="JQ16" i="88"/>
  <c r="JP17" i="88"/>
  <c r="GK19" i="88"/>
  <c r="JF19" i="88"/>
  <c r="IR19" i="88"/>
  <c r="JW19" i="88"/>
  <c r="GL22" i="88"/>
  <c r="IK22" i="88"/>
  <c r="JR22" i="88"/>
  <c r="IQ23" i="88"/>
  <c r="IY23" i="88"/>
  <c r="IA24" i="88"/>
  <c r="GL24" i="88"/>
  <c r="JQ24" i="88"/>
  <c r="JF69" i="88"/>
  <c r="JF67" i="88"/>
  <c r="JF81" i="88"/>
  <c r="JF25" i="88"/>
  <c r="JF45" i="88"/>
  <c r="JF53" i="88"/>
  <c r="JF24" i="88"/>
  <c r="JF32" i="88"/>
  <c r="AA276" i="88"/>
  <c r="AA275" i="88"/>
  <c r="AA277" i="88"/>
  <c r="P39" i="88"/>
  <c r="AF60" i="88"/>
  <c r="AF40" i="88"/>
  <c r="AY74" i="88"/>
  <c r="AY97" i="88" s="1"/>
  <c r="AY61" i="88"/>
  <c r="BL60" i="88"/>
  <c r="BL40" i="88"/>
  <c r="GK12" i="88"/>
  <c r="HZ12" i="88"/>
  <c r="FE60" i="88"/>
  <c r="FE40" i="88"/>
  <c r="GC40" i="88"/>
  <c r="JF13" i="88"/>
  <c r="AQ74" i="88"/>
  <c r="AQ97" i="88" s="1"/>
  <c r="AQ61" i="88"/>
  <c r="IX17" i="88"/>
  <c r="IQ17" i="88"/>
  <c r="IX19" i="88"/>
  <c r="HU21" i="88"/>
  <c r="E39" i="88"/>
  <c r="GF21" i="88"/>
  <c r="AK60" i="88"/>
  <c r="AK40" i="88"/>
  <c r="GT29" i="88"/>
  <c r="HD29" i="88"/>
  <c r="IE18" i="88"/>
  <c r="BU11" i="88"/>
  <c r="GQ14" i="88"/>
  <c r="HA14" i="88"/>
  <c r="IB16" i="88"/>
  <c r="IV16" i="88" s="1"/>
  <c r="CK15" i="88"/>
  <c r="HA16" i="88"/>
  <c r="GH15" i="88"/>
  <c r="GR15" i="88" s="1"/>
  <c r="JY15" i="88"/>
  <c r="FJ40" i="88"/>
  <c r="GR16" i="88"/>
  <c r="JW16" i="88"/>
  <c r="GK17" i="88"/>
  <c r="IB17" i="88"/>
  <c r="GM17" i="88"/>
  <c r="HA17" i="88"/>
  <c r="JW17" i="88"/>
  <c r="IP18" i="88"/>
  <c r="JP18" i="88"/>
  <c r="JP21" i="88"/>
  <c r="IP22" i="88"/>
  <c r="IX22" i="88"/>
  <c r="IA23" i="88"/>
  <c r="GL25" i="88"/>
  <c r="JR25" i="88"/>
  <c r="JF42" i="88"/>
  <c r="EM60" i="88"/>
  <c r="EM40" i="88"/>
  <c r="Z60" i="88"/>
  <c r="Z40" i="88"/>
  <c r="AR61" i="88"/>
  <c r="AR74" i="88"/>
  <c r="AR97" i="88" s="1"/>
  <c r="BB60" i="88"/>
  <c r="BB40" i="88"/>
  <c r="DQ39" i="88"/>
  <c r="JS11" i="88"/>
  <c r="BO11" i="88"/>
  <c r="IE12" i="88"/>
  <c r="GJ15" i="88"/>
  <c r="GS16" i="88"/>
  <c r="HZ16" i="88"/>
  <c r="JY16" i="88"/>
  <c r="GR17" i="88"/>
  <c r="IY17" i="88"/>
  <c r="JX17" i="88"/>
  <c r="HZ18" i="88"/>
  <c r="IB18" i="88"/>
  <c r="GM18" i="88"/>
  <c r="HG18" i="88" s="1"/>
  <c r="GQ18" i="88"/>
  <c r="HA18" i="88"/>
  <c r="JS18" i="88"/>
  <c r="JR21" i="88"/>
  <c r="HK22" i="88"/>
  <c r="GL23" i="88"/>
  <c r="IZ24" i="88"/>
  <c r="BI60" i="88"/>
  <c r="BI40" i="88"/>
  <c r="IE30" i="88"/>
  <c r="HC30" i="88"/>
  <c r="JF34" i="88"/>
  <c r="IB26" i="88"/>
  <c r="BD60" i="88"/>
  <c r="BD40" i="88"/>
  <c r="EI40" i="88"/>
  <c r="EI60" i="88"/>
  <c r="BQ11" i="88"/>
  <c r="GL12" i="88"/>
  <c r="CG11" i="88"/>
  <c r="CO11" i="88"/>
  <c r="IC12" i="88"/>
  <c r="DL11" i="88"/>
  <c r="DL39" i="88" s="1"/>
  <c r="DT11" i="88"/>
  <c r="IP13" i="88"/>
  <c r="IT13" i="88"/>
  <c r="IY15" i="88"/>
  <c r="GN16" i="88"/>
  <c r="IY16" i="88"/>
  <c r="GN17" i="88"/>
  <c r="IZ17" i="88"/>
  <c r="HB18" i="88"/>
  <c r="IX18" i="88"/>
  <c r="DT21" i="88"/>
  <c r="FM21" i="88"/>
  <c r="FU21" i="88"/>
  <c r="IF22" i="88"/>
  <c r="GL26" i="88"/>
  <c r="IG26" i="88"/>
  <c r="Q276" i="88"/>
  <c r="Q277" i="88"/>
  <c r="Q275" i="88"/>
  <c r="F39" i="88"/>
  <c r="GF11" i="88"/>
  <c r="Y277" i="88"/>
  <c r="Y276" i="88"/>
  <c r="Y275" i="88"/>
  <c r="N39" i="88"/>
  <c r="AG277" i="88"/>
  <c r="AG276" i="88"/>
  <c r="AG275" i="88"/>
  <c r="V39" i="88"/>
  <c r="AD60" i="88"/>
  <c r="AD40" i="88"/>
  <c r="AL60" i="88"/>
  <c r="AL40" i="88"/>
  <c r="AU39" i="88"/>
  <c r="AU60" i="88" s="1"/>
  <c r="EJ39" i="88"/>
  <c r="GH11" i="88"/>
  <c r="HL37" i="88" s="1"/>
  <c r="CH11" i="88"/>
  <c r="IA12" i="88"/>
  <c r="IY13" i="88"/>
  <c r="BP15" i="88"/>
  <c r="BP14" i="88" s="1"/>
  <c r="BP11" i="88" s="1"/>
  <c r="FL11" i="88"/>
  <c r="GS18" i="88"/>
  <c r="IE19" i="88"/>
  <c r="GN19" i="88"/>
  <c r="HB19" i="88"/>
  <c r="R278" i="88"/>
  <c r="Z278" i="88"/>
  <c r="AH278" i="88"/>
  <c r="FG21" i="88"/>
  <c r="FG39" i="88" s="1"/>
  <c r="GJ21" i="88"/>
  <c r="BR21" i="88"/>
  <c r="CP21" i="88"/>
  <c r="JV21" i="88" s="1"/>
  <c r="DM21" i="88"/>
  <c r="DM39" i="88" s="1"/>
  <c r="DU21" i="88"/>
  <c r="DU39" i="88" s="1"/>
  <c r="FN21" i="88"/>
  <c r="FV21" i="88"/>
  <c r="GD21" i="88"/>
  <c r="GD39" i="88" s="1"/>
  <c r="ID23" i="88"/>
  <c r="IH23" i="88" s="1"/>
  <c r="CA21" i="88"/>
  <c r="ID25" i="88"/>
  <c r="IH25" i="88" s="1"/>
  <c r="IE26" i="88"/>
  <c r="IA29" i="88"/>
  <c r="GL32" i="88"/>
  <c r="HK46" i="88"/>
  <c r="JA53" i="88"/>
  <c r="GR27" i="88"/>
  <c r="GR29" i="88"/>
  <c r="JF29" i="88"/>
  <c r="IA30" i="88"/>
  <c r="GS30" i="88"/>
  <c r="IK36" i="88"/>
  <c r="HV42" i="88"/>
  <c r="GG42" i="88"/>
  <c r="GQ42" i="88" s="1"/>
  <c r="GQ43" i="88"/>
  <c r="GL44" i="88"/>
  <c r="AP42" i="88"/>
  <c r="GI42" i="88" s="1"/>
  <c r="GI47" i="88"/>
  <c r="IS48" i="88"/>
  <c r="JA48" i="88"/>
  <c r="GQ32" i="88"/>
  <c r="IC32" i="88"/>
  <c r="GK33" i="88"/>
  <c r="GL33" i="88"/>
  <c r="IX33" i="88"/>
  <c r="HA35" i="88"/>
  <c r="HI36" i="88"/>
  <c r="GV36" i="88"/>
  <c r="HF36" i="88"/>
  <c r="JA36" i="88"/>
  <c r="IS36" i="88"/>
  <c r="IV37" i="88"/>
  <c r="AH40" i="88"/>
  <c r="GT48" i="88"/>
  <c r="HK29" i="88"/>
  <c r="HA29" i="88"/>
  <c r="GL30" i="88"/>
  <c r="ID32" i="88"/>
  <c r="IH32" i="88" s="1"/>
  <c r="GM34" i="88"/>
  <c r="HG34" i="88" s="1"/>
  <c r="HB34" i="88"/>
  <c r="GK35" i="88"/>
  <c r="HG36" i="88"/>
  <c r="GW36" i="88"/>
  <c r="HH36" i="88"/>
  <c r="HY42" i="88"/>
  <c r="GJ42" i="88"/>
  <c r="IA43" i="88"/>
  <c r="GN43" i="88"/>
  <c r="GW46" i="88"/>
  <c r="HG46" i="88"/>
  <c r="DP11" i="88"/>
  <c r="DP39" i="88" s="1"/>
  <c r="FU40" i="88"/>
  <c r="FM11" i="88"/>
  <c r="FU11" i="88"/>
  <c r="GC11" i="88"/>
  <c r="GC39" i="88" s="1"/>
  <c r="ET60" i="88"/>
  <c r="ET40" i="88"/>
  <c r="IQ22" i="88"/>
  <c r="IY22" i="88"/>
  <c r="IB23" i="88"/>
  <c r="HB23" i="88"/>
  <c r="GR23" i="88"/>
  <c r="IZ23" i="88"/>
  <c r="IR23" i="88"/>
  <c r="IE24" i="88"/>
  <c r="GN24" i="88"/>
  <c r="GX24" i="88" s="1"/>
  <c r="IQ25" i="88"/>
  <c r="IY25" i="88"/>
  <c r="IZ25" i="88"/>
  <c r="IX26" i="88"/>
  <c r="IP26" i="88"/>
  <c r="U276" i="88"/>
  <c r="U275" i="88"/>
  <c r="U277" i="88"/>
  <c r="AC276" i="88"/>
  <c r="AC275" i="88"/>
  <c r="AC277" i="88"/>
  <c r="R39" i="88"/>
  <c r="AK276" i="88"/>
  <c r="AK277" i="88"/>
  <c r="AK275" i="88"/>
  <c r="AH74" i="88"/>
  <c r="JQ74" i="88" s="1"/>
  <c r="AH61" i="88"/>
  <c r="AZ61" i="88"/>
  <c r="EN60" i="88"/>
  <c r="EN40" i="88"/>
  <c r="EV60" i="88"/>
  <c r="FT40" i="88"/>
  <c r="EV40" i="88"/>
  <c r="HA12" i="88"/>
  <c r="IB13" i="88"/>
  <c r="IF13" i="88" s="1"/>
  <c r="IQ13" i="88"/>
  <c r="CJ15" i="88"/>
  <c r="CJ14" i="88" s="1"/>
  <c r="CJ11" i="88" s="1"/>
  <c r="CR15" i="88"/>
  <c r="CR14" i="88" s="1"/>
  <c r="CR11" i="88" s="1"/>
  <c r="CR39" i="88" s="1"/>
  <c r="IE17" i="88"/>
  <c r="IY19" i="88"/>
  <c r="IQ19" i="88"/>
  <c r="AS61" i="88"/>
  <c r="AS74" i="88"/>
  <c r="AS97" i="88" s="1"/>
  <c r="BN21" i="88"/>
  <c r="BN39" i="88" s="1"/>
  <c r="JW21" i="88"/>
  <c r="HB22" i="88"/>
  <c r="GR22" i="88"/>
  <c r="IZ22" i="88"/>
  <c r="IR22" i="88"/>
  <c r="IE23" i="88"/>
  <c r="HC23" i="88"/>
  <c r="HC24" i="88"/>
  <c r="IX24" i="88"/>
  <c r="IP24" i="88"/>
  <c r="IB25" i="88"/>
  <c r="IF25" i="88" s="1"/>
  <c r="IE25" i="88"/>
  <c r="GN25" i="88"/>
  <c r="HC25" i="88"/>
  <c r="GS25" i="88"/>
  <c r="GM27" i="88"/>
  <c r="HB28" i="88"/>
  <c r="HA30" i="88"/>
  <c r="IY30" i="88"/>
  <c r="IZ30" i="88"/>
  <c r="IR30" i="88"/>
  <c r="IQ30" i="88"/>
  <c r="HX31" i="88"/>
  <c r="GI31" i="88"/>
  <c r="AP21" i="88"/>
  <c r="HX21" i="88" s="1"/>
  <c r="HA37" i="88"/>
  <c r="HK37" i="88"/>
  <c r="HH37" i="88"/>
  <c r="GY37" i="88"/>
  <c r="GX37" i="88"/>
  <c r="HI37" i="88"/>
  <c r="JB37" i="88"/>
  <c r="IT37" i="88"/>
  <c r="ID43" i="88"/>
  <c r="IH43" i="88" s="1"/>
  <c r="IK43" i="88" s="1"/>
  <c r="FG42" i="88"/>
  <c r="HE46" i="88"/>
  <c r="GU46" i="88"/>
  <c r="GM29" i="88"/>
  <c r="IB29" i="88"/>
  <c r="IF29" i="88" s="1"/>
  <c r="HB29" i="88"/>
  <c r="HZ30" i="88"/>
  <c r="BM31" i="88"/>
  <c r="GK32" i="88"/>
  <c r="IB32" i="88"/>
  <c r="CK31" i="88"/>
  <c r="CK21" i="88" s="1"/>
  <c r="GM32" i="88"/>
  <c r="GR32" i="88"/>
  <c r="HH34" i="88"/>
  <c r="GX34" i="88"/>
  <c r="JF35" i="88"/>
  <c r="JF36" i="88"/>
  <c r="IF37" i="88"/>
  <c r="IU37" i="88"/>
  <c r="GK44" i="88"/>
  <c r="HZ44" i="88"/>
  <c r="IB44" i="88"/>
  <c r="GM44" i="88"/>
  <c r="GK45" i="88"/>
  <c r="GU45" i="88" s="1"/>
  <c r="IE27" i="88"/>
  <c r="GQ27" i="88"/>
  <c r="IB30" i="88"/>
  <c r="HH31" i="88"/>
  <c r="EO60" i="88"/>
  <c r="EO40" i="88"/>
  <c r="HZ43" i="88"/>
  <c r="GK43" i="88"/>
  <c r="IB43" i="88"/>
  <c r="IV43" i="88" s="1"/>
  <c r="GM43" i="88"/>
  <c r="HA43" i="88"/>
  <c r="HB44" i="88"/>
  <c r="GR44" i="88"/>
  <c r="GJ47" i="88"/>
  <c r="IT48" i="88"/>
  <c r="GN35" i="88"/>
  <c r="HH35" i="88" s="1"/>
  <c r="HC35" i="88"/>
  <c r="IJ36" i="88"/>
  <c r="HC37" i="88"/>
  <c r="GS43" i="88"/>
  <c r="IZ43" i="88"/>
  <c r="JF44" i="88"/>
  <c r="HZ45" i="88"/>
  <c r="IT45" i="88" s="1"/>
  <c r="GM45" i="88"/>
  <c r="GQ45" i="88"/>
  <c r="IE48" i="88"/>
  <c r="GN48" i="88"/>
  <c r="ID50" i="88"/>
  <c r="IH50" i="88" s="1"/>
  <c r="GX50" i="88"/>
  <c r="IA52" i="88"/>
  <c r="IC52" i="88"/>
  <c r="IE52" i="88"/>
  <c r="GL19" i="88"/>
  <c r="U278" i="88"/>
  <c r="AC278" i="88"/>
  <c r="AK278" i="88"/>
  <c r="ID24" i="88"/>
  <c r="IH24" i="88" s="1"/>
  <c r="HZ26" i="88"/>
  <c r="IC44" i="88"/>
  <c r="IE44" i="88"/>
  <c r="IB45" i="88"/>
  <c r="IQ46" i="88"/>
  <c r="IP47" i="88"/>
  <c r="HA49" i="88"/>
  <c r="IP49" i="88"/>
  <c r="HK50" i="88"/>
  <c r="IP50" i="88"/>
  <c r="JF52" i="88"/>
  <c r="GL53" i="88"/>
  <c r="GS53" i="88"/>
  <c r="IX53" i="88"/>
  <c r="IQ53" i="88"/>
  <c r="IP53" i="88"/>
  <c r="IA16" i="88"/>
  <c r="GL18" i="88"/>
  <c r="HB27" i="88"/>
  <c r="IY27" i="88"/>
  <c r="IE28" i="88"/>
  <c r="GS28" i="88"/>
  <c r="IZ28" i="88"/>
  <c r="IE29" i="88"/>
  <c r="HY31" i="88"/>
  <c r="GJ31" i="88"/>
  <c r="HB32" i="88"/>
  <c r="GM33" i="88"/>
  <c r="IB33" i="88"/>
  <c r="IE34" i="88"/>
  <c r="HC34" i="88"/>
  <c r="GT37" i="88"/>
  <c r="HW42" i="88"/>
  <c r="T276" i="88"/>
  <c r="T275" i="88"/>
  <c r="T277" i="88"/>
  <c r="I39" i="88"/>
  <c r="AB276" i="88"/>
  <c r="AB275" i="88"/>
  <c r="AB277" i="88"/>
  <c r="Q39" i="88"/>
  <c r="HV11" i="88"/>
  <c r="JG15" i="88" s="1"/>
  <c r="AJ276" i="88"/>
  <c r="AJ275" i="88"/>
  <c r="AJ277" i="88"/>
  <c r="Y39" i="88"/>
  <c r="AG39" i="88"/>
  <c r="ID16" i="88"/>
  <c r="IH16" i="88" s="1"/>
  <c r="V278" i="88"/>
  <c r="AD278" i="88"/>
  <c r="AL278" i="88"/>
  <c r="HA22" i="88"/>
  <c r="GQ23" i="88"/>
  <c r="HB26" i="88"/>
  <c r="GS27" i="88"/>
  <c r="GK28" i="88"/>
  <c r="IC30" i="88"/>
  <c r="IE32" i="88"/>
  <c r="GS32" i="88"/>
  <c r="IZ32" i="88"/>
  <c r="IE33" i="88"/>
  <c r="GL34" i="88"/>
  <c r="IC35" i="88"/>
  <c r="GM35" i="88"/>
  <c r="IP35" i="88"/>
  <c r="HD36" i="88"/>
  <c r="IU36" i="88"/>
  <c r="HF38" i="88"/>
  <c r="DL42" i="88"/>
  <c r="FM42" i="88"/>
  <c r="FU42" i="88"/>
  <c r="GC42" i="88"/>
  <c r="IP43" i="88"/>
  <c r="IE45" i="88"/>
  <c r="GN45" i="88"/>
  <c r="IR46" i="88"/>
  <c r="HY47" i="88"/>
  <c r="BQ47" i="88"/>
  <c r="BQ42" i="88" s="1"/>
  <c r="BY47" i="88"/>
  <c r="BY42" i="88" s="1"/>
  <c r="CG47" i="88"/>
  <c r="CG42" i="88" s="1"/>
  <c r="CO47" i="88"/>
  <c r="CO42" i="88" s="1"/>
  <c r="IC47" i="88"/>
  <c r="GL48" i="88"/>
  <c r="IY49" i="88"/>
  <c r="GK50" i="88"/>
  <c r="HZ50" i="88"/>
  <c r="BM47" i="88"/>
  <c r="BM42" i="88" s="1"/>
  <c r="IB50" i="88"/>
  <c r="GM50" i="88"/>
  <c r="CK47" i="88"/>
  <c r="HA50" i="88"/>
  <c r="GQ50" i="88"/>
  <c r="IY50" i="88"/>
  <c r="HZ51" i="88"/>
  <c r="IT51" i="88" s="1"/>
  <c r="GK51" i="88"/>
  <c r="IB51" i="88"/>
  <c r="HA51" i="88"/>
  <c r="GQ51" i="88"/>
  <c r="IA53" i="88"/>
  <c r="IC53" i="88"/>
  <c r="W278" i="88"/>
  <c r="AE278" i="88"/>
  <c r="AM278" i="88"/>
  <c r="HZ22" i="88"/>
  <c r="GK23" i="88"/>
  <c r="HL23" i="88"/>
  <c r="GL29" i="88"/>
  <c r="IC34" i="88"/>
  <c r="IF36" i="88"/>
  <c r="IV36" i="88"/>
  <c r="HF37" i="88"/>
  <c r="BA40" i="88"/>
  <c r="HZ46" i="88"/>
  <c r="HA46" i="88"/>
  <c r="IB46" i="88"/>
  <c r="FS47" i="88"/>
  <c r="GK49" i="88"/>
  <c r="GM49" i="88"/>
  <c r="GN49" i="88"/>
  <c r="IX52" i="88"/>
  <c r="IQ52" i="88"/>
  <c r="IB54" i="88"/>
  <c r="IV54" i="88" s="1"/>
  <c r="IP54" i="88"/>
  <c r="HC50" i="88"/>
  <c r="GS50" i="88"/>
  <c r="IE51" i="88"/>
  <c r="HC51" i="88"/>
  <c r="GS51" i="88"/>
  <c r="HD52" i="88"/>
  <c r="GN54" i="88"/>
  <c r="IX54" i="88"/>
  <c r="GV46" i="88"/>
  <c r="HC46" i="88"/>
  <c r="HX47" i="88"/>
  <c r="IR48" i="88"/>
  <c r="IE50" i="88"/>
  <c r="GM51" i="88"/>
  <c r="GK53" i="88"/>
  <c r="IB53" i="88"/>
  <c r="HB53" i="88"/>
  <c r="GR53" i="88"/>
  <c r="GL54" i="88"/>
  <c r="IA54" i="88"/>
  <c r="IG54" i="88"/>
  <c r="HI57" i="88"/>
  <c r="HH57" i="88"/>
  <c r="GY57" i="88"/>
  <c r="GX57" i="88"/>
  <c r="IB28" i="88"/>
  <c r="IF28" i="88" s="1"/>
  <c r="GM28" i="88"/>
  <c r="HZ29" i="88"/>
  <c r="GQ29" i="88"/>
  <c r="GM30" i="88"/>
  <c r="HK32" i="88"/>
  <c r="HZ34" i="88"/>
  <c r="GQ34" i="88"/>
  <c r="GQ36" i="88"/>
  <c r="JD36" i="88"/>
  <c r="BA61" i="88"/>
  <c r="BA74" i="88"/>
  <c r="CD42" i="88"/>
  <c r="JU42" i="88" s="1"/>
  <c r="CL42" i="88"/>
  <c r="CT42" i="88"/>
  <c r="JW42" i="88"/>
  <c r="FR42" i="88"/>
  <c r="FZ42" i="88"/>
  <c r="HB43" i="88"/>
  <c r="IY43" i="88"/>
  <c r="HC44" i="88"/>
  <c r="HA44" i="88"/>
  <c r="HK45" i="88"/>
  <c r="IR45" i="88"/>
  <c r="IC46" i="88"/>
  <c r="HF46" i="88"/>
  <c r="IB48" i="88"/>
  <c r="GI48" i="88"/>
  <c r="GS48" i="88" s="1"/>
  <c r="IC48" i="88"/>
  <c r="GL50" i="88"/>
  <c r="GL52" i="88"/>
  <c r="GN53" i="88"/>
  <c r="GK55" i="88"/>
  <c r="HZ55" i="88"/>
  <c r="GQ53" i="88"/>
  <c r="HA53" i="88"/>
  <c r="IZ53" i="88"/>
  <c r="GR54" i="88"/>
  <c r="GL55" i="88"/>
  <c r="IA56" i="88"/>
  <c r="JC56" i="88" s="1"/>
  <c r="GL56" i="88"/>
  <c r="CA63" i="88"/>
  <c r="CA72" i="88" s="1"/>
  <c r="CE64" i="88"/>
  <c r="DR64" i="88"/>
  <c r="HX64" i="88"/>
  <c r="IJ66" i="88"/>
  <c r="IS68" i="88"/>
  <c r="IR25" i="88"/>
  <c r="IQ26" i="88"/>
  <c r="IP28" i="88"/>
  <c r="GK30" i="88"/>
  <c r="IP32" i="88"/>
  <c r="GK34" i="88"/>
  <c r="HL34" i="88"/>
  <c r="IQ35" i="88"/>
  <c r="IR36" i="88"/>
  <c r="IQ37" i="88"/>
  <c r="IP44" i="88"/>
  <c r="IR49" i="88"/>
  <c r="IR50" i="88"/>
  <c r="HA52" i="88"/>
  <c r="GQ52" i="88"/>
  <c r="HB52" i="88"/>
  <c r="GK54" i="88"/>
  <c r="HZ54" i="88"/>
  <c r="IC55" i="88"/>
  <c r="GM55" i="88"/>
  <c r="IP55" i="88"/>
  <c r="GQ56" i="88"/>
  <c r="HE57" i="88"/>
  <c r="HC57" i="88"/>
  <c r="IR57" i="88"/>
  <c r="HZ65" i="88"/>
  <c r="GS78" i="88"/>
  <c r="HC78" i="88"/>
  <c r="IR55" i="88"/>
  <c r="GV57" i="88"/>
  <c r="IY65" i="88"/>
  <c r="IZ65" i="88"/>
  <c r="IQ65" i="88"/>
  <c r="X277" i="88"/>
  <c r="X276" i="88"/>
  <c r="X275" i="88"/>
  <c r="AF277" i="88"/>
  <c r="AF276" i="88"/>
  <c r="AF275" i="88"/>
  <c r="AN275" i="88"/>
  <c r="AN276" i="88"/>
  <c r="AN277" i="88"/>
  <c r="IR17" i="88"/>
  <c r="IP19" i="88"/>
  <c r="Q278" i="88"/>
  <c r="Y278" i="88"/>
  <c r="AG278" i="88"/>
  <c r="IQ24" i="88"/>
  <c r="GR25" i="88"/>
  <c r="IR28" i="88"/>
  <c r="GS29" i="88"/>
  <c r="IP30" i="88"/>
  <c r="IR32" i="88"/>
  <c r="GS33" i="88"/>
  <c r="IP34" i="88"/>
  <c r="GQ35" i="88"/>
  <c r="HZ35" i="88"/>
  <c r="GR36" i="88"/>
  <c r="IT36" i="88"/>
  <c r="GQ37" i="88"/>
  <c r="IS37" i="88"/>
  <c r="GL43" i="88"/>
  <c r="IR44" i="88"/>
  <c r="GS45" i="88"/>
  <c r="IP46" i="88"/>
  <c r="GQ47" i="88"/>
  <c r="HC54" i="88"/>
  <c r="IR56" i="88"/>
  <c r="IQ58" i="88"/>
  <c r="BO64" i="88"/>
  <c r="BO63" i="88"/>
  <c r="CM63" i="88"/>
  <c r="IB65" i="88"/>
  <c r="CM64" i="88"/>
  <c r="GM65" i="88"/>
  <c r="CU63" i="88"/>
  <c r="CU64" i="88"/>
  <c r="IE65" i="88"/>
  <c r="DJ64" i="88"/>
  <c r="GN65" i="88"/>
  <c r="FS64" i="88"/>
  <c r="GL65" i="88"/>
  <c r="HD66" i="88"/>
  <c r="GT66" i="88"/>
  <c r="GK69" i="88"/>
  <c r="HZ69" i="88"/>
  <c r="IC50" i="88"/>
  <c r="GM56" i="88"/>
  <c r="HA56" i="88"/>
  <c r="HZ56" i="88"/>
  <c r="HG57" i="88"/>
  <c r="IZ57" i="88"/>
  <c r="HZ58" i="88"/>
  <c r="JB58" i="88" s="1"/>
  <c r="GJ63" i="88"/>
  <c r="CI64" i="88"/>
  <c r="HK79" i="88"/>
  <c r="IK57" i="88"/>
  <c r="IJ57" i="88"/>
  <c r="JC58" i="88"/>
  <c r="IZ58" i="88"/>
  <c r="IR27" i="88"/>
  <c r="IP29" i="88"/>
  <c r="IP33" i="88"/>
  <c r="IR43" i="88"/>
  <c r="GS44" i="88"/>
  <c r="IP45" i="88"/>
  <c r="IY45" i="88"/>
  <c r="GQ46" i="88"/>
  <c r="IP48" i="88"/>
  <c r="IY48" i="88"/>
  <c r="HZ49" i="88"/>
  <c r="GQ49" i="88"/>
  <c r="IX51" i="88"/>
  <c r="GM52" i="88"/>
  <c r="HB55" i="88"/>
  <c r="IE56" i="88"/>
  <c r="GN56" i="88"/>
  <c r="HB56" i="88"/>
  <c r="HA57" i="88"/>
  <c r="GU57" i="88"/>
  <c r="HC58" i="88"/>
  <c r="BW63" i="88"/>
  <c r="IQ45" i="88"/>
  <c r="IQ48" i="88"/>
  <c r="IZ49" i="88"/>
  <c r="IZ50" i="88"/>
  <c r="IY52" i="88"/>
  <c r="ID53" i="88"/>
  <c r="IH53" i="88" s="1"/>
  <c r="IY53" i="88"/>
  <c r="GN55" i="88"/>
  <c r="GX55" i="88" s="1"/>
  <c r="HB57" i="88"/>
  <c r="GR57" i="88"/>
  <c r="GS57" i="88"/>
  <c r="GW57" i="88"/>
  <c r="BS63" i="88"/>
  <c r="BS64" i="88"/>
  <c r="CQ64" i="88"/>
  <c r="CQ63" i="88"/>
  <c r="IV69" i="88"/>
  <c r="IU69" i="88"/>
  <c r="HA69" i="88"/>
  <c r="GQ69" i="88"/>
  <c r="IC70" i="88"/>
  <c r="IG70" i="88" s="1"/>
  <c r="IX70" i="88"/>
  <c r="HE71" i="88"/>
  <c r="IS71" i="88"/>
  <c r="GG77" i="88"/>
  <c r="HK77" i="88" s="1"/>
  <c r="HK78" i="88"/>
  <c r="HA79" i="88"/>
  <c r="IY79" i="88"/>
  <c r="IQ79" i="88"/>
  <c r="IZ79" i="88"/>
  <c r="GX82" i="88"/>
  <c r="HH82" i="88"/>
  <c r="IX56" i="88"/>
  <c r="GQ57" i="88"/>
  <c r="IS57" i="88"/>
  <c r="JB57" i="88"/>
  <c r="GK58" i="88"/>
  <c r="DO63" i="88"/>
  <c r="GF63" i="88"/>
  <c r="GI64" i="88"/>
  <c r="HA65" i="88"/>
  <c r="BY67" i="88"/>
  <c r="GN68" i="88"/>
  <c r="JC69" i="88"/>
  <c r="IY70" i="88"/>
  <c r="GW71" i="88"/>
  <c r="GV71" i="88"/>
  <c r="HG71" i="88"/>
  <c r="HF71" i="88"/>
  <c r="HA78" i="88"/>
  <c r="GK82" i="88"/>
  <c r="IV85" i="88"/>
  <c r="IQ51" i="88"/>
  <c r="IR54" i="88"/>
  <c r="GS55" i="88"/>
  <c r="IP56" i="88"/>
  <c r="IY56" i="88"/>
  <c r="IT57" i="88"/>
  <c r="JC57" i="88"/>
  <c r="GL58" i="88"/>
  <c r="IX58" i="88"/>
  <c r="HF62" i="88"/>
  <c r="AO63" i="88"/>
  <c r="GG63" i="88"/>
  <c r="AP63" i="88"/>
  <c r="AX63" i="88"/>
  <c r="AX74" i="88" s="1"/>
  <c r="AX97" i="88" s="1"/>
  <c r="DK64" i="88"/>
  <c r="GQ64" i="88"/>
  <c r="IA65" i="88"/>
  <c r="IC65" i="88"/>
  <c r="IG65" i="88" s="1"/>
  <c r="IA66" i="88"/>
  <c r="GL66" i="88"/>
  <c r="HC66" i="88"/>
  <c r="BP67" i="88"/>
  <c r="IA68" i="88"/>
  <c r="CG67" i="88"/>
  <c r="CG63" i="88" s="1"/>
  <c r="CO67" i="88"/>
  <c r="CO63" i="88" s="1"/>
  <c r="IC68" i="88"/>
  <c r="IG68" i="88" s="1"/>
  <c r="IZ68" i="88"/>
  <c r="JA71" i="88"/>
  <c r="GM78" i="88"/>
  <c r="IX80" i="88"/>
  <c r="IP80" i="88"/>
  <c r="AP80" i="88"/>
  <c r="GI81" i="88"/>
  <c r="HA87" i="88"/>
  <c r="GQ87" i="88"/>
  <c r="HZ90" i="88"/>
  <c r="IQ56" i="88"/>
  <c r="JD57" i="88"/>
  <c r="IP58" i="88"/>
  <c r="HG62" i="88"/>
  <c r="GH63" i="88"/>
  <c r="BT64" i="88"/>
  <c r="CV64" i="88"/>
  <c r="GQ65" i="88"/>
  <c r="GL69" i="88"/>
  <c r="IP69" i="88"/>
  <c r="IY69" i="88"/>
  <c r="IE78" i="88"/>
  <c r="IE81" i="88"/>
  <c r="HK81" i="88"/>
  <c r="GS83" i="88"/>
  <c r="HC83" i="88"/>
  <c r="IK83" i="88"/>
  <c r="IJ83" i="88"/>
  <c r="GR91" i="88"/>
  <c r="IY66" i="88"/>
  <c r="IX66" i="88"/>
  <c r="HX67" i="88"/>
  <c r="IC69" i="88"/>
  <c r="IG69" i="88" s="1"/>
  <c r="GM69" i="88"/>
  <c r="IQ69" i="88"/>
  <c r="GK70" i="88"/>
  <c r="GM70" i="88"/>
  <c r="HI70" i="88" s="1"/>
  <c r="IB70" i="88"/>
  <c r="IA70" i="88"/>
  <c r="HU77" i="88"/>
  <c r="GF77" i="88"/>
  <c r="GK78" i="88"/>
  <c r="IZ78" i="88"/>
  <c r="IY78" i="88"/>
  <c r="GQ81" i="88"/>
  <c r="HZ82" i="88"/>
  <c r="HU89" i="88"/>
  <c r="GF89" i="88"/>
  <c r="HW89" i="88"/>
  <c r="GH89" i="88"/>
  <c r="BP225" i="88"/>
  <c r="GK90" i="88"/>
  <c r="GX58" i="88"/>
  <c r="IR58" i="88"/>
  <c r="IP66" i="88"/>
  <c r="IP67" i="88"/>
  <c r="HB68" i="88"/>
  <c r="HC68" i="88"/>
  <c r="GR68" i="88"/>
  <c r="IE68" i="88"/>
  <c r="GR69" i="88"/>
  <c r="GL78" i="88"/>
  <c r="HI79" i="88"/>
  <c r="GN81" i="88"/>
  <c r="GL82" i="88"/>
  <c r="BY81" i="88"/>
  <c r="IA82" i="88"/>
  <c r="IQ55" i="88"/>
  <c r="IP57" i="88"/>
  <c r="HH58" i="88"/>
  <c r="IX64" i="88"/>
  <c r="GK65" i="88"/>
  <c r="HL65" i="88"/>
  <c r="IB66" i="88"/>
  <c r="GM66" i="88"/>
  <c r="HG66" i="88" s="1"/>
  <c r="IQ66" i="88"/>
  <c r="HA67" i="88"/>
  <c r="GQ67" i="88"/>
  <c r="CC67" i="88"/>
  <c r="CC63" i="88" s="1"/>
  <c r="IB68" i="88"/>
  <c r="GM68" i="88"/>
  <c r="HI68" i="88" s="1"/>
  <c r="DP67" i="88"/>
  <c r="FI67" i="88"/>
  <c r="JF68" i="88"/>
  <c r="HV77" i="88"/>
  <c r="L92" i="3"/>
  <c r="ID79" i="88"/>
  <c r="IH79" i="88" s="1"/>
  <c r="BT84" i="88"/>
  <c r="GW62" i="88"/>
  <c r="HC65" i="88"/>
  <c r="GS65" i="88"/>
  <c r="BN64" i="88"/>
  <c r="BN63" i="88"/>
  <c r="BV64" i="88"/>
  <c r="CD64" i="88"/>
  <c r="CD63" i="88"/>
  <c r="JU63" i="88" s="1"/>
  <c r="CL64" i="88"/>
  <c r="CT64" i="88"/>
  <c r="CT63" i="88"/>
  <c r="JW64" i="88"/>
  <c r="JW63" i="88"/>
  <c r="DQ64" i="88"/>
  <c r="DQ63" i="88"/>
  <c r="HZ66" i="88"/>
  <c r="GI67" i="88"/>
  <c r="HA68" i="88"/>
  <c r="IX69" i="88"/>
  <c r="IA78" i="88"/>
  <c r="ID78" i="88"/>
  <c r="IH78" i="88" s="1"/>
  <c r="GI79" i="88"/>
  <c r="HC79" i="88" s="1"/>
  <c r="AZ77" i="88"/>
  <c r="IP79" i="88"/>
  <c r="IX79" i="88"/>
  <c r="ID81" i="88"/>
  <c r="IH81" i="88" s="1"/>
  <c r="IC82" i="88"/>
  <c r="IG82" i="88" s="1"/>
  <c r="HL82" i="88"/>
  <c r="HA82" i="88"/>
  <c r="HK84" i="88"/>
  <c r="IY85" i="88"/>
  <c r="IQ85" i="88"/>
  <c r="IZ85" i="88"/>
  <c r="GN87" i="88"/>
  <c r="HV89" i="88"/>
  <c r="GJ89" i="88"/>
  <c r="IR92" i="88"/>
  <c r="IY92" i="88"/>
  <c r="IQ92" i="88"/>
  <c r="IZ92" i="88"/>
  <c r="GN69" i="88"/>
  <c r="IR78" i="88"/>
  <c r="GL79" i="88"/>
  <c r="IC79" i="88"/>
  <c r="IG79" i="88" s="1"/>
  <c r="GN79" i="88"/>
  <c r="IR79" i="88"/>
  <c r="DP77" i="88"/>
  <c r="FI80" i="88"/>
  <c r="FI77" i="88" s="1"/>
  <c r="HC85" i="88"/>
  <c r="GL87" i="88"/>
  <c r="GS68" i="88"/>
  <c r="IR69" i="88"/>
  <c r="HB78" i="88"/>
  <c r="GR78" i="88"/>
  <c r="HZ79" i="88"/>
  <c r="GJ81" i="88"/>
  <c r="HC82" i="88"/>
  <c r="GL85" i="88"/>
  <c r="HZ87" i="88"/>
  <c r="BR84" i="88"/>
  <c r="JT84" i="88" s="1"/>
  <c r="IC87" i="88"/>
  <c r="IG87" i="88" s="1"/>
  <c r="IE87" i="88"/>
  <c r="BN225" i="88"/>
  <c r="BV225" i="88"/>
  <c r="BV89" i="88"/>
  <c r="CD225" i="88"/>
  <c r="CL225" i="88"/>
  <c r="CT225" i="88"/>
  <c r="CT89" i="88"/>
  <c r="ID90" i="88"/>
  <c r="IH90" i="88" s="1"/>
  <c r="FZ89" i="88"/>
  <c r="HC90" i="88"/>
  <c r="GR90" i="88"/>
  <c r="JF93" i="88"/>
  <c r="IA93" i="88"/>
  <c r="CB91" i="88"/>
  <c r="CB89" i="88" s="1"/>
  <c r="HA93" i="88"/>
  <c r="GK95" i="88"/>
  <c r="HZ95" i="88"/>
  <c r="BX225" i="88"/>
  <c r="CF225" i="88"/>
  <c r="CN225" i="88"/>
  <c r="CN89" i="88"/>
  <c r="CV225" i="88"/>
  <c r="CV89" i="88"/>
  <c r="DK89" i="88"/>
  <c r="IE90" i="88"/>
  <c r="GK93" i="88"/>
  <c r="BM221" i="88"/>
  <c r="GK100" i="88"/>
  <c r="HZ100" i="88"/>
  <c r="BU221" i="88"/>
  <c r="CC221" i="88"/>
  <c r="IY68" i="88"/>
  <c r="GY73" i="88"/>
  <c r="GK79" i="88"/>
  <c r="IB79" i="88"/>
  <c r="HL79" i="88"/>
  <c r="FX80" i="88"/>
  <c r="JX80" i="88" s="1"/>
  <c r="IP81" i="88"/>
  <c r="IX81" i="88"/>
  <c r="GM82" i="88"/>
  <c r="HG82" i="88" s="1"/>
  <c r="GQ82" i="88"/>
  <c r="IB82" i="88"/>
  <c r="IV82" i="88" s="1"/>
  <c r="HZ83" i="88"/>
  <c r="IT83" i="88" s="1"/>
  <c r="GM83" i="88"/>
  <c r="FQ80" i="88"/>
  <c r="FQ77" i="88" s="1"/>
  <c r="GQ83" i="88"/>
  <c r="HL83" i="88"/>
  <c r="IR83" i="88"/>
  <c r="IZ83" i="88"/>
  <c r="BM84" i="88"/>
  <c r="HZ85" i="88"/>
  <c r="GK85" i="88"/>
  <c r="CK84" i="88"/>
  <c r="CK80" i="88" s="1"/>
  <c r="CK77" i="88" s="1"/>
  <c r="GM85" i="88"/>
  <c r="HG85" i="88" s="1"/>
  <c r="IA87" i="88"/>
  <c r="BQ225" i="88"/>
  <c r="BQ89" i="88"/>
  <c r="BY225" i="88"/>
  <c r="IA90" i="88"/>
  <c r="CG225" i="88"/>
  <c r="CO225" i="88"/>
  <c r="CO89" i="88"/>
  <c r="IC90" i="88"/>
  <c r="IG90" i="88" s="1"/>
  <c r="GL90" i="88"/>
  <c r="IX90" i="88"/>
  <c r="IP90" i="88"/>
  <c r="IY90" i="88"/>
  <c r="GK92" i="88"/>
  <c r="HZ92" i="88"/>
  <c r="BM91" i="88"/>
  <c r="IB92" i="88"/>
  <c r="IV92" i="88" s="1"/>
  <c r="GM92" i="88"/>
  <c r="HA92" i="88"/>
  <c r="GQ92" i="88"/>
  <c r="JF92" i="88"/>
  <c r="IX65" i="88"/>
  <c r="IZ69" i="88"/>
  <c r="FY80" i="88"/>
  <c r="FY77" i="88" s="1"/>
  <c r="HX81" i="88"/>
  <c r="GR82" i="88"/>
  <c r="HB83" i="88"/>
  <c r="IB83" i="88"/>
  <c r="IP84" i="88"/>
  <c r="IE86" i="88"/>
  <c r="DJ84" i="88"/>
  <c r="HC86" i="88"/>
  <c r="GS86" i="88"/>
  <c r="GS90" i="88"/>
  <c r="HX91" i="88"/>
  <c r="AO89" i="88"/>
  <c r="CM84" i="88"/>
  <c r="CM80" i="88" s="1"/>
  <c r="CM77" i="88" s="1"/>
  <c r="CU84" i="88"/>
  <c r="CU80" i="88" s="1"/>
  <c r="CU77" i="88" s="1"/>
  <c r="IP85" i="88"/>
  <c r="IX85" i="88"/>
  <c r="IR85" i="88"/>
  <c r="GN86" i="88"/>
  <c r="HB90" i="88"/>
  <c r="CK91" i="88"/>
  <c r="BO91" i="88"/>
  <c r="BO89" i="88" s="1"/>
  <c r="GN92" i="88"/>
  <c r="IE83" i="88"/>
  <c r="GN83" i="88"/>
  <c r="GQ84" i="88"/>
  <c r="GL86" i="88"/>
  <c r="IR90" i="88"/>
  <c r="IZ90" i="88"/>
  <c r="HA91" i="88"/>
  <c r="GQ91" i="88"/>
  <c r="GL92" i="88"/>
  <c r="IC92" i="88"/>
  <c r="IG92" i="88" s="1"/>
  <c r="IA94" i="88"/>
  <c r="GN94" i="88"/>
  <c r="GL100" i="88"/>
  <c r="ID92" i="88"/>
  <c r="IH92" i="88" s="1"/>
  <c r="GL93" i="88"/>
  <c r="GL83" i="88"/>
  <c r="GJ84" i="88"/>
  <c r="IC85" i="88"/>
  <c r="IG85" i="88" s="1"/>
  <c r="HK86" i="88"/>
  <c r="GK87" i="88"/>
  <c r="IB87" i="88"/>
  <c r="GG89" i="88"/>
  <c r="IP91" i="88"/>
  <c r="FG89" i="88"/>
  <c r="IA95" i="88"/>
  <c r="HZ78" i="88"/>
  <c r="GQ78" i="88"/>
  <c r="JY80" i="88"/>
  <c r="GR85" i="88"/>
  <c r="HB85" i="88"/>
  <c r="BM225" i="88"/>
  <c r="BU225" i="88"/>
  <c r="CK225" i="88"/>
  <c r="GM90" i="88"/>
  <c r="IB90" i="88"/>
  <c r="CS225" i="88"/>
  <c r="FY89" i="88"/>
  <c r="HA90" i="88"/>
  <c r="GQ90" i="88"/>
  <c r="IX91" i="88"/>
  <c r="DO91" i="88"/>
  <c r="HB94" i="88"/>
  <c r="GJ100" i="88"/>
  <c r="BT221" i="88"/>
  <c r="CK221" i="88"/>
  <c r="IB100" i="88"/>
  <c r="GM100" i="88"/>
  <c r="CS221" i="88"/>
  <c r="IP82" i="88"/>
  <c r="IX82" i="88"/>
  <c r="JF84" i="88"/>
  <c r="GX85" i="88"/>
  <c r="IZ86" i="88"/>
  <c r="GM87" i="88"/>
  <c r="L171" i="1"/>
  <c r="IX92" i="88"/>
  <c r="HZ93" i="88"/>
  <c r="IZ93" i="88"/>
  <c r="HB95" i="88"/>
  <c r="HC95" i="88"/>
  <c r="IB95" i="88"/>
  <c r="IV95" i="88" s="1"/>
  <c r="GM95" i="88"/>
  <c r="GW95" i="88" s="1"/>
  <c r="HA95" i="88"/>
  <c r="IE93" i="88"/>
  <c r="GN93" i="88"/>
  <c r="FS91" i="88"/>
  <c r="GN91" i="88" s="1"/>
  <c r="GS93" i="88"/>
  <c r="GR94" i="88"/>
  <c r="HF96" i="88"/>
  <c r="HG96" i="88"/>
  <c r="HI96" i="88"/>
  <c r="GY96" i="88"/>
  <c r="GW96" i="88"/>
  <c r="IQ83" i="88"/>
  <c r="HA84" i="88"/>
  <c r="HH85" i="88"/>
  <c r="IY87" i="88"/>
  <c r="CE89" i="88"/>
  <c r="GS95" i="88"/>
  <c r="BO221" i="88"/>
  <c r="BW221" i="88"/>
  <c r="GN100" i="88"/>
  <c r="HA100" i="88"/>
  <c r="HG102" i="88"/>
  <c r="G268" i="88"/>
  <c r="G269" i="88"/>
  <c r="O268" i="88"/>
  <c r="O269" i="88"/>
  <c r="W268" i="88"/>
  <c r="W269" i="88"/>
  <c r="AE268" i="88"/>
  <c r="AE269" i="88"/>
  <c r="AM268" i="88"/>
  <c r="AM269" i="88"/>
  <c r="HU268" i="88"/>
  <c r="HU269" i="88"/>
  <c r="BQ275" i="88"/>
  <c r="BR231" i="88"/>
  <c r="BQ109" i="88"/>
  <c r="BY275" i="88"/>
  <c r="BZ231" i="88"/>
  <c r="CG275" i="88"/>
  <c r="CH231" i="88"/>
  <c r="CO275" i="88"/>
  <c r="CP231" i="88"/>
  <c r="CW275" i="88"/>
  <c r="HD110" i="88"/>
  <c r="IT111" i="88"/>
  <c r="IC111" i="88"/>
  <c r="IA85" i="88"/>
  <c r="GM86" i="88"/>
  <c r="AZ89" i="88"/>
  <c r="BY91" i="88"/>
  <c r="IA92" i="88"/>
  <c r="HB93" i="88"/>
  <c r="IQ93" i="88"/>
  <c r="HC94" i="88"/>
  <c r="GL95" i="88"/>
  <c r="HG99" i="88"/>
  <c r="GW99" i="88"/>
  <c r="BX221" i="88"/>
  <c r="CF221" i="88"/>
  <c r="HB100" i="88"/>
  <c r="IE100" i="88"/>
  <c r="HV268" i="88"/>
  <c r="HV269" i="88"/>
  <c r="HH110" i="88"/>
  <c r="IZ110" i="88"/>
  <c r="IR111" i="88"/>
  <c r="IQ113" i="88"/>
  <c r="IY113" i="88"/>
  <c r="IZ113" i="88"/>
  <c r="JA116" i="88"/>
  <c r="IS116" i="88"/>
  <c r="IC95" i="88"/>
  <c r="IG95" i="88" s="1"/>
  <c r="IR95" i="88"/>
  <c r="BY221" i="88"/>
  <c r="IA100" i="88"/>
  <c r="CG221" i="88"/>
  <c r="CO221" i="88"/>
  <c r="IC100" i="88"/>
  <c r="IG100" i="88" s="1"/>
  <c r="HW268" i="88"/>
  <c r="HW269" i="88"/>
  <c r="IP109" i="88"/>
  <c r="IQ109" i="88"/>
  <c r="BS275" i="88"/>
  <c r="BT231" i="88"/>
  <c r="CA275" i="88"/>
  <c r="CB231" i="88"/>
  <c r="CI275" i="88"/>
  <c r="CJ231" i="88"/>
  <c r="CQ275" i="88"/>
  <c r="CR231" i="88"/>
  <c r="CY275" i="88"/>
  <c r="FG109" i="88"/>
  <c r="FG158" i="88" s="1"/>
  <c r="FO109" i="88"/>
  <c r="FW109" i="88"/>
  <c r="JA110" i="88"/>
  <c r="HD111" i="88"/>
  <c r="IV111" i="88"/>
  <c r="IY114" i="88"/>
  <c r="IZ114" i="88"/>
  <c r="IQ114" i="88"/>
  <c r="HD118" i="88"/>
  <c r="GT118" i="88"/>
  <c r="GM93" i="88"/>
  <c r="GQ93" i="88"/>
  <c r="IC94" i="88"/>
  <c r="IG94" i="88" s="1"/>
  <c r="GM94" i="88"/>
  <c r="IQ95" i="88"/>
  <c r="GQ100" i="88"/>
  <c r="IP100" i="88"/>
  <c r="J268" i="88"/>
  <c r="J269" i="88"/>
  <c r="R268" i="88"/>
  <c r="R269" i="88"/>
  <c r="Z268" i="88"/>
  <c r="Z269" i="88"/>
  <c r="AH268" i="88"/>
  <c r="AH269" i="88"/>
  <c r="GI110" i="88"/>
  <c r="AZ109" i="88"/>
  <c r="GI109" i="88" s="1"/>
  <c r="BT275" i="88"/>
  <c r="BU231" i="88"/>
  <c r="CB275" i="88"/>
  <c r="CC231" i="88"/>
  <c r="CJ275" i="88"/>
  <c r="CK231" i="88"/>
  <c r="CR275" i="88"/>
  <c r="CS231" i="88"/>
  <c r="CR109" i="88"/>
  <c r="CZ275" i="88"/>
  <c r="IE110" i="88"/>
  <c r="DO109" i="88"/>
  <c r="JC111" i="88"/>
  <c r="IU111" i="88"/>
  <c r="JC112" i="88"/>
  <c r="JD112" i="88"/>
  <c r="IU112" i="88"/>
  <c r="IH113" i="88"/>
  <c r="GX113" i="88"/>
  <c r="HH113" i="88"/>
  <c r="IA115" i="88"/>
  <c r="JC115" i="88" s="1"/>
  <c r="HZ86" i="88"/>
  <c r="GQ86" i="88"/>
  <c r="ID87" i="88"/>
  <c r="IH87" i="88" s="1"/>
  <c r="IZ87" i="88"/>
  <c r="GN90" i="88"/>
  <c r="GR92" i="88"/>
  <c r="HB92" i="88"/>
  <c r="IB93" i="88"/>
  <c r="GH269" i="88"/>
  <c r="GH268" i="88"/>
  <c r="HA109" i="88"/>
  <c r="GQ109" i="88"/>
  <c r="IX110" i="88"/>
  <c r="IQ110" i="88"/>
  <c r="HH111" i="88"/>
  <c r="GY111" i="88"/>
  <c r="HI111" i="88"/>
  <c r="GX111" i="88"/>
  <c r="IT112" i="88"/>
  <c r="JB112" i="88"/>
  <c r="HH114" i="88"/>
  <c r="GY114" i="88"/>
  <c r="HI114" i="88"/>
  <c r="GX114" i="88"/>
  <c r="CB221" i="88"/>
  <c r="CJ221" i="88"/>
  <c r="CR221" i="88"/>
  <c r="HK100" i="88"/>
  <c r="IY100" i="88"/>
  <c r="IQ100" i="88"/>
  <c r="JF101" i="88"/>
  <c r="GY102" i="88"/>
  <c r="HI102" i="88"/>
  <c r="IP110" i="88"/>
  <c r="IZ100" i="88"/>
  <c r="IR100" i="88"/>
  <c r="E268" i="88"/>
  <c r="E269" i="88"/>
  <c r="M268" i="88"/>
  <c r="M269" i="88"/>
  <c r="U268" i="88"/>
  <c r="U269" i="88"/>
  <c r="AC268" i="88"/>
  <c r="AC269" i="88"/>
  <c r="AK268" i="88"/>
  <c r="AK269" i="88"/>
  <c r="IS110" i="88"/>
  <c r="HD112" i="88"/>
  <c r="GT112" i="88"/>
  <c r="JD115" i="88"/>
  <c r="GK86" i="88"/>
  <c r="GS87" i="88"/>
  <c r="HC87" i="88"/>
  <c r="IP87" i="88"/>
  <c r="CM89" i="88"/>
  <c r="GK94" i="88"/>
  <c r="GU94" i="88" s="1"/>
  <c r="IY95" i="88"/>
  <c r="HF102" i="88"/>
  <c r="BP275" i="88"/>
  <c r="BQ231" i="88"/>
  <c r="BX275" i="88"/>
  <c r="BY231" i="88"/>
  <c r="CF275" i="88"/>
  <c r="CG231" i="88"/>
  <c r="CN275" i="88"/>
  <c r="CO231" i="88"/>
  <c r="CV275" i="88"/>
  <c r="GM110" i="88"/>
  <c r="GL110" i="88"/>
  <c r="IX111" i="88"/>
  <c r="IP111" i="88"/>
  <c r="GQ94" i="88"/>
  <c r="HZ94" i="88"/>
  <c r="I269" i="88"/>
  <c r="I268" i="88"/>
  <c r="Q269" i="88"/>
  <c r="Q268" i="88"/>
  <c r="Y269" i="88"/>
  <c r="Y268" i="88"/>
  <c r="AG269" i="88"/>
  <c r="AG268" i="88"/>
  <c r="GG268" i="88"/>
  <c r="GG269" i="88"/>
  <c r="BO275" i="88"/>
  <c r="BP231" i="88"/>
  <c r="BO109" i="88"/>
  <c r="BW275" i="88"/>
  <c r="BX231" i="88"/>
  <c r="CE275" i="88"/>
  <c r="CF231" i="88"/>
  <c r="CM275" i="88"/>
  <c r="CN231" i="88"/>
  <c r="CM109" i="88"/>
  <c r="CU275" i="88"/>
  <c r="CV231" i="88"/>
  <c r="CU109" i="88"/>
  <c r="DR109" i="88"/>
  <c r="HE111" i="88"/>
  <c r="BZ109" i="88"/>
  <c r="BO219" i="88"/>
  <c r="GJ113" i="88"/>
  <c r="IP117" i="88"/>
  <c r="IC115" i="88"/>
  <c r="IR115" i="88"/>
  <c r="IZ115" i="88"/>
  <c r="HB116" i="88"/>
  <c r="IG117" i="88"/>
  <c r="IT118" i="88"/>
  <c r="JB118" i="88"/>
  <c r="HB118" i="88"/>
  <c r="GR118" i="88"/>
  <c r="IJ118" i="88"/>
  <c r="HD119" i="88"/>
  <c r="GT119" i="88"/>
  <c r="GL120" i="88"/>
  <c r="GV120" i="88" s="1"/>
  <c r="CJ117" i="88"/>
  <c r="IJ120" i="88"/>
  <c r="IX100" i="88"/>
  <c r="L268" i="88"/>
  <c r="L269" i="88"/>
  <c r="T268" i="88"/>
  <c r="T269" i="88"/>
  <c r="AB268" i="88"/>
  <c r="AB269" i="88"/>
  <c r="AJ268" i="88"/>
  <c r="AJ269" i="88"/>
  <c r="GY112" i="88"/>
  <c r="IV112" i="88"/>
  <c r="IG112" i="88"/>
  <c r="IZ112" i="88"/>
  <c r="BR219" i="88"/>
  <c r="BR109" i="88"/>
  <c r="BZ219" i="88"/>
  <c r="DU109" i="88"/>
  <c r="GQ113" i="88"/>
  <c r="IR113" i="88"/>
  <c r="GQ114" i="88"/>
  <c r="IR114" i="88"/>
  <c r="HE115" i="88"/>
  <c r="HF115" i="88"/>
  <c r="IV115" i="88"/>
  <c r="IG115" i="88"/>
  <c r="IG116" i="88"/>
  <c r="IC117" i="88"/>
  <c r="IC116" i="88"/>
  <c r="JA112" i="88"/>
  <c r="GR113" i="88"/>
  <c r="HZ113" i="88"/>
  <c r="IT113" i="88" s="1"/>
  <c r="HZ114" i="88"/>
  <c r="JB114" i="88" s="1"/>
  <c r="JC114" i="88"/>
  <c r="GV115" i="88"/>
  <c r="GS117" i="88"/>
  <c r="HC117" i="88"/>
  <c r="HI118" i="88"/>
  <c r="IU118" i="88"/>
  <c r="GL113" i="88"/>
  <c r="CZ274" i="88"/>
  <c r="JD113" i="88"/>
  <c r="GG274" i="88"/>
  <c r="GX115" i="88"/>
  <c r="HH115" i="88"/>
  <c r="GY115" i="88"/>
  <c r="CV116" i="88"/>
  <c r="CW219" i="88" s="1"/>
  <c r="GM117" i="88"/>
  <c r="K195" i="3" s="1"/>
  <c r="HI112" i="88"/>
  <c r="HF112" i="88"/>
  <c r="GU112" i="88"/>
  <c r="HE112" i="88"/>
  <c r="BM219" i="88"/>
  <c r="CS274" i="88"/>
  <c r="DA274" i="88"/>
  <c r="IV113" i="88"/>
  <c r="HF114" i="88"/>
  <c r="HG114" i="88"/>
  <c r="IY116" i="88"/>
  <c r="IP116" i="88"/>
  <c r="IX116" i="88"/>
  <c r="GV118" i="88"/>
  <c r="JA118" i="88"/>
  <c r="H268" i="88"/>
  <c r="H269" i="88"/>
  <c r="P268" i="88"/>
  <c r="P269" i="88"/>
  <c r="GF109" i="88"/>
  <c r="X268" i="88"/>
  <c r="X269" i="88"/>
  <c r="AF268" i="88"/>
  <c r="AF269" i="88"/>
  <c r="AN268" i="88"/>
  <c r="AN269" i="88"/>
  <c r="IY109" i="88"/>
  <c r="BN275" i="88"/>
  <c r="BO231" i="88"/>
  <c r="BV275" i="88"/>
  <c r="BW231" i="88"/>
  <c r="CD275" i="88"/>
  <c r="CE231" i="88"/>
  <c r="IA110" i="88"/>
  <c r="CL275" i="88"/>
  <c r="CM231" i="88"/>
  <c r="CT275" i="88"/>
  <c r="CU231" i="88"/>
  <c r="DB275" i="88"/>
  <c r="FJ109" i="88"/>
  <c r="GV111" i="88"/>
  <c r="IS112" i="88"/>
  <c r="BN219" i="88"/>
  <c r="HU274" i="88"/>
  <c r="IC113" i="88"/>
  <c r="GW114" i="88"/>
  <c r="GU115" i="88"/>
  <c r="GY118" i="88"/>
  <c r="IP114" i="88"/>
  <c r="IR118" i="88"/>
  <c r="JC119" i="88"/>
  <c r="HH119" i="88"/>
  <c r="GY119" i="88"/>
  <c r="HI119" i="88"/>
  <c r="IT120" i="88"/>
  <c r="JB120" i="88"/>
  <c r="IS120" i="88"/>
  <c r="JA120" i="88"/>
  <c r="HD121" i="88"/>
  <c r="GT121" i="88"/>
  <c r="HF121" i="88"/>
  <c r="HD123" i="88"/>
  <c r="GT123" i="88"/>
  <c r="HF123" i="88"/>
  <c r="GV123" i="88"/>
  <c r="HI123" i="88"/>
  <c r="GY123" i="88"/>
  <c r="HE126" i="88"/>
  <c r="GU126" i="88"/>
  <c r="IP129" i="88"/>
  <c r="FD158" i="88"/>
  <c r="EC158" i="88"/>
  <c r="EM158" i="88"/>
  <c r="EY158" i="88"/>
  <c r="GX132" i="88"/>
  <c r="GW132" i="88"/>
  <c r="HG132" i="88"/>
  <c r="GS119" i="88"/>
  <c r="IZ120" i="88"/>
  <c r="HI124" i="88"/>
  <c r="HH124" i="88"/>
  <c r="GY124" i="88"/>
  <c r="GX124" i="88"/>
  <c r="JA125" i="88"/>
  <c r="IS125" i="88"/>
  <c r="IU125" i="88"/>
  <c r="HI125" i="88"/>
  <c r="HH125" i="88"/>
  <c r="GY125" i="88"/>
  <c r="GX125" i="88"/>
  <c r="JC127" i="88"/>
  <c r="IU127" i="88"/>
  <c r="IV127" i="88"/>
  <c r="ED158" i="88"/>
  <c r="EN158" i="88"/>
  <c r="K268" i="88"/>
  <c r="K269" i="88"/>
  <c r="S268" i="88"/>
  <c r="S269" i="88"/>
  <c r="AA268" i="88"/>
  <c r="AA269" i="88"/>
  <c r="AI268" i="88"/>
  <c r="AI269" i="88"/>
  <c r="BR275" i="88"/>
  <c r="BS231" i="88"/>
  <c r="BZ275" i="88"/>
  <c r="CA231" i="88"/>
  <c r="CH275" i="88"/>
  <c r="CI231" i="88"/>
  <c r="CP275" i="88"/>
  <c r="CQ231" i="88"/>
  <c r="CX275" i="88"/>
  <c r="GK113" i="88"/>
  <c r="HV274" i="88"/>
  <c r="GK114" i="88"/>
  <c r="HE114" i="88" s="1"/>
  <c r="GS115" i="88"/>
  <c r="GQ116" i="88"/>
  <c r="HE118" i="88"/>
  <c r="GU118" i="88"/>
  <c r="GQ118" i="88"/>
  <c r="IV118" i="88"/>
  <c r="HE119" i="88"/>
  <c r="GU119" i="88"/>
  <c r="IK119" i="88"/>
  <c r="IV119" i="88"/>
  <c r="HD120" i="88"/>
  <c r="GT120" i="88"/>
  <c r="JD120" i="88"/>
  <c r="IU121" i="88"/>
  <c r="JC121" i="88"/>
  <c r="HH121" i="88"/>
  <c r="GY121" i="88"/>
  <c r="HI121" i="88"/>
  <c r="HE122" i="88"/>
  <c r="GU122" i="88"/>
  <c r="IV122" i="88"/>
  <c r="JD122" i="88"/>
  <c r="IG122" i="88"/>
  <c r="EQ158" i="88"/>
  <c r="EE158" i="88"/>
  <c r="HD132" i="88"/>
  <c r="GT132" i="88"/>
  <c r="BQ274" i="88"/>
  <c r="HW274" i="88"/>
  <c r="GQ119" i="88"/>
  <c r="GX119" i="88"/>
  <c r="IZ119" i="88"/>
  <c r="GS121" i="88"/>
  <c r="IV124" i="88"/>
  <c r="JD124" i="88"/>
  <c r="IG124" i="88"/>
  <c r="HE125" i="88"/>
  <c r="GU125" i="88"/>
  <c r="HE127" i="88"/>
  <c r="GU127" i="88"/>
  <c r="HA130" i="88"/>
  <c r="GQ130" i="88"/>
  <c r="EF158" i="88"/>
  <c r="DY158" i="88"/>
  <c r="EG158" i="88"/>
  <c r="EO158" i="88"/>
  <c r="EW158" i="88"/>
  <c r="IT119" i="88"/>
  <c r="JB119" i="88"/>
  <c r="IS119" i="88"/>
  <c r="JA119" i="88"/>
  <c r="HH120" i="88"/>
  <c r="GY120" i="88"/>
  <c r="HI120" i="88"/>
  <c r="HE121" i="88"/>
  <c r="GU121" i="88"/>
  <c r="JD121" i="88"/>
  <c r="IG121" i="88"/>
  <c r="IS121" i="88"/>
  <c r="JA121" i="88"/>
  <c r="IT122" i="88"/>
  <c r="JB122" i="88"/>
  <c r="HG122" i="88"/>
  <c r="GW122" i="88"/>
  <c r="HB123" i="88"/>
  <c r="GR123" i="88"/>
  <c r="HE123" i="88"/>
  <c r="GU123" i="88"/>
  <c r="IV123" i="88"/>
  <c r="JD123" i="88"/>
  <c r="IG123" i="88"/>
  <c r="HD126" i="88"/>
  <c r="GT126" i="88"/>
  <c r="HG126" i="88"/>
  <c r="GW126" i="88"/>
  <c r="HF126" i="88"/>
  <c r="GV126" i="88"/>
  <c r="ES158" i="88"/>
  <c r="DW158" i="88"/>
  <c r="DZ158" i="88"/>
  <c r="EH158" i="88"/>
  <c r="F268" i="88"/>
  <c r="F269" i="88"/>
  <c r="N268" i="88"/>
  <c r="N269" i="88"/>
  <c r="V268" i="88"/>
  <c r="V269" i="88"/>
  <c r="AD268" i="88"/>
  <c r="AD269" i="88"/>
  <c r="AL268" i="88"/>
  <c r="AL269" i="88"/>
  <c r="BM275" i="88"/>
  <c r="BN231" i="88"/>
  <c r="BU275" i="88"/>
  <c r="BV231" i="88"/>
  <c r="CC275" i="88"/>
  <c r="CD231" i="88"/>
  <c r="CK275" i="88"/>
  <c r="CL231" i="88"/>
  <c r="CS275" i="88"/>
  <c r="CT231" i="88"/>
  <c r="DA275" i="88"/>
  <c r="BS219" i="88"/>
  <c r="CY274" i="88"/>
  <c r="GF274" i="88"/>
  <c r="GQ121" i="88"/>
  <c r="IU122" i="88"/>
  <c r="HG124" i="88"/>
  <c r="GW124" i="88"/>
  <c r="JB125" i="88"/>
  <c r="IT125" i="88"/>
  <c r="JC125" i="88"/>
  <c r="HG125" i="88"/>
  <c r="GW125" i="88"/>
  <c r="HG127" i="88"/>
  <c r="GW127" i="88"/>
  <c r="EA158" i="88"/>
  <c r="GI130" i="88"/>
  <c r="AZ129" i="88"/>
  <c r="DX158" i="88"/>
  <c r="IK120" i="88"/>
  <c r="IU120" i="88"/>
  <c r="IT121" i="88"/>
  <c r="JB121" i="88"/>
  <c r="HD122" i="88"/>
  <c r="GT122" i="88"/>
  <c r="HF122" i="88"/>
  <c r="GV122" i="88"/>
  <c r="HH122" i="88"/>
  <c r="HG123" i="88"/>
  <c r="GW123" i="88"/>
  <c r="HH123" i="88"/>
  <c r="HC123" i="88"/>
  <c r="IS126" i="88"/>
  <c r="JA126" i="88"/>
  <c r="IT126" i="88"/>
  <c r="FA158" i="88"/>
  <c r="JD118" i="88"/>
  <c r="GX120" i="88"/>
  <c r="IV120" i="88"/>
  <c r="HD125" i="88"/>
  <c r="GT125" i="88"/>
  <c r="HF125" i="88"/>
  <c r="GV125" i="88"/>
  <c r="HD127" i="88"/>
  <c r="GT127" i="88"/>
  <c r="HF127" i="88"/>
  <c r="GV127" i="88"/>
  <c r="HI127" i="88"/>
  <c r="EI158" i="88"/>
  <c r="FC158" i="88"/>
  <c r="EV158" i="88"/>
  <c r="IP119" i="88"/>
  <c r="GR122" i="88"/>
  <c r="HI122" i="88"/>
  <c r="GQ123" i="88"/>
  <c r="GS124" i="88"/>
  <c r="GS125" i="88"/>
  <c r="GQ126" i="88"/>
  <c r="HB126" i="88"/>
  <c r="JD126" i="88"/>
  <c r="JD127" i="88"/>
  <c r="HG128" i="88"/>
  <c r="G158" i="88"/>
  <c r="O158" i="88"/>
  <c r="W158" i="88"/>
  <c r="AE158" i="88"/>
  <c r="AM158" i="88"/>
  <c r="AU158" i="88"/>
  <c r="BD158" i="88"/>
  <c r="BL158" i="88"/>
  <c r="GJ129" i="88"/>
  <c r="ER158" i="88"/>
  <c r="HE132" i="88"/>
  <c r="GU132" i="88"/>
  <c r="IK132" i="88"/>
  <c r="IU132" i="88"/>
  <c r="IR133" i="88"/>
  <c r="HH135" i="88"/>
  <c r="HG135" i="88"/>
  <c r="JB136" i="88"/>
  <c r="IT136" i="88"/>
  <c r="JB142" i="88"/>
  <c r="IT142" i="88"/>
  <c r="JB143" i="88"/>
  <c r="IT143" i="88"/>
  <c r="GW143" i="88"/>
  <c r="HG143" i="88"/>
  <c r="GS122" i="88"/>
  <c r="GT124" i="88"/>
  <c r="JD125" i="88"/>
  <c r="GR126" i="88"/>
  <c r="IP126" i="88"/>
  <c r="IG126" i="88"/>
  <c r="GS127" i="88"/>
  <c r="IX127" i="88"/>
  <c r="IG127" i="88"/>
  <c r="HI128" i="88"/>
  <c r="H158" i="88"/>
  <c r="P158" i="88"/>
  <c r="X158" i="88"/>
  <c r="AF158" i="88"/>
  <c r="AV158" i="88"/>
  <c r="BE158" i="88"/>
  <c r="IY129" i="88"/>
  <c r="EJ158" i="88"/>
  <c r="IX131" i="88"/>
  <c r="GQ132" i="88"/>
  <c r="IV132" i="88"/>
  <c r="GX135" i="88"/>
  <c r="IT135" i="88"/>
  <c r="HH137" i="88"/>
  <c r="GX137" i="88"/>
  <c r="IS139" i="88"/>
  <c r="JA139" i="88"/>
  <c r="IV139" i="88"/>
  <c r="JD139" i="88"/>
  <c r="IS140" i="88"/>
  <c r="JA140" i="88"/>
  <c r="IU140" i="88"/>
  <c r="JC140" i="88"/>
  <c r="JA122" i="88"/>
  <c r="GS123" i="88"/>
  <c r="GU124" i="88"/>
  <c r="IP125" i="88"/>
  <c r="IG125" i="88"/>
  <c r="IY126" i="88"/>
  <c r="I158" i="88"/>
  <c r="Q158" i="88"/>
  <c r="Y158" i="88"/>
  <c r="AG158" i="88"/>
  <c r="AO158" i="88"/>
  <c r="AW158" i="88"/>
  <c r="BF158" i="88"/>
  <c r="IZ129" i="88"/>
  <c r="EB158" i="88"/>
  <c r="IT132" i="88"/>
  <c r="JB132" i="88"/>
  <c r="HD135" i="88"/>
  <c r="GT135" i="88"/>
  <c r="GV135" i="88"/>
  <c r="IQ135" i="88"/>
  <c r="IY135" i="88"/>
  <c r="HC141" i="88"/>
  <c r="HB141" i="88"/>
  <c r="GR141" i="88"/>
  <c r="GV142" i="88"/>
  <c r="HF142" i="88"/>
  <c r="GW142" i="88"/>
  <c r="IU143" i="88"/>
  <c r="HI144" i="88"/>
  <c r="HH144" i="88"/>
  <c r="GY144" i="88"/>
  <c r="GX144" i="88"/>
  <c r="JB147" i="88"/>
  <c r="IT147" i="88"/>
  <c r="JA123" i="88"/>
  <c r="GV124" i="88"/>
  <c r="JC124" i="88"/>
  <c r="IY125" i="88"/>
  <c r="IX126" i="88"/>
  <c r="IY127" i="88"/>
  <c r="GV128" i="88"/>
  <c r="J158" i="88"/>
  <c r="JO158" i="88" s="1"/>
  <c r="R158" i="88"/>
  <c r="Z158" i="88"/>
  <c r="AH158" i="88"/>
  <c r="JQ158" i="88" s="1"/>
  <c r="AP158" i="88"/>
  <c r="AX158" i="88"/>
  <c r="BG158" i="88"/>
  <c r="FB158" i="88"/>
  <c r="IZ131" i="88"/>
  <c r="CD133" i="88"/>
  <c r="GQ133" i="88"/>
  <c r="IV133" i="88"/>
  <c r="IB134" i="88"/>
  <c r="GW135" i="88"/>
  <c r="IQ137" i="88"/>
  <c r="IY137" i="88"/>
  <c r="HZ138" i="88"/>
  <c r="BR137" i="88"/>
  <c r="HZ137" i="88" s="1"/>
  <c r="IB138" i="88"/>
  <c r="CP137" i="88"/>
  <c r="GU139" i="88"/>
  <c r="IS145" i="88"/>
  <c r="JA145" i="88"/>
  <c r="IT145" i="88"/>
  <c r="HI145" i="88"/>
  <c r="HH145" i="88"/>
  <c r="GY145" i="88"/>
  <c r="GX145" i="88"/>
  <c r="GV121" i="88"/>
  <c r="JC122" i="88"/>
  <c r="JB123" i="88"/>
  <c r="IX125" i="88"/>
  <c r="IZ126" i="88"/>
  <c r="IP127" i="88"/>
  <c r="IZ127" i="88"/>
  <c r="GW128" i="88"/>
  <c r="K158" i="88"/>
  <c r="S158" i="88"/>
  <c r="AA158" i="88"/>
  <c r="AI158" i="88"/>
  <c r="AQ158" i="88"/>
  <c r="AY158" i="88"/>
  <c r="EK158" i="88"/>
  <c r="ET158" i="88"/>
  <c r="GI131" i="88"/>
  <c r="GV132" i="88"/>
  <c r="IJ132" i="88"/>
  <c r="JA132" i="88"/>
  <c r="IG133" i="88"/>
  <c r="HD134" i="88"/>
  <c r="GT134" i="88"/>
  <c r="IS135" i="88"/>
  <c r="JA135" i="88"/>
  <c r="IV135" i="88"/>
  <c r="JD135" i="88"/>
  <c r="IU135" i="88"/>
  <c r="IS136" i="88"/>
  <c r="JA136" i="88"/>
  <c r="IR137" i="88"/>
  <c r="IV140" i="88"/>
  <c r="IS142" i="88"/>
  <c r="JA142" i="88"/>
  <c r="IV142" i="88"/>
  <c r="IU142" i="88"/>
  <c r="JC142" i="88"/>
  <c r="GY142" i="88"/>
  <c r="HI142" i="88"/>
  <c r="GX142" i="88"/>
  <c r="HH142" i="88"/>
  <c r="HI143" i="88"/>
  <c r="HH143" i="88"/>
  <c r="GY143" i="88"/>
  <c r="GX143" i="88"/>
  <c r="IK144" i="88"/>
  <c r="IJ144" i="88"/>
  <c r="JC123" i="88"/>
  <c r="IQ126" i="88"/>
  <c r="GY128" i="88"/>
  <c r="BA158" i="88"/>
  <c r="BI158" i="88"/>
  <c r="GF129" i="88"/>
  <c r="HU129" i="88"/>
  <c r="IY130" i="88"/>
  <c r="HB132" i="88"/>
  <c r="JD132" i="88"/>
  <c r="IC133" i="88"/>
  <c r="IU136" i="88"/>
  <c r="JC136" i="88"/>
  <c r="JB140" i="88"/>
  <c r="IT140" i="88"/>
  <c r="HD163" i="88"/>
  <c r="GT163" i="88"/>
  <c r="HE163" i="88"/>
  <c r="GX122" i="88"/>
  <c r="IQ125" i="88"/>
  <c r="GX126" i="88"/>
  <c r="GX127" i="88"/>
  <c r="E158" i="88"/>
  <c r="M158" i="88"/>
  <c r="U158" i="88"/>
  <c r="AC158" i="88"/>
  <c r="AK158" i="88"/>
  <c r="AS158" i="88"/>
  <c r="BB158" i="88"/>
  <c r="BJ158" i="88"/>
  <c r="IX130" i="88"/>
  <c r="HH132" i="88"/>
  <c r="GY132" i="88"/>
  <c r="IP133" i="88"/>
  <c r="BR133" i="88"/>
  <c r="HZ134" i="88"/>
  <c r="IT134" i="88" s="1"/>
  <c r="DU133" i="88"/>
  <c r="GN134" i="88"/>
  <c r="GU135" i="88"/>
  <c r="IK135" i="88"/>
  <c r="IJ135" i="88"/>
  <c r="IK137" i="88"/>
  <c r="IJ137" i="88"/>
  <c r="GY122" i="88"/>
  <c r="HI126" i="88"/>
  <c r="GY126" i="88"/>
  <c r="HH127" i="88"/>
  <c r="GY127" i="88"/>
  <c r="F158" i="88"/>
  <c r="N158" i="88"/>
  <c r="V158" i="88"/>
  <c r="AD158" i="88"/>
  <c r="AL158" i="88"/>
  <c r="AT158" i="88"/>
  <c r="BC158" i="88"/>
  <c r="BK158" i="88"/>
  <c r="EZ158" i="88"/>
  <c r="HF132" i="88"/>
  <c r="IQ133" i="88"/>
  <c r="GY135" i="88"/>
  <c r="HI135" i="88"/>
  <c r="IK138" i="88"/>
  <c r="HE139" i="88"/>
  <c r="HD139" i="88"/>
  <c r="GT139" i="88"/>
  <c r="GR135" i="88"/>
  <c r="GV136" i="88"/>
  <c r="GR137" i="88"/>
  <c r="GR139" i="88"/>
  <c r="HI139" i="88"/>
  <c r="IY139" i="88"/>
  <c r="GV140" i="88"/>
  <c r="GQ141" i="88"/>
  <c r="IX141" i="88"/>
  <c r="IK142" i="88"/>
  <c r="IZ142" i="88"/>
  <c r="IG143" i="88"/>
  <c r="GV146" i="88"/>
  <c r="IS153" i="88"/>
  <c r="JA153" i="88"/>
  <c r="HD154" i="88"/>
  <c r="GT154" i="88"/>
  <c r="GV154" i="88"/>
  <c r="HF154" i="88"/>
  <c r="IT154" i="88"/>
  <c r="JB154" i="88"/>
  <c r="GS135" i="88"/>
  <c r="IZ135" i="88"/>
  <c r="GW136" i="88"/>
  <c r="HF136" i="88"/>
  <c r="JD136" i="88"/>
  <c r="GS137" i="88"/>
  <c r="IZ137" i="88"/>
  <c r="GW138" i="88"/>
  <c r="GS139" i="88"/>
  <c r="IZ139" i="88"/>
  <c r="GW140" i="88"/>
  <c r="HF140" i="88"/>
  <c r="JD140" i="88"/>
  <c r="BR141" i="88"/>
  <c r="HZ141" i="88" s="1"/>
  <c r="IT141" i="88" s="1"/>
  <c r="CP141" i="88"/>
  <c r="IB141" i="88" s="1"/>
  <c r="DU141" i="88"/>
  <c r="FR141" i="88"/>
  <c r="IY141" i="88"/>
  <c r="HG142" i="88"/>
  <c r="HD143" i="88"/>
  <c r="GT143" i="88"/>
  <c r="IY143" i="88"/>
  <c r="HA144" i="88"/>
  <c r="GW144" i="88"/>
  <c r="JD144" i="88"/>
  <c r="HF145" i="88"/>
  <c r="JB145" i="88"/>
  <c r="GW146" i="88"/>
  <c r="IS150" i="88"/>
  <c r="HH150" i="88"/>
  <c r="HD152" i="88"/>
  <c r="GT152" i="88"/>
  <c r="HF152" i="88"/>
  <c r="GV152" i="88"/>
  <c r="HE152" i="88"/>
  <c r="GS153" i="88"/>
  <c r="GY154" i="88"/>
  <c r="JC154" i="88"/>
  <c r="IS155" i="88"/>
  <c r="JA155" i="88"/>
  <c r="HI155" i="88"/>
  <c r="GX155" i="88"/>
  <c r="HH155" i="88"/>
  <c r="ID271" i="88"/>
  <c r="HF163" i="88"/>
  <c r="GV163" i="88"/>
  <c r="L158" i="88"/>
  <c r="T158" i="88"/>
  <c r="AB158" i="88"/>
  <c r="AJ158" i="88"/>
  <c r="AR158" i="88"/>
  <c r="BH158" i="88"/>
  <c r="GG129" i="88"/>
  <c r="IX133" i="88"/>
  <c r="IJ138" i="88"/>
  <c r="IJ140" i="88"/>
  <c r="IZ141" i="88"/>
  <c r="HC142" i="88"/>
  <c r="IQ142" i="88"/>
  <c r="JC143" i="88"/>
  <c r="HB144" i="88"/>
  <c r="HD145" i="88"/>
  <c r="GT145" i="88"/>
  <c r="IG145" i="88"/>
  <c r="JC145" i="88"/>
  <c r="HI146" i="88"/>
  <c r="IV146" i="88"/>
  <c r="HD147" i="88"/>
  <c r="GT147" i="88"/>
  <c r="HF147" i="88"/>
  <c r="GV147" i="88"/>
  <c r="HI147" i="88"/>
  <c r="GT149" i="88"/>
  <c r="HD149" i="88"/>
  <c r="GV149" i="88"/>
  <c r="HC150" i="88"/>
  <c r="JD151" i="88"/>
  <c r="HH152" i="88"/>
  <c r="IU153" i="88"/>
  <c r="JC153" i="88"/>
  <c r="IS154" i="88"/>
  <c r="JA154" i="88"/>
  <c r="HI154" i="88"/>
  <c r="GX154" i="88"/>
  <c r="HH154" i="88"/>
  <c r="HE167" i="88"/>
  <c r="GU167" i="88"/>
  <c r="HF167" i="88"/>
  <c r="IV167" i="88"/>
  <c r="IG167" i="88"/>
  <c r="JD167" i="88"/>
  <c r="CJ141" i="88"/>
  <c r="GL141" i="88" s="1"/>
  <c r="DO141" i="88"/>
  <c r="IE141" i="88" s="1"/>
  <c r="HD142" i="88"/>
  <c r="GT142" i="88"/>
  <c r="HE143" i="88"/>
  <c r="JD143" i="88"/>
  <c r="IQ144" i="88"/>
  <c r="IY144" i="88"/>
  <c r="IU146" i="88"/>
  <c r="JC146" i="88"/>
  <c r="IR146" i="88"/>
  <c r="IZ146" i="88"/>
  <c r="GQ147" i="88"/>
  <c r="GT148" i="88"/>
  <c r="HD148" i="88"/>
  <c r="GV148" i="88"/>
  <c r="HI148" i="88"/>
  <c r="HH148" i="88"/>
  <c r="GY148" i="88"/>
  <c r="HI149" i="88"/>
  <c r="HH149" i="88"/>
  <c r="GY149" i="88"/>
  <c r="GR150" i="88"/>
  <c r="BN150" i="88"/>
  <c r="BV150" i="88"/>
  <c r="CD150" i="88"/>
  <c r="IA150" i="88" s="1"/>
  <c r="IU150" i="88" s="1"/>
  <c r="IA151" i="88"/>
  <c r="IU151" i="88" s="1"/>
  <c r="CL150" i="88"/>
  <c r="CT150" i="88"/>
  <c r="IC150" i="88"/>
  <c r="DQ150" i="88"/>
  <c r="GW151" i="88"/>
  <c r="HG151" i="88"/>
  <c r="IS152" i="88"/>
  <c r="JA152" i="88"/>
  <c r="GR152" i="88"/>
  <c r="JD153" i="88"/>
  <c r="HE155" i="88"/>
  <c r="GU155" i="88"/>
  <c r="IG155" i="88"/>
  <c r="JD155" i="88"/>
  <c r="IV155" i="88"/>
  <c r="GV156" i="88"/>
  <c r="HF156" i="88"/>
  <c r="HG156" i="88"/>
  <c r="GW156" i="88"/>
  <c r="GV139" i="88"/>
  <c r="HF143" i="88"/>
  <c r="IZ143" i="88"/>
  <c r="IR143" i="88"/>
  <c r="HD144" i="88"/>
  <c r="GT144" i="88"/>
  <c r="HE144" i="88"/>
  <c r="IZ144" i="88"/>
  <c r="IR144" i="88"/>
  <c r="IS146" i="88"/>
  <c r="JA146" i="88"/>
  <c r="GX147" i="88"/>
  <c r="IR148" i="88"/>
  <c r="IZ148" i="88"/>
  <c r="IR149" i="88"/>
  <c r="IZ149" i="88"/>
  <c r="BO150" i="88"/>
  <c r="BW150" i="88"/>
  <c r="CE150" i="88"/>
  <c r="CM150" i="88"/>
  <c r="CU150" i="88"/>
  <c r="DJ150" i="88"/>
  <c r="DR150" i="88"/>
  <c r="GS152" i="88"/>
  <c r="IT153" i="88"/>
  <c r="JB153" i="88"/>
  <c r="GW153" i="88"/>
  <c r="HG153" i="88"/>
  <c r="HE154" i="88"/>
  <c r="GU154" i="88"/>
  <c r="IG154" i="88"/>
  <c r="IV154" i="88"/>
  <c r="JD154" i="88"/>
  <c r="HB155" i="88"/>
  <c r="HA155" i="88"/>
  <c r="IJ163" i="88"/>
  <c r="IK163" i="88"/>
  <c r="GS136" i="88"/>
  <c r="GS138" i="88"/>
  <c r="GW139" i="88"/>
  <c r="GS140" i="88"/>
  <c r="IS143" i="88"/>
  <c r="JA143" i="88"/>
  <c r="IS144" i="88"/>
  <c r="JA144" i="88"/>
  <c r="HD146" i="88"/>
  <c r="GT146" i="88"/>
  <c r="IS147" i="88"/>
  <c r="JA147" i="88"/>
  <c r="JA148" i="88"/>
  <c r="IS148" i="88"/>
  <c r="JA149" i="88"/>
  <c r="IS149" i="88"/>
  <c r="HD151" i="88"/>
  <c r="GT151" i="88"/>
  <c r="HF151" i="88"/>
  <c r="GV151" i="88"/>
  <c r="HE151" i="88"/>
  <c r="IU152" i="88"/>
  <c r="JC152" i="88"/>
  <c r="HG155" i="88"/>
  <c r="GW155" i="88"/>
  <c r="JA156" i="88"/>
  <c r="IS156" i="88"/>
  <c r="JB156" i="88"/>
  <c r="IT156" i="88"/>
  <c r="JC156" i="88"/>
  <c r="IU156" i="88"/>
  <c r="HI156" i="88"/>
  <c r="GX156" i="88"/>
  <c r="HH156" i="88"/>
  <c r="GY156" i="88"/>
  <c r="HC136" i="88"/>
  <c r="HC138" i="88"/>
  <c r="HG139" i="88"/>
  <c r="IJ139" i="88"/>
  <c r="HC140" i="88"/>
  <c r="GQ142" i="88"/>
  <c r="HB142" i="88"/>
  <c r="GV143" i="88"/>
  <c r="JB144" i="88"/>
  <c r="IV144" i="88"/>
  <c r="IQ145" i="88"/>
  <c r="IY145" i="88"/>
  <c r="HF146" i="88"/>
  <c r="IG146" i="88"/>
  <c r="GU147" i="88"/>
  <c r="HE147" i="88"/>
  <c r="JD147" i="88"/>
  <c r="IG147" i="88"/>
  <c r="HG147" i="88"/>
  <c r="HF148" i="88"/>
  <c r="IT148" i="88"/>
  <c r="HE149" i="88"/>
  <c r="GU149" i="88"/>
  <c r="IK149" i="88"/>
  <c r="HF149" i="88"/>
  <c r="IT149" i="88"/>
  <c r="HD153" i="88"/>
  <c r="GT153" i="88"/>
  <c r="HF153" i="88"/>
  <c r="GV153" i="88"/>
  <c r="HE153" i="88"/>
  <c r="HG154" i="88"/>
  <c r="GW154" i="88"/>
  <c r="HB154" i="88"/>
  <c r="HE142" i="88"/>
  <c r="IZ145" i="88"/>
  <c r="IR145" i="88"/>
  <c r="GU146" i="88"/>
  <c r="HH147" i="88"/>
  <c r="IU147" i="88"/>
  <c r="HC148" i="88"/>
  <c r="GS148" i="88"/>
  <c r="HE148" i="88"/>
  <c r="GU148" i="88"/>
  <c r="IK148" i="88"/>
  <c r="JD148" i="88"/>
  <c r="IS151" i="88"/>
  <c r="JA151" i="88"/>
  <c r="HH151" i="88"/>
  <c r="GY151" i="88"/>
  <c r="GX151" i="88"/>
  <c r="GS151" i="88"/>
  <c r="IT152" i="88"/>
  <c r="JB152" i="88"/>
  <c r="GW152" i="88"/>
  <c r="HG152" i="88"/>
  <c r="HI152" i="88"/>
  <c r="JD152" i="88"/>
  <c r="HH153" i="88"/>
  <c r="HD155" i="88"/>
  <c r="GT155" i="88"/>
  <c r="GV155" i="88"/>
  <c r="HF155" i="88"/>
  <c r="IT155" i="88"/>
  <c r="JB155" i="88"/>
  <c r="GU156" i="88"/>
  <c r="HE156" i="88"/>
  <c r="JD156" i="88"/>
  <c r="IG156" i="88"/>
  <c r="BV224" i="88"/>
  <c r="BV160" i="88"/>
  <c r="IC161" i="88"/>
  <c r="HC143" i="88"/>
  <c r="HC144" i="88"/>
  <c r="HC145" i="88"/>
  <c r="IT146" i="88"/>
  <c r="JC147" i="88"/>
  <c r="JB148" i="88"/>
  <c r="JB149" i="88"/>
  <c r="BX150" i="88"/>
  <c r="GK150" i="88" s="1"/>
  <c r="GU150" i="88" s="1"/>
  <c r="CV150" i="88"/>
  <c r="GM150" i="88" s="1"/>
  <c r="IV151" i="88"/>
  <c r="GX152" i="88"/>
  <c r="IV152" i="88"/>
  <c r="GX153" i="88"/>
  <c r="IV153" i="88"/>
  <c r="IU154" i="88"/>
  <c r="HF157" i="88"/>
  <c r="IX160" i="88"/>
  <c r="CW245" i="88"/>
  <c r="CW246" i="88" s="1"/>
  <c r="GM164" i="88"/>
  <c r="GK164" i="88"/>
  <c r="HA166" i="88"/>
  <c r="GY152" i="88"/>
  <c r="GY153" i="88"/>
  <c r="IV163" i="88"/>
  <c r="HD165" i="88"/>
  <c r="GT165" i="88"/>
  <c r="JB165" i="88"/>
  <c r="IT165" i="88"/>
  <c r="IS166" i="88"/>
  <c r="JA166" i="88"/>
  <c r="HI166" i="88"/>
  <c r="GY166" i="88"/>
  <c r="HH166" i="88"/>
  <c r="GX166" i="88"/>
  <c r="GR154" i="88"/>
  <c r="IX156" i="88"/>
  <c r="GI161" i="88"/>
  <c r="AZ160" i="88"/>
  <c r="GI160" i="88" s="1"/>
  <c r="BW224" i="88"/>
  <c r="GU163" i="88"/>
  <c r="IS165" i="88"/>
  <c r="JA165" i="88"/>
  <c r="HI165" i="88"/>
  <c r="GX165" i="88"/>
  <c r="HH165" i="88"/>
  <c r="GR147" i="88"/>
  <c r="GQ148" i="88"/>
  <c r="GQ149" i="88"/>
  <c r="GS154" i="88"/>
  <c r="GS155" i="88"/>
  <c r="IZ156" i="88"/>
  <c r="IP160" i="88"/>
  <c r="CB224" i="88"/>
  <c r="CR224" i="88"/>
  <c r="HU271" i="88"/>
  <c r="HU270" i="88"/>
  <c r="BP161" i="88"/>
  <c r="BX161" i="88"/>
  <c r="BY224" i="88" s="1"/>
  <c r="CF161" i="88"/>
  <c r="CN161" i="88"/>
  <c r="CV161" i="88"/>
  <c r="CW224" i="88" s="1"/>
  <c r="DS194" i="88"/>
  <c r="GK162" i="88"/>
  <c r="IJ162" i="88"/>
  <c r="IK162" i="88"/>
  <c r="JB163" i="88"/>
  <c r="IS163" i="88"/>
  <c r="GX163" i="88"/>
  <c r="HI163" i="88"/>
  <c r="HH163" i="88"/>
  <c r="GY163" i="88"/>
  <c r="IP163" i="88"/>
  <c r="IT163" i="88"/>
  <c r="IT167" i="88"/>
  <c r="JB167" i="88"/>
  <c r="GQ145" i="88"/>
  <c r="GS147" i="88"/>
  <c r="GR148" i="88"/>
  <c r="GR149" i="88"/>
  <c r="GU151" i="88"/>
  <c r="GU152" i="88"/>
  <c r="GU153" i="88"/>
  <c r="JC155" i="88"/>
  <c r="HA156" i="88"/>
  <c r="IR156" i="88"/>
  <c r="HV271" i="88"/>
  <c r="HG163" i="88"/>
  <c r="IQ163" i="88"/>
  <c r="IY163" i="88"/>
  <c r="JA163" i="88"/>
  <c r="IV165" i="88"/>
  <c r="JD165" i="88"/>
  <c r="IG165" i="88"/>
  <c r="IT166" i="88"/>
  <c r="JB166" i="88"/>
  <c r="HG166" i="88"/>
  <c r="GW166" i="88"/>
  <c r="HB166" i="88"/>
  <c r="GR144" i="88"/>
  <c r="GR145" i="88"/>
  <c r="GS149" i="88"/>
  <c r="IG151" i="88"/>
  <c r="IG152" i="88"/>
  <c r="IG153" i="88"/>
  <c r="IP155" i="88"/>
  <c r="IQ156" i="88"/>
  <c r="HW271" i="88"/>
  <c r="IP161" i="88"/>
  <c r="IX161" i="88"/>
  <c r="HZ162" i="88"/>
  <c r="BR161" i="88"/>
  <c r="BZ161" i="88"/>
  <c r="CH161" i="88"/>
  <c r="IB162" i="88"/>
  <c r="JD162" i="88" s="1"/>
  <c r="CP161" i="88"/>
  <c r="JV161" i="88" s="1"/>
  <c r="GM162" i="88"/>
  <c r="GW162" i="88" s="1"/>
  <c r="JC163" i="88"/>
  <c r="BU160" i="88"/>
  <c r="CG160" i="88"/>
  <c r="IY161" i="88"/>
  <c r="IQ162" i="88"/>
  <c r="IY162" i="88"/>
  <c r="HG165" i="88"/>
  <c r="GW165" i="88"/>
  <c r="HD166" i="88"/>
  <c r="GT166" i="88"/>
  <c r="GH270" i="88"/>
  <c r="GH271" i="88"/>
  <c r="GQ161" i="88"/>
  <c r="GQ162" i="88"/>
  <c r="IX162" i="88"/>
  <c r="GQ163" i="88"/>
  <c r="IX163" i="88"/>
  <c r="JC165" i="88"/>
  <c r="IK166" i="88"/>
  <c r="IY166" i="88"/>
  <c r="JC167" i="88"/>
  <c r="GS169" i="88"/>
  <c r="IG169" i="88"/>
  <c r="IV169" i="88"/>
  <c r="IQ171" i="88"/>
  <c r="IP171" i="88"/>
  <c r="IX171" i="88"/>
  <c r="HB172" i="88"/>
  <c r="HA172" i="88"/>
  <c r="JC177" i="88"/>
  <c r="IU177" i="88"/>
  <c r="GU178" i="88"/>
  <c r="HE178" i="88"/>
  <c r="IV178" i="88"/>
  <c r="IG178" i="88"/>
  <c r="JD178" i="88"/>
  <c r="HA161" i="88"/>
  <c r="HA162" i="88"/>
  <c r="HA163" i="88"/>
  <c r="IG164" i="88"/>
  <c r="IP166" i="88"/>
  <c r="GQ167" i="88"/>
  <c r="IZ167" i="88"/>
  <c r="HC168" i="88"/>
  <c r="HB168" i="88"/>
  <c r="JD169" i="88"/>
  <c r="HD170" i="88"/>
  <c r="GT170" i="88"/>
  <c r="HE170" i="88"/>
  <c r="GQ171" i="88"/>
  <c r="IY171" i="88"/>
  <c r="HD173" i="88"/>
  <c r="GT173" i="88"/>
  <c r="HF173" i="88"/>
  <c r="GV173" i="88"/>
  <c r="HE173" i="88"/>
  <c r="IS174" i="88"/>
  <c r="JA174" i="88"/>
  <c r="IU174" i="88"/>
  <c r="JC174" i="88"/>
  <c r="GX174" i="88"/>
  <c r="HI174" i="88"/>
  <c r="IT174" i="88"/>
  <c r="JB174" i="88"/>
  <c r="IA176" i="88"/>
  <c r="JC176" i="88" s="1"/>
  <c r="CD175" i="88"/>
  <c r="IA175" i="88" s="1"/>
  <c r="IC175" i="88"/>
  <c r="IC176" i="88"/>
  <c r="FR175" i="88"/>
  <c r="GN176" i="88"/>
  <c r="HF178" i="88"/>
  <c r="GU179" i="88"/>
  <c r="HE179" i="88"/>
  <c r="IG179" i="88"/>
  <c r="IV179" i="88"/>
  <c r="JD179" i="88"/>
  <c r="HI179" i="88"/>
  <c r="GV180" i="88"/>
  <c r="GU180" i="88"/>
  <c r="HE180" i="88"/>
  <c r="IB166" i="88"/>
  <c r="IV166" i="88" s="1"/>
  <c r="IQ166" i="88"/>
  <c r="GS167" i="88"/>
  <c r="IY169" i="88"/>
  <c r="IP169" i="88"/>
  <c r="HG170" i="88"/>
  <c r="HG173" i="88"/>
  <c r="GY174" i="88"/>
  <c r="HE177" i="88"/>
  <c r="GU177" i="88"/>
  <c r="IV177" i="88"/>
  <c r="IG177" i="88"/>
  <c r="JD177" i="88"/>
  <c r="GY177" i="88"/>
  <c r="IT178" i="88"/>
  <c r="JB178" i="88"/>
  <c r="HG178" i="88"/>
  <c r="GW178" i="88"/>
  <c r="IS170" i="88"/>
  <c r="JA170" i="88"/>
  <c r="HI170" i="88"/>
  <c r="HH170" i="88"/>
  <c r="GY170" i="88"/>
  <c r="GX170" i="88"/>
  <c r="IZ170" i="88"/>
  <c r="HB171" i="88"/>
  <c r="GR171" i="88"/>
  <c r="GM171" i="88"/>
  <c r="IS173" i="88"/>
  <c r="JA173" i="88"/>
  <c r="IU173" i="88"/>
  <c r="JC173" i="88"/>
  <c r="GX173" i="88"/>
  <c r="HI173" i="88"/>
  <c r="IT173" i="88"/>
  <c r="JB173" i="88"/>
  <c r="IU179" i="88"/>
  <c r="IT179" i="88"/>
  <c r="JB179" i="88"/>
  <c r="GW179" i="88"/>
  <c r="HG179" i="88"/>
  <c r="IT180" i="88"/>
  <c r="JB180" i="88"/>
  <c r="GR165" i="88"/>
  <c r="GR166" i="88"/>
  <c r="GR167" i="88"/>
  <c r="IY167" i="88"/>
  <c r="IP167" i="88"/>
  <c r="IG168" i="88"/>
  <c r="IS169" i="88"/>
  <c r="IT170" i="88"/>
  <c r="HD171" i="88"/>
  <c r="GY173" i="88"/>
  <c r="HB174" i="88"/>
  <c r="HA174" i="88"/>
  <c r="IT177" i="88"/>
  <c r="JB177" i="88"/>
  <c r="GW177" i="88"/>
  <c r="HG177" i="88"/>
  <c r="JC179" i="88"/>
  <c r="IB164" i="88"/>
  <c r="IV164" i="88" s="1"/>
  <c r="GS165" i="88"/>
  <c r="IC165" i="88"/>
  <c r="GS166" i="88"/>
  <c r="IQ167" i="88"/>
  <c r="GS168" i="88"/>
  <c r="GT169" i="88"/>
  <c r="HE169" i="88"/>
  <c r="HD169" i="88"/>
  <c r="HC171" i="88"/>
  <c r="IS172" i="88"/>
  <c r="JA172" i="88"/>
  <c r="JC172" i="88"/>
  <c r="GX172" i="88"/>
  <c r="IT172" i="88"/>
  <c r="HH173" i="88"/>
  <c r="IV173" i="88"/>
  <c r="HI175" i="88"/>
  <c r="GY175" i="88"/>
  <c r="GT179" i="88"/>
  <c r="HD179" i="88"/>
  <c r="GV179" i="88"/>
  <c r="HF179" i="88"/>
  <c r="GF271" i="88"/>
  <c r="GW163" i="88"/>
  <c r="JD163" i="88"/>
  <c r="GV167" i="88"/>
  <c r="HB167" i="88"/>
  <c r="IS167" i="88"/>
  <c r="HF169" i="88"/>
  <c r="HE171" i="88"/>
  <c r="HB173" i="88"/>
  <c r="HA173" i="88"/>
  <c r="GV176" i="88"/>
  <c r="HF176" i="88"/>
  <c r="HD177" i="88"/>
  <c r="GT177" i="88"/>
  <c r="HF177" i="88"/>
  <c r="GV177" i="88"/>
  <c r="IS178" i="88"/>
  <c r="JA178" i="88"/>
  <c r="IU178" i="88"/>
  <c r="JC178" i="88"/>
  <c r="HI178" i="88"/>
  <c r="GY178" i="88"/>
  <c r="GG271" i="88"/>
  <c r="GL165" i="88"/>
  <c r="HF165" i="88" s="1"/>
  <c r="GL166" i="88"/>
  <c r="GV166" i="88" s="1"/>
  <c r="HG167" i="88"/>
  <c r="HD167" i="88"/>
  <c r="JA167" i="88"/>
  <c r="IU167" i="88"/>
  <c r="IY168" i="88"/>
  <c r="IP168" i="88"/>
  <c r="IQ168" i="88"/>
  <c r="JA169" i="88"/>
  <c r="HI169" i="88"/>
  <c r="GQ169" i="88"/>
  <c r="IZ169" i="88"/>
  <c r="HH172" i="88"/>
  <c r="IV172" i="88"/>
  <c r="GR173" i="88"/>
  <c r="HD174" i="88"/>
  <c r="GT174" i="88"/>
  <c r="HF174" i="88"/>
  <c r="GV174" i="88"/>
  <c r="HE174" i="88"/>
  <c r="GU176" i="88"/>
  <c r="HE176" i="88"/>
  <c r="IV176" i="88"/>
  <c r="IG176" i="88"/>
  <c r="JD176" i="88"/>
  <c r="HD176" i="88"/>
  <c r="BX168" i="88"/>
  <c r="GK168" i="88" s="1"/>
  <c r="HE168" i="88" s="1"/>
  <c r="CV168" i="88"/>
  <c r="GM168" i="88" s="1"/>
  <c r="IV170" i="88"/>
  <c r="BR171" i="88"/>
  <c r="HZ171" i="88" s="1"/>
  <c r="CP171" i="88"/>
  <c r="IP172" i="88"/>
  <c r="IP173" i="88"/>
  <c r="IP174" i="88"/>
  <c r="BL175" i="88"/>
  <c r="GJ175" i="88" s="1"/>
  <c r="CJ175" i="88"/>
  <c r="DO175" i="88"/>
  <c r="FL175" i="88"/>
  <c r="ID175" i="88" s="1"/>
  <c r="IH175" i="88" s="1"/>
  <c r="GV178" i="88"/>
  <c r="GY179" i="88"/>
  <c r="IV180" i="88"/>
  <c r="IG180" i="88"/>
  <c r="JD180" i="88"/>
  <c r="I194" i="88"/>
  <c r="I210" i="88" s="1"/>
  <c r="Q194" i="88"/>
  <c r="Q210" i="88" s="1"/>
  <c r="Y194" i="88"/>
  <c r="Y210" i="88" s="1"/>
  <c r="AG194" i="88"/>
  <c r="AG210" i="88" s="1"/>
  <c r="AO194" i="88"/>
  <c r="AO210" i="88" s="1"/>
  <c r="AW194" i="88"/>
  <c r="AW210" i="88" s="1"/>
  <c r="EC194" i="88"/>
  <c r="EC210" i="88" s="1"/>
  <c r="EM194" i="88"/>
  <c r="EM210" i="88" s="1"/>
  <c r="HG183" i="88"/>
  <c r="GW183" i="88"/>
  <c r="GR183" i="88"/>
  <c r="GS184" i="88"/>
  <c r="GT190" i="88"/>
  <c r="GQ170" i="88"/>
  <c r="IX170" i="88"/>
  <c r="GS171" i="88"/>
  <c r="IZ171" i="88"/>
  <c r="GS172" i="88"/>
  <c r="GS173" i="88"/>
  <c r="GS174" i="88"/>
  <c r="HI177" i="88"/>
  <c r="IS179" i="88"/>
  <c r="HF180" i="88"/>
  <c r="ED194" i="88"/>
  <c r="ED210" i="88" s="1"/>
  <c r="HF184" i="88"/>
  <c r="HE184" i="88"/>
  <c r="GU184" i="88"/>
  <c r="IV184" i="88"/>
  <c r="JD184" i="88"/>
  <c r="IG184" i="88"/>
  <c r="IT184" i="88"/>
  <c r="JB184" i="88"/>
  <c r="IC185" i="88"/>
  <c r="HG185" i="88"/>
  <c r="GW185" i="88"/>
  <c r="GU186" i="88"/>
  <c r="HE186" i="88"/>
  <c r="IV186" i="88"/>
  <c r="JD186" i="88"/>
  <c r="IG186" i="88"/>
  <c r="IS187" i="88"/>
  <c r="JA187" i="88"/>
  <c r="IU187" i="88"/>
  <c r="JC187" i="88"/>
  <c r="HI187" i="88"/>
  <c r="HH187" i="88"/>
  <c r="GY187" i="88"/>
  <c r="GX187" i="88"/>
  <c r="GX167" i="88"/>
  <c r="IP170" i="88"/>
  <c r="GK172" i="88"/>
  <c r="HE172" i="88" s="1"/>
  <c r="GW180" i="88"/>
  <c r="HG180" i="88"/>
  <c r="IS180" i="88"/>
  <c r="EE194" i="88"/>
  <c r="EE210" i="88" s="1"/>
  <c r="FA194" i="88"/>
  <c r="FA210" i="88" s="1"/>
  <c r="HD183" i="88"/>
  <c r="GT183" i="88"/>
  <c r="HB184" i="88"/>
  <c r="IA185" i="88"/>
  <c r="IP185" i="88"/>
  <c r="IX185" i="88"/>
  <c r="HE189" i="88"/>
  <c r="IS190" i="88"/>
  <c r="JA190" i="88"/>
  <c r="IU190" i="88"/>
  <c r="JC190" i="88"/>
  <c r="HI190" i="88"/>
  <c r="GY190" i="88"/>
  <c r="GU173" i="88"/>
  <c r="GU174" i="88"/>
  <c r="BA194" i="88"/>
  <c r="BA210" i="88" s="1"/>
  <c r="BI194" i="88"/>
  <c r="BI210" i="88" s="1"/>
  <c r="DT194" i="88"/>
  <c r="FB194" i="88"/>
  <c r="FB210" i="88" s="1"/>
  <c r="GQ183" i="88"/>
  <c r="FD194" i="88"/>
  <c r="FD210" i="88" s="1"/>
  <c r="GU187" i="88"/>
  <c r="HE187" i="88"/>
  <c r="IV187" i="88"/>
  <c r="JD187" i="88"/>
  <c r="IG187" i="88"/>
  <c r="IG188" i="88"/>
  <c r="HD189" i="88"/>
  <c r="GT189" i="88"/>
  <c r="GV189" i="88"/>
  <c r="HF189" i="88"/>
  <c r="HG189" i="88"/>
  <c r="JC191" i="88"/>
  <c r="GM172" i="88"/>
  <c r="HI172" i="88" s="1"/>
  <c r="IG172" i="88"/>
  <c r="IG173" i="88"/>
  <c r="IG174" i="88"/>
  <c r="BX175" i="88"/>
  <c r="GK175" i="88" s="1"/>
  <c r="IZ177" i="88"/>
  <c r="HD180" i="88"/>
  <c r="GT180" i="88"/>
  <c r="E194" i="88"/>
  <c r="E210" i="88" s="1"/>
  <c r="M194" i="88"/>
  <c r="M210" i="88" s="1"/>
  <c r="U194" i="88"/>
  <c r="U210" i="88" s="1"/>
  <c r="AC194" i="88"/>
  <c r="AC210" i="88" s="1"/>
  <c r="AK194" i="88"/>
  <c r="AK210" i="88" s="1"/>
  <c r="AS194" i="88"/>
  <c r="AS210" i="88" s="1"/>
  <c r="BB194" i="88"/>
  <c r="BB210" i="88" s="1"/>
  <c r="BJ194" i="88"/>
  <c r="BJ210" i="88" s="1"/>
  <c r="DW194" i="88"/>
  <c r="DW210" i="88" s="1"/>
  <c r="ES194" i="88"/>
  <c r="ES210" i="88" s="1"/>
  <c r="FC194" i="88"/>
  <c r="FC210" i="88" s="1"/>
  <c r="IS183" i="88"/>
  <c r="JA183" i="88"/>
  <c r="IU183" i="88"/>
  <c r="JC183" i="88"/>
  <c r="HI183" i="88"/>
  <c r="GX183" i="88"/>
  <c r="IZ185" i="88"/>
  <c r="IQ185" i="88"/>
  <c r="IY185" i="88"/>
  <c r="HC190" i="88"/>
  <c r="GS190" i="88"/>
  <c r="HE190" i="88"/>
  <c r="IV190" i="88"/>
  <c r="JD190" i="88"/>
  <c r="IG190" i="88"/>
  <c r="GU170" i="88"/>
  <c r="JB170" i="88"/>
  <c r="JD172" i="88"/>
  <c r="GW173" i="88"/>
  <c r="JD173" i="88"/>
  <c r="GW174" i="88"/>
  <c r="JD174" i="88"/>
  <c r="GQ175" i="88"/>
  <c r="IX175" i="88"/>
  <c r="HZ176" i="88"/>
  <c r="JA177" i="88"/>
  <c r="F194" i="88"/>
  <c r="F210" i="88" s="1"/>
  <c r="N194" i="88"/>
  <c r="N210" i="88" s="1"/>
  <c r="V194" i="88"/>
  <c r="AD194" i="88"/>
  <c r="AD210" i="88" s="1"/>
  <c r="AL194" i="88"/>
  <c r="AL210" i="88" s="1"/>
  <c r="AT194" i="88"/>
  <c r="BC194" i="88"/>
  <c r="BC210" i="88" s="1"/>
  <c r="BK194" i="88"/>
  <c r="BK210" i="88" s="1"/>
  <c r="IT183" i="88"/>
  <c r="JB183" i="88"/>
  <c r="HD184" i="88"/>
  <c r="GT184" i="88"/>
  <c r="DO182" i="88"/>
  <c r="JY182" i="88" s="1"/>
  <c r="FF194" i="88"/>
  <c r="FF210" i="88" s="1"/>
  <c r="HD186" i="88"/>
  <c r="GT186" i="88"/>
  <c r="JB187" i="88"/>
  <c r="IT187" i="88"/>
  <c r="HG187" i="88"/>
  <c r="GW187" i="88"/>
  <c r="JC189" i="88"/>
  <c r="IU189" i="88"/>
  <c r="HI189" i="88"/>
  <c r="HH189" i="88"/>
  <c r="GY189" i="88"/>
  <c r="GX189" i="88"/>
  <c r="IV191" i="88"/>
  <c r="JD191" i="88"/>
  <c r="IG191" i="88"/>
  <c r="IU180" i="88"/>
  <c r="JC180" i="88"/>
  <c r="G194" i="88"/>
  <c r="G210" i="88" s="1"/>
  <c r="O194" i="88"/>
  <c r="O210" i="88" s="1"/>
  <c r="W194" i="88"/>
  <c r="W210" i="88" s="1"/>
  <c r="AE194" i="88"/>
  <c r="AE210" i="88" s="1"/>
  <c r="AM194" i="88"/>
  <c r="AM210" i="88" s="1"/>
  <c r="AU194" i="88"/>
  <c r="AU210" i="88" s="1"/>
  <c r="EK194" i="88"/>
  <c r="EK210" i="88" s="1"/>
  <c r="EU194" i="88"/>
  <c r="EU210" i="88" s="1"/>
  <c r="BT182" i="88"/>
  <c r="HE183" i="88"/>
  <c r="GU183" i="88"/>
  <c r="IV183" i="88"/>
  <c r="JD183" i="88"/>
  <c r="IG183" i="88"/>
  <c r="HB183" i="88"/>
  <c r="AZ182" i="88"/>
  <c r="GI185" i="88"/>
  <c r="ID185" i="88"/>
  <c r="IH185" i="88" s="1"/>
  <c r="HB188" i="88"/>
  <c r="GR188" i="88"/>
  <c r="JB190" i="88"/>
  <c r="IT190" i="88"/>
  <c r="BE194" i="88"/>
  <c r="BE210" i="88" s="1"/>
  <c r="EW194" i="88"/>
  <c r="EW210" i="88" s="1"/>
  <c r="IS184" i="88"/>
  <c r="JA184" i="88"/>
  <c r="IU184" i="88"/>
  <c r="JC184" i="88"/>
  <c r="HI184" i="88"/>
  <c r="BR185" i="88"/>
  <c r="JT185" i="88" s="1"/>
  <c r="HZ186" i="88"/>
  <c r="IT186" i="88" s="1"/>
  <c r="IU186" i="88"/>
  <c r="JC186" i="88"/>
  <c r="HD187" i="88"/>
  <c r="GT187" i="88"/>
  <c r="HF187" i="88"/>
  <c r="GV187" i="88"/>
  <c r="HC189" i="88"/>
  <c r="GS189" i="88"/>
  <c r="JB191" i="88"/>
  <c r="IT191" i="88"/>
  <c r="GM186" i="88"/>
  <c r="GW186" i="88" s="1"/>
  <c r="GW189" i="88"/>
  <c r="GV190" i="88"/>
  <c r="HI191" i="88"/>
  <c r="GX191" i="88"/>
  <c r="IS191" i="88"/>
  <c r="BU228" i="88"/>
  <c r="CC228" i="88"/>
  <c r="CK228" i="88"/>
  <c r="GL197" i="88"/>
  <c r="CS228" i="88"/>
  <c r="IE197" i="88"/>
  <c r="DO196" i="88"/>
  <c r="IE196" i="88" s="1"/>
  <c r="HD199" i="88"/>
  <c r="GT199" i="88"/>
  <c r="HF199" i="88"/>
  <c r="GV199" i="88"/>
  <c r="GW199" i="88"/>
  <c r="IS203" i="88"/>
  <c r="JA203" i="88"/>
  <c r="HH203" i="88"/>
  <c r="GY203" i="88"/>
  <c r="GX203" i="88"/>
  <c r="HI203" i="88"/>
  <c r="HF181" i="88"/>
  <c r="H194" i="88"/>
  <c r="H210" i="88" s="1"/>
  <c r="P194" i="88"/>
  <c r="X194" i="88"/>
  <c r="X210" i="88" s="1"/>
  <c r="AF194" i="88"/>
  <c r="AF210" i="88" s="1"/>
  <c r="AN194" i="88"/>
  <c r="AV194" i="88"/>
  <c r="AV210" i="88" s="1"/>
  <c r="BD194" i="88"/>
  <c r="BD210" i="88" s="1"/>
  <c r="HV182" i="88"/>
  <c r="IX182" i="88" s="1"/>
  <c r="IX188" i="88"/>
  <c r="HZ189" i="88"/>
  <c r="IV189" i="88"/>
  <c r="GQ191" i="88"/>
  <c r="GQ192" i="88"/>
  <c r="HD192" i="88"/>
  <c r="IQ192" i="88"/>
  <c r="IZ196" i="88"/>
  <c r="HA197" i="88"/>
  <c r="HI199" i="88"/>
  <c r="HH199" i="88"/>
  <c r="GY199" i="88"/>
  <c r="IS202" i="88"/>
  <c r="JA202" i="88"/>
  <c r="HH202" i="88"/>
  <c r="GY202" i="88"/>
  <c r="GX202" i="88"/>
  <c r="HI202" i="88"/>
  <c r="HG181" i="88"/>
  <c r="BX185" i="88"/>
  <c r="CP188" i="88"/>
  <c r="IB188" i="88" s="1"/>
  <c r="DU188" i="88"/>
  <c r="L222" i="3" s="1"/>
  <c r="IY188" i="88"/>
  <c r="IX189" i="88"/>
  <c r="IU191" i="88"/>
  <c r="GR192" i="88"/>
  <c r="JC192" i="88"/>
  <c r="IT192" i="88"/>
  <c r="IR192" i="88"/>
  <c r="HD198" i="88"/>
  <c r="GT198" i="88"/>
  <c r="HF198" i="88"/>
  <c r="GV198" i="88"/>
  <c r="GW198" i="88"/>
  <c r="DU196" i="88"/>
  <c r="FR196" i="88"/>
  <c r="GN196" i="88" s="1"/>
  <c r="IS201" i="88"/>
  <c r="JA201" i="88"/>
  <c r="HH201" i="88"/>
  <c r="GX201" i="88"/>
  <c r="IT204" i="88"/>
  <c r="JB204" i="88"/>
  <c r="J194" i="88"/>
  <c r="JO194" i="88" s="1"/>
  <c r="R194" i="88"/>
  <c r="R210" i="88" s="1"/>
  <c r="Z194" i="88"/>
  <c r="Z210" i="88" s="1"/>
  <c r="AH194" i="88"/>
  <c r="AP194" i="88"/>
  <c r="AP210" i="88" s="1"/>
  <c r="AX194" i="88"/>
  <c r="AX210" i="88" s="1"/>
  <c r="BF194" i="88"/>
  <c r="HX182" i="88"/>
  <c r="GV183" i="88"/>
  <c r="IX186" i="88"/>
  <c r="IX187" i="88"/>
  <c r="IQ188" i="88"/>
  <c r="IP189" i="88"/>
  <c r="IX190" i="88"/>
  <c r="HH191" i="88"/>
  <c r="IX191" i="88"/>
  <c r="GT192" i="88"/>
  <c r="IS192" i="88"/>
  <c r="HI195" i="88"/>
  <c r="HG195" i="88"/>
  <c r="HF195" i="88"/>
  <c r="GY195" i="88"/>
  <c r="IR196" i="88"/>
  <c r="BP228" i="88"/>
  <c r="BX228" i="88"/>
  <c r="CF228" i="88"/>
  <c r="CN228" i="88"/>
  <c r="CV228" i="88"/>
  <c r="HI198" i="88"/>
  <c r="HH198" i="88"/>
  <c r="GY198" i="88"/>
  <c r="IS199" i="88"/>
  <c r="JA199" i="88"/>
  <c r="HC200" i="88"/>
  <c r="K194" i="88"/>
  <c r="K210" i="88" s="1"/>
  <c r="S194" i="88"/>
  <c r="S210" i="88" s="1"/>
  <c r="AA194" i="88"/>
  <c r="AA210" i="88" s="1"/>
  <c r="AI194" i="88"/>
  <c r="AI210" i="88" s="1"/>
  <c r="AQ194" i="88"/>
  <c r="AQ210" i="88" s="1"/>
  <c r="AY194" i="88"/>
  <c r="AY210" i="88" s="1"/>
  <c r="BG194" i="88"/>
  <c r="BG210" i="88" s="1"/>
  <c r="EA194" i="88"/>
  <c r="EA210" i="88" s="1"/>
  <c r="EI194" i="88"/>
  <c r="EI210" i="88" s="1"/>
  <c r="EQ194" i="88"/>
  <c r="EQ210" i="88" s="1"/>
  <c r="EY194" i="88"/>
  <c r="EY210" i="88" s="1"/>
  <c r="HY182" i="88"/>
  <c r="GW184" i="88"/>
  <c r="CP185" i="88"/>
  <c r="GR186" i="88"/>
  <c r="IY186" i="88"/>
  <c r="GR187" i="88"/>
  <c r="IY187" i="88"/>
  <c r="IZ189" i="88"/>
  <c r="GR190" i="88"/>
  <c r="IY190" i="88"/>
  <c r="IZ191" i="88"/>
  <c r="HE199" i="88"/>
  <c r="GU199" i="88"/>
  <c r="JD199" i="88"/>
  <c r="IG199" i="88"/>
  <c r="IT203" i="88"/>
  <c r="JB203" i="88"/>
  <c r="HG203" i="88"/>
  <c r="GW203" i="88"/>
  <c r="GT204" i="88"/>
  <c r="HD204" i="88"/>
  <c r="GU204" i="88"/>
  <c r="L194" i="88"/>
  <c r="L210" i="88" s="1"/>
  <c r="T194" i="88"/>
  <c r="T210" i="88" s="1"/>
  <c r="AB194" i="88"/>
  <c r="AJ194" i="88"/>
  <c r="AJ210" i="88" s="1"/>
  <c r="AR194" i="88"/>
  <c r="AR210" i="88" s="1"/>
  <c r="BH194" i="88"/>
  <c r="BH210" i="88" s="1"/>
  <c r="EB194" i="88"/>
  <c r="EB210" i="88" s="1"/>
  <c r="ER194" i="88"/>
  <c r="ER210" i="88" s="1"/>
  <c r="EZ194" i="88"/>
  <c r="EZ210" i="88" s="1"/>
  <c r="GG182" i="88"/>
  <c r="GQ182" i="88" s="1"/>
  <c r="IQ186" i="88"/>
  <c r="IZ186" i="88"/>
  <c r="IQ187" i="88"/>
  <c r="IZ187" i="88"/>
  <c r="IQ190" i="88"/>
  <c r="GW191" i="88"/>
  <c r="HE192" i="88"/>
  <c r="GW192" i="88"/>
  <c r="IX192" i="88"/>
  <c r="HH197" i="88"/>
  <c r="IS198" i="88"/>
  <c r="JA198" i="88"/>
  <c r="HG199" i="88"/>
  <c r="IT202" i="88"/>
  <c r="JB202" i="88"/>
  <c r="HG202" i="88"/>
  <c r="GW202" i="88"/>
  <c r="GU189" i="88"/>
  <c r="GY191" i="88"/>
  <c r="IV192" i="88"/>
  <c r="IG192" i="88"/>
  <c r="IZ192" i="88"/>
  <c r="HE198" i="88"/>
  <c r="GU198" i="88"/>
  <c r="JD198" i="88"/>
  <c r="IG198" i="88"/>
  <c r="IA201" i="88"/>
  <c r="IU201" i="88" s="1"/>
  <c r="CD200" i="88"/>
  <c r="IA200" i="88" s="1"/>
  <c r="JC200" i="88" s="1"/>
  <c r="HD203" i="88"/>
  <c r="GT203" i="88"/>
  <c r="HF203" i="88"/>
  <c r="GV203" i="88"/>
  <c r="HE203" i="88"/>
  <c r="HB191" i="88"/>
  <c r="IY191" i="88"/>
  <c r="IQ191" i="88"/>
  <c r="IY192" i="88"/>
  <c r="BT228" i="88"/>
  <c r="IS197" i="88"/>
  <c r="JA197" i="88"/>
  <c r="HA198" i="88"/>
  <c r="HD202" i="88"/>
  <c r="GT202" i="88"/>
  <c r="HF202" i="88"/>
  <c r="GV202" i="88"/>
  <c r="HE202" i="88"/>
  <c r="GR201" i="88"/>
  <c r="GR202" i="88"/>
  <c r="GR203" i="88"/>
  <c r="HG204" i="88"/>
  <c r="GW204" i="88"/>
  <c r="GX206" i="88"/>
  <c r="JC208" i="88"/>
  <c r="JB208" i="88"/>
  <c r="IU208" i="88"/>
  <c r="BM228" i="88"/>
  <c r="BN228" i="88"/>
  <c r="GQ197" i="88"/>
  <c r="GQ198" i="88"/>
  <c r="GQ199" i="88"/>
  <c r="GS200" i="88"/>
  <c r="IQ200" i="88"/>
  <c r="GS201" i="88"/>
  <c r="IC201" i="88"/>
  <c r="IQ201" i="88"/>
  <c r="GS202" i="88"/>
  <c r="IQ202" i="88"/>
  <c r="GS203" i="88"/>
  <c r="IQ203" i="88"/>
  <c r="IZ203" i="88"/>
  <c r="IV204" i="88"/>
  <c r="JD204" i="88"/>
  <c r="IG204" i="88"/>
  <c r="IG205" i="88"/>
  <c r="HB206" i="88"/>
  <c r="HD207" i="88"/>
  <c r="GT207" i="88"/>
  <c r="HF207" i="88"/>
  <c r="GV207" i="88"/>
  <c r="HE207" i="88"/>
  <c r="BO228" i="88"/>
  <c r="BW228" i="88"/>
  <c r="CE228" i="88"/>
  <c r="CM228" i="88"/>
  <c r="CU228" i="88"/>
  <c r="IP197" i="88"/>
  <c r="IP198" i="88"/>
  <c r="IP199" i="88"/>
  <c r="GK201" i="88"/>
  <c r="GU201" i="88" s="1"/>
  <c r="HF204" i="88"/>
  <c r="GV204" i="88"/>
  <c r="IY204" i="88"/>
  <c r="IP204" i="88"/>
  <c r="GQ205" i="88"/>
  <c r="IP205" i="88"/>
  <c r="HH206" i="88"/>
  <c r="GS207" i="88"/>
  <c r="IU207" i="88"/>
  <c r="GU202" i="88"/>
  <c r="GU203" i="88"/>
  <c r="HE204" i="88"/>
  <c r="HB204" i="88"/>
  <c r="IS207" i="88"/>
  <c r="JA207" i="88"/>
  <c r="GX207" i="88"/>
  <c r="HI207" i="88"/>
  <c r="HH207" i="88"/>
  <c r="GY207" i="88"/>
  <c r="GX192" i="88"/>
  <c r="HV196" i="88"/>
  <c r="BQ228" i="88"/>
  <c r="BY228" i="88"/>
  <c r="CG228" i="88"/>
  <c r="CO228" i="88"/>
  <c r="GK197" i="88"/>
  <c r="IG200" i="88"/>
  <c r="GM201" i="88"/>
  <c r="GW201" i="88" s="1"/>
  <c r="IG201" i="88"/>
  <c r="IG202" i="88"/>
  <c r="JC202" i="88"/>
  <c r="IG203" i="88"/>
  <c r="GX204" i="88"/>
  <c r="HC204" i="88"/>
  <c r="GR206" i="88"/>
  <c r="JB197" i="88"/>
  <c r="JB198" i="88"/>
  <c r="JB199" i="88"/>
  <c r="JD200" i="88"/>
  <c r="JD201" i="88"/>
  <c r="JD202" i="88"/>
  <c r="BS228" i="88"/>
  <c r="CA228" i="88"/>
  <c r="CI228" i="88"/>
  <c r="CQ228" i="88"/>
  <c r="GM197" i="88"/>
  <c r="IT197" i="88"/>
  <c r="IT198" i="88"/>
  <c r="IT199" i="88"/>
  <c r="HH204" i="88"/>
  <c r="IU204" i="88"/>
  <c r="HH205" i="88"/>
  <c r="GQ206" i="88"/>
  <c r="HI208" i="88"/>
  <c r="GY208" i="88"/>
  <c r="IT208" i="88"/>
  <c r="CB228" i="88"/>
  <c r="CJ228" i="88"/>
  <c r="CR228" i="88"/>
  <c r="HI204" i="88"/>
  <c r="HZ206" i="88"/>
  <c r="BS206" i="88"/>
  <c r="BT206" i="88" s="1"/>
  <c r="BU206" i="88" s="1"/>
  <c r="BV206" i="88" s="1"/>
  <c r="BW206" i="88" s="1"/>
  <c r="BX206" i="88" s="1"/>
  <c r="GS206" i="88"/>
  <c r="IT207" i="88"/>
  <c r="JB207" i="88"/>
  <c r="HG207" i="88"/>
  <c r="GW207" i="88"/>
  <c r="IX207" i="88"/>
  <c r="HG208" i="88"/>
  <c r="GW208" i="88"/>
  <c r="IR208" i="88"/>
  <c r="IZ208" i="88"/>
  <c r="IP206" i="88"/>
  <c r="IP207" i="88"/>
  <c r="BS246" i="88"/>
  <c r="CA246" i="88"/>
  <c r="CI246" i="88"/>
  <c r="CQ246" i="88"/>
  <c r="CY246" i="88"/>
  <c r="BU246" i="88"/>
  <c r="CC246" i="88"/>
  <c r="CK246" i="88"/>
  <c r="CS246" i="88"/>
  <c r="DA246" i="88"/>
  <c r="GU207" i="88"/>
  <c r="BV246" i="88"/>
  <c r="CD246" i="88"/>
  <c r="CL246" i="88"/>
  <c r="CT246" i="88"/>
  <c r="DB246" i="88"/>
  <c r="JC204" i="88"/>
  <c r="IG206" i="88"/>
  <c r="IG207" i="88"/>
  <c r="JC207" i="88"/>
  <c r="HD208" i="88"/>
  <c r="HE208" i="88"/>
  <c r="JD207" i="88"/>
  <c r="GY209" i="88"/>
  <c r="HI209" i="88"/>
  <c r="BQ246" i="88"/>
  <c r="BY246" i="88"/>
  <c r="CG246" i="88"/>
  <c r="CO246" i="88"/>
  <c r="JA208" i="88"/>
  <c r="IS208" i="88"/>
  <c r="BO246" i="88"/>
  <c r="BW246" i="88"/>
  <c r="BP246" i="88"/>
  <c r="BX246" i="88"/>
  <c r="CF246" i="88"/>
  <c r="CN246" i="88"/>
  <c r="CV246" i="88"/>
  <c r="CM246" i="88"/>
  <c r="CU246" i="88"/>
  <c r="BT246" i="88"/>
  <c r="CB246" i="88"/>
  <c r="CJ246" i="88"/>
  <c r="CR246" i="88"/>
  <c r="CZ246" i="88"/>
  <c r="BQ263" i="88"/>
  <c r="BY263" i="88"/>
  <c r="CG263" i="88"/>
  <c r="CO263" i="88"/>
  <c r="CW263" i="88"/>
  <c r="BR246" i="88"/>
  <c r="BZ246" i="88"/>
  <c r="CH246" i="88"/>
  <c r="CP246" i="88"/>
  <c r="CX246" i="88"/>
  <c r="BS263" i="88"/>
  <c r="CA263" i="88"/>
  <c r="CI263" i="88"/>
  <c r="CQ263" i="88"/>
  <c r="CY263" i="88"/>
  <c r="BT263" i="88"/>
  <c r="CB263" i="88"/>
  <c r="CJ263" i="88"/>
  <c r="CR263" i="88"/>
  <c r="CZ263" i="88"/>
  <c r="BM263" i="88"/>
  <c r="BU263" i="88"/>
  <c r="CC263" i="88"/>
  <c r="CK263" i="88"/>
  <c r="CS263" i="88"/>
  <c r="DA263" i="88"/>
  <c r="CD263" i="88"/>
  <c r="CL263" i="88"/>
  <c r="CT263" i="88"/>
  <c r="BP263" i="88"/>
  <c r="BX263" i="88"/>
  <c r="CF263" i="88"/>
  <c r="CN263" i="88"/>
  <c r="CV263" i="88"/>
  <c r="A306" i="88"/>
  <c r="P198" i="3"/>
  <c r="Q198" i="3" s="1"/>
  <c r="R198" i="3" s="1"/>
  <c r="S198" i="3" s="1"/>
  <c r="C94" i="87"/>
  <c r="O83" i="87"/>
  <c r="N80" i="87"/>
  <c r="M80" i="87"/>
  <c r="L80" i="87"/>
  <c r="K80" i="87"/>
  <c r="J80" i="87"/>
  <c r="I80" i="87"/>
  <c r="H80" i="87"/>
  <c r="G80" i="87"/>
  <c r="F80" i="87"/>
  <c r="E80" i="87"/>
  <c r="D80" i="87"/>
  <c r="C80" i="87"/>
  <c r="S78" i="87"/>
  <c r="P78" i="87"/>
  <c r="S77" i="87"/>
  <c r="N81" i="87"/>
  <c r="M79" i="87"/>
  <c r="L81" i="87"/>
  <c r="K81" i="87"/>
  <c r="J81" i="87"/>
  <c r="I81" i="87"/>
  <c r="H79" i="87"/>
  <c r="G79" i="87"/>
  <c r="F81" i="87"/>
  <c r="E79" i="87"/>
  <c r="D81" i="87"/>
  <c r="C81" i="87"/>
  <c r="S76" i="87"/>
  <c r="P76" i="87"/>
  <c r="S75" i="87"/>
  <c r="P75" i="87"/>
  <c r="O74" i="87"/>
  <c r="N72" i="87"/>
  <c r="M72" i="87"/>
  <c r="L72" i="87"/>
  <c r="K72" i="87"/>
  <c r="J72" i="87"/>
  <c r="I72" i="87"/>
  <c r="H72" i="87"/>
  <c r="G72" i="87"/>
  <c r="F72" i="87"/>
  <c r="E72" i="87"/>
  <c r="D72" i="87"/>
  <c r="C72" i="87"/>
  <c r="N71" i="87"/>
  <c r="M71" i="87"/>
  <c r="L71" i="87"/>
  <c r="K71" i="87"/>
  <c r="J71" i="87"/>
  <c r="I71" i="87"/>
  <c r="H71" i="87"/>
  <c r="G71" i="87"/>
  <c r="F71" i="87"/>
  <c r="E71" i="87"/>
  <c r="D71" i="87"/>
  <c r="C71" i="87"/>
  <c r="N70" i="87"/>
  <c r="M70" i="87"/>
  <c r="L70" i="87"/>
  <c r="K70" i="87"/>
  <c r="J70" i="87"/>
  <c r="I70" i="87"/>
  <c r="H70" i="87"/>
  <c r="G70" i="87"/>
  <c r="F70" i="87"/>
  <c r="E70" i="87"/>
  <c r="D70" i="87"/>
  <c r="C70" i="87"/>
  <c r="N69" i="87"/>
  <c r="M69" i="87"/>
  <c r="L69" i="87"/>
  <c r="K69" i="87"/>
  <c r="J69" i="87"/>
  <c r="I69" i="87"/>
  <c r="H69" i="87"/>
  <c r="G69" i="87"/>
  <c r="F69" i="87"/>
  <c r="E69" i="87"/>
  <c r="D69" i="87"/>
  <c r="C69" i="87"/>
  <c r="N67" i="87"/>
  <c r="M67" i="87"/>
  <c r="L67" i="87"/>
  <c r="K67" i="87"/>
  <c r="J67" i="87"/>
  <c r="I67" i="87"/>
  <c r="H67" i="87"/>
  <c r="G67" i="87"/>
  <c r="F67" i="87"/>
  <c r="E67" i="87"/>
  <c r="D67" i="87"/>
  <c r="C67" i="87"/>
  <c r="N66" i="87"/>
  <c r="M66" i="87"/>
  <c r="L66" i="87"/>
  <c r="K66" i="87"/>
  <c r="J66" i="87"/>
  <c r="I66" i="87"/>
  <c r="H66" i="87"/>
  <c r="G66" i="87"/>
  <c r="F66" i="87"/>
  <c r="E66" i="87"/>
  <c r="D66" i="87"/>
  <c r="C66" i="87"/>
  <c r="N65" i="87"/>
  <c r="M65" i="87"/>
  <c r="L65" i="87"/>
  <c r="K65" i="87"/>
  <c r="J65" i="87"/>
  <c r="I65" i="87"/>
  <c r="H65" i="87"/>
  <c r="G65" i="87"/>
  <c r="F65" i="87"/>
  <c r="E65" i="87"/>
  <c r="D65" i="87"/>
  <c r="C65" i="87"/>
  <c r="S64" i="87"/>
  <c r="P64" i="87"/>
  <c r="S63" i="87"/>
  <c r="P63" i="87"/>
  <c r="S62" i="87"/>
  <c r="P62" i="87"/>
  <c r="P70" i="87" s="1"/>
  <c r="S61" i="87"/>
  <c r="P61" i="87"/>
  <c r="O60" i="87"/>
  <c r="N58" i="87"/>
  <c r="M58" i="87"/>
  <c r="L58" i="87"/>
  <c r="K58" i="87"/>
  <c r="J58" i="87"/>
  <c r="I58" i="87"/>
  <c r="H58" i="87"/>
  <c r="G58" i="87"/>
  <c r="F58" i="87"/>
  <c r="E58" i="87"/>
  <c r="D58" i="87"/>
  <c r="C58" i="87"/>
  <c r="N56" i="87"/>
  <c r="M56" i="87"/>
  <c r="L56" i="87"/>
  <c r="K56" i="87"/>
  <c r="J56" i="87"/>
  <c r="I56" i="87"/>
  <c r="H56" i="87"/>
  <c r="G56" i="87"/>
  <c r="F56" i="87"/>
  <c r="E56" i="87"/>
  <c r="D56" i="87"/>
  <c r="C56" i="87"/>
  <c r="N55" i="87"/>
  <c r="M55" i="87"/>
  <c r="L55" i="87"/>
  <c r="K55" i="87"/>
  <c r="J55" i="87"/>
  <c r="I55" i="87"/>
  <c r="H55" i="87"/>
  <c r="G55" i="87"/>
  <c r="F55" i="87"/>
  <c r="E55" i="87"/>
  <c r="D55" i="87"/>
  <c r="C55" i="87"/>
  <c r="L53" i="87"/>
  <c r="K53" i="87"/>
  <c r="C53" i="87"/>
  <c r="N52" i="87"/>
  <c r="M52" i="87"/>
  <c r="L52" i="87"/>
  <c r="K52" i="87"/>
  <c r="J52" i="87"/>
  <c r="I52" i="87"/>
  <c r="H52" i="87"/>
  <c r="G52" i="87"/>
  <c r="F52" i="87"/>
  <c r="E52" i="87"/>
  <c r="D52" i="87"/>
  <c r="C52" i="87"/>
  <c r="K51" i="87"/>
  <c r="H51" i="87"/>
  <c r="S50" i="87"/>
  <c r="P50" i="87"/>
  <c r="S49" i="87"/>
  <c r="N49" i="87"/>
  <c r="M49" i="87"/>
  <c r="L49" i="87"/>
  <c r="L57" i="87" s="1"/>
  <c r="K49" i="87"/>
  <c r="K57" i="87" s="1"/>
  <c r="J49" i="87"/>
  <c r="J51" i="87" s="1"/>
  <c r="I49" i="87"/>
  <c r="H49" i="87"/>
  <c r="G49" i="87"/>
  <c r="G57" i="87" s="1"/>
  <c r="F49" i="87"/>
  <c r="E49" i="87"/>
  <c r="D49" i="87"/>
  <c r="D57" i="87" s="1"/>
  <c r="C49" i="87"/>
  <c r="C51" i="87" s="1"/>
  <c r="S48" i="87"/>
  <c r="P48" i="87"/>
  <c r="P56" i="87" s="1"/>
  <c r="S47" i="87"/>
  <c r="P47" i="87"/>
  <c r="O46" i="87"/>
  <c r="N44" i="87"/>
  <c r="M44" i="87"/>
  <c r="L44" i="87"/>
  <c r="K44" i="87"/>
  <c r="J44" i="87"/>
  <c r="I44" i="87"/>
  <c r="H44" i="87"/>
  <c r="G44" i="87"/>
  <c r="F44" i="87"/>
  <c r="E44" i="87"/>
  <c r="D44" i="87"/>
  <c r="C44" i="87"/>
  <c r="N43" i="87"/>
  <c r="M43" i="87"/>
  <c r="L43" i="87"/>
  <c r="K43" i="87"/>
  <c r="J43" i="87"/>
  <c r="I43" i="87"/>
  <c r="H43" i="87"/>
  <c r="G43" i="87"/>
  <c r="F43" i="87"/>
  <c r="E43" i="87"/>
  <c r="D43" i="87"/>
  <c r="C43" i="87"/>
  <c r="N42" i="87"/>
  <c r="M42" i="87"/>
  <c r="L42" i="87"/>
  <c r="K42" i="87"/>
  <c r="J42" i="87"/>
  <c r="I42" i="87"/>
  <c r="H42" i="87"/>
  <c r="G42" i="87"/>
  <c r="F42" i="87"/>
  <c r="E42" i="87"/>
  <c r="D42" i="87"/>
  <c r="C42" i="87"/>
  <c r="S41" i="87"/>
  <c r="P41" i="87"/>
  <c r="S40" i="87"/>
  <c r="P40" i="87"/>
  <c r="P44" i="87" s="1"/>
  <c r="S39" i="87"/>
  <c r="P39" i="87"/>
  <c r="S38" i="87"/>
  <c r="P38" i="87"/>
  <c r="P43" i="87" s="1"/>
  <c r="O37" i="87"/>
  <c r="N35" i="87"/>
  <c r="M35" i="87"/>
  <c r="L35" i="87"/>
  <c r="K35" i="87"/>
  <c r="J35" i="87"/>
  <c r="I35" i="87"/>
  <c r="H35" i="87"/>
  <c r="G35" i="87"/>
  <c r="F35" i="87"/>
  <c r="E35" i="87"/>
  <c r="D35" i="87"/>
  <c r="C35" i="87"/>
  <c r="N34" i="87"/>
  <c r="M34" i="87"/>
  <c r="L34" i="87"/>
  <c r="K34" i="87"/>
  <c r="J34" i="87"/>
  <c r="I34" i="87"/>
  <c r="H34" i="87"/>
  <c r="G34" i="87"/>
  <c r="F34" i="87"/>
  <c r="E34" i="87"/>
  <c r="D34" i="87"/>
  <c r="C34" i="87"/>
  <c r="N33" i="87"/>
  <c r="M33" i="87"/>
  <c r="L33" i="87"/>
  <c r="K33" i="87"/>
  <c r="J33" i="87"/>
  <c r="I33" i="87"/>
  <c r="H33" i="87"/>
  <c r="G33" i="87"/>
  <c r="F33" i="87"/>
  <c r="E33" i="87"/>
  <c r="D33" i="87"/>
  <c r="C33" i="87"/>
  <c r="N32" i="87"/>
  <c r="M32" i="87"/>
  <c r="L32" i="87"/>
  <c r="K32" i="87"/>
  <c r="J32" i="87"/>
  <c r="I32" i="87"/>
  <c r="H32" i="87"/>
  <c r="G32" i="87"/>
  <c r="F32" i="87"/>
  <c r="E32" i="87"/>
  <c r="D32" i="87"/>
  <c r="C32" i="87"/>
  <c r="N30" i="87"/>
  <c r="M30" i="87"/>
  <c r="L30" i="87"/>
  <c r="K30" i="87"/>
  <c r="J30" i="87"/>
  <c r="I30" i="87"/>
  <c r="H30" i="87"/>
  <c r="G30" i="87"/>
  <c r="F30" i="87"/>
  <c r="E30" i="87"/>
  <c r="D30" i="87"/>
  <c r="C30" i="87"/>
  <c r="N29" i="87"/>
  <c r="M29" i="87"/>
  <c r="L29" i="87"/>
  <c r="K29" i="87"/>
  <c r="J29" i="87"/>
  <c r="I29" i="87"/>
  <c r="H29" i="87"/>
  <c r="G29" i="87"/>
  <c r="F29" i="87"/>
  <c r="E29" i="87"/>
  <c r="D29" i="87"/>
  <c r="C29" i="87"/>
  <c r="N28" i="87"/>
  <c r="M28" i="87"/>
  <c r="L28" i="87"/>
  <c r="K28" i="87"/>
  <c r="J28" i="87"/>
  <c r="I28" i="87"/>
  <c r="H28" i="87"/>
  <c r="G28" i="87"/>
  <c r="F28" i="87"/>
  <c r="E28" i="87"/>
  <c r="D28" i="87"/>
  <c r="C28" i="87"/>
  <c r="S27" i="87"/>
  <c r="P27" i="87"/>
  <c r="S26" i="87"/>
  <c r="P26" i="87"/>
  <c r="S25" i="87"/>
  <c r="P25" i="87"/>
  <c r="S24" i="87"/>
  <c r="P24" i="87"/>
  <c r="O23" i="87"/>
  <c r="N21" i="87"/>
  <c r="M21" i="87"/>
  <c r="L21" i="87"/>
  <c r="K21" i="87"/>
  <c r="J21" i="87"/>
  <c r="I21" i="87"/>
  <c r="H21" i="87"/>
  <c r="G21" i="87"/>
  <c r="F21" i="87"/>
  <c r="E21" i="87"/>
  <c r="D21" i="87"/>
  <c r="C21" i="87"/>
  <c r="P20" i="87"/>
  <c r="N20" i="87"/>
  <c r="M20" i="87"/>
  <c r="L20" i="87"/>
  <c r="K20" i="87"/>
  <c r="J20" i="87"/>
  <c r="I20" i="87"/>
  <c r="H20" i="87"/>
  <c r="G20" i="87"/>
  <c r="F20" i="87"/>
  <c r="E20" i="87"/>
  <c r="D20" i="87"/>
  <c r="C20" i="87"/>
  <c r="N19" i="87"/>
  <c r="M19" i="87"/>
  <c r="L19" i="87"/>
  <c r="K19" i="87"/>
  <c r="J19" i="87"/>
  <c r="I19" i="87"/>
  <c r="H19" i="87"/>
  <c r="G19" i="87"/>
  <c r="F19" i="87"/>
  <c r="E19" i="87"/>
  <c r="D19" i="87"/>
  <c r="C19" i="87"/>
  <c r="P18" i="87"/>
  <c r="P17" i="87"/>
  <c r="P16" i="87"/>
  <c r="P15" i="87"/>
  <c r="P32" i="87" s="1"/>
  <c r="O14" i="87"/>
  <c r="S12" i="87"/>
  <c r="O12" i="87"/>
  <c r="N12" i="87"/>
  <c r="P12" i="87" s="1"/>
  <c r="M12" i="87"/>
  <c r="L12" i="87"/>
  <c r="K12" i="87"/>
  <c r="J12" i="87"/>
  <c r="J10" i="87" s="1"/>
  <c r="N11" i="87"/>
  <c r="M11" i="87"/>
  <c r="M10" i="87" s="1"/>
  <c r="L11" i="87"/>
  <c r="K11" i="87"/>
  <c r="J11" i="87"/>
  <c r="I11" i="87"/>
  <c r="I10" i="87" s="1"/>
  <c r="H11" i="87"/>
  <c r="H10" i="87" s="1"/>
  <c r="G11" i="87"/>
  <c r="G10" i="87" s="1"/>
  <c r="O10" i="87" s="1"/>
  <c r="F11" i="87"/>
  <c r="E11" i="87"/>
  <c r="D11" i="87"/>
  <c r="C11" i="87"/>
  <c r="S10" i="87"/>
  <c r="L10" i="87"/>
  <c r="K10" i="87"/>
  <c r="L9" i="87"/>
  <c r="K9" i="87"/>
  <c r="E9" i="87"/>
  <c r="D9" i="87"/>
  <c r="C9" i="87"/>
  <c r="S8" i="87"/>
  <c r="N8" i="87"/>
  <c r="N9" i="87" s="1"/>
  <c r="M8" i="87"/>
  <c r="M9" i="87" s="1"/>
  <c r="L8" i="87"/>
  <c r="K8" i="87"/>
  <c r="J8" i="87"/>
  <c r="J9" i="87" s="1"/>
  <c r="I8" i="87"/>
  <c r="I9" i="87" s="1"/>
  <c r="H8" i="87"/>
  <c r="H9" i="87" s="1"/>
  <c r="G8" i="87"/>
  <c r="G9" i="87" s="1"/>
  <c r="F8" i="87"/>
  <c r="F9" i="87" s="1"/>
  <c r="E8" i="87"/>
  <c r="D8" i="87"/>
  <c r="C8" i="87"/>
  <c r="S7" i="87"/>
  <c r="P7" i="87"/>
  <c r="S6" i="87"/>
  <c r="P6" i="87"/>
  <c r="O5" i="87"/>
  <c r="AC78" i="87"/>
  <c r="HZ200" i="88" l="1"/>
  <c r="GV138" i="88"/>
  <c r="HD200" i="88"/>
  <c r="ID91" i="88"/>
  <c r="IH91" i="88" s="1"/>
  <c r="KZ22" i="88"/>
  <c r="CG182" i="88"/>
  <c r="CG194" i="88" s="1"/>
  <c r="CA182" i="88"/>
  <c r="CA194" i="88" s="1"/>
  <c r="FR39" i="88"/>
  <c r="FR40" i="88" s="1"/>
  <c r="IV94" i="88"/>
  <c r="BT219" i="88"/>
  <c r="JC139" i="88"/>
  <c r="BU219" i="88"/>
  <c r="IU172" i="88"/>
  <c r="JF91" i="88"/>
  <c r="JF58" i="88"/>
  <c r="JF56" i="88"/>
  <c r="JF21" i="88"/>
  <c r="JF33" i="88"/>
  <c r="JF49" i="88"/>
  <c r="JF80" i="88"/>
  <c r="JV47" i="88"/>
  <c r="FU63" i="88"/>
  <c r="GU188" i="88"/>
  <c r="JA175" i="88"/>
  <c r="IJ136" i="88"/>
  <c r="JF86" i="88"/>
  <c r="JF78" i="88"/>
  <c r="JF50" i="88"/>
  <c r="JF55" i="88"/>
  <c r="JC55" i="88"/>
  <c r="IV53" i="88"/>
  <c r="GD60" i="88"/>
  <c r="JF16" i="88"/>
  <c r="JF51" i="88"/>
  <c r="JF90" i="88"/>
  <c r="JF27" i="88"/>
  <c r="GV200" i="88"/>
  <c r="JD133" i="88"/>
  <c r="CP89" i="88"/>
  <c r="JV89" i="88" s="1"/>
  <c r="KO89" i="88" s="1"/>
  <c r="IJ111" i="88"/>
  <c r="JF95" i="88"/>
  <c r="JF54" i="88"/>
  <c r="JF47" i="88"/>
  <c r="JD55" i="88"/>
  <c r="JF57" i="88"/>
  <c r="HD56" i="88"/>
  <c r="JF23" i="88"/>
  <c r="JF30" i="88"/>
  <c r="JF43" i="88"/>
  <c r="JF14" i="88"/>
  <c r="JF17" i="88"/>
  <c r="JF64" i="88"/>
  <c r="JF83" i="88"/>
  <c r="JF26" i="88"/>
  <c r="JT175" i="88"/>
  <c r="IU55" i="88"/>
  <c r="CB131" i="88"/>
  <c r="CB130" i="88" s="1"/>
  <c r="CB129" i="88" s="1"/>
  <c r="FT39" i="88"/>
  <c r="FT60" i="88" s="1"/>
  <c r="GV141" i="88"/>
  <c r="FJ89" i="88"/>
  <c r="JF77" i="88"/>
  <c r="JF37" i="88"/>
  <c r="GU35" i="88"/>
  <c r="JF22" i="88"/>
  <c r="JF79" i="88"/>
  <c r="JF94" i="88"/>
  <c r="DS129" i="88"/>
  <c r="DS212" i="88" s="1"/>
  <c r="JC203" i="88"/>
  <c r="JF87" i="88"/>
  <c r="JF89" i="88"/>
  <c r="JF85" i="88"/>
  <c r="JF46" i="88"/>
  <c r="JF11" i="88"/>
  <c r="JF66" i="88"/>
  <c r="JF100" i="88"/>
  <c r="GU171" i="88"/>
  <c r="CC224" i="88"/>
  <c r="FJ63" i="88"/>
  <c r="FJ74" i="88" s="1"/>
  <c r="FJ60" i="88"/>
  <c r="FX39" i="88"/>
  <c r="JX39" i="88" s="1"/>
  <c r="CU219" i="88"/>
  <c r="CQ182" i="88"/>
  <c r="FV63" i="88"/>
  <c r="FZ63" i="88"/>
  <c r="IJ170" i="88"/>
  <c r="CI219" i="88"/>
  <c r="HI113" i="88"/>
  <c r="CJ39" i="88"/>
  <c r="CJ60" i="88" s="1"/>
  <c r="JT67" i="88"/>
  <c r="KN67" i="88" s="1"/>
  <c r="DO39" i="88"/>
  <c r="HE191" i="88"/>
  <c r="IT19" i="88"/>
  <c r="FN129" i="88"/>
  <c r="FN158" i="88" s="1"/>
  <c r="HF12" i="88"/>
  <c r="FO63" i="88"/>
  <c r="CC160" i="88"/>
  <c r="CC268" i="88" s="1"/>
  <c r="JY185" i="88"/>
  <c r="CG80" i="88"/>
  <c r="CG77" i="88" s="1"/>
  <c r="CG226" i="88" s="1"/>
  <c r="JC35" i="88"/>
  <c r="CA80" i="88"/>
  <c r="CA77" i="88" s="1"/>
  <c r="CA226" i="88" s="1"/>
  <c r="CU131" i="88"/>
  <c r="CU130" i="88" s="1"/>
  <c r="CU129" i="88" s="1"/>
  <c r="BT131" i="88"/>
  <c r="BT130" i="88" s="1"/>
  <c r="BT129" i="88" s="1"/>
  <c r="GK117" i="88"/>
  <c r="JA52" i="88"/>
  <c r="BV39" i="88"/>
  <c r="BV40" i="88" s="1"/>
  <c r="IF27" i="88"/>
  <c r="JC49" i="88"/>
  <c r="CT109" i="88"/>
  <c r="HY77" i="88"/>
  <c r="FV39" i="88"/>
  <c r="FV60" i="88" s="1"/>
  <c r="FV74" i="88" s="1"/>
  <c r="CC131" i="88"/>
  <c r="CT219" i="88"/>
  <c r="IU34" i="88"/>
  <c r="IT168" i="88"/>
  <c r="IJ93" i="88"/>
  <c r="FO39" i="88"/>
  <c r="FO40" i="88" s="1"/>
  <c r="KP22" i="88"/>
  <c r="JB34" i="88"/>
  <c r="HE27" i="88"/>
  <c r="KS12" i="88"/>
  <c r="KS28" i="88"/>
  <c r="JS77" i="88"/>
  <c r="BM160" i="88"/>
  <c r="IU86" i="88"/>
  <c r="CG274" i="88"/>
  <c r="CF219" i="88"/>
  <c r="JX47" i="88"/>
  <c r="JV67" i="88"/>
  <c r="KO67" i="88" s="1"/>
  <c r="IS168" i="88"/>
  <c r="DR274" i="88"/>
  <c r="CO131" i="88"/>
  <c r="CO130" i="88" s="1"/>
  <c r="CO129" i="88" s="1"/>
  <c r="CO158" i="88" s="1"/>
  <c r="CF274" i="88"/>
  <c r="FP194" i="88"/>
  <c r="FP210" i="88" s="1"/>
  <c r="CS160" i="88"/>
  <c r="CS269" i="88" s="1"/>
  <c r="GA63" i="88"/>
  <c r="IJ49" i="88"/>
  <c r="JT168" i="88"/>
  <c r="CK131" i="88"/>
  <c r="CK130" i="88" s="1"/>
  <c r="CK129" i="88" s="1"/>
  <c r="FW160" i="88"/>
  <c r="FW194" i="88" s="1"/>
  <c r="IK86" i="88"/>
  <c r="HG150" i="88"/>
  <c r="CA274" i="88"/>
  <c r="DQ274" i="88"/>
  <c r="ID84" i="88"/>
  <c r="IH84" i="88" s="1"/>
  <c r="HZ67" i="88"/>
  <c r="JB32" i="88"/>
  <c r="JD49" i="88"/>
  <c r="IU203" i="88"/>
  <c r="IT55" i="88"/>
  <c r="GU191" i="88"/>
  <c r="CR219" i="88"/>
  <c r="HI26" i="88"/>
  <c r="HG169" i="88"/>
  <c r="JB69" i="88"/>
  <c r="JU31" i="88"/>
  <c r="JB33" i="88"/>
  <c r="CA160" i="88"/>
  <c r="CA268" i="88" s="1"/>
  <c r="GN67" i="88"/>
  <c r="GX67" i="88" s="1"/>
  <c r="CR182" i="88"/>
  <c r="HF188" i="88"/>
  <c r="HH169" i="88"/>
  <c r="CE226" i="88"/>
  <c r="JA32" i="88"/>
  <c r="GX169" i="88"/>
  <c r="GB60" i="88"/>
  <c r="GB61" i="88" s="1"/>
  <c r="CT224" i="88"/>
  <c r="CA219" i="88"/>
  <c r="BQ219" i="88"/>
  <c r="CN219" i="88"/>
  <c r="HH26" i="88"/>
  <c r="FQ39" i="88"/>
  <c r="JT14" i="88"/>
  <c r="KE14" i="88" s="1"/>
  <c r="ID117" i="88"/>
  <c r="IH117" i="88" s="1"/>
  <c r="DM129" i="88"/>
  <c r="DM158" i="88" s="1"/>
  <c r="GU190" i="88"/>
  <c r="IG150" i="88"/>
  <c r="IK150" i="88" s="1"/>
  <c r="BP219" i="88"/>
  <c r="BM274" i="88"/>
  <c r="HG118" i="88"/>
  <c r="IK93" i="88"/>
  <c r="IS70" i="88"/>
  <c r="IV49" i="88"/>
  <c r="JD35" i="88"/>
  <c r="JT15" i="88"/>
  <c r="KE15" i="88" s="1"/>
  <c r="FK160" i="88"/>
  <c r="DN39" i="88"/>
  <c r="FW63" i="88"/>
  <c r="DO42" i="88"/>
  <c r="JY42" i="88" s="1"/>
  <c r="KZ42" i="88" s="1"/>
  <c r="JD189" i="88"/>
  <c r="CH219" i="88"/>
  <c r="IG56" i="88"/>
  <c r="IJ56" i="88" s="1"/>
  <c r="IU35" i="88"/>
  <c r="CU160" i="88"/>
  <c r="CU194" i="88" s="1"/>
  <c r="CS80" i="88"/>
  <c r="CS77" i="88" s="1"/>
  <c r="GW26" i="88"/>
  <c r="CM182" i="88"/>
  <c r="IJ189" i="88"/>
  <c r="GX118" i="88"/>
  <c r="JB50" i="88"/>
  <c r="IT33" i="88"/>
  <c r="KM17" i="88"/>
  <c r="FG63" i="88"/>
  <c r="JD203" i="88"/>
  <c r="CO219" i="88"/>
  <c r="GW118" i="88"/>
  <c r="BT80" i="88"/>
  <c r="BT77" i="88" s="1"/>
  <c r="BT226" i="88" s="1"/>
  <c r="JA33" i="88"/>
  <c r="FH40" i="88"/>
  <c r="JT91" i="88"/>
  <c r="BQ131" i="88"/>
  <c r="BQ130" i="88" s="1"/>
  <c r="BQ129" i="88" s="1"/>
  <c r="CG219" i="88"/>
  <c r="IF49" i="88"/>
  <c r="JA28" i="88"/>
  <c r="DS39" i="88"/>
  <c r="DS40" i="88" s="1"/>
  <c r="HD68" i="88"/>
  <c r="GT141" i="88"/>
  <c r="EV212" i="88"/>
  <c r="CO160" i="88"/>
  <c r="CO269" i="88" s="1"/>
  <c r="FV129" i="88"/>
  <c r="GX168" i="88"/>
  <c r="EL60" i="88"/>
  <c r="CF80" i="88"/>
  <c r="CF77" i="88" s="1"/>
  <c r="JC86" i="88"/>
  <c r="IT188" i="88"/>
  <c r="KJ11" i="88"/>
  <c r="P42" i="87"/>
  <c r="M51" i="87"/>
  <c r="E51" i="87"/>
  <c r="DZ194" i="88"/>
  <c r="DZ210" i="88" s="1"/>
  <c r="HH190" i="88"/>
  <c r="GH129" i="88"/>
  <c r="IT86" i="88"/>
  <c r="IU49" i="88"/>
  <c r="KS18" i="88"/>
  <c r="HX14" i="88"/>
  <c r="KU14" i="88"/>
  <c r="CR80" i="88"/>
  <c r="CR77" i="88" s="1"/>
  <c r="CR226" i="88" s="1"/>
  <c r="GW190" i="88"/>
  <c r="CD116" i="88"/>
  <c r="IA116" i="88" s="1"/>
  <c r="GR84" i="88"/>
  <c r="JU117" i="88"/>
  <c r="CI131" i="88"/>
  <c r="BN182" i="88"/>
  <c r="FI129" i="88"/>
  <c r="FI212" i="88" s="1"/>
  <c r="HG190" i="88"/>
  <c r="JB137" i="88"/>
  <c r="N10" i="87"/>
  <c r="P10" i="87" s="1"/>
  <c r="D53" i="87"/>
  <c r="P11" i="87"/>
  <c r="P55" i="87"/>
  <c r="L51" i="87"/>
  <c r="I53" i="87"/>
  <c r="P69" i="87"/>
  <c r="P66" i="87"/>
  <c r="P80" i="87"/>
  <c r="BV109" i="88"/>
  <c r="BV268" i="88" s="1"/>
  <c r="KC14" i="88"/>
  <c r="GT68" i="88"/>
  <c r="EW40" i="88"/>
  <c r="KS22" i="88"/>
  <c r="CL39" i="88"/>
  <c r="FP39" i="88"/>
  <c r="AZ74" i="88"/>
  <c r="P21" i="87"/>
  <c r="JA188" i="88"/>
  <c r="GU68" i="88"/>
  <c r="KT101" i="88"/>
  <c r="GI14" i="88"/>
  <c r="BW80" i="88"/>
  <c r="BW77" i="88" s="1"/>
  <c r="BW226" i="88" s="1"/>
  <c r="D51" i="87"/>
  <c r="DY194" i="88"/>
  <c r="DY210" i="88" s="1"/>
  <c r="CU226" i="88"/>
  <c r="KS15" i="88"/>
  <c r="CS219" i="88"/>
  <c r="IB81" i="88"/>
  <c r="EL279" i="91"/>
  <c r="HF133" i="88"/>
  <c r="BP131" i="88"/>
  <c r="BP130" i="88" s="1"/>
  <c r="BP129" i="88" s="1"/>
  <c r="CR131" i="88"/>
  <c r="CR130" i="88" s="1"/>
  <c r="CR129" i="88" s="1"/>
  <c r="CR158" i="88" s="1"/>
  <c r="K90" i="1"/>
  <c r="K89" i="1" s="1"/>
  <c r="HG137" i="88"/>
  <c r="BQ158" i="88"/>
  <c r="CV131" i="88"/>
  <c r="CW216" i="88" s="1"/>
  <c r="DQ129" i="88"/>
  <c r="CO226" i="88"/>
  <c r="IY84" i="88"/>
  <c r="GT83" i="88"/>
  <c r="JR80" i="88"/>
  <c r="KC80" i="88" s="1"/>
  <c r="HX80" i="88"/>
  <c r="IQ80" i="88" s="1"/>
  <c r="BX80" i="88"/>
  <c r="BX77" i="88" s="1"/>
  <c r="BX226" i="88" s="1"/>
  <c r="BZ80" i="88"/>
  <c r="BZ77" i="88" s="1"/>
  <c r="BZ226" i="88" s="1"/>
  <c r="GH212" i="88"/>
  <c r="JD66" i="88"/>
  <c r="HA196" i="88"/>
  <c r="IF33" i="88"/>
  <c r="HF24" i="88"/>
  <c r="CU39" i="88"/>
  <c r="FP60" i="88"/>
  <c r="FP40" i="88"/>
  <c r="HC188" i="88"/>
  <c r="HD188" i="88"/>
  <c r="GS188" i="88"/>
  <c r="GT188" i="88"/>
  <c r="FK60" i="88"/>
  <c r="FK74" i="88" s="1"/>
  <c r="BN276" i="88"/>
  <c r="JG79" i="88"/>
  <c r="JG90" i="88"/>
  <c r="JH78" i="88"/>
  <c r="JY133" i="88"/>
  <c r="FH194" i="88"/>
  <c r="FH210" i="88" s="1"/>
  <c r="EP212" i="88"/>
  <c r="BN274" i="88"/>
  <c r="CO182" i="88"/>
  <c r="CO194" i="88" s="1"/>
  <c r="JF12" i="88"/>
  <c r="GY24" i="88"/>
  <c r="IX63" i="88"/>
  <c r="GA60" i="88"/>
  <c r="GA61" i="88" s="1"/>
  <c r="CS224" i="88"/>
  <c r="BY160" i="88"/>
  <c r="BY268" i="88" s="1"/>
  <c r="CL160" i="88"/>
  <c r="CL268" i="88" s="1"/>
  <c r="JG94" i="88"/>
  <c r="JG93" i="88"/>
  <c r="JF15" i="88"/>
  <c r="HI24" i="88"/>
  <c r="GD194" i="88"/>
  <c r="GD210" i="88" s="1"/>
  <c r="JF63" i="88"/>
  <c r="KX13" i="88"/>
  <c r="BL182" i="88"/>
  <c r="GJ182" i="88" s="1"/>
  <c r="JB28" i="88"/>
  <c r="CI274" i="88"/>
  <c r="JC22" i="88"/>
  <c r="JB188" i="88"/>
  <c r="FO129" i="88"/>
  <c r="FD212" i="88"/>
  <c r="IZ84" i="88"/>
  <c r="ID64" i="88"/>
  <c r="IH64" i="88" s="1"/>
  <c r="HD25" i="88"/>
  <c r="BW274" i="88"/>
  <c r="IU168" i="88"/>
  <c r="CE39" i="88"/>
  <c r="CE274" i="88"/>
  <c r="BO226" i="88"/>
  <c r="JH90" i="88"/>
  <c r="BO160" i="88"/>
  <c r="BO268" i="88" s="1"/>
  <c r="CC274" i="88"/>
  <c r="CQ274" i="88"/>
  <c r="BY131" i="88"/>
  <c r="BY130" i="88" s="1"/>
  <c r="BY129" i="88" s="1"/>
  <c r="BY158" i="88" s="1"/>
  <c r="GL84" i="88"/>
  <c r="IE67" i="88"/>
  <c r="DO40" i="88"/>
  <c r="DO60" i="88"/>
  <c r="JY60" i="88" s="1"/>
  <c r="KZ60" i="88" s="1"/>
  <c r="GV185" i="88"/>
  <c r="JD168" i="88"/>
  <c r="GV133" i="88"/>
  <c r="BY274" i="88"/>
  <c r="CR274" i="88"/>
  <c r="HY80" i="88"/>
  <c r="IJ86" i="88"/>
  <c r="JV168" i="88"/>
  <c r="KH168" i="88" s="1"/>
  <c r="GV13" i="88"/>
  <c r="CQ131" i="88"/>
  <c r="CC182" i="88"/>
  <c r="CC194" i="88" s="1"/>
  <c r="FW39" i="88"/>
  <c r="FW60" i="88" s="1"/>
  <c r="FW61" i="88" s="1"/>
  <c r="JC168" i="88"/>
  <c r="GW137" i="88"/>
  <c r="HI137" i="88"/>
  <c r="DP274" i="88"/>
  <c r="JC78" i="88"/>
  <c r="GS91" i="88"/>
  <c r="GN47" i="88"/>
  <c r="HE28" i="88"/>
  <c r="BO39" i="88"/>
  <c r="KM16" i="88"/>
  <c r="JY21" i="88"/>
  <c r="JV175" i="88"/>
  <c r="CR160" i="88"/>
  <c r="CR220" i="88" s="1"/>
  <c r="CR218" i="88" s="1"/>
  <c r="CI160" i="88"/>
  <c r="CI194" i="88" s="1"/>
  <c r="FE194" i="88"/>
  <c r="FE210" i="88" s="1"/>
  <c r="BN224" i="88"/>
  <c r="DO274" i="88"/>
  <c r="GV113" i="88"/>
  <c r="BW109" i="88"/>
  <c r="GY113" i="88"/>
  <c r="ID47" i="88"/>
  <c r="IH47" i="88" s="1"/>
  <c r="GV53" i="88"/>
  <c r="IT28" i="88"/>
  <c r="DQ210" i="88"/>
  <c r="GN84" i="88"/>
  <c r="IX196" i="88"/>
  <c r="IV168" i="88"/>
  <c r="HG133" i="88"/>
  <c r="IU175" i="88"/>
  <c r="CQ160" i="88"/>
  <c r="CQ268" i="88" s="1"/>
  <c r="GY137" i="88"/>
  <c r="GW113" i="88"/>
  <c r="BW219" i="88"/>
  <c r="JH82" i="88"/>
  <c r="JH80" i="88"/>
  <c r="JH66" i="88"/>
  <c r="HI13" i="88"/>
  <c r="IE47" i="88"/>
  <c r="IU22" i="88"/>
  <c r="GK81" i="88"/>
  <c r="FU129" i="88"/>
  <c r="FU158" i="88" s="1"/>
  <c r="IU169" i="88"/>
  <c r="IT79" i="88"/>
  <c r="CE160" i="88"/>
  <c r="CE194" i="88" s="1"/>
  <c r="FZ129" i="88"/>
  <c r="FZ158" i="88" s="1"/>
  <c r="FI39" i="88"/>
  <c r="CL224" i="88"/>
  <c r="FS89" i="88"/>
  <c r="GM81" i="88"/>
  <c r="GW81" i="88" s="1"/>
  <c r="JH81" i="88"/>
  <c r="GU70" i="88"/>
  <c r="HB91" i="88"/>
  <c r="IE63" i="88"/>
  <c r="IP63" i="88"/>
  <c r="GT26" i="88"/>
  <c r="JY171" i="88"/>
  <c r="CJ224" i="88"/>
  <c r="FW210" i="88"/>
  <c r="GY13" i="88"/>
  <c r="IT27" i="88"/>
  <c r="HG13" i="88"/>
  <c r="CJ182" i="88"/>
  <c r="GL182" i="88" s="1"/>
  <c r="HF137" i="88"/>
  <c r="GW133" i="88"/>
  <c r="CO268" i="88"/>
  <c r="HG113" i="88"/>
  <c r="CV226" i="88"/>
  <c r="CD89" i="88"/>
  <c r="JU89" i="88" s="1"/>
  <c r="KN89" i="88" s="1"/>
  <c r="FI63" i="88"/>
  <c r="ID63" i="88" s="1"/>
  <c r="IH63" i="88" s="1"/>
  <c r="JB22" i="88"/>
  <c r="FN39" i="88"/>
  <c r="FN60" i="88" s="1"/>
  <c r="GB194" i="88"/>
  <c r="CB182" i="88"/>
  <c r="DN210" i="88"/>
  <c r="DX212" i="88"/>
  <c r="BS80" i="88"/>
  <c r="BS77" i="88" s="1"/>
  <c r="BS226" i="88" s="1"/>
  <c r="CF131" i="88"/>
  <c r="CF130" i="88" s="1"/>
  <c r="CF129" i="88" s="1"/>
  <c r="CF158" i="88" s="1"/>
  <c r="GT18" i="88"/>
  <c r="JD170" i="88"/>
  <c r="CE131" i="88"/>
  <c r="BM131" i="88"/>
  <c r="BM216" i="88" s="1"/>
  <c r="CL80" i="88"/>
  <c r="CL77" i="88" s="1"/>
  <c r="GJ80" i="88"/>
  <c r="FY160" i="88"/>
  <c r="FY212" i="88" s="1"/>
  <c r="FQ129" i="88"/>
  <c r="FQ158" i="88" s="1"/>
  <c r="FG80" i="88"/>
  <c r="FG77" i="88" s="1"/>
  <c r="HL86" i="88"/>
  <c r="HL77" i="88"/>
  <c r="JH56" i="88"/>
  <c r="HL52" i="88"/>
  <c r="HL53" i="88"/>
  <c r="JH32" i="88"/>
  <c r="HL47" i="88"/>
  <c r="JB25" i="88"/>
  <c r="HE200" i="88"/>
  <c r="FY60" i="88"/>
  <c r="FY74" i="88" s="1"/>
  <c r="FY75" i="88" s="1"/>
  <c r="BQ160" i="88"/>
  <c r="BQ194" i="88" s="1"/>
  <c r="GC129" i="88"/>
  <c r="GC158" i="88" s="1"/>
  <c r="CN80" i="88"/>
  <c r="CN77" i="88" s="1"/>
  <c r="CN226" i="88" s="1"/>
  <c r="HL95" i="88"/>
  <c r="HL91" i="88"/>
  <c r="HL66" i="88"/>
  <c r="HL42" i="88"/>
  <c r="GD158" i="88"/>
  <c r="CQ39" i="88"/>
  <c r="CQ40" i="88" s="1"/>
  <c r="FZ39" i="88"/>
  <c r="FZ60" i="88" s="1"/>
  <c r="FM129" i="88"/>
  <c r="FM158" i="88" s="1"/>
  <c r="BO131" i="88"/>
  <c r="BO130" i="88" s="1"/>
  <c r="BO129" i="88" s="1"/>
  <c r="HL55" i="88"/>
  <c r="HL44" i="88"/>
  <c r="CC39" i="88"/>
  <c r="HL16" i="88"/>
  <c r="FS40" i="88"/>
  <c r="CM274" i="88"/>
  <c r="EN212" i="88"/>
  <c r="HL92" i="88"/>
  <c r="HL67" i="88"/>
  <c r="HL64" i="88"/>
  <c r="HL50" i="88"/>
  <c r="HL32" i="88"/>
  <c r="HL35" i="88"/>
  <c r="EU40" i="88"/>
  <c r="FT194" i="88"/>
  <c r="FT210" i="88" s="1"/>
  <c r="HL94" i="88"/>
  <c r="HL30" i="88"/>
  <c r="HL100" i="88"/>
  <c r="HL81" i="88"/>
  <c r="HL54" i="88"/>
  <c r="HL28" i="88"/>
  <c r="HL27" i="88"/>
  <c r="EX212" i="88"/>
  <c r="CM131" i="88"/>
  <c r="CM130" i="88" s="1"/>
  <c r="CM129" i="88" s="1"/>
  <c r="CT131" i="88"/>
  <c r="CT130" i="88" s="1"/>
  <c r="CT129" i="88" s="1"/>
  <c r="IJ51" i="88"/>
  <c r="EF194" i="88"/>
  <c r="EF210" i="88" s="1"/>
  <c r="IV114" i="88"/>
  <c r="IG114" i="88"/>
  <c r="I79" i="87"/>
  <c r="GU200" i="88"/>
  <c r="IK134" i="88"/>
  <c r="GL31" i="88"/>
  <c r="HG26" i="88"/>
  <c r="IT32" i="88"/>
  <c r="IF24" i="88"/>
  <c r="KS13" i="88"/>
  <c r="JY150" i="88"/>
  <c r="JT150" i="88"/>
  <c r="KE150" i="88" s="1"/>
  <c r="FI194" i="88"/>
  <c r="FI210" i="88" s="1"/>
  <c r="DR39" i="88"/>
  <c r="DR60" i="88" s="1"/>
  <c r="DK274" i="88"/>
  <c r="HG188" i="88"/>
  <c r="GW188" i="88"/>
  <c r="FS194" i="88"/>
  <c r="FM194" i="88"/>
  <c r="FM210" i="88" s="1"/>
  <c r="HF200" i="88"/>
  <c r="GV188" i="88"/>
  <c r="GG270" i="88"/>
  <c r="IV150" i="88"/>
  <c r="GY117" i="88"/>
  <c r="IS117" i="88"/>
  <c r="BN80" i="88"/>
  <c r="BN77" i="88" s="1"/>
  <c r="BG77" i="88"/>
  <c r="GJ77" i="88" s="1"/>
  <c r="IF51" i="88"/>
  <c r="KS21" i="88"/>
  <c r="BT274" i="88"/>
  <c r="BS274" i="88"/>
  <c r="GC194" i="88"/>
  <c r="GC210" i="88" s="1"/>
  <c r="DT210" i="88"/>
  <c r="CD182" i="88"/>
  <c r="IA182" i="88" s="1"/>
  <c r="JB168" i="88"/>
  <c r="JB139" i="88"/>
  <c r="IU139" i="88"/>
  <c r="BO274" i="88"/>
  <c r="IA84" i="88"/>
  <c r="IC67" i="88"/>
  <c r="IG67" i="88" s="1"/>
  <c r="GJ14" i="88"/>
  <c r="IK51" i="88"/>
  <c r="KS23" i="88"/>
  <c r="KS37" i="88"/>
  <c r="JX175" i="88"/>
  <c r="JU188" i="88"/>
  <c r="FU194" i="88"/>
  <c r="FU210" i="88" s="1"/>
  <c r="CN131" i="88"/>
  <c r="CN130" i="88" s="1"/>
  <c r="CN129" i="88" s="1"/>
  <c r="FY129" i="88"/>
  <c r="FY158" i="88" s="1"/>
  <c r="CX274" i="88"/>
  <c r="BM276" i="88"/>
  <c r="JC94" i="88"/>
  <c r="IA64" i="88"/>
  <c r="JB46" i="88"/>
  <c r="HL43" i="88"/>
  <c r="JH17" i="88"/>
  <c r="KS17" i="88"/>
  <c r="HK23" i="88"/>
  <c r="KS46" i="88"/>
  <c r="KS19" i="88"/>
  <c r="KS34" i="88"/>
  <c r="KF13" i="88"/>
  <c r="JU168" i="88"/>
  <c r="KF168" i="88" s="1"/>
  <c r="CQ80" i="88"/>
  <c r="CQ77" i="88" s="1"/>
  <c r="HW270" i="88"/>
  <c r="IC84" i="88"/>
  <c r="IG84" i="88" s="1"/>
  <c r="IK84" i="88" s="1"/>
  <c r="CO39" i="88"/>
  <c r="CO40" i="88" s="1"/>
  <c r="GW197" i="88"/>
  <c r="K327" i="3"/>
  <c r="L223" i="3"/>
  <c r="HI168" i="88"/>
  <c r="HG171" i="88"/>
  <c r="K219" i="3"/>
  <c r="L270" i="3"/>
  <c r="L242" i="3"/>
  <c r="K268" i="3"/>
  <c r="K240" i="3"/>
  <c r="K269" i="3"/>
  <c r="K241" i="3"/>
  <c r="K270" i="3"/>
  <c r="K242" i="3"/>
  <c r="U6" i="87"/>
  <c r="V10" i="87"/>
  <c r="Y17" i="87"/>
  <c r="U41" i="87"/>
  <c r="AA64" i="87"/>
  <c r="AC6" i="87"/>
  <c r="AA39" i="87"/>
  <c r="AC41" i="87"/>
  <c r="AA18" i="87"/>
  <c r="AA26" i="87"/>
  <c r="AA47" i="87"/>
  <c r="Y62" i="87"/>
  <c r="C79" i="87"/>
  <c r="U15" i="87"/>
  <c r="AA8" i="87"/>
  <c r="AD10" i="87"/>
  <c r="AC15" i="87"/>
  <c r="F79" i="87"/>
  <c r="G81" i="87"/>
  <c r="T40" i="87"/>
  <c r="Y49" i="87"/>
  <c r="AD7" i="87"/>
  <c r="W16" i="87"/>
  <c r="T27" i="87"/>
  <c r="AB40" i="87"/>
  <c r="T48" i="87"/>
  <c r="Z63" i="87"/>
  <c r="K79" i="87"/>
  <c r="V7" i="87"/>
  <c r="Y24" i="87"/>
  <c r="T12" i="87"/>
  <c r="AE16" i="87"/>
  <c r="AB27" i="87"/>
  <c r="Z38" i="87"/>
  <c r="AB48" i="87"/>
  <c r="N79" i="87"/>
  <c r="AB12" i="87"/>
  <c r="Z25" i="87"/>
  <c r="Z50" i="87"/>
  <c r="X61" i="87"/>
  <c r="GY79" i="88"/>
  <c r="GX79" i="88"/>
  <c r="IE270" i="88"/>
  <c r="EV194" i="88"/>
  <c r="EV210" i="88" s="1"/>
  <c r="CT160" i="88"/>
  <c r="CT194" i="88" s="1"/>
  <c r="IG161" i="88"/>
  <c r="IJ161" i="88" s="1"/>
  <c r="CT274" i="88"/>
  <c r="JY161" i="88"/>
  <c r="JY271" i="88" s="1"/>
  <c r="IS164" i="88"/>
  <c r="JB164" i="88"/>
  <c r="IT164" i="88"/>
  <c r="BN160" i="88"/>
  <c r="BN220" i="88" s="1"/>
  <c r="BN218" i="88" s="1"/>
  <c r="CK224" i="88"/>
  <c r="ID270" i="88"/>
  <c r="GU162" i="88"/>
  <c r="BO224" i="88"/>
  <c r="CU274" i="88"/>
  <c r="BT160" i="88"/>
  <c r="BT269" i="88" s="1"/>
  <c r="EP194" i="88"/>
  <c r="EP210" i="88" s="1"/>
  <c r="DX194" i="88"/>
  <c r="DX210" i="88" s="1"/>
  <c r="CU224" i="88"/>
  <c r="DS274" i="88"/>
  <c r="EJ194" i="88"/>
  <c r="EJ210" i="88" s="1"/>
  <c r="EH194" i="88"/>
  <c r="EH210" i="88" s="1"/>
  <c r="BS224" i="88"/>
  <c r="IA161" i="88"/>
  <c r="BU224" i="88"/>
  <c r="CO274" i="88"/>
  <c r="DM269" i="88"/>
  <c r="FN160" i="88"/>
  <c r="FN194" i="88" s="1"/>
  <c r="FN210" i="88" s="1"/>
  <c r="CK160" i="88"/>
  <c r="CK194" i="88" s="1"/>
  <c r="EL212" i="88"/>
  <c r="EG194" i="88"/>
  <c r="EG210" i="88" s="1"/>
  <c r="CD224" i="88"/>
  <c r="BT224" i="88"/>
  <c r="DM274" i="88"/>
  <c r="DM268" i="88"/>
  <c r="EO194" i="88"/>
  <c r="EO210" i="88" s="1"/>
  <c r="CM224" i="88"/>
  <c r="BS160" i="88"/>
  <c r="BS194" i="88" s="1"/>
  <c r="HG162" i="88"/>
  <c r="EF212" i="88"/>
  <c r="ET212" i="88"/>
  <c r="DN158" i="88"/>
  <c r="CL274" i="88"/>
  <c r="BU274" i="88"/>
  <c r="CL109" i="88"/>
  <c r="DJ274" i="88"/>
  <c r="BV219" i="88"/>
  <c r="DL158" i="88"/>
  <c r="FV158" i="88"/>
  <c r="FA212" i="88"/>
  <c r="EU212" i="88"/>
  <c r="JW141" i="88"/>
  <c r="CG131" i="88"/>
  <c r="CG130" i="88" s="1"/>
  <c r="CG129" i="88" s="1"/>
  <c r="CG158" i="88" s="1"/>
  <c r="GA129" i="88"/>
  <c r="GA158" i="88" s="1"/>
  <c r="BZ131" i="88"/>
  <c r="DR129" i="88"/>
  <c r="DR158" i="88" s="1"/>
  <c r="FX131" i="88"/>
  <c r="FF212" i="88"/>
  <c r="FB212" i="88"/>
  <c r="CQ130" i="88"/>
  <c r="CQ129" i="88" s="1"/>
  <c r="CQ158" i="88" s="1"/>
  <c r="HE137" i="88"/>
  <c r="GU137" i="88"/>
  <c r="BN131" i="88"/>
  <c r="GT137" i="88"/>
  <c r="GU134" i="88"/>
  <c r="HE134" i="88"/>
  <c r="GV134" i="88"/>
  <c r="JW137" i="88"/>
  <c r="DK129" i="88"/>
  <c r="DK212" i="88" s="1"/>
  <c r="BM269" i="88"/>
  <c r="BM268" i="88"/>
  <c r="GK116" i="88"/>
  <c r="GT116" i="88" s="1"/>
  <c r="BX109" i="88"/>
  <c r="GK109" i="88" s="1"/>
  <c r="BX219" i="88"/>
  <c r="BY219" i="88"/>
  <c r="DN60" i="88"/>
  <c r="DN61" i="88" s="1"/>
  <c r="DN40" i="88"/>
  <c r="GW172" i="88"/>
  <c r="JD43" i="88"/>
  <c r="JX274" i="88"/>
  <c r="CV39" i="88"/>
  <c r="CV40" i="88" s="1"/>
  <c r="FT158" i="88"/>
  <c r="BU269" i="88"/>
  <c r="JC150" i="88"/>
  <c r="BW160" i="88"/>
  <c r="CB219" i="88"/>
  <c r="DT158" i="88"/>
  <c r="JG25" i="88"/>
  <c r="ID89" i="88"/>
  <c r="IH89" i="88" s="1"/>
  <c r="FL39" i="88"/>
  <c r="FL60" i="88" s="1"/>
  <c r="FJ182" i="88"/>
  <c r="FJ194" i="88" s="1"/>
  <c r="FJ210" i="88" s="1"/>
  <c r="FZ182" i="88"/>
  <c r="FZ194" i="88" s="1"/>
  <c r="FZ210" i="88" s="1"/>
  <c r="GB129" i="88"/>
  <c r="GB158" i="88" s="1"/>
  <c r="GU172" i="88"/>
  <c r="HI55" i="88"/>
  <c r="HI50" i="88"/>
  <c r="DM194" i="88"/>
  <c r="DM210" i="88" s="1"/>
  <c r="HH50" i="88"/>
  <c r="GW32" i="88"/>
  <c r="GY56" i="88"/>
  <c r="HG28" i="88"/>
  <c r="IF54" i="88"/>
  <c r="BM194" i="88"/>
  <c r="HI197" i="88"/>
  <c r="GY110" i="88"/>
  <c r="IT69" i="88"/>
  <c r="HG51" i="88"/>
  <c r="GU27" i="88"/>
  <c r="HZ81" i="88"/>
  <c r="JB19" i="88"/>
  <c r="CL182" i="88"/>
  <c r="GX171" i="88"/>
  <c r="CL219" i="88"/>
  <c r="DP129" i="88"/>
  <c r="DP158" i="88" s="1"/>
  <c r="CK274" i="88"/>
  <c r="CB274" i="88"/>
  <c r="CB109" i="88"/>
  <c r="CK109" i="88"/>
  <c r="CK158" i="88" s="1"/>
  <c r="CW274" i="88"/>
  <c r="CC219" i="88"/>
  <c r="FL109" i="88"/>
  <c r="ID109" i="88" s="1"/>
  <c r="IH109" i="88" s="1"/>
  <c r="IU58" i="88"/>
  <c r="IF45" i="88"/>
  <c r="AT61" i="88"/>
  <c r="HF58" i="88"/>
  <c r="JD58" i="88"/>
  <c r="HE51" i="88"/>
  <c r="AT74" i="88"/>
  <c r="AT97" i="88" s="1"/>
  <c r="JR97" i="88" s="1"/>
  <c r="HG58" i="88"/>
  <c r="IJ58" i="88"/>
  <c r="IF58" i="88"/>
  <c r="GW70" i="88"/>
  <c r="GY50" i="88"/>
  <c r="GY58" i="88"/>
  <c r="HI58" i="88"/>
  <c r="HE49" i="88"/>
  <c r="JC52" i="88"/>
  <c r="FX60" i="88"/>
  <c r="BS39" i="88"/>
  <c r="BS60" i="88" s="1"/>
  <c r="CS39" i="88"/>
  <c r="IC14" i="88"/>
  <c r="CA39" i="88"/>
  <c r="CY288" i="88"/>
  <c r="DB288" i="88"/>
  <c r="HK21" i="88"/>
  <c r="CW276" i="88"/>
  <c r="JG92" i="88"/>
  <c r="JH79" i="88"/>
  <c r="HK69" i="88"/>
  <c r="HL69" i="88"/>
  <c r="JH77" i="88"/>
  <c r="HL36" i="88"/>
  <c r="JF48" i="88"/>
  <c r="JF65" i="88"/>
  <c r="JF82" i="88"/>
  <c r="AN40" i="88"/>
  <c r="JH91" i="88"/>
  <c r="HK91" i="88"/>
  <c r="JH57" i="88"/>
  <c r="HK48" i="88"/>
  <c r="HK53" i="88"/>
  <c r="JH52" i="88"/>
  <c r="HK13" i="88"/>
  <c r="HK30" i="88"/>
  <c r="IC15" i="88"/>
  <c r="CX288" i="88"/>
  <c r="DA288" i="88"/>
  <c r="DB276" i="88"/>
  <c r="CZ276" i="88"/>
  <c r="JG100" i="88"/>
  <c r="HK90" i="88"/>
  <c r="JH67" i="88"/>
  <c r="JH64" i="88"/>
  <c r="HK55" i="88"/>
  <c r="JH47" i="88"/>
  <c r="JY39" i="88"/>
  <c r="KZ39" i="88" s="1"/>
  <c r="DB287" i="88"/>
  <c r="CZ287" i="88"/>
  <c r="CX276" i="88"/>
  <c r="JH85" i="88"/>
  <c r="HK68" i="88"/>
  <c r="HK87" i="88"/>
  <c r="JH58" i="88"/>
  <c r="JH63" i="88"/>
  <c r="HK31" i="88"/>
  <c r="JF18" i="88"/>
  <c r="KW17" i="88"/>
  <c r="CZ288" i="88"/>
  <c r="CW288" i="88"/>
  <c r="CX287" i="88"/>
  <c r="JH87" i="88"/>
  <c r="JG101" i="88"/>
  <c r="JH92" i="88"/>
  <c r="HK89" i="88"/>
  <c r="JH84" i="88"/>
  <c r="HK93" i="88"/>
  <c r="JH69" i="88"/>
  <c r="HK63" i="88"/>
  <c r="JH51" i="88"/>
  <c r="HK57" i="88"/>
  <c r="HK27" i="88"/>
  <c r="HK56" i="88"/>
  <c r="GQ196" i="88"/>
  <c r="CY287" i="88"/>
  <c r="CY289" i="88" s="1"/>
  <c r="DA287" i="88"/>
  <c r="JG95" i="88"/>
  <c r="HK95" i="88"/>
  <c r="HK65" i="88"/>
  <c r="HK33" i="88"/>
  <c r="JH45" i="88"/>
  <c r="JH48" i="88"/>
  <c r="HK51" i="88"/>
  <c r="HK49" i="88"/>
  <c r="HK44" i="88"/>
  <c r="HK35" i="88"/>
  <c r="CB39" i="88"/>
  <c r="CB60" i="88" s="1"/>
  <c r="JJ13" i="88"/>
  <c r="JJ44" i="88"/>
  <c r="JJ49" i="88"/>
  <c r="JJ54" i="88"/>
  <c r="JJ51" i="88"/>
  <c r="JJ84" i="88"/>
  <c r="JJ24" i="88"/>
  <c r="JJ37" i="88"/>
  <c r="JJ28" i="88"/>
  <c r="JJ50" i="88"/>
  <c r="JJ69" i="88"/>
  <c r="JJ95" i="88"/>
  <c r="JJ46" i="88"/>
  <c r="JJ68" i="88"/>
  <c r="JJ93" i="88"/>
  <c r="JJ43" i="88"/>
  <c r="JJ56" i="88"/>
  <c r="JJ17" i="88"/>
  <c r="JJ27" i="88"/>
  <c r="JJ45" i="88"/>
  <c r="JJ81" i="88"/>
  <c r="JJ83" i="88"/>
  <c r="JJ23" i="88"/>
  <c r="JJ53" i="88"/>
  <c r="JJ58" i="88"/>
  <c r="JJ36" i="88"/>
  <c r="JJ22" i="88"/>
  <c r="JJ25" i="88"/>
  <c r="JJ48" i="88"/>
  <c r="JJ89" i="88"/>
  <c r="JJ87" i="88"/>
  <c r="JJ78" i="88"/>
  <c r="JJ91" i="88"/>
  <c r="JJ32" i="88"/>
  <c r="JJ57" i="88"/>
  <c r="JJ90" i="88"/>
  <c r="JJ100" i="88"/>
  <c r="BU130" i="88"/>
  <c r="BU129" i="88" s="1"/>
  <c r="BU216" i="88"/>
  <c r="CA130" i="88"/>
  <c r="CA129" i="88" s="1"/>
  <c r="CA158" i="88" s="1"/>
  <c r="FQ194" i="88"/>
  <c r="FQ210" i="88" s="1"/>
  <c r="CY268" i="88"/>
  <c r="CY269" i="88"/>
  <c r="CZ291" i="88"/>
  <c r="CZ278" i="88"/>
  <c r="CZ292" i="88"/>
  <c r="CZ293" i="88"/>
  <c r="FP212" i="88"/>
  <c r="FP158" i="88"/>
  <c r="FS210" i="88"/>
  <c r="DJ129" i="88"/>
  <c r="DJ158" i="88" s="1"/>
  <c r="JG91" i="88"/>
  <c r="JD95" i="88"/>
  <c r="CJ226" i="88"/>
  <c r="GW51" i="88"/>
  <c r="GY34" i="88"/>
  <c r="KS30" i="88"/>
  <c r="KS14" i="88"/>
  <c r="KS27" i="88"/>
  <c r="JA17" i="88"/>
  <c r="BO182" i="88"/>
  <c r="DL212" i="88"/>
  <c r="FK129" i="88"/>
  <c r="FK158" i="88" s="1"/>
  <c r="IC31" i="88"/>
  <c r="IG31" i="88" s="1"/>
  <c r="IA31" i="88"/>
  <c r="JB48" i="88"/>
  <c r="JG65" i="88"/>
  <c r="JH53" i="88"/>
  <c r="JH46" i="88"/>
  <c r="JH24" i="88"/>
  <c r="HL12" i="88"/>
  <c r="HK18" i="88"/>
  <c r="KS29" i="88"/>
  <c r="FL182" i="88"/>
  <c r="ID182" i="88" s="1"/>
  <c r="IH182" i="88" s="1"/>
  <c r="FO194" i="88"/>
  <c r="FO210" i="88" s="1"/>
  <c r="HH171" i="88"/>
  <c r="CH131" i="88"/>
  <c r="CI216" i="88" s="1"/>
  <c r="BS131" i="88"/>
  <c r="BS130" i="88" s="1"/>
  <c r="BS129" i="88" s="1"/>
  <c r="CI226" i="88"/>
  <c r="JC201" i="88"/>
  <c r="GB210" i="88"/>
  <c r="GN89" i="88"/>
  <c r="JG82" i="88"/>
  <c r="JG89" i="88"/>
  <c r="JG77" i="88"/>
  <c r="GM67" i="88"/>
  <c r="HI67" i="88" s="1"/>
  <c r="JH44" i="88"/>
  <c r="JH33" i="88"/>
  <c r="JH19" i="88"/>
  <c r="KS35" i="88"/>
  <c r="KS48" i="88"/>
  <c r="FK194" i="88"/>
  <c r="FK210" i="88" s="1"/>
  <c r="FG194" i="88"/>
  <c r="FG210" i="88" s="1"/>
  <c r="BU194" i="88"/>
  <c r="DN212" i="88"/>
  <c r="JG68" i="88"/>
  <c r="JD53" i="88"/>
  <c r="KS44" i="88"/>
  <c r="KS50" i="88"/>
  <c r="FB40" i="88"/>
  <c r="FW158" i="88"/>
  <c r="CD80" i="88"/>
  <c r="CI39" i="88"/>
  <c r="BV182" i="88"/>
  <c r="BV194" i="88" s="1"/>
  <c r="CJ131" i="88"/>
  <c r="CJ130" i="88" s="1"/>
  <c r="GW85" i="88"/>
  <c r="JG67" i="88"/>
  <c r="JG24" i="88"/>
  <c r="KS24" i="88"/>
  <c r="FZ40" i="88"/>
  <c r="FO158" i="88"/>
  <c r="GA210" i="88"/>
  <c r="GY85" i="88"/>
  <c r="GK64" i="88"/>
  <c r="GT64" i="88" s="1"/>
  <c r="JG66" i="88"/>
  <c r="JH30" i="88"/>
  <c r="FU39" i="88"/>
  <c r="HK42" i="88"/>
  <c r="JH13" i="88"/>
  <c r="KS31" i="88"/>
  <c r="BW182" i="88"/>
  <c r="JG58" i="88"/>
  <c r="JH29" i="88"/>
  <c r="KS33" i="88"/>
  <c r="KS45" i="88"/>
  <c r="KS32" i="88"/>
  <c r="CB160" i="88"/>
  <c r="DT212" i="88"/>
  <c r="FS129" i="88"/>
  <c r="FS158" i="88" s="1"/>
  <c r="BW131" i="88"/>
  <c r="BW130" i="88" s="1"/>
  <c r="DP194" i="88"/>
  <c r="DP210" i="88" s="1"/>
  <c r="CK293" i="88"/>
  <c r="CM291" i="88"/>
  <c r="CO293" i="88"/>
  <c r="CJ292" i="88"/>
  <c r="CN293" i="88"/>
  <c r="CN278" i="88"/>
  <c r="CK291" i="88"/>
  <c r="CJ291" i="88"/>
  <c r="CN291" i="88"/>
  <c r="CL293" i="88"/>
  <c r="CK292" i="88"/>
  <c r="CK278" i="88"/>
  <c r="CJ278" i="88"/>
  <c r="CO292" i="88"/>
  <c r="CJ293" i="88"/>
  <c r="CM293" i="88"/>
  <c r="CD39" i="88"/>
  <c r="JU39" i="88" s="1"/>
  <c r="KX39" i="88" s="1"/>
  <c r="CO291" i="88"/>
  <c r="CO278" i="88"/>
  <c r="CL278" i="88"/>
  <c r="CL292" i="88"/>
  <c r="CM292" i="88"/>
  <c r="CN292" i="88"/>
  <c r="JU21" i="88"/>
  <c r="KG21" i="88" s="1"/>
  <c r="CL291" i="88"/>
  <c r="CM278" i="88"/>
  <c r="JW77" i="88"/>
  <c r="JW80" i="88"/>
  <c r="CR292" i="88"/>
  <c r="CR291" i="88"/>
  <c r="CR293" i="88"/>
  <c r="CR278" i="88"/>
  <c r="BW39" i="88"/>
  <c r="BW40" i="88" s="1"/>
  <c r="CH291" i="88"/>
  <c r="CH292" i="88"/>
  <c r="CH278" i="88"/>
  <c r="CG293" i="88"/>
  <c r="CG291" i="88"/>
  <c r="CG292" i="88"/>
  <c r="CG278" i="88"/>
  <c r="CH293" i="88"/>
  <c r="FX194" i="88"/>
  <c r="FX210" i="88" s="1"/>
  <c r="JX210" i="88" s="1"/>
  <c r="JX160" i="88"/>
  <c r="JX268" i="88" s="1"/>
  <c r="BZ130" i="88"/>
  <c r="BZ129" i="88" s="1"/>
  <c r="CA216" i="88"/>
  <c r="CI130" i="88"/>
  <c r="CI129" i="88" s="1"/>
  <c r="CI158" i="88" s="1"/>
  <c r="CY278" i="88"/>
  <c r="CW293" i="88"/>
  <c r="CY291" i="88"/>
  <c r="CX293" i="88"/>
  <c r="CX292" i="88"/>
  <c r="CN39" i="88"/>
  <c r="CN40" i="88" s="1"/>
  <c r="CX291" i="88"/>
  <c r="CW292" i="88"/>
  <c r="CX278" i="88"/>
  <c r="CY292" i="88"/>
  <c r="CY293" i="88"/>
  <c r="CW291" i="88"/>
  <c r="CW278" i="88"/>
  <c r="CS130" i="88"/>
  <c r="CS129" i="88" s="1"/>
  <c r="CS217" i="88" s="1"/>
  <c r="CP292" i="88"/>
  <c r="CF39" i="88"/>
  <c r="CF60" i="88" s="1"/>
  <c r="CP291" i="88"/>
  <c r="CP278" i="88"/>
  <c r="CQ292" i="88"/>
  <c r="CQ293" i="88"/>
  <c r="CQ291" i="88"/>
  <c r="CQ278" i="88"/>
  <c r="CV60" i="88"/>
  <c r="CV215" i="88" s="1"/>
  <c r="DB292" i="88"/>
  <c r="DB278" i="88"/>
  <c r="DB293" i="88"/>
  <c r="DA292" i="88"/>
  <c r="DA291" i="88"/>
  <c r="DA278" i="88"/>
  <c r="DA293" i="88"/>
  <c r="FV194" i="88"/>
  <c r="FV210" i="88" s="1"/>
  <c r="FV212" i="88"/>
  <c r="FH158" i="88"/>
  <c r="FH212" i="88"/>
  <c r="CI292" i="88"/>
  <c r="CI293" i="88"/>
  <c r="CI278" i="88"/>
  <c r="CI291" i="88"/>
  <c r="CT291" i="88"/>
  <c r="CS293" i="88"/>
  <c r="CT278" i="88"/>
  <c r="CU278" i="88"/>
  <c r="CU291" i="88"/>
  <c r="CV278" i="88"/>
  <c r="CT293" i="88"/>
  <c r="CS292" i="88"/>
  <c r="CS291" i="88"/>
  <c r="CV291" i="88"/>
  <c r="CU293" i="88"/>
  <c r="CS278" i="88"/>
  <c r="CT292" i="88"/>
  <c r="CU292" i="88"/>
  <c r="CV292" i="88"/>
  <c r="CZ268" i="88"/>
  <c r="CZ269" i="88"/>
  <c r="CC216" i="88"/>
  <c r="CC130" i="88"/>
  <c r="CC129" i="88" s="1"/>
  <c r="CC291" i="88"/>
  <c r="CB291" i="88"/>
  <c r="CB292" i="88"/>
  <c r="CF293" i="88"/>
  <c r="CF278" i="88"/>
  <c r="BY291" i="88"/>
  <c r="CC293" i="88"/>
  <c r="CC278" i="88"/>
  <c r="CB278" i="88"/>
  <c r="BY278" i="88"/>
  <c r="BY292" i="88"/>
  <c r="CD293" i="88"/>
  <c r="CC292" i="88"/>
  <c r="CA291" i="88"/>
  <c r="CA292" i="88"/>
  <c r="CA293" i="88"/>
  <c r="CB293" i="88"/>
  <c r="CE293" i="88"/>
  <c r="CA278" i="88"/>
  <c r="CD291" i="88"/>
  <c r="CD278" i="88"/>
  <c r="CD292" i="88"/>
  <c r="CD294" i="88" s="1"/>
  <c r="CE278" i="88"/>
  <c r="CE292" i="88"/>
  <c r="BZ293" i="88"/>
  <c r="CF292" i="88"/>
  <c r="BZ291" i="88"/>
  <c r="CE291" i="88"/>
  <c r="BY293" i="88"/>
  <c r="BZ278" i="88"/>
  <c r="BZ292" i="88"/>
  <c r="CF291" i="88"/>
  <c r="DK210" i="88"/>
  <c r="DT39" i="88"/>
  <c r="DT40" i="88" s="1"/>
  <c r="BX39" i="88"/>
  <c r="BX60" i="88" s="1"/>
  <c r="GD212" i="88"/>
  <c r="HC116" i="88"/>
  <c r="JA19" i="88"/>
  <c r="IS19" i="88"/>
  <c r="HI110" i="88"/>
  <c r="KN13" i="88"/>
  <c r="KS57" i="88"/>
  <c r="GU138" i="88"/>
  <c r="HE138" i="88"/>
  <c r="FR116" i="88"/>
  <c r="GN117" i="88"/>
  <c r="GW117" i="88" s="1"/>
  <c r="HB117" i="88"/>
  <c r="GR117" i="88"/>
  <c r="BT39" i="88"/>
  <c r="IR84" i="88"/>
  <c r="CL226" i="88"/>
  <c r="IP77" i="88"/>
  <c r="IB64" i="88"/>
  <c r="HE35" i="88"/>
  <c r="HE45" i="88"/>
  <c r="CL131" i="88"/>
  <c r="CQ226" i="88"/>
  <c r="IU200" i="88"/>
  <c r="HE201" i="88"/>
  <c r="GG212" i="88"/>
  <c r="IU115" i="88"/>
  <c r="GM64" i="88"/>
  <c r="K248" i="3" s="1"/>
  <c r="JG56" i="88"/>
  <c r="IT46" i="88"/>
  <c r="JB55" i="88"/>
  <c r="HA42" i="88"/>
  <c r="GX35" i="88"/>
  <c r="JH34" i="88"/>
  <c r="JH18" i="88"/>
  <c r="HY14" i="88"/>
  <c r="IR14" i="88" s="1"/>
  <c r="JH16" i="88"/>
  <c r="FR182" i="88"/>
  <c r="GN182" i="88" s="1"/>
  <c r="ID133" i="88"/>
  <c r="IH133" i="88" s="1"/>
  <c r="IK133" i="88" s="1"/>
  <c r="FL131" i="88"/>
  <c r="GV137" i="88"/>
  <c r="GK133" i="88"/>
  <c r="BX131" i="88"/>
  <c r="FT212" i="88"/>
  <c r="JB113" i="88"/>
  <c r="FW212" i="88"/>
  <c r="GK67" i="88"/>
  <c r="GT67" i="88" s="1"/>
  <c r="JB51" i="88"/>
  <c r="GW34" i="88"/>
  <c r="BR39" i="88"/>
  <c r="BR60" i="88" s="1"/>
  <c r="KE17" i="88"/>
  <c r="IQ196" i="88"/>
  <c r="HF191" i="88"/>
  <c r="HG184" i="88"/>
  <c r="HH184" i="88"/>
  <c r="BV131" i="88"/>
  <c r="CP80" i="88"/>
  <c r="DB291" i="88"/>
  <c r="CV293" i="88"/>
  <c r="CD160" i="88"/>
  <c r="FO212" i="88"/>
  <c r="IU94" i="88"/>
  <c r="IB67" i="88"/>
  <c r="IV67" i="88" s="1"/>
  <c r="JG63" i="88"/>
  <c r="IU52" i="88"/>
  <c r="IJ43" i="88"/>
  <c r="JH28" i="88"/>
  <c r="CG39" i="88"/>
  <c r="KS63" i="88"/>
  <c r="KS47" i="88"/>
  <c r="CV182" i="88"/>
  <c r="GM182" i="88" s="1"/>
  <c r="DJ194" i="88"/>
  <c r="DJ210" i="88" s="1"/>
  <c r="CP116" i="88"/>
  <c r="DN274" i="88" s="1"/>
  <c r="IB117" i="88"/>
  <c r="JC117" i="88" s="1"/>
  <c r="FG212" i="88"/>
  <c r="CM226" i="88"/>
  <c r="CB226" i="88"/>
  <c r="HE70" i="88"/>
  <c r="JG35" i="88"/>
  <c r="HI34" i="88"/>
  <c r="FM39" i="88"/>
  <c r="FM60" i="88" s="1"/>
  <c r="ID21" i="88"/>
  <c r="IH21" i="88" s="1"/>
  <c r="IN21" i="88" s="1"/>
  <c r="BU39" i="88"/>
  <c r="JJ18" i="88"/>
  <c r="KS16" i="88"/>
  <c r="KS42" i="88"/>
  <c r="IT169" i="88"/>
  <c r="JB169" i="88"/>
  <c r="GS116" i="88"/>
  <c r="CC80" i="88"/>
  <c r="CC77" i="88" s="1"/>
  <c r="CC226" i="88" s="1"/>
  <c r="DS210" i="88"/>
  <c r="DL210" i="88"/>
  <c r="CQ224" i="88"/>
  <c r="HE150" i="88"/>
  <c r="CS226" i="88"/>
  <c r="BP226" i="88"/>
  <c r="IE11" i="88"/>
  <c r="JM36" i="88" s="1"/>
  <c r="CM160" i="88"/>
  <c r="CM269" i="88" s="1"/>
  <c r="GT46" i="88"/>
  <c r="HD46" i="88"/>
  <c r="BU80" i="88"/>
  <c r="BU77" i="88" s="1"/>
  <c r="BU226" i="88" s="1"/>
  <c r="FJ61" i="88"/>
  <c r="CL60" i="88"/>
  <c r="CL40" i="88"/>
  <c r="DQ158" i="88"/>
  <c r="DQ212" i="88"/>
  <c r="BN60" i="88"/>
  <c r="BN40" i="88"/>
  <c r="DU60" i="88"/>
  <c r="DU40" i="88"/>
  <c r="CM40" i="88"/>
  <c r="CM60" i="88"/>
  <c r="KG161" i="88"/>
  <c r="KO161" i="88"/>
  <c r="IS67" i="88"/>
  <c r="JA67" i="88"/>
  <c r="JS40" i="88"/>
  <c r="KV39" i="88"/>
  <c r="KD39" i="88"/>
  <c r="KL39" i="88"/>
  <c r="AX98" i="88"/>
  <c r="AX103" i="88"/>
  <c r="AX104" i="88" s="1"/>
  <c r="AX101" i="88"/>
  <c r="HZ42" i="88"/>
  <c r="GK42" i="88"/>
  <c r="CC60" i="88"/>
  <c r="CC40" i="88"/>
  <c r="CA60" i="88"/>
  <c r="CA40" i="88"/>
  <c r="KY21" i="88"/>
  <c r="BP39" i="88"/>
  <c r="KM185" i="88"/>
  <c r="KE185" i="88"/>
  <c r="GY67" i="88"/>
  <c r="KN42" i="88"/>
  <c r="KF42" i="88"/>
  <c r="KX42" i="88"/>
  <c r="JQ75" i="88"/>
  <c r="KT74" i="88"/>
  <c r="GR42" i="88"/>
  <c r="HB42" i="88"/>
  <c r="KZ80" i="88"/>
  <c r="KX63" i="88"/>
  <c r="KF63" i="88"/>
  <c r="KN63" i="88"/>
  <c r="GD74" i="88"/>
  <c r="GD61" i="88"/>
  <c r="KW84" i="88"/>
  <c r="KE84" i="88"/>
  <c r="KM84" i="88"/>
  <c r="IY21" i="88"/>
  <c r="IQ21" i="88"/>
  <c r="IZ21" i="88"/>
  <c r="IR21" i="88"/>
  <c r="IK201" i="88"/>
  <c r="IJ201" i="88"/>
  <c r="IR182" i="88"/>
  <c r="IZ182" i="88"/>
  <c r="IY182" i="88"/>
  <c r="IQ182" i="88"/>
  <c r="AN210" i="88"/>
  <c r="GH210" i="88" s="1"/>
  <c r="GH194" i="88"/>
  <c r="JD197" i="88"/>
  <c r="IG197" i="88"/>
  <c r="IV197" i="88"/>
  <c r="V210" i="88"/>
  <c r="HV194" i="88"/>
  <c r="IK186" i="88"/>
  <c r="IJ186" i="88"/>
  <c r="IC182" i="88"/>
  <c r="CP293" i="88"/>
  <c r="IB171" i="88"/>
  <c r="IU162" i="88"/>
  <c r="JC162" i="88"/>
  <c r="HV270" i="88"/>
  <c r="CV224" i="88"/>
  <c r="CV160" i="88"/>
  <c r="GM161" i="88"/>
  <c r="K169" i="1" s="1"/>
  <c r="HD164" i="88"/>
  <c r="GT164" i="88"/>
  <c r="L212" i="88"/>
  <c r="IU141" i="88"/>
  <c r="JC141" i="88"/>
  <c r="AD212" i="88"/>
  <c r="BR131" i="88"/>
  <c r="HZ133" i="88"/>
  <c r="AS212" i="88"/>
  <c r="BA212" i="88"/>
  <c r="AY212" i="88"/>
  <c r="IB137" i="88"/>
  <c r="CP131" i="88"/>
  <c r="JC134" i="88"/>
  <c r="JD134" i="88"/>
  <c r="IU134" i="88"/>
  <c r="AP212" i="88"/>
  <c r="BF212" i="88"/>
  <c r="HY158" i="88"/>
  <c r="IK125" i="88"/>
  <c r="IJ125" i="88"/>
  <c r="AN212" i="88"/>
  <c r="GH158" i="88"/>
  <c r="AM212" i="88"/>
  <c r="AZ158" i="88"/>
  <c r="GI129" i="88"/>
  <c r="IJ123" i="88"/>
  <c r="IK123" i="88"/>
  <c r="DT274" i="88"/>
  <c r="GM116" i="88"/>
  <c r="CV109" i="88"/>
  <c r="HE110" i="88"/>
  <c r="GU110" i="88"/>
  <c r="CI268" i="88"/>
  <c r="CI269" i="88"/>
  <c r="IA91" i="88"/>
  <c r="GL91" i="88"/>
  <c r="HH93" i="88"/>
  <c r="GY93" i="88"/>
  <c r="GX93" i="88"/>
  <c r="HI93" i="88"/>
  <c r="HH95" i="88"/>
  <c r="GY95" i="88"/>
  <c r="GX95" i="88"/>
  <c r="HI95" i="88"/>
  <c r="IQ91" i="88"/>
  <c r="IY91" i="88"/>
  <c r="IZ91" i="88"/>
  <c r="IE84" i="88"/>
  <c r="IY80" i="88"/>
  <c r="IU92" i="88"/>
  <c r="JC92" i="88"/>
  <c r="GU90" i="88"/>
  <c r="HE90" i="88"/>
  <c r="BY89" i="88"/>
  <c r="HD85" i="88"/>
  <c r="GT85" i="88"/>
  <c r="JC79" i="88"/>
  <c r="IU79" i="88"/>
  <c r="JA95" i="88"/>
  <c r="IS95" i="88"/>
  <c r="JD87" i="88"/>
  <c r="IV87" i="88"/>
  <c r="GW69" i="88"/>
  <c r="HG69" i="88"/>
  <c r="HH83" i="88"/>
  <c r="GY83" i="88"/>
  <c r="HI83" i="88"/>
  <c r="GX83" i="88"/>
  <c r="JB86" i="88"/>
  <c r="HF69" i="88"/>
  <c r="GV69" i="88"/>
  <c r="IV79" i="88"/>
  <c r="AP77" i="88"/>
  <c r="GI80" i="88"/>
  <c r="HF78" i="88"/>
  <c r="GV78" i="88"/>
  <c r="DO77" i="88"/>
  <c r="JY77" i="88" s="1"/>
  <c r="GW56" i="88"/>
  <c r="HG56" i="88"/>
  <c r="IS49" i="88"/>
  <c r="JA49" i="88"/>
  <c r="HH65" i="88"/>
  <c r="GX65" i="88"/>
  <c r="HI65" i="88"/>
  <c r="GY65" i="88"/>
  <c r="GT30" i="88"/>
  <c r="HD30" i="88"/>
  <c r="GU50" i="88"/>
  <c r="HE50" i="88"/>
  <c r="IF46" i="88"/>
  <c r="IG46" i="88"/>
  <c r="JC46" i="88"/>
  <c r="IU46" i="88"/>
  <c r="GX27" i="88"/>
  <c r="GY27" i="88"/>
  <c r="HI27" i="88"/>
  <c r="HH27" i="88"/>
  <c r="GT50" i="88"/>
  <c r="HD50" i="88"/>
  <c r="GL42" i="88"/>
  <c r="IA42" i="88"/>
  <c r="JD32" i="88"/>
  <c r="IV32" i="88"/>
  <c r="GV33" i="88"/>
  <c r="HF33" i="88"/>
  <c r="GU18" i="88"/>
  <c r="HE18" i="88"/>
  <c r="GX43" i="88"/>
  <c r="HI43" i="88"/>
  <c r="GY43" i="88"/>
  <c r="HH43" i="88"/>
  <c r="HD43" i="88"/>
  <c r="GT43" i="88"/>
  <c r="GV44" i="88"/>
  <c r="HF44" i="88"/>
  <c r="IU32" i="88"/>
  <c r="JC32" i="88"/>
  <c r="GV29" i="88"/>
  <c r="HF29" i="88"/>
  <c r="GS42" i="88"/>
  <c r="HC42" i="88"/>
  <c r="IG32" i="88"/>
  <c r="IF32" i="88"/>
  <c r="HG44" i="88"/>
  <c r="AL74" i="88"/>
  <c r="AL61" i="88"/>
  <c r="GU26" i="88"/>
  <c r="HE26" i="88"/>
  <c r="IU18" i="88"/>
  <c r="JC18" i="88"/>
  <c r="FG40" i="88"/>
  <c r="FG60" i="88"/>
  <c r="BO60" i="88"/>
  <c r="BO40" i="88"/>
  <c r="BB61" i="88"/>
  <c r="BB74" i="88"/>
  <c r="KU25" i="88"/>
  <c r="KC25" i="88"/>
  <c r="KK25" i="88"/>
  <c r="GV26" i="88"/>
  <c r="FH74" i="88"/>
  <c r="FH61" i="88"/>
  <c r="AY98" i="88"/>
  <c r="AY103" i="88"/>
  <c r="AY104" i="88" s="1"/>
  <c r="AY101" i="88"/>
  <c r="GM21" i="88"/>
  <c r="IB21" i="88"/>
  <c r="GT19" i="88"/>
  <c r="HD19" i="88"/>
  <c r="KE12" i="88"/>
  <c r="KW12" i="88"/>
  <c r="KM12" i="88"/>
  <c r="ES60" i="88"/>
  <c r="ES40" i="88"/>
  <c r="W60" i="88"/>
  <c r="W40" i="88"/>
  <c r="G60" i="88"/>
  <c r="G40" i="88"/>
  <c r="FD215" i="88"/>
  <c r="FD222" i="88" s="1"/>
  <c r="FD227" i="88" s="1"/>
  <c r="FD230" i="88" s="1"/>
  <c r="FD232" i="88" s="1"/>
  <c r="FD74" i="88"/>
  <c r="FD61" i="88"/>
  <c r="AV74" i="88"/>
  <c r="AV97" i="88" s="1"/>
  <c r="AV61" i="88"/>
  <c r="KJ15" i="88"/>
  <c r="KB15" i="88"/>
  <c r="KT15" i="88"/>
  <c r="KZ13" i="88"/>
  <c r="KP13" i="88"/>
  <c r="KH13" i="88"/>
  <c r="FC215" i="88"/>
  <c r="FC222" i="88" s="1"/>
  <c r="FC227" i="88" s="1"/>
  <c r="FC230" i="88" s="1"/>
  <c r="FC232" i="88" s="1"/>
  <c r="FC74" i="88"/>
  <c r="FC61" i="88"/>
  <c r="IE21" i="88"/>
  <c r="GW28" i="88"/>
  <c r="IS24" i="88"/>
  <c r="JA24" i="88"/>
  <c r="IU19" i="88"/>
  <c r="JC19" i="88"/>
  <c r="GU16" i="88"/>
  <c r="HE16" i="88"/>
  <c r="JJ15" i="88"/>
  <c r="IZ15" i="88"/>
  <c r="IR15" i="88"/>
  <c r="FA60" i="88"/>
  <c r="FA40" i="88"/>
  <c r="FY40" i="88"/>
  <c r="EP215" i="88"/>
  <c r="EP222" i="88" s="1"/>
  <c r="EP227" i="88" s="1"/>
  <c r="EP230" i="88" s="1"/>
  <c r="EP232" i="88" s="1"/>
  <c r="EP61" i="88"/>
  <c r="EP74" i="88"/>
  <c r="T60" i="88"/>
  <c r="T40" i="88"/>
  <c r="KO42" i="88"/>
  <c r="KG42" i="88"/>
  <c r="KY42" i="88"/>
  <c r="KH18" i="88"/>
  <c r="KP18" i="88"/>
  <c r="KZ18" i="88"/>
  <c r="KY14" i="88"/>
  <c r="KG14" i="88"/>
  <c r="KO14" i="88"/>
  <c r="KJ25" i="88"/>
  <c r="KB25" i="88"/>
  <c r="KT25" i="88"/>
  <c r="KV46" i="88"/>
  <c r="KD46" i="88"/>
  <c r="KL46" i="88"/>
  <c r="KX32" i="88"/>
  <c r="KF32" i="88"/>
  <c r="KN32" i="88"/>
  <c r="JR40" i="88"/>
  <c r="KK39" i="88"/>
  <c r="KU39" i="88"/>
  <c r="KC39" i="88"/>
  <c r="KZ47" i="88"/>
  <c r="KH47" i="88"/>
  <c r="KP47" i="88"/>
  <c r="KC16" i="88"/>
  <c r="KK16" i="88"/>
  <c r="KU16" i="88"/>
  <c r="KE11" i="88"/>
  <c r="KM11" i="88"/>
  <c r="KW11" i="88"/>
  <c r="KU17" i="88"/>
  <c r="KC17" i="88"/>
  <c r="KK17" i="88"/>
  <c r="KB26" i="88"/>
  <c r="KJ26" i="88"/>
  <c r="KV35" i="88"/>
  <c r="KD35" i="88"/>
  <c r="KL35" i="88"/>
  <c r="KX48" i="88"/>
  <c r="KF48" i="88"/>
  <c r="KN48" i="88"/>
  <c r="KF23" i="88"/>
  <c r="KX23" i="88"/>
  <c r="KN23" i="88"/>
  <c r="KK46" i="88"/>
  <c r="KU46" i="88"/>
  <c r="KC46" i="88"/>
  <c r="KX31" i="88"/>
  <c r="KF31" i="88"/>
  <c r="KN31" i="88"/>
  <c r="KY46" i="88"/>
  <c r="KG46" i="88"/>
  <c r="KO46" i="88"/>
  <c r="KK35" i="88"/>
  <c r="KC35" i="88"/>
  <c r="KU35" i="88"/>
  <c r="KJ44" i="88"/>
  <c r="KT44" i="88"/>
  <c r="KB44" i="88"/>
  <c r="KY50" i="88"/>
  <c r="KG50" i="88"/>
  <c r="KO50" i="88"/>
  <c r="KT60" i="88"/>
  <c r="JQ61" i="88"/>
  <c r="KM22" i="88"/>
  <c r="KE22" i="88"/>
  <c r="KW22" i="88"/>
  <c r="KL28" i="88"/>
  <c r="KV28" i="88"/>
  <c r="KD28" i="88"/>
  <c r="KJ34" i="88"/>
  <c r="KB34" i="88"/>
  <c r="KT34" i="88"/>
  <c r="KO48" i="88"/>
  <c r="KY48" i="88"/>
  <c r="KG48" i="88"/>
  <c r="KZ51" i="88"/>
  <c r="KP51" i="88"/>
  <c r="KH51" i="88"/>
  <c r="KJ33" i="88"/>
  <c r="KT33" i="88"/>
  <c r="KB33" i="88"/>
  <c r="KW46" i="88"/>
  <c r="KE46" i="88"/>
  <c r="KM46" i="88"/>
  <c r="KC52" i="88"/>
  <c r="KU52" i="88"/>
  <c r="KK52" i="88"/>
  <c r="KK45" i="88"/>
  <c r="KU45" i="88"/>
  <c r="KC45" i="88"/>
  <c r="KD52" i="88"/>
  <c r="KV52" i="88"/>
  <c r="KL52" i="88"/>
  <c r="KY69" i="88"/>
  <c r="KO69" i="88"/>
  <c r="KG69" i="88"/>
  <c r="KN52" i="88"/>
  <c r="KX52" i="88"/>
  <c r="KF52" i="88"/>
  <c r="KS58" i="88"/>
  <c r="KX68" i="88"/>
  <c r="KN68" i="88"/>
  <c r="KF68" i="88"/>
  <c r="KB63" i="88"/>
  <c r="KT63" i="88"/>
  <c r="KJ63" i="88"/>
  <c r="KP57" i="88"/>
  <c r="KZ57" i="88"/>
  <c r="KH57" i="88"/>
  <c r="KS80" i="88"/>
  <c r="KW64" i="88"/>
  <c r="KE64" i="88"/>
  <c r="KM64" i="88"/>
  <c r="KN79" i="88"/>
  <c r="KX79" i="88"/>
  <c r="KF79" i="88"/>
  <c r="KC66" i="88"/>
  <c r="KK66" i="88"/>
  <c r="KU66" i="88"/>
  <c r="KC71" i="88"/>
  <c r="KK71" i="88"/>
  <c r="KW81" i="88"/>
  <c r="KM81" i="88"/>
  <c r="KE81" i="88"/>
  <c r="KS67" i="88"/>
  <c r="KG83" i="88"/>
  <c r="KO83" i="88"/>
  <c r="KY83" i="88"/>
  <c r="KU86" i="88"/>
  <c r="KK86" i="88"/>
  <c r="KC86" i="88"/>
  <c r="KY86" i="88"/>
  <c r="KO86" i="88"/>
  <c r="KG86" i="88"/>
  <c r="KN83" i="88"/>
  <c r="KX83" i="88"/>
  <c r="KF83" i="88"/>
  <c r="KP95" i="88"/>
  <c r="KZ95" i="88"/>
  <c r="KH95" i="88"/>
  <c r="KE89" i="88"/>
  <c r="KM89" i="88"/>
  <c r="KW89" i="88"/>
  <c r="KJ79" i="88"/>
  <c r="KT79" i="88"/>
  <c r="KB79" i="88"/>
  <c r="KU91" i="88"/>
  <c r="KC91" i="88"/>
  <c r="KK91" i="88"/>
  <c r="JS268" i="88"/>
  <c r="JS269" i="88"/>
  <c r="KD109" i="88"/>
  <c r="KL109" i="88"/>
  <c r="KD86" i="88"/>
  <c r="KL86" i="88"/>
  <c r="KV86" i="88"/>
  <c r="KD110" i="88"/>
  <c r="KL110" i="88"/>
  <c r="KH110" i="88"/>
  <c r="KP110" i="88"/>
  <c r="KE116" i="88"/>
  <c r="KM116" i="88"/>
  <c r="JS274" i="88"/>
  <c r="KD113" i="88"/>
  <c r="KL113" i="88"/>
  <c r="KN112" i="88"/>
  <c r="KF112" i="88"/>
  <c r="KK118" i="88"/>
  <c r="KC118" i="88"/>
  <c r="KN115" i="88"/>
  <c r="KF115" i="88"/>
  <c r="KO119" i="88"/>
  <c r="KG119" i="88"/>
  <c r="KH122" i="88"/>
  <c r="KP122" i="88"/>
  <c r="KJ129" i="88"/>
  <c r="KB129" i="88"/>
  <c r="KP123" i="88"/>
  <c r="KH123" i="88"/>
  <c r="KK129" i="88"/>
  <c r="KC129" i="88"/>
  <c r="KD121" i="88"/>
  <c r="KL121" i="88"/>
  <c r="KP128" i="88"/>
  <c r="KH128" i="88"/>
  <c r="KE120" i="88"/>
  <c r="KM120" i="88"/>
  <c r="KN119" i="88"/>
  <c r="KF119" i="88"/>
  <c r="KD127" i="88"/>
  <c r="KL127" i="88"/>
  <c r="KF135" i="88"/>
  <c r="KN135" i="88"/>
  <c r="KE127" i="88"/>
  <c r="KM127" i="88"/>
  <c r="KF125" i="88"/>
  <c r="KN125" i="88"/>
  <c r="KC134" i="88"/>
  <c r="KK134" i="88"/>
  <c r="KF138" i="88"/>
  <c r="KN138" i="88"/>
  <c r="KG138" i="88"/>
  <c r="KO138" i="88"/>
  <c r="KJ126" i="88"/>
  <c r="KB126" i="88"/>
  <c r="KH138" i="88"/>
  <c r="KP138" i="88"/>
  <c r="KL155" i="88"/>
  <c r="KD155" i="88"/>
  <c r="JV141" i="88"/>
  <c r="KF147" i="88"/>
  <c r="KN147" i="88"/>
  <c r="KN148" i="88"/>
  <c r="KF148" i="88"/>
  <c r="KD162" i="88"/>
  <c r="KL162" i="88"/>
  <c r="KD150" i="88"/>
  <c r="KL150" i="88"/>
  <c r="KD146" i="88"/>
  <c r="KL146" i="88"/>
  <c r="KE154" i="88"/>
  <c r="KM154" i="88"/>
  <c r="KK145" i="88"/>
  <c r="KC145" i="88"/>
  <c r="KO153" i="88"/>
  <c r="KG153" i="88"/>
  <c r="KD163" i="88"/>
  <c r="KL163" i="88"/>
  <c r="KG164" i="88"/>
  <c r="KO164" i="88"/>
  <c r="KB163" i="88"/>
  <c r="KJ163" i="88"/>
  <c r="KK162" i="88"/>
  <c r="KC162" i="88"/>
  <c r="KM163" i="88"/>
  <c r="KE163" i="88"/>
  <c r="KC170" i="88"/>
  <c r="KK170" i="88"/>
  <c r="KE167" i="88"/>
  <c r="KM167" i="88"/>
  <c r="KN167" i="88"/>
  <c r="KF167" i="88"/>
  <c r="KE176" i="88"/>
  <c r="KM176" i="88"/>
  <c r="KJ168" i="88"/>
  <c r="KB168" i="88"/>
  <c r="KD173" i="88"/>
  <c r="KL173" i="88"/>
  <c r="KC182" i="88"/>
  <c r="KK182" i="88"/>
  <c r="KB177" i="88"/>
  <c r="KJ177" i="88"/>
  <c r="KL168" i="88"/>
  <c r="KD168" i="88"/>
  <c r="JW175" i="88"/>
  <c r="KD185" i="88"/>
  <c r="KL185" i="88"/>
  <c r="KB176" i="88"/>
  <c r="KJ176" i="88"/>
  <c r="KN168" i="88"/>
  <c r="KC179" i="88"/>
  <c r="KK179" i="88"/>
  <c r="KF187" i="88"/>
  <c r="KN187" i="88"/>
  <c r="KG187" i="88"/>
  <c r="KO187" i="88"/>
  <c r="KC197" i="88"/>
  <c r="KK197" i="88"/>
  <c r="KK192" i="88"/>
  <c r="KC192" i="88"/>
  <c r="KG184" i="88"/>
  <c r="KO184" i="88"/>
  <c r="KC189" i="88"/>
  <c r="KK189" i="88"/>
  <c r="KH180" i="88"/>
  <c r="KP180" i="88"/>
  <c r="KC186" i="88"/>
  <c r="KK186" i="88"/>
  <c r="KD186" i="88"/>
  <c r="KL186" i="88"/>
  <c r="KC198" i="88"/>
  <c r="KK198" i="88"/>
  <c r="KC207" i="88"/>
  <c r="KK207" i="88"/>
  <c r="KH198" i="88"/>
  <c r="KP198" i="88"/>
  <c r="KB205" i="88"/>
  <c r="KJ205" i="88"/>
  <c r="KK205" i="88"/>
  <c r="KC205" i="88"/>
  <c r="KD198" i="88"/>
  <c r="KL198" i="88"/>
  <c r="KG203" i="88"/>
  <c r="KO203" i="88"/>
  <c r="KO198" i="88"/>
  <c r="KG198" i="88"/>
  <c r="KD207" i="88"/>
  <c r="KL207" i="88"/>
  <c r="KF207" i="88"/>
  <c r="KN207" i="88"/>
  <c r="KE208" i="88"/>
  <c r="KM208" i="88"/>
  <c r="GY33" i="88"/>
  <c r="IF16" i="88"/>
  <c r="IG16" i="88"/>
  <c r="AC60" i="88"/>
  <c r="GH39" i="88"/>
  <c r="AC40" i="88"/>
  <c r="HW39" i="88"/>
  <c r="X60" i="88"/>
  <c r="X40" i="88"/>
  <c r="EQ215" i="88"/>
  <c r="EQ222" i="88" s="1"/>
  <c r="EQ227" i="88" s="1"/>
  <c r="EQ230" i="88" s="1"/>
  <c r="EQ232" i="88" s="1"/>
  <c r="EQ61" i="88"/>
  <c r="EQ74" i="88"/>
  <c r="JG14" i="88"/>
  <c r="BJ61" i="88"/>
  <c r="BJ74" i="88"/>
  <c r="KU23" i="88"/>
  <c r="HF201" i="88"/>
  <c r="GV201" i="88"/>
  <c r="IK205" i="88"/>
  <c r="IJ205" i="88"/>
  <c r="IJ192" i="88"/>
  <c r="IK192" i="88"/>
  <c r="IK199" i="88"/>
  <c r="IJ199" i="88"/>
  <c r="BF210" i="88"/>
  <c r="HY194" i="88"/>
  <c r="HG200" i="88"/>
  <c r="GW200" i="88"/>
  <c r="IS189" i="88"/>
  <c r="JA189" i="88"/>
  <c r="IJ191" i="88"/>
  <c r="IK191" i="88"/>
  <c r="IE175" i="88"/>
  <c r="JA171" i="88"/>
  <c r="IS171" i="88"/>
  <c r="CB294" i="88"/>
  <c r="CH224" i="88"/>
  <c r="CH160" i="88"/>
  <c r="CN224" i="88"/>
  <c r="CN160" i="88"/>
  <c r="HF164" i="88"/>
  <c r="GY164" i="88"/>
  <c r="GV164" i="88"/>
  <c r="HI164" i="88"/>
  <c r="GW164" i="88"/>
  <c r="HG164" i="88"/>
  <c r="IJ155" i="88"/>
  <c r="IK155" i="88"/>
  <c r="IV141" i="88"/>
  <c r="JD141" i="88"/>
  <c r="IG141" i="88"/>
  <c r="IS141" i="88"/>
  <c r="JA141" i="88"/>
  <c r="V212" i="88"/>
  <c r="HV158" i="88"/>
  <c r="AK212" i="88"/>
  <c r="AQ212" i="88"/>
  <c r="IU138" i="88"/>
  <c r="JC138" i="88"/>
  <c r="AH212" i="88"/>
  <c r="HW158" i="88"/>
  <c r="AW212" i="88"/>
  <c r="AF212" i="88"/>
  <c r="IK126" i="88"/>
  <c r="IJ126" i="88"/>
  <c r="AE212" i="88"/>
  <c r="GR130" i="88"/>
  <c r="HC130" i="88"/>
  <c r="GS130" i="88"/>
  <c r="HB130" i="88"/>
  <c r="HD114" i="88"/>
  <c r="GT114" i="88"/>
  <c r="IT110" i="88"/>
  <c r="JB110" i="88"/>
  <c r="IU110" i="88"/>
  <c r="IT116" i="88"/>
  <c r="JB116" i="88"/>
  <c r="GU113" i="88"/>
  <c r="HE113" i="88"/>
  <c r="IS114" i="88"/>
  <c r="JA114" i="88"/>
  <c r="IT114" i="88"/>
  <c r="HZ109" i="88"/>
  <c r="DS268" i="88"/>
  <c r="DS269" i="88"/>
  <c r="CU268" i="88"/>
  <c r="CU269" i="88"/>
  <c r="IK95" i="88"/>
  <c r="IJ95" i="88"/>
  <c r="JD100" i="88"/>
  <c r="IV100" i="88"/>
  <c r="GU95" i="88"/>
  <c r="HE95" i="88"/>
  <c r="CW268" i="88"/>
  <c r="CW269" i="88"/>
  <c r="IV93" i="88"/>
  <c r="JD93" i="88"/>
  <c r="DO89" i="88"/>
  <c r="IE91" i="88"/>
  <c r="L102" i="3"/>
  <c r="IK85" i="88"/>
  <c r="IJ85" i="88"/>
  <c r="JD92" i="88"/>
  <c r="HE86" i="88"/>
  <c r="GU86" i="88"/>
  <c r="GW86" i="88"/>
  <c r="HG86" i="88"/>
  <c r="JD86" i="88"/>
  <c r="IV86" i="88"/>
  <c r="JJ80" i="88"/>
  <c r="IR80" i="88"/>
  <c r="IZ80" i="88"/>
  <c r="HZ91" i="88"/>
  <c r="GK91" i="88"/>
  <c r="IK90" i="88"/>
  <c r="IJ90" i="88"/>
  <c r="IT90" i="88"/>
  <c r="JB90" i="88"/>
  <c r="IS85" i="88"/>
  <c r="JA85" i="88"/>
  <c r="HD79" i="88"/>
  <c r="GT79" i="88"/>
  <c r="IS100" i="88"/>
  <c r="JA100" i="88"/>
  <c r="GT95" i="88"/>
  <c r="HD95" i="88"/>
  <c r="IJ87" i="88"/>
  <c r="IK87" i="88"/>
  <c r="HG87" i="88"/>
  <c r="GW87" i="88"/>
  <c r="IT78" i="88"/>
  <c r="JB78" i="88"/>
  <c r="HD90" i="88"/>
  <c r="GT90" i="88"/>
  <c r="IJ69" i="88"/>
  <c r="IK69" i="88"/>
  <c r="HE69" i="88"/>
  <c r="GU69" i="88"/>
  <c r="BV226" i="88"/>
  <c r="IT68" i="88"/>
  <c r="JB68" i="88"/>
  <c r="GW82" i="88"/>
  <c r="HG78" i="88"/>
  <c r="IV56" i="88"/>
  <c r="JD56" i="88"/>
  <c r="IC63" i="88"/>
  <c r="IG63" i="88" s="1"/>
  <c r="IS58" i="88"/>
  <c r="JA58" i="88"/>
  <c r="IV65" i="88"/>
  <c r="JD65" i="88"/>
  <c r="IK78" i="88"/>
  <c r="JG69" i="88"/>
  <c r="DP63" i="88"/>
  <c r="IY64" i="88"/>
  <c r="IQ64" i="88"/>
  <c r="IZ64" i="88"/>
  <c r="JA55" i="88"/>
  <c r="IS55" i="88"/>
  <c r="HH49" i="88"/>
  <c r="HI49" i="88"/>
  <c r="GY49" i="88"/>
  <c r="GX49" i="88"/>
  <c r="HG54" i="88"/>
  <c r="GW54" i="88"/>
  <c r="IU54" i="88"/>
  <c r="JC54" i="88"/>
  <c r="GW49" i="88"/>
  <c r="HG49" i="88"/>
  <c r="IZ47" i="88"/>
  <c r="JJ47" i="88"/>
  <c r="IR47" i="88"/>
  <c r="HF35" i="88"/>
  <c r="GV35" i="88"/>
  <c r="JG36" i="88"/>
  <c r="IT16" i="88"/>
  <c r="JB16" i="88"/>
  <c r="IU45" i="88"/>
  <c r="JC45" i="88"/>
  <c r="HI46" i="88"/>
  <c r="HH46" i="88"/>
  <c r="GY46" i="88"/>
  <c r="GX46" i="88"/>
  <c r="IE42" i="88"/>
  <c r="GW35" i="88"/>
  <c r="HG35" i="88"/>
  <c r="JA43" i="88"/>
  <c r="IS43" i="88"/>
  <c r="IU44" i="88"/>
  <c r="JC44" i="88"/>
  <c r="HD32" i="88"/>
  <c r="GT32" i="88"/>
  <c r="HG25" i="88"/>
  <c r="GW25" i="88"/>
  <c r="AH97" i="88"/>
  <c r="AH75" i="88"/>
  <c r="JJ42" i="88"/>
  <c r="HI35" i="88"/>
  <c r="GU49" i="88"/>
  <c r="HE44" i="88"/>
  <c r="GU44" i="88"/>
  <c r="GU28" i="88"/>
  <c r="IK45" i="88"/>
  <c r="IJ45" i="88"/>
  <c r="IT12" i="88"/>
  <c r="JB12" i="88"/>
  <c r="GW29" i="88"/>
  <c r="GW16" i="88"/>
  <c r="HG16" i="88"/>
  <c r="BQ39" i="88"/>
  <c r="JC26" i="88"/>
  <c r="IU26" i="88"/>
  <c r="KU21" i="88"/>
  <c r="KC21" i="88"/>
  <c r="KK21" i="88"/>
  <c r="IS18" i="88"/>
  <c r="JA18" i="88"/>
  <c r="GS15" i="88"/>
  <c r="HC15" i="88"/>
  <c r="ID11" i="88"/>
  <c r="IH11" i="88" s="1"/>
  <c r="IN23" i="88" s="1"/>
  <c r="KV101" i="88"/>
  <c r="KD11" i="88"/>
  <c r="KV11" i="88"/>
  <c r="KL11" i="88"/>
  <c r="AR103" i="88"/>
  <c r="AR104" i="88" s="1"/>
  <c r="AR101" i="88"/>
  <c r="AR98" i="88"/>
  <c r="AP39" i="88"/>
  <c r="AP60" i="88" s="1"/>
  <c r="HG33" i="88"/>
  <c r="GU25" i="88"/>
  <c r="HE25" i="88"/>
  <c r="GV17" i="88"/>
  <c r="HF17" i="88"/>
  <c r="KZ15" i="88"/>
  <c r="KH15" i="88"/>
  <c r="KP15" i="88"/>
  <c r="FE215" i="88"/>
  <c r="FE222" i="88" s="1"/>
  <c r="FE227" i="88" s="1"/>
  <c r="FE230" i="88" s="1"/>
  <c r="FE232" i="88" s="1"/>
  <c r="FE61" i="88"/>
  <c r="FE74" i="88"/>
  <c r="KU22" i="88"/>
  <c r="KC22" i="88"/>
  <c r="KK22" i="88"/>
  <c r="JJ94" i="88"/>
  <c r="JJ67" i="88"/>
  <c r="JJ92" i="88"/>
  <c r="JJ82" i="88"/>
  <c r="JJ79" i="88"/>
  <c r="JJ66" i="88"/>
  <c r="JJ65" i="88"/>
  <c r="JJ85" i="88"/>
  <c r="JJ86" i="88"/>
  <c r="JJ55" i="88"/>
  <c r="JJ63" i="88"/>
  <c r="JJ64" i="88"/>
  <c r="JJ33" i="88"/>
  <c r="JJ11" i="88"/>
  <c r="JJ52" i="88"/>
  <c r="JJ16" i="88"/>
  <c r="JJ35" i="88"/>
  <c r="JJ29" i="88"/>
  <c r="JJ26" i="88"/>
  <c r="JJ12" i="88"/>
  <c r="JJ34" i="88"/>
  <c r="JJ30" i="88"/>
  <c r="EK60" i="88"/>
  <c r="EK40" i="88"/>
  <c r="IK29" i="88"/>
  <c r="IJ29" i="88"/>
  <c r="JH23" i="88"/>
  <c r="KW19" i="88"/>
  <c r="KM19" i="88"/>
  <c r="KE19" i="88"/>
  <c r="HH22" i="88"/>
  <c r="GY22" i="88"/>
  <c r="HI22" i="88"/>
  <c r="GX22" i="88"/>
  <c r="HD24" i="88"/>
  <c r="GT24" i="88"/>
  <c r="GV19" i="88"/>
  <c r="HF19" i="88"/>
  <c r="BC39" i="88"/>
  <c r="GJ11" i="88"/>
  <c r="KZ101" i="88"/>
  <c r="KZ11" i="88"/>
  <c r="KH11" i="88"/>
  <c r="KP11" i="88"/>
  <c r="HK94" i="88"/>
  <c r="HK83" i="88"/>
  <c r="HK67" i="88"/>
  <c r="HK92" i="88"/>
  <c r="HK82" i="88"/>
  <c r="HK80" i="88"/>
  <c r="HK66" i="88"/>
  <c r="HK64" i="88"/>
  <c r="HK85" i="88"/>
  <c r="HK58" i="88"/>
  <c r="HK43" i="88"/>
  <c r="HK25" i="88"/>
  <c r="HK47" i="88"/>
  <c r="HK36" i="88"/>
  <c r="HK54" i="88"/>
  <c r="HK52" i="88"/>
  <c r="HK34" i="88"/>
  <c r="HK11" i="88"/>
  <c r="HK16" i="88"/>
  <c r="HK15" i="88"/>
  <c r="HK24" i="88"/>
  <c r="HK17" i="88"/>
  <c r="KU27" i="88"/>
  <c r="KC27" i="88"/>
  <c r="KK27" i="88"/>
  <c r="KF34" i="88"/>
  <c r="KX34" i="88"/>
  <c r="KN34" i="88"/>
  <c r="KY30" i="88"/>
  <c r="KG30" i="88"/>
  <c r="KO30" i="88"/>
  <c r="KU31" i="88"/>
  <c r="KC31" i="88"/>
  <c r="KK31" i="88"/>
  <c r="KY15" i="88"/>
  <c r="KO15" i="88"/>
  <c r="KG15" i="88"/>
  <c r="KG26" i="88"/>
  <c r="KO26" i="88"/>
  <c r="KY16" i="88"/>
  <c r="KO16" i="88"/>
  <c r="KG16" i="88"/>
  <c r="KV47" i="88"/>
  <c r="KD47" i="88"/>
  <c r="KL47" i="88"/>
  <c r="KP35" i="88"/>
  <c r="KH35" i="88"/>
  <c r="KZ35" i="88"/>
  <c r="JT21" i="88"/>
  <c r="KF21" i="88" s="1"/>
  <c r="KV48" i="88"/>
  <c r="KD48" i="88"/>
  <c r="KL48" i="88"/>
  <c r="KB17" i="88"/>
  <c r="KJ17" i="88"/>
  <c r="KT17" i="88"/>
  <c r="KC18" i="88"/>
  <c r="KU18" i="88"/>
  <c r="KK18" i="88"/>
  <c r="KZ24" i="88"/>
  <c r="KH24" i="88"/>
  <c r="KP24" i="88"/>
  <c r="KU33" i="88"/>
  <c r="KC33" i="88"/>
  <c r="KK33" i="88"/>
  <c r="KV45" i="88"/>
  <c r="KD45" i="88"/>
  <c r="KL45" i="88"/>
  <c r="KT47" i="88"/>
  <c r="KB47" i="88"/>
  <c r="KJ47" i="88"/>
  <c r="KN47" i="88"/>
  <c r="KF47" i="88"/>
  <c r="KX47" i="88"/>
  <c r="KL36" i="88"/>
  <c r="KV36" i="88"/>
  <c r="KD36" i="88"/>
  <c r="KP44" i="88"/>
  <c r="KZ44" i="88"/>
  <c r="KH44" i="88"/>
  <c r="KY51" i="88"/>
  <c r="KO51" i="88"/>
  <c r="KG51" i="88"/>
  <c r="KT64" i="88"/>
  <c r="KJ64" i="88"/>
  <c r="KB64" i="88"/>
  <c r="KS101" i="88"/>
  <c r="KS11" i="88"/>
  <c r="KB11" i="88"/>
  <c r="KO29" i="88"/>
  <c r="KG29" i="88"/>
  <c r="KY29" i="88"/>
  <c r="KP34" i="88"/>
  <c r="KH34" i="88"/>
  <c r="KZ34" i="88"/>
  <c r="KS43" i="88"/>
  <c r="KS49" i="88"/>
  <c r="KS52" i="88"/>
  <c r="KP55" i="88"/>
  <c r="KZ55" i="88"/>
  <c r="KH55" i="88"/>
  <c r="KL27" i="88"/>
  <c r="KD27" i="88"/>
  <c r="KV27" i="88"/>
  <c r="KP33" i="88"/>
  <c r="KH33" i="88"/>
  <c r="KZ33" i="88"/>
  <c r="KC53" i="88"/>
  <c r="KU53" i="88"/>
  <c r="KK53" i="88"/>
  <c r="KN46" i="88"/>
  <c r="KX46" i="88"/>
  <c r="KF46" i="88"/>
  <c r="KD53" i="88"/>
  <c r="KV53" i="88"/>
  <c r="KL53" i="88"/>
  <c r="KW57" i="88"/>
  <c r="KE57" i="88"/>
  <c r="KM57" i="88"/>
  <c r="KH71" i="88"/>
  <c r="KP71" i="88"/>
  <c r="KS53" i="88"/>
  <c r="KK64" i="88"/>
  <c r="KU64" i="88"/>
  <c r="KC64" i="88"/>
  <c r="KW78" i="88"/>
  <c r="KE78" i="88"/>
  <c r="KM78" i="88"/>
  <c r="KW58" i="88"/>
  <c r="KE58" i="88"/>
  <c r="KM58" i="88"/>
  <c r="KC81" i="88"/>
  <c r="KK81" i="88"/>
  <c r="KU81" i="88"/>
  <c r="KP66" i="88"/>
  <c r="KZ66" i="88"/>
  <c r="KH66" i="88"/>
  <c r="KV80" i="88"/>
  <c r="KL80" i="88"/>
  <c r="KC82" i="88"/>
  <c r="KU82" i="88"/>
  <c r="KK82" i="88"/>
  <c r="KZ67" i="88"/>
  <c r="KB84" i="88"/>
  <c r="KJ84" i="88"/>
  <c r="KT84" i="88"/>
  <c r="KV87" i="88"/>
  <c r="KL87" i="88"/>
  <c r="KD87" i="88"/>
  <c r="KW92" i="88"/>
  <c r="KM92" i="88"/>
  <c r="KE92" i="88"/>
  <c r="KX87" i="88"/>
  <c r="KF87" i="88"/>
  <c r="KN87" i="88"/>
  <c r="KM66" i="88"/>
  <c r="KE66" i="88"/>
  <c r="KW66" i="88"/>
  <c r="KD82" i="88"/>
  <c r="KV82" i="88"/>
  <c r="KL82" i="88"/>
  <c r="KX78" i="88"/>
  <c r="KN78" i="88"/>
  <c r="KF78" i="88"/>
  <c r="KU83" i="88"/>
  <c r="KC83" i="88"/>
  <c r="KK83" i="88"/>
  <c r="KE90" i="88"/>
  <c r="KW90" i="88"/>
  <c r="KM90" i="88"/>
  <c r="KZ79" i="88"/>
  <c r="KH79" i="88"/>
  <c r="KP79" i="88"/>
  <c r="KV92" i="88"/>
  <c r="KL92" i="88"/>
  <c r="KD92" i="88"/>
  <c r="KG111" i="88"/>
  <c r="KO111" i="88"/>
  <c r="KE87" i="88"/>
  <c r="KM87" i="88"/>
  <c r="KW87" i="88"/>
  <c r="KH93" i="88"/>
  <c r="KZ93" i="88"/>
  <c r="KP93" i="88"/>
  <c r="KZ100" i="88"/>
  <c r="KH100" i="88"/>
  <c r="KP100" i="88"/>
  <c r="JO268" i="88"/>
  <c r="JO269" i="88"/>
  <c r="KL90" i="88"/>
  <c r="KD90" i="88"/>
  <c r="KV90" i="88"/>
  <c r="KB111" i="88"/>
  <c r="KJ111" i="88"/>
  <c r="KC119" i="88"/>
  <c r="KK119" i="88"/>
  <c r="KP112" i="88"/>
  <c r="KH112" i="88"/>
  <c r="KB112" i="88"/>
  <c r="KJ112" i="88"/>
  <c r="KD114" i="88"/>
  <c r="KL114" i="88"/>
  <c r="KM113" i="88"/>
  <c r="KE113" i="88"/>
  <c r="KL116" i="88"/>
  <c r="KD116" i="88"/>
  <c r="KJ119" i="88"/>
  <c r="KB119" i="88"/>
  <c r="KD124" i="88"/>
  <c r="KL124" i="88"/>
  <c r="KD122" i="88"/>
  <c r="KL122" i="88"/>
  <c r="KD129" i="88"/>
  <c r="KL129" i="88"/>
  <c r="KE121" i="88"/>
  <c r="KM121" i="88"/>
  <c r="KN120" i="88"/>
  <c r="KF120" i="88"/>
  <c r="KO121" i="88"/>
  <c r="KG121" i="88"/>
  <c r="KG126" i="88"/>
  <c r="KO126" i="88"/>
  <c r="KH136" i="88"/>
  <c r="KP136" i="88"/>
  <c r="KB139" i="88"/>
  <c r="KJ139" i="88"/>
  <c r="KC139" i="88"/>
  <c r="KK139" i="88"/>
  <c r="KO148" i="88"/>
  <c r="KG148" i="88"/>
  <c r="KP126" i="88"/>
  <c r="KH126" i="88"/>
  <c r="KE132" i="88"/>
  <c r="KM132" i="88"/>
  <c r="KD137" i="88"/>
  <c r="KL137" i="88"/>
  <c r="KC156" i="88"/>
  <c r="KK156" i="88"/>
  <c r="KM135" i="88"/>
  <c r="KE135" i="88"/>
  <c r="KF139" i="88"/>
  <c r="KN139" i="88"/>
  <c r="KB150" i="88"/>
  <c r="KJ150" i="88"/>
  <c r="KB142" i="88"/>
  <c r="KJ142" i="88"/>
  <c r="KF162" i="88"/>
  <c r="KN162" i="88"/>
  <c r="KD136" i="88"/>
  <c r="KL136" i="88"/>
  <c r="KC142" i="88"/>
  <c r="KK142" i="88"/>
  <c r="KM134" i="88"/>
  <c r="KE134" i="88"/>
  <c r="KB146" i="88"/>
  <c r="KJ146" i="88"/>
  <c r="KE148" i="88"/>
  <c r="KM148" i="88"/>
  <c r="KF163" i="88"/>
  <c r="KN163" i="88"/>
  <c r="KN149" i="88"/>
  <c r="KF149" i="88"/>
  <c r="KH164" i="88"/>
  <c r="KP164" i="88"/>
  <c r="KD151" i="88"/>
  <c r="KL151" i="88"/>
  <c r="KE151" i="88"/>
  <c r="KM151" i="88"/>
  <c r="JR271" i="88"/>
  <c r="JR270" i="88"/>
  <c r="KK161" i="88"/>
  <c r="KC161" i="88"/>
  <c r="KD147" i="88"/>
  <c r="KL147" i="88"/>
  <c r="KM146" i="88"/>
  <c r="KE146" i="88"/>
  <c r="KN154" i="88"/>
  <c r="KF154" i="88"/>
  <c r="KF165" i="88"/>
  <c r="KN165" i="88"/>
  <c r="KP163" i="88"/>
  <c r="KH163" i="88"/>
  <c r="KK163" i="88"/>
  <c r="KC163" i="88"/>
  <c r="KC164" i="88"/>
  <c r="KK164" i="88"/>
  <c r="KC175" i="88"/>
  <c r="KK175" i="88"/>
  <c r="KN164" i="88"/>
  <c r="KF164" i="88"/>
  <c r="KB172" i="88"/>
  <c r="KJ172" i="88"/>
  <c r="KG177" i="88"/>
  <c r="KO177" i="88"/>
  <c r="KC171" i="88"/>
  <c r="KK171" i="88"/>
  <c r="KB178" i="88"/>
  <c r="KJ178" i="88"/>
  <c r="KP168" i="88"/>
  <c r="KD174" i="88"/>
  <c r="KL174" i="88"/>
  <c r="KH177" i="88"/>
  <c r="KP177" i="88"/>
  <c r="KL169" i="88"/>
  <c r="KD169" i="88"/>
  <c r="KE170" i="88"/>
  <c r="KM170" i="88"/>
  <c r="KH176" i="88"/>
  <c r="KP176" i="88"/>
  <c r="KN169" i="88"/>
  <c r="KF169" i="88"/>
  <c r="KL179" i="88"/>
  <c r="KD179" i="88"/>
  <c r="KG180" i="88"/>
  <c r="KO180" i="88"/>
  <c r="KM191" i="88"/>
  <c r="KE191" i="88"/>
  <c r="KB185" i="88"/>
  <c r="KJ185" i="88"/>
  <c r="KB190" i="88"/>
  <c r="KJ190" i="88"/>
  <c r="KC187" i="88"/>
  <c r="KK187" i="88"/>
  <c r="KD187" i="88"/>
  <c r="KL187" i="88"/>
  <c r="KL180" i="88"/>
  <c r="KD180" i="88"/>
  <c r="KM186" i="88"/>
  <c r="KE186" i="88"/>
  <c r="KB201" i="88"/>
  <c r="KJ201" i="88"/>
  <c r="KC200" i="88"/>
  <c r="KK200" i="88"/>
  <c r="KN192" i="88"/>
  <c r="KF192" i="88"/>
  <c r="KJ199" i="88"/>
  <c r="KB199" i="88"/>
  <c r="KJ191" i="88"/>
  <c r="KB191" i="88"/>
  <c r="KD199" i="88"/>
  <c r="KL199" i="88"/>
  <c r="KE204" i="88"/>
  <c r="KM204" i="88"/>
  <c r="KF197" i="88"/>
  <c r="KN197" i="88"/>
  <c r="KO199" i="88"/>
  <c r="KG199" i="88"/>
  <c r="KN208" i="88"/>
  <c r="KF208" i="88"/>
  <c r="KL208" i="88"/>
  <c r="KD208" i="88"/>
  <c r="BM14" i="88"/>
  <c r="GK15" i="88"/>
  <c r="HZ15" i="88"/>
  <c r="IG15" i="88"/>
  <c r="IK27" i="88"/>
  <c r="IJ27" i="88"/>
  <c r="CT39" i="88"/>
  <c r="KX11" i="88"/>
  <c r="KF11" i="88"/>
  <c r="KN11" i="88"/>
  <c r="HL21" i="88"/>
  <c r="HA21" i="88"/>
  <c r="GQ21" i="88"/>
  <c r="CS60" i="88"/>
  <c r="CS40" i="88"/>
  <c r="CF40" i="88"/>
  <c r="GV24" i="88"/>
  <c r="A307" i="88"/>
  <c r="IK200" i="88"/>
  <c r="IJ200" i="88"/>
  <c r="HD201" i="88"/>
  <c r="GT201" i="88"/>
  <c r="HI201" i="88"/>
  <c r="GX196" i="88"/>
  <c r="HH196" i="88"/>
  <c r="HF186" i="88"/>
  <c r="GV186" i="88"/>
  <c r="HB185" i="88"/>
  <c r="GR185" i="88"/>
  <c r="HC185" i="88"/>
  <c r="BN194" i="88"/>
  <c r="GL175" i="88"/>
  <c r="CJ160" i="88"/>
  <c r="GU165" i="88"/>
  <c r="HE165" i="88"/>
  <c r="BY294" i="88"/>
  <c r="HG168" i="88"/>
  <c r="IT175" i="88"/>
  <c r="JB175" i="88"/>
  <c r="HF162" i="88"/>
  <c r="GV162" i="88"/>
  <c r="BZ224" i="88"/>
  <c r="BZ160" i="88"/>
  <c r="BZ268" i="88" s="1"/>
  <c r="CO224" i="88"/>
  <c r="CF224" i="88"/>
  <c r="CF160" i="88"/>
  <c r="GR160" i="88"/>
  <c r="HB160" i="88"/>
  <c r="JB171" i="88"/>
  <c r="IJ154" i="88"/>
  <c r="IK154" i="88"/>
  <c r="HE141" i="88"/>
  <c r="GU141" i="88"/>
  <c r="JC151" i="88"/>
  <c r="N212" i="88"/>
  <c r="AC212" i="88"/>
  <c r="AI212" i="88"/>
  <c r="IS137" i="88"/>
  <c r="JA137" i="88"/>
  <c r="IT137" i="88"/>
  <c r="Z212" i="88"/>
  <c r="AO212" i="88"/>
  <c r="X212" i="88"/>
  <c r="W212" i="88"/>
  <c r="FJ158" i="88"/>
  <c r="DB274" i="88"/>
  <c r="JB117" i="88"/>
  <c r="IT117" i="88"/>
  <c r="CX289" i="88"/>
  <c r="HC113" i="88"/>
  <c r="GS113" i="88"/>
  <c r="GV110" i="88"/>
  <c r="HF110" i="88"/>
  <c r="HG110" i="88"/>
  <c r="GW110" i="88"/>
  <c r="IK114" i="88"/>
  <c r="IJ114" i="88"/>
  <c r="GV94" i="88"/>
  <c r="HF94" i="88"/>
  <c r="GV86" i="88"/>
  <c r="HF86" i="88"/>
  <c r="GW100" i="88"/>
  <c r="HG100" i="88"/>
  <c r="IC91" i="88"/>
  <c r="IG91" i="88" s="1"/>
  <c r="JC90" i="88"/>
  <c r="IU90" i="88"/>
  <c r="GS84" i="88"/>
  <c r="HC84" i="88"/>
  <c r="HN84" i="88"/>
  <c r="GU100" i="88"/>
  <c r="HE100" i="88"/>
  <c r="JA92" i="88"/>
  <c r="IS92" i="88"/>
  <c r="HZ84" i="88"/>
  <c r="GK84" i="88"/>
  <c r="HE84" i="88" s="1"/>
  <c r="HF83" i="88"/>
  <c r="GV83" i="88"/>
  <c r="GT100" i="88"/>
  <c r="HD100" i="88"/>
  <c r="HE94" i="88"/>
  <c r="IN90" i="88"/>
  <c r="HH78" i="88"/>
  <c r="GY78" i="88"/>
  <c r="GX78" i="88"/>
  <c r="HI78" i="88"/>
  <c r="GV66" i="88"/>
  <c r="HF66" i="88"/>
  <c r="JJ77" i="88"/>
  <c r="HI69" i="88"/>
  <c r="GY69" i="88"/>
  <c r="HH69" i="88"/>
  <c r="GX69" i="88"/>
  <c r="GR64" i="88"/>
  <c r="HB64" i="88"/>
  <c r="BP63" i="88"/>
  <c r="HZ63" i="88" s="1"/>
  <c r="HF55" i="88"/>
  <c r="GV55" i="88"/>
  <c r="GT55" i="88"/>
  <c r="HD55" i="88"/>
  <c r="IF48" i="88"/>
  <c r="IG48" i="88"/>
  <c r="HH56" i="88"/>
  <c r="IV46" i="88"/>
  <c r="HF49" i="88"/>
  <c r="GV49" i="88"/>
  <c r="IF35" i="88"/>
  <c r="IG35" i="88"/>
  <c r="IG30" i="88"/>
  <c r="IF30" i="88"/>
  <c r="JG84" i="88"/>
  <c r="JG83" i="88"/>
  <c r="JG78" i="88"/>
  <c r="JG87" i="88"/>
  <c r="JG85" i="88"/>
  <c r="JG86" i="88"/>
  <c r="JG64" i="88"/>
  <c r="JG80" i="88"/>
  <c r="JG57" i="88"/>
  <c r="JG11" i="88"/>
  <c r="JG52" i="88"/>
  <c r="JG37" i="88"/>
  <c r="JG46" i="88"/>
  <c r="JG28" i="88"/>
  <c r="JG51" i="88"/>
  <c r="JG34" i="88"/>
  <c r="JG45" i="88"/>
  <c r="JG22" i="88"/>
  <c r="JG23" i="88"/>
  <c r="JG48" i="88"/>
  <c r="JG29" i="88"/>
  <c r="JG26" i="88"/>
  <c r="JG13" i="88"/>
  <c r="IV44" i="88"/>
  <c r="JD44" i="88"/>
  <c r="HE19" i="88"/>
  <c r="GU19" i="88"/>
  <c r="JG49" i="88"/>
  <c r="JC30" i="88"/>
  <c r="IU30" i="88"/>
  <c r="JA44" i="88"/>
  <c r="IS44" i="88"/>
  <c r="GK31" i="88"/>
  <c r="HZ31" i="88"/>
  <c r="GU51" i="88"/>
  <c r="HB31" i="88"/>
  <c r="GR31" i="88"/>
  <c r="IV25" i="88"/>
  <c r="JD25" i="88"/>
  <c r="HI23" i="88"/>
  <c r="GY23" i="88"/>
  <c r="GX23" i="88"/>
  <c r="HH23" i="88"/>
  <c r="IV17" i="88"/>
  <c r="JD17" i="88"/>
  <c r="HE30" i="88"/>
  <c r="GU30" i="88"/>
  <c r="IT49" i="88"/>
  <c r="JG30" i="88"/>
  <c r="JG43" i="88"/>
  <c r="JB29" i="88"/>
  <c r="IT29" i="88"/>
  <c r="FL40" i="88"/>
  <c r="CH39" i="88"/>
  <c r="AD74" i="88"/>
  <c r="AD61" i="88"/>
  <c r="HG29" i="88"/>
  <c r="HI16" i="88"/>
  <c r="GY16" i="88"/>
  <c r="HH16" i="88"/>
  <c r="GX16" i="88"/>
  <c r="DL60" i="88"/>
  <c r="DL40" i="88"/>
  <c r="EI215" i="88"/>
  <c r="EI222" i="88" s="1"/>
  <c r="EI227" i="88" s="1"/>
  <c r="EI230" i="88" s="1"/>
  <c r="EI232" i="88" s="1"/>
  <c r="EI74" i="88"/>
  <c r="EI61" i="88"/>
  <c r="IK31" i="88"/>
  <c r="IJ31" i="88"/>
  <c r="IU17" i="88"/>
  <c r="JC17" i="88"/>
  <c r="HA15" i="88"/>
  <c r="GQ15" i="88"/>
  <c r="HL15" i="88"/>
  <c r="HB15" i="88"/>
  <c r="BU60" i="88"/>
  <c r="BU40" i="88"/>
  <c r="EL215" i="88"/>
  <c r="EL222" i="88" s="1"/>
  <c r="EL227" i="88" s="1"/>
  <c r="EL230" i="88" s="1"/>
  <c r="EL232" i="88" s="1"/>
  <c r="EL74" i="88"/>
  <c r="EL61" i="88"/>
  <c r="AF74" i="88"/>
  <c r="AF61" i="88"/>
  <c r="KT24" i="88"/>
  <c r="KB24" i="88"/>
  <c r="KJ24" i="88"/>
  <c r="KW15" i="88"/>
  <c r="GN11" i="88"/>
  <c r="HR81" i="88" s="1"/>
  <c r="ER215" i="88"/>
  <c r="ER222" i="88" s="1"/>
  <c r="ER227" i="88" s="1"/>
  <c r="ER230" i="88" s="1"/>
  <c r="ER232" i="88" s="1"/>
  <c r="ER74" i="88"/>
  <c r="ER61" i="88"/>
  <c r="IT34" i="88"/>
  <c r="KV14" i="88"/>
  <c r="KD14" i="88"/>
  <c r="KL14" i="88"/>
  <c r="KD12" i="88"/>
  <c r="KV12" i="88"/>
  <c r="KL12" i="88"/>
  <c r="IV22" i="88"/>
  <c r="JD22" i="88"/>
  <c r="KY23" i="88"/>
  <c r="KG23" i="88"/>
  <c r="KO23" i="88"/>
  <c r="JG21" i="88"/>
  <c r="KC13" i="88"/>
  <c r="KK13" i="88"/>
  <c r="KU13" i="88"/>
  <c r="S60" i="88"/>
  <c r="S40" i="88"/>
  <c r="KY11" i="88"/>
  <c r="KO11" i="88"/>
  <c r="KG11" i="88"/>
  <c r="KX33" i="88"/>
  <c r="KF33" i="88"/>
  <c r="KN33" i="88"/>
  <c r="KB31" i="88"/>
  <c r="KT31" i="88"/>
  <c r="KJ31" i="88"/>
  <c r="KX16" i="88"/>
  <c r="KN16" i="88"/>
  <c r="KF16" i="88"/>
  <c r="KZ27" i="88"/>
  <c r="KH27" i="88"/>
  <c r="KP27" i="88"/>
  <c r="KY17" i="88"/>
  <c r="KO17" i="88"/>
  <c r="KG17" i="88"/>
  <c r="KW42" i="88"/>
  <c r="KE42" i="88"/>
  <c r="KM42" i="88"/>
  <c r="KU44" i="88"/>
  <c r="KC44" i="88"/>
  <c r="KK44" i="88"/>
  <c r="KV22" i="88"/>
  <c r="KD22" i="88"/>
  <c r="KL22" i="88"/>
  <c r="KY49" i="88"/>
  <c r="KO49" i="88"/>
  <c r="KG49" i="88"/>
  <c r="KB18" i="88"/>
  <c r="KJ18" i="88"/>
  <c r="KT18" i="88"/>
  <c r="KT35" i="88"/>
  <c r="KB35" i="88"/>
  <c r="KJ35" i="88"/>
  <c r="KP12" i="88"/>
  <c r="KZ12" i="88"/>
  <c r="KH12" i="88"/>
  <c r="KC19" i="88"/>
  <c r="KK19" i="88"/>
  <c r="KU19" i="88"/>
  <c r="KP37" i="88"/>
  <c r="KZ37" i="88"/>
  <c r="KH37" i="88"/>
  <c r="KD26" i="88"/>
  <c r="KL26" i="88"/>
  <c r="KV34" i="88"/>
  <c r="KD34" i="88"/>
  <c r="KL34" i="88"/>
  <c r="KT53" i="88"/>
  <c r="KJ53" i="88"/>
  <c r="KB53" i="88"/>
  <c r="KL25" i="88"/>
  <c r="KD25" i="88"/>
  <c r="KV25" i="88"/>
  <c r="KO31" i="88"/>
  <c r="KY31" i="88"/>
  <c r="KG31" i="88"/>
  <c r="KK37" i="88"/>
  <c r="KC37" i="88"/>
  <c r="KU37" i="88"/>
  <c r="KM45" i="88"/>
  <c r="KW45" i="88"/>
  <c r="KE45" i="88"/>
  <c r="KY52" i="88"/>
  <c r="KO52" i="88"/>
  <c r="KG52" i="88"/>
  <c r="KM55" i="88"/>
  <c r="KW55" i="88"/>
  <c r="KE55" i="88"/>
  <c r="KL17" i="88"/>
  <c r="KD17" i="88"/>
  <c r="KV17" i="88"/>
  <c r="KJ30" i="88"/>
  <c r="KB30" i="88"/>
  <c r="KT30" i="88"/>
  <c r="KM35" i="88"/>
  <c r="KW35" i="88"/>
  <c r="KE35" i="88"/>
  <c r="KZ49" i="88"/>
  <c r="KP49" i="88"/>
  <c r="KH49" i="88"/>
  <c r="KP54" i="88"/>
  <c r="KZ54" i="88"/>
  <c r="KH54" i="88"/>
  <c r="KH52" i="88"/>
  <c r="KZ52" i="88"/>
  <c r="KP52" i="88"/>
  <c r="KV57" i="88"/>
  <c r="KD57" i="88"/>
  <c r="KL57" i="88"/>
  <c r="KO28" i="88"/>
  <c r="KG28" i="88"/>
  <c r="KY28" i="88"/>
  <c r="KM34" i="88"/>
  <c r="KW34" i="88"/>
  <c r="KE34" i="88"/>
  <c r="KU54" i="88"/>
  <c r="KC54" i="88"/>
  <c r="KK54" i="88"/>
  <c r="KE54" i="88"/>
  <c r="KM54" i="88"/>
  <c r="KW54" i="88"/>
  <c r="KF71" i="88"/>
  <c r="KN71" i="88"/>
  <c r="KV77" i="88"/>
  <c r="KD77" i="88"/>
  <c r="KL77" i="88"/>
  <c r="KS78" i="88"/>
  <c r="KO65" i="88"/>
  <c r="KY65" i="88"/>
  <c r="KG65" i="88"/>
  <c r="KR60" i="88"/>
  <c r="JO61" i="88"/>
  <c r="KT69" i="88"/>
  <c r="KJ69" i="88"/>
  <c r="KB69" i="88"/>
  <c r="KN82" i="88"/>
  <c r="KX82" i="88"/>
  <c r="KF82" i="88"/>
  <c r="KD81" i="88"/>
  <c r="KV81" i="88"/>
  <c r="KL81" i="88"/>
  <c r="KS83" i="88"/>
  <c r="KS68" i="88"/>
  <c r="KB77" i="88"/>
  <c r="KJ77" i="88"/>
  <c r="KT77" i="88"/>
  <c r="JW89" i="88"/>
  <c r="KX91" i="88"/>
  <c r="KN91" i="88"/>
  <c r="KF91" i="88"/>
  <c r="KZ94" i="88"/>
  <c r="KH94" i="88"/>
  <c r="KP94" i="88"/>
  <c r="KY90" i="88"/>
  <c r="KO90" i="88"/>
  <c r="KG90" i="88"/>
  <c r="KS85" i="88"/>
  <c r="KS79" i="88"/>
  <c r="KY84" i="88"/>
  <c r="KG84" i="88"/>
  <c r="KO84" i="88"/>
  <c r="KB91" i="88"/>
  <c r="KT91" i="88"/>
  <c r="KJ91" i="88"/>
  <c r="KO85" i="88"/>
  <c r="KY85" i="88"/>
  <c r="KG85" i="88"/>
  <c r="KY93" i="88"/>
  <c r="KG93" i="88"/>
  <c r="KO93" i="88"/>
  <c r="KU95" i="88"/>
  <c r="KC95" i="88"/>
  <c r="KK95" i="88"/>
  <c r="KV94" i="88"/>
  <c r="KD94" i="88"/>
  <c r="KL94" i="88"/>
  <c r="KY94" i="88"/>
  <c r="KO94" i="88"/>
  <c r="KG94" i="88"/>
  <c r="KJ110" i="88"/>
  <c r="KB110" i="88"/>
  <c r="KE110" i="88"/>
  <c r="KM110" i="88"/>
  <c r="KD89" i="88"/>
  <c r="KV89" i="88"/>
  <c r="KL89" i="88"/>
  <c r="KO110" i="88"/>
  <c r="KG110" i="88"/>
  <c r="KL91" i="88"/>
  <c r="KV91" i="88"/>
  <c r="KD91" i="88"/>
  <c r="KC112" i="88"/>
  <c r="KK112" i="88"/>
  <c r="KN93" i="88"/>
  <c r="KF93" i="88"/>
  <c r="KX93" i="88"/>
  <c r="JP268" i="88"/>
  <c r="JP269" i="88"/>
  <c r="JP274" i="88"/>
  <c r="JR274" i="88"/>
  <c r="KC113" i="88"/>
  <c r="KK113" i="88"/>
  <c r="KD100" i="88"/>
  <c r="KL100" i="88"/>
  <c r="KV100" i="88"/>
  <c r="KF113" i="88"/>
  <c r="KN113" i="88"/>
  <c r="KC115" i="88"/>
  <c r="KK115" i="88"/>
  <c r="KM114" i="88"/>
  <c r="KE114" i="88"/>
  <c r="KC120" i="88"/>
  <c r="KK120" i="88"/>
  <c r="KK117" i="88"/>
  <c r="KC117" i="88"/>
  <c r="KH119" i="88"/>
  <c r="KP119" i="88"/>
  <c r="KB131" i="88"/>
  <c r="KJ131" i="88"/>
  <c r="KK131" i="88"/>
  <c r="KC131" i="88"/>
  <c r="KC123" i="88"/>
  <c r="KK123" i="88"/>
  <c r="KE122" i="88"/>
  <c r="KM122" i="88"/>
  <c r="KF121" i="88"/>
  <c r="KN121" i="88"/>
  <c r="KG122" i="88"/>
  <c r="KO122" i="88"/>
  <c r="KE125" i="88"/>
  <c r="KM125" i="88"/>
  <c r="KJ134" i="88"/>
  <c r="KB134" i="88"/>
  <c r="KG127" i="88"/>
  <c r="KO127" i="88"/>
  <c r="KN134" i="88"/>
  <c r="KF134" i="88"/>
  <c r="KH139" i="88"/>
  <c r="KP139" i="88"/>
  <c r="KG140" i="88"/>
  <c r="KO140" i="88"/>
  <c r="KO149" i="88"/>
  <c r="KG149" i="88"/>
  <c r="KP146" i="88"/>
  <c r="KH146" i="88"/>
  <c r="KB164" i="88"/>
  <c r="KJ164" i="88"/>
  <c r="KD141" i="88"/>
  <c r="KL141" i="88"/>
  <c r="KB140" i="88"/>
  <c r="KJ140" i="88"/>
  <c r="KG135" i="88"/>
  <c r="KO135" i="88"/>
  <c r="KN143" i="88"/>
  <c r="KF143" i="88"/>
  <c r="KM140" i="88"/>
  <c r="KE140" i="88"/>
  <c r="KH152" i="88"/>
  <c r="KP152" i="88"/>
  <c r="KE149" i="88"/>
  <c r="KM149" i="88"/>
  <c r="KM142" i="88"/>
  <c r="KE142" i="88"/>
  <c r="KC153" i="88"/>
  <c r="KK153" i="88"/>
  <c r="KB147" i="88"/>
  <c r="KJ147" i="88"/>
  <c r="KD152" i="88"/>
  <c r="KL152" i="88"/>
  <c r="KC146" i="88"/>
  <c r="KK146" i="88"/>
  <c r="KE152" i="88"/>
  <c r="KM152" i="88"/>
  <c r="KB143" i="88"/>
  <c r="KJ143" i="88"/>
  <c r="KC148" i="88"/>
  <c r="KK148" i="88"/>
  <c r="KM147" i="88"/>
  <c r="KE147" i="88"/>
  <c r="JP270" i="88"/>
  <c r="JP271" i="88"/>
  <c r="KK166" i="88"/>
  <c r="KC166" i="88"/>
  <c r="KB165" i="88"/>
  <c r="KJ165" i="88"/>
  <c r="KD164" i="88"/>
  <c r="KL164" i="88"/>
  <c r="KG162" i="88"/>
  <c r="KO162" i="88"/>
  <c r="KM165" i="88"/>
  <c r="KE165" i="88"/>
  <c r="KP172" i="88"/>
  <c r="KH172" i="88"/>
  <c r="KC172" i="88"/>
  <c r="KK172" i="88"/>
  <c r="KP178" i="88"/>
  <c r="KH178" i="88"/>
  <c r="KJ169" i="88"/>
  <c r="KB169" i="88"/>
  <c r="JU175" i="88"/>
  <c r="KG175" i="88" s="1"/>
  <c r="KE172" i="88"/>
  <c r="KM172" i="88"/>
  <c r="KD178" i="88"/>
  <c r="KL178" i="88"/>
  <c r="KD170" i="88"/>
  <c r="KL170" i="88"/>
  <c r="JV171" i="88"/>
  <c r="KP171" i="88" s="1"/>
  <c r="KD177" i="88"/>
  <c r="KL177" i="88"/>
  <c r="KN170" i="88"/>
  <c r="KF170" i="88"/>
  <c r="KN177" i="88"/>
  <c r="KF177" i="88"/>
  <c r="KF180" i="88"/>
  <c r="KN180" i="88"/>
  <c r="KF183" i="88"/>
  <c r="KN183" i="88"/>
  <c r="KC188" i="88"/>
  <c r="KK188" i="88"/>
  <c r="KC196" i="88"/>
  <c r="KK196" i="88"/>
  <c r="KH190" i="88"/>
  <c r="KP190" i="88"/>
  <c r="JW182" i="88"/>
  <c r="KE188" i="88"/>
  <c r="KM188" i="88"/>
  <c r="KF188" i="88"/>
  <c r="KN188" i="88"/>
  <c r="KJ182" i="88"/>
  <c r="KB182" i="88"/>
  <c r="KM187" i="88"/>
  <c r="KE187" i="88"/>
  <c r="KH201" i="88"/>
  <c r="KP201" i="88"/>
  <c r="KC201" i="88"/>
  <c r="KK201" i="88"/>
  <c r="JS194" i="88"/>
  <c r="KH199" i="88"/>
  <c r="KP199" i="88"/>
  <c r="KC208" i="88"/>
  <c r="KK208" i="88"/>
  <c r="KP191" i="88"/>
  <c r="KH191" i="88"/>
  <c r="JU200" i="88"/>
  <c r="KO200" i="88" s="1"/>
  <c r="KE197" i="88"/>
  <c r="KM197" i="88"/>
  <c r="KF198" i="88"/>
  <c r="KN198" i="88"/>
  <c r="KJ206" i="88"/>
  <c r="KB206" i="88"/>
  <c r="KE206" i="88"/>
  <c r="KM206" i="88"/>
  <c r="KG208" i="88"/>
  <c r="KO208" i="88"/>
  <c r="HD16" i="88"/>
  <c r="GT16" i="88"/>
  <c r="IG14" i="88"/>
  <c r="JH21" i="88"/>
  <c r="IP21" i="88"/>
  <c r="IX21" i="88"/>
  <c r="KE16" i="88"/>
  <c r="BG74" i="88"/>
  <c r="BG61" i="88"/>
  <c r="HK14" i="88"/>
  <c r="HD197" i="88"/>
  <c r="GT197" i="88"/>
  <c r="IJ204" i="88"/>
  <c r="IK204" i="88"/>
  <c r="IS200" i="88"/>
  <c r="JA200" i="88"/>
  <c r="HH200" i="88"/>
  <c r="GY200" i="88"/>
  <c r="GX200" i="88"/>
  <c r="HI200" i="88"/>
  <c r="IP196" i="88"/>
  <c r="HI188" i="88"/>
  <c r="HH188" i="88"/>
  <c r="GY188" i="88"/>
  <c r="GX188" i="88"/>
  <c r="P210" i="88"/>
  <c r="GF210" i="88" s="1"/>
  <c r="GF194" i="88"/>
  <c r="AZ194" i="88"/>
  <c r="GI182" i="88"/>
  <c r="IK190" i="88"/>
  <c r="IJ190" i="88"/>
  <c r="HD175" i="88"/>
  <c r="GT175" i="88"/>
  <c r="HA182" i="88"/>
  <c r="JB189" i="88"/>
  <c r="GY176" i="88"/>
  <c r="HI176" i="88"/>
  <c r="HC175" i="88"/>
  <c r="GS175" i="88"/>
  <c r="GV168" i="88"/>
  <c r="HF168" i="88"/>
  <c r="GY168" i="88"/>
  <c r="HF171" i="88"/>
  <c r="GV171" i="88"/>
  <c r="GY171" i="88"/>
  <c r="IT176" i="88"/>
  <c r="JB176" i="88"/>
  <c r="GU164" i="88"/>
  <c r="BR224" i="88"/>
  <c r="HZ161" i="88"/>
  <c r="BR160" i="88"/>
  <c r="BR268" i="88" s="1"/>
  <c r="BX224" i="88"/>
  <c r="BX160" i="88"/>
  <c r="GK161" i="88"/>
  <c r="GI271" i="88"/>
  <c r="GR161" i="88"/>
  <c r="HB161" i="88"/>
  <c r="GV165" i="88"/>
  <c r="BH212" i="88"/>
  <c r="FL160" i="88"/>
  <c r="F212" i="88"/>
  <c r="JB141" i="88"/>
  <c r="U212" i="88"/>
  <c r="IV134" i="88"/>
  <c r="CC217" i="88"/>
  <c r="CC158" i="88"/>
  <c r="AA212" i="88"/>
  <c r="IS138" i="88"/>
  <c r="JA138" i="88"/>
  <c r="R212" i="88"/>
  <c r="AG212" i="88"/>
  <c r="P212" i="88"/>
  <c r="GF158" i="88"/>
  <c r="HC129" i="88"/>
  <c r="GS129" i="88"/>
  <c r="O212" i="88"/>
  <c r="IK116" i="88"/>
  <c r="IJ116" i="88"/>
  <c r="BR274" i="88"/>
  <c r="GI268" i="88"/>
  <c r="GI269" i="88"/>
  <c r="GR109" i="88"/>
  <c r="HB109" i="88"/>
  <c r="IJ94" i="88"/>
  <c r="IK94" i="88"/>
  <c r="GX94" i="88"/>
  <c r="HH94" i="88"/>
  <c r="GY94" i="88"/>
  <c r="HI94" i="88"/>
  <c r="JB85" i="88"/>
  <c r="IT85" i="88"/>
  <c r="BQ268" i="88"/>
  <c r="BQ269" i="88"/>
  <c r="CD109" i="88"/>
  <c r="HH100" i="88"/>
  <c r="GX100" i="88"/>
  <c r="HI100" i="88"/>
  <c r="GY100" i="88"/>
  <c r="HH90" i="88"/>
  <c r="GX90" i="88"/>
  <c r="HI90" i="88"/>
  <c r="GY90" i="88"/>
  <c r="HF90" i="88"/>
  <c r="GV90" i="88"/>
  <c r="IS78" i="88"/>
  <c r="JA78" i="88"/>
  <c r="GU83" i="88"/>
  <c r="HE83" i="88"/>
  <c r="HE92" i="88"/>
  <c r="GU92" i="88"/>
  <c r="GW83" i="88"/>
  <c r="HG83" i="88"/>
  <c r="IY81" i="88"/>
  <c r="IQ81" i="88"/>
  <c r="HD92" i="88"/>
  <c r="GT92" i="88"/>
  <c r="JB83" i="88"/>
  <c r="IS87" i="88"/>
  <c r="JA87" i="88"/>
  <c r="HC81" i="88"/>
  <c r="HN81" i="88"/>
  <c r="GS81" i="88"/>
  <c r="GW79" i="88"/>
  <c r="HG79" i="88"/>
  <c r="GS67" i="88"/>
  <c r="GR67" i="88"/>
  <c r="HC67" i="88"/>
  <c r="HB67" i="88"/>
  <c r="GV68" i="88"/>
  <c r="HF68" i="88"/>
  <c r="JC66" i="88"/>
  <c r="IU66" i="88"/>
  <c r="IT82" i="88"/>
  <c r="JB82" i="88"/>
  <c r="HH79" i="88"/>
  <c r="JB70" i="88"/>
  <c r="IT70" i="88"/>
  <c r="JA90" i="88"/>
  <c r="IS90" i="88"/>
  <c r="HE58" i="88"/>
  <c r="GU58" i="88"/>
  <c r="HD82" i="88"/>
  <c r="GT82" i="88"/>
  <c r="ID67" i="88"/>
  <c r="IH67" i="88" s="1"/>
  <c r="GW78" i="88"/>
  <c r="IU78" i="88"/>
  <c r="GS64" i="88"/>
  <c r="IN64" i="88"/>
  <c r="IF50" i="88"/>
  <c r="IG50" i="88"/>
  <c r="IS35" i="88"/>
  <c r="JA35" i="88"/>
  <c r="IJ78" i="88"/>
  <c r="GY68" i="88"/>
  <c r="IF55" i="88"/>
  <c r="IG55" i="88"/>
  <c r="GT34" i="88"/>
  <c r="HD34" i="88"/>
  <c r="HB48" i="88"/>
  <c r="HC48" i="88"/>
  <c r="GR48" i="88"/>
  <c r="GV30" i="88"/>
  <c r="HF30" i="88"/>
  <c r="IK54" i="88"/>
  <c r="IJ54" i="88"/>
  <c r="GX56" i="88"/>
  <c r="JC53" i="88"/>
  <c r="IU53" i="88"/>
  <c r="JB49" i="88"/>
  <c r="GT49" i="88"/>
  <c r="HD49" i="88"/>
  <c r="IS46" i="88"/>
  <c r="JA46" i="88"/>
  <c r="IG34" i="88"/>
  <c r="IF34" i="88"/>
  <c r="IU51" i="88"/>
  <c r="JC51" i="88"/>
  <c r="GM47" i="88"/>
  <c r="CK42" i="88"/>
  <c r="IB47" i="88"/>
  <c r="HE48" i="88"/>
  <c r="GU48" i="88"/>
  <c r="HE34" i="88"/>
  <c r="GU34" i="88"/>
  <c r="Q60" i="88"/>
  <c r="GG39" i="88"/>
  <c r="Q40" i="88"/>
  <c r="HV39" i="88"/>
  <c r="JG31" i="88"/>
  <c r="JD28" i="88"/>
  <c r="IV28" i="88"/>
  <c r="GX44" i="88"/>
  <c r="HI44" i="88"/>
  <c r="HH44" i="88"/>
  <c r="GY44" i="88"/>
  <c r="HI52" i="88"/>
  <c r="HH52" i="88"/>
  <c r="GX52" i="88"/>
  <c r="GY52" i="88"/>
  <c r="HF45" i="88"/>
  <c r="GV45" i="88"/>
  <c r="GT44" i="88"/>
  <c r="HD44" i="88"/>
  <c r="HG30" i="88"/>
  <c r="IY31" i="88"/>
  <c r="IQ31" i="88"/>
  <c r="HI25" i="88"/>
  <c r="GX25" i="88"/>
  <c r="HH25" i="88"/>
  <c r="GY25" i="88"/>
  <c r="IV23" i="88"/>
  <c r="JD23" i="88"/>
  <c r="CR60" i="88"/>
  <c r="CR40" i="88"/>
  <c r="EV215" i="88"/>
  <c r="EV222" i="88" s="1"/>
  <c r="EV227" i="88" s="1"/>
  <c r="EV230" i="88" s="1"/>
  <c r="EV232" i="88" s="1"/>
  <c r="EV74" i="88"/>
  <c r="EV61" i="88"/>
  <c r="ET215" i="88"/>
  <c r="ET222" i="88" s="1"/>
  <c r="ET227" i="88" s="1"/>
  <c r="ET230" i="88" s="1"/>
  <c r="ET232" i="88" s="1"/>
  <c r="ET74" i="88"/>
  <c r="ET61" i="88"/>
  <c r="GT35" i="88"/>
  <c r="HD35" i="88"/>
  <c r="GR47" i="88"/>
  <c r="HB47" i="88"/>
  <c r="JG27" i="88"/>
  <c r="IA21" i="88"/>
  <c r="GL21" i="88"/>
  <c r="HL93" i="88"/>
  <c r="HL78" i="88"/>
  <c r="HL90" i="88"/>
  <c r="HL87" i="88"/>
  <c r="HL85" i="88"/>
  <c r="HL84" i="88"/>
  <c r="HL80" i="88"/>
  <c r="HL68" i="88"/>
  <c r="HL58" i="88"/>
  <c r="HL57" i="88"/>
  <c r="HL56" i="88"/>
  <c r="HL46" i="88"/>
  <c r="HL45" i="88"/>
  <c r="HL48" i="88"/>
  <c r="HL51" i="88"/>
  <c r="HL31" i="88"/>
  <c r="HL22" i="88"/>
  <c r="HL33" i="88"/>
  <c r="HL29" i="88"/>
  <c r="HL49" i="88"/>
  <c r="HL25" i="88"/>
  <c r="HL11" i="88"/>
  <c r="GQ11" i="88"/>
  <c r="HL13" i="88"/>
  <c r="HL24" i="88"/>
  <c r="HA11" i="88"/>
  <c r="HL19" i="88"/>
  <c r="V60" i="88"/>
  <c r="V40" i="88"/>
  <c r="IC11" i="88"/>
  <c r="KV18" i="88"/>
  <c r="KL18" i="88"/>
  <c r="KD18" i="88"/>
  <c r="FN40" i="88"/>
  <c r="GW33" i="88"/>
  <c r="JG18" i="88"/>
  <c r="HD17" i="88"/>
  <c r="GT17" i="88"/>
  <c r="GX18" i="88"/>
  <c r="HI18" i="88"/>
  <c r="GY18" i="88"/>
  <c r="HH18" i="88"/>
  <c r="AK74" i="88"/>
  <c r="AK61" i="88"/>
  <c r="IS12" i="88"/>
  <c r="JA12" i="88"/>
  <c r="P60" i="88"/>
  <c r="P40" i="88"/>
  <c r="GU24" i="88"/>
  <c r="HE24" i="88"/>
  <c r="DJ39" i="88"/>
  <c r="HI29" i="88"/>
  <c r="IU12" i="88"/>
  <c r="HG12" i="88"/>
  <c r="GW12" i="88"/>
  <c r="IK28" i="88"/>
  <c r="IJ28" i="88"/>
  <c r="FP74" i="88"/>
  <c r="FP61" i="88"/>
  <c r="AJ61" i="88"/>
  <c r="AJ74" i="88"/>
  <c r="KN12" i="88"/>
  <c r="KX12" i="88"/>
  <c r="KF12" i="88"/>
  <c r="KW24" i="88"/>
  <c r="KE24" i="88"/>
  <c r="KM24" i="88"/>
  <c r="KY34" i="88"/>
  <c r="KG34" i="88"/>
  <c r="KO34" i="88"/>
  <c r="KV37" i="88"/>
  <c r="KD37" i="88"/>
  <c r="KL37" i="88"/>
  <c r="KX17" i="88"/>
  <c r="KN17" i="88"/>
  <c r="KF17" i="88"/>
  <c r="KX18" i="88"/>
  <c r="KF18" i="88"/>
  <c r="KN18" i="88"/>
  <c r="KE31" i="88"/>
  <c r="KW31" i="88"/>
  <c r="KM31" i="88"/>
  <c r="KX43" i="88"/>
  <c r="KF43" i="88"/>
  <c r="KN43" i="88"/>
  <c r="KD23" i="88"/>
  <c r="KV23" i="88"/>
  <c r="KL23" i="88"/>
  <c r="KX50" i="88"/>
  <c r="KN50" i="88"/>
  <c r="KF50" i="88"/>
  <c r="KG36" i="88"/>
  <c r="KO36" i="88"/>
  <c r="KY36" i="88"/>
  <c r="KE13" i="88"/>
  <c r="KW13" i="88"/>
  <c r="KM13" i="88"/>
  <c r="KX21" i="88"/>
  <c r="KU29" i="88"/>
  <c r="KC29" i="88"/>
  <c r="KK29" i="88"/>
  <c r="KX51" i="88"/>
  <c r="KN51" i="88"/>
  <c r="KF51" i="88"/>
  <c r="KT27" i="88"/>
  <c r="KB27" i="88"/>
  <c r="KJ27" i="88"/>
  <c r="KX35" i="88"/>
  <c r="KF35" i="88"/>
  <c r="KN35" i="88"/>
  <c r="KG53" i="88"/>
  <c r="KY53" i="88"/>
  <c r="KO53" i="88"/>
  <c r="KU36" i="88"/>
  <c r="KC36" i="88"/>
  <c r="KK36" i="88"/>
  <c r="KK26" i="88"/>
  <c r="KC26" i="88"/>
  <c r="KJ32" i="88"/>
  <c r="KT32" i="88"/>
  <c r="KB32" i="88"/>
  <c r="JO40" i="88"/>
  <c r="KR39" i="88"/>
  <c r="KX53" i="88"/>
  <c r="KN53" i="88"/>
  <c r="KF53" i="88"/>
  <c r="KO18" i="88"/>
  <c r="KY18" i="88"/>
  <c r="KG18" i="88"/>
  <c r="KK24" i="88"/>
  <c r="KC24" i="88"/>
  <c r="KU24" i="88"/>
  <c r="KP30" i="88"/>
  <c r="KH30" i="88"/>
  <c r="KZ30" i="88"/>
  <c r="KN36" i="88"/>
  <c r="KX36" i="88"/>
  <c r="KF36" i="88"/>
  <c r="KL44" i="88"/>
  <c r="KV44" i="88"/>
  <c r="KD44" i="88"/>
  <c r="KX55" i="88"/>
  <c r="KF55" i="88"/>
  <c r="KN55" i="88"/>
  <c r="KW63" i="88"/>
  <c r="KM63" i="88"/>
  <c r="KE63" i="88"/>
  <c r="KJ29" i="88"/>
  <c r="KB29" i="88"/>
  <c r="KT29" i="88"/>
  <c r="KT48" i="88"/>
  <c r="KB48" i="88"/>
  <c r="KJ48" i="88"/>
  <c r="KS55" i="88"/>
  <c r="KL54" i="88"/>
  <c r="KV54" i="88"/>
  <c r="KD54" i="88"/>
  <c r="KS64" i="88"/>
  <c r="KL84" i="88"/>
  <c r="KD84" i="88"/>
  <c r="KV84" i="88"/>
  <c r="KD78" i="88"/>
  <c r="KV78" i="88"/>
  <c r="KL78" i="88"/>
  <c r="KY66" i="88"/>
  <c r="KO66" i="88"/>
  <c r="KG66" i="88"/>
  <c r="KM70" i="88"/>
  <c r="KE70" i="88"/>
  <c r="KN58" i="88"/>
  <c r="KF58" i="88"/>
  <c r="KX58" i="88"/>
  <c r="KU69" i="88"/>
  <c r="KC69" i="88"/>
  <c r="KK69" i="88"/>
  <c r="KY82" i="88"/>
  <c r="KO82" i="88"/>
  <c r="KG82" i="88"/>
  <c r="KS77" i="88"/>
  <c r="KS84" i="88"/>
  <c r="KP68" i="88"/>
  <c r="KZ68" i="88"/>
  <c r="KH68" i="88"/>
  <c r="KT78" i="88"/>
  <c r="KJ78" i="88"/>
  <c r="KB78" i="88"/>
  <c r="KF67" i="88"/>
  <c r="KX67" i="88"/>
  <c r="KS92" i="88"/>
  <c r="KT86" i="88"/>
  <c r="KJ86" i="88"/>
  <c r="KB86" i="88"/>
  <c r="KV85" i="88"/>
  <c r="KD85" i="88"/>
  <c r="KL85" i="88"/>
  <c r="KX85" i="88"/>
  <c r="KF85" i="88"/>
  <c r="KN85" i="88"/>
  <c r="KC92" i="88"/>
  <c r="KU92" i="88"/>
  <c r="KK92" i="88"/>
  <c r="KJ81" i="88"/>
  <c r="KB81" i="88"/>
  <c r="KT81" i="88"/>
  <c r="KS86" i="88"/>
  <c r="KB94" i="88"/>
  <c r="KJ94" i="88"/>
  <c r="KT94" i="88"/>
  <c r="KW95" i="88"/>
  <c r="KE95" i="88"/>
  <c r="KM95" i="88"/>
  <c r="KH111" i="88"/>
  <c r="KP111" i="88"/>
  <c r="KX95" i="88"/>
  <c r="KF95" i="88"/>
  <c r="KN95" i="88"/>
  <c r="KG112" i="88"/>
  <c r="KO112" i="88"/>
  <c r="KH117" i="88"/>
  <c r="KP117" i="88"/>
  <c r="KU90" i="88"/>
  <c r="KC90" i="88"/>
  <c r="KK90" i="88"/>
  <c r="KC111" i="88"/>
  <c r="KK111" i="88"/>
  <c r="KO92" i="88"/>
  <c r="KY92" i="88"/>
  <c r="KG92" i="88"/>
  <c r="KE100" i="88"/>
  <c r="KM100" i="88"/>
  <c r="KW100" i="88"/>
  <c r="KS94" i="88"/>
  <c r="KK110" i="88"/>
  <c r="KC110" i="88"/>
  <c r="KE115" i="88"/>
  <c r="KM115" i="88"/>
  <c r="KC114" i="88"/>
  <c r="KK114" i="88"/>
  <c r="KF114" i="88"/>
  <c r="KN114" i="88"/>
  <c r="KN117" i="88"/>
  <c r="KF117" i="88"/>
  <c r="KL115" i="88"/>
  <c r="KD115" i="88"/>
  <c r="KO118" i="88"/>
  <c r="KG118" i="88"/>
  <c r="KJ120" i="88"/>
  <c r="KB120" i="88"/>
  <c r="KC124" i="88"/>
  <c r="KK124" i="88"/>
  <c r="KC132" i="88"/>
  <c r="KK132" i="88"/>
  <c r="KD132" i="88"/>
  <c r="KL132" i="88"/>
  <c r="KE124" i="88"/>
  <c r="KM124" i="88"/>
  <c r="KD131" i="88"/>
  <c r="KL131" i="88"/>
  <c r="KD123" i="88"/>
  <c r="KL123" i="88"/>
  <c r="KF122" i="88"/>
  <c r="KN122" i="88"/>
  <c r="KF123" i="88"/>
  <c r="KN123" i="88"/>
  <c r="KF126" i="88"/>
  <c r="KN126" i="88"/>
  <c r="KB136" i="88"/>
  <c r="KJ136" i="88"/>
  <c r="KB135" i="88"/>
  <c r="KJ135" i="88"/>
  <c r="KF140" i="88"/>
  <c r="KN140" i="88"/>
  <c r="KB141" i="88"/>
  <c r="KJ141" i="88"/>
  <c r="KC151" i="88"/>
  <c r="KK151" i="88"/>
  <c r="KH140" i="88"/>
  <c r="KP140" i="88"/>
  <c r="KC136" i="88"/>
  <c r="KK136" i="88"/>
  <c r="KO144" i="88"/>
  <c r="KG144" i="88"/>
  <c r="KD142" i="88"/>
  <c r="KL142" i="88"/>
  <c r="KG154" i="88"/>
  <c r="KO154" i="88"/>
  <c r="KM143" i="88"/>
  <c r="KE143" i="88"/>
  <c r="KB154" i="88"/>
  <c r="KJ154" i="88"/>
  <c r="KP147" i="88"/>
  <c r="KH147" i="88"/>
  <c r="KD153" i="88"/>
  <c r="KL153" i="88"/>
  <c r="KC147" i="88"/>
  <c r="KK147" i="88"/>
  <c r="KE153" i="88"/>
  <c r="KM153" i="88"/>
  <c r="KH143" i="88"/>
  <c r="KP143" i="88"/>
  <c r="KC149" i="88"/>
  <c r="KK149" i="88"/>
  <c r="KL148" i="88"/>
  <c r="KD148" i="88"/>
  <c r="JX271" i="88"/>
  <c r="JX270" i="88"/>
  <c r="KG166" i="88"/>
  <c r="KO166" i="88"/>
  <c r="KP165" i="88"/>
  <c r="KH165" i="88"/>
  <c r="KC165" i="88"/>
  <c r="KK165" i="88"/>
  <c r="KG163" i="88"/>
  <c r="KO163" i="88"/>
  <c r="KG170" i="88"/>
  <c r="KO170" i="88"/>
  <c r="JO271" i="88"/>
  <c r="JO270" i="88"/>
  <c r="KB166" i="88"/>
  <c r="KJ166" i="88"/>
  <c r="KB173" i="88"/>
  <c r="KJ173" i="88"/>
  <c r="KC173" i="88"/>
  <c r="KK173" i="88"/>
  <c r="KO179" i="88"/>
  <c r="KG179" i="88"/>
  <c r="KP169" i="88"/>
  <c r="KH169" i="88"/>
  <c r="KG176" i="88"/>
  <c r="KO176" i="88"/>
  <c r="KE173" i="88"/>
  <c r="KM173" i="88"/>
  <c r="KC177" i="88"/>
  <c r="KK177" i="88"/>
  <c r="KG172" i="88"/>
  <c r="KO172" i="88"/>
  <c r="KF178" i="88"/>
  <c r="KN178" i="88"/>
  <c r="KJ175" i="88"/>
  <c r="KB175" i="88"/>
  <c r="KG189" i="88"/>
  <c r="KO189" i="88"/>
  <c r="KD182" i="88"/>
  <c r="KL182" i="88"/>
  <c r="KE183" i="88"/>
  <c r="KM183" i="88"/>
  <c r="KB188" i="88"/>
  <c r="KJ188" i="88"/>
  <c r="KF184" i="88"/>
  <c r="KN184" i="88"/>
  <c r="KB189" i="88"/>
  <c r="KJ189" i="88"/>
  <c r="KH200" i="88"/>
  <c r="KP200" i="88"/>
  <c r="KB186" i="88"/>
  <c r="KJ186" i="88"/>
  <c r="KG191" i="88"/>
  <c r="KO191" i="88"/>
  <c r="KD189" i="88"/>
  <c r="KL189" i="88"/>
  <c r="KE189" i="88"/>
  <c r="KM189" i="88"/>
  <c r="JV188" i="88"/>
  <c r="KP188" i="88" s="1"/>
  <c r="KB202" i="88"/>
  <c r="KJ202" i="88"/>
  <c r="KC202" i="88"/>
  <c r="KK202" i="88"/>
  <c r="KJ196" i="88"/>
  <c r="KB196" i="88"/>
  <c r="KD200" i="88"/>
  <c r="KL200" i="88"/>
  <c r="KE200" i="88"/>
  <c r="KM200" i="88"/>
  <c r="KF201" i="88"/>
  <c r="KN201" i="88"/>
  <c r="KE198" i="88"/>
  <c r="KM198" i="88"/>
  <c r="KL191" i="88"/>
  <c r="KD191" i="88"/>
  <c r="KF199" i="88"/>
  <c r="KN199" i="88"/>
  <c r="KE207" i="88"/>
  <c r="KM207" i="88"/>
  <c r="KG204" i="88"/>
  <c r="KO204" i="88"/>
  <c r="EU215" i="88"/>
  <c r="EU222" i="88" s="1"/>
  <c r="EU227" i="88" s="1"/>
  <c r="EU230" i="88" s="1"/>
  <c r="EU232" i="88" s="1"/>
  <c r="EU74" i="88"/>
  <c r="EU61" i="88"/>
  <c r="IA15" i="88"/>
  <c r="BY14" i="88"/>
  <c r="GL15" i="88"/>
  <c r="IT44" i="88"/>
  <c r="IK33" i="88"/>
  <c r="IJ33" i="88"/>
  <c r="HF23" i="88"/>
  <c r="GV23" i="88"/>
  <c r="HK12" i="88"/>
  <c r="GV12" i="88"/>
  <c r="IF20" i="88"/>
  <c r="IG20" i="88"/>
  <c r="HD206" i="88"/>
  <c r="GT206" i="88"/>
  <c r="IK203" i="88"/>
  <c r="IJ203" i="88"/>
  <c r="IK198" i="88"/>
  <c r="IJ198" i="88"/>
  <c r="AH210" i="88"/>
  <c r="HW194" i="88"/>
  <c r="GY201" i="88"/>
  <c r="IU188" i="88"/>
  <c r="JC188" i="88"/>
  <c r="IS176" i="88"/>
  <c r="JA176" i="88"/>
  <c r="IJ174" i="88"/>
  <c r="IK174" i="88"/>
  <c r="IV188" i="88"/>
  <c r="HD172" i="88"/>
  <c r="GT172" i="88"/>
  <c r="IT189" i="88"/>
  <c r="IJ184" i="88"/>
  <c r="IK184" i="88"/>
  <c r="GT168" i="88"/>
  <c r="GU168" i="88"/>
  <c r="HD168" i="88"/>
  <c r="GX162" i="88"/>
  <c r="HI162" i="88"/>
  <c r="HH162" i="88"/>
  <c r="GY162" i="88"/>
  <c r="JB162" i="88"/>
  <c r="IS162" i="88"/>
  <c r="JA162" i="88"/>
  <c r="IT162" i="88"/>
  <c r="IK153" i="88"/>
  <c r="IJ153" i="88"/>
  <c r="BP224" i="88"/>
  <c r="BP160" i="88"/>
  <c r="AR212" i="88"/>
  <c r="BK212" i="88"/>
  <c r="HG134" i="88"/>
  <c r="GW134" i="88"/>
  <c r="M212" i="88"/>
  <c r="BU217" i="88"/>
  <c r="BU158" i="88"/>
  <c r="S212" i="88"/>
  <c r="IA133" i="88"/>
  <c r="CD131" i="88"/>
  <c r="J212" i="88"/>
  <c r="HU158" i="88"/>
  <c r="Y212" i="88"/>
  <c r="H212" i="88"/>
  <c r="G212" i="88"/>
  <c r="CN274" i="88"/>
  <c r="IS113" i="88"/>
  <c r="JA113" i="88"/>
  <c r="IJ115" i="88"/>
  <c r="IK115" i="88"/>
  <c r="CH274" i="88"/>
  <c r="GL117" i="88"/>
  <c r="HF117" i="88" s="1"/>
  <c r="CJ116" i="88"/>
  <c r="IS94" i="88"/>
  <c r="JA94" i="88"/>
  <c r="JC93" i="88"/>
  <c r="IU93" i="88"/>
  <c r="IS86" i="88"/>
  <c r="JA86" i="88"/>
  <c r="HC110" i="88"/>
  <c r="HB110" i="88"/>
  <c r="GS110" i="88"/>
  <c r="GR110" i="88"/>
  <c r="BN269" i="88"/>
  <c r="HF87" i="88"/>
  <c r="GV87" i="88"/>
  <c r="HC100" i="88"/>
  <c r="HN100" i="88"/>
  <c r="GS100" i="88"/>
  <c r="JB95" i="88"/>
  <c r="IT95" i="88"/>
  <c r="HE93" i="88"/>
  <c r="GU93" i="88"/>
  <c r="HG94" i="88"/>
  <c r="GW94" i="88"/>
  <c r="JD83" i="88"/>
  <c r="IV83" i="88"/>
  <c r="JA83" i="88"/>
  <c r="IS83" i="88"/>
  <c r="GT93" i="88"/>
  <c r="HD93" i="88"/>
  <c r="IS79" i="88"/>
  <c r="JA79" i="88"/>
  <c r="IK79" i="88"/>
  <c r="IJ79" i="88"/>
  <c r="IK82" i="88"/>
  <c r="IJ82" i="88"/>
  <c r="IS66" i="88"/>
  <c r="JA66" i="88"/>
  <c r="JC68" i="88"/>
  <c r="IU68" i="88"/>
  <c r="HL89" i="88"/>
  <c r="HA89" i="88"/>
  <c r="GQ89" i="88"/>
  <c r="IS82" i="88"/>
  <c r="JA82" i="88"/>
  <c r="GT78" i="88"/>
  <c r="HD78" i="88"/>
  <c r="JC70" i="88"/>
  <c r="JD70" i="88"/>
  <c r="IU70" i="88"/>
  <c r="IZ67" i="88"/>
  <c r="IQ67" i="88"/>
  <c r="IY67" i="88"/>
  <c r="IR67" i="88"/>
  <c r="JD81" i="88"/>
  <c r="IV81" i="88"/>
  <c r="JD78" i="88"/>
  <c r="IV78" i="88"/>
  <c r="JB79" i="88"/>
  <c r="GU66" i="88"/>
  <c r="HE66" i="88"/>
  <c r="HG68" i="88"/>
  <c r="GW68" i="88"/>
  <c r="HF52" i="88"/>
  <c r="GV52" i="88"/>
  <c r="HC64" i="88"/>
  <c r="JA56" i="88"/>
  <c r="IS56" i="88"/>
  <c r="GU65" i="88"/>
  <c r="HE65" i="88"/>
  <c r="GV65" i="88"/>
  <c r="HF65" i="88"/>
  <c r="GQ77" i="88"/>
  <c r="GX68" i="88"/>
  <c r="IS65" i="88"/>
  <c r="JA65" i="88"/>
  <c r="JA54" i="88"/>
  <c r="IS54" i="88"/>
  <c r="HZ64" i="88"/>
  <c r="IU48" i="88"/>
  <c r="JC48" i="88"/>
  <c r="IT54" i="88"/>
  <c r="JB54" i="88"/>
  <c r="HD53" i="88"/>
  <c r="GT53" i="88"/>
  <c r="GT23" i="88"/>
  <c r="HD23" i="88"/>
  <c r="GT51" i="88"/>
  <c r="HD51" i="88"/>
  <c r="HF50" i="88"/>
  <c r="GV50" i="88"/>
  <c r="IG47" i="88"/>
  <c r="GW45" i="88"/>
  <c r="HG45" i="88"/>
  <c r="GT28" i="88"/>
  <c r="HD28" i="88"/>
  <c r="IX42" i="88"/>
  <c r="IP42" i="88"/>
  <c r="JH42" i="88"/>
  <c r="GS31" i="88"/>
  <c r="HN31" i="88"/>
  <c r="HC31" i="88"/>
  <c r="IG44" i="88"/>
  <c r="IF44" i="88"/>
  <c r="JD52" i="88"/>
  <c r="IV52" i="88"/>
  <c r="IS45" i="88"/>
  <c r="JA45" i="88"/>
  <c r="JD27" i="88"/>
  <c r="IV27" i="88"/>
  <c r="IS30" i="88"/>
  <c r="JA30" i="88"/>
  <c r="HF27" i="88"/>
  <c r="GV27" i="88"/>
  <c r="JC25" i="88"/>
  <c r="IU25" i="88"/>
  <c r="CJ40" i="88"/>
  <c r="EW215" i="88"/>
  <c r="EW222" i="88" s="1"/>
  <c r="EW227" i="88" s="1"/>
  <c r="EW230" i="88" s="1"/>
  <c r="EW232" i="88" s="1"/>
  <c r="EW74" i="88"/>
  <c r="EW61" i="88"/>
  <c r="HX42" i="88"/>
  <c r="IR42" i="88" s="1"/>
  <c r="IV26" i="88"/>
  <c r="JD26" i="88"/>
  <c r="HG19" i="88"/>
  <c r="GW19" i="88"/>
  <c r="EJ60" i="88"/>
  <c r="EJ40" i="88"/>
  <c r="F60" i="88"/>
  <c r="F40" i="88"/>
  <c r="IF12" i="88"/>
  <c r="IG12" i="88"/>
  <c r="BZ39" i="88"/>
  <c r="HN14" i="88"/>
  <c r="HC14" i="88"/>
  <c r="GS14" i="88"/>
  <c r="IV12" i="88"/>
  <c r="JD12" i="88"/>
  <c r="DQ60" i="88"/>
  <c r="DQ40" i="88"/>
  <c r="Z61" i="88"/>
  <c r="Z74" i="88"/>
  <c r="JB23" i="88"/>
  <c r="IT23" i="88"/>
  <c r="IB15" i="88"/>
  <c r="GM15" i="88"/>
  <c r="CK14" i="88"/>
  <c r="JD18" i="88"/>
  <c r="IV18" i="88"/>
  <c r="GT12" i="88"/>
  <c r="HD12" i="88"/>
  <c r="IT24" i="88"/>
  <c r="JB24" i="88"/>
  <c r="GU22" i="88"/>
  <c r="HE22" i="88"/>
  <c r="JG17" i="88"/>
  <c r="O60" i="88"/>
  <c r="O40" i="88"/>
  <c r="HS93" i="88"/>
  <c r="BM21" i="88"/>
  <c r="KJ22" i="88"/>
  <c r="KB22" i="88"/>
  <c r="KT22" i="88"/>
  <c r="GW18" i="88"/>
  <c r="AW101" i="88"/>
  <c r="AW103" i="88"/>
  <c r="AW104" i="88" s="1"/>
  <c r="AW98" i="88"/>
  <c r="IJ25" i="88"/>
  <c r="IK25" i="88"/>
  <c r="EY215" i="88"/>
  <c r="EY222" i="88" s="1"/>
  <c r="EY227" i="88" s="1"/>
  <c r="EY230" i="88" s="1"/>
  <c r="EY232" i="88" s="1"/>
  <c r="EY61" i="88"/>
  <c r="EY74" i="88"/>
  <c r="AB60" i="88"/>
  <c r="AB40" i="88"/>
  <c r="L60" i="88"/>
  <c r="L40" i="88"/>
  <c r="EX215" i="88"/>
  <c r="EX222" i="88" s="1"/>
  <c r="EX227" i="88" s="1"/>
  <c r="EX230" i="88" s="1"/>
  <c r="EX232" i="88" s="1"/>
  <c r="EX74" i="88"/>
  <c r="EX61" i="88"/>
  <c r="KZ43" i="88"/>
  <c r="KH43" i="88"/>
  <c r="KP43" i="88"/>
  <c r="KO25" i="88"/>
  <c r="KY25" i="88"/>
  <c r="KG25" i="88"/>
  <c r="KJ36" i="88"/>
  <c r="KB36" i="88"/>
  <c r="KT36" i="88"/>
  <c r="KW18" i="88"/>
  <c r="KM18" i="88"/>
  <c r="KE18" i="88"/>
  <c r="KU101" i="88"/>
  <c r="KK11" i="88"/>
  <c r="KU11" i="88"/>
  <c r="KC11" i="88"/>
  <c r="KO19" i="88"/>
  <c r="KG19" i="88"/>
  <c r="KY19" i="88"/>
  <c r="KU32" i="88"/>
  <c r="KC32" i="88"/>
  <c r="KK32" i="88"/>
  <c r="KM32" i="88"/>
  <c r="KE32" i="88"/>
  <c r="KW32" i="88"/>
  <c r="KY47" i="88"/>
  <c r="KG47" i="88"/>
  <c r="KO47" i="88"/>
  <c r="KO24" i="88"/>
  <c r="KY24" i="88"/>
  <c r="KG24" i="88"/>
  <c r="KT51" i="88"/>
  <c r="KB51" i="88"/>
  <c r="KJ51" i="88"/>
  <c r="KF22" i="88"/>
  <c r="KN22" i="88"/>
  <c r="KX22" i="88"/>
  <c r="KV30" i="88"/>
  <c r="KD30" i="88"/>
  <c r="KL30" i="88"/>
  <c r="KT42" i="88"/>
  <c r="KB42" i="88"/>
  <c r="KJ42" i="88"/>
  <c r="KT52" i="88"/>
  <c r="KJ52" i="88"/>
  <c r="KB52" i="88"/>
  <c r="KU28" i="88"/>
  <c r="KC28" i="88"/>
  <c r="KK28" i="88"/>
  <c r="KZ36" i="88"/>
  <c r="KH36" i="88"/>
  <c r="KP36" i="88"/>
  <c r="KW52" i="88"/>
  <c r="KE52" i="88"/>
  <c r="KM52" i="88"/>
  <c r="KW25" i="88"/>
  <c r="KE25" i="88"/>
  <c r="KM25" i="88"/>
  <c r="KX37" i="88"/>
  <c r="KN37" i="88"/>
  <c r="KF37" i="88"/>
  <c r="KW53" i="88"/>
  <c r="KM53" i="88"/>
  <c r="KE53" i="88"/>
  <c r="KO27" i="88"/>
  <c r="KG27" i="88"/>
  <c r="KY27" i="88"/>
  <c r="KZ32" i="88"/>
  <c r="KP32" i="88"/>
  <c r="KH32" i="88"/>
  <c r="KY54" i="88"/>
  <c r="KG54" i="88"/>
  <c r="KO54" i="88"/>
  <c r="KJ19" i="88"/>
  <c r="KB19" i="88"/>
  <c r="KT19" i="88"/>
  <c r="KN25" i="88"/>
  <c r="KX25" i="88"/>
  <c r="KF25" i="88"/>
  <c r="KM37" i="88"/>
  <c r="KE37" i="88"/>
  <c r="KW37" i="88"/>
  <c r="KO45" i="88"/>
  <c r="KY45" i="88"/>
  <c r="KG45" i="88"/>
  <c r="KP50" i="88"/>
  <c r="KZ50" i="88"/>
  <c r="KH50" i="88"/>
  <c r="KZ53" i="88"/>
  <c r="KH53" i="88"/>
  <c r="KP53" i="88"/>
  <c r="KN24" i="88"/>
  <c r="KF24" i="88"/>
  <c r="KX24" i="88"/>
  <c r="KP29" i="88"/>
  <c r="KH29" i="88"/>
  <c r="KZ29" i="88"/>
  <c r="KL43" i="88"/>
  <c r="KV43" i="88"/>
  <c r="KD43" i="88"/>
  <c r="KP48" i="88"/>
  <c r="KZ48" i="88"/>
  <c r="KH48" i="88"/>
  <c r="KK48" i="88"/>
  <c r="KU48" i="88"/>
  <c r="KC48" i="88"/>
  <c r="KL56" i="88"/>
  <c r="KV56" i="88"/>
  <c r="KD56" i="88"/>
  <c r="KU77" i="88"/>
  <c r="KK77" i="88"/>
  <c r="KC77" i="88"/>
  <c r="KU60" i="88"/>
  <c r="KK60" i="88"/>
  <c r="JR61" i="88"/>
  <c r="KC60" i="88"/>
  <c r="KM49" i="88"/>
  <c r="KE49" i="88"/>
  <c r="KW49" i="88"/>
  <c r="KY55" i="88"/>
  <c r="KG55" i="88"/>
  <c r="KO55" i="88"/>
  <c r="KP64" i="88"/>
  <c r="KZ64" i="88"/>
  <c r="KH64" i="88"/>
  <c r="KK56" i="88"/>
  <c r="KU56" i="88"/>
  <c r="KC56" i="88"/>
  <c r="KM65" i="88"/>
  <c r="KW65" i="88"/>
  <c r="KE65" i="88"/>
  <c r="KC85" i="88"/>
  <c r="KK85" i="88"/>
  <c r="KU85" i="88"/>
  <c r="KP84" i="88"/>
  <c r="KZ84" i="88"/>
  <c r="KH84" i="88"/>
  <c r="KV67" i="88"/>
  <c r="KD67" i="88"/>
  <c r="KL67" i="88"/>
  <c r="KJ71" i="88"/>
  <c r="KB71" i="88"/>
  <c r="KS69" i="88"/>
  <c r="KL79" i="88"/>
  <c r="KV79" i="88"/>
  <c r="KD79" i="88"/>
  <c r="KD68" i="88"/>
  <c r="KV68" i="88"/>
  <c r="KL68" i="88"/>
  <c r="KY79" i="88"/>
  <c r="KO79" i="88"/>
  <c r="KG79" i="88"/>
  <c r="KE68" i="88"/>
  <c r="KW68" i="88"/>
  <c r="KM68" i="88"/>
  <c r="KC78" i="88"/>
  <c r="KK78" i="88"/>
  <c r="KU78" i="88"/>
  <c r="KX92" i="88"/>
  <c r="KF92" i="88"/>
  <c r="KN92" i="88"/>
  <c r="KT93" i="88"/>
  <c r="KB93" i="88"/>
  <c r="KJ93" i="88"/>
  <c r="KY87" i="88"/>
  <c r="KO87" i="88"/>
  <c r="KG87" i="88"/>
  <c r="KW86" i="88"/>
  <c r="KE86" i="88"/>
  <c r="KM86" i="88"/>
  <c r="KW93" i="88"/>
  <c r="KE93" i="88"/>
  <c r="KM93" i="88"/>
  <c r="KZ81" i="88"/>
  <c r="KH81" i="88"/>
  <c r="KP81" i="88"/>
  <c r="KH86" i="88"/>
  <c r="KP86" i="88"/>
  <c r="KZ86" i="88"/>
  <c r="KB95" i="88"/>
  <c r="KJ95" i="88"/>
  <c r="KT95" i="88"/>
  <c r="KD112" i="88"/>
  <c r="KL112" i="88"/>
  <c r="KH113" i="88"/>
  <c r="KP113" i="88"/>
  <c r="KJ83" i="88"/>
  <c r="KT83" i="88"/>
  <c r="KB83" i="88"/>
  <c r="KS91" i="88"/>
  <c r="KN86" i="88"/>
  <c r="KX86" i="88"/>
  <c r="KF86" i="88"/>
  <c r="KK93" i="88"/>
  <c r="KU93" i="88"/>
  <c r="KC93" i="88"/>
  <c r="KE111" i="88"/>
  <c r="KM111" i="88"/>
  <c r="KC116" i="88"/>
  <c r="KK116" i="88"/>
  <c r="KP115" i="88"/>
  <c r="KH115" i="88"/>
  <c r="KB117" i="88"/>
  <c r="KJ117" i="88"/>
  <c r="KJ116" i="88"/>
  <c r="KB116" i="88"/>
  <c r="KH120" i="88"/>
  <c r="KP120" i="88"/>
  <c r="KO125" i="88"/>
  <c r="KG125" i="88"/>
  <c r="KC133" i="88"/>
  <c r="KK133" i="88"/>
  <c r="KO132" i="88"/>
  <c r="KG132" i="88"/>
  <c r="KF124" i="88"/>
  <c r="KN124" i="88"/>
  <c r="KE123" i="88"/>
  <c r="KM123" i="88"/>
  <c r="JW133" i="88"/>
  <c r="KF127" i="88"/>
  <c r="KN127" i="88"/>
  <c r="KH135" i="88"/>
  <c r="KP135" i="88"/>
  <c r="KJ151" i="88"/>
  <c r="KB151" i="88"/>
  <c r="JY141" i="88"/>
  <c r="KB153" i="88"/>
  <c r="KJ153" i="88"/>
  <c r="KD139" i="88"/>
  <c r="KL139" i="88"/>
  <c r="KN132" i="88"/>
  <c r="KF132" i="88"/>
  <c r="JT137" i="88"/>
  <c r="KN137" i="88" s="1"/>
  <c r="KP142" i="88"/>
  <c r="KH142" i="88"/>
  <c r="JT141" i="88"/>
  <c r="KF141" i="88" s="1"/>
  <c r="JV137" i="88"/>
  <c r="KH137" i="88" s="1"/>
  <c r="KN145" i="88"/>
  <c r="KF145" i="88"/>
  <c r="KD138" i="88"/>
  <c r="KL138" i="88"/>
  <c r="KO145" i="88"/>
  <c r="KG145" i="88"/>
  <c r="KM136" i="88"/>
  <c r="KE136" i="88"/>
  <c r="KD143" i="88"/>
  <c r="KL143" i="88"/>
  <c r="JW150" i="88"/>
  <c r="KM144" i="88"/>
  <c r="KE144" i="88"/>
  <c r="KK155" i="88"/>
  <c r="KC155" i="88"/>
  <c r="KP154" i="88"/>
  <c r="KH154" i="88"/>
  <c r="KC154" i="88"/>
  <c r="KK154" i="88"/>
  <c r="KB148" i="88"/>
  <c r="KJ148" i="88"/>
  <c r="KD154" i="88"/>
  <c r="KL154" i="88"/>
  <c r="KB144" i="88"/>
  <c r="KJ144" i="88"/>
  <c r="JU150" i="88"/>
  <c r="KO150" i="88" s="1"/>
  <c r="KB160" i="88"/>
  <c r="KJ160" i="88"/>
  <c r="KL149" i="88"/>
  <c r="KD149" i="88"/>
  <c r="KE168" i="88"/>
  <c r="KM168" i="88"/>
  <c r="JQ271" i="88"/>
  <c r="JQ270" i="88"/>
  <c r="KJ161" i="88"/>
  <c r="KB161" i="88"/>
  <c r="KG165" i="88"/>
  <c r="KO165" i="88"/>
  <c r="KC169" i="88"/>
  <c r="KK169" i="88"/>
  <c r="KE164" i="88"/>
  <c r="KM164" i="88"/>
  <c r="KJ155" i="88"/>
  <c r="KB155" i="88"/>
  <c r="JW271" i="88"/>
  <c r="KG167" i="88"/>
  <c r="KO167" i="88"/>
  <c r="KP173" i="88"/>
  <c r="KH173" i="88"/>
  <c r="KN179" i="88"/>
  <c r="KF179" i="88"/>
  <c r="KC174" i="88"/>
  <c r="KK174" i="88"/>
  <c r="KJ170" i="88"/>
  <c r="KB170" i="88"/>
  <c r="KE174" i="88"/>
  <c r="KM174" i="88"/>
  <c r="KF172" i="88"/>
  <c r="KN172" i="88"/>
  <c r="KE178" i="88"/>
  <c r="KM178" i="88"/>
  <c r="KG173" i="88"/>
  <c r="KO173" i="88"/>
  <c r="KB179" i="88"/>
  <c r="KJ179" i="88"/>
  <c r="JY175" i="88"/>
  <c r="KF190" i="88"/>
  <c r="KN190" i="88"/>
  <c r="KD183" i="88"/>
  <c r="KL183" i="88"/>
  <c r="KE184" i="88"/>
  <c r="KM184" i="88"/>
  <c r="KH189" i="88"/>
  <c r="KP189" i="88"/>
  <c r="KH186" i="88"/>
  <c r="KP186" i="88"/>
  <c r="KL192" i="88"/>
  <c r="KD192" i="88"/>
  <c r="KC190" i="88"/>
  <c r="KK190" i="88"/>
  <c r="KD190" i="88"/>
  <c r="KL190" i="88"/>
  <c r="KJ183" i="88"/>
  <c r="KB183" i="88"/>
  <c r="KN189" i="88"/>
  <c r="KF189" i="88"/>
  <c r="KH202" i="88"/>
  <c r="KP202" i="88"/>
  <c r="KC203" i="88"/>
  <c r="KK203" i="88"/>
  <c r="JY196" i="88"/>
  <c r="KD201" i="88"/>
  <c r="KL201" i="88"/>
  <c r="KE201" i="88"/>
  <c r="KM201" i="88"/>
  <c r="KF202" i="88"/>
  <c r="KN202" i="88"/>
  <c r="KE199" i="88"/>
  <c r="KM199" i="88"/>
  <c r="KJ192" i="88"/>
  <c r="KB192" i="88"/>
  <c r="KJ207" i="88"/>
  <c r="KB207" i="88"/>
  <c r="IT17" i="88"/>
  <c r="JB17" i="88"/>
  <c r="JB44" i="88"/>
  <c r="HG23" i="88"/>
  <c r="U60" i="88"/>
  <c r="U40" i="88"/>
  <c r="KW16" i="88"/>
  <c r="H60" i="88"/>
  <c r="H40" i="88"/>
  <c r="IF18" i="88"/>
  <c r="IJ207" i="88"/>
  <c r="IK207" i="88"/>
  <c r="IS206" i="88"/>
  <c r="JA206" i="88"/>
  <c r="HG201" i="88"/>
  <c r="HI186" i="88"/>
  <c r="HH186" i="88"/>
  <c r="GY186" i="88"/>
  <c r="GX186" i="88"/>
  <c r="HI185" i="88"/>
  <c r="HH185" i="88"/>
  <c r="GY185" i="88"/>
  <c r="GX185" i="88"/>
  <c r="IS186" i="88"/>
  <c r="JA186" i="88"/>
  <c r="IJ183" i="88"/>
  <c r="IK183" i="88"/>
  <c r="AT210" i="88"/>
  <c r="HX194" i="88"/>
  <c r="GW171" i="88"/>
  <c r="IJ173" i="88"/>
  <c r="IK173" i="88"/>
  <c r="IK188" i="88"/>
  <c r="IJ188" i="88"/>
  <c r="HG186" i="88"/>
  <c r="GS185" i="88"/>
  <c r="HE166" i="88"/>
  <c r="GU166" i="88"/>
  <c r="JC175" i="88"/>
  <c r="IJ168" i="88"/>
  <c r="IK168" i="88"/>
  <c r="JC166" i="88"/>
  <c r="IU166" i="88"/>
  <c r="JD166" i="88"/>
  <c r="CR294" i="88"/>
  <c r="IU176" i="88"/>
  <c r="IJ169" i="88"/>
  <c r="IK169" i="88"/>
  <c r="CI224" i="88"/>
  <c r="IK152" i="88"/>
  <c r="IJ152" i="88"/>
  <c r="BQ224" i="88"/>
  <c r="HD162" i="88"/>
  <c r="HE162" i="88"/>
  <c r="GT162" i="88"/>
  <c r="IV162" i="88"/>
  <c r="BL160" i="88"/>
  <c r="HF150" i="88"/>
  <c r="GV150" i="88"/>
  <c r="HI150" i="88"/>
  <c r="IK147" i="88"/>
  <c r="IJ147" i="88"/>
  <c r="IK145" i="88"/>
  <c r="IJ145" i="88"/>
  <c r="AJ212" i="88"/>
  <c r="HC161" i="88"/>
  <c r="GW150" i="88"/>
  <c r="IK143" i="88"/>
  <c r="IJ143" i="88"/>
  <c r="BC212" i="88"/>
  <c r="IV138" i="88"/>
  <c r="HH134" i="88"/>
  <c r="GY134" i="88"/>
  <c r="GX134" i="88"/>
  <c r="HI134" i="88"/>
  <c r="HA129" i="88"/>
  <c r="GQ129" i="88"/>
  <c r="E212" i="88"/>
  <c r="GS131" i="88"/>
  <c r="HC131" i="88"/>
  <c r="GR131" i="88"/>
  <c r="HB131" i="88"/>
  <c r="K212" i="88"/>
  <c r="Q212" i="88"/>
  <c r="HF141" i="88"/>
  <c r="GJ158" i="88"/>
  <c r="IK121" i="88"/>
  <c r="IJ121" i="88"/>
  <c r="IK124" i="88"/>
  <c r="IJ124" i="88"/>
  <c r="IK122" i="88"/>
  <c r="IJ122" i="88"/>
  <c r="HD113" i="88"/>
  <c r="GT113" i="88"/>
  <c r="BX274" i="88"/>
  <c r="IC274" i="88"/>
  <c r="DA289" i="88"/>
  <c r="HE120" i="88"/>
  <c r="GU120" i="88"/>
  <c r="HF120" i="88"/>
  <c r="GT94" i="88"/>
  <c r="HD94" i="88"/>
  <c r="GU114" i="88"/>
  <c r="GS109" i="88"/>
  <c r="IE109" i="88"/>
  <c r="DA268" i="88"/>
  <c r="GV93" i="88"/>
  <c r="HF93" i="88"/>
  <c r="HF113" i="88"/>
  <c r="IT100" i="88"/>
  <c r="JB100" i="88"/>
  <c r="DJ268" i="88"/>
  <c r="DJ269" i="88"/>
  <c r="BN268" i="88"/>
  <c r="HF95" i="88"/>
  <c r="GV95" i="88"/>
  <c r="HG95" i="88"/>
  <c r="HI87" i="88"/>
  <c r="GY87" i="88"/>
  <c r="GX87" i="88"/>
  <c r="HH87" i="88"/>
  <c r="GV100" i="88"/>
  <c r="HF100" i="88"/>
  <c r="ID80" i="88"/>
  <c r="IH80" i="88" s="1"/>
  <c r="IN80" i="88" s="1"/>
  <c r="IN92" i="88"/>
  <c r="HG92" i="88"/>
  <c r="GW92" i="88"/>
  <c r="GX66" i="88"/>
  <c r="HI66" i="88"/>
  <c r="GY66" i="88"/>
  <c r="HH66" i="88"/>
  <c r="IT87" i="88"/>
  <c r="JB87" i="88"/>
  <c r="JC82" i="88"/>
  <c r="IU82" i="88"/>
  <c r="JD82" i="88"/>
  <c r="HD81" i="88"/>
  <c r="GT81" i="88"/>
  <c r="JC85" i="88"/>
  <c r="GU87" i="88"/>
  <c r="HE87" i="88"/>
  <c r="GU79" i="88"/>
  <c r="HE79" i="88"/>
  <c r="IC81" i="88"/>
  <c r="IG81" i="88" s="1"/>
  <c r="IV70" i="88"/>
  <c r="GL81" i="88"/>
  <c r="IA81" i="88"/>
  <c r="JC81" i="88" s="1"/>
  <c r="BY80" i="88"/>
  <c r="IV68" i="88"/>
  <c r="JD68" i="88"/>
  <c r="IX89" i="88"/>
  <c r="IP89" i="88"/>
  <c r="JH89" i="88"/>
  <c r="HG70" i="88"/>
  <c r="HF70" i="88"/>
  <c r="GV70" i="88"/>
  <c r="IZ81" i="88"/>
  <c r="GV79" i="88"/>
  <c r="JB66" i="88"/>
  <c r="IT66" i="88"/>
  <c r="GN80" i="88"/>
  <c r="BY63" i="88"/>
  <c r="GL67" i="88"/>
  <c r="HF67" i="88" s="1"/>
  <c r="IA67" i="88"/>
  <c r="JG81" i="88"/>
  <c r="FX77" i="88"/>
  <c r="JX77" i="88" s="1"/>
  <c r="IB63" i="88"/>
  <c r="GM63" i="88"/>
  <c r="GL64" i="88"/>
  <c r="GV64" i="88" s="1"/>
  <c r="HN63" i="88"/>
  <c r="JA69" i="88"/>
  <c r="IS69" i="88"/>
  <c r="FS63" i="88"/>
  <c r="GN63" i="88" s="1"/>
  <c r="GN64" i="88"/>
  <c r="HA77" i="88"/>
  <c r="HH68" i="88"/>
  <c r="IR64" i="88"/>
  <c r="HE56" i="88"/>
  <c r="GU56" i="88"/>
  <c r="HG53" i="88"/>
  <c r="GW53" i="88"/>
  <c r="IS29" i="88"/>
  <c r="JA29" i="88"/>
  <c r="GU54" i="88"/>
  <c r="HE54" i="88"/>
  <c r="JD51" i="88"/>
  <c r="IV51" i="88"/>
  <c r="HH48" i="88"/>
  <c r="GY48" i="88"/>
  <c r="GX48" i="88"/>
  <c r="HI48" i="88"/>
  <c r="GX32" i="88"/>
  <c r="GY32" i="88"/>
  <c r="HI32" i="88"/>
  <c r="HH32" i="88"/>
  <c r="IS22" i="88"/>
  <c r="JA22" i="88"/>
  <c r="IT22" i="88"/>
  <c r="JA51" i="88"/>
  <c r="IS51" i="88"/>
  <c r="IU50" i="88"/>
  <c r="JC50" i="88"/>
  <c r="JD45" i="88"/>
  <c r="IV45" i="88"/>
  <c r="IC42" i="88"/>
  <c r="JD33" i="88"/>
  <c r="IV33" i="88"/>
  <c r="GX28" i="88"/>
  <c r="HH28" i="88"/>
  <c r="GY28" i="88"/>
  <c r="HI28" i="88"/>
  <c r="AG60" i="88"/>
  <c r="AG40" i="88"/>
  <c r="FS42" i="88"/>
  <c r="GN42" i="88" s="1"/>
  <c r="IV34" i="88"/>
  <c r="JD34" i="88"/>
  <c r="JJ31" i="88"/>
  <c r="IR31" i="88"/>
  <c r="IZ31" i="88"/>
  <c r="IS26" i="88"/>
  <c r="JA26" i="88"/>
  <c r="IT26" i="88"/>
  <c r="IG52" i="88"/>
  <c r="IF52" i="88"/>
  <c r="GW48" i="88"/>
  <c r="HG48" i="88"/>
  <c r="GT45" i="88"/>
  <c r="HD45" i="88"/>
  <c r="GY35" i="88"/>
  <c r="GW50" i="88"/>
  <c r="ID42" i="88"/>
  <c r="IH42" i="88" s="1"/>
  <c r="IN42" i="88" s="1"/>
  <c r="AS103" i="88"/>
  <c r="AS104" i="88" s="1"/>
  <c r="AS98" i="88"/>
  <c r="AS101" i="88"/>
  <c r="EN215" i="88"/>
  <c r="EN222" i="88" s="1"/>
  <c r="EN227" i="88" s="1"/>
  <c r="EN230" i="88" s="1"/>
  <c r="EN232" i="88" s="1"/>
  <c r="EN74" i="88"/>
  <c r="EN61" i="88"/>
  <c r="R60" i="88"/>
  <c r="R40" i="88"/>
  <c r="DP60" i="88"/>
  <c r="DP40" i="88"/>
  <c r="HI45" i="88"/>
  <c r="HE33" i="88"/>
  <c r="GU33" i="88"/>
  <c r="GX45" i="88"/>
  <c r="JB45" i="88"/>
  <c r="HE32" i="88"/>
  <c r="GU32" i="88"/>
  <c r="HN21" i="88"/>
  <c r="HI19" i="88"/>
  <c r="GY19" i="88"/>
  <c r="HH19" i="88"/>
  <c r="GX19" i="88"/>
  <c r="DM60" i="88"/>
  <c r="DM40" i="88"/>
  <c r="HG17" i="88"/>
  <c r="GW17" i="88"/>
  <c r="JB35" i="88"/>
  <c r="GW30" i="88"/>
  <c r="HL18" i="88"/>
  <c r="GY12" i="88"/>
  <c r="HI12" i="88"/>
  <c r="HH12" i="88"/>
  <c r="GX12" i="88"/>
  <c r="CD60" i="88"/>
  <c r="CD40" i="88"/>
  <c r="JU40" i="88" s="1"/>
  <c r="IU16" i="88"/>
  <c r="JD16" i="88"/>
  <c r="JC16" i="88"/>
  <c r="IJ24" i="88"/>
  <c r="IK24" i="88"/>
  <c r="E60" i="88"/>
  <c r="E40" i="88"/>
  <c r="HU39" i="88"/>
  <c r="GF39" i="88"/>
  <c r="GF40" i="88" s="1"/>
  <c r="AQ103" i="88"/>
  <c r="AQ104" i="88" s="1"/>
  <c r="AQ101" i="88"/>
  <c r="AQ98" i="88"/>
  <c r="KJ16" i="88"/>
  <c r="KB16" i="88"/>
  <c r="KT16" i="88"/>
  <c r="JH15" i="88"/>
  <c r="AM74" i="88"/>
  <c r="AM61" i="88"/>
  <c r="GY29" i="88"/>
  <c r="JA27" i="88"/>
  <c r="IS27" i="88"/>
  <c r="GR14" i="88"/>
  <c r="HB14" i="88"/>
  <c r="JG33" i="88"/>
  <c r="GV22" i="88"/>
  <c r="HF22" i="88"/>
  <c r="IG17" i="88"/>
  <c r="IF17" i="88"/>
  <c r="AA60" i="88"/>
  <c r="AA40" i="88"/>
  <c r="KX14" i="88"/>
  <c r="KF14" i="88"/>
  <c r="KN14" i="88"/>
  <c r="KM27" i="88"/>
  <c r="KE27" i="88"/>
  <c r="KW27" i="88"/>
  <c r="KF26" i="88"/>
  <c r="KN26" i="88"/>
  <c r="KT37" i="88"/>
  <c r="KB37" i="88"/>
  <c r="KJ37" i="88"/>
  <c r="KX19" i="88"/>
  <c r="KN19" i="88"/>
  <c r="KF19" i="88"/>
  <c r="KU12" i="88"/>
  <c r="KK12" i="88"/>
  <c r="KC12" i="88"/>
  <c r="KY35" i="88"/>
  <c r="KG35" i="88"/>
  <c r="KO35" i="88"/>
  <c r="KD13" i="88"/>
  <c r="KL13" i="88"/>
  <c r="KV13" i="88"/>
  <c r="KE23" i="88"/>
  <c r="KM23" i="88"/>
  <c r="KW23" i="88"/>
  <c r="KU43" i="88"/>
  <c r="KC43" i="88"/>
  <c r="KK43" i="88"/>
  <c r="KD19" i="88"/>
  <c r="KV19" i="88"/>
  <c r="KL19" i="88"/>
  <c r="KV29" i="88"/>
  <c r="KD29" i="88"/>
  <c r="KL29" i="88"/>
  <c r="KP26" i="88"/>
  <c r="KH26" i="88"/>
  <c r="JP39" i="88"/>
  <c r="KJ39" i="88" s="1"/>
  <c r="KF54" i="88"/>
  <c r="KN54" i="88"/>
  <c r="KX54" i="88"/>
  <c r="KJ28" i="88"/>
  <c r="KT28" i="88"/>
  <c r="KB28" i="88"/>
  <c r="KM33" i="88"/>
  <c r="KE33" i="88"/>
  <c r="KW33" i="88"/>
  <c r="KK47" i="88"/>
  <c r="KU47" i="88"/>
  <c r="KC47" i="88"/>
  <c r="KD55" i="88"/>
  <c r="KL55" i="88"/>
  <c r="KV55" i="88"/>
  <c r="KY58" i="88"/>
  <c r="KG58" i="88"/>
  <c r="KO58" i="88"/>
  <c r="KO13" i="88"/>
  <c r="KY13" i="88"/>
  <c r="KG13" i="88"/>
  <c r="KH19" i="88"/>
  <c r="KZ19" i="88"/>
  <c r="KP19" i="88"/>
  <c r="KM26" i="88"/>
  <c r="KE26" i="88"/>
  <c r="KT39" i="88"/>
  <c r="JQ40" i="88"/>
  <c r="KJ46" i="88"/>
  <c r="KT46" i="88"/>
  <c r="KB46" i="88"/>
  <c r="KB49" i="88"/>
  <c r="KJ49" i="88"/>
  <c r="KT49" i="88"/>
  <c r="KS54" i="88"/>
  <c r="KS25" i="88"/>
  <c r="KM30" i="88"/>
  <c r="KW30" i="88"/>
  <c r="KE30" i="88"/>
  <c r="KS36" i="88"/>
  <c r="KY44" i="88"/>
  <c r="KG44" i="88"/>
  <c r="KO44" i="88"/>
  <c r="KV49" i="88"/>
  <c r="KD49" i="88"/>
  <c r="KL49" i="88"/>
  <c r="JY63" i="88"/>
  <c r="KF49" i="88"/>
  <c r="KX49" i="88"/>
  <c r="KN49" i="88"/>
  <c r="KT56" i="88"/>
  <c r="KB56" i="88"/>
  <c r="KJ56" i="88"/>
  <c r="KK65" i="88"/>
  <c r="KU65" i="88"/>
  <c r="KC65" i="88"/>
  <c r="KO57" i="88"/>
  <c r="KY57" i="88"/>
  <c r="KG57" i="88"/>
  <c r="KT66" i="88"/>
  <c r="KJ66" i="88"/>
  <c r="KB66" i="88"/>
  <c r="KX65" i="88"/>
  <c r="KN65" i="88"/>
  <c r="KF65" i="88"/>
  <c r="KV58" i="88"/>
  <c r="KD58" i="88"/>
  <c r="KL58" i="88"/>
  <c r="KY68" i="88"/>
  <c r="KG68" i="88"/>
  <c r="KO68" i="88"/>
  <c r="KK55" i="88"/>
  <c r="KC55" i="88"/>
  <c r="KU55" i="88"/>
  <c r="KC63" i="88"/>
  <c r="KU63" i="88"/>
  <c r="KK63" i="88"/>
  <c r="JR74" i="88"/>
  <c r="JY61" i="88"/>
  <c r="KM71" i="88"/>
  <c r="KE71" i="88"/>
  <c r="KJ89" i="88"/>
  <c r="KB89" i="88"/>
  <c r="KT89" i="88"/>
  <c r="KO78" i="88"/>
  <c r="KY78" i="88"/>
  <c r="KG78" i="88"/>
  <c r="KZ90" i="88"/>
  <c r="KP90" i="88"/>
  <c r="KH90" i="88"/>
  <c r="KZ69" i="88"/>
  <c r="KP69" i="88"/>
  <c r="KH69" i="88"/>
  <c r="KU80" i="88"/>
  <c r="KK80" i="88"/>
  <c r="KE69" i="88"/>
  <c r="KM69" i="88"/>
  <c r="KW69" i="88"/>
  <c r="KO63" i="88"/>
  <c r="KY63" i="88"/>
  <c r="KG63" i="88"/>
  <c r="KF69" i="88"/>
  <c r="KN69" i="88"/>
  <c r="KX69" i="88"/>
  <c r="KK84" i="88"/>
  <c r="KU84" i="88"/>
  <c r="KC84" i="88"/>
  <c r="KS93" i="88"/>
  <c r="KY95" i="88"/>
  <c r="KG95" i="88"/>
  <c r="KO95" i="88"/>
  <c r="KL69" i="88"/>
  <c r="KV69" i="88"/>
  <c r="KD69" i="88"/>
  <c r="KU89" i="88"/>
  <c r="KK89" i="88"/>
  <c r="KC89" i="88"/>
  <c r="KS81" i="88"/>
  <c r="KJ82" i="88"/>
  <c r="KT82" i="88"/>
  <c r="KB82" i="88"/>
  <c r="KS87" i="88"/>
  <c r="KT100" i="88"/>
  <c r="KJ100" i="88"/>
  <c r="KB100" i="88"/>
  <c r="KY100" i="88"/>
  <c r="KO100" i="88"/>
  <c r="KG100" i="88"/>
  <c r="KZ83" i="88"/>
  <c r="KH83" i="88"/>
  <c r="KP83" i="88"/>
  <c r="JY91" i="88"/>
  <c r="KJ87" i="88"/>
  <c r="KT87" i="88"/>
  <c r="KB87" i="88"/>
  <c r="KN94" i="88"/>
  <c r="KX94" i="88"/>
  <c r="KF94" i="88"/>
  <c r="KD117" i="88"/>
  <c r="KL117" i="88"/>
  <c r="KL95" i="88"/>
  <c r="KV95" i="88"/>
  <c r="KD95" i="88"/>
  <c r="JQ274" i="88"/>
  <c r="KJ113" i="88"/>
  <c r="KB113" i="88"/>
  <c r="JW116" i="88"/>
  <c r="JW274" i="88" s="1"/>
  <c r="KH118" i="88"/>
  <c r="KP118" i="88"/>
  <c r="KN110" i="88"/>
  <c r="KF110" i="88"/>
  <c r="KO120" i="88"/>
  <c r="KG120" i="88"/>
  <c r="JU116" i="88"/>
  <c r="KJ121" i="88"/>
  <c r="KB121" i="88"/>
  <c r="KG134" i="88"/>
  <c r="KO134" i="88"/>
  <c r="KH134" i="88"/>
  <c r="KP134" i="88"/>
  <c r="KD133" i="88"/>
  <c r="KL133" i="88"/>
  <c r="JU133" i="88"/>
  <c r="KO133" i="88" s="1"/>
  <c r="KG124" i="88"/>
  <c r="KO124" i="88"/>
  <c r="KD130" i="88"/>
  <c r="KL130" i="88"/>
  <c r="KF136" i="88"/>
  <c r="KN136" i="88"/>
  <c r="KC135" i="88"/>
  <c r="KK135" i="88"/>
  <c r="KJ133" i="88"/>
  <c r="KB133" i="88"/>
  <c r="KC138" i="88"/>
  <c r="KK138" i="88"/>
  <c r="JT133" i="88"/>
  <c r="KF142" i="88"/>
  <c r="KN142" i="88"/>
  <c r="KD144" i="88"/>
  <c r="KL144" i="88"/>
  <c r="KM145" i="88"/>
  <c r="KE145" i="88"/>
  <c r="KE155" i="88"/>
  <c r="KM155" i="88"/>
  <c r="KF155" i="88"/>
  <c r="KN155" i="88"/>
  <c r="KH148" i="88"/>
  <c r="KP148" i="88"/>
  <c r="KG155" i="88"/>
  <c r="KO155" i="88"/>
  <c r="KP144" i="88"/>
  <c r="KH144" i="88"/>
  <c r="KF151" i="88"/>
  <c r="KN151" i="88"/>
  <c r="JS271" i="88"/>
  <c r="JS270" i="88"/>
  <c r="KL161" i="88"/>
  <c r="KD161" i="88"/>
  <c r="KL166" i="88"/>
  <c r="KD166" i="88"/>
  <c r="JT171" i="88"/>
  <c r="KN171" i="88" s="1"/>
  <c r="KD165" i="88"/>
  <c r="KL165" i="88"/>
  <c r="KH155" i="88"/>
  <c r="KP155" i="88"/>
  <c r="KC168" i="88"/>
  <c r="KK168" i="88"/>
  <c r="KB174" i="88"/>
  <c r="KJ174" i="88"/>
  <c r="KE180" i="88"/>
  <c r="KM180" i="88"/>
  <c r="KE175" i="88"/>
  <c r="KM175" i="88"/>
  <c r="KC184" i="88"/>
  <c r="KK184" i="88"/>
  <c r="KH170" i="88"/>
  <c r="KP170" i="88"/>
  <c r="KF173" i="88"/>
  <c r="KN173" i="88"/>
  <c r="KG174" i="88"/>
  <c r="KO174" i="88"/>
  <c r="KC183" i="88"/>
  <c r="KK183" i="88"/>
  <c r="KK176" i="88"/>
  <c r="KC176" i="88"/>
  <c r="KE179" i="88"/>
  <c r="KM179" i="88"/>
  <c r="KD184" i="88"/>
  <c r="KL184" i="88"/>
  <c r="KG190" i="88"/>
  <c r="KO190" i="88"/>
  <c r="KB187" i="88"/>
  <c r="KJ187" i="88"/>
  <c r="KG192" i="88"/>
  <c r="KO192" i="88"/>
  <c r="KP183" i="88"/>
  <c r="KH183" i="88"/>
  <c r="KM190" i="88"/>
  <c r="KE190" i="88"/>
  <c r="KB203" i="88"/>
  <c r="KJ203" i="88"/>
  <c r="KJ197" i="88"/>
  <c r="KB197" i="88"/>
  <c r="KD202" i="88"/>
  <c r="KL202" i="88"/>
  <c r="KE202" i="88"/>
  <c r="KM202" i="88"/>
  <c r="KF203" i="88"/>
  <c r="KN203" i="88"/>
  <c r="KP192" i="88"/>
  <c r="KH192" i="88"/>
  <c r="KP207" i="88"/>
  <c r="KH207" i="88"/>
  <c r="KF204" i="88"/>
  <c r="KN204" i="88"/>
  <c r="KP208" i="88"/>
  <c r="KH208" i="88"/>
  <c r="J74" i="88"/>
  <c r="J61" i="88"/>
  <c r="KK14" i="88"/>
  <c r="GW23" i="88"/>
  <c r="JJ19" i="88"/>
  <c r="DO74" i="88"/>
  <c r="JC12" i="88"/>
  <c r="IK19" i="88"/>
  <c r="IJ19" i="88"/>
  <c r="HF25" i="88"/>
  <c r="GV16" i="88"/>
  <c r="IJ206" i="88"/>
  <c r="IK206" i="88"/>
  <c r="IK202" i="88"/>
  <c r="IJ202" i="88"/>
  <c r="IT200" i="88"/>
  <c r="JB200" i="88"/>
  <c r="AB210" i="88"/>
  <c r="GG210" i="88" s="1"/>
  <c r="GG194" i="88"/>
  <c r="CP182" i="88"/>
  <c r="IB185" i="88"/>
  <c r="IV185" i="88" s="1"/>
  <c r="BX182" i="88"/>
  <c r="GK185" i="88"/>
  <c r="HE197" i="88"/>
  <c r="GU197" i="88"/>
  <c r="DU182" i="88"/>
  <c r="BR182" i="88"/>
  <c r="HZ185" i="88"/>
  <c r="DO194" i="88"/>
  <c r="IE182" i="88"/>
  <c r="IJ172" i="88"/>
  <c r="IK172" i="88"/>
  <c r="JD188" i="88"/>
  <c r="IJ171" i="88"/>
  <c r="IK171" i="88"/>
  <c r="JC164" i="88"/>
  <c r="IU164" i="88"/>
  <c r="GW176" i="88"/>
  <c r="HG176" i="88"/>
  <c r="CI294" i="88"/>
  <c r="BU220" i="88"/>
  <c r="BU218" i="88" s="1"/>
  <c r="CX268" i="88"/>
  <c r="IK151" i="88"/>
  <c r="IJ151" i="88"/>
  <c r="HD150" i="88"/>
  <c r="GT150" i="88"/>
  <c r="IC271" i="88"/>
  <c r="IK156" i="88"/>
  <c r="IJ156" i="88"/>
  <c r="IT151" i="88"/>
  <c r="JB151" i="88"/>
  <c r="AB212" i="88"/>
  <c r="GG158" i="88"/>
  <c r="GS161" i="88"/>
  <c r="GN141" i="88"/>
  <c r="HH141" i="88" s="1"/>
  <c r="FR131" i="88"/>
  <c r="IT138" i="88"/>
  <c r="AT212" i="88"/>
  <c r="HX158" i="88"/>
  <c r="DU131" i="88"/>
  <c r="BJ212" i="88"/>
  <c r="DO131" i="88"/>
  <c r="BG212" i="88"/>
  <c r="I212" i="88"/>
  <c r="BE212" i="88"/>
  <c r="IK127" i="88"/>
  <c r="IJ127" i="88"/>
  <c r="BD212" i="88"/>
  <c r="BW129" i="88"/>
  <c r="CV219" i="88"/>
  <c r="DL274" i="88"/>
  <c r="HD117" i="88"/>
  <c r="GT117" i="88"/>
  <c r="DM212" i="88"/>
  <c r="BZ274" i="88"/>
  <c r="JC110" i="88"/>
  <c r="IR91" i="88"/>
  <c r="HC109" i="88"/>
  <c r="IK113" i="88"/>
  <c r="IJ113" i="88"/>
  <c r="IG110" i="88"/>
  <c r="IV110" i="88"/>
  <c r="JD110" i="88"/>
  <c r="DA269" i="88"/>
  <c r="CG268" i="88"/>
  <c r="CG269" i="88"/>
  <c r="JC95" i="88"/>
  <c r="IU95" i="88"/>
  <c r="JA93" i="88"/>
  <c r="IS93" i="88"/>
  <c r="JC100" i="88"/>
  <c r="IU100" i="88"/>
  <c r="JC87" i="88"/>
  <c r="IU87" i="88"/>
  <c r="JB94" i="88"/>
  <c r="IT94" i="88"/>
  <c r="HI85" i="88"/>
  <c r="GV85" i="88"/>
  <c r="HF85" i="88"/>
  <c r="BM80" i="88"/>
  <c r="JD90" i="88"/>
  <c r="IV90" i="88"/>
  <c r="IT93" i="88"/>
  <c r="JB93" i="88"/>
  <c r="IU85" i="88"/>
  <c r="HI92" i="88"/>
  <c r="GY92" i="88"/>
  <c r="HS92" i="88"/>
  <c r="GX92" i="88"/>
  <c r="HH92" i="88"/>
  <c r="GS79" i="88"/>
  <c r="HB79" i="88"/>
  <c r="GR79" i="88"/>
  <c r="GT65" i="88"/>
  <c r="HD65" i="88"/>
  <c r="GU82" i="88"/>
  <c r="HE82" i="88"/>
  <c r="CF226" i="88"/>
  <c r="GT70" i="88"/>
  <c r="HD70" i="88"/>
  <c r="BN226" i="88"/>
  <c r="HA63" i="88"/>
  <c r="HL63" i="88"/>
  <c r="GQ63" i="88"/>
  <c r="IR81" i="88"/>
  <c r="IK68" i="88"/>
  <c r="IJ68" i="88"/>
  <c r="IJ65" i="88"/>
  <c r="IK65" i="88"/>
  <c r="GW66" i="88"/>
  <c r="HD58" i="88"/>
  <c r="GT58" i="88"/>
  <c r="IX77" i="88"/>
  <c r="GV58" i="88"/>
  <c r="GW55" i="88"/>
  <c r="HG55" i="88"/>
  <c r="BR80" i="88"/>
  <c r="HF56" i="88"/>
  <c r="GV56" i="88"/>
  <c r="HD69" i="88"/>
  <c r="GT69" i="88"/>
  <c r="GW65" i="88"/>
  <c r="HG65" i="88"/>
  <c r="JC65" i="88"/>
  <c r="IU65" i="88"/>
  <c r="GU43" i="88"/>
  <c r="HE43" i="88"/>
  <c r="GT54" i="88"/>
  <c r="HD54" i="88"/>
  <c r="GY70" i="88"/>
  <c r="IT56" i="88"/>
  <c r="JB56" i="88"/>
  <c r="IC64" i="88"/>
  <c r="IG64" i="88" s="1"/>
  <c r="HI53" i="88"/>
  <c r="GY53" i="88"/>
  <c r="HH53" i="88"/>
  <c r="GX53" i="88"/>
  <c r="JD46" i="88"/>
  <c r="GV28" i="88"/>
  <c r="HF28" i="88"/>
  <c r="HI56" i="88"/>
  <c r="HF51" i="88"/>
  <c r="GV51" i="88"/>
  <c r="HI51" i="88"/>
  <c r="GY51" i="88"/>
  <c r="HH51" i="88"/>
  <c r="GX51" i="88"/>
  <c r="GY55" i="88"/>
  <c r="HE29" i="88"/>
  <c r="GU29" i="88"/>
  <c r="IG53" i="88"/>
  <c r="IF53" i="88"/>
  <c r="GK47" i="88"/>
  <c r="HZ47" i="88"/>
  <c r="Y60" i="88"/>
  <c r="Y40" i="88"/>
  <c r="IK56" i="88"/>
  <c r="GU53" i="88"/>
  <c r="HE53" i="88"/>
  <c r="IN24" i="88"/>
  <c r="IT52" i="88"/>
  <c r="JB52" i="88"/>
  <c r="JD48" i="88"/>
  <c r="IV48" i="88"/>
  <c r="HC47" i="88"/>
  <c r="HN47" i="88"/>
  <c r="GS47" i="88"/>
  <c r="GV43" i="88"/>
  <c r="HF43" i="88"/>
  <c r="EO215" i="88"/>
  <c r="EO222" i="88" s="1"/>
  <c r="EO227" i="88" s="1"/>
  <c r="EO230" i="88" s="1"/>
  <c r="EO232" i="88" s="1"/>
  <c r="EO74" i="88"/>
  <c r="EO61" i="88"/>
  <c r="HF54" i="88"/>
  <c r="JG44" i="88"/>
  <c r="GV32" i="88"/>
  <c r="HF32" i="88"/>
  <c r="HG50" i="88"/>
  <c r="IN43" i="88"/>
  <c r="IU13" i="88"/>
  <c r="JC13" i="88"/>
  <c r="GW24" i="88"/>
  <c r="HG24" i="88"/>
  <c r="JC23" i="88"/>
  <c r="IU23" i="88"/>
  <c r="JD54" i="88"/>
  <c r="HG43" i="88"/>
  <c r="GW43" i="88"/>
  <c r="GT33" i="88"/>
  <c r="HD33" i="88"/>
  <c r="GW52" i="88"/>
  <c r="GV48" i="88"/>
  <c r="GW44" i="88"/>
  <c r="JB30" i="88"/>
  <c r="IT30" i="88"/>
  <c r="HF53" i="88"/>
  <c r="GY45" i="88"/>
  <c r="IV19" i="88"/>
  <c r="JD19" i="88"/>
  <c r="AU74" i="88"/>
  <c r="AU97" i="88" s="1"/>
  <c r="AU61" i="88"/>
  <c r="IK26" i="88"/>
  <c r="IJ26" i="88"/>
  <c r="GX17" i="88"/>
  <c r="HI17" i="88"/>
  <c r="GY17" i="88"/>
  <c r="HH17" i="88"/>
  <c r="CG60" i="88"/>
  <c r="CG40" i="88"/>
  <c r="BD74" i="88"/>
  <c r="BD61" i="88"/>
  <c r="HH30" i="88"/>
  <c r="GY30" i="88"/>
  <c r="HI30" i="88"/>
  <c r="GX30" i="88"/>
  <c r="HS30" i="88"/>
  <c r="KZ16" i="88"/>
  <c r="KH16" i="88"/>
  <c r="KP16" i="88"/>
  <c r="CU60" i="88"/>
  <c r="CU40" i="88"/>
  <c r="GW27" i="88"/>
  <c r="HL14" i="88"/>
  <c r="FY97" i="88"/>
  <c r="BL74" i="88"/>
  <c r="BL61" i="88"/>
  <c r="HG32" i="88"/>
  <c r="BF60" i="88"/>
  <c r="BF40" i="88"/>
  <c r="IK13" i="88"/>
  <c r="IJ13" i="88"/>
  <c r="JH83" i="88"/>
  <c r="JH100" i="88"/>
  <c r="JH95" i="88"/>
  <c r="JH94" i="88"/>
  <c r="JH101" i="88"/>
  <c r="JH93" i="88"/>
  <c r="JH86" i="88"/>
  <c r="JH68" i="88"/>
  <c r="JH65" i="88"/>
  <c r="JH54" i="88"/>
  <c r="JH55" i="88"/>
  <c r="IX11" i="88"/>
  <c r="JH31" i="88"/>
  <c r="JH50" i="88"/>
  <c r="JH49" i="88"/>
  <c r="IP11" i="88"/>
  <c r="JH36" i="88"/>
  <c r="JH37" i="88"/>
  <c r="JH27" i="88"/>
  <c r="JH43" i="88"/>
  <c r="JH35" i="88"/>
  <c r="JH14" i="88"/>
  <c r="JH12" i="88"/>
  <c r="JH25" i="88"/>
  <c r="JH11" i="88"/>
  <c r="HD27" i="88"/>
  <c r="GT27" i="88"/>
  <c r="IT18" i="88"/>
  <c r="JB18" i="88"/>
  <c r="AO39" i="88"/>
  <c r="HX11" i="88"/>
  <c r="IZ11" i="88" s="1"/>
  <c r="GI11" i="88"/>
  <c r="GN21" i="88"/>
  <c r="JA25" i="88"/>
  <c r="IS25" i="88"/>
  <c r="GI21" i="88"/>
  <c r="HC21" i="88" s="1"/>
  <c r="HE17" i="88"/>
  <c r="GU17" i="88"/>
  <c r="JG12" i="88"/>
  <c r="KY12" i="88"/>
  <c r="KG12" i="88"/>
  <c r="KO12" i="88"/>
  <c r="KE28" i="88"/>
  <c r="KW28" i="88"/>
  <c r="KM28" i="88"/>
  <c r="KX27" i="88"/>
  <c r="KF27" i="88"/>
  <c r="KN27" i="88"/>
  <c r="KJ12" i="88"/>
  <c r="KT12" i="88"/>
  <c r="KB12" i="88"/>
  <c r="KL21" i="88"/>
  <c r="KV21" i="88"/>
  <c r="KD21" i="88"/>
  <c r="KT13" i="88"/>
  <c r="KB13" i="88"/>
  <c r="KJ13" i="88"/>
  <c r="KW36" i="88"/>
  <c r="KE36" i="88"/>
  <c r="KM36" i="88"/>
  <c r="KU49" i="88"/>
  <c r="KK49" i="88"/>
  <c r="KC49" i="88"/>
  <c r="KM44" i="88"/>
  <c r="KW44" i="88"/>
  <c r="KE44" i="88"/>
  <c r="KC30" i="88"/>
  <c r="KK30" i="88"/>
  <c r="KU30" i="88"/>
  <c r="KD15" i="88"/>
  <c r="KV15" i="88"/>
  <c r="KL15" i="88"/>
  <c r="KX44" i="88"/>
  <c r="KF44" i="88"/>
  <c r="KN44" i="88"/>
  <c r="KX30" i="88"/>
  <c r="KF30" i="88"/>
  <c r="KN30" i="88"/>
  <c r="KU42" i="88"/>
  <c r="KC42" i="88"/>
  <c r="KK42" i="88"/>
  <c r="KB54" i="88"/>
  <c r="KJ54" i="88"/>
  <c r="KT54" i="88"/>
  <c r="KH42" i="88"/>
  <c r="KP42" i="88"/>
  <c r="KT55" i="88"/>
  <c r="KB55" i="88"/>
  <c r="KJ55" i="88"/>
  <c r="KZ28" i="88"/>
  <c r="KP28" i="88"/>
  <c r="KH28" i="88"/>
  <c r="KL42" i="88"/>
  <c r="KV42" i="88"/>
  <c r="KD42" i="88"/>
  <c r="KM48" i="88"/>
  <c r="KW48" i="88"/>
  <c r="KE48" i="88"/>
  <c r="KY56" i="88"/>
  <c r="KG56" i="88"/>
  <c r="KO56" i="88"/>
  <c r="KM14" i="88"/>
  <c r="KW14" i="88"/>
  <c r="KJ21" i="88"/>
  <c r="KT21" i="88"/>
  <c r="KB21" i="88"/>
  <c r="KL32" i="88"/>
  <c r="KD32" i="88"/>
  <c r="KV32" i="88"/>
  <c r="KP46" i="88"/>
  <c r="KH46" i="88"/>
  <c r="KZ46" i="88"/>
  <c r="KB50" i="88"/>
  <c r="KJ50" i="88"/>
  <c r="KT50" i="88"/>
  <c r="KL31" i="88"/>
  <c r="KD31" i="88"/>
  <c r="KV31" i="88"/>
  <c r="KT45" i="88"/>
  <c r="KB45" i="88"/>
  <c r="KJ45" i="88"/>
  <c r="KD50" i="88"/>
  <c r="KV50" i="88"/>
  <c r="KL50" i="88"/>
  <c r="KE50" i="88"/>
  <c r="KW50" i="88"/>
  <c r="KM50" i="88"/>
  <c r="KY81" i="88"/>
  <c r="KO81" i="88"/>
  <c r="KG81" i="88"/>
  <c r="KZ56" i="88"/>
  <c r="KH56" i="88"/>
  <c r="KP56" i="88"/>
  <c r="KS66" i="88"/>
  <c r="KJ58" i="88"/>
  <c r="KT58" i="88"/>
  <c r="KB58" i="88"/>
  <c r="KT67" i="88"/>
  <c r="KJ67" i="88"/>
  <c r="KB67" i="88"/>
  <c r="KX66" i="88"/>
  <c r="KN66" i="88"/>
  <c r="KF66" i="88"/>
  <c r="KC70" i="88"/>
  <c r="KK70" i="88"/>
  <c r="KN56" i="88"/>
  <c r="KX56" i="88"/>
  <c r="KF56" i="88"/>
  <c r="KD64" i="88"/>
  <c r="KL64" i="88"/>
  <c r="KV64" i="88"/>
  <c r="KH78" i="88"/>
  <c r="KP78" i="88"/>
  <c r="KZ78" i="88"/>
  <c r="KT90" i="88"/>
  <c r="KJ90" i="88"/>
  <c r="KB90" i="88"/>
  <c r="KC79" i="88"/>
  <c r="KU79" i="88"/>
  <c r="KK79" i="88"/>
  <c r="KD65" i="88"/>
  <c r="KL65" i="88"/>
  <c r="KV65" i="88"/>
  <c r="KB70" i="88"/>
  <c r="KJ70" i="88"/>
  <c r="KN81" i="88"/>
  <c r="KF81" i="88"/>
  <c r="KX81" i="88"/>
  <c r="KF70" i="88"/>
  <c r="KN70" i="88"/>
  <c r="KG70" i="88"/>
  <c r="KO70" i="88"/>
  <c r="KU87" i="88"/>
  <c r="KK87" i="88"/>
  <c r="KC87" i="88"/>
  <c r="KW83" i="88"/>
  <c r="KE83" i="88"/>
  <c r="KM83" i="88"/>
  <c r="JU64" i="88"/>
  <c r="KO64" i="88" s="1"/>
  <c r="KL70" i="88"/>
  <c r="KD70" i="88"/>
  <c r="KH92" i="88"/>
  <c r="KP92" i="88"/>
  <c r="KZ92" i="88"/>
  <c r="KW91" i="88"/>
  <c r="KM91" i="88"/>
  <c r="KE91" i="88"/>
  <c r="JR268" i="88"/>
  <c r="JR269" i="88"/>
  <c r="KC109" i="88"/>
  <c r="KK109" i="88"/>
  <c r="KZ82" i="88"/>
  <c r="KH82" i="88"/>
  <c r="KP82" i="88"/>
  <c r="KK100" i="88"/>
  <c r="KU100" i="88"/>
  <c r="KC100" i="88"/>
  <c r="KJ85" i="88"/>
  <c r="KT85" i="88"/>
  <c r="KB85" i="88"/>
  <c r="KG91" i="88"/>
  <c r="KO91" i="88"/>
  <c r="KY91" i="88"/>
  <c r="KX100" i="88"/>
  <c r="KN100" i="88"/>
  <c r="KF100" i="88"/>
  <c r="KN84" i="88"/>
  <c r="KX84" i="88"/>
  <c r="KF84" i="88"/>
  <c r="KB92" i="88"/>
  <c r="KT92" i="88"/>
  <c r="KJ92" i="88"/>
  <c r="KH87" i="88"/>
  <c r="KP87" i="88"/>
  <c r="KZ87" i="88"/>
  <c r="KS95" i="88"/>
  <c r="KD118" i="88"/>
  <c r="KL118" i="88"/>
  <c r="JO274" i="88"/>
  <c r="KM94" i="88"/>
  <c r="KW94" i="88"/>
  <c r="KE94" i="88"/>
  <c r="KJ114" i="88"/>
  <c r="KB114" i="88"/>
  <c r="KN111" i="88"/>
  <c r="KF111" i="88"/>
  <c r="JQ268" i="88"/>
  <c r="JQ269" i="88"/>
  <c r="KJ109" i="88"/>
  <c r="KB109" i="88"/>
  <c r="KO113" i="88"/>
  <c r="KG113" i="88"/>
  <c r="KC121" i="88"/>
  <c r="KK121" i="88"/>
  <c r="KM117" i="88"/>
  <c r="KE117" i="88"/>
  <c r="KH121" i="88"/>
  <c r="KP121" i="88"/>
  <c r="KC122" i="88"/>
  <c r="KK122" i="88"/>
  <c r="KH127" i="88"/>
  <c r="KP127" i="88"/>
  <c r="KD119" i="88"/>
  <c r="KL119" i="88"/>
  <c r="KE118" i="88"/>
  <c r="KM118" i="88"/>
  <c r="KC126" i="88"/>
  <c r="KK126" i="88"/>
  <c r="KC125" i="88"/>
  <c r="KK125" i="88"/>
  <c r="KH132" i="88"/>
  <c r="KP132" i="88"/>
  <c r="KD125" i="88"/>
  <c r="KL125" i="88"/>
  <c r="KC130" i="88"/>
  <c r="KK130" i="88"/>
  <c r="KJ124" i="88"/>
  <c r="KB124" i="88"/>
  <c r="KB137" i="88"/>
  <c r="KJ137" i="88"/>
  <c r="KG142" i="88"/>
  <c r="KO142" i="88"/>
  <c r="KG136" i="88"/>
  <c r="KO136" i="88"/>
  <c r="KJ125" i="88"/>
  <c r="KB125" i="88"/>
  <c r="KJ130" i="88"/>
  <c r="KB130" i="88"/>
  <c r="KD135" i="88"/>
  <c r="KL135" i="88"/>
  <c r="KH151" i="88"/>
  <c r="KP151" i="88"/>
  <c r="KH133" i="88"/>
  <c r="KP133" i="88"/>
  <c r="KG139" i="88"/>
  <c r="KO139" i="88"/>
  <c r="KC150" i="88"/>
  <c r="KK150" i="88"/>
  <c r="KD134" i="88"/>
  <c r="KL134" i="88"/>
  <c r="KH150" i="88"/>
  <c r="KP150" i="88"/>
  <c r="KO143" i="88"/>
  <c r="KG143" i="88"/>
  <c r="KD145" i="88"/>
  <c r="KL145" i="88"/>
  <c r="KO146" i="88"/>
  <c r="KG146" i="88"/>
  <c r="KM156" i="88"/>
  <c r="KE156" i="88"/>
  <c r="KF156" i="88"/>
  <c r="KN156" i="88"/>
  <c r="KB149" i="88"/>
  <c r="KJ149" i="88"/>
  <c r="KG156" i="88"/>
  <c r="KO156" i="88"/>
  <c r="KB145" i="88"/>
  <c r="KJ145" i="88"/>
  <c r="KF152" i="88"/>
  <c r="KN152" i="88"/>
  <c r="KK143" i="88"/>
  <c r="KC143" i="88"/>
  <c r="KO151" i="88"/>
  <c r="KG151" i="88"/>
  <c r="KC160" i="88"/>
  <c r="KK160" i="88"/>
  <c r="KD176" i="88"/>
  <c r="KL176" i="88"/>
  <c r="KB162" i="88"/>
  <c r="KJ162" i="88"/>
  <c r="KG168" i="88"/>
  <c r="KO168" i="88"/>
  <c r="KE166" i="88"/>
  <c r="KM166" i="88"/>
  <c r="KE169" i="88"/>
  <c r="KM169" i="88"/>
  <c r="KC167" i="88"/>
  <c r="KK167" i="88"/>
  <c r="KJ156" i="88"/>
  <c r="KB156" i="88"/>
  <c r="KP174" i="88"/>
  <c r="KH174" i="88"/>
  <c r="KF176" i="88"/>
  <c r="KN176" i="88"/>
  <c r="KL171" i="88"/>
  <c r="KD171" i="88"/>
  <c r="KC178" i="88"/>
  <c r="KK178" i="88"/>
  <c r="KJ167" i="88"/>
  <c r="KB167" i="88"/>
  <c r="KF174" i="88"/>
  <c r="KN174" i="88"/>
  <c r="KH179" i="88"/>
  <c r="KP179" i="88"/>
  <c r="KF185" i="88"/>
  <c r="KN185" i="88"/>
  <c r="KE177" i="88"/>
  <c r="KM177" i="88"/>
  <c r="KC180" i="88"/>
  <c r="KK180" i="88"/>
  <c r="JR194" i="88"/>
  <c r="JV185" i="88"/>
  <c r="KC191" i="88"/>
  <c r="KK191" i="88"/>
  <c r="KB200" i="88"/>
  <c r="KJ200" i="88"/>
  <c r="KH187" i="88"/>
  <c r="KP187" i="88"/>
  <c r="KE192" i="88"/>
  <c r="KM192" i="88"/>
  <c r="JP194" i="88"/>
  <c r="KJ184" i="88"/>
  <c r="KB184" i="88"/>
  <c r="KH203" i="88"/>
  <c r="KP203" i="88"/>
  <c r="KC206" i="88"/>
  <c r="KK206" i="88"/>
  <c r="KH197" i="88"/>
  <c r="KP197" i="88"/>
  <c r="KD203" i="88"/>
  <c r="KL203" i="88"/>
  <c r="KE203" i="88"/>
  <c r="KM203" i="88"/>
  <c r="KD196" i="88"/>
  <c r="KL196" i="88"/>
  <c r="KL204" i="88"/>
  <c r="KD204" i="88"/>
  <c r="KG201" i="88"/>
  <c r="KO201" i="88"/>
  <c r="KJ204" i="88"/>
  <c r="KB204" i="88"/>
  <c r="KB208" i="88"/>
  <c r="KJ208" i="88"/>
  <c r="KG207" i="88"/>
  <c r="KO207" i="88"/>
  <c r="IV13" i="88"/>
  <c r="HI33" i="88"/>
  <c r="IC21" i="88"/>
  <c r="HK19" i="88"/>
  <c r="EZ215" i="88"/>
  <c r="EZ222" i="88" s="1"/>
  <c r="EZ227" i="88" s="1"/>
  <c r="EZ230" i="88" s="1"/>
  <c r="EZ232" i="88" s="1"/>
  <c r="EZ74" i="88"/>
  <c r="EZ61" i="88"/>
  <c r="AI61" i="88"/>
  <c r="AI74" i="88"/>
  <c r="KV24" i="88"/>
  <c r="M60" i="88"/>
  <c r="M40" i="88"/>
  <c r="FB215" i="88"/>
  <c r="FB222" i="88" s="1"/>
  <c r="FB227" i="88" s="1"/>
  <c r="FB230" i="88" s="1"/>
  <c r="FB232" i="88" s="1"/>
  <c r="FB74" i="88"/>
  <c r="FB61" i="88"/>
  <c r="IF19" i="88"/>
  <c r="GV25" i="88"/>
  <c r="HH24" i="88"/>
  <c r="HF197" i="88"/>
  <c r="GV197" i="88"/>
  <c r="HG197" i="88"/>
  <c r="IT201" i="88"/>
  <c r="JB201" i="88"/>
  <c r="GY197" i="88"/>
  <c r="J210" i="88"/>
  <c r="HU194" i="88"/>
  <c r="IG196" i="88"/>
  <c r="IG185" i="88"/>
  <c r="HF172" i="88"/>
  <c r="GV172" i="88"/>
  <c r="GY172" i="88"/>
  <c r="IK187" i="88"/>
  <c r="IJ187" i="88"/>
  <c r="JB186" i="88"/>
  <c r="IP182" i="88"/>
  <c r="HI171" i="88"/>
  <c r="GW168" i="88"/>
  <c r="HG172" i="88"/>
  <c r="IT171" i="88"/>
  <c r="CJ294" i="88"/>
  <c r="GN175" i="88"/>
  <c r="FR160" i="88"/>
  <c r="JD164" i="88"/>
  <c r="HF166" i="88"/>
  <c r="CP224" i="88"/>
  <c r="IB161" i="88"/>
  <c r="CP160" i="88"/>
  <c r="IJ165" i="88"/>
  <c r="IK165" i="88"/>
  <c r="CG224" i="88"/>
  <c r="CA224" i="88"/>
  <c r="HE164" i="88"/>
  <c r="IT150" i="88"/>
  <c r="JB150" i="88"/>
  <c r="IJ167" i="88"/>
  <c r="IK167" i="88"/>
  <c r="T212" i="88"/>
  <c r="GY150" i="88"/>
  <c r="HI141" i="88"/>
  <c r="GY141" i="88"/>
  <c r="JD138" i="88"/>
  <c r="JB138" i="88"/>
  <c r="AL212" i="88"/>
  <c r="IS134" i="88"/>
  <c r="JA134" i="88"/>
  <c r="BB212" i="88"/>
  <c r="BI212" i="88"/>
  <c r="AX212" i="88"/>
  <c r="JB134" i="88"/>
  <c r="AV212" i="88"/>
  <c r="AU212" i="88"/>
  <c r="BT158" i="88"/>
  <c r="CV274" i="88"/>
  <c r="BP274" i="88"/>
  <c r="GI274" i="88"/>
  <c r="CD219" i="88"/>
  <c r="GF268" i="88"/>
  <c r="GF269" i="88"/>
  <c r="GF212" i="88"/>
  <c r="HI117" i="88"/>
  <c r="IK117" i="88"/>
  <c r="IJ117" i="88"/>
  <c r="DR212" i="88"/>
  <c r="CE268" i="88"/>
  <c r="CE269" i="88"/>
  <c r="GT86" i="88"/>
  <c r="HD86" i="88"/>
  <c r="BU268" i="88"/>
  <c r="GW90" i="88"/>
  <c r="HG90" i="88"/>
  <c r="IT115" i="88"/>
  <c r="JB115" i="88"/>
  <c r="ID274" i="88"/>
  <c r="IK100" i="88"/>
  <c r="IJ100" i="88"/>
  <c r="JB92" i="88"/>
  <c r="IT92" i="88"/>
  <c r="HG93" i="88"/>
  <c r="GW93" i="88"/>
  <c r="BM89" i="88"/>
  <c r="IN91" i="88"/>
  <c r="HD87" i="88"/>
  <c r="GT87" i="88"/>
  <c r="IK92" i="88"/>
  <c r="IJ92" i="88"/>
  <c r="IB91" i="88"/>
  <c r="GM91" i="88"/>
  <c r="CK89" i="88"/>
  <c r="CK226" i="88" s="1"/>
  <c r="HX89" i="88"/>
  <c r="GI89" i="88"/>
  <c r="HC89" i="88" s="1"/>
  <c r="HH86" i="88"/>
  <c r="GY86" i="88"/>
  <c r="GX86" i="88"/>
  <c r="HI86" i="88"/>
  <c r="IU83" i="88"/>
  <c r="JC83" i="88"/>
  <c r="IB80" i="88"/>
  <c r="HF92" i="88"/>
  <c r="GV92" i="88"/>
  <c r="IB84" i="88"/>
  <c r="GM84" i="88"/>
  <c r="HI82" i="88"/>
  <c r="HF82" i="88"/>
  <c r="GY82" i="88"/>
  <c r="GV82" i="88"/>
  <c r="GU85" i="88"/>
  <c r="HE85" i="88"/>
  <c r="HN89" i="88"/>
  <c r="HS81" i="88"/>
  <c r="HH81" i="88"/>
  <c r="GY81" i="88"/>
  <c r="GX81" i="88"/>
  <c r="HI81" i="88"/>
  <c r="BQ226" i="88"/>
  <c r="HE78" i="88"/>
  <c r="GU78" i="88"/>
  <c r="JD79" i="88"/>
  <c r="GR81" i="88"/>
  <c r="HB81" i="88"/>
  <c r="CT226" i="88"/>
  <c r="IT65" i="88"/>
  <c r="JB65" i="88"/>
  <c r="GI63" i="88"/>
  <c r="HX63" i="88"/>
  <c r="FH77" i="88"/>
  <c r="ID77" i="88" s="1"/>
  <c r="IH77" i="88" s="1"/>
  <c r="IN77" i="88" s="1"/>
  <c r="HF79" i="88"/>
  <c r="GW67" i="88"/>
  <c r="IV66" i="88"/>
  <c r="IE64" i="88"/>
  <c r="IT58" i="88"/>
  <c r="GX54" i="88"/>
  <c r="HI54" i="88"/>
  <c r="HS54" i="88"/>
  <c r="HH54" i="88"/>
  <c r="GY54" i="88"/>
  <c r="JG55" i="88"/>
  <c r="JG53" i="88"/>
  <c r="GU55" i="88"/>
  <c r="HE55" i="88"/>
  <c r="HE52" i="88"/>
  <c r="GU52" i="88"/>
  <c r="BA97" i="88"/>
  <c r="BA75" i="88"/>
  <c r="IS34" i="88"/>
  <c r="JA34" i="88"/>
  <c r="IU28" i="88"/>
  <c r="JC28" i="88"/>
  <c r="ID20" i="88"/>
  <c r="IH20" i="88" s="1"/>
  <c r="IN20" i="88" s="1"/>
  <c r="IU56" i="88"/>
  <c r="IV50" i="88"/>
  <c r="JD50" i="88"/>
  <c r="IQ47" i="88"/>
  <c r="IY47" i="88"/>
  <c r="HH55" i="88"/>
  <c r="JG54" i="88"/>
  <c r="IN47" i="88"/>
  <c r="IT53" i="88"/>
  <c r="JB53" i="88"/>
  <c r="JA50" i="88"/>
  <c r="IS50" i="88"/>
  <c r="GL47" i="88"/>
  <c r="IA47" i="88"/>
  <c r="IN16" i="88"/>
  <c r="I60" i="88"/>
  <c r="I40" i="88"/>
  <c r="IU33" i="88"/>
  <c r="JC33" i="88"/>
  <c r="JD29" i="88"/>
  <c r="IV29" i="88"/>
  <c r="JG50" i="88"/>
  <c r="JG47" i="88"/>
  <c r="IU43" i="88"/>
  <c r="JC43" i="88"/>
  <c r="IF43" i="88"/>
  <c r="IT35" i="88"/>
  <c r="GV54" i="88"/>
  <c r="IB31" i="88"/>
  <c r="GM31" i="88"/>
  <c r="IU29" i="88"/>
  <c r="JC29" i="88"/>
  <c r="AZ97" i="88"/>
  <c r="IV24" i="88"/>
  <c r="JD24" i="88"/>
  <c r="GC60" i="88"/>
  <c r="JB43" i="88"/>
  <c r="IT43" i="88"/>
  <c r="GV34" i="88"/>
  <c r="HF34" i="88"/>
  <c r="HH47" i="88"/>
  <c r="GX47" i="88"/>
  <c r="JG32" i="88"/>
  <c r="HG52" i="88"/>
  <c r="HF48" i="88"/>
  <c r="JG42" i="88"/>
  <c r="HH45" i="88"/>
  <c r="JB26" i="88"/>
  <c r="N60" i="88"/>
  <c r="N40" i="88"/>
  <c r="IF26" i="88"/>
  <c r="GU12" i="88"/>
  <c r="HE12" i="88"/>
  <c r="IT50" i="88"/>
  <c r="IV30" i="88"/>
  <c r="JD30" i="88"/>
  <c r="BI74" i="88"/>
  <c r="BI61" i="88"/>
  <c r="HE23" i="88"/>
  <c r="GU23" i="88"/>
  <c r="HF18" i="88"/>
  <c r="GV18" i="88"/>
  <c r="IS16" i="88"/>
  <c r="JA16" i="88"/>
  <c r="CE40" i="88"/>
  <c r="CE60" i="88"/>
  <c r="EM215" i="88"/>
  <c r="EM222" i="88" s="1"/>
  <c r="EM227" i="88" s="1"/>
  <c r="EM230" i="88" s="1"/>
  <c r="EM232" i="88" s="1"/>
  <c r="EM61" i="88"/>
  <c r="EM74" i="88"/>
  <c r="HG27" i="88"/>
  <c r="HL17" i="88"/>
  <c r="HF26" i="88"/>
  <c r="JG19" i="88"/>
  <c r="KH14" i="88"/>
  <c r="KP14" i="88"/>
  <c r="KZ14" i="88"/>
  <c r="CP39" i="88"/>
  <c r="FF215" i="88"/>
  <c r="FF222" i="88" s="1"/>
  <c r="FF227" i="88" s="1"/>
  <c r="FF230" i="88" s="1"/>
  <c r="FF232" i="88" s="1"/>
  <c r="FF74" i="88"/>
  <c r="FF61" i="88"/>
  <c r="AE60" i="88"/>
  <c r="AE40" i="88"/>
  <c r="BH74" i="88"/>
  <c r="BH61" i="88"/>
  <c r="JH26" i="88"/>
  <c r="JG16" i="88"/>
  <c r="IQ14" i="88"/>
  <c r="IY14" i="88"/>
  <c r="GW22" i="88"/>
  <c r="HG22" i="88"/>
  <c r="JC24" i="88"/>
  <c r="IU24" i="88"/>
  <c r="BK61" i="88"/>
  <c r="BK74" i="88"/>
  <c r="FQ60" i="88"/>
  <c r="FQ40" i="88"/>
  <c r="KV33" i="88"/>
  <c r="KD33" i="88"/>
  <c r="KL33" i="88"/>
  <c r="KH17" i="88"/>
  <c r="KP17" i="88"/>
  <c r="KZ17" i="88"/>
  <c r="KJ23" i="88"/>
  <c r="KT23" i="88"/>
  <c r="KB23" i="88"/>
  <c r="KX28" i="88"/>
  <c r="KF28" i="88"/>
  <c r="KN28" i="88"/>
  <c r="KX29" i="88"/>
  <c r="KF29" i="88"/>
  <c r="KN29" i="88"/>
  <c r="KT14" i="88"/>
  <c r="KJ14" i="88"/>
  <c r="KB14" i="88"/>
  <c r="KP23" i="88"/>
  <c r="KZ23" i="88"/>
  <c r="KH23" i="88"/>
  <c r="KX45" i="88"/>
  <c r="KF45" i="88"/>
  <c r="KN45" i="88"/>
  <c r="KY37" i="88"/>
  <c r="KG37" i="88"/>
  <c r="KO37" i="88"/>
  <c r="KU50" i="88"/>
  <c r="KK50" i="88"/>
  <c r="KC50" i="88"/>
  <c r="KC15" i="88"/>
  <c r="KK15" i="88"/>
  <c r="KU15" i="88"/>
  <c r="KZ31" i="88"/>
  <c r="KH31" i="88"/>
  <c r="KP31" i="88"/>
  <c r="KB43" i="88"/>
  <c r="KJ43" i="88"/>
  <c r="KT43" i="88"/>
  <c r="KD16" i="88"/>
  <c r="KV16" i="88"/>
  <c r="KL16" i="88"/>
  <c r="KZ25" i="88"/>
  <c r="KH25" i="88"/>
  <c r="KP25" i="88"/>
  <c r="KU34" i="88"/>
  <c r="KK34" i="88"/>
  <c r="KC34" i="88"/>
  <c r="KG22" i="88"/>
  <c r="KY22" i="88"/>
  <c r="KO22" i="88"/>
  <c r="KW43" i="88"/>
  <c r="KE43" i="88"/>
  <c r="KM43" i="88"/>
  <c r="KW56" i="88"/>
  <c r="KE56" i="88"/>
  <c r="KM56" i="88"/>
  <c r="KM29" i="88"/>
  <c r="KW29" i="88"/>
  <c r="KE29" i="88"/>
  <c r="KO43" i="88"/>
  <c r="KG43" i="88"/>
  <c r="KY43" i="88"/>
  <c r="KU58" i="88"/>
  <c r="KC58" i="88"/>
  <c r="KK58" i="88"/>
  <c r="KY64" i="88"/>
  <c r="KX15" i="88"/>
  <c r="KZ21" i="88"/>
  <c r="KP21" i="88"/>
  <c r="KH21" i="88"/>
  <c r="KO33" i="88"/>
  <c r="KG33" i="88"/>
  <c r="KY33" i="88"/>
  <c r="KM47" i="88"/>
  <c r="KW47" i="88"/>
  <c r="KE47" i="88"/>
  <c r="KS51" i="88"/>
  <c r="KK57" i="88"/>
  <c r="KU57" i="88"/>
  <c r="KC57" i="88"/>
  <c r="KO32" i="88"/>
  <c r="KY32" i="88"/>
  <c r="KG32" i="88"/>
  <c r="KP45" i="88"/>
  <c r="KZ45" i="88"/>
  <c r="KH45" i="88"/>
  <c r="KD51" i="88"/>
  <c r="KV51" i="88"/>
  <c r="KL51" i="88"/>
  <c r="KE51" i="88"/>
  <c r="KM51" i="88"/>
  <c r="KW51" i="88"/>
  <c r="KS56" i="88"/>
  <c r="KT65" i="88"/>
  <c r="KJ65" i="88"/>
  <c r="KB65" i="88"/>
  <c r="KK51" i="88"/>
  <c r="KU51" i="88"/>
  <c r="KC51" i="88"/>
  <c r="KX57" i="88"/>
  <c r="KF57" i="88"/>
  <c r="KN57" i="88"/>
  <c r="KT68" i="88"/>
  <c r="KJ68" i="88"/>
  <c r="KB68" i="88"/>
  <c r="KZ58" i="88"/>
  <c r="KH58" i="88"/>
  <c r="KP58" i="88"/>
  <c r="KU68" i="88"/>
  <c r="KK68" i="88"/>
  <c r="KC68" i="88"/>
  <c r="KU67" i="88"/>
  <c r="KK67" i="88"/>
  <c r="KC67" i="88"/>
  <c r="KJ57" i="88"/>
  <c r="KT57" i="88"/>
  <c r="KB57" i="88"/>
  <c r="KZ65" i="88"/>
  <c r="KH65" i="88"/>
  <c r="KP65" i="88"/>
  <c r="KM79" i="88"/>
  <c r="KE79" i="88"/>
  <c r="KW79" i="88"/>
  <c r="KD63" i="88"/>
  <c r="KV63" i="88"/>
  <c r="KL63" i="88"/>
  <c r="KK94" i="88"/>
  <c r="KC94" i="88"/>
  <c r="KU94" i="88"/>
  <c r="KP70" i="88"/>
  <c r="KH70" i="88"/>
  <c r="KJ80" i="88"/>
  <c r="KT80" i="88"/>
  <c r="KB80" i="88"/>
  <c r="KV66" i="88"/>
  <c r="KD66" i="88"/>
  <c r="KL66" i="88"/>
  <c r="KD71" i="88"/>
  <c r="KL71" i="88"/>
  <c r="KE82" i="88"/>
  <c r="KW82" i="88"/>
  <c r="KM82" i="88"/>
  <c r="KS90" i="88"/>
  <c r="KS65" i="88"/>
  <c r="KO71" i="88"/>
  <c r="KG71" i="88"/>
  <c r="KS82" i="88"/>
  <c r="KD111" i="88"/>
  <c r="KL111" i="88"/>
  <c r="KL83" i="88"/>
  <c r="KV83" i="88"/>
  <c r="KD83" i="88"/>
  <c r="KX90" i="88"/>
  <c r="KN90" i="88"/>
  <c r="KF90" i="88"/>
  <c r="JT109" i="88"/>
  <c r="KZ85" i="88"/>
  <c r="KH85" i="88"/>
  <c r="KP85" i="88"/>
  <c r="KM85" i="88"/>
  <c r="KW85" i="88"/>
  <c r="KE85" i="88"/>
  <c r="KL93" i="88"/>
  <c r="KD93" i="88"/>
  <c r="KV93" i="88"/>
  <c r="KS89" i="88"/>
  <c r="KG117" i="88"/>
  <c r="KO117" i="88"/>
  <c r="KB115" i="88"/>
  <c r="KJ115" i="88"/>
  <c r="KG115" i="88"/>
  <c r="KO115" i="88"/>
  <c r="KH114" i="88"/>
  <c r="KP114" i="88"/>
  <c r="KS100" i="88"/>
  <c r="KE112" i="88"/>
  <c r="KM112" i="88"/>
  <c r="KJ118" i="88"/>
  <c r="KB118" i="88"/>
  <c r="JY109" i="88"/>
  <c r="KO114" i="88"/>
  <c r="KG114" i="88"/>
  <c r="KB122" i="88"/>
  <c r="KJ122" i="88"/>
  <c r="KB123" i="88"/>
  <c r="KJ123" i="88"/>
  <c r="KD120" i="88"/>
  <c r="KL120" i="88"/>
  <c r="KB127" i="88"/>
  <c r="KJ127" i="88"/>
  <c r="KE119" i="88"/>
  <c r="KM119" i="88"/>
  <c r="KC127" i="88"/>
  <c r="KK127" i="88"/>
  <c r="KN118" i="88"/>
  <c r="KF118" i="88"/>
  <c r="KD126" i="88"/>
  <c r="KL126" i="88"/>
  <c r="KE126" i="88"/>
  <c r="KM126" i="88"/>
  <c r="KG123" i="88"/>
  <c r="KO123" i="88"/>
  <c r="KH124" i="88"/>
  <c r="KP124" i="88"/>
  <c r="KB132" i="88"/>
  <c r="KJ132" i="88"/>
  <c r="KC137" i="88"/>
  <c r="KK137" i="88"/>
  <c r="KP125" i="88"/>
  <c r="KH125" i="88"/>
  <c r="KC141" i="88"/>
  <c r="KK141" i="88"/>
  <c r="KH153" i="88"/>
  <c r="KP153" i="88"/>
  <c r="KE139" i="88"/>
  <c r="KM139" i="88"/>
  <c r="KB138" i="88"/>
  <c r="KJ138" i="88"/>
  <c r="KN144" i="88"/>
  <c r="KF144" i="88"/>
  <c r="KC140" i="88"/>
  <c r="KK140" i="88"/>
  <c r="KJ152" i="88"/>
  <c r="KB152" i="88"/>
  <c r="KD140" i="88"/>
  <c r="KL140" i="88"/>
  <c r="KC152" i="88"/>
  <c r="KK152" i="88"/>
  <c r="KM138" i="88"/>
  <c r="KE138" i="88"/>
  <c r="KF146" i="88"/>
  <c r="KN146" i="88"/>
  <c r="KD160" i="88"/>
  <c r="KL160" i="88"/>
  <c r="KO147" i="88"/>
  <c r="KG147" i="88"/>
  <c r="JP158" i="88"/>
  <c r="JR158" i="88"/>
  <c r="KH149" i="88"/>
  <c r="KP149" i="88"/>
  <c r="JS158" i="88"/>
  <c r="KH145" i="88"/>
  <c r="KP145" i="88"/>
  <c r="KF153" i="88"/>
  <c r="KN153" i="88"/>
  <c r="KK144" i="88"/>
  <c r="KC144" i="88"/>
  <c r="KO152" i="88"/>
  <c r="KG152" i="88"/>
  <c r="JT161" i="88"/>
  <c r="KL156" i="88"/>
  <c r="KD156" i="88"/>
  <c r="KP162" i="88"/>
  <c r="KH162" i="88"/>
  <c r="KM162" i="88"/>
  <c r="KE162" i="88"/>
  <c r="KG169" i="88"/>
  <c r="KO169" i="88"/>
  <c r="KH166" i="88"/>
  <c r="KP166" i="88"/>
  <c r="KH156" i="88"/>
  <c r="KP156" i="88"/>
  <c r="KN166" i="88"/>
  <c r="KF166" i="88"/>
  <c r="KB171" i="88"/>
  <c r="KJ171" i="88"/>
  <c r="KD175" i="88"/>
  <c r="KL175" i="88"/>
  <c r="KD172" i="88"/>
  <c r="KL172" i="88"/>
  <c r="KP167" i="88"/>
  <c r="KH167" i="88"/>
  <c r="KL167" i="88"/>
  <c r="KD167" i="88"/>
  <c r="KG178" i="88"/>
  <c r="KO178" i="88"/>
  <c r="KF186" i="88"/>
  <c r="KN186" i="88"/>
  <c r="KG186" i="88"/>
  <c r="KO186" i="88"/>
  <c r="KN191" i="88"/>
  <c r="KF191" i="88"/>
  <c r="KG183" i="88"/>
  <c r="KO183" i="88"/>
  <c r="KD188" i="88"/>
  <c r="KL188" i="88"/>
  <c r="KJ180" i="88"/>
  <c r="KB180" i="88"/>
  <c r="KK185" i="88"/>
  <c r="KC185" i="88"/>
  <c r="KC199" i="88"/>
  <c r="KK199" i="88"/>
  <c r="KP184" i="88"/>
  <c r="KH184" i="88"/>
  <c r="JQ194" i="88"/>
  <c r="KJ198" i="88"/>
  <c r="KB198" i="88"/>
  <c r="KK204" i="88"/>
  <c r="KC204" i="88"/>
  <c r="KD197" i="88"/>
  <c r="KL197" i="88"/>
  <c r="KD205" i="88"/>
  <c r="KL205" i="88"/>
  <c r="KG202" i="88"/>
  <c r="KO202" i="88"/>
  <c r="KO197" i="88"/>
  <c r="KG197" i="88"/>
  <c r="KP204" i="88"/>
  <c r="KH204" i="88"/>
  <c r="KD206" i="88"/>
  <c r="KL206" i="88"/>
  <c r="JD13" i="88"/>
  <c r="IK18" i="88"/>
  <c r="IJ18" i="88"/>
  <c r="JJ21" i="88"/>
  <c r="IG23" i="88"/>
  <c r="IF23" i="88"/>
  <c r="BE74" i="88"/>
  <c r="BE61" i="88"/>
  <c r="DK39" i="88"/>
  <c r="K60" i="88"/>
  <c r="K40" i="88"/>
  <c r="KL24" i="88"/>
  <c r="AN74" i="88"/>
  <c r="AN61" i="88"/>
  <c r="CV61" i="88"/>
  <c r="CV74" i="88"/>
  <c r="KK23" i="88"/>
  <c r="HF16" i="88"/>
  <c r="P29" i="87"/>
  <c r="P92" i="87"/>
  <c r="G51" i="87"/>
  <c r="K94" i="87"/>
  <c r="G53" i="87"/>
  <c r="P35" i="87"/>
  <c r="P72" i="87"/>
  <c r="P30" i="87"/>
  <c r="P58" i="87"/>
  <c r="H94" i="87"/>
  <c r="P71" i="87"/>
  <c r="P65" i="87"/>
  <c r="P67" i="87"/>
  <c r="T7" i="87"/>
  <c r="Y8" i="87"/>
  <c r="T10" i="87"/>
  <c r="AB10" i="87"/>
  <c r="O11" i="87"/>
  <c r="Z12" i="87"/>
  <c r="AA15" i="87"/>
  <c r="U16" i="87"/>
  <c r="AC16" i="87"/>
  <c r="W17" i="87"/>
  <c r="AE17" i="87"/>
  <c r="Y18" i="87"/>
  <c r="W24" i="87"/>
  <c r="AE24" i="87"/>
  <c r="X25" i="87"/>
  <c r="Y26" i="87"/>
  <c r="Z27" i="87"/>
  <c r="X38" i="87"/>
  <c r="Y39" i="87"/>
  <c r="Z40" i="87"/>
  <c r="AA41" i="87"/>
  <c r="Y47" i="87"/>
  <c r="Z48" i="87"/>
  <c r="W49" i="87"/>
  <c r="AE49" i="87"/>
  <c r="X50" i="87"/>
  <c r="E57" i="87"/>
  <c r="M57" i="87"/>
  <c r="V61" i="87"/>
  <c r="AD61" i="87"/>
  <c r="W62" i="87"/>
  <c r="AE62" i="87"/>
  <c r="X63" i="87"/>
  <c r="Y64" i="87"/>
  <c r="W75" i="87"/>
  <c r="AE75" i="87"/>
  <c r="X76" i="87"/>
  <c r="U77" i="87"/>
  <c r="AC77" i="87"/>
  <c r="V78" i="87"/>
  <c r="AD78" i="87"/>
  <c r="E81" i="87"/>
  <c r="M81" i="87"/>
  <c r="I94" i="87"/>
  <c r="AA6" i="87"/>
  <c r="AB7" i="87"/>
  <c r="T6" i="87"/>
  <c r="AB6" i="87"/>
  <c r="U7" i="87"/>
  <c r="AC7" i="87"/>
  <c r="P8" i="87"/>
  <c r="P9" i="87" s="1"/>
  <c r="Z8" i="87"/>
  <c r="U10" i="87"/>
  <c r="AC10" i="87"/>
  <c r="AA12" i="87"/>
  <c r="T15" i="87"/>
  <c r="AB15" i="87"/>
  <c r="V16" i="87"/>
  <c r="AD16" i="87"/>
  <c r="X17" i="87"/>
  <c r="Z18" i="87"/>
  <c r="X24" i="87"/>
  <c r="Y25" i="87"/>
  <c r="Z26" i="87"/>
  <c r="AA27" i="87"/>
  <c r="P34" i="87"/>
  <c r="Y38" i="87"/>
  <c r="Z39" i="87"/>
  <c r="AA40" i="87"/>
  <c r="T41" i="87"/>
  <c r="AB41" i="87"/>
  <c r="Z47" i="87"/>
  <c r="AA48" i="87"/>
  <c r="X49" i="87"/>
  <c r="Y50" i="87"/>
  <c r="H53" i="87"/>
  <c r="F57" i="87"/>
  <c r="N57" i="87"/>
  <c r="W61" i="87"/>
  <c r="AE61" i="87"/>
  <c r="X62" i="87"/>
  <c r="Y63" i="87"/>
  <c r="Z64" i="87"/>
  <c r="X75" i="87"/>
  <c r="Y76" i="87"/>
  <c r="V77" i="87"/>
  <c r="AD77" i="87"/>
  <c r="W78" i="87"/>
  <c r="AE78" i="87"/>
  <c r="J79" i="87"/>
  <c r="J94" i="87"/>
  <c r="Y75" i="87"/>
  <c r="Z76" i="87"/>
  <c r="X78" i="87"/>
  <c r="V6" i="87"/>
  <c r="AD6" i="87"/>
  <c r="W7" i="87"/>
  <c r="AE7" i="87"/>
  <c r="T8" i="87"/>
  <c r="AB8" i="87"/>
  <c r="W10" i="87"/>
  <c r="AE10" i="87"/>
  <c r="U12" i="87"/>
  <c r="AC12" i="87"/>
  <c r="V15" i="87"/>
  <c r="AD15" i="87"/>
  <c r="X16" i="87"/>
  <c r="Z17" i="87"/>
  <c r="T18" i="87"/>
  <c r="AB18" i="87"/>
  <c r="Z24" i="87"/>
  <c r="AA25" i="87"/>
  <c r="T26" i="87"/>
  <c r="AB26" i="87"/>
  <c r="U27" i="87"/>
  <c r="AC27" i="87"/>
  <c r="P28" i="87"/>
  <c r="P33" i="87"/>
  <c r="AA38" i="87"/>
  <c r="T39" i="87"/>
  <c r="AB39" i="87"/>
  <c r="U40" i="87"/>
  <c r="AC40" i="87"/>
  <c r="V41" i="87"/>
  <c r="AD41" i="87"/>
  <c r="T47" i="87"/>
  <c r="AB47" i="87"/>
  <c r="U48" i="87"/>
  <c r="AC48" i="87"/>
  <c r="P49" i="87"/>
  <c r="Z49" i="87"/>
  <c r="AA50" i="87"/>
  <c r="F51" i="87"/>
  <c r="N51" i="87"/>
  <c r="P52" i="87"/>
  <c r="J53" i="87"/>
  <c r="H57" i="87"/>
  <c r="Y61" i="87"/>
  <c r="Z62" i="87"/>
  <c r="AA63" i="87"/>
  <c r="T64" i="87"/>
  <c r="AB64" i="87"/>
  <c r="Z75" i="87"/>
  <c r="AA76" i="87"/>
  <c r="X77" i="87"/>
  <c r="Y78" i="87"/>
  <c r="D79" i="87"/>
  <c r="L79" i="87"/>
  <c r="H81" i="87"/>
  <c r="P91" i="87"/>
  <c r="D94" i="87"/>
  <c r="L94" i="87"/>
  <c r="W6" i="87"/>
  <c r="AE6" i="87"/>
  <c r="X7" i="87"/>
  <c r="U8" i="87"/>
  <c r="AC8" i="87"/>
  <c r="X10" i="87"/>
  <c r="V12" i="87"/>
  <c r="AD12" i="87"/>
  <c r="W15" i="87"/>
  <c r="AE15" i="87"/>
  <c r="Y16" i="87"/>
  <c r="AA17" i="87"/>
  <c r="U18" i="87"/>
  <c r="AC18" i="87"/>
  <c r="P19" i="87"/>
  <c r="AA24" i="87"/>
  <c r="T25" i="87"/>
  <c r="AB25" i="87"/>
  <c r="U26" i="87"/>
  <c r="AC26" i="87"/>
  <c r="V27" i="87"/>
  <c r="AD27" i="87"/>
  <c r="T38" i="87"/>
  <c r="AB38" i="87"/>
  <c r="U39" i="87"/>
  <c r="AC39" i="87"/>
  <c r="V40" i="87"/>
  <c r="AD40" i="87"/>
  <c r="W41" i="87"/>
  <c r="AE41" i="87"/>
  <c r="U47" i="87"/>
  <c r="AC47" i="87"/>
  <c r="V48" i="87"/>
  <c r="AD48" i="87"/>
  <c r="AA49" i="87"/>
  <c r="T50" i="87"/>
  <c r="AB50" i="87"/>
  <c r="I57" i="87"/>
  <c r="Z61" i="87"/>
  <c r="AA62" i="87"/>
  <c r="T63" i="87"/>
  <c r="AB63" i="87"/>
  <c r="U64" i="87"/>
  <c r="AC64" i="87"/>
  <c r="AA75" i="87"/>
  <c r="T76" i="87"/>
  <c r="AB76" i="87"/>
  <c r="Y77" i="87"/>
  <c r="Z78" i="87"/>
  <c r="E94" i="87"/>
  <c r="M94" i="87"/>
  <c r="AE77" i="87"/>
  <c r="X6" i="87"/>
  <c r="AD8" i="87"/>
  <c r="W12" i="87"/>
  <c r="AE12" i="87"/>
  <c r="X15" i="87"/>
  <c r="Z16" i="87"/>
  <c r="T17" i="87"/>
  <c r="AB17" i="87"/>
  <c r="V18" i="87"/>
  <c r="AD18" i="87"/>
  <c r="T24" i="87"/>
  <c r="AB24" i="87"/>
  <c r="U25" i="87"/>
  <c r="AC25" i="87"/>
  <c r="V26" i="87"/>
  <c r="AD26" i="87"/>
  <c r="W27" i="87"/>
  <c r="AE27" i="87"/>
  <c r="U38" i="87"/>
  <c r="AC38" i="87"/>
  <c r="V39" i="87"/>
  <c r="AD39" i="87"/>
  <c r="W40" i="87"/>
  <c r="AE40" i="87"/>
  <c r="X41" i="87"/>
  <c r="V47" i="87"/>
  <c r="AD47" i="87"/>
  <c r="W48" i="87"/>
  <c r="AE48" i="87"/>
  <c r="T49" i="87"/>
  <c r="AB49" i="87"/>
  <c r="U50" i="87"/>
  <c r="AC50" i="87"/>
  <c r="J57" i="87"/>
  <c r="AA61" i="87"/>
  <c r="T62" i="87"/>
  <c r="AB62" i="87"/>
  <c r="U63" i="87"/>
  <c r="AC63" i="87"/>
  <c r="V64" i="87"/>
  <c r="AD64" i="87"/>
  <c r="T75" i="87"/>
  <c r="AB75" i="87"/>
  <c r="U76" i="87"/>
  <c r="AC76" i="87"/>
  <c r="P77" i="87"/>
  <c r="Z77" i="87"/>
  <c r="AA78" i="87"/>
  <c r="F94" i="87"/>
  <c r="N94" i="87"/>
  <c r="W77" i="87"/>
  <c r="Y7" i="87"/>
  <c r="V8" i="87"/>
  <c r="Y10" i="87"/>
  <c r="Y6" i="87"/>
  <c r="Z7" i="87"/>
  <c r="W8" i="87"/>
  <c r="AE8" i="87"/>
  <c r="Z10" i="87"/>
  <c r="X12" i="87"/>
  <c r="Y15" i="87"/>
  <c r="AA16" i="87"/>
  <c r="U17" i="87"/>
  <c r="AC17" i="87"/>
  <c r="W18" i="87"/>
  <c r="AE18" i="87"/>
  <c r="U24" i="87"/>
  <c r="AC24" i="87"/>
  <c r="V25" i="87"/>
  <c r="AD25" i="87"/>
  <c r="W26" i="87"/>
  <c r="AE26" i="87"/>
  <c r="X27" i="87"/>
  <c r="V38" i="87"/>
  <c r="AD38" i="87"/>
  <c r="W39" i="87"/>
  <c r="AE39" i="87"/>
  <c r="X40" i="87"/>
  <c r="Y41" i="87"/>
  <c r="W47" i="87"/>
  <c r="AE47" i="87"/>
  <c r="X48" i="87"/>
  <c r="U49" i="87"/>
  <c r="AC49" i="87"/>
  <c r="V50" i="87"/>
  <c r="AD50" i="87"/>
  <c r="I51" i="87"/>
  <c r="E53" i="87"/>
  <c r="M53" i="87"/>
  <c r="C57" i="87"/>
  <c r="T61" i="87"/>
  <c r="AB61" i="87"/>
  <c r="U62" i="87"/>
  <c r="AC62" i="87"/>
  <c r="V63" i="87"/>
  <c r="AD63" i="87"/>
  <c r="W64" i="87"/>
  <c r="AE64" i="87"/>
  <c r="U75" i="87"/>
  <c r="AC75" i="87"/>
  <c r="V76" i="87"/>
  <c r="AD76" i="87"/>
  <c r="AA77" i="87"/>
  <c r="T78" i="87"/>
  <c r="AB78" i="87"/>
  <c r="G94" i="87"/>
  <c r="Z6" i="87"/>
  <c r="AA7" i="87"/>
  <c r="X8" i="87"/>
  <c r="AA10" i="87"/>
  <c r="Y12" i="87"/>
  <c r="Z15" i="87"/>
  <c r="T16" i="87"/>
  <c r="AB16" i="87"/>
  <c r="V17" i="87"/>
  <c r="AD17" i="87"/>
  <c r="X18" i="87"/>
  <c r="V24" i="87"/>
  <c r="AD24" i="87"/>
  <c r="W25" i="87"/>
  <c r="AE25" i="87"/>
  <c r="X26" i="87"/>
  <c r="Y27" i="87"/>
  <c r="W38" i="87"/>
  <c r="AE38" i="87"/>
  <c r="X39" i="87"/>
  <c r="Y40" i="87"/>
  <c r="Z41" i="87"/>
  <c r="X47" i="87"/>
  <c r="Y48" i="87"/>
  <c r="V49" i="87"/>
  <c r="AD49" i="87"/>
  <c r="W50" i="87"/>
  <c r="AE50" i="87"/>
  <c r="F53" i="87"/>
  <c r="N53" i="87"/>
  <c r="U61" i="87"/>
  <c r="AC61" i="87"/>
  <c r="V62" i="87"/>
  <c r="AD62" i="87"/>
  <c r="W63" i="87"/>
  <c r="AE63" i="87"/>
  <c r="X64" i="87"/>
  <c r="V75" i="87"/>
  <c r="AD75" i="87"/>
  <c r="W76" i="87"/>
  <c r="AE76" i="87"/>
  <c r="T77" i="87"/>
  <c r="AB77" i="87"/>
  <c r="U78" i="87"/>
  <c r="KD80" i="88" l="1"/>
  <c r="DP268" i="88"/>
  <c r="FZ212" i="88"/>
  <c r="CR269" i="88"/>
  <c r="FY194" i="88"/>
  <c r="FY210" i="88" s="1"/>
  <c r="IN89" i="88"/>
  <c r="BW268" i="88"/>
  <c r="CR268" i="88"/>
  <c r="BZ294" i="88"/>
  <c r="CL194" i="88"/>
  <c r="CA269" i="88"/>
  <c r="DP269" i="88"/>
  <c r="BO194" i="88"/>
  <c r="DK158" i="88"/>
  <c r="CQ194" i="88"/>
  <c r="KX89" i="88"/>
  <c r="CB268" i="88"/>
  <c r="IN84" i="88"/>
  <c r="FO60" i="88"/>
  <c r="FO74" i="88" s="1"/>
  <c r="CR194" i="88"/>
  <c r="BO220" i="88"/>
  <c r="BO218" i="88" s="1"/>
  <c r="GU31" i="88"/>
  <c r="GM80" i="88"/>
  <c r="FK61" i="88"/>
  <c r="KY89" i="88"/>
  <c r="CM268" i="88"/>
  <c r="BO269" i="88"/>
  <c r="CK216" i="88"/>
  <c r="GB74" i="88"/>
  <c r="CL269" i="88"/>
  <c r="CR217" i="88"/>
  <c r="KP161" i="88"/>
  <c r="DN74" i="88"/>
  <c r="DN97" i="88" s="1"/>
  <c r="HF182" i="88"/>
  <c r="ID39" i="88"/>
  <c r="FR60" i="88"/>
  <c r="FT74" i="88"/>
  <c r="FT61" i="88"/>
  <c r="KF137" i="88"/>
  <c r="JD67" i="88"/>
  <c r="IV47" i="88"/>
  <c r="KE67" i="88"/>
  <c r="GN39" i="88"/>
  <c r="GN40" i="88" s="1"/>
  <c r="KM150" i="88"/>
  <c r="FM212" i="88"/>
  <c r="FQ212" i="88"/>
  <c r="CR216" i="88"/>
  <c r="BV269" i="88"/>
  <c r="IJ150" i="88"/>
  <c r="KP185" i="88"/>
  <c r="CE219" i="88"/>
  <c r="KG89" i="88"/>
  <c r="FO61" i="88"/>
  <c r="KW67" i="88"/>
  <c r="GW47" i="88"/>
  <c r="CB158" i="88"/>
  <c r="KM67" i="88"/>
  <c r="IJ84" i="88"/>
  <c r="CJ194" i="88"/>
  <c r="CD220" i="88"/>
  <c r="CD218" i="88" s="1"/>
  <c r="BV60" i="88"/>
  <c r="BV215" i="88" s="1"/>
  <c r="CB216" i="88"/>
  <c r="FW74" i="88"/>
  <c r="FW97" i="88" s="1"/>
  <c r="BY269" i="88"/>
  <c r="KG67" i="88"/>
  <c r="CV216" i="88"/>
  <c r="JU182" i="88"/>
  <c r="KH67" i="88"/>
  <c r="KY67" i="88"/>
  <c r="HN77" i="88"/>
  <c r="DS60" i="88"/>
  <c r="CS216" i="88"/>
  <c r="BZ217" i="88"/>
  <c r="GB212" i="88"/>
  <c r="KF15" i="88"/>
  <c r="DO268" i="88"/>
  <c r="CQ269" i="88"/>
  <c r="CB269" i="88"/>
  <c r="DO269" i="88"/>
  <c r="KM15" i="88"/>
  <c r="KN15" i="88"/>
  <c r="DO61" i="88"/>
  <c r="CC269" i="88"/>
  <c r="KP67" i="88"/>
  <c r="CD274" i="88"/>
  <c r="KF89" i="88"/>
  <c r="BZ216" i="88"/>
  <c r="BN216" i="88"/>
  <c r="FI158" i="88"/>
  <c r="DS158" i="88"/>
  <c r="HH67" i="88"/>
  <c r="BS269" i="88"/>
  <c r="CS268" i="88"/>
  <c r="CB220" i="88"/>
  <c r="BY194" i="88"/>
  <c r="CV130" i="88"/>
  <c r="GM131" i="88"/>
  <c r="HR24" i="88"/>
  <c r="HR43" i="88"/>
  <c r="HR93" i="88"/>
  <c r="K246" i="3"/>
  <c r="L249" i="3" s="1"/>
  <c r="CW220" i="88"/>
  <c r="CW218" i="88" s="1"/>
  <c r="HR90" i="88"/>
  <c r="KG150" i="88"/>
  <c r="FU60" i="88"/>
  <c r="FU74" i="88" s="1"/>
  <c r="BV220" i="88"/>
  <c r="BV218" i="88" s="1"/>
  <c r="BP158" i="88"/>
  <c r="BQ217" i="88"/>
  <c r="BP217" i="88"/>
  <c r="CS220" i="88"/>
  <c r="CS218" i="88" s="1"/>
  <c r="FK212" i="88"/>
  <c r="CS194" i="88"/>
  <c r="DR40" i="88"/>
  <c r="HG81" i="88"/>
  <c r="JX269" i="88"/>
  <c r="DQ269" i="88"/>
  <c r="FV61" i="88"/>
  <c r="DQ268" i="88"/>
  <c r="BQ216" i="88"/>
  <c r="FU61" i="88"/>
  <c r="FY61" i="88"/>
  <c r="K250" i="3"/>
  <c r="HR47" i="88"/>
  <c r="HD67" i="88"/>
  <c r="CL220" i="88"/>
  <c r="CL218" i="88" s="1"/>
  <c r="KP137" i="88"/>
  <c r="HR65" i="88"/>
  <c r="HR91" i="88"/>
  <c r="DR74" i="88"/>
  <c r="DR97" i="88" s="1"/>
  <c r="DR101" i="88" s="1"/>
  <c r="DR61" i="88"/>
  <c r="CP294" i="88"/>
  <c r="GA74" i="88"/>
  <c r="HG47" i="88"/>
  <c r="HR55" i="88"/>
  <c r="HR22" i="88"/>
  <c r="GY47" i="88"/>
  <c r="HR92" i="88"/>
  <c r="CY294" i="88"/>
  <c r="CY297" i="88" s="1"/>
  <c r="CY299" i="88" s="1"/>
  <c r="EM279" i="91"/>
  <c r="GL131" i="88"/>
  <c r="HF131" i="88" s="1"/>
  <c r="CJ216" i="88"/>
  <c r="BM130" i="88"/>
  <c r="BM129" i="88" s="1"/>
  <c r="CO217" i="88"/>
  <c r="CN158" i="88"/>
  <c r="FU212" i="88"/>
  <c r="BZ158" i="88"/>
  <c r="GA212" i="88"/>
  <c r="CN216" i="88"/>
  <c r="CO216" i="88"/>
  <c r="CU216" i="88"/>
  <c r="CT216" i="88"/>
  <c r="CN217" i="88"/>
  <c r="FW75" i="88"/>
  <c r="JB64" i="88"/>
  <c r="IU64" i="88"/>
  <c r="JC64" i="88"/>
  <c r="CV294" i="88"/>
  <c r="CN60" i="88"/>
  <c r="CN215" i="88" s="1"/>
  <c r="FZ74" i="88"/>
  <c r="FZ61" i="88"/>
  <c r="CM294" i="88"/>
  <c r="CG217" i="88"/>
  <c r="CZ294" i="88"/>
  <c r="JB161" i="88"/>
  <c r="DB289" i="88"/>
  <c r="CQ60" i="88"/>
  <c r="CQ215" i="88" s="1"/>
  <c r="FI60" i="88"/>
  <c r="FI40" i="88"/>
  <c r="BP216" i="88"/>
  <c r="CB218" i="88"/>
  <c r="L157" i="1"/>
  <c r="DR269" i="88"/>
  <c r="BS268" i="88"/>
  <c r="CT268" i="88"/>
  <c r="CO60" i="88"/>
  <c r="CT220" i="88"/>
  <c r="CT218" i="88" s="1"/>
  <c r="CA217" i="88"/>
  <c r="GC212" i="88"/>
  <c r="CF216" i="88"/>
  <c r="CE130" i="88"/>
  <c r="CE129" i="88" s="1"/>
  <c r="CF217" i="88" s="1"/>
  <c r="DR268" i="88"/>
  <c r="JM51" i="88"/>
  <c r="IT161" i="88"/>
  <c r="JB84" i="88"/>
  <c r="CU220" i="88"/>
  <c r="CU218" i="88" s="1"/>
  <c r="BT220" i="88"/>
  <c r="BT218" i="88" s="1"/>
  <c r="HR83" i="88"/>
  <c r="JY40" i="88"/>
  <c r="CT269" i="88"/>
  <c r="KH188" i="88"/>
  <c r="DB294" i="88"/>
  <c r="HI47" i="88"/>
  <c r="CE294" i="88"/>
  <c r="CA294" i="88"/>
  <c r="CS294" i="88"/>
  <c r="CT294" i="88"/>
  <c r="DA294" i="88"/>
  <c r="DA297" i="88" s="1"/>
  <c r="DA299" i="88" s="1"/>
  <c r="CQ294" i="88"/>
  <c r="CZ289" i="88"/>
  <c r="BW220" i="88"/>
  <c r="BW218" i="88" s="1"/>
  <c r="K218" i="3"/>
  <c r="W76" i="1"/>
  <c r="CG294" i="88"/>
  <c r="KO21" i="88"/>
  <c r="HD116" i="88"/>
  <c r="FJ212" i="88"/>
  <c r="KO175" i="88"/>
  <c r="GK63" i="88"/>
  <c r="CH294" i="88"/>
  <c r="L268" i="3"/>
  <c r="L240" i="3"/>
  <c r="L246" i="3" s="1"/>
  <c r="M249" i="3" s="1"/>
  <c r="O48" i="87"/>
  <c r="O27" i="87"/>
  <c r="O15" i="87"/>
  <c r="O40" i="87"/>
  <c r="KH161" i="88"/>
  <c r="JY270" i="88"/>
  <c r="JY274" i="88"/>
  <c r="DK269" i="88"/>
  <c r="JX194" i="88"/>
  <c r="IK161" i="88"/>
  <c r="DK268" i="88"/>
  <c r="JU160" i="88"/>
  <c r="CD194" i="88"/>
  <c r="FN212" i="88"/>
  <c r="CE220" i="88"/>
  <c r="CC220" i="88"/>
  <c r="CC218" i="88" s="1"/>
  <c r="BT268" i="88"/>
  <c r="IA160" i="88"/>
  <c r="BT194" i="88"/>
  <c r="DJ212" i="88"/>
  <c r="GN212" i="88"/>
  <c r="BW269" i="88"/>
  <c r="BW194" i="88"/>
  <c r="L169" i="1"/>
  <c r="JM26" i="88"/>
  <c r="DT60" i="88"/>
  <c r="JM23" i="88"/>
  <c r="JM47" i="88"/>
  <c r="K190" i="3"/>
  <c r="E19" i="81"/>
  <c r="GV117" i="88"/>
  <c r="CG216" i="88"/>
  <c r="FX130" i="88"/>
  <c r="JX131" i="88"/>
  <c r="DP212" i="88"/>
  <c r="IJ133" i="88"/>
  <c r="KG133" i="88"/>
  <c r="CS158" i="88"/>
  <c r="CB217" i="88"/>
  <c r="BO216" i="88"/>
  <c r="BN130" i="88"/>
  <c r="BN129" i="88" s="1"/>
  <c r="BN158" i="88" s="1"/>
  <c r="BT217" i="88"/>
  <c r="BS158" i="88"/>
  <c r="CQ220" i="88"/>
  <c r="GX141" i="88"/>
  <c r="GV182" i="88"/>
  <c r="JM45" i="88"/>
  <c r="JM68" i="88"/>
  <c r="BT216" i="88"/>
  <c r="HS53" i="88"/>
  <c r="JM90" i="88"/>
  <c r="HS28" i="88"/>
  <c r="HS48" i="88"/>
  <c r="JM18" i="88"/>
  <c r="KN21" i="88"/>
  <c r="JM28" i="88"/>
  <c r="JM86" i="88"/>
  <c r="JA81" i="88"/>
  <c r="IS81" i="88"/>
  <c r="JM12" i="88"/>
  <c r="JM27" i="88"/>
  <c r="JM78" i="88"/>
  <c r="JM56" i="88"/>
  <c r="JM63" i="88"/>
  <c r="JM19" i="88"/>
  <c r="JM33" i="88"/>
  <c r="HS32" i="88"/>
  <c r="HS87" i="88"/>
  <c r="JM44" i="88"/>
  <c r="IN87" i="88"/>
  <c r="HG67" i="88"/>
  <c r="JM30" i="88"/>
  <c r="HS86" i="88"/>
  <c r="BW60" i="88"/>
  <c r="HS19" i="88"/>
  <c r="JM83" i="88"/>
  <c r="JJ14" i="88"/>
  <c r="JM22" i="88"/>
  <c r="FM40" i="88"/>
  <c r="JM100" i="88"/>
  <c r="JM53" i="88"/>
  <c r="HD64" i="88"/>
  <c r="JM24" i="88"/>
  <c r="JM29" i="88"/>
  <c r="HS17" i="88"/>
  <c r="JM48" i="88"/>
  <c r="HS51" i="88"/>
  <c r="HS12" i="88"/>
  <c r="JM52" i="88"/>
  <c r="IF47" i="88"/>
  <c r="JM81" i="88"/>
  <c r="IZ14" i="88"/>
  <c r="JM17" i="88"/>
  <c r="JM25" i="88"/>
  <c r="JM65" i="88"/>
  <c r="JM93" i="88"/>
  <c r="JM85" i="88"/>
  <c r="CL294" i="88"/>
  <c r="FS212" i="88"/>
  <c r="HG91" i="88"/>
  <c r="K102" i="3"/>
  <c r="HS47" i="88"/>
  <c r="JM50" i="88"/>
  <c r="JM34" i="88"/>
  <c r="IN67" i="88"/>
  <c r="JT39" i="88"/>
  <c r="KN39" i="88" s="1"/>
  <c r="CK268" i="88"/>
  <c r="CK269" i="88"/>
  <c r="CP274" i="88"/>
  <c r="AT103" i="88"/>
  <c r="JR103" i="88" s="1"/>
  <c r="AT101" i="88"/>
  <c r="AT98" i="88"/>
  <c r="FX74" i="88"/>
  <c r="FX97" i="88" s="1"/>
  <c r="FX61" i="88"/>
  <c r="JX61" i="88" s="1"/>
  <c r="JX60" i="88"/>
  <c r="CB61" i="88"/>
  <c r="CB215" i="88"/>
  <c r="CB74" i="88"/>
  <c r="CB97" i="88" s="1"/>
  <c r="BS215" i="88"/>
  <c r="BS61" i="88"/>
  <c r="BS74" i="88"/>
  <c r="BS75" i="88" s="1"/>
  <c r="BS40" i="88"/>
  <c r="BX40" i="88"/>
  <c r="CB40" i="88"/>
  <c r="BV74" i="88"/>
  <c r="BV97" i="88" s="1"/>
  <c r="JM92" i="88"/>
  <c r="JM58" i="88"/>
  <c r="JM37" i="88"/>
  <c r="JM82" i="88"/>
  <c r="JM49" i="88"/>
  <c r="JM87" i="88"/>
  <c r="JM43" i="88"/>
  <c r="JI14" i="88"/>
  <c r="JM32" i="88"/>
  <c r="JM14" i="88"/>
  <c r="JI47" i="88"/>
  <c r="JM55" i="88"/>
  <c r="JM35" i="88"/>
  <c r="CW287" i="88"/>
  <c r="CW289" i="88" s="1"/>
  <c r="DA276" i="88"/>
  <c r="CY276" i="88"/>
  <c r="JM94" i="88"/>
  <c r="JM11" i="88"/>
  <c r="JI31" i="88"/>
  <c r="HS44" i="88"/>
  <c r="HS66" i="88"/>
  <c r="CB194" i="88"/>
  <c r="CI60" i="88"/>
  <c r="CI40" i="88"/>
  <c r="CH216" i="88"/>
  <c r="CH130" i="88"/>
  <c r="CH129" i="88" s="1"/>
  <c r="CD77" i="88"/>
  <c r="JU80" i="88"/>
  <c r="KX80" i="88" s="1"/>
  <c r="GS89" i="88"/>
  <c r="KF171" i="88"/>
  <c r="BR40" i="88"/>
  <c r="JT40" i="88" s="1"/>
  <c r="HG182" i="88"/>
  <c r="JD185" i="88"/>
  <c r="CN294" i="88"/>
  <c r="KH185" i="88"/>
  <c r="HR45" i="88"/>
  <c r="GV67" i="88"/>
  <c r="JI67" i="88"/>
  <c r="HS90" i="88"/>
  <c r="HS23" i="88"/>
  <c r="JM66" i="88"/>
  <c r="JM69" i="88"/>
  <c r="JM95" i="88"/>
  <c r="JM79" i="88"/>
  <c r="HH117" i="88"/>
  <c r="GX117" i="88"/>
  <c r="HG117" i="88"/>
  <c r="CC294" i="88"/>
  <c r="CW294" i="88"/>
  <c r="CO294" i="88"/>
  <c r="IU81" i="88"/>
  <c r="HR94" i="88"/>
  <c r="JI81" i="88"/>
  <c r="BV216" i="88"/>
  <c r="BW216" i="88"/>
  <c r="BV130" i="88"/>
  <c r="BV129" i="88" s="1"/>
  <c r="GN116" i="88"/>
  <c r="GW116" i="88" s="1"/>
  <c r="FR109" i="88"/>
  <c r="GN109" i="88" s="1"/>
  <c r="CF294" i="88"/>
  <c r="HR53" i="88"/>
  <c r="HR79" i="88"/>
  <c r="HS16" i="88"/>
  <c r="HS78" i="88"/>
  <c r="BX130" i="88"/>
  <c r="BY216" i="88"/>
  <c r="BX216" i="88"/>
  <c r="GK131" i="88"/>
  <c r="GU131" i="88" s="1"/>
  <c r="HR17" i="88"/>
  <c r="HR48" i="88"/>
  <c r="HR12" i="88"/>
  <c r="JM31" i="88"/>
  <c r="JM67" i="88"/>
  <c r="JM16" i="88"/>
  <c r="IU117" i="88"/>
  <c r="IV117" i="88"/>
  <c r="JD117" i="88"/>
  <c r="GT133" i="88"/>
  <c r="HE133" i="88"/>
  <c r="HD133" i="88"/>
  <c r="GU133" i="88"/>
  <c r="CM216" i="88"/>
  <c r="CL216" i="88"/>
  <c r="CL130" i="88"/>
  <c r="CL129" i="88" s="1"/>
  <c r="CM217" i="88" s="1"/>
  <c r="CK294" i="88"/>
  <c r="BV61" i="88"/>
  <c r="JM13" i="88"/>
  <c r="JM54" i="88"/>
  <c r="JM15" i="88"/>
  <c r="CM194" i="88"/>
  <c r="CM220" i="88"/>
  <c r="CM218" i="88" s="1"/>
  <c r="IB116" i="88"/>
  <c r="CP219" i="88"/>
  <c r="CQ219" i="88"/>
  <c r="CQ218" i="88" s="1"/>
  <c r="CP109" i="88"/>
  <c r="CP268" i="88" s="1"/>
  <c r="JV116" i="88"/>
  <c r="KG116" i="88" s="1"/>
  <c r="BT60" i="88"/>
  <c r="BT40" i="88"/>
  <c r="KG200" i="88"/>
  <c r="HR68" i="88"/>
  <c r="BZ269" i="88"/>
  <c r="HS100" i="88"/>
  <c r="ID131" i="88"/>
  <c r="IH131" i="88" s="1"/>
  <c r="FL130" i="88"/>
  <c r="CU294" i="88"/>
  <c r="CX294" i="88"/>
  <c r="CX297" i="88" s="1"/>
  <c r="CX299" i="88" s="1"/>
  <c r="HR19" i="88"/>
  <c r="HR100" i="88"/>
  <c r="JM57" i="88"/>
  <c r="JM46" i="88"/>
  <c r="GW182" i="88"/>
  <c r="JV80" i="88"/>
  <c r="CP77" i="88"/>
  <c r="IC194" i="88"/>
  <c r="JW194" i="88"/>
  <c r="GL194" i="88"/>
  <c r="HI63" i="88"/>
  <c r="GY63" i="88"/>
  <c r="GX63" i="88"/>
  <c r="HS63" i="88"/>
  <c r="HH63" i="88"/>
  <c r="IS63" i="88"/>
  <c r="JA63" i="88"/>
  <c r="BA103" i="88"/>
  <c r="BA101" i="88"/>
  <c r="KU97" i="88"/>
  <c r="JR98" i="88"/>
  <c r="KU74" i="88"/>
  <c r="KK74" i="88"/>
  <c r="KC74" i="88"/>
  <c r="JR75" i="88"/>
  <c r="E74" i="88"/>
  <c r="HU60" i="88"/>
  <c r="GF60" i="88"/>
  <c r="GF61" i="88" s="1"/>
  <c r="E61" i="88"/>
  <c r="GO271" i="88"/>
  <c r="GO270" i="88"/>
  <c r="GX161" i="88"/>
  <c r="HI161" i="88"/>
  <c r="HH161" i="88"/>
  <c r="GY161" i="88"/>
  <c r="GO274" i="88"/>
  <c r="KL194" i="88"/>
  <c r="KD194" i="88"/>
  <c r="CF220" i="88"/>
  <c r="CF218" i="88" s="1"/>
  <c r="CF268" i="88"/>
  <c r="CF269" i="88"/>
  <c r="CF194" i="88"/>
  <c r="CV97" i="88"/>
  <c r="DT75" i="88"/>
  <c r="CV75" i="88"/>
  <c r="DK60" i="88"/>
  <c r="DK40" i="88"/>
  <c r="JI89" i="88"/>
  <c r="IY89" i="88"/>
  <c r="IQ89" i="88"/>
  <c r="IZ89" i="88"/>
  <c r="IR89" i="88"/>
  <c r="KC194" i="88"/>
  <c r="KK194" i="88"/>
  <c r="HM100" i="88"/>
  <c r="HM92" i="88"/>
  <c r="HM69" i="88"/>
  <c r="HM78" i="88"/>
  <c r="HM56" i="88"/>
  <c r="HM55" i="88"/>
  <c r="HM65" i="88"/>
  <c r="HM11" i="88"/>
  <c r="HM49" i="88"/>
  <c r="HM52" i="88"/>
  <c r="HM50" i="88"/>
  <c r="HM33" i="88"/>
  <c r="HM32" i="88"/>
  <c r="HM46" i="88"/>
  <c r="HM45" i="88"/>
  <c r="HM12" i="88"/>
  <c r="HM22" i="88"/>
  <c r="HM44" i="88"/>
  <c r="HM15" i="88"/>
  <c r="GR11" i="88"/>
  <c r="HM30" i="88"/>
  <c r="HM19" i="88"/>
  <c r="HM18" i="88"/>
  <c r="HB11" i="88"/>
  <c r="HM35" i="88"/>
  <c r="HM57" i="88"/>
  <c r="HM82" i="88"/>
  <c r="HM94" i="88"/>
  <c r="HM86" i="88"/>
  <c r="HM16" i="88"/>
  <c r="HM27" i="88"/>
  <c r="HM51" i="88"/>
  <c r="HM90" i="88"/>
  <c r="HM87" i="88"/>
  <c r="HM34" i="88"/>
  <c r="HM23" i="88"/>
  <c r="HM29" i="88"/>
  <c r="HM36" i="88"/>
  <c r="HM37" i="88"/>
  <c r="HM24" i="88"/>
  <c r="HM17" i="88"/>
  <c r="HM85" i="88"/>
  <c r="HM43" i="88"/>
  <c r="HM54" i="88"/>
  <c r="HM13" i="88"/>
  <c r="HM28" i="88"/>
  <c r="HM58" i="88"/>
  <c r="HM93" i="88"/>
  <c r="HM25" i="88"/>
  <c r="HM66" i="88"/>
  <c r="HM91" i="88"/>
  <c r="HM68" i="88"/>
  <c r="HM83" i="88"/>
  <c r="HM95" i="88"/>
  <c r="HM53" i="88"/>
  <c r="HM84" i="88"/>
  <c r="JP40" i="88"/>
  <c r="KS39" i="88"/>
  <c r="BZ60" i="88"/>
  <c r="BZ40" i="88"/>
  <c r="IT15" i="88"/>
  <c r="JB15" i="88"/>
  <c r="DJ40" i="88"/>
  <c r="IE39" i="88"/>
  <c r="DJ60" i="88"/>
  <c r="V74" i="88"/>
  <c r="V61" i="88"/>
  <c r="JP60" i="88"/>
  <c r="Q61" i="88"/>
  <c r="Q74" i="88"/>
  <c r="HV60" i="88"/>
  <c r="GG60" i="88"/>
  <c r="IC131" i="88"/>
  <c r="JW131" i="88"/>
  <c r="IK14" i="88"/>
  <c r="IJ14" i="88"/>
  <c r="GB97" i="88"/>
  <c r="GB75" i="88"/>
  <c r="EI97" i="88"/>
  <c r="EI75" i="88"/>
  <c r="BE97" i="88"/>
  <c r="BE75" i="88"/>
  <c r="KJ194" i="88"/>
  <c r="KB194" i="88"/>
  <c r="CE215" i="88"/>
  <c r="CE74" i="88"/>
  <c r="CE61" i="88"/>
  <c r="GC74" i="88"/>
  <c r="GC61" i="88"/>
  <c r="IU31" i="88"/>
  <c r="JC31" i="88"/>
  <c r="JD31" i="88"/>
  <c r="IV31" i="88"/>
  <c r="IF31" i="88"/>
  <c r="JB47" i="88"/>
  <c r="IT47" i="88"/>
  <c r="JI63" i="88"/>
  <c r="IY63" i="88"/>
  <c r="IQ63" i="88"/>
  <c r="IR63" i="88"/>
  <c r="IZ63" i="88"/>
  <c r="HM81" i="88"/>
  <c r="JC84" i="88"/>
  <c r="IU84" i="88"/>
  <c r="HF91" i="88"/>
  <c r="GV91" i="88"/>
  <c r="IU161" i="88"/>
  <c r="JC161" i="88"/>
  <c r="IV161" i="88"/>
  <c r="JD161" i="88"/>
  <c r="GN160" i="88"/>
  <c r="GX160" i="88" s="1"/>
  <c r="FR194" i="88"/>
  <c r="AO60" i="88"/>
  <c r="HX39" i="88"/>
  <c r="AO40" i="88"/>
  <c r="GI39" i="88"/>
  <c r="Y74" i="88"/>
  <c r="Y61" i="88"/>
  <c r="IS185" i="88"/>
  <c r="JA185" i="88"/>
  <c r="CP194" i="88"/>
  <c r="IB182" i="88"/>
  <c r="JD182" i="88" s="1"/>
  <c r="JV182" i="88"/>
  <c r="DO97" i="88"/>
  <c r="JY74" i="88"/>
  <c r="KN133" i="88"/>
  <c r="KF133" i="88"/>
  <c r="KB39" i="88"/>
  <c r="HM14" i="88"/>
  <c r="AM97" i="88"/>
  <c r="AM75" i="88"/>
  <c r="IJ52" i="88"/>
  <c r="IK52" i="88"/>
  <c r="HR63" i="88"/>
  <c r="HG63" i="88"/>
  <c r="GW63" i="88"/>
  <c r="GM72" i="88"/>
  <c r="IT81" i="88"/>
  <c r="JB81" i="88"/>
  <c r="IG109" i="88"/>
  <c r="KF150" i="88"/>
  <c r="KN150" i="88"/>
  <c r="JC15" i="88"/>
  <c r="IU15" i="88"/>
  <c r="JD15" i="88"/>
  <c r="IV15" i="88"/>
  <c r="CJ215" i="88"/>
  <c r="CJ74" i="88"/>
  <c r="CJ61" i="88"/>
  <c r="IJ47" i="88"/>
  <c r="IK47" i="88"/>
  <c r="EU97" i="88"/>
  <c r="EU75" i="88"/>
  <c r="AK97" i="88"/>
  <c r="AK75" i="88"/>
  <c r="HS52" i="88"/>
  <c r="HS94" i="88"/>
  <c r="GT161" i="88"/>
  <c r="HD161" i="88"/>
  <c r="BG97" i="88"/>
  <c r="BG75" i="88"/>
  <c r="ER97" i="88"/>
  <c r="ER75" i="88"/>
  <c r="IC89" i="88"/>
  <c r="IG89" i="88" s="1"/>
  <c r="BZ220" i="88"/>
  <c r="BZ218" i="88" s="1"/>
  <c r="CA220" i="88"/>
  <c r="CA218" i="88" s="1"/>
  <c r="BZ194" i="88"/>
  <c r="A308" i="88"/>
  <c r="CS215" i="88"/>
  <c r="CS74" i="88"/>
  <c r="CS61" i="88"/>
  <c r="HZ14" i="88"/>
  <c r="GK14" i="88"/>
  <c r="BM11" i="88"/>
  <c r="KE21" i="88"/>
  <c r="KM21" i="88"/>
  <c r="KW21" i="88"/>
  <c r="IZ42" i="88"/>
  <c r="HS46" i="88"/>
  <c r="IR194" i="88"/>
  <c r="IZ194" i="88"/>
  <c r="EQ97" i="88"/>
  <c r="EQ75" i="88"/>
  <c r="GH60" i="88"/>
  <c r="AC74" i="88"/>
  <c r="HW60" i="88"/>
  <c r="AC61" i="88"/>
  <c r="FA215" i="88"/>
  <c r="FA222" i="88" s="1"/>
  <c r="FA227" i="88" s="1"/>
  <c r="FA230" i="88" s="1"/>
  <c r="FA232" i="88" s="1"/>
  <c r="FA61" i="88"/>
  <c r="FA74" i="88"/>
  <c r="FC97" i="88"/>
  <c r="FC75" i="88"/>
  <c r="W74" i="88"/>
  <c r="W61" i="88"/>
  <c r="IH39" i="88"/>
  <c r="ID40" i="88"/>
  <c r="IK32" i="88"/>
  <c r="IJ32" i="88"/>
  <c r="IT42" i="88"/>
  <c r="JB42" i="88"/>
  <c r="HS27" i="88"/>
  <c r="HS65" i="88"/>
  <c r="IA89" i="88"/>
  <c r="GL89" i="88"/>
  <c r="GU84" i="88"/>
  <c r="JB91" i="88"/>
  <c r="IT91" i="88"/>
  <c r="KM39" i="88"/>
  <c r="KE39" i="88"/>
  <c r="KW39" i="88"/>
  <c r="GD97" i="88"/>
  <c r="GD75" i="88"/>
  <c r="FS60" i="88"/>
  <c r="CL215" i="88"/>
  <c r="CL61" i="88"/>
  <c r="CL74" i="88"/>
  <c r="AP74" i="88"/>
  <c r="AP97" i="88" s="1"/>
  <c r="AP61" i="88"/>
  <c r="IN85" i="88"/>
  <c r="IN57" i="88"/>
  <c r="IN11" i="88"/>
  <c r="IN45" i="88"/>
  <c r="IN37" i="88"/>
  <c r="IN22" i="88"/>
  <c r="IN34" i="88"/>
  <c r="IN44" i="88"/>
  <c r="IN46" i="88"/>
  <c r="IN17" i="88"/>
  <c r="IN26" i="88"/>
  <c r="IN66" i="88"/>
  <c r="IN95" i="88"/>
  <c r="IN33" i="88"/>
  <c r="IN35" i="88"/>
  <c r="IN13" i="88"/>
  <c r="IN27" i="88"/>
  <c r="IN56" i="88"/>
  <c r="IN19" i="88"/>
  <c r="IN14" i="88"/>
  <c r="IN69" i="88"/>
  <c r="IN65" i="88"/>
  <c r="IN83" i="88"/>
  <c r="IN86" i="88"/>
  <c r="IN93" i="88"/>
  <c r="IN12" i="88"/>
  <c r="IN94" i="88"/>
  <c r="IN18" i="88"/>
  <c r="IN48" i="88"/>
  <c r="IN52" i="88"/>
  <c r="IN68" i="88"/>
  <c r="IN28" i="88"/>
  <c r="IN51" i="88"/>
  <c r="IN31" i="88"/>
  <c r="IN49" i="88"/>
  <c r="IN58" i="88"/>
  <c r="IN82" i="88"/>
  <c r="IN100" i="88"/>
  <c r="IN15" i="88"/>
  <c r="IN30" i="88"/>
  <c r="IN29" i="88"/>
  <c r="IN36" i="88"/>
  <c r="IN55" i="88"/>
  <c r="IN54" i="88"/>
  <c r="HR25" i="88"/>
  <c r="HR49" i="88"/>
  <c r="HD109" i="88"/>
  <c r="GT109" i="88"/>
  <c r="JA109" i="88"/>
  <c r="IS109" i="88"/>
  <c r="HE161" i="88"/>
  <c r="HY210" i="88"/>
  <c r="HY212" i="88" s="1"/>
  <c r="JS210" i="88"/>
  <c r="JS212" i="88" s="1"/>
  <c r="KG141" i="88"/>
  <c r="KO141" i="88"/>
  <c r="AV101" i="88"/>
  <c r="AV103" i="88"/>
  <c r="AV104" i="88" s="1"/>
  <c r="AV98" i="88"/>
  <c r="IU21" i="88"/>
  <c r="JC21" i="88"/>
  <c r="FG74" i="88"/>
  <c r="FG61" i="88"/>
  <c r="ID60" i="88"/>
  <c r="IH60" i="88" s="1"/>
  <c r="FU97" i="88"/>
  <c r="FU75" i="88"/>
  <c r="GU42" i="88"/>
  <c r="HE42" i="88"/>
  <c r="HM80" i="88"/>
  <c r="HB80" i="88"/>
  <c r="GR80" i="88"/>
  <c r="HC80" i="88"/>
  <c r="GS80" i="88"/>
  <c r="IV84" i="88"/>
  <c r="JM84" i="88"/>
  <c r="JD84" i="88"/>
  <c r="BN217" i="88"/>
  <c r="HA158" i="88"/>
  <c r="GQ158" i="88"/>
  <c r="CA215" i="88"/>
  <c r="CA74" i="88"/>
  <c r="CA61" i="88"/>
  <c r="FJ97" i="88"/>
  <c r="FJ75" i="88"/>
  <c r="KN64" i="88"/>
  <c r="KF64" i="88"/>
  <c r="KX64" i="88"/>
  <c r="IV182" i="88"/>
  <c r="IG182" i="88"/>
  <c r="HR42" i="88"/>
  <c r="IY42" i="88"/>
  <c r="JI42" i="88"/>
  <c r="IQ42" i="88"/>
  <c r="IK44" i="88"/>
  <c r="IJ44" i="88"/>
  <c r="GL116" i="88"/>
  <c r="HF116" i="88" s="1"/>
  <c r="CJ109" i="88"/>
  <c r="CK219" i="88"/>
  <c r="CJ274" i="88"/>
  <c r="CJ219" i="88"/>
  <c r="P74" i="88"/>
  <c r="P61" i="88"/>
  <c r="IC39" i="88"/>
  <c r="KC158" i="88"/>
  <c r="KK158" i="88"/>
  <c r="FQ74" i="88"/>
  <c r="FQ61" i="88"/>
  <c r="AE61" i="88"/>
  <c r="AE74" i="88"/>
  <c r="GU47" i="88"/>
  <c r="HE47" i="88"/>
  <c r="GR63" i="88"/>
  <c r="HM63" i="88"/>
  <c r="HB63" i="88"/>
  <c r="IU91" i="88"/>
  <c r="JC91" i="88"/>
  <c r="GK89" i="88"/>
  <c r="HZ89" i="88"/>
  <c r="HG175" i="88"/>
  <c r="GW175" i="88"/>
  <c r="HH175" i="88"/>
  <c r="GX175" i="88"/>
  <c r="M61" i="88"/>
  <c r="M74" i="88"/>
  <c r="IF21" i="88"/>
  <c r="IG21" i="88"/>
  <c r="HB21" i="88"/>
  <c r="GR21" i="88"/>
  <c r="HM21" i="88"/>
  <c r="FY103" i="88"/>
  <c r="FY104" i="88" s="1"/>
  <c r="FY98" i="88"/>
  <c r="FY101" i="88"/>
  <c r="BD97" i="88"/>
  <c r="BD75" i="88"/>
  <c r="IS47" i="88"/>
  <c r="JA47" i="88"/>
  <c r="HZ182" i="88"/>
  <c r="IT182" i="88" s="1"/>
  <c r="BR194" i="88"/>
  <c r="JT182" i="88"/>
  <c r="KF182" i="88" s="1"/>
  <c r="KN116" i="88"/>
  <c r="KF116" i="88"/>
  <c r="KH91" i="88"/>
  <c r="KZ91" i="88"/>
  <c r="KP91" i="88"/>
  <c r="JF39" i="88"/>
  <c r="HU40" i="88"/>
  <c r="GS21" i="88"/>
  <c r="EN97" i="88"/>
  <c r="EN75" i="88"/>
  <c r="GU81" i="88"/>
  <c r="HE81" i="88"/>
  <c r="GO268" i="88"/>
  <c r="GO269" i="88"/>
  <c r="HH109" i="88"/>
  <c r="GX109" i="88"/>
  <c r="IY194" i="88"/>
  <c r="IQ194" i="88"/>
  <c r="L74" i="88"/>
  <c r="L61" i="88"/>
  <c r="GK21" i="88"/>
  <c r="GU21" i="88" s="1"/>
  <c r="HZ21" i="88"/>
  <c r="IT21" i="88" s="1"/>
  <c r="HF81" i="88"/>
  <c r="CD268" i="88"/>
  <c r="CD269" i="88"/>
  <c r="IA109" i="88"/>
  <c r="JU109" i="88"/>
  <c r="ID160" i="88"/>
  <c r="FL194" i="88"/>
  <c r="BX220" i="88"/>
  <c r="BX218" i="88" s="1"/>
  <c r="GK160" i="88"/>
  <c r="BY220" i="88"/>
  <c r="BY218" i="88" s="1"/>
  <c r="DR103" i="88"/>
  <c r="DR104" i="88" s="1"/>
  <c r="DL61" i="88"/>
  <c r="DL74" i="88"/>
  <c r="DL97" i="88" s="1"/>
  <c r="AD97" i="88"/>
  <c r="AD75" i="88"/>
  <c r="HM64" i="88"/>
  <c r="CJ220" i="88"/>
  <c r="GL160" i="88"/>
  <c r="CK220" i="88"/>
  <c r="AN97" i="88"/>
  <c r="AN75" i="88"/>
  <c r="IK23" i="88"/>
  <c r="IJ23" i="88"/>
  <c r="BK97" i="88"/>
  <c r="BK75" i="88"/>
  <c r="HI64" i="88"/>
  <c r="GY64" i="88"/>
  <c r="HS64" i="88"/>
  <c r="HH64" i="88"/>
  <c r="GX64" i="88"/>
  <c r="HU210" i="88"/>
  <c r="HU212" i="88" s="1"/>
  <c r="JO210" i="88"/>
  <c r="JO212" i="88" s="1"/>
  <c r="EO97" i="88"/>
  <c r="EO75" i="88"/>
  <c r="HD47" i="88"/>
  <c r="GT47" i="88"/>
  <c r="GW91" i="88"/>
  <c r="IK110" i="88"/>
  <c r="IJ110" i="88"/>
  <c r="FR130" i="88"/>
  <c r="GN131" i="88"/>
  <c r="DU194" i="88"/>
  <c r="DM74" i="88"/>
  <c r="DM97" i="88" s="1"/>
  <c r="DM61" i="88"/>
  <c r="GJ160" i="88"/>
  <c r="BM220" i="88"/>
  <c r="BM218" i="88" s="1"/>
  <c r="BL194" i="88"/>
  <c r="CG220" i="88"/>
  <c r="CG218" i="88" s="1"/>
  <c r="HX210" i="88"/>
  <c r="HX212" i="88" s="1"/>
  <c r="JR210" i="88"/>
  <c r="U74" i="88"/>
  <c r="U61" i="88"/>
  <c r="KG137" i="88"/>
  <c r="KO137" i="88"/>
  <c r="HS85" i="88"/>
  <c r="HS82" i="88"/>
  <c r="HS73" i="88"/>
  <c r="HS72" i="88"/>
  <c r="HS58" i="88"/>
  <c r="HS36" i="88"/>
  <c r="HS11" i="88"/>
  <c r="HS37" i="88"/>
  <c r="GX11" i="88"/>
  <c r="HH11" i="88"/>
  <c r="HS29" i="88"/>
  <c r="HS57" i="88"/>
  <c r="HS31" i="88"/>
  <c r="HS68" i="88"/>
  <c r="HS24" i="88"/>
  <c r="HS26" i="88"/>
  <c r="HS56" i="88"/>
  <c r="HS70" i="88"/>
  <c r="HS15" i="88"/>
  <c r="HS35" i="88"/>
  <c r="HS50" i="88"/>
  <c r="HS79" i="88"/>
  <c r="HS13" i="88"/>
  <c r="HS14" i="88"/>
  <c r="HS33" i="88"/>
  <c r="HS55" i="88"/>
  <c r="HS34" i="88"/>
  <c r="HS45" i="88"/>
  <c r="HS71" i="88"/>
  <c r="F74" i="88"/>
  <c r="F61" i="88"/>
  <c r="KO188" i="88"/>
  <c r="KG188" i="88"/>
  <c r="AJ97" i="88"/>
  <c r="AJ75" i="88"/>
  <c r="CR215" i="88"/>
  <c r="CR222" i="88" s="1"/>
  <c r="CR74" i="88"/>
  <c r="CR61" i="88"/>
  <c r="IJ50" i="88"/>
  <c r="IK50" i="88"/>
  <c r="HH160" i="88"/>
  <c r="KF175" i="88"/>
  <c r="KN175" i="88"/>
  <c r="S74" i="88"/>
  <c r="S61" i="88"/>
  <c r="HR95" i="88"/>
  <c r="HR70" i="88"/>
  <c r="HR73" i="88"/>
  <c r="HR72" i="88"/>
  <c r="HR71" i="88"/>
  <c r="HR51" i="88"/>
  <c r="HR34" i="88"/>
  <c r="HR37" i="88"/>
  <c r="HR11" i="88"/>
  <c r="HR28" i="88"/>
  <c r="HR44" i="88"/>
  <c r="HR36" i="88"/>
  <c r="HR66" i="88"/>
  <c r="HR31" i="88"/>
  <c r="HR67" i="88"/>
  <c r="HR82" i="88"/>
  <c r="HR14" i="88"/>
  <c r="HR13" i="88"/>
  <c r="HR27" i="88"/>
  <c r="HR58" i="88"/>
  <c r="HR32" i="88"/>
  <c r="HR30" i="88"/>
  <c r="HR18" i="88"/>
  <c r="HR26" i="88"/>
  <c r="HR46" i="88"/>
  <c r="HR50" i="88"/>
  <c r="HR57" i="88"/>
  <c r="HR84" i="88"/>
  <c r="HR23" i="88"/>
  <c r="HR33" i="88"/>
  <c r="HR78" i="88"/>
  <c r="HR29" i="88"/>
  <c r="HR85" i="88"/>
  <c r="HR52" i="88"/>
  <c r="HR15" i="88"/>
  <c r="AF97" i="88"/>
  <c r="AF75" i="88"/>
  <c r="CH60" i="88"/>
  <c r="CH40" i="88"/>
  <c r="HE175" i="88"/>
  <c r="GU175" i="88"/>
  <c r="HF175" i="88"/>
  <c r="GV175" i="88"/>
  <c r="FE97" i="88"/>
  <c r="FE75" i="88"/>
  <c r="HN15" i="88"/>
  <c r="HR16" i="88"/>
  <c r="IN79" i="88"/>
  <c r="BX269" i="88"/>
  <c r="BR269" i="88"/>
  <c r="GU161" i="88"/>
  <c r="CH220" i="88"/>
  <c r="CH218" i="88" s="1"/>
  <c r="CH268" i="88"/>
  <c r="CI220" i="88"/>
  <c r="CI218" i="88" s="1"/>
  <c r="CH194" i="88"/>
  <c r="CH269" i="88"/>
  <c r="BX215" i="88"/>
  <c r="BX74" i="88"/>
  <c r="BX61" i="88"/>
  <c r="T74" i="88"/>
  <c r="T61" i="88"/>
  <c r="ES215" i="88"/>
  <c r="ES222" i="88" s="1"/>
  <c r="ES227" i="88" s="1"/>
  <c r="ES230" i="88" s="1"/>
  <c r="ES232" i="88" s="1"/>
  <c r="ES74" i="88"/>
  <c r="ES61" i="88"/>
  <c r="GV21" i="88"/>
  <c r="HF21" i="88"/>
  <c r="JD47" i="88"/>
  <c r="GI77" i="88"/>
  <c r="HX77" i="88"/>
  <c r="HR69" i="88"/>
  <c r="HH84" i="88"/>
  <c r="GY84" i="88"/>
  <c r="HS84" i="88"/>
  <c r="HI84" i="88"/>
  <c r="GX84" i="88"/>
  <c r="IS133" i="88"/>
  <c r="JA133" i="88"/>
  <c r="BR215" i="88"/>
  <c r="BR74" i="88"/>
  <c r="BR61" i="88"/>
  <c r="JT61" i="88" s="1"/>
  <c r="JT60" i="88"/>
  <c r="IT64" i="88"/>
  <c r="HM42" i="88"/>
  <c r="IN63" i="88"/>
  <c r="DU61" i="88"/>
  <c r="DU74" i="88"/>
  <c r="DU97" i="88" s="1"/>
  <c r="JW40" i="88"/>
  <c r="JW39" i="88"/>
  <c r="HR35" i="88"/>
  <c r="IN53" i="88"/>
  <c r="HR86" i="88"/>
  <c r="HH91" i="88"/>
  <c r="HS91" i="88"/>
  <c r="GY91" i="88"/>
  <c r="HI91" i="88"/>
  <c r="GX91" i="88"/>
  <c r="BX268" i="88"/>
  <c r="CN220" i="88"/>
  <c r="CN218" i="88" s="1"/>
  <c r="DL268" i="88"/>
  <c r="CO220" i="88"/>
  <c r="CO218" i="88" s="1"/>
  <c r="DL269" i="88"/>
  <c r="CN268" i="88"/>
  <c r="CN269" i="88"/>
  <c r="CN194" i="88"/>
  <c r="IE160" i="88"/>
  <c r="IE268" i="88" s="1"/>
  <c r="JY160" i="88"/>
  <c r="JY268" i="88" s="1"/>
  <c r="IK16" i="88"/>
  <c r="IJ16" i="88"/>
  <c r="KH171" i="88"/>
  <c r="EP97" i="88"/>
  <c r="EP75" i="88"/>
  <c r="FD97" i="88"/>
  <c r="FD75" i="88"/>
  <c r="FV97" i="88"/>
  <c r="FV75" i="88"/>
  <c r="IN78" i="88"/>
  <c r="JI91" i="88"/>
  <c r="HR89" i="88"/>
  <c r="BR216" i="88"/>
  <c r="BR130" i="88"/>
  <c r="HZ131" i="88"/>
  <c r="JT131" i="88"/>
  <c r="BS216" i="88"/>
  <c r="HS67" i="88"/>
  <c r="CC215" i="88"/>
  <c r="CC222" i="88" s="1"/>
  <c r="CC61" i="88"/>
  <c r="CC74" i="88"/>
  <c r="KB158" i="88"/>
  <c r="IJ15" i="88"/>
  <c r="IK15" i="88"/>
  <c r="EK215" i="88"/>
  <c r="EK222" i="88" s="1"/>
  <c r="EK227" i="88" s="1"/>
  <c r="EK230" i="88" s="1"/>
  <c r="EK232" i="88" s="1"/>
  <c r="EK74" i="88"/>
  <c r="EK61" i="88"/>
  <c r="FM74" i="88"/>
  <c r="FM61" i="88"/>
  <c r="IN50" i="88"/>
  <c r="HS49" i="88"/>
  <c r="JI64" i="88"/>
  <c r="IV91" i="88"/>
  <c r="JM91" i="88"/>
  <c r="JD91" i="88"/>
  <c r="IV175" i="88"/>
  <c r="JD175" i="88"/>
  <c r="IG175" i="88"/>
  <c r="IE274" i="88"/>
  <c r="CN74" i="88"/>
  <c r="CN61" i="88"/>
  <c r="X74" i="88"/>
  <c r="X61" i="88"/>
  <c r="KN141" i="88"/>
  <c r="BB97" i="88"/>
  <c r="BB75" i="88"/>
  <c r="AL97" i="88"/>
  <c r="AL75" i="88"/>
  <c r="IN32" i="88"/>
  <c r="HE31" i="88"/>
  <c r="IJ46" i="88"/>
  <c r="IK46" i="88"/>
  <c r="IV63" i="88"/>
  <c r="HR56" i="88"/>
  <c r="IN81" i="88"/>
  <c r="IU171" i="88"/>
  <c r="JC171" i="88"/>
  <c r="JD171" i="88"/>
  <c r="IV171" i="88"/>
  <c r="IK197" i="88"/>
  <c r="IJ197" i="88"/>
  <c r="BP60" i="88"/>
  <c r="BP40" i="88"/>
  <c r="HD42" i="88"/>
  <c r="GT42" i="88"/>
  <c r="DS74" i="88"/>
  <c r="DS97" i="88" s="1"/>
  <c r="DS61" i="88"/>
  <c r="BN215" i="88"/>
  <c r="BN74" i="88"/>
  <c r="BN61" i="88"/>
  <c r="KJ158" i="88"/>
  <c r="FF97" i="88"/>
  <c r="FF75" i="88"/>
  <c r="KM133" i="88"/>
  <c r="KE133" i="88"/>
  <c r="CD215" i="88"/>
  <c r="CD61" i="88"/>
  <c r="JU61" i="88" s="1"/>
  <c r="CD74" i="88"/>
  <c r="JU60" i="88"/>
  <c r="IC80" i="88"/>
  <c r="IG80" i="88" s="1"/>
  <c r="IS64" i="88"/>
  <c r="JA64" i="88"/>
  <c r="FO97" i="88"/>
  <c r="FO75" i="88"/>
  <c r="HV40" i="88"/>
  <c r="JG39" i="88"/>
  <c r="IK34" i="88"/>
  <c r="IJ34" i="88"/>
  <c r="IK55" i="88"/>
  <c r="IJ55" i="88"/>
  <c r="GR182" i="88"/>
  <c r="HB182" i="88"/>
  <c r="GS182" i="88"/>
  <c r="HC182" i="88"/>
  <c r="BI97" i="88"/>
  <c r="BI75" i="88"/>
  <c r="BF74" i="88"/>
  <c r="BF61" i="88"/>
  <c r="JS60" i="88"/>
  <c r="GK72" i="88"/>
  <c r="GT63" i="88"/>
  <c r="HD63" i="88"/>
  <c r="HZ80" i="88"/>
  <c r="GK80" i="88"/>
  <c r="BM77" i="88"/>
  <c r="DO210" i="88"/>
  <c r="IE194" i="88"/>
  <c r="JY194" i="88"/>
  <c r="KE171" i="88"/>
  <c r="KM171" i="88"/>
  <c r="JB67" i="88"/>
  <c r="IT67" i="88"/>
  <c r="IK81" i="88"/>
  <c r="IJ81" i="88"/>
  <c r="EY97" i="88"/>
  <c r="EY75" i="88"/>
  <c r="O74" i="88"/>
  <c r="O61" i="88"/>
  <c r="Z97" i="88"/>
  <c r="Z75" i="88"/>
  <c r="EJ215" i="88"/>
  <c r="EJ222" i="88" s="1"/>
  <c r="EJ227" i="88" s="1"/>
  <c r="EJ230" i="88" s="1"/>
  <c r="EJ232" i="88" s="1"/>
  <c r="EJ74" i="88"/>
  <c r="EJ61" i="88"/>
  <c r="GU117" i="88"/>
  <c r="HE117" i="88"/>
  <c r="BP220" i="88"/>
  <c r="BP218" i="88" s="1"/>
  <c r="BQ220" i="88"/>
  <c r="BQ218" i="88" s="1"/>
  <c r="BP268" i="88"/>
  <c r="BP269" i="88"/>
  <c r="BP194" i="88"/>
  <c r="IP194" i="88"/>
  <c r="IX194" i="88"/>
  <c r="IK20" i="88"/>
  <c r="IJ20" i="88"/>
  <c r="HE15" i="88"/>
  <c r="GU15" i="88"/>
  <c r="FN74" i="88"/>
  <c r="FN61" i="88"/>
  <c r="IG11" i="88"/>
  <c r="IM55" i="88" s="1"/>
  <c r="ET97" i="88"/>
  <c r="ET75" i="88"/>
  <c r="IE80" i="88"/>
  <c r="DJ77" i="88"/>
  <c r="HM67" i="88"/>
  <c r="DB268" i="88"/>
  <c r="DB269" i="88"/>
  <c r="IC109" i="88"/>
  <c r="JW109" i="88"/>
  <c r="GI194" i="88"/>
  <c r="KF200" i="88"/>
  <c r="KN200" i="88"/>
  <c r="EL97" i="88"/>
  <c r="EL75" i="88"/>
  <c r="FL74" i="88"/>
  <c r="FL61" i="88"/>
  <c r="HM31" i="88"/>
  <c r="IJ30" i="88"/>
  <c r="IK30" i="88"/>
  <c r="IK48" i="88"/>
  <c r="IJ48" i="88"/>
  <c r="CU217" i="88"/>
  <c r="CU158" i="88"/>
  <c r="K74" i="88"/>
  <c r="K61" i="88"/>
  <c r="KM161" i="88"/>
  <c r="KE161" i="88"/>
  <c r="KG64" i="88"/>
  <c r="CP60" i="88"/>
  <c r="CP40" i="88"/>
  <c r="JV40" i="88" s="1"/>
  <c r="KP40" i="88" s="1"/>
  <c r="JV39" i="88"/>
  <c r="EM97" i="88"/>
  <c r="EM75" i="88"/>
  <c r="HB89" i="88"/>
  <c r="HM89" i="88"/>
  <c r="GR89" i="88"/>
  <c r="CE158" i="88"/>
  <c r="KG185" i="88"/>
  <c r="KO185" i="88"/>
  <c r="HG21" i="88"/>
  <c r="GW21" i="88"/>
  <c r="HR21" i="88"/>
  <c r="CU215" i="88"/>
  <c r="CU61" i="88"/>
  <c r="CU74" i="88"/>
  <c r="AU101" i="88"/>
  <c r="AU103" i="88"/>
  <c r="AU104" i="88" s="1"/>
  <c r="AU98" i="88"/>
  <c r="BR77" i="88"/>
  <c r="JT80" i="88"/>
  <c r="BV217" i="88"/>
  <c r="BV158" i="88"/>
  <c r="DU130" i="88"/>
  <c r="HD185" i="88"/>
  <c r="GT185" i="88"/>
  <c r="HE185" i="88"/>
  <c r="GU185" i="88"/>
  <c r="J97" i="88"/>
  <c r="J75" i="88"/>
  <c r="JO74" i="88"/>
  <c r="KH63" i="88"/>
  <c r="KZ63" i="88"/>
  <c r="KP63" i="88"/>
  <c r="AA61" i="88"/>
  <c r="AA74" i="88"/>
  <c r="FK97" i="88"/>
  <c r="FK75" i="88"/>
  <c r="BW215" i="88"/>
  <c r="BW74" i="88"/>
  <c r="BW61" i="88"/>
  <c r="CO215" i="88"/>
  <c r="CO74" i="88"/>
  <c r="CO61" i="88"/>
  <c r="DP74" i="88"/>
  <c r="DP97" i="88" s="1"/>
  <c r="DP61" i="88"/>
  <c r="AG74" i="88"/>
  <c r="AG61" i="88"/>
  <c r="GS63" i="88"/>
  <c r="HE67" i="88"/>
  <c r="GU67" i="88"/>
  <c r="CM158" i="88"/>
  <c r="KP141" i="88"/>
  <c r="KH141" i="88"/>
  <c r="EW97" i="88"/>
  <c r="EW75" i="88"/>
  <c r="CD216" i="88"/>
  <c r="IA131" i="88"/>
  <c r="CD130" i="88"/>
  <c r="JU131" i="88"/>
  <c r="CE216" i="88"/>
  <c r="HW210" i="88"/>
  <c r="HW212" i="88" s="1"/>
  <c r="JQ210" i="88"/>
  <c r="IA14" i="88"/>
  <c r="GL14" i="88"/>
  <c r="BY11" i="88"/>
  <c r="FP97" i="88"/>
  <c r="FP75" i="88"/>
  <c r="HS18" i="88"/>
  <c r="HK39" i="88"/>
  <c r="GG40" i="88"/>
  <c r="JC47" i="88"/>
  <c r="IU47" i="88"/>
  <c r="HM48" i="88"/>
  <c r="BR220" i="88"/>
  <c r="BR218" i="88" s="1"/>
  <c r="HZ160" i="88"/>
  <c r="JT160" i="88"/>
  <c r="KN160" i="88" s="1"/>
  <c r="BS220" i="88"/>
  <c r="BS218" i="88" s="1"/>
  <c r="IJ35" i="88"/>
  <c r="IK35" i="88"/>
  <c r="IK67" i="88"/>
  <c r="IJ91" i="88"/>
  <c r="IK91" i="88"/>
  <c r="IF15" i="88"/>
  <c r="HN87" i="88"/>
  <c r="HN95" i="88"/>
  <c r="HN94" i="88"/>
  <c r="HN68" i="88"/>
  <c r="HN57" i="88"/>
  <c r="HN79" i="88"/>
  <c r="HN85" i="88"/>
  <c r="HN64" i="88"/>
  <c r="HN44" i="88"/>
  <c r="HN55" i="88"/>
  <c r="HN53" i="88"/>
  <c r="HN27" i="88"/>
  <c r="HN43" i="88"/>
  <c r="HN36" i="88"/>
  <c r="HN13" i="88"/>
  <c r="GS11" i="88"/>
  <c r="HC11" i="88"/>
  <c r="HN11" i="88"/>
  <c r="HN23" i="88"/>
  <c r="HN12" i="88"/>
  <c r="HN18" i="88"/>
  <c r="HN25" i="88"/>
  <c r="HN17" i="88"/>
  <c r="HN56" i="88"/>
  <c r="HN54" i="88"/>
  <c r="HN29" i="88"/>
  <c r="HN22" i="88"/>
  <c r="HN52" i="88"/>
  <c r="HN37" i="88"/>
  <c r="HN51" i="88"/>
  <c r="HN32" i="88"/>
  <c r="HN78" i="88"/>
  <c r="HN65" i="88"/>
  <c r="HN86" i="88"/>
  <c r="HN92" i="88"/>
  <c r="HN93" i="88"/>
  <c r="HN48" i="88"/>
  <c r="HN34" i="88"/>
  <c r="HN33" i="88"/>
  <c r="HN30" i="88"/>
  <c r="HN24" i="88"/>
  <c r="HN19" i="88"/>
  <c r="HN45" i="88"/>
  <c r="HN69" i="88"/>
  <c r="HN35" i="88"/>
  <c r="HN28" i="88"/>
  <c r="HN66" i="88"/>
  <c r="HN91" i="88"/>
  <c r="HN90" i="88"/>
  <c r="HN16" i="88"/>
  <c r="HN46" i="88"/>
  <c r="HN67" i="88"/>
  <c r="HN58" i="88"/>
  <c r="HN83" i="88"/>
  <c r="HN50" i="88"/>
  <c r="HN49" i="88"/>
  <c r="HN80" i="88"/>
  <c r="HN82" i="88"/>
  <c r="IR11" i="88"/>
  <c r="BQ60" i="88"/>
  <c r="BQ40" i="88"/>
  <c r="JM42" i="88"/>
  <c r="IE89" i="88"/>
  <c r="JY89" i="88"/>
  <c r="IJ141" i="88"/>
  <c r="IK141" i="88"/>
  <c r="IT185" i="88"/>
  <c r="BJ97" i="88"/>
  <c r="BJ75" i="88"/>
  <c r="JH39" i="88"/>
  <c r="IP39" i="88"/>
  <c r="HW40" i="88"/>
  <c r="IX39" i="88"/>
  <c r="KN161" i="88"/>
  <c r="HS21" i="88"/>
  <c r="HI21" i="88"/>
  <c r="GY21" i="88"/>
  <c r="GX21" i="88"/>
  <c r="HH21" i="88"/>
  <c r="IN25" i="88"/>
  <c r="HS43" i="88"/>
  <c r="JD63" i="88"/>
  <c r="KZ77" i="88"/>
  <c r="HS83" i="88"/>
  <c r="DT268" i="88"/>
  <c r="DT269" i="88"/>
  <c r="CV268" i="88"/>
  <c r="CV269" i="88"/>
  <c r="GM109" i="88"/>
  <c r="GY109" i="88" s="1"/>
  <c r="CP216" i="88"/>
  <c r="CP130" i="88"/>
  <c r="IB131" i="88"/>
  <c r="CQ216" i="88"/>
  <c r="JV131" i="88"/>
  <c r="GL130" i="88"/>
  <c r="CJ129" i="88"/>
  <c r="HF161" i="88"/>
  <c r="GV161" i="88"/>
  <c r="GW161" i="88"/>
  <c r="HG161" i="88"/>
  <c r="IA194" i="88"/>
  <c r="JU194" i="88"/>
  <c r="JI21" i="88"/>
  <c r="KF39" i="88"/>
  <c r="FZ97" i="88"/>
  <c r="FZ75" i="88"/>
  <c r="JA42" i="88"/>
  <c r="IS42" i="88"/>
  <c r="CM215" i="88"/>
  <c r="CM61" i="88"/>
  <c r="CM74" i="88"/>
  <c r="CF215" i="88"/>
  <c r="CF74" i="88"/>
  <c r="CF61" i="88"/>
  <c r="IS15" i="88"/>
  <c r="JA15" i="88"/>
  <c r="BC60" i="88"/>
  <c r="BC40" i="88"/>
  <c r="GJ39" i="88"/>
  <c r="HY39" i="88"/>
  <c r="FT97" i="88"/>
  <c r="FT75" i="88"/>
  <c r="AH103" i="88"/>
  <c r="AH98" i="88"/>
  <c r="JQ97" i="88"/>
  <c r="KC97" i="88" s="1"/>
  <c r="GX42" i="88"/>
  <c r="HS42" i="88"/>
  <c r="HH42" i="88"/>
  <c r="HR54" i="88"/>
  <c r="IK63" i="88"/>
  <c r="IJ63" i="88"/>
  <c r="HD91" i="88"/>
  <c r="GT91" i="88"/>
  <c r="IP158" i="88"/>
  <c r="IX158" i="88"/>
  <c r="JB185" i="88"/>
  <c r="KF161" i="88"/>
  <c r="JD21" i="88"/>
  <c r="IV21" i="88"/>
  <c r="JM21" i="88"/>
  <c r="G61" i="88"/>
  <c r="G74" i="88"/>
  <c r="HN42" i="88"/>
  <c r="HS95" i="88"/>
  <c r="HG116" i="88"/>
  <c r="HI116" i="88"/>
  <c r="GY116" i="88"/>
  <c r="HB129" i="88"/>
  <c r="GR129" i="88"/>
  <c r="IV137" i="88"/>
  <c r="JD137" i="88"/>
  <c r="IU137" i="88"/>
  <c r="JC137" i="88"/>
  <c r="CV220" i="88"/>
  <c r="CV218" i="88" s="1"/>
  <c r="GM160" i="88"/>
  <c r="GY160" i="88" s="1"/>
  <c r="CV194" i="88"/>
  <c r="GQ194" i="88"/>
  <c r="HA194" i="88"/>
  <c r="GN77" i="88"/>
  <c r="JD64" i="88"/>
  <c r="IV64" i="88"/>
  <c r="JM64" i="88"/>
  <c r="IK185" i="88"/>
  <c r="IJ185" i="88"/>
  <c r="AI97" i="88"/>
  <c r="AI75" i="88"/>
  <c r="CG215" i="88"/>
  <c r="CG74" i="88"/>
  <c r="CG61" i="88"/>
  <c r="BW217" i="88"/>
  <c r="BW158" i="88"/>
  <c r="IE131" i="88"/>
  <c r="DO130" i="88"/>
  <c r="JY131" i="88"/>
  <c r="HG141" i="88"/>
  <c r="GW141" i="88"/>
  <c r="KE141" i="88"/>
  <c r="KM141" i="88"/>
  <c r="AB74" i="88"/>
  <c r="AB61" i="88"/>
  <c r="KG171" i="88"/>
  <c r="KO171" i="88"/>
  <c r="AZ103" i="88"/>
  <c r="AZ104" i="88" s="1"/>
  <c r="AZ101" i="88"/>
  <c r="AZ98" i="88"/>
  <c r="IK53" i="88"/>
  <c r="IJ53" i="88"/>
  <c r="KD158" i="88"/>
  <c r="KL158" i="88"/>
  <c r="N74" i="88"/>
  <c r="N61" i="88"/>
  <c r="I61" i="88"/>
  <c r="I74" i="88"/>
  <c r="IC160" i="88"/>
  <c r="JW160" i="88"/>
  <c r="FB97" i="88"/>
  <c r="FB75" i="88"/>
  <c r="EZ97" i="88"/>
  <c r="EZ75" i="88"/>
  <c r="IK64" i="88"/>
  <c r="IJ64" i="88"/>
  <c r="HI133" i="88"/>
  <c r="HH133" i="88"/>
  <c r="GY133" i="88"/>
  <c r="GX133" i="88"/>
  <c r="BX194" i="88"/>
  <c r="GK182" i="88"/>
  <c r="HE182" i="88" s="1"/>
  <c r="IG42" i="88"/>
  <c r="HC63" i="88"/>
  <c r="IA63" i="88"/>
  <c r="GL63" i="88"/>
  <c r="BY72" i="88"/>
  <c r="KM137" i="88"/>
  <c r="KE137" i="88"/>
  <c r="EX97" i="88"/>
  <c r="EX75" i="88"/>
  <c r="GM14" i="88"/>
  <c r="IB14" i="88"/>
  <c r="CK11" i="88"/>
  <c r="JB133" i="88"/>
  <c r="JC133" i="88"/>
  <c r="IU133" i="88"/>
  <c r="IT133" i="88"/>
  <c r="IB42" i="88"/>
  <c r="GM42" i="88"/>
  <c r="HG42" i="88" s="1"/>
  <c r="JC67" i="88"/>
  <c r="IS161" i="88"/>
  <c r="JA161" i="88"/>
  <c r="JA31" i="88"/>
  <c r="IS31" i="88"/>
  <c r="JB31" i="88"/>
  <c r="IT31" i="88"/>
  <c r="HD84" i="88"/>
  <c r="GT84" i="88"/>
  <c r="CT217" i="88"/>
  <c r="CT158" i="88"/>
  <c r="KE109" i="88"/>
  <c r="KM109" i="88"/>
  <c r="BH97" i="88"/>
  <c r="BH75" i="88"/>
  <c r="HI31" i="88"/>
  <c r="GV31" i="88"/>
  <c r="HF31" i="88"/>
  <c r="GY31" i="88"/>
  <c r="HG31" i="88"/>
  <c r="GW31" i="88"/>
  <c r="GV84" i="88"/>
  <c r="HF84" i="88"/>
  <c r="GW84" i="88"/>
  <c r="HG84" i="88"/>
  <c r="GM89" i="88"/>
  <c r="IB89" i="88"/>
  <c r="CX269" i="88"/>
  <c r="BO217" i="88"/>
  <c r="BO158" i="88"/>
  <c r="CP220" i="88"/>
  <c r="IB160" i="88"/>
  <c r="JV160" i="88"/>
  <c r="DN269" i="88"/>
  <c r="IK196" i="88"/>
  <c r="IJ196" i="88"/>
  <c r="JI86" i="88"/>
  <c r="JI90" i="88"/>
  <c r="JI87" i="88"/>
  <c r="JI95" i="88"/>
  <c r="JI94" i="88"/>
  <c r="JI69" i="88"/>
  <c r="JI66" i="88"/>
  <c r="JI82" i="88"/>
  <c r="JI79" i="88"/>
  <c r="JI57" i="88"/>
  <c r="JI32" i="88"/>
  <c r="JI27" i="88"/>
  <c r="JI44" i="88"/>
  <c r="JI34" i="88"/>
  <c r="JI33" i="88"/>
  <c r="JI43" i="88"/>
  <c r="JI18" i="88"/>
  <c r="JI29" i="88"/>
  <c r="JI28" i="88"/>
  <c r="IY11" i="88"/>
  <c r="JI11" i="88"/>
  <c r="JI12" i="88"/>
  <c r="IQ11" i="88"/>
  <c r="JI46" i="88"/>
  <c r="JI26" i="88"/>
  <c r="JI50" i="88"/>
  <c r="JI23" i="88"/>
  <c r="JI17" i="88"/>
  <c r="JI35" i="88"/>
  <c r="JI56" i="88"/>
  <c r="JI78" i="88"/>
  <c r="JI53" i="88"/>
  <c r="JI55" i="88"/>
  <c r="JI84" i="88"/>
  <c r="JI93" i="88"/>
  <c r="JI15" i="88"/>
  <c r="JI37" i="88"/>
  <c r="JI85" i="88"/>
  <c r="JI92" i="88"/>
  <c r="JI24" i="88"/>
  <c r="JI48" i="88"/>
  <c r="JI25" i="88"/>
  <c r="JI52" i="88"/>
  <c r="JI58" i="88"/>
  <c r="JI68" i="88"/>
  <c r="JI100" i="88"/>
  <c r="JI49" i="88"/>
  <c r="JI65" i="88"/>
  <c r="JI36" i="88"/>
  <c r="JI30" i="88"/>
  <c r="JI45" i="88"/>
  <c r="JI16" i="88"/>
  <c r="JI13" i="88"/>
  <c r="JI22" i="88"/>
  <c r="JI19" i="88"/>
  <c r="JI51" i="88"/>
  <c r="JI54" i="88"/>
  <c r="JI83" i="88"/>
  <c r="BL97" i="88"/>
  <c r="BL75" i="88"/>
  <c r="FW98" i="88"/>
  <c r="FW103" i="88"/>
  <c r="FW104" i="88" s="1"/>
  <c r="FW101" i="88"/>
  <c r="HM79" i="88"/>
  <c r="IY158" i="88"/>
  <c r="IQ158" i="88"/>
  <c r="IU185" i="88"/>
  <c r="JC185" i="88"/>
  <c r="IK17" i="88"/>
  <c r="IJ17" i="88"/>
  <c r="R61" i="88"/>
  <c r="R74" i="88"/>
  <c r="HR64" i="88"/>
  <c r="HG64" i="88"/>
  <c r="GW64" i="88"/>
  <c r="HE64" i="88"/>
  <c r="GU64" i="88"/>
  <c r="HG80" i="88"/>
  <c r="GW80" i="88"/>
  <c r="HR80" i="88"/>
  <c r="GL80" i="88"/>
  <c r="GV80" i="88" s="1"/>
  <c r="IA80" i="88"/>
  <c r="JC80" i="88" s="1"/>
  <c r="BY77" i="88"/>
  <c r="H74" i="88"/>
  <c r="H61" i="88"/>
  <c r="KH175" i="88"/>
  <c r="KP175" i="88"/>
  <c r="DN98" i="88"/>
  <c r="DN103" i="88"/>
  <c r="DN104" i="88" s="1"/>
  <c r="DN101" i="88"/>
  <c r="HG15" i="88"/>
  <c r="GW15" i="88"/>
  <c r="GV15" i="88"/>
  <c r="HF15" i="88"/>
  <c r="HI15" i="88"/>
  <c r="GY15" i="88"/>
  <c r="DQ74" i="88"/>
  <c r="DQ97" i="88" s="1"/>
  <c r="DQ61" i="88"/>
  <c r="IK12" i="88"/>
  <c r="IJ12" i="88"/>
  <c r="GV81" i="88"/>
  <c r="HM47" i="88"/>
  <c r="EV97" i="88"/>
  <c r="EV75" i="88"/>
  <c r="HS25" i="88"/>
  <c r="HF47" i="88"/>
  <c r="GV47" i="88"/>
  <c r="IU67" i="88"/>
  <c r="BU215" i="88"/>
  <c r="BU222" i="88" s="1"/>
  <c r="BU61" i="88"/>
  <c r="BU74" i="88"/>
  <c r="HD31" i="88"/>
  <c r="GT31" i="88"/>
  <c r="IJ67" i="88"/>
  <c r="HS69" i="88"/>
  <c r="IS84" i="88"/>
  <c r="JA84" i="88"/>
  <c r="CT60" i="88"/>
  <c r="CT40" i="88"/>
  <c r="HD15" i="88"/>
  <c r="GT15" i="88"/>
  <c r="HS22" i="88"/>
  <c r="DT61" i="88"/>
  <c r="DT74" i="88"/>
  <c r="DT97" i="88" s="1"/>
  <c r="HR87" i="88"/>
  <c r="JA91" i="88"/>
  <c r="IS91" i="88"/>
  <c r="IT84" i="88"/>
  <c r="GQ39" i="88"/>
  <c r="HL39" i="88"/>
  <c r="GH40" i="88"/>
  <c r="HA39" i="88"/>
  <c r="FH97" i="88"/>
  <c r="FH75" i="88"/>
  <c r="BO215" i="88"/>
  <c r="BO74" i="88"/>
  <c r="BO61" i="88"/>
  <c r="JI80" i="88"/>
  <c r="HE91" i="88"/>
  <c r="GU91" i="88"/>
  <c r="GI158" i="88"/>
  <c r="GS158" i="88" s="1"/>
  <c r="IZ158" i="88"/>
  <c r="IR158" i="88"/>
  <c r="HV210" i="88"/>
  <c r="HV212" i="88" s="1"/>
  <c r="JP210" i="88"/>
  <c r="JP212" i="88" s="1"/>
  <c r="HA210" i="88"/>
  <c r="GQ210" i="88"/>
  <c r="HF64" i="88"/>
  <c r="O49" i="87"/>
  <c r="O16" i="87"/>
  <c r="O56" i="87" s="1"/>
  <c r="O76" i="87"/>
  <c r="P94" i="87"/>
  <c r="P51" i="87"/>
  <c r="P57" i="87"/>
  <c r="P53" i="87"/>
  <c r="O6" i="87"/>
  <c r="K50" i="77" s="1"/>
  <c r="O61" i="87"/>
  <c r="O69" i="87" s="1"/>
  <c r="P79" i="87"/>
  <c r="P81" i="87"/>
  <c r="O38" i="87"/>
  <c r="O62" i="87"/>
  <c r="O26" i="87"/>
  <c r="O41" i="87"/>
  <c r="O7" i="87"/>
  <c r="O78" i="87"/>
  <c r="O24" i="87"/>
  <c r="O32" i="87" s="1"/>
  <c r="O50" i="87"/>
  <c r="O39" i="87"/>
  <c r="O43" i="87" s="1"/>
  <c r="O75" i="87"/>
  <c r="O47" i="87"/>
  <c r="O55" i="87" s="1"/>
  <c r="O77" i="87"/>
  <c r="O63" i="87"/>
  <c r="O25" i="87"/>
  <c r="O64" i="87"/>
  <c r="O18" i="87"/>
  <c r="O35" i="87" s="1"/>
  <c r="O17" i="87"/>
  <c r="FR61" i="88" l="1"/>
  <c r="FR74" i="88"/>
  <c r="BS97" i="88"/>
  <c r="JB160" i="88"/>
  <c r="CE218" i="88"/>
  <c r="CV129" i="88"/>
  <c r="GM130" i="88"/>
  <c r="HR39" i="88"/>
  <c r="DR98" i="88"/>
  <c r="CS222" i="88"/>
  <c r="CS227" i="88" s="1"/>
  <c r="CS230" i="88" s="1"/>
  <c r="CS232" i="88" s="1"/>
  <c r="CS234" i="88" s="1"/>
  <c r="GV116" i="88"/>
  <c r="HE131" i="88"/>
  <c r="GV131" i="88"/>
  <c r="GA97" i="88"/>
  <c r="GA75" i="88"/>
  <c r="EN279" i="91"/>
  <c r="BM217" i="88"/>
  <c r="BM158" i="88"/>
  <c r="BV222" i="88"/>
  <c r="DN268" i="88"/>
  <c r="CP269" i="88"/>
  <c r="BV75" i="88"/>
  <c r="CB75" i="88"/>
  <c r="CZ297" i="88"/>
  <c r="CZ299" i="88" s="1"/>
  <c r="DB297" i="88"/>
  <c r="DB299" i="88" s="1"/>
  <c r="JB21" i="88"/>
  <c r="FI61" i="88"/>
  <c r="FI74" i="88"/>
  <c r="ID74" i="88" s="1"/>
  <c r="IH74" i="88" s="1"/>
  <c r="CQ61" i="88"/>
  <c r="CQ74" i="88"/>
  <c r="IM91" i="88"/>
  <c r="CB222" i="88"/>
  <c r="CB271" i="88" s="1"/>
  <c r="JB182" i="88"/>
  <c r="O42" i="87"/>
  <c r="O29" i="87"/>
  <c r="IM12" i="88"/>
  <c r="IM17" i="88"/>
  <c r="IM64" i="88"/>
  <c r="IM63" i="88"/>
  <c r="GU182" i="88"/>
  <c r="CW297" i="88"/>
  <c r="CW299" i="88" s="1"/>
  <c r="K48" i="77"/>
  <c r="O52" i="87"/>
  <c r="O44" i="87"/>
  <c r="AT104" i="88"/>
  <c r="JY269" i="88"/>
  <c r="CO222" i="88"/>
  <c r="DM271" i="88" s="1"/>
  <c r="CP218" i="88"/>
  <c r="CG222" i="88"/>
  <c r="CA222" i="88"/>
  <c r="FX129" i="88"/>
  <c r="JX130" i="88"/>
  <c r="CF222" i="88"/>
  <c r="CF271" i="88" s="1"/>
  <c r="BN222" i="88"/>
  <c r="BN227" i="88" s="1"/>
  <c r="BN230" i="88" s="1"/>
  <c r="BN232" i="88" s="1"/>
  <c r="BN234" i="88" s="1"/>
  <c r="CM222" i="88"/>
  <c r="CM227" i="88" s="1"/>
  <c r="CM230" i="88" s="1"/>
  <c r="CM232" i="88" s="1"/>
  <c r="CM234" i="88" s="1"/>
  <c r="IM35" i="88"/>
  <c r="KO116" i="88"/>
  <c r="FX103" i="88"/>
  <c r="JX103" i="88" s="1"/>
  <c r="FX101" i="88"/>
  <c r="JX101" i="88" s="1"/>
  <c r="FX98" i="88"/>
  <c r="JX98" i="88" s="1"/>
  <c r="JX97" i="88"/>
  <c r="JX74" i="88"/>
  <c r="FX75" i="88"/>
  <c r="JX75" i="88" s="1"/>
  <c r="IM46" i="88"/>
  <c r="CH217" i="88"/>
  <c r="CH158" i="88"/>
  <c r="CI217" i="88"/>
  <c r="IT160" i="88"/>
  <c r="CI215" i="88"/>
  <c r="CI74" i="88"/>
  <c r="CI61" i="88"/>
  <c r="KN182" i="88"/>
  <c r="CD226" i="88"/>
  <c r="JU77" i="88"/>
  <c r="KX77" i="88" s="1"/>
  <c r="JV77" i="88"/>
  <c r="CP226" i="88"/>
  <c r="IB77" i="88"/>
  <c r="GM77" i="88"/>
  <c r="HG77" i="88" s="1"/>
  <c r="JD116" i="88"/>
  <c r="JC116" i="88"/>
  <c r="IV116" i="88"/>
  <c r="IU116" i="88"/>
  <c r="KP80" i="88"/>
  <c r="KH80" i="88"/>
  <c r="KO80" i="88"/>
  <c r="KG80" i="88"/>
  <c r="KY80" i="88"/>
  <c r="CJ218" i="88"/>
  <c r="CL217" i="88"/>
  <c r="CL222" i="88" s="1"/>
  <c r="CL158" i="88"/>
  <c r="HD131" i="88"/>
  <c r="GT131" i="88"/>
  <c r="BW222" i="88"/>
  <c r="BW271" i="88" s="1"/>
  <c r="BT215" i="88"/>
  <c r="BT222" i="88" s="1"/>
  <c r="BT227" i="88" s="1"/>
  <c r="BT230" i="88" s="1"/>
  <c r="BT232" i="88" s="1"/>
  <c r="BT234" i="88" s="1"/>
  <c r="BT74" i="88"/>
  <c r="BT61" i="88"/>
  <c r="FL129" i="88"/>
  <c r="ID130" i="88"/>
  <c r="IH130" i="88" s="1"/>
  <c r="KH116" i="88"/>
  <c r="KP116" i="88"/>
  <c r="HH116" i="88"/>
  <c r="GX116" i="88"/>
  <c r="GY42" i="88"/>
  <c r="JV109" i="88"/>
  <c r="KG109" i="88" s="1"/>
  <c r="IB109" i="88"/>
  <c r="JC109" i="88" s="1"/>
  <c r="GK130" i="88"/>
  <c r="GU130" i="88" s="1"/>
  <c r="BX129" i="88"/>
  <c r="DT103" i="88"/>
  <c r="DT104" i="88" s="1"/>
  <c r="DT101" i="88"/>
  <c r="DT98" i="88"/>
  <c r="S281" i="88"/>
  <c r="H75" i="88"/>
  <c r="H97" i="88"/>
  <c r="BL103" i="88"/>
  <c r="BL104" i="88" s="1"/>
  <c r="BL101" i="88"/>
  <c r="HF89" i="88"/>
  <c r="GV89" i="88"/>
  <c r="HG89" i="88"/>
  <c r="GW89" i="88"/>
  <c r="JC42" i="88"/>
  <c r="IU42" i="88"/>
  <c r="EZ101" i="88"/>
  <c r="EZ103" i="88"/>
  <c r="EZ104" i="88" s="1"/>
  <c r="EZ98" i="88"/>
  <c r="IE130" i="88"/>
  <c r="DO129" i="88"/>
  <c r="JY130" i="88"/>
  <c r="AI103" i="88"/>
  <c r="AI104" i="88" s="1"/>
  <c r="AI98" i="88"/>
  <c r="BC74" i="88"/>
  <c r="BC61" i="88"/>
  <c r="HY60" i="88"/>
  <c r="GJ60" i="88"/>
  <c r="CJ217" i="88"/>
  <c r="CJ158" i="88"/>
  <c r="GL129" i="88"/>
  <c r="CK217" i="88"/>
  <c r="BJ103" i="88"/>
  <c r="BJ104" i="88" s="1"/>
  <c r="BJ101" i="88"/>
  <c r="JD42" i="88"/>
  <c r="GL11" i="88"/>
  <c r="HP63" i="88" s="1"/>
  <c r="BY39" i="88"/>
  <c r="IA11" i="88"/>
  <c r="JL63" i="88" s="1"/>
  <c r="CE276" i="88"/>
  <c r="CF288" i="88"/>
  <c r="CI276" i="88"/>
  <c r="CB288" i="88"/>
  <c r="CG288" i="88"/>
  <c r="CI288" i="88"/>
  <c r="CC288" i="88"/>
  <c r="CJ288" i="88"/>
  <c r="CJ287" i="88"/>
  <c r="CG287" i="88"/>
  <c r="CJ276" i="88"/>
  <c r="CG276" i="88"/>
  <c r="CH287" i="88"/>
  <c r="CC287" i="88"/>
  <c r="CF276" i="88"/>
  <c r="CH276" i="88"/>
  <c r="CC276" i="88"/>
  <c r="CD287" i="88"/>
  <c r="CF287" i="88"/>
  <c r="CB287" i="88"/>
  <c r="CB289" i="88" s="1"/>
  <c r="CB297" i="88" s="1"/>
  <c r="CB299" i="88" s="1"/>
  <c r="CD276" i="88"/>
  <c r="CH288" i="88"/>
  <c r="CD288" i="88"/>
  <c r="CE287" i="88"/>
  <c r="CB276" i="88"/>
  <c r="CE288" i="88"/>
  <c r="CI287" i="88"/>
  <c r="CA287" i="88"/>
  <c r="BY287" i="88"/>
  <c r="BZ288" i="88"/>
  <c r="BY276" i="88"/>
  <c r="BZ276" i="88"/>
  <c r="BZ287" i="88"/>
  <c r="BY288" i="88"/>
  <c r="CA288" i="88"/>
  <c r="CA276" i="88"/>
  <c r="IT131" i="88"/>
  <c r="JB131" i="88"/>
  <c r="AG97" i="88"/>
  <c r="AG75" i="88"/>
  <c r="JO75" i="88"/>
  <c r="KR74" i="88"/>
  <c r="GY131" i="88"/>
  <c r="HI131" i="88"/>
  <c r="GX131" i="88"/>
  <c r="HH131" i="88"/>
  <c r="IU80" i="88"/>
  <c r="EL98" i="88"/>
  <c r="EL101" i="88"/>
  <c r="EL103" i="88"/>
  <c r="EL104" i="88" s="1"/>
  <c r="IM36" i="88"/>
  <c r="IM11" i="88"/>
  <c r="IK11" i="88"/>
  <c r="IJ11" i="88"/>
  <c r="IM49" i="88"/>
  <c r="IM66" i="88"/>
  <c r="IM43" i="88"/>
  <c r="IM83" i="88"/>
  <c r="IM58" i="88"/>
  <c r="IM22" i="88"/>
  <c r="IM51" i="88"/>
  <c r="IM37" i="88"/>
  <c r="IM93" i="88"/>
  <c r="IM86" i="88"/>
  <c r="IM78" i="88"/>
  <c r="IM57" i="88"/>
  <c r="IM28" i="88"/>
  <c r="IM67" i="88"/>
  <c r="IM100" i="88"/>
  <c r="IM90" i="88"/>
  <c r="IM69" i="88"/>
  <c r="IM79" i="88"/>
  <c r="IM24" i="88"/>
  <c r="IM19" i="88"/>
  <c r="IM56" i="88"/>
  <c r="IM18" i="88"/>
  <c r="IM84" i="88"/>
  <c r="IM68" i="88"/>
  <c r="IM95" i="88"/>
  <c r="IM87" i="88"/>
  <c r="IM31" i="88"/>
  <c r="IM92" i="88"/>
  <c r="IM33" i="88"/>
  <c r="IM65" i="88"/>
  <c r="IM13" i="88"/>
  <c r="IM29" i="88"/>
  <c r="IM27" i="88"/>
  <c r="IM85" i="88"/>
  <c r="IM45" i="88"/>
  <c r="IM54" i="88"/>
  <c r="IM82" i="88"/>
  <c r="IM25" i="88"/>
  <c r="IM94" i="88"/>
  <c r="IM26" i="88"/>
  <c r="IM20" i="88"/>
  <c r="IM81" i="88"/>
  <c r="HD72" i="88"/>
  <c r="GT72" i="88"/>
  <c r="IM34" i="88"/>
  <c r="DS103" i="88"/>
  <c r="DS104" i="88" s="1"/>
  <c r="DS101" i="88"/>
  <c r="DS98" i="88"/>
  <c r="IM15" i="88"/>
  <c r="BR97" i="88"/>
  <c r="BR75" i="88"/>
  <c r="JT75" i="88" s="1"/>
  <c r="JT74" i="88"/>
  <c r="AD281" i="88"/>
  <c r="S97" i="88"/>
  <c r="S75" i="88"/>
  <c r="AF281" i="88"/>
  <c r="U97" i="88"/>
  <c r="U75" i="88"/>
  <c r="DM98" i="88"/>
  <c r="DM103" i="88"/>
  <c r="DM104" i="88" s="1"/>
  <c r="DM101" i="88"/>
  <c r="BK103" i="88"/>
  <c r="BK104" i="88" s="1"/>
  <c r="BK101" i="88"/>
  <c r="HE160" i="88"/>
  <c r="GU160" i="88"/>
  <c r="GT160" i="88"/>
  <c r="HD160" i="88"/>
  <c r="IT109" i="88"/>
  <c r="JB109" i="88"/>
  <c r="W281" i="88"/>
  <c r="L97" i="88"/>
  <c r="L75" i="88"/>
  <c r="EN103" i="88"/>
  <c r="EN104" i="88" s="1"/>
  <c r="EN101" i="88"/>
  <c r="EN98" i="88"/>
  <c r="AA281" i="88"/>
  <c r="P97" i="88"/>
  <c r="P75" i="88"/>
  <c r="IJ182" i="88"/>
  <c r="IK182" i="88"/>
  <c r="IR210" i="88"/>
  <c r="IZ210" i="88"/>
  <c r="IH40" i="88"/>
  <c r="IN39" i="88"/>
  <c r="IS14" i="88"/>
  <c r="JA14" i="88"/>
  <c r="ER101" i="88"/>
  <c r="ER103" i="88"/>
  <c r="ER104" i="88" s="1"/>
  <c r="ER98" i="88"/>
  <c r="IM47" i="88"/>
  <c r="IB194" i="88"/>
  <c r="JD194" i="88" s="1"/>
  <c r="JV194" i="88"/>
  <c r="KP194" i="88" s="1"/>
  <c r="DK61" i="88"/>
  <c r="DK74" i="88"/>
  <c r="DK97" i="88" s="1"/>
  <c r="KH40" i="88"/>
  <c r="FH103" i="88"/>
  <c r="FH104" i="88" s="1"/>
  <c r="FH98" i="88"/>
  <c r="FH101" i="88"/>
  <c r="HE63" i="88"/>
  <c r="GU63" i="88"/>
  <c r="GL72" i="88"/>
  <c r="HF72" i="88" s="1"/>
  <c r="Y281" i="88"/>
  <c r="N97" i="88"/>
  <c r="N75" i="88"/>
  <c r="IG131" i="88"/>
  <c r="JD131" i="88"/>
  <c r="IV131" i="88"/>
  <c r="IV42" i="88"/>
  <c r="GU14" i="88"/>
  <c r="HE14" i="88"/>
  <c r="DU129" i="88"/>
  <c r="Z281" i="88"/>
  <c r="O97" i="88"/>
  <c r="O75" i="88"/>
  <c r="IG194" i="88"/>
  <c r="IC77" i="88"/>
  <c r="IG77" i="88" s="1"/>
  <c r="BB103" i="88"/>
  <c r="BB104" i="88" s="1"/>
  <c r="BB101" i="88"/>
  <c r="IK175" i="88"/>
  <c r="IJ175" i="88"/>
  <c r="KE131" i="88"/>
  <c r="KM131" i="88"/>
  <c r="FV98" i="88"/>
  <c r="FV103" i="88"/>
  <c r="FV104" i="88" s="1"/>
  <c r="FV101" i="88"/>
  <c r="IM16" i="88"/>
  <c r="ES97" i="88"/>
  <c r="ES75" i="88"/>
  <c r="AF98" i="88"/>
  <c r="AF103" i="88"/>
  <c r="AF104" i="88" s="1"/>
  <c r="IM50" i="88"/>
  <c r="AJ103" i="88"/>
  <c r="AJ104" i="88" s="1"/>
  <c r="AJ98" i="88"/>
  <c r="KK210" i="88"/>
  <c r="KC210" i="88"/>
  <c r="DU210" i="88"/>
  <c r="KE182" i="88"/>
  <c r="KM182" i="88"/>
  <c r="IM44" i="88"/>
  <c r="CA97" i="88"/>
  <c r="CA75" i="88"/>
  <c r="FS61" i="88"/>
  <c r="FS74" i="88"/>
  <c r="GN60" i="88"/>
  <c r="IP60" i="88"/>
  <c r="JH60" i="88"/>
  <c r="IX60" i="88"/>
  <c r="HW61" i="88"/>
  <c r="AK103" i="88"/>
  <c r="AK104" i="88" s="1"/>
  <c r="AK98" i="88"/>
  <c r="IY39" i="88"/>
  <c r="JI39" i="88"/>
  <c r="HX40" i="88"/>
  <c r="IQ39" i="88"/>
  <c r="CE97" i="88"/>
  <c r="CE75" i="88"/>
  <c r="EI98" i="88"/>
  <c r="EI101" i="88"/>
  <c r="EI103" i="88"/>
  <c r="EI104" i="88" s="1"/>
  <c r="KS60" i="88"/>
  <c r="JP61" i="88"/>
  <c r="KB60" i="88"/>
  <c r="KJ60" i="88"/>
  <c r="BA104" i="88"/>
  <c r="BO97" i="88"/>
  <c r="BO75" i="88"/>
  <c r="JC160" i="88"/>
  <c r="IU160" i="88"/>
  <c r="JB63" i="88"/>
  <c r="IT63" i="88"/>
  <c r="FB98" i="88"/>
  <c r="FB103" i="88"/>
  <c r="FB104" i="88" s="1"/>
  <c r="FB101" i="88"/>
  <c r="AM281" i="88"/>
  <c r="AB97" i="88"/>
  <c r="AB75" i="88"/>
  <c r="DA271" i="88"/>
  <c r="KO131" i="88"/>
  <c r="KG131" i="88"/>
  <c r="JB14" i="88"/>
  <c r="IT14" i="88"/>
  <c r="DP103" i="88"/>
  <c r="DP104" i="88" s="1"/>
  <c r="DP98" i="88"/>
  <c r="DP101" i="88"/>
  <c r="FK98" i="88"/>
  <c r="FK101" i="88"/>
  <c r="FK103" i="88"/>
  <c r="FK104" i="88" s="1"/>
  <c r="J98" i="88"/>
  <c r="J103" i="88"/>
  <c r="JO97" i="88"/>
  <c r="CU97" i="88"/>
  <c r="CU75" i="88"/>
  <c r="DS75" i="88"/>
  <c r="IE77" i="88"/>
  <c r="FN97" i="88"/>
  <c r="FN75" i="88"/>
  <c r="IE210" i="88"/>
  <c r="JY210" i="88"/>
  <c r="KV60" i="88"/>
  <c r="KD60" i="88"/>
  <c r="JS61" i="88"/>
  <c r="KL60" i="88"/>
  <c r="IJ80" i="88"/>
  <c r="IM80" i="88"/>
  <c r="IK80" i="88"/>
  <c r="FF98" i="88"/>
  <c r="FF103" i="88"/>
  <c r="FF104" i="88" s="1"/>
  <c r="FF101" i="88"/>
  <c r="IS131" i="88"/>
  <c r="JA131" i="88"/>
  <c r="KP160" i="88"/>
  <c r="KH160" i="88"/>
  <c r="IQ77" i="88"/>
  <c r="JI77" i="88"/>
  <c r="IY77" i="88"/>
  <c r="IZ77" i="88"/>
  <c r="IR77" i="88"/>
  <c r="IY210" i="88"/>
  <c r="IQ210" i="88"/>
  <c r="HI182" i="88"/>
  <c r="GX182" i="88"/>
  <c r="GY182" i="88"/>
  <c r="HH182" i="88"/>
  <c r="HG109" i="88"/>
  <c r="HZ194" i="88"/>
  <c r="IT194" i="88" s="1"/>
  <c r="JT194" i="88"/>
  <c r="KF194" i="88" s="1"/>
  <c r="IM21" i="88"/>
  <c r="IK21" i="88"/>
  <c r="IJ21" i="88"/>
  <c r="JA89" i="88"/>
  <c r="IS89" i="88"/>
  <c r="JR212" i="88"/>
  <c r="CA227" i="88"/>
  <c r="CA230" i="88" s="1"/>
  <c r="CA232" i="88" s="1"/>
  <c r="CA234" i="88" s="1"/>
  <c r="CA271" i="88"/>
  <c r="AH281" i="88"/>
  <c r="W97" i="88"/>
  <c r="W75" i="88"/>
  <c r="AN281" i="88"/>
  <c r="AC97" i="88"/>
  <c r="HW74" i="88"/>
  <c r="AC75" i="88"/>
  <c r="GH74" i="88"/>
  <c r="CS97" i="88"/>
  <c r="CS75" i="88"/>
  <c r="DQ75" i="88"/>
  <c r="BG101" i="88"/>
  <c r="BG103" i="88"/>
  <c r="BG104" i="88" s="1"/>
  <c r="CJ97" i="88"/>
  <c r="CJ75" i="88"/>
  <c r="HX60" i="88"/>
  <c r="GI60" i="88"/>
  <c r="AO74" i="88"/>
  <c r="AO61" i="88"/>
  <c r="IC130" i="88"/>
  <c r="JW130" i="88"/>
  <c r="JF60" i="88"/>
  <c r="HU61" i="88"/>
  <c r="BU97" i="88"/>
  <c r="BU75" i="88"/>
  <c r="BS103" i="88"/>
  <c r="BS104" i="88" s="1"/>
  <c r="BS98" i="88"/>
  <c r="BS101" i="88"/>
  <c r="GR158" i="88"/>
  <c r="HB158" i="88"/>
  <c r="BO222" i="88"/>
  <c r="BY226" i="88"/>
  <c r="IA77" i="88"/>
  <c r="GL77" i="88"/>
  <c r="FX104" i="88"/>
  <c r="JX104" i="88" s="1"/>
  <c r="JR104" i="88"/>
  <c r="KU103" i="88"/>
  <c r="BQ215" i="88"/>
  <c r="BQ222" i="88" s="1"/>
  <c r="BQ74" i="88"/>
  <c r="BQ61" i="88"/>
  <c r="KJ210" i="88"/>
  <c r="KB210" i="88"/>
  <c r="JQ212" i="88"/>
  <c r="EW103" i="88"/>
  <c r="EW104" i="88" s="1"/>
  <c r="EW98" i="88"/>
  <c r="EW101" i="88"/>
  <c r="AL281" i="88"/>
  <c r="AA97" i="88"/>
  <c r="AA75" i="88"/>
  <c r="U281" i="88"/>
  <c r="EM103" i="88"/>
  <c r="EM104" i="88" s="1"/>
  <c r="EM101" i="88"/>
  <c r="EM98" i="88"/>
  <c r="V281" i="88"/>
  <c r="K97" i="88"/>
  <c r="K75" i="88"/>
  <c r="IM30" i="88"/>
  <c r="GR194" i="88"/>
  <c r="HB194" i="88"/>
  <c r="JM80" i="88"/>
  <c r="IV80" i="88"/>
  <c r="JD80" i="88"/>
  <c r="EJ97" i="88"/>
  <c r="EJ75" i="88"/>
  <c r="EY103" i="88"/>
  <c r="EY104" i="88" s="1"/>
  <c r="EY98" i="88"/>
  <c r="EY101" i="88"/>
  <c r="BM226" i="88"/>
  <c r="HZ77" i="88"/>
  <c r="GK77" i="88"/>
  <c r="KF60" i="88"/>
  <c r="KX60" i="88"/>
  <c r="KN60" i="88"/>
  <c r="FM97" i="88"/>
  <c r="FM75" i="88"/>
  <c r="CC97" i="88"/>
  <c r="CC75" i="88"/>
  <c r="HZ130" i="88"/>
  <c r="BR129" i="88"/>
  <c r="JT130" i="88"/>
  <c r="FD101" i="88"/>
  <c r="FD103" i="88"/>
  <c r="FD104" i="88" s="1"/>
  <c r="FD98" i="88"/>
  <c r="IG160" i="88"/>
  <c r="IV160" i="88"/>
  <c r="JD160" i="88"/>
  <c r="JW61" i="88"/>
  <c r="JW60" i="88"/>
  <c r="HB77" i="88"/>
  <c r="HM77" i="88"/>
  <c r="GR77" i="88"/>
  <c r="HC77" i="88"/>
  <c r="GS77" i="88"/>
  <c r="CR97" i="88"/>
  <c r="CR75" i="88"/>
  <c r="DP75" i="88"/>
  <c r="GW131" i="88"/>
  <c r="HG131" i="88"/>
  <c r="GW109" i="88"/>
  <c r="FL210" i="88"/>
  <c r="ID210" i="88" s="1"/>
  <c r="ID194" i="88"/>
  <c r="IH194" i="88" s="1"/>
  <c r="IS182" i="88"/>
  <c r="JA182" i="88"/>
  <c r="BD101" i="88"/>
  <c r="BD103" i="88"/>
  <c r="BD104" i="88" s="1"/>
  <c r="GT89" i="88"/>
  <c r="HD89" i="88"/>
  <c r="GD98" i="88"/>
  <c r="GD103" i="88"/>
  <c r="GD104" i="88" s="1"/>
  <c r="GD101" i="88"/>
  <c r="GQ60" i="88"/>
  <c r="GH61" i="88"/>
  <c r="HA60" i="88"/>
  <c r="HL60" i="88"/>
  <c r="A309" i="88"/>
  <c r="EU101" i="88"/>
  <c r="EU103" i="88"/>
  <c r="EU104" i="88" s="1"/>
  <c r="EU98" i="88"/>
  <c r="HC158" i="88"/>
  <c r="FR210" i="88"/>
  <c r="GN210" i="88" s="1"/>
  <c r="GN194" i="88"/>
  <c r="GB101" i="88"/>
  <c r="GB98" i="88"/>
  <c r="GB103" i="88"/>
  <c r="GB104" i="88" s="1"/>
  <c r="AG281" i="88"/>
  <c r="V97" i="88"/>
  <c r="V75" i="88"/>
  <c r="JP74" i="88"/>
  <c r="CV103" i="88"/>
  <c r="CV101" i="88"/>
  <c r="CV98" i="88"/>
  <c r="E97" i="88"/>
  <c r="E75" i="88"/>
  <c r="HU74" i="88"/>
  <c r="GF74" i="88"/>
  <c r="GF75" i="88" s="1"/>
  <c r="DQ98" i="88"/>
  <c r="DQ103" i="88"/>
  <c r="DQ104" i="88" s="1"/>
  <c r="DQ101" i="88"/>
  <c r="BU227" i="88"/>
  <c r="BU230" i="88" s="1"/>
  <c r="BU232" i="88" s="1"/>
  <c r="BU234" i="88" s="1"/>
  <c r="BU271" i="88"/>
  <c r="JL80" i="88"/>
  <c r="IT80" i="88"/>
  <c r="JB80" i="88"/>
  <c r="IF42" i="88"/>
  <c r="GM194" i="88"/>
  <c r="HI42" i="88"/>
  <c r="FT103" i="88"/>
  <c r="FT104" i="88" s="1"/>
  <c r="FT101" i="88"/>
  <c r="FT98" i="88"/>
  <c r="JC131" i="88"/>
  <c r="IU131" i="88"/>
  <c r="HS89" i="88"/>
  <c r="HI89" i="88"/>
  <c r="GY89" i="88"/>
  <c r="HH89" i="88"/>
  <c r="GX89" i="88"/>
  <c r="KE160" i="88"/>
  <c r="KM160" i="88"/>
  <c r="IP210" i="88"/>
  <c r="IX210" i="88"/>
  <c r="CO97" i="88"/>
  <c r="CO75" i="88"/>
  <c r="DM75" i="88"/>
  <c r="CU222" i="88"/>
  <c r="KY39" i="88"/>
  <c r="KG39" i="88"/>
  <c r="KO39" i="88"/>
  <c r="KP39" i="88"/>
  <c r="KH39" i="88"/>
  <c r="HH80" i="88"/>
  <c r="GY80" i="88"/>
  <c r="GX80" i="88"/>
  <c r="HS80" i="88"/>
  <c r="HI80" i="88"/>
  <c r="GT80" i="88"/>
  <c r="HD80" i="88"/>
  <c r="BF97" i="88"/>
  <c r="BF75" i="88"/>
  <c r="JS74" i="88"/>
  <c r="FO98" i="88"/>
  <c r="FO103" i="88"/>
  <c r="FO104" i="88" s="1"/>
  <c r="FO101" i="88"/>
  <c r="CD97" i="88"/>
  <c r="CD75" i="88"/>
  <c r="JU75" i="88" s="1"/>
  <c r="JU74" i="88"/>
  <c r="AI281" i="88"/>
  <c r="X97" i="88"/>
  <c r="X75" i="88"/>
  <c r="DU98" i="88"/>
  <c r="DU103" i="88"/>
  <c r="DU104" i="88" s="1"/>
  <c r="DU101" i="88"/>
  <c r="BV98" i="88"/>
  <c r="BV101" i="88"/>
  <c r="BV103" i="88"/>
  <c r="BV104" i="88" s="1"/>
  <c r="AE281" i="88"/>
  <c r="T97" i="88"/>
  <c r="T75" i="88"/>
  <c r="CR227" i="88"/>
  <c r="CR230" i="88" s="1"/>
  <c r="CR232" i="88" s="1"/>
  <c r="CR234" i="88" s="1"/>
  <c r="CR271" i="88"/>
  <c r="DP271" i="88"/>
  <c r="BL210" i="88"/>
  <c r="GJ210" i="88" s="1"/>
  <c r="GJ194" i="88"/>
  <c r="BL212" i="88"/>
  <c r="GJ212" i="88" s="1"/>
  <c r="GN130" i="88"/>
  <c r="FR129" i="88"/>
  <c r="EO103" i="88"/>
  <c r="EO104" i="88" s="1"/>
  <c r="EO101" i="88"/>
  <c r="EO98" i="88"/>
  <c r="IM23" i="88"/>
  <c r="IH160" i="88"/>
  <c r="ID268" i="88"/>
  <c r="ID269" i="88"/>
  <c r="X281" i="88"/>
  <c r="M97" i="88"/>
  <c r="M75" i="88"/>
  <c r="AE97" i="88"/>
  <c r="AE75" i="88"/>
  <c r="CK218" i="88"/>
  <c r="FU103" i="88"/>
  <c r="FU104" i="88" s="1"/>
  <c r="FU98" i="88"/>
  <c r="FU101" i="88"/>
  <c r="FC101" i="88"/>
  <c r="FC103" i="88"/>
  <c r="FC104" i="88" s="1"/>
  <c r="FC98" i="88"/>
  <c r="GV63" i="88"/>
  <c r="IM52" i="88"/>
  <c r="JY75" i="88"/>
  <c r="KZ74" i="88"/>
  <c r="HG160" i="88"/>
  <c r="GW160" i="88"/>
  <c r="HH39" i="88"/>
  <c r="GX39" i="88"/>
  <c r="HS39" i="88"/>
  <c r="BZ215" i="88"/>
  <c r="BZ222" i="88" s="1"/>
  <c r="BZ74" i="88"/>
  <c r="BZ61" i="88"/>
  <c r="HE80" i="88"/>
  <c r="GU80" i="88"/>
  <c r="CK39" i="88"/>
  <c r="GM11" i="88"/>
  <c r="HQ42" i="88" s="1"/>
  <c r="IB11" i="88"/>
  <c r="CU287" i="88"/>
  <c r="CR276" i="88"/>
  <c r="CK287" i="88"/>
  <c r="CT276" i="88"/>
  <c r="CN276" i="88"/>
  <c r="CM288" i="88"/>
  <c r="CO276" i="88"/>
  <c r="CL288" i="88"/>
  <c r="CU276" i="88"/>
  <c r="CP287" i="88"/>
  <c r="CL287" i="88"/>
  <c r="CU288" i="88"/>
  <c r="CN288" i="88"/>
  <c r="CT288" i="88"/>
  <c r="CP276" i="88"/>
  <c r="CO288" i="88"/>
  <c r="CK276" i="88"/>
  <c r="CQ288" i="88"/>
  <c r="CL276" i="88"/>
  <c r="CK288" i="88"/>
  <c r="CN287" i="88"/>
  <c r="CN289" i="88" s="1"/>
  <c r="CN297" i="88" s="1"/>
  <c r="CN299" i="88" s="1"/>
  <c r="CV288" i="88"/>
  <c r="CR288" i="88"/>
  <c r="CM287" i="88"/>
  <c r="CS288" i="88"/>
  <c r="CQ276" i="88"/>
  <c r="CM276" i="88"/>
  <c r="CS276" i="88"/>
  <c r="CQ287" i="88"/>
  <c r="CS287" i="88"/>
  <c r="CV276" i="88"/>
  <c r="CT287" i="88"/>
  <c r="CV287" i="88"/>
  <c r="CR287" i="88"/>
  <c r="CO287" i="88"/>
  <c r="CP288" i="88"/>
  <c r="EX98" i="88"/>
  <c r="EX101" i="88"/>
  <c r="EX103" i="88"/>
  <c r="EX104" i="88" s="1"/>
  <c r="IJ42" i="88"/>
  <c r="IM42" i="88"/>
  <c r="IK42" i="88"/>
  <c r="GV160" i="88"/>
  <c r="HF160" i="88"/>
  <c r="KT97" i="88"/>
  <c r="JQ98" i="88"/>
  <c r="HY40" i="88"/>
  <c r="IR39" i="88"/>
  <c r="JJ39" i="88"/>
  <c r="IZ39" i="88"/>
  <c r="CF97" i="88"/>
  <c r="CF75" i="88"/>
  <c r="IB130" i="88"/>
  <c r="CP129" i="88"/>
  <c r="JV130" i="88"/>
  <c r="KZ89" i="88"/>
  <c r="KH89" i="88"/>
  <c r="KP89" i="88"/>
  <c r="IS160" i="88"/>
  <c r="JA160" i="88"/>
  <c r="KW80" i="88"/>
  <c r="KE80" i="88"/>
  <c r="KM80" i="88"/>
  <c r="KN80" i="88"/>
  <c r="KF80" i="88"/>
  <c r="JW269" i="88"/>
  <c r="JW268" i="88"/>
  <c r="IS80" i="88"/>
  <c r="JA80" i="88"/>
  <c r="BN97" i="88"/>
  <c r="BN75" i="88"/>
  <c r="BP215" i="88"/>
  <c r="BP222" i="88" s="1"/>
  <c r="BP61" i="88"/>
  <c r="BP74" i="88"/>
  <c r="EK97" i="88"/>
  <c r="EK75" i="88"/>
  <c r="CC227" i="88"/>
  <c r="CC230" i="88" s="1"/>
  <c r="CC232" i="88" s="1"/>
  <c r="CC234" i="88" s="1"/>
  <c r="CC271" i="88"/>
  <c r="EP103" i="88"/>
  <c r="EP104" i="88" s="1"/>
  <c r="EP98" i="88"/>
  <c r="EP101" i="88"/>
  <c r="FE103" i="88"/>
  <c r="FE104" i="88" s="1"/>
  <c r="FE98" i="88"/>
  <c r="FE101" i="88"/>
  <c r="Q281" i="88"/>
  <c r="F97" i="88"/>
  <c r="F75" i="88"/>
  <c r="GV130" i="88"/>
  <c r="JA21" i="88"/>
  <c r="IS21" i="88"/>
  <c r="JC63" i="88"/>
  <c r="IG39" i="88"/>
  <c r="IC40" i="88"/>
  <c r="CJ268" i="88"/>
  <c r="CJ269" i="88"/>
  <c r="GL109" i="88"/>
  <c r="GV109" i="88" s="1"/>
  <c r="GW42" i="88"/>
  <c r="IH61" i="88"/>
  <c r="IN60" i="88"/>
  <c r="AP98" i="88"/>
  <c r="AP103" i="88"/>
  <c r="AP104" i="88" s="1"/>
  <c r="AP101" i="88"/>
  <c r="GU89" i="88"/>
  <c r="HE89" i="88"/>
  <c r="IM32" i="88"/>
  <c r="FA97" i="88"/>
  <c r="FA75" i="88"/>
  <c r="EQ103" i="88"/>
  <c r="EQ104" i="88" s="1"/>
  <c r="EQ98" i="88"/>
  <c r="EQ101" i="88"/>
  <c r="IK109" i="88"/>
  <c r="IJ109" i="88"/>
  <c r="HF63" i="88"/>
  <c r="DO103" i="88"/>
  <c r="DO98" i="88"/>
  <c r="DO101" i="88"/>
  <c r="JY97" i="88"/>
  <c r="GG61" i="88"/>
  <c r="HK60" i="88"/>
  <c r="DJ74" i="88"/>
  <c r="DJ61" i="88"/>
  <c r="IE60" i="88"/>
  <c r="HF80" i="88"/>
  <c r="KK97" i="88"/>
  <c r="CG97" i="88"/>
  <c r="CG75" i="88"/>
  <c r="EV101" i="88"/>
  <c r="EV103" i="88"/>
  <c r="EV104" i="88" s="1"/>
  <c r="EV98" i="88"/>
  <c r="BH101" i="88"/>
  <c r="BH103" i="88"/>
  <c r="BH104" i="88" s="1"/>
  <c r="JC14" i="88"/>
  <c r="IU14" i="88"/>
  <c r="JD14" i="88"/>
  <c r="IV14" i="88"/>
  <c r="IF14" i="88"/>
  <c r="HD182" i="88"/>
  <c r="GT182" i="88"/>
  <c r="T281" i="88"/>
  <c r="I97" i="88"/>
  <c r="I75" i="88"/>
  <c r="CG227" i="88"/>
  <c r="CG230" i="88" s="1"/>
  <c r="CG232" i="88" s="1"/>
  <c r="CG234" i="88" s="1"/>
  <c r="CG271" i="88"/>
  <c r="HR77" i="88"/>
  <c r="HN39" i="88"/>
  <c r="HC39" i="88"/>
  <c r="GJ40" i="88"/>
  <c r="GS39" i="88"/>
  <c r="FZ103" i="88"/>
  <c r="FZ104" i="88" s="1"/>
  <c r="FZ98" i="88"/>
  <c r="FZ101" i="88"/>
  <c r="JD89" i="88"/>
  <c r="IV89" i="88"/>
  <c r="JM89" i="88"/>
  <c r="KN131" i="88"/>
  <c r="KF131" i="88"/>
  <c r="BR226" i="88"/>
  <c r="JT77" i="88"/>
  <c r="CP215" i="88"/>
  <c r="CP74" i="88"/>
  <c r="CP61" i="88"/>
  <c r="JV61" i="88" s="1"/>
  <c r="JV60" i="88"/>
  <c r="FL97" i="88"/>
  <c r="FL75" i="88"/>
  <c r="IC269" i="88"/>
  <c r="IC268" i="88"/>
  <c r="ET101" i="88"/>
  <c r="ET103" i="88"/>
  <c r="ET104" i="88" s="1"/>
  <c r="ET98" i="88"/>
  <c r="Z98" i="88"/>
  <c r="Z103" i="88"/>
  <c r="BI103" i="88"/>
  <c r="BI104" i="88" s="1"/>
  <c r="BI101" i="88"/>
  <c r="CN97" i="88"/>
  <c r="CN75" i="88"/>
  <c r="DL75" i="88"/>
  <c r="KM60" i="88"/>
  <c r="KE60" i="88"/>
  <c r="KW60" i="88"/>
  <c r="BX97" i="88"/>
  <c r="BX75" i="88"/>
  <c r="HI160" i="88"/>
  <c r="GS160" i="88"/>
  <c r="HC160" i="88"/>
  <c r="AN103" i="88"/>
  <c r="AN104" i="88" s="1"/>
  <c r="AN98" i="88"/>
  <c r="AD103" i="88"/>
  <c r="AD104" i="88" s="1"/>
  <c r="AD98" i="88"/>
  <c r="HF130" i="88"/>
  <c r="HD21" i="88"/>
  <c r="GT21" i="88"/>
  <c r="IU63" i="88"/>
  <c r="IC60" i="88"/>
  <c r="HE116" i="88"/>
  <c r="GU116" i="88"/>
  <c r="ID61" i="88"/>
  <c r="CL97" i="88"/>
  <c r="DJ75" i="88"/>
  <c r="CL75" i="88"/>
  <c r="IT89" i="88"/>
  <c r="JL89" i="88"/>
  <c r="JB89" i="88"/>
  <c r="BM39" i="88"/>
  <c r="HZ11" i="88"/>
  <c r="JK89" i="88" s="1"/>
  <c r="GK11" i="88"/>
  <c r="BT276" i="88"/>
  <c r="BP276" i="88"/>
  <c r="BS276" i="88"/>
  <c r="BO276" i="88"/>
  <c r="BX276" i="88"/>
  <c r="BR276" i="88"/>
  <c r="BW276" i="88"/>
  <c r="BV276" i="88"/>
  <c r="BQ276" i="88"/>
  <c r="BU276" i="88"/>
  <c r="IM89" i="88"/>
  <c r="IJ89" i="88"/>
  <c r="IK89" i="88"/>
  <c r="KG182" i="88"/>
  <c r="KO182" i="88"/>
  <c r="KP182" i="88"/>
  <c r="KH182" i="88"/>
  <c r="AJ281" i="88"/>
  <c r="Y97" i="88"/>
  <c r="Y75" i="88"/>
  <c r="BE101" i="88"/>
  <c r="BE103" i="88"/>
  <c r="BE104" i="88" s="1"/>
  <c r="IM14" i="88"/>
  <c r="HV61" i="88"/>
  <c r="JG60" i="88"/>
  <c r="JM39" i="88"/>
  <c r="IE40" i="88"/>
  <c r="HA40" i="88"/>
  <c r="GQ40" i="88"/>
  <c r="CT215" i="88"/>
  <c r="CT222" i="88" s="1"/>
  <c r="CT74" i="88"/>
  <c r="CT61" i="88"/>
  <c r="AC281" i="88"/>
  <c r="R97" i="88"/>
  <c r="R75" i="88"/>
  <c r="KG160" i="88"/>
  <c r="KO160" i="88"/>
  <c r="JC89" i="88"/>
  <c r="IU89" i="88"/>
  <c r="GV42" i="88"/>
  <c r="HF42" i="88"/>
  <c r="HF14" i="88"/>
  <c r="GW14" i="88"/>
  <c r="HI14" i="88"/>
  <c r="GV14" i="88"/>
  <c r="GY14" i="88"/>
  <c r="HG14" i="88"/>
  <c r="GK194" i="88"/>
  <c r="GU194" i="88" s="1"/>
  <c r="IM53" i="88"/>
  <c r="KH131" i="88"/>
  <c r="KP131" i="88"/>
  <c r="R281" i="88"/>
  <c r="G97" i="88"/>
  <c r="G75" i="88"/>
  <c r="AH104" i="88"/>
  <c r="JQ103" i="88"/>
  <c r="CM97" i="88"/>
  <c r="CM75" i="88"/>
  <c r="DK75" i="88"/>
  <c r="KF160" i="88"/>
  <c r="FP103" i="88"/>
  <c r="FP104" i="88" s="1"/>
  <c r="FP98" i="88"/>
  <c r="FP101" i="88"/>
  <c r="IA130" i="88"/>
  <c r="CD129" i="88"/>
  <c r="JU130" i="88"/>
  <c r="BW97" i="88"/>
  <c r="BW75" i="88"/>
  <c r="IM48" i="88"/>
  <c r="AK281" i="88"/>
  <c r="AL98" i="88"/>
  <c r="AL103" i="88"/>
  <c r="AL104" i="88" s="1"/>
  <c r="CN222" i="88"/>
  <c r="BV227" i="88"/>
  <c r="BV230" i="88" s="1"/>
  <c r="BV232" i="88" s="1"/>
  <c r="BV234" i="88" s="1"/>
  <c r="BV271" i="88"/>
  <c r="CH215" i="88"/>
  <c r="CH222" i="88" s="1"/>
  <c r="CH61" i="88"/>
  <c r="CH74" i="88"/>
  <c r="HE21" i="88"/>
  <c r="DL103" i="88"/>
  <c r="DL104" i="88" s="1"/>
  <c r="DL98" i="88"/>
  <c r="DL101" i="88"/>
  <c r="KF109" i="88"/>
  <c r="KN109" i="88"/>
  <c r="HI109" i="88"/>
  <c r="FQ97" i="88"/>
  <c r="FQ75" i="88"/>
  <c r="FJ98" i="88"/>
  <c r="FJ103" i="88"/>
  <c r="FJ104" i="88" s="1"/>
  <c r="FJ101" i="88"/>
  <c r="FG97" i="88"/>
  <c r="FG75" i="88"/>
  <c r="KL210" i="88"/>
  <c r="KD210" i="88"/>
  <c r="HD14" i="88"/>
  <c r="GT14" i="88"/>
  <c r="IE269" i="88"/>
  <c r="GW72" i="88"/>
  <c r="HG72" i="88"/>
  <c r="GY72" i="88"/>
  <c r="HI72" i="88"/>
  <c r="AM103" i="88"/>
  <c r="AM104" i="88" s="1"/>
  <c r="AM98" i="88"/>
  <c r="IU182" i="88"/>
  <c r="JC182" i="88"/>
  <c r="GI40" i="88"/>
  <c r="HB39" i="88"/>
  <c r="HM39" i="88"/>
  <c r="GR39" i="88"/>
  <c r="GC97" i="88"/>
  <c r="GC75" i="88"/>
  <c r="AB281" i="88"/>
  <c r="Q97" i="88"/>
  <c r="GG74" i="88"/>
  <c r="Q75" i="88"/>
  <c r="HV74" i="88"/>
  <c r="CB103" i="88"/>
  <c r="CB98" i="88"/>
  <c r="CB101" i="88"/>
  <c r="O79" i="87"/>
  <c r="O81" i="87"/>
  <c r="O30" i="87"/>
  <c r="O28" i="87"/>
  <c r="O72" i="87"/>
  <c r="O80" i="87"/>
  <c r="O20" i="87"/>
  <c r="O33" i="87"/>
  <c r="O21" i="87"/>
  <c r="O19" i="87"/>
  <c r="O34" i="87"/>
  <c r="O8" i="87"/>
  <c r="O9" i="87" s="1"/>
  <c r="O58" i="87"/>
  <c r="O67" i="87"/>
  <c r="O65" i="87"/>
  <c r="O71" i="87"/>
  <c r="O94" i="87"/>
  <c r="O51" i="87"/>
  <c r="O53" i="87"/>
  <c r="O57" i="87"/>
  <c r="O70" i="87"/>
  <c r="O66" i="87"/>
  <c r="FR97" i="88" l="1"/>
  <c r="FR75" i="88"/>
  <c r="CS271" i="88"/>
  <c r="DQ271" i="88"/>
  <c r="CW217" i="88"/>
  <c r="CW222" i="88" s="1"/>
  <c r="CW227" i="88" s="1"/>
  <c r="CW230" i="88" s="1"/>
  <c r="CW232" i="88" s="1"/>
  <c r="CW234" i="88" s="1"/>
  <c r="CV158" i="88"/>
  <c r="GM158" i="88" s="1"/>
  <c r="CV217" i="88"/>
  <c r="CV222" i="88" s="1"/>
  <c r="CV227" i="88" s="1"/>
  <c r="CV230" i="88" s="1"/>
  <c r="CV232" i="88" s="1"/>
  <c r="CV234" i="88" s="1"/>
  <c r="GM129" i="88"/>
  <c r="GV129" i="88" s="1"/>
  <c r="CF227" i="88"/>
  <c r="CF230" i="88" s="1"/>
  <c r="CF232" i="88" s="1"/>
  <c r="CF234" i="88" s="1"/>
  <c r="GA101" i="88"/>
  <c r="GA98" i="88"/>
  <c r="GA103" i="88"/>
  <c r="GA104" i="88" s="1"/>
  <c r="EO279" i="91"/>
  <c r="GV72" i="88"/>
  <c r="CB227" i="88"/>
  <c r="CB230" i="88" s="1"/>
  <c r="CB232" i="88" s="1"/>
  <c r="CB234" i="88" s="1"/>
  <c r="BN271" i="88"/>
  <c r="CO227" i="88"/>
  <c r="CO230" i="88" s="1"/>
  <c r="CO232" i="88" s="1"/>
  <c r="CO234" i="88" s="1"/>
  <c r="CM271" i="88"/>
  <c r="CA289" i="88"/>
  <c r="CA297" i="88" s="1"/>
  <c r="CA299" i="88" s="1"/>
  <c r="CQ75" i="88"/>
  <c r="DO75" i="88"/>
  <c r="CQ97" i="88"/>
  <c r="CC289" i="88"/>
  <c r="CC297" i="88" s="1"/>
  <c r="CC299" i="88" s="1"/>
  <c r="HQ72" i="88"/>
  <c r="HP80" i="88"/>
  <c r="GW77" i="88"/>
  <c r="DK271" i="88"/>
  <c r="FI97" i="88"/>
  <c r="ID97" i="88" s="1"/>
  <c r="IH97" i="88" s="1"/>
  <c r="FI75" i="88"/>
  <c r="ID75" i="88" s="1"/>
  <c r="CO271" i="88"/>
  <c r="HP89" i="88"/>
  <c r="CJ222" i="88"/>
  <c r="CJ227" i="88" s="1"/>
  <c r="CJ230" i="88" s="1"/>
  <c r="CJ232" i="88" s="1"/>
  <c r="CJ234" i="88" s="1"/>
  <c r="IU109" i="88"/>
  <c r="BT271" i="88"/>
  <c r="FX158" i="88"/>
  <c r="JX158" i="88" s="1"/>
  <c r="JX212" i="88" s="1"/>
  <c r="JX129" i="88"/>
  <c r="FX212" i="88"/>
  <c r="CI222" i="88"/>
  <c r="CI227" i="88" s="1"/>
  <c r="CI230" i="88" s="1"/>
  <c r="CI232" i="88" s="1"/>
  <c r="CI234" i="88" s="1"/>
  <c r="HE130" i="88"/>
  <c r="CQ289" i="88"/>
  <c r="CQ297" i="88" s="1"/>
  <c r="CQ299" i="88" s="1"/>
  <c r="JB194" i="88"/>
  <c r="CX271" i="88"/>
  <c r="BW227" i="88"/>
  <c r="BW230" i="88" s="1"/>
  <c r="BW232" i="88" s="1"/>
  <c r="BW234" i="88" s="1"/>
  <c r="CT289" i="88"/>
  <c r="CT297" i="88" s="1"/>
  <c r="CT299" i="88" s="1"/>
  <c r="CM289" i="88"/>
  <c r="CM297" i="88" s="1"/>
  <c r="CM299" i="88" s="1"/>
  <c r="JK80" i="88"/>
  <c r="CI97" i="88"/>
  <c r="CI75" i="88"/>
  <c r="JK21" i="88"/>
  <c r="KO109" i="88"/>
  <c r="CL227" i="88"/>
  <c r="CL230" i="88" s="1"/>
  <c r="CL232" i="88" s="1"/>
  <c r="CL234" i="88" s="1"/>
  <c r="DJ271" i="88"/>
  <c r="CL271" i="88"/>
  <c r="CZ271" i="88"/>
  <c r="CY271" i="88"/>
  <c r="HF109" i="88"/>
  <c r="CK289" i="88"/>
  <c r="CK297" i="88" s="1"/>
  <c r="CK299" i="88" s="1"/>
  <c r="BY289" i="88"/>
  <c r="BY297" i="88" s="1"/>
  <c r="BY299" i="88" s="1"/>
  <c r="BX158" i="88"/>
  <c r="GK158" i="88" s="1"/>
  <c r="GT158" i="88" s="1"/>
  <c r="BY217" i="88"/>
  <c r="BX217" i="88"/>
  <c r="BX222" i="88" s="1"/>
  <c r="BX227" i="88" s="1"/>
  <c r="BX230" i="88" s="1"/>
  <c r="BX232" i="88" s="1"/>
  <c r="BX234" i="88" s="1"/>
  <c r="GK129" i="88"/>
  <c r="HQ14" i="88"/>
  <c r="CP289" i="88"/>
  <c r="CP297" i="88" s="1"/>
  <c r="CP299" i="88" s="1"/>
  <c r="HD130" i="88"/>
  <c r="GT130" i="88"/>
  <c r="CV289" i="88"/>
  <c r="CV297" i="88" s="1"/>
  <c r="CV299" i="88" s="1"/>
  <c r="CU289" i="88"/>
  <c r="CU297" i="88" s="1"/>
  <c r="CU299" i="88" s="1"/>
  <c r="KH194" i="88"/>
  <c r="CF289" i="88"/>
  <c r="CF297" i="88" s="1"/>
  <c r="CF299" i="88" s="1"/>
  <c r="IV109" i="88"/>
  <c r="JD109" i="88"/>
  <c r="FL158" i="88"/>
  <c r="ID158" i="88" s="1"/>
  <c r="IH158" i="88" s="1"/>
  <c r="ID129" i="88"/>
  <c r="IH129" i="88" s="1"/>
  <c r="FL212" i="88"/>
  <c r="KH109" i="88"/>
  <c r="KP109" i="88"/>
  <c r="HP14" i="88"/>
  <c r="BT75" i="88"/>
  <c r="BT97" i="88"/>
  <c r="CE289" i="88"/>
  <c r="CE297" i="88" s="1"/>
  <c r="CE299" i="88" s="1"/>
  <c r="KO77" i="88"/>
  <c r="KG77" i="88"/>
  <c r="KY77" i="88"/>
  <c r="KP77" i="88"/>
  <c r="KH77" i="88"/>
  <c r="KN130" i="88"/>
  <c r="KF130" i="88"/>
  <c r="CB205" i="88"/>
  <c r="CB104" i="88"/>
  <c r="FQ103" i="88"/>
  <c r="FQ104" i="88" s="1"/>
  <c r="FQ98" i="88"/>
  <c r="FQ101" i="88"/>
  <c r="IT130" i="88"/>
  <c r="JB130" i="88"/>
  <c r="CT227" i="88"/>
  <c r="CT230" i="88" s="1"/>
  <c r="CT232" i="88" s="1"/>
  <c r="CT234" i="88" s="1"/>
  <c r="DR271" i="88"/>
  <c r="CT271" i="88"/>
  <c r="CW271" i="88"/>
  <c r="BP227" i="88"/>
  <c r="BP230" i="88" s="1"/>
  <c r="BP232" i="88" s="1"/>
  <c r="BP234" i="88" s="1"/>
  <c r="BP271" i="88"/>
  <c r="CS289" i="88"/>
  <c r="CS297" i="88" s="1"/>
  <c r="CS299" i="88" s="1"/>
  <c r="CK60" i="88"/>
  <c r="GM39" i="88"/>
  <c r="IB39" i="88"/>
  <c r="CK40" i="88"/>
  <c r="KF74" i="88"/>
  <c r="KN74" i="88"/>
  <c r="KX74" i="88"/>
  <c r="BF101" i="88"/>
  <c r="BF103" i="88"/>
  <c r="JS97" i="88"/>
  <c r="BR217" i="88"/>
  <c r="BR222" i="88" s="1"/>
  <c r="BR158" i="88"/>
  <c r="HZ129" i="88"/>
  <c r="JT129" i="88"/>
  <c r="BS217" i="88"/>
  <c r="BS222" i="88" s="1"/>
  <c r="EJ101" i="88"/>
  <c r="EJ103" i="88"/>
  <c r="EJ104" i="88" s="1"/>
  <c r="EJ98" i="88"/>
  <c r="BU103" i="88"/>
  <c r="BU104" i="88" s="1"/>
  <c r="BU98" i="88"/>
  <c r="BU101" i="88"/>
  <c r="IJ194" i="88"/>
  <c r="IK194" i="88"/>
  <c r="N98" i="88"/>
  <c r="N103" i="88"/>
  <c r="IU194" i="88"/>
  <c r="JC194" i="88"/>
  <c r="JK14" i="88"/>
  <c r="KM74" i="88"/>
  <c r="KE74" i="88"/>
  <c r="KW74" i="88"/>
  <c r="BZ289" i="88"/>
  <c r="BZ297" i="88" s="1"/>
  <c r="BZ299" i="88" s="1"/>
  <c r="CJ289" i="88"/>
  <c r="CJ297" i="88" s="1"/>
  <c r="CJ299" i="88" s="1"/>
  <c r="CV271" i="88"/>
  <c r="DT271" i="88"/>
  <c r="HO71" i="88"/>
  <c r="HO57" i="88"/>
  <c r="HD11" i="88"/>
  <c r="HO37" i="88"/>
  <c r="HO36" i="88"/>
  <c r="HO11" i="88"/>
  <c r="GT11" i="88"/>
  <c r="HO13" i="88"/>
  <c r="HO22" i="88"/>
  <c r="HO48" i="88"/>
  <c r="HO56" i="88"/>
  <c r="HO83" i="88"/>
  <c r="HO18" i="88"/>
  <c r="HO26" i="88"/>
  <c r="HO29" i="88"/>
  <c r="HO66" i="88"/>
  <c r="HO46" i="88"/>
  <c r="HO25" i="88"/>
  <c r="HO52" i="88"/>
  <c r="HO68" i="88"/>
  <c r="HO51" i="88"/>
  <c r="HO87" i="88"/>
  <c r="HO58" i="88"/>
  <c r="HO33" i="88"/>
  <c r="HO85" i="88"/>
  <c r="HO67" i="88"/>
  <c r="HO95" i="88"/>
  <c r="HO94" i="88"/>
  <c r="HO27" i="88"/>
  <c r="HO53" i="88"/>
  <c r="HO81" i="88"/>
  <c r="HO70" i="88"/>
  <c r="HO54" i="88"/>
  <c r="HO86" i="88"/>
  <c r="HO24" i="88"/>
  <c r="HO50" i="88"/>
  <c r="HO79" i="88"/>
  <c r="HO32" i="88"/>
  <c r="HO92" i="88"/>
  <c r="HO34" i="88"/>
  <c r="HO49" i="88"/>
  <c r="HO35" i="88"/>
  <c r="HO93" i="88"/>
  <c r="HO23" i="88"/>
  <c r="HO12" i="88"/>
  <c r="HO65" i="88"/>
  <c r="HO82" i="88"/>
  <c r="HO64" i="88"/>
  <c r="HO30" i="88"/>
  <c r="HO90" i="88"/>
  <c r="HO43" i="88"/>
  <c r="HO19" i="88"/>
  <c r="HO100" i="88"/>
  <c r="HO55" i="88"/>
  <c r="HO16" i="88"/>
  <c r="HO44" i="88"/>
  <c r="HO69" i="88"/>
  <c r="HO17" i="88"/>
  <c r="HO78" i="88"/>
  <c r="HO28" i="88"/>
  <c r="HO45" i="88"/>
  <c r="HO31" i="88"/>
  <c r="HO15" i="88"/>
  <c r="HO91" i="88"/>
  <c r="HO84" i="88"/>
  <c r="HO42" i="88"/>
  <c r="HO63" i="88"/>
  <c r="HO47" i="88"/>
  <c r="CL98" i="88"/>
  <c r="CL103" i="88"/>
  <c r="CL101" i="88"/>
  <c r="CN103" i="88"/>
  <c r="CN101" i="88"/>
  <c r="CN98" i="88"/>
  <c r="Z104" i="88"/>
  <c r="DJ97" i="88"/>
  <c r="IE74" i="88"/>
  <c r="IG40" i="88"/>
  <c r="CF103" i="88"/>
  <c r="CF98" i="88"/>
  <c r="CF101" i="88"/>
  <c r="GX40" i="88"/>
  <c r="HH40" i="88"/>
  <c r="FR158" i="88"/>
  <c r="GN158" i="88" s="1"/>
  <c r="GN129" i="88"/>
  <c r="FR212" i="88"/>
  <c r="HU75" i="88"/>
  <c r="JF74" i="88"/>
  <c r="V98" i="88"/>
  <c r="V103" i="88"/>
  <c r="JP97" i="88"/>
  <c r="CJ271" i="88"/>
  <c r="A310" i="88"/>
  <c r="IS130" i="88"/>
  <c r="JA130" i="88"/>
  <c r="HO77" i="88"/>
  <c r="HD77" i="88"/>
  <c r="GT77" i="88"/>
  <c r="K103" i="88"/>
  <c r="K98" i="88"/>
  <c r="BO227" i="88"/>
  <c r="BO230" i="88" s="1"/>
  <c r="BO232" i="88" s="1"/>
  <c r="BO234" i="88" s="1"/>
  <c r="BO271" i="88"/>
  <c r="CE98" i="88"/>
  <c r="CE103" i="88"/>
  <c r="CE101" i="88"/>
  <c r="CA98" i="88"/>
  <c r="CA103" i="88"/>
  <c r="CA101" i="88"/>
  <c r="L103" i="88"/>
  <c r="L98" i="88"/>
  <c r="U103" i="88"/>
  <c r="U98" i="88"/>
  <c r="JL83" i="88"/>
  <c r="IT11" i="88"/>
  <c r="JL11" i="88"/>
  <c r="JL49" i="88"/>
  <c r="JL13" i="88"/>
  <c r="JB11" i="88"/>
  <c r="JL32" i="88"/>
  <c r="JL28" i="88"/>
  <c r="JL50" i="88"/>
  <c r="JL26" i="88"/>
  <c r="JL69" i="88"/>
  <c r="JL33" i="88"/>
  <c r="JL31" i="88"/>
  <c r="JL55" i="88"/>
  <c r="JL45" i="88"/>
  <c r="JL48" i="88"/>
  <c r="JL22" i="88"/>
  <c r="JL36" i="88"/>
  <c r="JL46" i="88"/>
  <c r="JL44" i="88"/>
  <c r="JL27" i="88"/>
  <c r="JL25" i="88"/>
  <c r="JL34" i="88"/>
  <c r="JL86" i="88"/>
  <c r="JL19" i="88"/>
  <c r="JL51" i="88"/>
  <c r="JL79" i="88"/>
  <c r="JL35" i="88"/>
  <c r="JL37" i="88"/>
  <c r="JL58" i="88"/>
  <c r="JL57" i="88"/>
  <c r="JL16" i="88"/>
  <c r="JL29" i="88"/>
  <c r="JL52" i="88"/>
  <c r="JL43" i="88"/>
  <c r="JL54" i="88"/>
  <c r="JL53" i="88"/>
  <c r="JL65" i="88"/>
  <c r="JL78" i="88"/>
  <c r="JL68" i="88"/>
  <c r="JL24" i="88"/>
  <c r="JL17" i="88"/>
  <c r="JL94" i="88"/>
  <c r="JL30" i="88"/>
  <c r="JL64" i="88"/>
  <c r="JL12" i="88"/>
  <c r="JL23" i="88"/>
  <c r="JL87" i="88"/>
  <c r="JL82" i="88"/>
  <c r="JL56" i="88"/>
  <c r="JL92" i="88"/>
  <c r="JL18" i="88"/>
  <c r="JL84" i="88"/>
  <c r="JL90" i="88"/>
  <c r="JL100" i="88"/>
  <c r="JL66" i="88"/>
  <c r="JL93" i="88"/>
  <c r="JL85" i="88"/>
  <c r="JL95" i="88"/>
  <c r="JL47" i="88"/>
  <c r="JL21" i="88"/>
  <c r="JL81" i="88"/>
  <c r="JL42" i="88"/>
  <c r="JL91" i="88"/>
  <c r="JL67" i="88"/>
  <c r="JL15" i="88"/>
  <c r="GL158" i="88"/>
  <c r="HF158" i="88" s="1"/>
  <c r="IH75" i="88"/>
  <c r="IN74" i="88"/>
  <c r="CM98" i="88"/>
  <c r="CM103" i="88"/>
  <c r="CM101" i="88"/>
  <c r="BW103" i="88"/>
  <c r="BW104" i="88" s="1"/>
  <c r="BW98" i="88"/>
  <c r="BW101" i="88"/>
  <c r="KT103" i="88"/>
  <c r="JQ104" i="88"/>
  <c r="GT194" i="88"/>
  <c r="HD194" i="88"/>
  <c r="JK68" i="88"/>
  <c r="JA11" i="88"/>
  <c r="JK11" i="88"/>
  <c r="IS11" i="88"/>
  <c r="JK17" i="88"/>
  <c r="JK52" i="88"/>
  <c r="JK23" i="88"/>
  <c r="JK32" i="88"/>
  <c r="JK19" i="88"/>
  <c r="JK36" i="88"/>
  <c r="JK28" i="88"/>
  <c r="JK81" i="88"/>
  <c r="JK57" i="88"/>
  <c r="JK48" i="88"/>
  <c r="JK37" i="88"/>
  <c r="JK13" i="88"/>
  <c r="JK33" i="88"/>
  <c r="JK53" i="88"/>
  <c r="JK85" i="88"/>
  <c r="JK55" i="88"/>
  <c r="JK66" i="88"/>
  <c r="JK82" i="88"/>
  <c r="JK34" i="88"/>
  <c r="JK46" i="88"/>
  <c r="JK45" i="88"/>
  <c r="JK51" i="88"/>
  <c r="JK87" i="88"/>
  <c r="JK67" i="88"/>
  <c r="JK58" i="88"/>
  <c r="JK18" i="88"/>
  <c r="JK12" i="88"/>
  <c r="JK83" i="88"/>
  <c r="JK29" i="88"/>
  <c r="JK94" i="88"/>
  <c r="JK86" i="88"/>
  <c r="JK56" i="88"/>
  <c r="JK26" i="88"/>
  <c r="JK24" i="88"/>
  <c r="JK78" i="88"/>
  <c r="JK90" i="88"/>
  <c r="JK69" i="88"/>
  <c r="JK22" i="88"/>
  <c r="JK50" i="88"/>
  <c r="JK16" i="88"/>
  <c r="JK44" i="88"/>
  <c r="JK35" i="88"/>
  <c r="JK65" i="88"/>
  <c r="JK27" i="88"/>
  <c r="JK49" i="88"/>
  <c r="JK95" i="88"/>
  <c r="JK100" i="88"/>
  <c r="JK43" i="88"/>
  <c r="JK79" i="88"/>
  <c r="JK30" i="88"/>
  <c r="JK54" i="88"/>
  <c r="JK92" i="88"/>
  <c r="JK93" i="88"/>
  <c r="JK25" i="88"/>
  <c r="JK64" i="88"/>
  <c r="JK31" i="88"/>
  <c r="JK84" i="88"/>
  <c r="JK91" i="88"/>
  <c r="JK63" i="88"/>
  <c r="JK42" i="88"/>
  <c r="JK47" i="88"/>
  <c r="JK15" i="88"/>
  <c r="KY60" i="88"/>
  <c r="KO60" i="88"/>
  <c r="KG60" i="88"/>
  <c r="KH60" i="88"/>
  <c r="KP60" i="88"/>
  <c r="F98" i="88"/>
  <c r="F103" i="88"/>
  <c r="BN103" i="88"/>
  <c r="BN104" i="88" s="1"/>
  <c r="BN98" i="88"/>
  <c r="BN101" i="88"/>
  <c r="HG130" i="88"/>
  <c r="GW130" i="88"/>
  <c r="CD98" i="88"/>
  <c r="JU98" i="88" s="1"/>
  <c r="CD103" i="88"/>
  <c r="CD101" i="88"/>
  <c r="JU101" i="88" s="1"/>
  <c r="KX101" i="88" s="1"/>
  <c r="JU97" i="88"/>
  <c r="HO80" i="88"/>
  <c r="CO103" i="88"/>
  <c r="CO98" i="88"/>
  <c r="CO101" i="88"/>
  <c r="HA61" i="88"/>
  <c r="GQ61" i="88"/>
  <c r="JK77" i="88"/>
  <c r="IS77" i="88"/>
  <c r="JA77" i="88"/>
  <c r="AA98" i="88"/>
  <c r="AA103" i="88"/>
  <c r="HE194" i="88"/>
  <c r="AO97" i="88"/>
  <c r="HX74" i="88"/>
  <c r="GI74" i="88"/>
  <c r="AO75" i="88"/>
  <c r="W103" i="88"/>
  <c r="W98" i="88"/>
  <c r="CU103" i="88"/>
  <c r="CU98" i="88"/>
  <c r="CU101" i="88"/>
  <c r="AB103" i="88"/>
  <c r="AB98" i="88"/>
  <c r="ES103" i="88"/>
  <c r="ES104" i="88" s="1"/>
  <c r="ES101" i="88"/>
  <c r="ES98" i="88"/>
  <c r="IV194" i="88"/>
  <c r="HP72" i="88"/>
  <c r="HE72" i="88"/>
  <c r="GU72" i="88"/>
  <c r="BR98" i="88"/>
  <c r="JT98" i="88" s="1"/>
  <c r="BR101" i="88"/>
  <c r="JT101" i="88" s="1"/>
  <c r="KW101" i="88" s="1"/>
  <c r="BR103" i="88"/>
  <c r="JT97" i="88"/>
  <c r="HO72" i="88"/>
  <c r="AG103" i="88"/>
  <c r="AG104" i="88" s="1"/>
  <c r="AG98" i="88"/>
  <c r="BY60" i="88"/>
  <c r="BY40" i="88"/>
  <c r="GL39" i="88"/>
  <c r="IA39" i="88"/>
  <c r="H103" i="88"/>
  <c r="H98" i="88"/>
  <c r="FL101" i="88"/>
  <c r="FL103" i="88"/>
  <c r="FL104" i="88" s="1"/>
  <c r="FL98" i="88"/>
  <c r="HV75" i="88"/>
  <c r="JG74" i="88"/>
  <c r="GC103" i="88"/>
  <c r="GC104" i="88" s="1"/>
  <c r="GC98" i="88"/>
  <c r="GC101" i="88"/>
  <c r="FG98" i="88"/>
  <c r="FG103" i="88"/>
  <c r="FG101" i="88"/>
  <c r="BM60" i="88"/>
  <c r="HZ39" i="88"/>
  <c r="GK39" i="88"/>
  <c r="BM40" i="88"/>
  <c r="BX98" i="88"/>
  <c r="BX103" i="88"/>
  <c r="BX104" i="88" s="1"/>
  <c r="BX101" i="88"/>
  <c r="KP61" i="88"/>
  <c r="KH61" i="88"/>
  <c r="HC40" i="88"/>
  <c r="GS40" i="88"/>
  <c r="CG103" i="88"/>
  <c r="CG98" i="88"/>
  <c r="CG101" i="88"/>
  <c r="IM39" i="88"/>
  <c r="IK39" i="88"/>
  <c r="IJ39" i="88"/>
  <c r="CO289" i="88"/>
  <c r="CO297" i="88" s="1"/>
  <c r="CO299" i="88" s="1"/>
  <c r="CL289" i="88"/>
  <c r="CL297" i="88" s="1"/>
  <c r="CL299" i="88" s="1"/>
  <c r="HF194" i="88"/>
  <c r="GV194" i="88"/>
  <c r="E103" i="88"/>
  <c r="GF97" i="88"/>
  <c r="HU97" i="88"/>
  <c r="E98" i="88"/>
  <c r="IJ160" i="88"/>
  <c r="IK160" i="88"/>
  <c r="CC103" i="88"/>
  <c r="CC98" i="88"/>
  <c r="CC101" i="88"/>
  <c r="BQ97" i="88"/>
  <c r="BQ75" i="88"/>
  <c r="HM60" i="88"/>
  <c r="GI61" i="88"/>
  <c r="HB60" i="88"/>
  <c r="GR60" i="88"/>
  <c r="CS103" i="88"/>
  <c r="CS98" i="88"/>
  <c r="CS101" i="88"/>
  <c r="IG210" i="88"/>
  <c r="JO98" i="88"/>
  <c r="KR97" i="88"/>
  <c r="P103" i="88"/>
  <c r="P98" i="88"/>
  <c r="HP73" i="88"/>
  <c r="GU11" i="88"/>
  <c r="HP36" i="88"/>
  <c r="HP37" i="88"/>
  <c r="HP11" i="88"/>
  <c r="HE11" i="88"/>
  <c r="HP13" i="88"/>
  <c r="HP27" i="88"/>
  <c r="HP28" i="88"/>
  <c r="HP51" i="88"/>
  <c r="HP71" i="88"/>
  <c r="HP94" i="88"/>
  <c r="HP46" i="88"/>
  <c r="HP35" i="88"/>
  <c r="HP49" i="88"/>
  <c r="HP45" i="88"/>
  <c r="HP70" i="88"/>
  <c r="HP57" i="88"/>
  <c r="HP68" i="88"/>
  <c r="HP84" i="88"/>
  <c r="HP19" i="88"/>
  <c r="HP34" i="88"/>
  <c r="HP24" i="88"/>
  <c r="HP82" i="88"/>
  <c r="HP55" i="88"/>
  <c r="HP79" i="88"/>
  <c r="HP78" i="88"/>
  <c r="HP52" i="88"/>
  <c r="HP48" i="88"/>
  <c r="HP31" i="88"/>
  <c r="HP25" i="88"/>
  <c r="HP44" i="88"/>
  <c r="HP30" i="88"/>
  <c r="HP32" i="88"/>
  <c r="HP29" i="88"/>
  <c r="HP100" i="88"/>
  <c r="HP16" i="88"/>
  <c r="HP95" i="88"/>
  <c r="HP86" i="88"/>
  <c r="HP90" i="88"/>
  <c r="HP69" i="88"/>
  <c r="HP93" i="88"/>
  <c r="HP66" i="88"/>
  <c r="HP54" i="88"/>
  <c r="HP53" i="88"/>
  <c r="HP23" i="88"/>
  <c r="HP87" i="88"/>
  <c r="HP56" i="88"/>
  <c r="HP85" i="88"/>
  <c r="HP18" i="88"/>
  <c r="HP50" i="88"/>
  <c r="HP26" i="88"/>
  <c r="HP58" i="88"/>
  <c r="HP65" i="88"/>
  <c r="HP22" i="88"/>
  <c r="HP33" i="88"/>
  <c r="HP43" i="88"/>
  <c r="HP17" i="88"/>
  <c r="HP83" i="88"/>
  <c r="HP92" i="88"/>
  <c r="HP12" i="88"/>
  <c r="HP91" i="88"/>
  <c r="HP21" i="88"/>
  <c r="HP67" i="88"/>
  <c r="HP15" i="88"/>
  <c r="HP64" i="88"/>
  <c r="HP81" i="88"/>
  <c r="HP42" i="88"/>
  <c r="HP47" i="88"/>
  <c r="HN60" i="88"/>
  <c r="GJ61" i="88"/>
  <c r="HC60" i="88"/>
  <c r="GS60" i="88"/>
  <c r="KH130" i="88"/>
  <c r="KP130" i="88"/>
  <c r="CH227" i="88"/>
  <c r="CH230" i="88" s="1"/>
  <c r="CH232" i="88" s="1"/>
  <c r="CH234" i="88" s="1"/>
  <c r="CH271" i="88"/>
  <c r="HO14" i="88"/>
  <c r="CH97" i="88"/>
  <c r="CH75" i="88"/>
  <c r="CN227" i="88"/>
  <c r="CN230" i="88" s="1"/>
  <c r="CN232" i="88" s="1"/>
  <c r="CN234" i="88" s="1"/>
  <c r="DL271" i="88"/>
  <c r="CN271" i="88"/>
  <c r="R98" i="88"/>
  <c r="R103" i="88"/>
  <c r="HO21" i="88"/>
  <c r="CP97" i="88"/>
  <c r="DN75" i="88"/>
  <c r="CP75" i="88"/>
  <c r="JV75" i="88" s="1"/>
  <c r="KP75" i="88" s="1"/>
  <c r="JV74" i="88"/>
  <c r="I103" i="88"/>
  <c r="I98" i="88"/>
  <c r="JY98" i="88"/>
  <c r="KZ97" i="88"/>
  <c r="CR289" i="88"/>
  <c r="CR297" i="88" s="1"/>
  <c r="CR299" i="88" s="1"/>
  <c r="HC194" i="88"/>
  <c r="GS194" i="88"/>
  <c r="T103" i="88"/>
  <c r="T98" i="88"/>
  <c r="BQ227" i="88"/>
  <c r="BQ230" i="88" s="1"/>
  <c r="BQ232" i="88" s="1"/>
  <c r="BQ234" i="88" s="1"/>
  <c r="BQ271" i="88"/>
  <c r="HX61" i="88"/>
  <c r="JI60" i="88"/>
  <c r="IY60" i="88"/>
  <c r="IQ60" i="88"/>
  <c r="GH75" i="88"/>
  <c r="GQ74" i="88"/>
  <c r="HA74" i="88"/>
  <c r="HL74" i="88"/>
  <c r="J104" i="88"/>
  <c r="JO103" i="88"/>
  <c r="JL14" i="88"/>
  <c r="O98" i="88"/>
  <c r="O103" i="88"/>
  <c r="CH289" i="88"/>
  <c r="CH297" i="88" s="1"/>
  <c r="CH299" i="88" s="1"/>
  <c r="HY61" i="88"/>
  <c r="IR60" i="88"/>
  <c r="JJ60" i="88"/>
  <c r="IZ60" i="88"/>
  <c r="DO158" i="88"/>
  <c r="IE129" i="88"/>
  <c r="JY129" i="88"/>
  <c r="DO212" i="88"/>
  <c r="HK74" i="88"/>
  <c r="GG75" i="88"/>
  <c r="G103" i="88"/>
  <c r="G98" i="88"/>
  <c r="EK101" i="88"/>
  <c r="EK103" i="88"/>
  <c r="EK104" i="88" s="1"/>
  <c r="EK98" i="88"/>
  <c r="KG130" i="88"/>
  <c r="KO130" i="88"/>
  <c r="BZ97" i="88"/>
  <c r="BZ75" i="88"/>
  <c r="AE103" i="88"/>
  <c r="AE104" i="88" s="1"/>
  <c r="AE98" i="88"/>
  <c r="CR98" i="88"/>
  <c r="CR103" i="88"/>
  <c r="CR101" i="88"/>
  <c r="FM103" i="88"/>
  <c r="FM104" i="88" s="1"/>
  <c r="FM98" i="88"/>
  <c r="FM101" i="88"/>
  <c r="KK103" i="88"/>
  <c r="KE194" i="88"/>
  <c r="KM194" i="88"/>
  <c r="FN98" i="88"/>
  <c r="FN101" i="88"/>
  <c r="FN103" i="88"/>
  <c r="FN104" i="88" s="1"/>
  <c r="BO103" i="88"/>
  <c r="BO104" i="88" s="1"/>
  <c r="BO98" i="88"/>
  <c r="BO101" i="88"/>
  <c r="GN61" i="88"/>
  <c r="HR60" i="88"/>
  <c r="GX194" i="88"/>
  <c r="HI194" i="88"/>
  <c r="HH194" i="88"/>
  <c r="GY194" i="88"/>
  <c r="DK103" i="88"/>
  <c r="DK104" i="88" s="1"/>
  <c r="DK98" i="88"/>
  <c r="DK101" i="88"/>
  <c r="IV130" i="88"/>
  <c r="IG130" i="88"/>
  <c r="JD130" i="88"/>
  <c r="Q103" i="88"/>
  <c r="GG97" i="88"/>
  <c r="HV97" i="88"/>
  <c r="Q98" i="88"/>
  <c r="Y103" i="88"/>
  <c r="Y98" i="88"/>
  <c r="IG60" i="88"/>
  <c r="IC61" i="88"/>
  <c r="JM60" i="88"/>
  <c r="IE61" i="88"/>
  <c r="HE109" i="88"/>
  <c r="GU109" i="88"/>
  <c r="BP97" i="88"/>
  <c r="BP75" i="88"/>
  <c r="CP217" i="88"/>
  <c r="CP222" i="88" s="1"/>
  <c r="CP158" i="88"/>
  <c r="IB129" i="88"/>
  <c r="JV129" i="88"/>
  <c r="CQ217" i="88"/>
  <c r="CQ222" i="88" s="1"/>
  <c r="IU11" i="88"/>
  <c r="JC11" i="88"/>
  <c r="IV11" i="88"/>
  <c r="JD11" i="88"/>
  <c r="IF11" i="88"/>
  <c r="JL101" i="88" s="1"/>
  <c r="BZ227" i="88"/>
  <c r="BZ230" i="88" s="1"/>
  <c r="BZ232" i="88" s="1"/>
  <c r="BZ234" i="88" s="1"/>
  <c r="BZ271" i="88"/>
  <c r="X103" i="88"/>
  <c r="X98" i="88"/>
  <c r="KV74" i="88"/>
  <c r="KD74" i="88"/>
  <c r="KL74" i="88"/>
  <c r="JS75" i="88"/>
  <c r="CV205" i="88"/>
  <c r="CV104" i="88"/>
  <c r="HG194" i="88"/>
  <c r="GW194" i="88"/>
  <c r="HP77" i="88"/>
  <c r="HE77" i="88"/>
  <c r="GU77" i="88"/>
  <c r="GV77" i="88"/>
  <c r="HF77" i="88"/>
  <c r="CJ98" i="88"/>
  <c r="CJ103" i="88"/>
  <c r="CJ101" i="88"/>
  <c r="IP74" i="88"/>
  <c r="HW75" i="88"/>
  <c r="IX74" i="88"/>
  <c r="JH74" i="88"/>
  <c r="JA194" i="88"/>
  <c r="IS194" i="88"/>
  <c r="IV77" i="88"/>
  <c r="JM77" i="88"/>
  <c r="JD77" i="88"/>
  <c r="FS97" i="88"/>
  <c r="FS75" i="88"/>
  <c r="GN74" i="88"/>
  <c r="HH210" i="88"/>
  <c r="GX210" i="88"/>
  <c r="IK77" i="88"/>
  <c r="IJ77" i="88"/>
  <c r="IM77" i="88"/>
  <c r="HI130" i="88"/>
  <c r="GY130" i="88"/>
  <c r="HH130" i="88"/>
  <c r="GX130" i="88"/>
  <c r="IK131" i="88"/>
  <c r="IJ131" i="88"/>
  <c r="S98" i="88"/>
  <c r="S103" i="88"/>
  <c r="CI289" i="88"/>
  <c r="CI297" i="88" s="1"/>
  <c r="CI299" i="88" s="1"/>
  <c r="BC97" i="88"/>
  <c r="BC75" i="88"/>
  <c r="HY74" i="88"/>
  <c r="GJ74" i="88"/>
  <c r="KM77" i="88"/>
  <c r="KW77" i="88"/>
  <c r="KE77" i="88"/>
  <c r="KN77" i="88"/>
  <c r="KF77" i="88"/>
  <c r="GR40" i="88"/>
  <c r="HB40" i="88"/>
  <c r="CD217" i="88"/>
  <c r="CD222" i="88" s="1"/>
  <c r="CD158" i="88"/>
  <c r="IA129" i="88"/>
  <c r="JU129" i="88"/>
  <c r="CE217" i="88"/>
  <c r="CE222" i="88" s="1"/>
  <c r="CT97" i="88"/>
  <c r="DR75" i="88"/>
  <c r="CT75" i="88"/>
  <c r="IC74" i="88"/>
  <c r="IG74" i="88" s="1"/>
  <c r="HH60" i="88"/>
  <c r="HS60" i="88"/>
  <c r="GX60" i="88"/>
  <c r="DO104" i="88"/>
  <c r="JY103" i="88"/>
  <c r="FA103" i="88"/>
  <c r="FA104" i="88" s="1"/>
  <c r="FA98" i="88"/>
  <c r="FA101" i="88"/>
  <c r="IU130" i="88"/>
  <c r="JC130" i="88"/>
  <c r="HQ57" i="88"/>
  <c r="HQ36" i="88"/>
  <c r="GV11" i="88"/>
  <c r="HF11" i="88"/>
  <c r="HQ11" i="88"/>
  <c r="HQ25" i="88"/>
  <c r="HQ13" i="88"/>
  <c r="HQ37" i="88"/>
  <c r="HQ58" i="88"/>
  <c r="HQ73" i="88"/>
  <c r="HQ16" i="88"/>
  <c r="HQ48" i="88"/>
  <c r="HQ54" i="88"/>
  <c r="HQ53" i="88"/>
  <c r="HQ46" i="88"/>
  <c r="HQ12" i="88"/>
  <c r="HQ26" i="88"/>
  <c r="HQ79" i="88"/>
  <c r="HQ24" i="88"/>
  <c r="HQ71" i="88"/>
  <c r="HQ68" i="88"/>
  <c r="HQ67" i="88"/>
  <c r="HQ100" i="88"/>
  <c r="HQ85" i="88"/>
  <c r="HQ18" i="88"/>
  <c r="HQ94" i="88"/>
  <c r="HQ23" i="88"/>
  <c r="HQ66" i="88"/>
  <c r="HQ30" i="88"/>
  <c r="HQ69" i="88"/>
  <c r="HQ29" i="88"/>
  <c r="HQ35" i="88"/>
  <c r="HQ90" i="88"/>
  <c r="HQ65" i="88"/>
  <c r="HQ43" i="88"/>
  <c r="HQ52" i="88"/>
  <c r="HQ50" i="88"/>
  <c r="HQ32" i="88"/>
  <c r="HQ34" i="88"/>
  <c r="HQ87" i="88"/>
  <c r="HQ92" i="88"/>
  <c r="HQ17" i="88"/>
  <c r="HQ33" i="88"/>
  <c r="HQ45" i="88"/>
  <c r="HQ22" i="88"/>
  <c r="HQ51" i="88"/>
  <c r="HQ82" i="88"/>
  <c r="HQ55" i="88"/>
  <c r="HQ49" i="88"/>
  <c r="HQ95" i="88"/>
  <c r="HQ56" i="88"/>
  <c r="HQ44" i="88"/>
  <c r="HQ64" i="88"/>
  <c r="HQ78" i="88"/>
  <c r="HQ19" i="88"/>
  <c r="HQ81" i="88"/>
  <c r="HQ70" i="88"/>
  <c r="HQ93" i="88"/>
  <c r="HQ28" i="88"/>
  <c r="HQ86" i="88"/>
  <c r="HQ83" i="88"/>
  <c r="HQ27" i="88"/>
  <c r="HQ80" i="88"/>
  <c r="HQ63" i="88"/>
  <c r="HQ77" i="88"/>
  <c r="HG11" i="88"/>
  <c r="HI11" i="88"/>
  <c r="HQ21" i="88"/>
  <c r="HQ84" i="88"/>
  <c r="HQ91" i="88"/>
  <c r="GY11" i="88"/>
  <c r="GW11" i="88"/>
  <c r="HQ47" i="88"/>
  <c r="HQ15" i="88"/>
  <c r="HQ31" i="88"/>
  <c r="M103" i="88"/>
  <c r="M98" i="88"/>
  <c r="CU227" i="88"/>
  <c r="CU230" i="88" s="1"/>
  <c r="CU232" i="88" s="1"/>
  <c r="CU234" i="88" s="1"/>
  <c r="CU271" i="88"/>
  <c r="DS271" i="88"/>
  <c r="JP75" i="88"/>
  <c r="KS74" i="88"/>
  <c r="KJ74" i="88"/>
  <c r="KB74" i="88"/>
  <c r="HO89" i="88"/>
  <c r="IH210" i="88"/>
  <c r="JW75" i="88"/>
  <c r="JW74" i="88"/>
  <c r="KM130" i="88"/>
  <c r="KE130" i="88"/>
  <c r="KC103" i="88"/>
  <c r="JB77" i="88"/>
  <c r="JL77" i="88"/>
  <c r="IT77" i="88"/>
  <c r="IU77" i="88"/>
  <c r="JC77" i="88"/>
  <c r="IC129" i="88"/>
  <c r="JW129" i="88"/>
  <c r="AC103" i="88"/>
  <c r="HW97" i="88"/>
  <c r="GH97" i="88"/>
  <c r="AC98" i="88"/>
  <c r="GX77" i="88"/>
  <c r="HS77" i="88"/>
  <c r="HI77" i="88"/>
  <c r="GY77" i="88"/>
  <c r="HH77" i="88"/>
  <c r="DU158" i="88"/>
  <c r="GO211" i="88" s="1"/>
  <c r="DU212" i="88"/>
  <c r="KN194" i="88"/>
  <c r="KG194" i="88"/>
  <c r="KO194" i="88"/>
  <c r="CD289" i="88"/>
  <c r="CD297" i="88" s="1"/>
  <c r="CD299" i="88" s="1"/>
  <c r="CG289" i="88"/>
  <c r="CG297" i="88" s="1"/>
  <c r="CG299" i="88" s="1"/>
  <c r="HQ89" i="88"/>
  <c r="K14" i="77"/>
  <c r="K11" i="77" s="1"/>
  <c r="FR98" i="88" l="1"/>
  <c r="FR103" i="88"/>
  <c r="FR104" i="88" s="1"/>
  <c r="FR101" i="88"/>
  <c r="HF129" i="88"/>
  <c r="EP279" i="91"/>
  <c r="CQ103" i="88"/>
  <c r="CQ98" i="88"/>
  <c r="CQ101" i="88"/>
  <c r="FI103" i="88"/>
  <c r="FI104" i="88" s="1"/>
  <c r="FI98" i="88"/>
  <c r="ID98" i="88" s="1"/>
  <c r="FI101" i="88"/>
  <c r="ID101" i="88" s="1"/>
  <c r="JJ101" i="88" s="1"/>
  <c r="BX271" i="88"/>
  <c r="GV158" i="88"/>
  <c r="CI271" i="88"/>
  <c r="ID212" i="88"/>
  <c r="IH212" i="88"/>
  <c r="HD158" i="88"/>
  <c r="CI98" i="88"/>
  <c r="CI103" i="88"/>
  <c r="CI101" i="88"/>
  <c r="BT103" i="88"/>
  <c r="BT104" i="88" s="1"/>
  <c r="BT98" i="88"/>
  <c r="BT101" i="88"/>
  <c r="HD129" i="88"/>
  <c r="GT129" i="88"/>
  <c r="GU129" i="88"/>
  <c r="HE129" i="88"/>
  <c r="DB271" i="88"/>
  <c r="HW98" i="88"/>
  <c r="IX97" i="88"/>
  <c r="IP97" i="88"/>
  <c r="JH97" i="88"/>
  <c r="HM74" i="88"/>
  <c r="GI75" i="88"/>
  <c r="HB74" i="88"/>
  <c r="GR74" i="88"/>
  <c r="X282" i="88"/>
  <c r="X283" i="88"/>
  <c r="M104" i="88"/>
  <c r="GX61" i="88"/>
  <c r="HH61" i="88"/>
  <c r="CT103" i="88"/>
  <c r="CT98" i="88"/>
  <c r="CT101" i="88"/>
  <c r="JJ74" i="88"/>
  <c r="IZ74" i="88"/>
  <c r="IR74" i="88"/>
  <c r="HY75" i="88"/>
  <c r="HK97" i="88"/>
  <c r="GG98" i="88"/>
  <c r="GG101" i="88"/>
  <c r="HK101" i="88" s="1"/>
  <c r="KP129" i="88"/>
  <c r="KH129" i="88"/>
  <c r="Z283" i="88"/>
  <c r="Z282" i="88"/>
  <c r="O104" i="88"/>
  <c r="U283" i="88"/>
  <c r="KY74" i="88"/>
  <c r="KO74" i="88"/>
  <c r="KG74" i="88"/>
  <c r="KH74" i="88"/>
  <c r="KP74" i="88"/>
  <c r="IK210" i="88"/>
  <c r="IJ210" i="88"/>
  <c r="JF97" i="88"/>
  <c r="HU98" i="88"/>
  <c r="AH282" i="88"/>
  <c r="AH283" i="88"/>
  <c r="W104" i="88"/>
  <c r="KH75" i="88"/>
  <c r="CM205" i="88"/>
  <c r="CM104" i="88"/>
  <c r="CA205" i="88"/>
  <c r="CA104" i="88"/>
  <c r="V283" i="88"/>
  <c r="V282" i="88"/>
  <c r="K104" i="88"/>
  <c r="AG282" i="88"/>
  <c r="AG283" i="88"/>
  <c r="V104" i="88"/>
  <c r="JP103" i="88"/>
  <c r="HG158" i="88"/>
  <c r="GW158" i="88"/>
  <c r="KE129" i="88"/>
  <c r="KM129" i="88"/>
  <c r="KF129" i="88"/>
  <c r="KN129" i="88"/>
  <c r="IE158" i="88"/>
  <c r="JY158" i="88"/>
  <c r="E104" i="88"/>
  <c r="GF103" i="88"/>
  <c r="GF104" i="88" s="1"/>
  <c r="HU103" i="88"/>
  <c r="GX129" i="88"/>
  <c r="HI129" i="88"/>
  <c r="GY129" i="88"/>
  <c r="HH129" i="88"/>
  <c r="HA97" i="88"/>
  <c r="HL97" i="88"/>
  <c r="GQ97" i="88"/>
  <c r="GH98" i="88"/>
  <c r="GH101" i="88"/>
  <c r="KZ103" i="88"/>
  <c r="JY104" i="88"/>
  <c r="CE227" i="88"/>
  <c r="CE230" i="88" s="1"/>
  <c r="CE232" i="88" s="1"/>
  <c r="CE234" i="88" s="1"/>
  <c r="CE271" i="88"/>
  <c r="CJ205" i="88"/>
  <c r="CJ104" i="88"/>
  <c r="AI283" i="88"/>
  <c r="AI282" i="88"/>
  <c r="X104" i="88"/>
  <c r="CQ227" i="88"/>
  <c r="CQ230" i="88" s="1"/>
  <c r="CQ232" i="88" s="1"/>
  <c r="CQ234" i="88" s="1"/>
  <c r="DO271" i="88"/>
  <c r="CQ271" i="88"/>
  <c r="IG61" i="88"/>
  <c r="AB283" i="88"/>
  <c r="AB282" i="88"/>
  <c r="HV103" i="88"/>
  <c r="Q104" i="88"/>
  <c r="GG103" i="88"/>
  <c r="IV129" i="88"/>
  <c r="IG129" i="88"/>
  <c r="JD129" i="88"/>
  <c r="BQ103" i="88"/>
  <c r="BQ104" i="88" s="1"/>
  <c r="BQ98" i="88"/>
  <c r="BQ101" i="88"/>
  <c r="GF98" i="88"/>
  <c r="GF101" i="88"/>
  <c r="IH98" i="88"/>
  <c r="IN97" i="88"/>
  <c r="BY215" i="88"/>
  <c r="BY222" i="88" s="1"/>
  <c r="BY74" i="88"/>
  <c r="BY61" i="88"/>
  <c r="IA61" i="88" s="1"/>
  <c r="IA60" i="88"/>
  <c r="GL60" i="88"/>
  <c r="AM283" i="88"/>
  <c r="AM282" i="88"/>
  <c r="AB104" i="88"/>
  <c r="KX97" i="88"/>
  <c r="KF97" i="88"/>
  <c r="KN97" i="88"/>
  <c r="IK40" i="88"/>
  <c r="IJ40" i="88"/>
  <c r="IS129" i="88"/>
  <c r="JA129" i="88"/>
  <c r="IE75" i="88"/>
  <c r="JM74" i="88"/>
  <c r="CN205" i="88"/>
  <c r="CN104" i="88"/>
  <c r="HZ158" i="88"/>
  <c r="JT158" i="88"/>
  <c r="JW98" i="88"/>
  <c r="JW101" i="88"/>
  <c r="JW97" i="88"/>
  <c r="FG104" i="88"/>
  <c r="AN283" i="88"/>
  <c r="AN282" i="88"/>
  <c r="AC104" i="88"/>
  <c r="HW103" i="88"/>
  <c r="GH103" i="88"/>
  <c r="IJ74" i="88"/>
  <c r="IM74" i="88"/>
  <c r="IK74" i="88"/>
  <c r="IT129" i="88"/>
  <c r="JB129" i="88"/>
  <c r="GN75" i="88"/>
  <c r="HR74" i="88"/>
  <c r="IU129" i="88"/>
  <c r="JC129" i="88"/>
  <c r="IJ60" i="88"/>
  <c r="IM60" i="88"/>
  <c r="IK60" i="88"/>
  <c r="IK130" i="88"/>
  <c r="IJ130" i="88"/>
  <c r="CP98" i="88"/>
  <c r="JV98" i="88" s="1"/>
  <c r="KP98" i="88" s="1"/>
  <c r="CP103" i="88"/>
  <c r="CP101" i="88"/>
  <c r="JV101" i="88" s="1"/>
  <c r="JV97" i="88"/>
  <c r="CH98" i="88"/>
  <c r="CH103" i="88"/>
  <c r="CH101" i="88"/>
  <c r="GS61" i="88"/>
  <c r="HC61" i="88"/>
  <c r="AA282" i="88"/>
  <c r="AA283" i="88"/>
  <c r="P104" i="88"/>
  <c r="CS205" i="88"/>
  <c r="CS104" i="88"/>
  <c r="HX75" i="88"/>
  <c r="JI74" i="88"/>
  <c r="IY74" i="88"/>
  <c r="IQ74" i="88"/>
  <c r="CD205" i="88"/>
  <c r="CD104" i="88"/>
  <c r="JU104" i="88" s="1"/>
  <c r="JU103" i="88"/>
  <c r="CE205" i="88"/>
  <c r="CE104" i="88"/>
  <c r="GX74" i="88"/>
  <c r="HS74" i="88"/>
  <c r="HH74" i="88"/>
  <c r="BR227" i="88"/>
  <c r="BR230" i="88" s="1"/>
  <c r="BR232" i="88" s="1"/>
  <c r="BR234" i="88" s="1"/>
  <c r="BR271" i="88"/>
  <c r="CP227" i="88"/>
  <c r="CP230" i="88" s="1"/>
  <c r="CP232" i="88" s="1"/>
  <c r="CP234" i="88" s="1"/>
  <c r="CP271" i="88"/>
  <c r="DN271" i="88"/>
  <c r="IC75" i="88"/>
  <c r="IG75" i="88" s="1"/>
  <c r="IA158" i="88"/>
  <c r="JU158" i="88"/>
  <c r="AD283" i="88"/>
  <c r="AD282" i="88"/>
  <c r="S104" i="88"/>
  <c r="IB158" i="88"/>
  <c r="JV158" i="88"/>
  <c r="BZ98" i="88"/>
  <c r="BZ103" i="88"/>
  <c r="BZ101" i="88"/>
  <c r="R283" i="88"/>
  <c r="R282" i="88"/>
  <c r="G104" i="88"/>
  <c r="HA75" i="88"/>
  <c r="GQ75" i="88"/>
  <c r="CC205" i="88"/>
  <c r="CC104" i="88"/>
  <c r="CG205" i="88"/>
  <c r="CG104" i="88"/>
  <c r="CU205" i="88"/>
  <c r="CU104" i="88"/>
  <c r="GI97" i="88"/>
  <c r="AO103" i="88"/>
  <c r="AO101" i="88"/>
  <c r="HX101" i="88" s="1"/>
  <c r="HX97" i="88"/>
  <c r="AO98" i="88"/>
  <c r="Q282" i="88"/>
  <c r="Q283" i="88"/>
  <c r="F104" i="88"/>
  <c r="AF283" i="88"/>
  <c r="AF282" i="88"/>
  <c r="U104" i="88"/>
  <c r="DJ103" i="88"/>
  <c r="IE97" i="88"/>
  <c r="DJ98" i="88"/>
  <c r="DJ101" i="88"/>
  <c r="CL205" i="88"/>
  <c r="CL104" i="88"/>
  <c r="Y283" i="88"/>
  <c r="Y282" i="88"/>
  <c r="N104" i="88"/>
  <c r="IB40" i="88"/>
  <c r="IF40" i="88" s="1"/>
  <c r="JC39" i="88"/>
  <c r="IU39" i="88"/>
  <c r="IV39" i="88"/>
  <c r="JD39" i="88"/>
  <c r="IF39" i="88"/>
  <c r="KG129" i="88"/>
  <c r="KO129" i="88"/>
  <c r="IC98" i="88"/>
  <c r="IG98" i="88" s="1"/>
  <c r="IC97" i="88"/>
  <c r="IG97" i="88" s="1"/>
  <c r="CD227" i="88"/>
  <c r="CD230" i="88" s="1"/>
  <c r="CD232" i="88" s="1"/>
  <c r="CD234" i="88" s="1"/>
  <c r="CD271" i="88"/>
  <c r="FS103" i="88"/>
  <c r="FS98" i="88"/>
  <c r="FS101" i="88"/>
  <c r="GN101" i="88" s="1"/>
  <c r="GN97" i="88"/>
  <c r="AJ283" i="88"/>
  <c r="AJ282" i="88"/>
  <c r="Y104" i="88"/>
  <c r="CR205" i="88"/>
  <c r="CR104" i="88"/>
  <c r="KR103" i="88"/>
  <c r="JO104" i="88"/>
  <c r="AC283" i="88"/>
  <c r="AC282" i="88"/>
  <c r="R104" i="88"/>
  <c r="GK40" i="88"/>
  <c r="GT39" i="88"/>
  <c r="HO39" i="88"/>
  <c r="HD39" i="88"/>
  <c r="S283" i="88"/>
  <c r="S282" i="88"/>
  <c r="H104" i="88"/>
  <c r="KW97" i="88"/>
  <c r="KE97" i="88"/>
  <c r="KM97" i="88"/>
  <c r="JS98" i="88"/>
  <c r="KV97" i="88"/>
  <c r="KD97" i="88"/>
  <c r="KL97" i="88"/>
  <c r="HQ39" i="88"/>
  <c r="GV39" i="88"/>
  <c r="GM40" i="88"/>
  <c r="HF39" i="88"/>
  <c r="HG39" i="88"/>
  <c r="GW39" i="88"/>
  <c r="GY39" i="88"/>
  <c r="HI39" i="88"/>
  <c r="GX158" i="88"/>
  <c r="HI158" i="88"/>
  <c r="GY158" i="88"/>
  <c r="HH158" i="88"/>
  <c r="BC103" i="88"/>
  <c r="BC101" i="88"/>
  <c r="HY101" i="88" s="1"/>
  <c r="HY97" i="88"/>
  <c r="GJ97" i="88"/>
  <c r="IC158" i="88"/>
  <c r="JW158" i="88"/>
  <c r="AE283" i="88"/>
  <c r="AE282" i="88"/>
  <c r="T104" i="88"/>
  <c r="HB61" i="88"/>
  <c r="GR61" i="88"/>
  <c r="JK39" i="88"/>
  <c r="IS39" i="88"/>
  <c r="JA39" i="88"/>
  <c r="HZ40" i="88"/>
  <c r="JB39" i="88"/>
  <c r="IA40" i="88"/>
  <c r="IT39" i="88"/>
  <c r="JL39" i="88"/>
  <c r="BR104" i="88"/>
  <c r="JT104" i="88" s="1"/>
  <c r="JT103" i="88"/>
  <c r="AL283" i="88"/>
  <c r="AL282" i="88"/>
  <c r="AA104" i="88"/>
  <c r="W282" i="88"/>
  <c r="W283" i="88"/>
  <c r="L104" i="88"/>
  <c r="AK282" i="88"/>
  <c r="BF104" i="88"/>
  <c r="JS103" i="88"/>
  <c r="CK215" i="88"/>
  <c r="CK222" i="88" s="1"/>
  <c r="CK74" i="88"/>
  <c r="CK61" i="88"/>
  <c r="IB60" i="88"/>
  <c r="GM60" i="88"/>
  <c r="GJ75" i="88"/>
  <c r="HN74" i="88"/>
  <c r="HC74" i="88"/>
  <c r="GS74" i="88"/>
  <c r="BP103" i="88"/>
  <c r="BP104" i="88" s="1"/>
  <c r="BP101" i="88"/>
  <c r="BP98" i="88"/>
  <c r="JG97" i="88"/>
  <c r="HV98" i="88"/>
  <c r="U282" i="88"/>
  <c r="T283" i="88"/>
  <c r="T282" i="88"/>
  <c r="I104" i="88"/>
  <c r="BM215" i="88"/>
  <c r="BM222" i="88" s="1"/>
  <c r="HZ60" i="88"/>
  <c r="BM74" i="88"/>
  <c r="GK60" i="88"/>
  <c r="BM61" i="88"/>
  <c r="HZ61" i="88" s="1"/>
  <c r="HE39" i="88"/>
  <c r="GU39" i="88"/>
  <c r="HP39" i="88"/>
  <c r="GL40" i="88"/>
  <c r="CO205" i="88"/>
  <c r="CO104" i="88"/>
  <c r="HE158" i="88"/>
  <c r="GU158" i="88"/>
  <c r="JP98" i="88"/>
  <c r="KS97" i="88"/>
  <c r="KJ97" i="88"/>
  <c r="KB97" i="88"/>
  <c r="HG129" i="88"/>
  <c r="GW129" i="88"/>
  <c r="CF205" i="88"/>
  <c r="CF104" i="88"/>
  <c r="AK283" i="88"/>
  <c r="BS227" i="88"/>
  <c r="BS230" i="88" s="1"/>
  <c r="BS232" i="88" s="1"/>
  <c r="BS234" i="88" s="1"/>
  <c r="BS271" i="88"/>
  <c r="ID103" i="88" l="1"/>
  <c r="IH103" i="88" s="1"/>
  <c r="IN103" i="88" s="1"/>
  <c r="ID104" i="88"/>
  <c r="EQ279" i="91"/>
  <c r="HK214" i="91"/>
  <c r="K131" i="1" s="1"/>
  <c r="CQ205" i="88"/>
  <c r="CQ104" i="88"/>
  <c r="CI205" i="88"/>
  <c r="CI104" i="88"/>
  <c r="IC101" i="88"/>
  <c r="JI101" i="88" s="1"/>
  <c r="IZ97" i="88"/>
  <c r="HY98" i="88"/>
  <c r="IR97" i="88"/>
  <c r="JJ97" i="88"/>
  <c r="KM103" i="88"/>
  <c r="KW103" i="88"/>
  <c r="KE103" i="88"/>
  <c r="IT158" i="88"/>
  <c r="JB158" i="88"/>
  <c r="CP205" i="88"/>
  <c r="CP104" i="88"/>
  <c r="JV104" i="88" s="1"/>
  <c r="KP104" i="88" s="1"/>
  <c r="JV103" i="88"/>
  <c r="HW104" i="88"/>
  <c r="JH103" i="88"/>
  <c r="IP103" i="88"/>
  <c r="IX103" i="88"/>
  <c r="JB60" i="88"/>
  <c r="IT60" i="88"/>
  <c r="JL60" i="88"/>
  <c r="HV104" i="88"/>
  <c r="JG103" i="88"/>
  <c r="IE212" i="88"/>
  <c r="IV158" i="88"/>
  <c r="IG158" i="88"/>
  <c r="JD158" i="88"/>
  <c r="HB75" i="88"/>
  <c r="GR75" i="88"/>
  <c r="CK97" i="88"/>
  <c r="IB74" i="88"/>
  <c r="GM74" i="88"/>
  <c r="CK75" i="88"/>
  <c r="IB75" i="88" s="1"/>
  <c r="GS75" i="88"/>
  <c r="HC75" i="88"/>
  <c r="GT40" i="88"/>
  <c r="HD40" i="88"/>
  <c r="AZ205" i="88"/>
  <c r="AO104" i="88"/>
  <c r="HX103" i="88"/>
  <c r="GI103" i="88"/>
  <c r="KG158" i="88"/>
  <c r="KO158" i="88"/>
  <c r="JW104" i="88"/>
  <c r="JW103" i="88"/>
  <c r="HQ60" i="88"/>
  <c r="GM61" i="88"/>
  <c r="HF60" i="88"/>
  <c r="GV60" i="88"/>
  <c r="GY60" i="88"/>
  <c r="HG60" i="88"/>
  <c r="GW60" i="88"/>
  <c r="HI60" i="88"/>
  <c r="IK97" i="88"/>
  <c r="IM97" i="88"/>
  <c r="IJ97" i="88"/>
  <c r="GR97" i="88"/>
  <c r="GI98" i="88"/>
  <c r="HB97" i="88"/>
  <c r="HM97" i="88"/>
  <c r="GI101" i="88"/>
  <c r="IU158" i="88"/>
  <c r="JC158" i="88"/>
  <c r="IJ75" i="88"/>
  <c r="IK75" i="88"/>
  <c r="HH75" i="88"/>
  <c r="GX75" i="88"/>
  <c r="KH98" i="88"/>
  <c r="BY97" i="88"/>
  <c r="BY75" i="88"/>
  <c r="IA75" i="88" s="1"/>
  <c r="IA74" i="88"/>
  <c r="GL74" i="88"/>
  <c r="IU60" i="88"/>
  <c r="JC60" i="88"/>
  <c r="IB61" i="88"/>
  <c r="IF61" i="88" s="1"/>
  <c r="IF60" i="88"/>
  <c r="JD60" i="88"/>
  <c r="IV60" i="88"/>
  <c r="HF40" i="88"/>
  <c r="GV40" i="88"/>
  <c r="GW40" i="88"/>
  <c r="HG40" i="88"/>
  <c r="HI40" i="88"/>
  <c r="GY40" i="88"/>
  <c r="IK98" i="88"/>
  <c r="IJ98" i="88"/>
  <c r="IE101" i="88"/>
  <c r="BY227" i="88"/>
  <c r="BY230" i="88" s="1"/>
  <c r="BY232" i="88" s="1"/>
  <c r="BY234" i="88" s="1"/>
  <c r="BY271" i="88"/>
  <c r="HA101" i="88"/>
  <c r="GQ101" i="88"/>
  <c r="HL101" i="88"/>
  <c r="HO60" i="88"/>
  <c r="GK61" i="88"/>
  <c r="HD60" i="88"/>
  <c r="GT60" i="88"/>
  <c r="HN97" i="88"/>
  <c r="GS97" i="88"/>
  <c r="HC97" i="88"/>
  <c r="GJ98" i="88"/>
  <c r="GJ101" i="88"/>
  <c r="HR97" i="88"/>
  <c r="GN98" i="88"/>
  <c r="KN103" i="88"/>
  <c r="KX103" i="88"/>
  <c r="KF103" i="88"/>
  <c r="CH205" i="88"/>
  <c r="CH104" i="88"/>
  <c r="KE158" i="88"/>
  <c r="KM158" i="88"/>
  <c r="IJ129" i="88"/>
  <c r="IK129" i="88"/>
  <c r="IK61" i="88"/>
  <c r="IJ61" i="88"/>
  <c r="HA98" i="88"/>
  <c r="GQ98" i="88"/>
  <c r="HU104" i="88"/>
  <c r="JF103" i="88"/>
  <c r="HR101" i="88"/>
  <c r="IC103" i="88"/>
  <c r="IG103" i="88" s="1"/>
  <c r="HS97" i="88"/>
  <c r="GX97" i="88"/>
  <c r="HH97" i="88"/>
  <c r="HI205" i="88"/>
  <c r="HG205" i="88"/>
  <c r="GW205" i="88"/>
  <c r="GY205" i="88"/>
  <c r="IH104" i="88"/>
  <c r="JA158" i="88"/>
  <c r="IS158" i="88"/>
  <c r="JK60" i="88"/>
  <c r="IS60" i="88"/>
  <c r="JA60" i="88"/>
  <c r="CK227" i="88"/>
  <c r="CK230" i="88" s="1"/>
  <c r="CK232" i="88" s="1"/>
  <c r="CK234" i="88" s="1"/>
  <c r="CK271" i="88"/>
  <c r="JM97" i="88"/>
  <c r="IE98" i="88"/>
  <c r="IA205" i="88"/>
  <c r="JU205" i="88"/>
  <c r="KO97" i="88"/>
  <c r="KY97" i="88"/>
  <c r="KG97" i="88"/>
  <c r="KP97" i="88"/>
  <c r="KH97" i="88"/>
  <c r="GG104" i="88"/>
  <c r="HK103" i="88"/>
  <c r="CT205" i="88"/>
  <c r="CT104" i="88"/>
  <c r="BM97" i="88"/>
  <c r="BM75" i="88"/>
  <c r="HZ75" i="88" s="1"/>
  <c r="HZ74" i="88"/>
  <c r="GK74" i="88"/>
  <c r="HE40" i="88"/>
  <c r="GU40" i="88"/>
  <c r="BM227" i="88"/>
  <c r="BM230" i="88" s="1"/>
  <c r="BM232" i="88" s="1"/>
  <c r="BM234" i="88" s="1"/>
  <c r="BM271" i="88"/>
  <c r="KV103" i="88"/>
  <c r="KD103" i="88"/>
  <c r="JS104" i="88"/>
  <c r="KL103" i="88"/>
  <c r="BC104" i="88"/>
  <c r="GJ103" i="88"/>
  <c r="HY103" i="88"/>
  <c r="GN103" i="88"/>
  <c r="FS104" i="88"/>
  <c r="IE103" i="88"/>
  <c r="DJ104" i="88"/>
  <c r="HX98" i="88"/>
  <c r="JI97" i="88"/>
  <c r="IQ97" i="88"/>
  <c r="IY97" i="88"/>
  <c r="BZ205" i="88"/>
  <c r="BZ104" i="88"/>
  <c r="KF158" i="88"/>
  <c r="KN158" i="88"/>
  <c r="KP101" i="88"/>
  <c r="KH101" i="88"/>
  <c r="KY101" i="88"/>
  <c r="GH104" i="88"/>
  <c r="HA103" i="88"/>
  <c r="HL103" i="88"/>
  <c r="GQ103" i="88"/>
  <c r="GL61" i="88"/>
  <c r="HE60" i="88"/>
  <c r="GU60" i="88"/>
  <c r="HP60" i="88"/>
  <c r="JY212" i="88"/>
  <c r="KP158" i="88"/>
  <c r="KH158" i="88"/>
  <c r="KS103" i="88"/>
  <c r="JP104" i="88"/>
  <c r="KB103" i="88"/>
  <c r="KJ103" i="88"/>
  <c r="KD214" i="91" l="1"/>
  <c r="KM214" i="91"/>
  <c r="HW214" i="91"/>
  <c r="IJ214" i="91"/>
  <c r="ME214" i="91"/>
  <c r="LX214" i="91"/>
  <c r="MF214" i="91"/>
  <c r="LW214" i="91"/>
  <c r="HK204" i="91"/>
  <c r="ER279" i="91"/>
  <c r="IG101" i="88"/>
  <c r="IC104" i="88"/>
  <c r="IG104" i="88" s="1"/>
  <c r="IK104" i="88" s="1"/>
  <c r="KH104" i="88"/>
  <c r="HC103" i="88"/>
  <c r="GJ104" i="88"/>
  <c r="HN103" i="88"/>
  <c r="GS103" i="88"/>
  <c r="GX101" i="88"/>
  <c r="HS101" i="88"/>
  <c r="HH101" i="88"/>
  <c r="JB74" i="88"/>
  <c r="IT74" i="88"/>
  <c r="JL74" i="88"/>
  <c r="GR98" i="88"/>
  <c r="HB98" i="88"/>
  <c r="AZ196" i="88"/>
  <c r="GM75" i="88"/>
  <c r="HF74" i="88"/>
  <c r="HQ74" i="88"/>
  <c r="GV74" i="88"/>
  <c r="GW74" i="88"/>
  <c r="HI74" i="88"/>
  <c r="GY74" i="88"/>
  <c r="HG74" i="88"/>
  <c r="IB205" i="88"/>
  <c r="JV205" i="88"/>
  <c r="HE61" i="88"/>
  <c r="GU61" i="88"/>
  <c r="IU74" i="88"/>
  <c r="JC74" i="88"/>
  <c r="JD74" i="88"/>
  <c r="IV74" i="88"/>
  <c r="GV205" i="88"/>
  <c r="BY103" i="88"/>
  <c r="IA97" i="88"/>
  <c r="BY98" i="88"/>
  <c r="IA98" i="88" s="1"/>
  <c r="GL97" i="88"/>
  <c r="BY101" i="88"/>
  <c r="CK103" i="88"/>
  <c r="GM97" i="88"/>
  <c r="IB97" i="88"/>
  <c r="CK98" i="88"/>
  <c r="IB98" i="88" s="1"/>
  <c r="CK101" i="88"/>
  <c r="IE104" i="88"/>
  <c r="JM103" i="88"/>
  <c r="HD74" i="88"/>
  <c r="GT74" i="88"/>
  <c r="GK75" i="88"/>
  <c r="HO74" i="88"/>
  <c r="HF205" i="88"/>
  <c r="HS103" i="88"/>
  <c r="GX103" i="88"/>
  <c r="HH103" i="88"/>
  <c r="JK74" i="88"/>
  <c r="IS74" i="88"/>
  <c r="JA74" i="88"/>
  <c r="IJ103" i="88"/>
  <c r="IM103" i="88"/>
  <c r="IK103" i="88"/>
  <c r="HD61" i="88"/>
  <c r="GT61" i="88"/>
  <c r="HA104" i="88"/>
  <c r="GQ104" i="88"/>
  <c r="HN101" i="88"/>
  <c r="GS101" i="88"/>
  <c r="HC101" i="88"/>
  <c r="GR101" i="88"/>
  <c r="HB101" i="88"/>
  <c r="HM101" i="88"/>
  <c r="HF61" i="88"/>
  <c r="GV61" i="88"/>
  <c r="GW61" i="88"/>
  <c r="HG61" i="88"/>
  <c r="HI61" i="88"/>
  <c r="GY61" i="88"/>
  <c r="HM103" i="88"/>
  <c r="HB103" i="88"/>
  <c r="GI104" i="88"/>
  <c r="GR103" i="88"/>
  <c r="GN104" i="88"/>
  <c r="HR103" i="88"/>
  <c r="BM98" i="88"/>
  <c r="HZ98" i="88" s="1"/>
  <c r="HZ97" i="88"/>
  <c r="GK97" i="88"/>
  <c r="BM103" i="88"/>
  <c r="BM101" i="88"/>
  <c r="GS98" i="88"/>
  <c r="HC98" i="88"/>
  <c r="IY103" i="88"/>
  <c r="IQ103" i="88"/>
  <c r="JI103" i="88"/>
  <c r="HX104" i="88"/>
  <c r="IG212" i="88"/>
  <c r="IJ158" i="88"/>
  <c r="IK158" i="88"/>
  <c r="KY103" i="88"/>
  <c r="KG103" i="88"/>
  <c r="KO103" i="88"/>
  <c r="KH103" i="88"/>
  <c r="KP103" i="88"/>
  <c r="IR103" i="88"/>
  <c r="JJ103" i="88"/>
  <c r="HY104" i="88"/>
  <c r="IZ103" i="88"/>
  <c r="HH98" i="88"/>
  <c r="GX98" i="88"/>
  <c r="JK101" i="88"/>
  <c r="JM101" i="88"/>
  <c r="HP74" i="88"/>
  <c r="HE74" i="88"/>
  <c r="GU74" i="88"/>
  <c r="GL75" i="88"/>
  <c r="IC205" i="88"/>
  <c r="JW205" i="88"/>
  <c r="HK218" i="91" l="1"/>
  <c r="HK220" i="91"/>
  <c r="KM204" i="91"/>
  <c r="KD204" i="91"/>
  <c r="LX204" i="91"/>
  <c r="ME204" i="91"/>
  <c r="MF204" i="91"/>
  <c r="LW204" i="91"/>
  <c r="HW204" i="91"/>
  <c r="IJ204" i="91"/>
  <c r="IJ104" i="88"/>
  <c r="GL101" i="88"/>
  <c r="IA101" i="88"/>
  <c r="KO205" i="88"/>
  <c r="KG205" i="88"/>
  <c r="KH205" i="88"/>
  <c r="KP205" i="88"/>
  <c r="HE75" i="88"/>
  <c r="GU75" i="88"/>
  <c r="GK101" i="88"/>
  <c r="HZ101" i="88"/>
  <c r="IS101" i="88" s="1"/>
  <c r="HE97" i="88"/>
  <c r="GU97" i="88"/>
  <c r="GL98" i="88"/>
  <c r="HP97" i="88"/>
  <c r="BM205" i="88"/>
  <c r="GK103" i="88"/>
  <c r="BM104" i="88"/>
  <c r="HZ104" i="88" s="1"/>
  <c r="HZ103" i="88"/>
  <c r="IU205" i="88"/>
  <c r="JC205" i="88"/>
  <c r="JD205" i="88"/>
  <c r="IV205" i="88"/>
  <c r="GK98" i="88"/>
  <c r="HD97" i="88"/>
  <c r="GT97" i="88"/>
  <c r="HO97" i="88"/>
  <c r="HB104" i="88"/>
  <c r="GR104" i="88"/>
  <c r="GM101" i="88"/>
  <c r="IB101" i="88"/>
  <c r="JB97" i="88"/>
  <c r="JL97" i="88"/>
  <c r="IT97" i="88"/>
  <c r="GV75" i="88"/>
  <c r="HF75" i="88"/>
  <c r="HG75" i="88"/>
  <c r="GY75" i="88"/>
  <c r="GW75" i="88"/>
  <c r="HI75" i="88"/>
  <c r="JK97" i="88"/>
  <c r="JA97" i="88"/>
  <c r="IS97" i="88"/>
  <c r="HD75" i="88"/>
  <c r="GT75" i="88"/>
  <c r="BY205" i="88"/>
  <c r="BY104" i="88"/>
  <c r="IA104" i="88" s="1"/>
  <c r="GL103" i="88"/>
  <c r="IA103" i="88"/>
  <c r="GI196" i="88"/>
  <c r="AZ210" i="88"/>
  <c r="GI210" i="88" s="1"/>
  <c r="AZ212" i="88"/>
  <c r="GX104" i="88"/>
  <c r="HH104" i="88"/>
  <c r="IU97" i="88"/>
  <c r="JC97" i="88"/>
  <c r="IV97" i="88"/>
  <c r="JD97" i="88"/>
  <c r="GR205" i="88"/>
  <c r="HC205" i="88"/>
  <c r="HB205" i="88"/>
  <c r="GS205" i="88"/>
  <c r="GM98" i="88"/>
  <c r="GV97" i="88"/>
  <c r="HQ97" i="88"/>
  <c r="HF97" i="88"/>
  <c r="GY97" i="88"/>
  <c r="HI97" i="88"/>
  <c r="GW97" i="88"/>
  <c r="HG97" i="88"/>
  <c r="GS104" i="88"/>
  <c r="HC104" i="88"/>
  <c r="CK205" i="88"/>
  <c r="CK104" i="88"/>
  <c r="IB104" i="88" s="1"/>
  <c r="IB103" i="88"/>
  <c r="GM103" i="88"/>
  <c r="IJ218" i="91" l="1"/>
  <c r="HW218" i="91"/>
  <c r="KD218" i="91"/>
  <c r="KM218" i="91"/>
  <c r="ME218" i="91"/>
  <c r="LW218" i="91"/>
  <c r="MF218" i="91"/>
  <c r="LX218" i="91"/>
  <c r="IU101" i="88"/>
  <c r="JD101" i="88"/>
  <c r="IV101" i="88"/>
  <c r="GM104" i="88"/>
  <c r="HQ103" i="88"/>
  <c r="HF103" i="88"/>
  <c r="GV103" i="88"/>
  <c r="GW103" i="88"/>
  <c r="GY103" i="88"/>
  <c r="HI103" i="88"/>
  <c r="HG103" i="88"/>
  <c r="HF101" i="88"/>
  <c r="HQ101" i="88"/>
  <c r="GV101" i="88"/>
  <c r="GW101" i="88"/>
  <c r="HG101" i="88"/>
  <c r="HI101" i="88"/>
  <c r="GY101" i="88"/>
  <c r="HE98" i="88"/>
  <c r="GU98" i="88"/>
  <c r="JC103" i="88"/>
  <c r="IU103" i="88"/>
  <c r="IV103" i="88"/>
  <c r="JD103" i="88"/>
  <c r="GR210" i="88"/>
  <c r="HB210" i="88"/>
  <c r="GS210" i="88"/>
  <c r="HC210" i="88"/>
  <c r="JK103" i="88"/>
  <c r="IS103" i="88"/>
  <c r="JA103" i="88"/>
  <c r="IT101" i="88"/>
  <c r="GR196" i="88"/>
  <c r="HB196" i="88"/>
  <c r="GS196" i="88"/>
  <c r="HC196" i="88"/>
  <c r="GI270" i="88"/>
  <c r="GI212" i="88"/>
  <c r="HD101" i="88"/>
  <c r="GT101" i="88"/>
  <c r="HO101" i="88"/>
  <c r="HP101" i="88"/>
  <c r="HE101" i="88"/>
  <c r="GU101" i="88"/>
  <c r="GV98" i="88"/>
  <c r="HF98" i="88"/>
  <c r="GW98" i="88"/>
  <c r="HG98" i="88"/>
  <c r="HI98" i="88"/>
  <c r="GY98" i="88"/>
  <c r="JB103" i="88"/>
  <c r="JL103" i="88"/>
  <c r="IT103" i="88"/>
  <c r="HD103" i="88"/>
  <c r="GT103" i="88"/>
  <c r="GK104" i="88"/>
  <c r="HO103" i="88"/>
  <c r="HP103" i="88"/>
  <c r="GL104" i="88"/>
  <c r="GU103" i="88"/>
  <c r="HE103" i="88"/>
  <c r="GT98" i="88"/>
  <c r="HD98" i="88"/>
  <c r="BN205" i="88"/>
  <c r="BM196" i="88"/>
  <c r="GU104" i="88" l="1"/>
  <c r="HE104" i="88"/>
  <c r="BM270" i="88"/>
  <c r="BM210" i="88"/>
  <c r="BM212" i="88"/>
  <c r="BO205" i="88"/>
  <c r="BN196" i="88"/>
  <c r="HD104" i="88"/>
  <c r="GT104" i="88"/>
  <c r="HF104" i="88"/>
  <c r="GV104" i="88"/>
  <c r="HG104" i="88"/>
  <c r="GW104" i="88"/>
  <c r="GY104" i="88"/>
  <c r="HI104" i="88"/>
  <c r="BN270" i="88" l="1"/>
  <c r="BN210" i="88"/>
  <c r="BN212" i="88"/>
  <c r="BP205" i="88"/>
  <c r="BO196" i="88"/>
  <c r="BQ205" i="88" l="1"/>
  <c r="BP196" i="88"/>
  <c r="BO270" i="88"/>
  <c r="BO210" i="88"/>
  <c r="BO212" i="88"/>
  <c r="BR205" i="88" l="1"/>
  <c r="BQ196" i="88"/>
  <c r="BP270" i="88"/>
  <c r="BP212" i="88"/>
  <c r="BP210" i="88"/>
  <c r="BS205" i="88" l="1"/>
  <c r="HZ205" i="88"/>
  <c r="JT205" i="88"/>
  <c r="BR196" i="88"/>
  <c r="BQ270" i="88"/>
  <c r="BQ210" i="88"/>
  <c r="BQ212" i="88"/>
  <c r="BT205" i="88" l="1"/>
  <c r="BS196" i="88"/>
  <c r="HZ196" i="88"/>
  <c r="JT196" i="88"/>
  <c r="BR270" i="88"/>
  <c r="BR210" i="88"/>
  <c r="BR212" i="88"/>
  <c r="KE205" i="88"/>
  <c r="KM205" i="88"/>
  <c r="KF205" i="88"/>
  <c r="KN205" i="88"/>
  <c r="IS205" i="88"/>
  <c r="JA205" i="88"/>
  <c r="IT205" i="88"/>
  <c r="JB205" i="88"/>
  <c r="HZ210" i="88" l="1"/>
  <c r="JT210" i="88"/>
  <c r="KE196" i="88"/>
  <c r="KM196" i="88"/>
  <c r="IS196" i="88"/>
  <c r="JA196" i="88"/>
  <c r="BS270" i="88"/>
  <c r="BS210" i="88"/>
  <c r="BS212" i="88"/>
  <c r="BU205" i="88"/>
  <c r="BT196" i="88"/>
  <c r="BT270" i="88" l="1"/>
  <c r="BT210" i="88"/>
  <c r="BT212" i="88"/>
  <c r="BV205" i="88"/>
  <c r="BU196" i="88"/>
  <c r="IS210" i="88"/>
  <c r="JA210" i="88"/>
  <c r="HZ212" i="88"/>
  <c r="KM210" i="88"/>
  <c r="KE210" i="88"/>
  <c r="JT212" i="88"/>
  <c r="HL214" i="91" l="1"/>
  <c r="BU270" i="88"/>
  <c r="BU210" i="88"/>
  <c r="BU212" i="88"/>
  <c r="BW205" i="88"/>
  <c r="BV196" i="88"/>
  <c r="L131" i="1" l="1"/>
  <c r="HY214" i="91"/>
  <c r="HL204" i="91"/>
  <c r="KF214" i="91"/>
  <c r="KO214" i="91"/>
  <c r="KN214" i="91"/>
  <c r="KE214" i="91"/>
  <c r="HX214" i="91"/>
  <c r="IA214" i="91"/>
  <c r="IK214" i="91"/>
  <c r="IL214" i="91"/>
  <c r="IC214" i="91"/>
  <c r="IN214" i="91"/>
  <c r="BV270" i="88"/>
  <c r="BV210" i="88"/>
  <c r="BV212" i="88"/>
  <c r="BX205" i="88"/>
  <c r="BW196" i="88"/>
  <c r="HY204" i="91" l="1"/>
  <c r="HL218" i="91"/>
  <c r="HY218" i="91" s="1"/>
  <c r="HL220" i="91"/>
  <c r="L178" i="1"/>
  <c r="HX204" i="91"/>
  <c r="IK204" i="91"/>
  <c r="IL204" i="91"/>
  <c r="IA204" i="91"/>
  <c r="IN204" i="91"/>
  <c r="IC204" i="91"/>
  <c r="LM279" i="91"/>
  <c r="KE204" i="91"/>
  <c r="KO204" i="91"/>
  <c r="KF204" i="91"/>
  <c r="KN204" i="91"/>
  <c r="BW270" i="88"/>
  <c r="BW210" i="88"/>
  <c r="BW212" i="88"/>
  <c r="BY206" i="88"/>
  <c r="BX196" i="88"/>
  <c r="IK218" i="91" l="1"/>
  <c r="IC218" i="91"/>
  <c r="IL218" i="91"/>
  <c r="IN218" i="91"/>
  <c r="HX218" i="91"/>
  <c r="IA218" i="91"/>
  <c r="KE218" i="91"/>
  <c r="KN218" i="91"/>
  <c r="KF218" i="91"/>
  <c r="KO218" i="91"/>
  <c r="GK196" i="88"/>
  <c r="BX270" i="88"/>
  <c r="BX210" i="88"/>
  <c r="GK210" i="88" s="1"/>
  <c r="BX212" i="88"/>
  <c r="HD205" i="88"/>
  <c r="GT205" i="88"/>
  <c r="HE205" i="88"/>
  <c r="GU205" i="88"/>
  <c r="BZ206" i="88"/>
  <c r="BY196" i="88"/>
  <c r="CA206" i="88" l="1"/>
  <c r="BZ196" i="88"/>
  <c r="HD196" i="88"/>
  <c r="GT196" i="88"/>
  <c r="GT210" i="88"/>
  <c r="HD210" i="88"/>
  <c r="BY270" i="88"/>
  <c r="BY212" i="88"/>
  <c r="BY210" i="88"/>
  <c r="CB206" i="88" l="1"/>
  <c r="CA196" i="88"/>
  <c r="BZ270" i="88"/>
  <c r="BZ212" i="88"/>
  <c r="BZ210" i="88"/>
  <c r="CC206" i="88" l="1"/>
  <c r="CB196" i="88"/>
  <c r="CA270" i="88"/>
  <c r="CA210" i="88"/>
  <c r="CA212" i="88"/>
  <c r="CD206" i="88" l="1"/>
  <c r="CC196" i="88"/>
  <c r="CB270" i="88"/>
  <c r="CB210" i="88"/>
  <c r="CB212" i="88"/>
  <c r="IA206" i="88" l="1"/>
  <c r="JU206" i="88"/>
  <c r="CE206" i="88"/>
  <c r="CD196" i="88"/>
  <c r="CC270" i="88"/>
  <c r="CC210" i="88"/>
  <c r="CC212" i="88"/>
  <c r="IT206" i="88" l="1"/>
  <c r="JB206" i="88"/>
  <c r="IA196" i="88"/>
  <c r="CD270" i="88"/>
  <c r="JU196" i="88"/>
  <c r="CD210" i="88"/>
  <c r="CD212" i="88"/>
  <c r="CF206" i="88"/>
  <c r="CE196" i="88"/>
  <c r="KF206" i="88"/>
  <c r="KN206" i="88"/>
  <c r="CG206" i="88" l="1"/>
  <c r="CF196" i="88"/>
  <c r="IA210" i="88"/>
  <c r="JU210" i="88"/>
  <c r="KF196" i="88"/>
  <c r="KN196" i="88"/>
  <c r="IT196" i="88"/>
  <c r="JB196" i="88"/>
  <c r="CE270" i="88"/>
  <c r="CE210" i="88"/>
  <c r="CE212" i="88"/>
  <c r="KF210" i="88" l="1"/>
  <c r="KN210" i="88"/>
  <c r="JU212" i="88"/>
  <c r="CF270" i="88"/>
  <c r="CF212" i="88"/>
  <c r="CF210" i="88"/>
  <c r="JB210" i="88"/>
  <c r="IT210" i="88"/>
  <c r="IA212" i="88"/>
  <c r="CH206" i="88"/>
  <c r="CG196" i="88"/>
  <c r="CG270" i="88" l="1"/>
  <c r="CG210" i="88"/>
  <c r="CG212" i="88"/>
  <c r="CI206" i="88"/>
  <c r="CH196" i="88"/>
  <c r="CH270" i="88" l="1"/>
  <c r="CH212" i="88"/>
  <c r="CH210" i="88"/>
  <c r="CJ206" i="88"/>
  <c r="CI196" i="88"/>
  <c r="CI270" i="88" l="1"/>
  <c r="CI210" i="88"/>
  <c r="CI212" i="88"/>
  <c r="CK206" i="88"/>
  <c r="CJ196" i="88"/>
  <c r="GL196" i="88" l="1"/>
  <c r="CJ270" i="88"/>
  <c r="CJ210" i="88"/>
  <c r="GL210" i="88" s="1"/>
  <c r="CJ212" i="88"/>
  <c r="GL212" i="88" s="1"/>
  <c r="CL206" i="88"/>
  <c r="CK196" i="88"/>
  <c r="HE206" i="88"/>
  <c r="GU206" i="88"/>
  <c r="CM206" i="88" l="1"/>
  <c r="CL196" i="88"/>
  <c r="GU210" i="88"/>
  <c r="HE210" i="88"/>
  <c r="CK270" i="88"/>
  <c r="CK210" i="88"/>
  <c r="CK212" i="88"/>
  <c r="HE196" i="88"/>
  <c r="GU196" i="88"/>
  <c r="CL270" i="88" l="1"/>
  <c r="DJ270" i="88"/>
  <c r="CL210" i="88"/>
  <c r="CL212" i="88"/>
  <c r="CN206" i="88"/>
  <c r="CM196" i="88"/>
  <c r="CO206" i="88" l="1"/>
  <c r="CN196" i="88"/>
  <c r="CM270" i="88"/>
  <c r="DK270" i="88"/>
  <c r="CM210" i="88"/>
  <c r="CM212" i="88"/>
  <c r="CN270" i="88" l="1"/>
  <c r="DL270" i="88"/>
  <c r="CN212" i="88"/>
  <c r="CN210" i="88"/>
  <c r="CO196" i="88"/>
  <c r="CP206" i="88"/>
  <c r="IB206" i="88" l="1"/>
  <c r="JV206" i="88"/>
  <c r="CQ206" i="88"/>
  <c r="CP196" i="88"/>
  <c r="CO270" i="88"/>
  <c r="DM270" i="88"/>
  <c r="CO212" i="88"/>
  <c r="CO210" i="88"/>
  <c r="IB196" i="88" l="1"/>
  <c r="JV196" i="88"/>
  <c r="CP270" i="88"/>
  <c r="DN270" i="88"/>
  <c r="CP210" i="88"/>
  <c r="CP212" i="88"/>
  <c r="CR206" i="88"/>
  <c r="CQ196" i="88"/>
  <c r="KG206" i="88"/>
  <c r="KO206" i="88"/>
  <c r="KP206" i="88"/>
  <c r="KH206" i="88"/>
  <c r="IU206" i="88"/>
  <c r="JC206" i="88"/>
  <c r="IV206" i="88"/>
  <c r="JD206" i="88"/>
  <c r="CS206" i="88" l="1"/>
  <c r="CR196" i="88"/>
  <c r="CQ270" i="88"/>
  <c r="DO270" i="88"/>
  <c r="CQ210" i="88"/>
  <c r="CQ212" i="88"/>
  <c r="IB210" i="88"/>
  <c r="JV210" i="88"/>
  <c r="KO196" i="88"/>
  <c r="KG196" i="88"/>
  <c r="KH196" i="88"/>
  <c r="KP196" i="88"/>
  <c r="IU196" i="88"/>
  <c r="JC196" i="88"/>
  <c r="IV196" i="88"/>
  <c r="JD196" i="88"/>
  <c r="IU210" i="88" l="1"/>
  <c r="JC210" i="88"/>
  <c r="JD210" i="88"/>
  <c r="IV210" i="88"/>
  <c r="IB212" i="88"/>
  <c r="KO210" i="88"/>
  <c r="KG210" i="88"/>
  <c r="KP210" i="88"/>
  <c r="KH210" i="88"/>
  <c r="JV212" i="88"/>
  <c r="CR270" i="88"/>
  <c r="DP270" i="88"/>
  <c r="CR210" i="88"/>
  <c r="CR212" i="88"/>
  <c r="CT206" i="88"/>
  <c r="CS196" i="88"/>
  <c r="CS270" i="88" l="1"/>
  <c r="DQ270" i="88"/>
  <c r="CS210" i="88"/>
  <c r="CS212" i="88"/>
  <c r="CU206" i="88"/>
  <c r="CT196" i="88"/>
  <c r="CV206" i="88" l="1"/>
  <c r="CW206" i="88" s="1"/>
  <c r="CU196" i="88"/>
  <c r="DR270" i="88"/>
  <c r="CT270" i="88"/>
  <c r="CT210" i="88"/>
  <c r="CT212" i="88"/>
  <c r="CX206" i="88" l="1"/>
  <c r="CW196" i="88"/>
  <c r="CU270" i="88"/>
  <c r="DS270" i="88"/>
  <c r="CU210" i="88"/>
  <c r="CU212" i="88"/>
  <c r="CV196" i="88"/>
  <c r="CW210" i="88" l="1"/>
  <c r="CW212" i="88"/>
  <c r="CY206" i="88"/>
  <c r="CX196" i="88"/>
  <c r="GM196" i="88"/>
  <c r="CV270" i="88"/>
  <c r="DT270" i="88"/>
  <c r="CV212" i="88"/>
  <c r="CV210" i="88"/>
  <c r="GM210" i="88" s="1"/>
  <c r="HF206" i="88"/>
  <c r="GV206" i="88"/>
  <c r="GW206" i="88"/>
  <c r="HI206" i="88"/>
  <c r="GY206" i="88"/>
  <c r="HG206" i="88"/>
  <c r="CX210" i="88" l="1"/>
  <c r="CX212" i="88"/>
  <c r="CZ206" i="88"/>
  <c r="CY196" i="88"/>
  <c r="CW270" i="88"/>
  <c r="HF210" i="88"/>
  <c r="GV210" i="88"/>
  <c r="GY210" i="88"/>
  <c r="GW210" i="88"/>
  <c r="HG210" i="88"/>
  <c r="HI210" i="88"/>
  <c r="HF196" i="88"/>
  <c r="GV196" i="88"/>
  <c r="HI196" i="88"/>
  <c r="GY196" i="88"/>
  <c r="GW196" i="88"/>
  <c r="HG196" i="88"/>
  <c r="CY210" i="88" l="1"/>
  <c r="CY212" i="88"/>
  <c r="DA206" i="88"/>
  <c r="CZ196" i="88"/>
  <c r="CX270" i="88"/>
  <c r="CZ210" i="88" l="1"/>
  <c r="CZ212" i="88"/>
  <c r="DB206" i="88"/>
  <c r="DA196" i="88"/>
  <c r="CY270" i="88"/>
  <c r="DA210" i="88" l="1"/>
  <c r="DA212" i="88"/>
  <c r="DC206" i="88"/>
  <c r="DB196" i="88"/>
  <c r="CZ270" i="88"/>
  <c r="DB212" i="88" l="1"/>
  <c r="DB210" i="88"/>
  <c r="DD206" i="88"/>
  <c r="DC196" i="88"/>
  <c r="DA270" i="88"/>
  <c r="IC206" i="88"/>
  <c r="JW206" i="88"/>
  <c r="DC210" i="88" l="1"/>
  <c r="DC212" i="88"/>
  <c r="DE206" i="88"/>
  <c r="DD196" i="88"/>
  <c r="IC196" i="88"/>
  <c r="IC270" i="88" s="1"/>
  <c r="JW196" i="88"/>
  <c r="JW270" i="88" s="1"/>
  <c r="DB270" i="88"/>
  <c r="DD210" i="88" l="1"/>
  <c r="DD212" i="88"/>
  <c r="DF206" i="88"/>
  <c r="DE196" i="88"/>
  <c r="IC210" i="88"/>
  <c r="IC212" i="88" s="1"/>
  <c r="JW210" i="88"/>
  <c r="JW212" i="88" s="1"/>
  <c r="DE212" i="88" l="1"/>
  <c r="DE210" i="88"/>
  <c r="DG206" i="88"/>
  <c r="DF196" i="88"/>
  <c r="AH81" i="85" a="1"/>
  <c r="AH86" i="85" s="1"/>
  <c r="Z81" i="85" a="1"/>
  <c r="Z92" i="85" s="1"/>
  <c r="S81" i="85" a="1"/>
  <c r="S90" i="85" s="1"/>
  <c r="AL79" i="85"/>
  <c r="AL78" i="85"/>
  <c r="AL77" i="85"/>
  <c r="AL76" i="85"/>
  <c r="AL75" i="85"/>
  <c r="AL74" i="85"/>
  <c r="AL73" i="85"/>
  <c r="AL72" i="85"/>
  <c r="AL71" i="85"/>
  <c r="AL70" i="85"/>
  <c r="AG70" i="85"/>
  <c r="AG71" i="85" s="1"/>
  <c r="AG72" i="85" s="1"/>
  <c r="AG73" i="85" s="1"/>
  <c r="AG74" i="85" s="1"/>
  <c r="AG75" i="85" s="1"/>
  <c r="AG76" i="85" s="1"/>
  <c r="AG77" i="85" s="1"/>
  <c r="AG78" i="85" s="1"/>
  <c r="AG79" i="85" s="1"/>
  <c r="AG80" i="85" s="1"/>
  <c r="AG81" i="85" s="1"/>
  <c r="AG82" i="85" s="1"/>
  <c r="AG83" i="85" s="1"/>
  <c r="AG84" i="85" s="1"/>
  <c r="AG85" i="85" s="1"/>
  <c r="AG86" i="85" s="1"/>
  <c r="AG87" i="85" s="1"/>
  <c r="AG88" i="85" s="1"/>
  <c r="AG89" i="85" s="1"/>
  <c r="AG90" i="85" s="1"/>
  <c r="AG91" i="85" s="1"/>
  <c r="AG92" i="85" s="1"/>
  <c r="AG93" i="85" s="1"/>
  <c r="AG94" i="85" s="1"/>
  <c r="AG95" i="85" s="1"/>
  <c r="AG96" i="85" s="1"/>
  <c r="AG97" i="85" s="1"/>
  <c r="AG98" i="85" s="1"/>
  <c r="AG99" i="85" s="1"/>
  <c r="AG100" i="85" s="1"/>
  <c r="AG101" i="85" s="1"/>
  <c r="AG102" i="85" s="1"/>
  <c r="AG103" i="85" s="1"/>
  <c r="AG104" i="85" s="1"/>
  <c r="Y70" i="85"/>
  <c r="Y71" i="85" s="1"/>
  <c r="Y72" i="85" s="1"/>
  <c r="Y73" i="85" s="1"/>
  <c r="Y74" i="85" s="1"/>
  <c r="Y75" i="85" s="1"/>
  <c r="Y76" i="85" s="1"/>
  <c r="Y77" i="85" s="1"/>
  <c r="Y78" i="85" s="1"/>
  <c r="Y79" i="85" s="1"/>
  <c r="Y80" i="85" s="1"/>
  <c r="Y81" i="85" s="1"/>
  <c r="Y82" i="85" s="1"/>
  <c r="Y83" i="85" s="1"/>
  <c r="Y84" i="85" s="1"/>
  <c r="Y85" i="85" s="1"/>
  <c r="Y86" i="85" s="1"/>
  <c r="Y87" i="85" s="1"/>
  <c r="Y88" i="85" s="1"/>
  <c r="Y89" i="85" s="1"/>
  <c r="Y90" i="85" s="1"/>
  <c r="Y91" i="85" s="1"/>
  <c r="Y92" i="85" s="1"/>
  <c r="Y93" i="85" s="1"/>
  <c r="Y94" i="85" s="1"/>
  <c r="Y95" i="85" s="1"/>
  <c r="Y96" i="85" s="1"/>
  <c r="Y97" i="85" s="1"/>
  <c r="Y98" i="85" s="1"/>
  <c r="Y99" i="85" s="1"/>
  <c r="Y100" i="85" s="1"/>
  <c r="Y101" i="85" s="1"/>
  <c r="Y102" i="85" s="1"/>
  <c r="Y103" i="85" s="1"/>
  <c r="Y104" i="85" s="1"/>
  <c r="R70" i="85"/>
  <c r="R71" i="85" s="1"/>
  <c r="R72" i="85" s="1"/>
  <c r="R73" i="85" s="1"/>
  <c r="R74" i="85" s="1"/>
  <c r="R75" i="85" s="1"/>
  <c r="R76" i="85" s="1"/>
  <c r="R77" i="85" s="1"/>
  <c r="R78" i="85" s="1"/>
  <c r="R79" i="85" s="1"/>
  <c r="R80" i="85" s="1"/>
  <c r="R81" i="85" s="1"/>
  <c r="R82" i="85" s="1"/>
  <c r="R83" i="85" s="1"/>
  <c r="R84" i="85" s="1"/>
  <c r="R85" i="85" s="1"/>
  <c r="R86" i="85" s="1"/>
  <c r="R87" i="85" s="1"/>
  <c r="R88" i="85" s="1"/>
  <c r="R89" i="85" s="1"/>
  <c r="R90" i="85" s="1"/>
  <c r="R91" i="85" s="1"/>
  <c r="R92" i="85" s="1"/>
  <c r="R93" i="85" s="1"/>
  <c r="R94" i="85" s="1"/>
  <c r="R95" i="85" s="1"/>
  <c r="R96" i="85" s="1"/>
  <c r="R97" i="85" s="1"/>
  <c r="R98" i="85" s="1"/>
  <c r="R99" i="85" s="1"/>
  <c r="R100" i="85" s="1"/>
  <c r="R101" i="85" s="1"/>
  <c r="R102" i="85" s="1"/>
  <c r="R103" i="85" s="1"/>
  <c r="R104" i="85" s="1"/>
  <c r="AL69" i="85"/>
  <c r="AH69" i="85" a="1"/>
  <c r="AH80" i="85" s="1"/>
  <c r="Z69" i="85" a="1"/>
  <c r="Z77" i="85" s="1"/>
  <c r="S69" i="85" a="1"/>
  <c r="S74" i="85" s="1"/>
  <c r="O59" i="85"/>
  <c r="O56" i="85"/>
  <c r="O55" i="85"/>
  <c r="O54" i="85"/>
  <c r="O53" i="85"/>
  <c r="O52" i="85"/>
  <c r="O51" i="85"/>
  <c r="G46" i="85"/>
  <c r="L46" i="85"/>
  <c r="N46" i="85"/>
  <c r="M46" i="85"/>
  <c r="K46" i="85"/>
  <c r="J46" i="85"/>
  <c r="H46" i="85"/>
  <c r="E46" i="85"/>
  <c r="C46" i="85"/>
  <c r="O41" i="85"/>
  <c r="O38" i="85"/>
  <c r="O36" i="85"/>
  <c r="G28" i="85"/>
  <c r="G84" i="84" s="1"/>
  <c r="O26" i="85"/>
  <c r="F28" i="85"/>
  <c r="F84" i="84" s="1"/>
  <c r="O24" i="85"/>
  <c r="C28" i="85"/>
  <c r="C84" i="84" s="1"/>
  <c r="O23" i="85"/>
  <c r="H28" i="85"/>
  <c r="O22" i="85"/>
  <c r="E28" i="85"/>
  <c r="F21" i="85"/>
  <c r="O20" i="85"/>
  <c r="O19" i="85"/>
  <c r="O17" i="85"/>
  <c r="O15" i="85"/>
  <c r="O14" i="85"/>
  <c r="D21" i="85"/>
  <c r="N13" i="85"/>
  <c r="O13" i="85" s="1"/>
  <c r="M13" i="85"/>
  <c r="J13" i="85"/>
  <c r="F13" i="85"/>
  <c r="E13" i="85"/>
  <c r="O12" i="85"/>
  <c r="O11" i="85"/>
  <c r="L13" i="85"/>
  <c r="K13" i="85"/>
  <c r="I13" i="85"/>
  <c r="H13" i="85"/>
  <c r="D13" i="85"/>
  <c r="C13" i="85"/>
  <c r="E10" i="85"/>
  <c r="O8" i="85"/>
  <c r="D10" i="85"/>
  <c r="H10" i="85"/>
  <c r="G10" i="85"/>
  <c r="C10" i="85"/>
  <c r="N2" i="85"/>
  <c r="P92" i="84"/>
  <c r="P91" i="84"/>
  <c r="H84" i="84"/>
  <c r="O83" i="84"/>
  <c r="L81" i="84"/>
  <c r="K81" i="84"/>
  <c r="G81" i="84"/>
  <c r="N80" i="84"/>
  <c r="M80" i="84"/>
  <c r="L80" i="84"/>
  <c r="K80" i="84"/>
  <c r="J80" i="84"/>
  <c r="I80" i="84"/>
  <c r="H80" i="84"/>
  <c r="G80" i="84"/>
  <c r="F80" i="84"/>
  <c r="E80" i="84"/>
  <c r="D80" i="84"/>
  <c r="C80" i="84"/>
  <c r="L79" i="84"/>
  <c r="K79" i="84"/>
  <c r="S78" i="84"/>
  <c r="P78" i="84"/>
  <c r="S77" i="84"/>
  <c r="N77" i="84"/>
  <c r="N79" i="84" s="1"/>
  <c r="M77" i="84"/>
  <c r="M79" i="84" s="1"/>
  <c r="L77" i="84"/>
  <c r="K77" i="84"/>
  <c r="I77" i="84"/>
  <c r="H77" i="84"/>
  <c r="H81" i="84" s="1"/>
  <c r="G77" i="84"/>
  <c r="G79" i="84" s="1"/>
  <c r="F77" i="84"/>
  <c r="F79" i="84" s="1"/>
  <c r="E77" i="84"/>
  <c r="D77" i="84"/>
  <c r="D79" i="84" s="1"/>
  <c r="C77" i="84"/>
  <c r="C81" i="84" s="1"/>
  <c r="S76" i="84"/>
  <c r="P76" i="84"/>
  <c r="S75" i="84"/>
  <c r="P75" i="84"/>
  <c r="O74" i="84"/>
  <c r="N72" i="84"/>
  <c r="M72" i="84"/>
  <c r="L72" i="84"/>
  <c r="K72" i="84"/>
  <c r="J72" i="84"/>
  <c r="I72" i="84"/>
  <c r="H72" i="84"/>
  <c r="G72" i="84"/>
  <c r="F72" i="84"/>
  <c r="E72" i="84"/>
  <c r="D72" i="84"/>
  <c r="C72" i="84"/>
  <c r="D71" i="84"/>
  <c r="N70" i="84"/>
  <c r="M70" i="84"/>
  <c r="L70" i="84"/>
  <c r="K70" i="84"/>
  <c r="J70" i="84"/>
  <c r="I70" i="84"/>
  <c r="H70" i="84"/>
  <c r="G70" i="84"/>
  <c r="F70" i="84"/>
  <c r="E70" i="84"/>
  <c r="D70" i="84"/>
  <c r="C70" i="84"/>
  <c r="N69" i="84"/>
  <c r="M69" i="84"/>
  <c r="L69" i="84"/>
  <c r="K69" i="84"/>
  <c r="J69" i="84"/>
  <c r="I69" i="84"/>
  <c r="H69" i="84"/>
  <c r="G69" i="84"/>
  <c r="F69" i="84"/>
  <c r="E69" i="84"/>
  <c r="D69" i="84"/>
  <c r="C69" i="84"/>
  <c r="F67" i="84"/>
  <c r="E67" i="84"/>
  <c r="N66" i="84"/>
  <c r="M66" i="84"/>
  <c r="L66" i="84"/>
  <c r="K66" i="84"/>
  <c r="J66" i="84"/>
  <c r="I66" i="84"/>
  <c r="H66" i="84"/>
  <c r="G66" i="84"/>
  <c r="F66" i="84"/>
  <c r="E66" i="84"/>
  <c r="D66" i="84"/>
  <c r="C66" i="84"/>
  <c r="G65" i="84"/>
  <c r="F65" i="84"/>
  <c r="E65" i="84"/>
  <c r="S64" i="84"/>
  <c r="P64" i="84"/>
  <c r="S63" i="84"/>
  <c r="AH98" i="85"/>
  <c r="AH97" i="85"/>
  <c r="AH96" i="85"/>
  <c r="AH95" i="85"/>
  <c r="C67" i="84"/>
  <c r="S62" i="84"/>
  <c r="P62" i="84"/>
  <c r="P66" i="84" s="1"/>
  <c r="S61" i="84"/>
  <c r="P61" i="84"/>
  <c r="O60" i="84"/>
  <c r="N58" i="84"/>
  <c r="M58" i="84"/>
  <c r="L58" i="84"/>
  <c r="K58" i="84"/>
  <c r="J58" i="84"/>
  <c r="I58" i="84"/>
  <c r="H58" i="84"/>
  <c r="G58" i="84"/>
  <c r="F58" i="84"/>
  <c r="E58" i="84"/>
  <c r="D58" i="84"/>
  <c r="C58" i="84"/>
  <c r="N56" i="84"/>
  <c r="M56" i="84"/>
  <c r="L56" i="84"/>
  <c r="K56" i="84"/>
  <c r="J56" i="84"/>
  <c r="I56" i="84"/>
  <c r="H56" i="84"/>
  <c r="G56" i="84"/>
  <c r="F56" i="84"/>
  <c r="E56" i="84"/>
  <c r="D56" i="84"/>
  <c r="C56" i="84"/>
  <c r="N55" i="84"/>
  <c r="M55" i="84"/>
  <c r="L55" i="84"/>
  <c r="K55" i="84"/>
  <c r="J55" i="84"/>
  <c r="I55" i="84"/>
  <c r="H55" i="84"/>
  <c r="G55" i="84"/>
  <c r="F55" i="84"/>
  <c r="E55" i="84"/>
  <c r="D55" i="84"/>
  <c r="C55" i="84"/>
  <c r="N52" i="84"/>
  <c r="M52" i="84"/>
  <c r="L52" i="84"/>
  <c r="K52" i="84"/>
  <c r="J52" i="84"/>
  <c r="I52" i="84"/>
  <c r="H52" i="84"/>
  <c r="G52" i="84"/>
  <c r="F52" i="84"/>
  <c r="E52" i="84"/>
  <c r="D52" i="84"/>
  <c r="C52" i="84"/>
  <c r="S50" i="84"/>
  <c r="P50" i="84"/>
  <c r="S49" i="84"/>
  <c r="S48" i="84"/>
  <c r="P48" i="84"/>
  <c r="S47" i="84"/>
  <c r="P47" i="84"/>
  <c r="O46" i="84"/>
  <c r="L44" i="84"/>
  <c r="K44" i="84"/>
  <c r="H44" i="84"/>
  <c r="D44" i="84"/>
  <c r="C44" i="84"/>
  <c r="N43" i="84"/>
  <c r="M43" i="84"/>
  <c r="L43" i="84"/>
  <c r="K43" i="84"/>
  <c r="J43" i="84"/>
  <c r="I43" i="84"/>
  <c r="H43" i="84"/>
  <c r="G43" i="84"/>
  <c r="F43" i="84"/>
  <c r="E43" i="84"/>
  <c r="D43" i="84"/>
  <c r="C43" i="84"/>
  <c r="M42" i="84"/>
  <c r="L42" i="84"/>
  <c r="K42" i="84"/>
  <c r="H42" i="84"/>
  <c r="E42" i="84"/>
  <c r="D42" i="84"/>
  <c r="C42" i="84"/>
  <c r="S41" i="84"/>
  <c r="P41" i="84"/>
  <c r="S40" i="84"/>
  <c r="M33" i="85"/>
  <c r="L33" i="85"/>
  <c r="K33" i="85"/>
  <c r="I33" i="85"/>
  <c r="H33" i="85"/>
  <c r="E33" i="85"/>
  <c r="D33" i="85"/>
  <c r="C33" i="85"/>
  <c r="S39" i="84"/>
  <c r="P39" i="84"/>
  <c r="S38" i="84"/>
  <c r="P38" i="84"/>
  <c r="O37" i="84"/>
  <c r="N35" i="84"/>
  <c r="M35" i="84"/>
  <c r="L35" i="84"/>
  <c r="K35" i="84"/>
  <c r="J35" i="84"/>
  <c r="I35" i="84"/>
  <c r="H35" i="84"/>
  <c r="G35" i="84"/>
  <c r="F35" i="84"/>
  <c r="E35" i="84"/>
  <c r="D35" i="84"/>
  <c r="C35" i="84"/>
  <c r="H34" i="84"/>
  <c r="N33" i="84"/>
  <c r="M33" i="84"/>
  <c r="L33" i="84"/>
  <c r="K33" i="84"/>
  <c r="J33" i="84"/>
  <c r="I33" i="84"/>
  <c r="H33" i="84"/>
  <c r="G33" i="84"/>
  <c r="F33" i="84"/>
  <c r="E33" i="84"/>
  <c r="D33" i="84"/>
  <c r="C33" i="84"/>
  <c r="N32" i="84"/>
  <c r="M32" i="84"/>
  <c r="L32" i="84"/>
  <c r="K32" i="84"/>
  <c r="J32" i="84"/>
  <c r="I32" i="84"/>
  <c r="H32" i="84"/>
  <c r="G32" i="84"/>
  <c r="F32" i="84"/>
  <c r="E32" i="84"/>
  <c r="D32" i="84"/>
  <c r="C32" i="84"/>
  <c r="G30" i="84"/>
  <c r="F30" i="84"/>
  <c r="D30" i="84"/>
  <c r="C30" i="84"/>
  <c r="N29" i="84"/>
  <c r="M29" i="84"/>
  <c r="L29" i="84"/>
  <c r="K29" i="84"/>
  <c r="J29" i="84"/>
  <c r="I29" i="84"/>
  <c r="H29" i="84"/>
  <c r="G29" i="84"/>
  <c r="F29" i="84"/>
  <c r="E29" i="84"/>
  <c r="D29" i="84"/>
  <c r="C29" i="84"/>
  <c r="G28" i="84"/>
  <c r="C28" i="84"/>
  <c r="S27" i="84"/>
  <c r="P27" i="84"/>
  <c r="S26" i="84"/>
  <c r="H28" i="84"/>
  <c r="G32" i="85"/>
  <c r="F32" i="85"/>
  <c r="C32" i="85"/>
  <c r="S25" i="84"/>
  <c r="P25" i="84"/>
  <c r="P29" i="84" s="1"/>
  <c r="S24" i="84"/>
  <c r="P24" i="84"/>
  <c r="O23" i="84"/>
  <c r="H21" i="84"/>
  <c r="F21" i="84"/>
  <c r="E21" i="84"/>
  <c r="N20" i="84"/>
  <c r="M20" i="84"/>
  <c r="L20" i="84"/>
  <c r="K20" i="84"/>
  <c r="J20" i="84"/>
  <c r="I20" i="84"/>
  <c r="H20" i="84"/>
  <c r="G20" i="84"/>
  <c r="F20" i="84"/>
  <c r="E20" i="84"/>
  <c r="D20" i="84"/>
  <c r="C20" i="84"/>
  <c r="G19" i="84"/>
  <c r="F19" i="84"/>
  <c r="D19" i="84"/>
  <c r="P18" i="84"/>
  <c r="P35" i="84" s="1"/>
  <c r="H49" i="84"/>
  <c r="G21" i="84"/>
  <c r="P16" i="84"/>
  <c r="P33" i="84" s="1"/>
  <c r="P15" i="84"/>
  <c r="P69" i="84" s="1"/>
  <c r="O14" i="84"/>
  <c r="S12" i="84"/>
  <c r="P12" i="84"/>
  <c r="H12" i="84"/>
  <c r="G12" i="84"/>
  <c r="O12" i="84" s="1"/>
  <c r="F12" i="84"/>
  <c r="E12" i="84"/>
  <c r="D12" i="84"/>
  <c r="N11" i="84"/>
  <c r="P11" i="84" s="1"/>
  <c r="M11" i="84"/>
  <c r="M10" i="84" s="1"/>
  <c r="L11" i="84"/>
  <c r="L10" i="84" s="1"/>
  <c r="K11" i="84"/>
  <c r="J11" i="84"/>
  <c r="I11" i="84"/>
  <c r="I10" i="84" s="1"/>
  <c r="H11" i="84"/>
  <c r="G11" i="84"/>
  <c r="O11" i="84" s="1"/>
  <c r="F11" i="84"/>
  <c r="F10" i="84" s="1"/>
  <c r="E11" i="84"/>
  <c r="D11" i="84"/>
  <c r="C11" i="84"/>
  <c r="S10" i="84"/>
  <c r="N10" i="84"/>
  <c r="P10" i="84" s="1"/>
  <c r="K10" i="84"/>
  <c r="J10" i="84"/>
  <c r="G9" i="84"/>
  <c r="F9" i="84"/>
  <c r="S8" i="84"/>
  <c r="H8" i="84"/>
  <c r="H9" i="84" s="1"/>
  <c r="D8" i="84"/>
  <c r="D9" i="84" s="1"/>
  <c r="S7" i="84"/>
  <c r="P7" i="84"/>
  <c r="S6" i="84"/>
  <c r="E8" i="84"/>
  <c r="E9" i="84" s="1"/>
  <c r="P6" i="84"/>
  <c r="O5" i="84"/>
  <c r="S4" i="84"/>
  <c r="AB78" i="84" s="1"/>
  <c r="U10" i="84" l="1"/>
  <c r="H10" i="84"/>
  <c r="W17" i="84"/>
  <c r="X24" i="84"/>
  <c r="Y41" i="84"/>
  <c r="S72" i="85"/>
  <c r="S80" i="85"/>
  <c r="Z75" i="85"/>
  <c r="AH70" i="85"/>
  <c r="AH78" i="85"/>
  <c r="T6" i="84"/>
  <c r="Z10" i="84"/>
  <c r="AB6" i="84"/>
  <c r="AB15" i="84"/>
  <c r="AD25" i="84"/>
  <c r="AD39" i="84"/>
  <c r="D81" i="84"/>
  <c r="S75" i="85"/>
  <c r="Z70" i="85"/>
  <c r="Z78" i="85"/>
  <c r="AH73" i="85"/>
  <c r="S83" i="85"/>
  <c r="S91" i="85"/>
  <c r="Z85" i="85"/>
  <c r="AH87" i="85"/>
  <c r="AH88" i="85"/>
  <c r="AE6" i="84"/>
  <c r="T27" i="84"/>
  <c r="Z79" i="85"/>
  <c r="S85" i="85"/>
  <c r="Z87" i="85"/>
  <c r="AH81" i="85"/>
  <c r="AH89" i="85"/>
  <c r="Z88" i="85"/>
  <c r="AH82" i="85"/>
  <c r="AH90" i="85"/>
  <c r="S86" i="85"/>
  <c r="T7" i="84"/>
  <c r="AA12" i="84"/>
  <c r="P58" i="84"/>
  <c r="S71" i="85"/>
  <c r="S79" i="85"/>
  <c r="Z74" i="85"/>
  <c r="AH69" i="85"/>
  <c r="AH77" i="85"/>
  <c r="S87" i="85"/>
  <c r="Z81" i="85"/>
  <c r="Z89" i="85"/>
  <c r="AH83" i="85"/>
  <c r="AH91" i="85"/>
  <c r="S88" i="85"/>
  <c r="Z82" i="85"/>
  <c r="Z90" i="85"/>
  <c r="AH84" i="85"/>
  <c r="AH92" i="85"/>
  <c r="S76" i="85"/>
  <c r="Z71" i="85"/>
  <c r="AH74" i="85"/>
  <c r="S84" i="85"/>
  <c r="S92" i="85"/>
  <c r="Z86" i="85"/>
  <c r="X8" i="84"/>
  <c r="W16" i="84"/>
  <c r="T40" i="84"/>
  <c r="S69" i="85"/>
  <c r="S77" i="85"/>
  <c r="Z72" i="85"/>
  <c r="Z80" i="85"/>
  <c r="AH75" i="85"/>
  <c r="AA8" i="84"/>
  <c r="Y62" i="84"/>
  <c r="S70" i="85"/>
  <c r="S78" i="85"/>
  <c r="Z73" i="85"/>
  <c r="AH76" i="85"/>
  <c r="Y7" i="84"/>
  <c r="AD38" i="84"/>
  <c r="AB7" i="84"/>
  <c r="W26" i="84"/>
  <c r="P80" i="84"/>
  <c r="C79" i="84"/>
  <c r="S73" i="85"/>
  <c r="S81" i="85"/>
  <c r="S89" i="85"/>
  <c r="Z83" i="85"/>
  <c r="Z91" i="85"/>
  <c r="AH85" i="85"/>
  <c r="Z76" i="85"/>
  <c r="AH71" i="85"/>
  <c r="AH79" i="85"/>
  <c r="W6" i="84"/>
  <c r="G10" i="84"/>
  <c r="O10" i="84" s="1"/>
  <c r="AC10" i="84"/>
  <c r="T15" i="84"/>
  <c r="AA18" i="84"/>
  <c r="P55" i="84"/>
  <c r="Z69" i="85"/>
  <c r="AH72" i="85"/>
  <c r="S82" i="85"/>
  <c r="Z84" i="85"/>
  <c r="DF210" i="88"/>
  <c r="DF212" i="88"/>
  <c r="DH206" i="88"/>
  <c r="DH196" i="88" s="1"/>
  <c r="DG196" i="88"/>
  <c r="C31" i="85"/>
  <c r="S93" i="85"/>
  <c r="C34" i="84"/>
  <c r="C49" i="84"/>
  <c r="C91" i="84"/>
  <c r="X6" i="84"/>
  <c r="U7" i="84"/>
  <c r="AC7" i="84"/>
  <c r="AB8" i="84"/>
  <c r="V10" i="84"/>
  <c r="AD10" i="84"/>
  <c r="T12" i="84"/>
  <c r="AB12" i="84"/>
  <c r="U15" i="84"/>
  <c r="AC15" i="84"/>
  <c r="X16" i="84"/>
  <c r="S94" i="85"/>
  <c r="D31" i="85"/>
  <c r="D49" i="84"/>
  <c r="D21" i="84"/>
  <c r="X17" i="84"/>
  <c r="AB18" i="84"/>
  <c r="Y24" i="84"/>
  <c r="U25" i="84"/>
  <c r="AE25" i="84"/>
  <c r="Z26" i="84"/>
  <c r="U27" i="84"/>
  <c r="F28" i="84"/>
  <c r="P43" i="84"/>
  <c r="AE39" i="84"/>
  <c r="J33" i="85"/>
  <c r="J44" i="84"/>
  <c r="J42" i="84"/>
  <c r="X40" i="84"/>
  <c r="Z41" i="84"/>
  <c r="V63" i="84"/>
  <c r="V76" i="84"/>
  <c r="I81" i="84"/>
  <c r="I79" i="84"/>
  <c r="Y6" i="84"/>
  <c r="V7" i="84"/>
  <c r="AD7" i="84"/>
  <c r="U8" i="84"/>
  <c r="AC8" i="84"/>
  <c r="W10" i="84"/>
  <c r="AE10" i="84"/>
  <c r="U12" i="84"/>
  <c r="AC12" i="84"/>
  <c r="V15" i="84"/>
  <c r="AD15" i="84"/>
  <c r="Y16" i="84"/>
  <c r="S95" i="85"/>
  <c r="E31" i="85"/>
  <c r="E49" i="84"/>
  <c r="Y17" i="84"/>
  <c r="T18" i="84"/>
  <c r="AD18" i="84"/>
  <c r="Z24" i="84"/>
  <c r="V25" i="84"/>
  <c r="AA26" i="84"/>
  <c r="W27" i="84"/>
  <c r="D34" i="84"/>
  <c r="Y40" i="84"/>
  <c r="AC41" i="84"/>
  <c r="T48" i="84"/>
  <c r="Z50" i="84"/>
  <c r="AH94" i="85"/>
  <c r="D67" i="84"/>
  <c r="D65" i="84"/>
  <c r="AD63" i="84"/>
  <c r="AD76" i="84"/>
  <c r="T78" i="84"/>
  <c r="O43" i="85"/>
  <c r="J77" i="84"/>
  <c r="Z6" i="84"/>
  <c r="W7" i="84"/>
  <c r="AE7" i="84"/>
  <c r="V8" i="84"/>
  <c r="AD8" i="84"/>
  <c r="V12" i="84"/>
  <c r="AD12" i="84"/>
  <c r="W15" i="84"/>
  <c r="AE15" i="84"/>
  <c r="Z16" i="84"/>
  <c r="S96" i="85"/>
  <c r="F49" i="84"/>
  <c r="W49" i="84" s="1"/>
  <c r="F31" i="85"/>
  <c r="F34" i="84"/>
  <c r="Z17" i="84"/>
  <c r="V18" i="84"/>
  <c r="AE18" i="84"/>
  <c r="AB24" i="84"/>
  <c r="W25" i="84"/>
  <c r="D32" i="85"/>
  <c r="D28" i="84"/>
  <c r="AB26" i="84"/>
  <c r="X27" i="84"/>
  <c r="P32" i="84"/>
  <c r="E34" i="84"/>
  <c r="U38" i="84"/>
  <c r="T39" i="84"/>
  <c r="AB40" i="84"/>
  <c r="AB48" i="84"/>
  <c r="P72" i="84"/>
  <c r="AA78" i="84"/>
  <c r="Z77" i="84"/>
  <c r="AC76" i="84"/>
  <c r="U76" i="84"/>
  <c r="AB75" i="84"/>
  <c r="T75" i="84"/>
  <c r="AD64" i="84"/>
  <c r="V64" i="84"/>
  <c r="AC63" i="84"/>
  <c r="U63" i="84"/>
  <c r="X62" i="84"/>
  <c r="AE61" i="84"/>
  <c r="W61" i="84"/>
  <c r="Y50" i="84"/>
  <c r="AA48" i="84"/>
  <c r="Z47" i="84"/>
  <c r="AB41" i="84"/>
  <c r="T41" i="84"/>
  <c r="AA40" i="84"/>
  <c r="Z78" i="84"/>
  <c r="Y77" i="84"/>
  <c r="AB76" i="84"/>
  <c r="T76" i="84"/>
  <c r="AA75" i="84"/>
  <c r="AC64" i="84"/>
  <c r="U64" i="84"/>
  <c r="AB63" i="84"/>
  <c r="T63" i="84"/>
  <c r="AE62" i="84"/>
  <c r="W62" i="84"/>
  <c r="AD61" i="84"/>
  <c r="V61" i="84"/>
  <c r="X50" i="84"/>
  <c r="AE49" i="84"/>
  <c r="Z48" i="84"/>
  <c r="Y47" i="84"/>
  <c r="AA41" i="84"/>
  <c r="Z40" i="84"/>
  <c r="AC39" i="84"/>
  <c r="U39" i="84"/>
  <c r="AB38" i="84"/>
  <c r="T38" i="84"/>
  <c r="AD27" i="84"/>
  <c r="V27" i="84"/>
  <c r="AC26" i="84"/>
  <c r="U26" i="84"/>
  <c r="X25" i="84"/>
  <c r="AE24" i="84"/>
  <c r="W24" i="84"/>
  <c r="Y78" i="84"/>
  <c r="X77" i="84"/>
  <c r="AA76" i="84"/>
  <c r="Z75" i="84"/>
  <c r="AB64" i="84"/>
  <c r="T64" i="84"/>
  <c r="AA63" i="84"/>
  <c r="AD62" i="84"/>
  <c r="V62" i="84"/>
  <c r="AC61" i="84"/>
  <c r="U61" i="84"/>
  <c r="AE50" i="84"/>
  <c r="W50" i="84"/>
  <c r="AD49" i="84"/>
  <c r="V49" i="84"/>
  <c r="Y48" i="84"/>
  <c r="X47" i="84"/>
  <c r="X78" i="84"/>
  <c r="AE77" i="84"/>
  <c r="W77" i="84"/>
  <c r="Z76" i="84"/>
  <c r="Y75" i="84"/>
  <c r="AA64" i="84"/>
  <c r="Z63" i="84"/>
  <c r="AC62" i="84"/>
  <c r="U62" i="84"/>
  <c r="AB61" i="84"/>
  <c r="T61" i="84"/>
  <c r="AD50" i="84"/>
  <c r="V50" i="84"/>
  <c r="AC49" i="84"/>
  <c r="U49" i="84"/>
  <c r="X48" i="84"/>
  <c r="AE47" i="84"/>
  <c r="W47" i="84"/>
  <c r="AE78" i="84"/>
  <c r="W78" i="84"/>
  <c r="AD77" i="84"/>
  <c r="V77" i="84"/>
  <c r="Y76" i="84"/>
  <c r="X75" i="84"/>
  <c r="Z64" i="84"/>
  <c r="Y63" i="84"/>
  <c r="AB62" i="84"/>
  <c r="T62" i="84"/>
  <c r="AA61" i="84"/>
  <c r="AC50" i="84"/>
  <c r="U50" i="84"/>
  <c r="AB49" i="84"/>
  <c r="T49" i="84"/>
  <c r="AE48" i="84"/>
  <c r="W48" i="84"/>
  <c r="AD47" i="84"/>
  <c r="V47" i="84"/>
  <c r="X41" i="84"/>
  <c r="AE40" i="84"/>
  <c r="W40" i="84"/>
  <c r="Z39" i="84"/>
  <c r="Y38" i="84"/>
  <c r="AD78" i="84"/>
  <c r="V78" i="84"/>
  <c r="AC77" i="84"/>
  <c r="U77" i="84"/>
  <c r="X76" i="84"/>
  <c r="AE75" i="84"/>
  <c r="W75" i="84"/>
  <c r="Y64" i="84"/>
  <c r="X63" i="84"/>
  <c r="AA62" i="84"/>
  <c r="Z61" i="84"/>
  <c r="AB50" i="84"/>
  <c r="T50" i="84"/>
  <c r="AA49" i="84"/>
  <c r="AD48" i="84"/>
  <c r="V48" i="84"/>
  <c r="AC47" i="84"/>
  <c r="U47" i="84"/>
  <c r="AE41" i="84"/>
  <c r="W41" i="84"/>
  <c r="AD40" i="84"/>
  <c r="V40" i="84"/>
  <c r="Y39" i="84"/>
  <c r="X38" i="84"/>
  <c r="Z27" i="84"/>
  <c r="Y26" i="84"/>
  <c r="AB25" i="84"/>
  <c r="T25" i="84"/>
  <c r="AA24" i="84"/>
  <c r="AC18" i="84"/>
  <c r="U18" i="84"/>
  <c r="AA17" i="84"/>
  <c r="AC16" i="84"/>
  <c r="U16" i="84"/>
  <c r="AC78" i="84"/>
  <c r="U78" i="84"/>
  <c r="AB77" i="84"/>
  <c r="T77" i="84"/>
  <c r="AE76" i="84"/>
  <c r="W76" i="84"/>
  <c r="AD75" i="84"/>
  <c r="V75" i="84"/>
  <c r="X64" i="84"/>
  <c r="AE63" i="84"/>
  <c r="W63" i="84"/>
  <c r="Z62" i="84"/>
  <c r="Y61" i="84"/>
  <c r="AA50" i="84"/>
  <c r="Z49" i="84"/>
  <c r="AC48" i="84"/>
  <c r="U48" i="84"/>
  <c r="AB47" i="84"/>
  <c r="T47" i="84"/>
  <c r="AD41" i="84"/>
  <c r="V41" i="84"/>
  <c r="AC40" i="84"/>
  <c r="U40" i="84"/>
  <c r="X39" i="84"/>
  <c r="AE38" i="84"/>
  <c r="W38" i="84"/>
  <c r="Y27" i="84"/>
  <c r="X26" i="84"/>
  <c r="AA6" i="84"/>
  <c r="X7" i="84"/>
  <c r="C8" i="84"/>
  <c r="T8" i="84" s="1"/>
  <c r="W8" i="84"/>
  <c r="AE8" i="84"/>
  <c r="Y10" i="84"/>
  <c r="W12" i="84"/>
  <c r="AE12" i="84"/>
  <c r="X15" i="84"/>
  <c r="AA16" i="84"/>
  <c r="S97" i="85"/>
  <c r="G31" i="85"/>
  <c r="G34" i="84"/>
  <c r="AB17" i="84"/>
  <c r="W18" i="84"/>
  <c r="C19" i="84"/>
  <c r="AC24" i="84"/>
  <c r="Y25" i="84"/>
  <c r="E32" i="85"/>
  <c r="E30" i="84"/>
  <c r="E28" i="84"/>
  <c r="AD26" i="84"/>
  <c r="AA27" i="84"/>
  <c r="V38" i="84"/>
  <c r="V39" i="84"/>
  <c r="G49" i="84"/>
  <c r="X61" i="84"/>
  <c r="E21" i="85"/>
  <c r="E84" i="84"/>
  <c r="X12" i="84"/>
  <c r="Y15" i="84"/>
  <c r="H91" i="84"/>
  <c r="G91" i="84"/>
  <c r="E91" i="84"/>
  <c r="D91" i="84"/>
  <c r="P56" i="84"/>
  <c r="F91" i="84"/>
  <c r="AB16" i="84"/>
  <c r="Z98" i="85"/>
  <c r="H88" i="84"/>
  <c r="H53" i="84"/>
  <c r="H51" i="84"/>
  <c r="H87" i="84"/>
  <c r="H57" i="84"/>
  <c r="T17" i="84"/>
  <c r="AC17" i="84"/>
  <c r="X18" i="84"/>
  <c r="P20" i="84"/>
  <c r="T24" i="84"/>
  <c r="AD24" i="84"/>
  <c r="Z25" i="84"/>
  <c r="AE26" i="84"/>
  <c r="AB27" i="84"/>
  <c r="Z38" i="84"/>
  <c r="W39" i="84"/>
  <c r="F33" i="85"/>
  <c r="F42" i="84"/>
  <c r="F44" i="84"/>
  <c r="N33" i="85"/>
  <c r="N42" i="84"/>
  <c r="N44" i="84"/>
  <c r="W64" i="84"/>
  <c r="U75" i="84"/>
  <c r="P77" i="84"/>
  <c r="U6" i="84"/>
  <c r="AC6" i="84"/>
  <c r="Z7" i="84"/>
  <c r="Y8" i="84"/>
  <c r="AA10" i="84"/>
  <c r="Y12" i="84"/>
  <c r="Z15" i="84"/>
  <c r="T16" i="84"/>
  <c r="AD16" i="84"/>
  <c r="U17" i="84"/>
  <c r="AD17" i="84"/>
  <c r="Y18" i="84"/>
  <c r="E19" i="84"/>
  <c r="C21" i="84"/>
  <c r="U24" i="84"/>
  <c r="AA25" i="84"/>
  <c r="T26" i="84"/>
  <c r="AC27" i="84"/>
  <c r="AA38" i="84"/>
  <c r="AA39" i="84"/>
  <c r="G33" i="85"/>
  <c r="G42" i="84"/>
  <c r="G44" i="84"/>
  <c r="P70" i="84"/>
  <c r="AE64" i="84"/>
  <c r="AC75" i="84"/>
  <c r="V6" i="84"/>
  <c r="AD6" i="84"/>
  <c r="AA7" i="84"/>
  <c r="Z8" i="84"/>
  <c r="T10" i="84"/>
  <c r="AB10" i="84"/>
  <c r="Z12" i="84"/>
  <c r="AA15" i="84"/>
  <c r="V16" i="84"/>
  <c r="AE16" i="84"/>
  <c r="V17" i="84"/>
  <c r="AE17" i="84"/>
  <c r="Z18" i="84"/>
  <c r="V24" i="84"/>
  <c r="H92" i="84"/>
  <c r="G92" i="84"/>
  <c r="F92" i="84"/>
  <c r="D92" i="84"/>
  <c r="C92" i="84"/>
  <c r="E92" i="84"/>
  <c r="AC25" i="84"/>
  <c r="H32" i="85"/>
  <c r="H30" i="84"/>
  <c r="V26" i="84"/>
  <c r="AE27" i="84"/>
  <c r="AC38" i="84"/>
  <c r="AB39" i="84"/>
  <c r="U41" i="84"/>
  <c r="AA47" i="84"/>
  <c r="Y49" i="84"/>
  <c r="AA77" i="84"/>
  <c r="I42" i="84"/>
  <c r="E44" i="84"/>
  <c r="M44" i="84"/>
  <c r="P52" i="84"/>
  <c r="C65" i="84"/>
  <c r="G67" i="84"/>
  <c r="E71" i="84"/>
  <c r="H79" i="84"/>
  <c r="O25" i="85"/>
  <c r="O50" i="85"/>
  <c r="H31" i="85"/>
  <c r="H34" i="85" s="1"/>
  <c r="H42" i="85" s="1"/>
  <c r="H45" i="85" s="1"/>
  <c r="S98" i="85"/>
  <c r="H19" i="84"/>
  <c r="H67" i="84"/>
  <c r="F71" i="84"/>
  <c r="E81" i="84"/>
  <c r="M81" i="84"/>
  <c r="F10" i="85"/>
  <c r="F29" i="85" s="1"/>
  <c r="G21" i="85"/>
  <c r="O49" i="85"/>
  <c r="D46" i="85"/>
  <c r="G71" i="84"/>
  <c r="F81" i="84"/>
  <c r="N81" i="84"/>
  <c r="G13" i="85"/>
  <c r="G29" i="85" s="1"/>
  <c r="H21" i="85"/>
  <c r="H29" i="85" s="1"/>
  <c r="O48" i="85"/>
  <c r="I46" i="85"/>
  <c r="H71" i="84"/>
  <c r="E29" i="85"/>
  <c r="F46" i="85"/>
  <c r="O46" i="85" s="1"/>
  <c r="O47" i="85"/>
  <c r="I44" i="84"/>
  <c r="D28" i="85"/>
  <c r="D84" i="84" s="1"/>
  <c r="P40" i="84"/>
  <c r="H65" i="84"/>
  <c r="E79" i="84"/>
  <c r="C21" i="85"/>
  <c r="C29" i="85" s="1"/>
  <c r="AH93" i="85"/>
  <c r="C71" i="84"/>
  <c r="O6" i="84" l="1"/>
  <c r="O77" i="84"/>
  <c r="AJ86" i="85"/>
  <c r="AJ88" i="85"/>
  <c r="AL88" i="85" s="1"/>
  <c r="AB90" i="85"/>
  <c r="AJ84" i="85"/>
  <c r="O27" i="84"/>
  <c r="AB91" i="85"/>
  <c r="AJ80" i="85"/>
  <c r="AL80" i="85" s="1"/>
  <c r="AB89" i="85"/>
  <c r="AE89" i="85" s="1"/>
  <c r="U92" i="85"/>
  <c r="AJ87" i="85"/>
  <c r="AB83" i="85"/>
  <c r="AB85" i="85"/>
  <c r="AE85" i="85" s="1"/>
  <c r="AB81" i="85"/>
  <c r="AJ83" i="85"/>
  <c r="AJ90" i="85"/>
  <c r="U84" i="85"/>
  <c r="AB84" i="85"/>
  <c r="U88" i="85"/>
  <c r="AM88" i="85" s="1"/>
  <c r="AJ85" i="85"/>
  <c r="U90" i="85"/>
  <c r="U86" i="85"/>
  <c r="AJ89" i="85"/>
  <c r="O33" i="85"/>
  <c r="X10" i="84"/>
  <c r="AB80" i="85"/>
  <c r="AJ82" i="85"/>
  <c r="U89" i="85"/>
  <c r="AB82" i="85"/>
  <c r="AE82" i="85" s="1"/>
  <c r="U82" i="85"/>
  <c r="AJ81" i="85"/>
  <c r="O40" i="84"/>
  <c r="O44" i="84" s="1"/>
  <c r="AB87" i="85"/>
  <c r="U81" i="85"/>
  <c r="AE81" i="85" s="1"/>
  <c r="U87" i="85"/>
  <c r="AJ92" i="85"/>
  <c r="AB86" i="85"/>
  <c r="AE86" i="85" s="1"/>
  <c r="AJ91" i="85"/>
  <c r="D29" i="85"/>
  <c r="O15" i="84"/>
  <c r="O32" i="84" s="1"/>
  <c r="O7" i="84"/>
  <c r="AB92" i="85"/>
  <c r="U91" i="85"/>
  <c r="AB88" i="85"/>
  <c r="U83" i="85"/>
  <c r="U85" i="85"/>
  <c r="DG212" i="88"/>
  <c r="DG210" i="88"/>
  <c r="DH210" i="88"/>
  <c r="DH212" i="88"/>
  <c r="AJ96" i="85"/>
  <c r="AJ97" i="85"/>
  <c r="AJ93" i="85"/>
  <c r="AJ98" i="85"/>
  <c r="AJ94" i="85"/>
  <c r="AJ95" i="85"/>
  <c r="H57" i="85"/>
  <c r="H89" i="84"/>
  <c r="H90" i="84"/>
  <c r="O47" i="84"/>
  <c r="O50" i="84"/>
  <c r="O41" i="84"/>
  <c r="O42" i="84" s="1"/>
  <c r="Z95" i="85"/>
  <c r="E88" i="84"/>
  <c r="E87" i="84"/>
  <c r="E57" i="84"/>
  <c r="E53" i="84"/>
  <c r="E51" i="84"/>
  <c r="U96" i="85"/>
  <c r="W96" i="85" s="1"/>
  <c r="U97" i="85"/>
  <c r="W97" i="85" s="1"/>
  <c r="U98" i="85"/>
  <c r="W98" i="85" s="1"/>
  <c r="U94" i="85"/>
  <c r="W94" i="85" s="1"/>
  <c r="U93" i="85"/>
  <c r="W93" i="85" s="1"/>
  <c r="U95" i="85"/>
  <c r="O17" i="84"/>
  <c r="O25" i="84"/>
  <c r="E34" i="85"/>
  <c r="E42" i="85" s="1"/>
  <c r="E45" i="85" s="1"/>
  <c r="O64" i="84"/>
  <c r="C34" i="85"/>
  <c r="O39" i="84"/>
  <c r="O26" i="84"/>
  <c r="G34" i="85"/>
  <c r="G42" i="85" s="1"/>
  <c r="G45" i="85" s="1"/>
  <c r="O62" i="84"/>
  <c r="O76" i="84"/>
  <c r="J81" i="84"/>
  <c r="J79" i="84"/>
  <c r="O16" i="84"/>
  <c r="Z97" i="85"/>
  <c r="G88" i="84"/>
  <c r="G53" i="84"/>
  <c r="G51" i="84"/>
  <c r="G87" i="84"/>
  <c r="G57" i="84"/>
  <c r="C9" i="84"/>
  <c r="O61" i="84"/>
  <c r="O69" i="84" s="1"/>
  <c r="X49" i="84"/>
  <c r="O49" i="84" s="1"/>
  <c r="Z94" i="85"/>
  <c r="D87" i="84"/>
  <c r="D88" i="84"/>
  <c r="D51" i="84"/>
  <c r="D57" i="84"/>
  <c r="D53" i="84"/>
  <c r="O81" i="84"/>
  <c r="P44" i="84"/>
  <c r="P42" i="84"/>
  <c r="O24" i="84"/>
  <c r="O75" i="84"/>
  <c r="F34" i="85"/>
  <c r="F42" i="85" s="1"/>
  <c r="F45" i="85" s="1"/>
  <c r="O78" i="84"/>
  <c r="O79" i="84" s="1"/>
  <c r="O48" i="84"/>
  <c r="D34" i="85"/>
  <c r="D42" i="85" s="1"/>
  <c r="D45" i="85" s="1"/>
  <c r="O38" i="84"/>
  <c r="P81" i="84"/>
  <c r="P79" i="84"/>
  <c r="O63" i="84"/>
  <c r="F88" i="84"/>
  <c r="Z96" i="85"/>
  <c r="F87" i="84"/>
  <c r="F57" i="84"/>
  <c r="F53" i="84"/>
  <c r="F51" i="84"/>
  <c r="O18" i="84"/>
  <c r="O35" i="84" s="1"/>
  <c r="Z93" i="85"/>
  <c r="G94" i="84"/>
  <c r="G85" i="84" s="1"/>
  <c r="F94" i="84"/>
  <c r="F85" i="84" s="1"/>
  <c r="E94" i="84"/>
  <c r="E85" i="84" s="1"/>
  <c r="C87" i="84"/>
  <c r="C94" i="84"/>
  <c r="C85" i="84" s="1"/>
  <c r="C88" i="84"/>
  <c r="C51" i="84"/>
  <c r="C57" i="84"/>
  <c r="H94" i="84"/>
  <c r="H85" i="84" s="1"/>
  <c r="D94" i="84"/>
  <c r="D85" i="84" s="1"/>
  <c r="C53" i="84"/>
  <c r="I36" i="81"/>
  <c r="J36" i="81" s="1"/>
  <c r="AZ10" i="1"/>
  <c r="BA10" i="1"/>
  <c r="BB10" i="1"/>
  <c r="AX10" i="1"/>
  <c r="AY10" i="1"/>
  <c r="I3" i="81"/>
  <c r="H3" i="81" l="1"/>
  <c r="AL81" i="85"/>
  <c r="AM81" i="85"/>
  <c r="AM89" i="85"/>
  <c r="AL89" i="85"/>
  <c r="AL83" i="85"/>
  <c r="AM83" i="85"/>
  <c r="AE91" i="85"/>
  <c r="O29" i="84"/>
  <c r="O55" i="84"/>
  <c r="AL91" i="85"/>
  <c r="AM91" i="85"/>
  <c r="W95" i="85"/>
  <c r="AE88" i="85"/>
  <c r="AL92" i="85"/>
  <c r="AM92" i="85"/>
  <c r="AL85" i="85"/>
  <c r="AM85" i="85"/>
  <c r="AE83" i="85"/>
  <c r="AE90" i="85"/>
  <c r="AE87" i="85"/>
  <c r="AM82" i="85"/>
  <c r="AL82" i="85"/>
  <c r="AM87" i="85"/>
  <c r="AL87" i="85"/>
  <c r="AD92" i="85"/>
  <c r="AE84" i="85"/>
  <c r="AE92" i="85"/>
  <c r="AM86" i="85"/>
  <c r="AL86" i="85"/>
  <c r="AL84" i="85"/>
  <c r="AM84" i="85"/>
  <c r="AM90" i="85"/>
  <c r="AL90" i="85"/>
  <c r="G57" i="85"/>
  <c r="G89" i="84"/>
  <c r="G90" i="84"/>
  <c r="D57" i="85"/>
  <c r="D90" i="84"/>
  <c r="D89" i="84"/>
  <c r="O28" i="84"/>
  <c r="O30" i="84"/>
  <c r="AM95" i="85"/>
  <c r="AL95" i="85"/>
  <c r="O56" i="84"/>
  <c r="O52" i="84"/>
  <c r="O43" i="84"/>
  <c r="AM97" i="85"/>
  <c r="AL97" i="85"/>
  <c r="AB98" i="85"/>
  <c r="AB94" i="85"/>
  <c r="AB95" i="85"/>
  <c r="AB93" i="85"/>
  <c r="AB96" i="85"/>
  <c r="AB97" i="85"/>
  <c r="O20" i="84"/>
  <c r="O33" i="84"/>
  <c r="AM96" i="85"/>
  <c r="AL96" i="85"/>
  <c r="O70" i="84"/>
  <c r="O66" i="84"/>
  <c r="O34" i="84"/>
  <c r="O19" i="84"/>
  <c r="O8" i="84"/>
  <c r="O9" i="84" s="1"/>
  <c r="O21" i="84"/>
  <c r="O65" i="84"/>
  <c r="O71" i="84"/>
  <c r="O67" i="84"/>
  <c r="F57" i="85"/>
  <c r="F89" i="84"/>
  <c r="F90" i="84"/>
  <c r="C42" i="85"/>
  <c r="O58" i="84"/>
  <c r="AM94" i="85"/>
  <c r="AL94" i="85"/>
  <c r="O94" i="84"/>
  <c r="O53" i="84"/>
  <c r="O51" i="84"/>
  <c r="O57" i="84"/>
  <c r="AM98" i="85"/>
  <c r="AL98" i="85"/>
  <c r="O72" i="84"/>
  <c r="O80" i="84"/>
  <c r="E57" i="85"/>
  <c r="E90" i="84"/>
  <c r="E89" i="84"/>
  <c r="AM93" i="85"/>
  <c r="AL93" i="85"/>
  <c r="I31" i="81"/>
  <c r="AE96" i="85" l="1"/>
  <c r="AD96" i="85"/>
  <c r="AE93" i="85"/>
  <c r="AD93" i="85"/>
  <c r="C45" i="85"/>
  <c r="AE95" i="85"/>
  <c r="AD95" i="85"/>
  <c r="AE97" i="85"/>
  <c r="AD97" i="85"/>
  <c r="AD94" i="85"/>
  <c r="AE94" i="85"/>
  <c r="AD98" i="85"/>
  <c r="AE98" i="85"/>
  <c r="K92" i="3"/>
  <c r="K93" i="3"/>
  <c r="K94" i="3"/>
  <c r="K68" i="3"/>
  <c r="K67" i="3"/>
  <c r="K66" i="3"/>
  <c r="K65" i="3"/>
  <c r="K63" i="3"/>
  <c r="K62" i="3"/>
  <c r="K61" i="3"/>
  <c r="K60" i="3"/>
  <c r="K59" i="3"/>
  <c r="K57" i="3"/>
  <c r="K56" i="3"/>
  <c r="K55" i="3"/>
  <c r="K54" i="3"/>
  <c r="K38" i="3"/>
  <c r="K37" i="3"/>
  <c r="K36" i="3"/>
  <c r="K35" i="3"/>
  <c r="K34" i="3"/>
  <c r="K33" i="3"/>
  <c r="K32" i="3"/>
  <c r="K31" i="3"/>
  <c r="K29" i="3"/>
  <c r="K171" i="1"/>
  <c r="K64" i="77"/>
  <c r="K22" i="77"/>
  <c r="L72" i="3" l="1"/>
  <c r="P97" i="3"/>
  <c r="Q97" i="3" s="1"/>
  <c r="R97" i="3" s="1"/>
  <c r="S97" i="3" s="1"/>
  <c r="C57" i="85"/>
  <c r="C89" i="84"/>
  <c r="C90" i="84"/>
  <c r="J55" i="77"/>
  <c r="J66" i="77"/>
  <c r="J59" i="77"/>
  <c r="K7" i="1"/>
  <c r="J73" i="77" l="1"/>
  <c r="J14" i="77"/>
  <c r="J64" i="77"/>
  <c r="C58" i="85"/>
  <c r="J74" i="77"/>
  <c r="J72" i="77" s="1"/>
  <c r="J11" i="77"/>
  <c r="J69" i="77"/>
  <c r="C60" i="85" l="1"/>
  <c r="D58" i="85"/>
  <c r="I296" i="3"/>
  <c r="J296" i="3"/>
  <c r="D60" i="85" l="1"/>
  <c r="E58" i="85"/>
  <c r="J215" i="3"/>
  <c r="J216" i="3"/>
  <c r="J217" i="3"/>
  <c r="J218" i="3"/>
  <c r="J229" i="3" s="1"/>
  <c r="J219" i="3"/>
  <c r="J230" i="3" s="1"/>
  <c r="J220" i="3"/>
  <c r="J221" i="3"/>
  <c r="J222" i="3"/>
  <c r="J223" i="3"/>
  <c r="J190" i="3"/>
  <c r="J191" i="3"/>
  <c r="J192" i="3"/>
  <c r="J193" i="3"/>
  <c r="J195" i="3"/>
  <c r="J196" i="3"/>
  <c r="J197" i="3"/>
  <c r="J198" i="3"/>
  <c r="J199" i="3"/>
  <c r="J200" i="3"/>
  <c r="J102" i="3"/>
  <c r="J92" i="3"/>
  <c r="J94" i="3"/>
  <c r="J54" i="3"/>
  <c r="J55" i="3"/>
  <c r="J56" i="3"/>
  <c r="J57" i="3"/>
  <c r="J59" i="3"/>
  <c r="K78" i="3" s="1"/>
  <c r="J60" i="3"/>
  <c r="K79" i="3" s="1"/>
  <c r="J61" i="3"/>
  <c r="K80" i="3" s="1"/>
  <c r="J62" i="3"/>
  <c r="K81" i="3" s="1"/>
  <c r="J63" i="3"/>
  <c r="J65" i="3"/>
  <c r="K83" i="3" s="1"/>
  <c r="J66" i="3"/>
  <c r="K84" i="3" s="1"/>
  <c r="J67" i="3"/>
  <c r="K85" i="3" s="1"/>
  <c r="J68" i="3"/>
  <c r="K86" i="3" s="1"/>
  <c r="J69" i="3"/>
  <c r="J38" i="3"/>
  <c r="J37" i="3"/>
  <c r="J36" i="3"/>
  <c r="J35" i="3"/>
  <c r="J34" i="3"/>
  <c r="J33" i="3"/>
  <c r="J32" i="3"/>
  <c r="J31" i="3"/>
  <c r="J29" i="3"/>
  <c r="J327" i="3"/>
  <c r="J329" i="3"/>
  <c r="J260" i="3"/>
  <c r="J264" i="3" s="1"/>
  <c r="J254" i="3"/>
  <c r="J253" i="3"/>
  <c r="J248" i="3"/>
  <c r="J247" i="3"/>
  <c r="J239" i="3"/>
  <c r="J240" i="3"/>
  <c r="J241" i="3"/>
  <c r="J242" i="3"/>
  <c r="J243" i="3"/>
  <c r="J244" i="3"/>
  <c r="J171" i="1"/>
  <c r="J100" i="1"/>
  <c r="J90" i="1"/>
  <c r="J89" i="1" s="1"/>
  <c r="K157" i="1" s="1"/>
  <c r="K46" i="3" l="1"/>
  <c r="K72" i="3"/>
  <c r="J250" i="3"/>
  <c r="J211" i="3"/>
  <c r="E60" i="85"/>
  <c r="F58" i="85"/>
  <c r="J194" i="3"/>
  <c r="J246" i="3"/>
  <c r="K249" i="3" s="1"/>
  <c r="J257" i="3"/>
  <c r="J58" i="1"/>
  <c r="J154" i="1"/>
  <c r="J46" i="1"/>
  <c r="J139" i="1"/>
  <c r="J32" i="1"/>
  <c r="J58" i="3" s="1"/>
  <c r="J77" i="3" s="1"/>
  <c r="J8" i="1"/>
  <c r="J5" i="1" s="1"/>
  <c r="J73" i="3" s="1"/>
  <c r="D90" i="1"/>
  <c r="D89" i="1" s="1"/>
  <c r="D250" i="3" s="1"/>
  <c r="I267" i="3"/>
  <c r="I8" i="1"/>
  <c r="I59" i="77"/>
  <c r="J63" i="77"/>
  <c r="I239" i="3"/>
  <c r="I240" i="3"/>
  <c r="I241" i="3"/>
  <c r="I242" i="3"/>
  <c r="I243" i="3"/>
  <c r="I244" i="3"/>
  <c r="O244" i="3" s="1"/>
  <c r="P244" i="3" s="1"/>
  <c r="Q244" i="3" s="1"/>
  <c r="R244" i="3" s="1"/>
  <c r="S244" i="3" s="1"/>
  <c r="I247" i="3"/>
  <c r="I90" i="1"/>
  <c r="I89" i="1" s="1"/>
  <c r="H239" i="3"/>
  <c r="H240" i="3"/>
  <c r="H241" i="3"/>
  <c r="H242" i="3"/>
  <c r="H243" i="3"/>
  <c r="H244" i="3"/>
  <c r="I248" i="3"/>
  <c r="I253" i="3"/>
  <c r="I254" i="3"/>
  <c r="H253" i="3"/>
  <c r="H254" i="3"/>
  <c r="I260" i="3"/>
  <c r="I264" i="3" s="1"/>
  <c r="H260" i="3"/>
  <c r="H264" i="3" s="1"/>
  <c r="I31" i="3"/>
  <c r="I33" i="3"/>
  <c r="I34" i="3"/>
  <c r="J46" i="3" s="1"/>
  <c r="I37" i="3"/>
  <c r="I48" i="3" s="1"/>
  <c r="I32" i="3"/>
  <c r="I35" i="3"/>
  <c r="I36" i="3"/>
  <c r="I38" i="3"/>
  <c r="I54" i="3"/>
  <c r="I55" i="3"/>
  <c r="I56" i="3"/>
  <c r="I57" i="3"/>
  <c r="AT31" i="1"/>
  <c r="I59" i="3"/>
  <c r="I60" i="3"/>
  <c r="J79" i="3" s="1"/>
  <c r="I61" i="3"/>
  <c r="I62" i="3"/>
  <c r="J81" i="3" s="1"/>
  <c r="I63" i="3"/>
  <c r="I65" i="3"/>
  <c r="J83" i="3" s="1"/>
  <c r="AT38" i="1"/>
  <c r="I66" i="3"/>
  <c r="J84" i="3" s="1"/>
  <c r="AT39" i="1"/>
  <c r="I67" i="3"/>
  <c r="J85" i="3" s="1"/>
  <c r="I68" i="3"/>
  <c r="J86" i="3" s="1"/>
  <c r="AT41" i="1"/>
  <c r="AT35" i="1"/>
  <c r="I191" i="3"/>
  <c r="J13" i="1"/>
  <c r="J208" i="3" s="1"/>
  <c r="I92" i="3"/>
  <c r="I316" i="3"/>
  <c r="I13" i="1"/>
  <c r="I32" i="1"/>
  <c r="I27" i="1" s="1"/>
  <c r="I46" i="1"/>
  <c r="I54" i="1"/>
  <c r="I173" i="1" s="1"/>
  <c r="I58" i="1"/>
  <c r="I195" i="3"/>
  <c r="I196" i="3"/>
  <c r="I197" i="3"/>
  <c r="I198" i="3"/>
  <c r="I192" i="3"/>
  <c r="J140" i="1"/>
  <c r="I193" i="3"/>
  <c r="I199" i="3"/>
  <c r="I200" i="3"/>
  <c r="J144" i="1"/>
  <c r="G215" i="3"/>
  <c r="G13" i="1"/>
  <c r="H215" i="3"/>
  <c r="H13" i="1"/>
  <c r="G216" i="3"/>
  <c r="H216" i="3"/>
  <c r="J146" i="1"/>
  <c r="I217" i="3"/>
  <c r="H218" i="3"/>
  <c r="H229" i="3" s="1"/>
  <c r="I219" i="3"/>
  <c r="I230" i="3" s="1"/>
  <c r="J150" i="1"/>
  <c r="J151" i="1"/>
  <c r="I321" i="3"/>
  <c r="J152" i="1"/>
  <c r="I222" i="3"/>
  <c r="J153" i="1"/>
  <c r="I100" i="1"/>
  <c r="J164" i="1" s="1"/>
  <c r="J166" i="1"/>
  <c r="J165" i="1" s="1"/>
  <c r="I318" i="3"/>
  <c r="H223" i="3"/>
  <c r="I181" i="1"/>
  <c r="I329" i="3"/>
  <c r="I327" i="3"/>
  <c r="J176" i="1"/>
  <c r="J181" i="1"/>
  <c r="J133" i="1"/>
  <c r="K150" i="1"/>
  <c r="O130" i="1"/>
  <c r="L150" i="1"/>
  <c r="P278" i="3"/>
  <c r="Q278" i="3" s="1"/>
  <c r="R278" i="3" s="1"/>
  <c r="S278" i="3" s="1"/>
  <c r="J388" i="3"/>
  <c r="J386" i="3"/>
  <c r="N33" i="81"/>
  <c r="O33" i="81" s="1"/>
  <c r="P33" i="81" s="1"/>
  <c r="Q33" i="81" s="1"/>
  <c r="R33" i="81" s="1"/>
  <c r="I47" i="77"/>
  <c r="I48" i="77" s="1"/>
  <c r="J24" i="77"/>
  <c r="V102" i="1"/>
  <c r="U102" i="1"/>
  <c r="U98" i="1"/>
  <c r="V97" i="1"/>
  <c r="U97" i="1"/>
  <c r="V96" i="1"/>
  <c r="U96" i="1"/>
  <c r="V95" i="1"/>
  <c r="U95" i="1"/>
  <c r="V94" i="1"/>
  <c r="U94" i="1"/>
  <c r="V93" i="1"/>
  <c r="U93" i="1"/>
  <c r="V92" i="1"/>
  <c r="U92" i="1"/>
  <c r="V91" i="1"/>
  <c r="U91" i="1"/>
  <c r="V76" i="1"/>
  <c r="U76" i="1"/>
  <c r="E24" i="3"/>
  <c r="D24" i="3"/>
  <c r="J22" i="77"/>
  <c r="L285" i="3"/>
  <c r="M285" i="3" s="1"/>
  <c r="N285" i="3" s="1"/>
  <c r="O285" i="3" s="1"/>
  <c r="L283" i="3"/>
  <c r="M283" i="3" s="1"/>
  <c r="G21" i="3"/>
  <c r="H21" i="3"/>
  <c r="I21" i="3"/>
  <c r="I154" i="1"/>
  <c r="H154" i="1"/>
  <c r="G154" i="1"/>
  <c r="F154" i="1"/>
  <c r="D40" i="81"/>
  <c r="F166" i="1"/>
  <c r="F165" i="1" s="1"/>
  <c r="G166" i="1"/>
  <c r="G165" i="1" s="1"/>
  <c r="H166" i="1"/>
  <c r="H165" i="1" s="1"/>
  <c r="I166" i="1"/>
  <c r="I165" i="1" s="1"/>
  <c r="D322" i="3"/>
  <c r="E322" i="3"/>
  <c r="F322" i="3"/>
  <c r="G322" i="3"/>
  <c r="H322" i="3"/>
  <c r="I322" i="3"/>
  <c r="I44" i="77"/>
  <c r="I45" i="77"/>
  <c r="B2" i="81"/>
  <c r="H40" i="81"/>
  <c r="G40" i="81"/>
  <c r="F40" i="81"/>
  <c r="E40" i="81"/>
  <c r="Q372" i="3"/>
  <c r="R372" i="3" s="1"/>
  <c r="S372" i="3" s="1"/>
  <c r="P13" i="81"/>
  <c r="Q75" i="3"/>
  <c r="R75" i="3" s="1"/>
  <c r="S75" i="3" s="1"/>
  <c r="G9" i="81"/>
  <c r="E11" i="81"/>
  <c r="E10" i="81"/>
  <c r="G3" i="81"/>
  <c r="F23" i="81"/>
  <c r="G23" i="81" s="1"/>
  <c r="I21" i="81"/>
  <c r="I14" i="81"/>
  <c r="I22" i="81" s="1"/>
  <c r="I12" i="81"/>
  <c r="I20" i="81" s="1"/>
  <c r="J3" i="81"/>
  <c r="J31" i="81" s="1"/>
  <c r="H31" i="81"/>
  <c r="O143" i="3"/>
  <c r="P143" i="3" s="1"/>
  <c r="Q143" i="3" s="1"/>
  <c r="R143" i="3" s="1"/>
  <c r="S143" i="3" s="1"/>
  <c r="AV3" i="1"/>
  <c r="AW3" i="1" s="1"/>
  <c r="AX3" i="1" s="1"/>
  <c r="AY3" i="1" s="1"/>
  <c r="AZ3" i="1" s="1"/>
  <c r="BA3" i="1" s="1"/>
  <c r="BB3" i="1" s="1"/>
  <c r="AV10" i="1"/>
  <c r="AW10" i="1"/>
  <c r="AF3" i="1"/>
  <c r="AG3" i="1" s="1"/>
  <c r="AH3" i="1" s="1"/>
  <c r="AI3" i="1" s="1"/>
  <c r="AJ3" i="1" s="1"/>
  <c r="AK3" i="1" s="1"/>
  <c r="AL3" i="1" s="1"/>
  <c r="C2" i="80"/>
  <c r="C3" i="79"/>
  <c r="I216" i="3"/>
  <c r="I55" i="77"/>
  <c r="I269" i="3"/>
  <c r="I272" i="3"/>
  <c r="H272" i="3"/>
  <c r="G272" i="3"/>
  <c r="F272" i="3"/>
  <c r="I271" i="3"/>
  <c r="H271" i="3"/>
  <c r="G271" i="3"/>
  <c r="F271" i="3"/>
  <c r="I270" i="3"/>
  <c r="H270" i="3"/>
  <c r="G270" i="3"/>
  <c r="F270" i="3"/>
  <c r="H269" i="3"/>
  <c r="G269" i="3"/>
  <c r="F269" i="3"/>
  <c r="I268" i="3"/>
  <c r="H268" i="3"/>
  <c r="G268" i="3"/>
  <c r="F268" i="3"/>
  <c r="H267" i="3"/>
  <c r="G267" i="3"/>
  <c r="F267" i="3"/>
  <c r="E272" i="3"/>
  <c r="E271" i="3"/>
  <c r="E270" i="3"/>
  <c r="E269" i="3"/>
  <c r="E268" i="3"/>
  <c r="E267" i="3"/>
  <c r="B69" i="3"/>
  <c r="C69" i="3"/>
  <c r="H69" i="3"/>
  <c r="G69" i="3"/>
  <c r="F69" i="3"/>
  <c r="E69" i="3"/>
  <c r="D69" i="3"/>
  <c r="I69" i="3"/>
  <c r="I139" i="1"/>
  <c r="H139" i="1"/>
  <c r="G139" i="1"/>
  <c r="D8" i="1"/>
  <c r="D5" i="1" s="1"/>
  <c r="E8" i="1"/>
  <c r="E5" i="1" s="1"/>
  <c r="X5" i="1" s="1"/>
  <c r="F8" i="1"/>
  <c r="F5" i="1" s="1"/>
  <c r="G5" i="1"/>
  <c r="H8" i="1"/>
  <c r="H5" i="1" s="1"/>
  <c r="F139" i="1"/>
  <c r="H46" i="1"/>
  <c r="G46" i="1"/>
  <c r="F46" i="1"/>
  <c r="E46" i="1"/>
  <c r="D46" i="1"/>
  <c r="I221" i="3"/>
  <c r="I66" i="77"/>
  <c r="J67" i="77" s="1"/>
  <c r="I102" i="3"/>
  <c r="I171" i="1"/>
  <c r="I140" i="1"/>
  <c r="S135" i="1"/>
  <c r="S123" i="1"/>
  <c r="S72" i="1"/>
  <c r="S57" i="1"/>
  <c r="S3" i="1"/>
  <c r="Q342" i="3"/>
  <c r="R342" i="3" s="1"/>
  <c r="S342" i="3" s="1"/>
  <c r="R324" i="3"/>
  <c r="S324" i="3" s="1"/>
  <c r="R312" i="3"/>
  <c r="S312" i="3" s="1"/>
  <c r="S236" i="3"/>
  <c r="K1" i="77"/>
  <c r="K1" i="3"/>
  <c r="K1" i="1"/>
  <c r="I152" i="1"/>
  <c r="H152" i="1"/>
  <c r="G152" i="1"/>
  <c r="F152" i="1"/>
  <c r="H119" i="1"/>
  <c r="H100" i="1"/>
  <c r="L348" i="3"/>
  <c r="I29" i="3"/>
  <c r="H248" i="3"/>
  <c r="H247" i="3"/>
  <c r="I215" i="3"/>
  <c r="I218" i="3"/>
  <c r="I229" i="3" s="1"/>
  <c r="I220" i="3"/>
  <c r="I93" i="3"/>
  <c r="I153" i="1"/>
  <c r="I151" i="1"/>
  <c r="I150" i="1"/>
  <c r="I149" i="1"/>
  <c r="I148" i="1"/>
  <c r="I146" i="1"/>
  <c r="I145" i="1"/>
  <c r="I144" i="1"/>
  <c r="I141" i="1"/>
  <c r="AT57" i="1"/>
  <c r="O57" i="1"/>
  <c r="P57" i="1"/>
  <c r="Q57" i="1"/>
  <c r="R57" i="1"/>
  <c r="H38" i="3"/>
  <c r="H45" i="77"/>
  <c r="H44" i="77"/>
  <c r="K21" i="3"/>
  <c r="H55" i="77"/>
  <c r="H47" i="77"/>
  <c r="H48" i="77" s="1"/>
  <c r="D19" i="77"/>
  <c r="D26" i="77" s="1"/>
  <c r="E19" i="77"/>
  <c r="F19" i="77"/>
  <c r="F26" i="77" s="1"/>
  <c r="G19" i="77"/>
  <c r="G43" i="77" s="1"/>
  <c r="H19" i="77"/>
  <c r="I19" i="77"/>
  <c r="I25" i="77" s="1"/>
  <c r="J19" i="77"/>
  <c r="J26" i="77" s="1"/>
  <c r="R123" i="1"/>
  <c r="L21" i="77"/>
  <c r="M21" i="77" s="1"/>
  <c r="N21" i="77" s="1"/>
  <c r="O21" i="77" s="1"/>
  <c r="P21" i="77" s="1"/>
  <c r="Q21" i="77" s="1"/>
  <c r="R21" i="77" s="1"/>
  <c r="S21" i="77" s="1"/>
  <c r="H80" i="1"/>
  <c r="H74" i="1" s="1"/>
  <c r="G100" i="1"/>
  <c r="H59" i="77"/>
  <c r="H14" i="77" s="1"/>
  <c r="G253" i="3"/>
  <c r="H29" i="3"/>
  <c r="H57" i="3"/>
  <c r="H76" i="3" s="1"/>
  <c r="H61" i="3"/>
  <c r="AP41" i="1"/>
  <c r="D68" i="3"/>
  <c r="D67" i="3"/>
  <c r="D66" i="3"/>
  <c r="D65" i="3"/>
  <c r="AP37" i="1"/>
  <c r="D63" i="3"/>
  <c r="D62" i="3"/>
  <c r="D61" i="3"/>
  <c r="D57" i="3"/>
  <c r="D76" i="3" s="1"/>
  <c r="F56" i="3"/>
  <c r="F74" i="3" s="1"/>
  <c r="D56" i="3"/>
  <c r="F54" i="3"/>
  <c r="D29" i="3"/>
  <c r="E66" i="77"/>
  <c r="H66" i="77"/>
  <c r="G66" i="77"/>
  <c r="G74" i="77"/>
  <c r="G59" i="77"/>
  <c r="G14" i="77" s="1"/>
  <c r="G11" i="77" s="1"/>
  <c r="F59" i="77"/>
  <c r="G55" i="77"/>
  <c r="E55" i="77"/>
  <c r="D55" i="77"/>
  <c r="F54" i="77"/>
  <c r="F55" i="77" s="1"/>
  <c r="H52" i="77"/>
  <c r="G52" i="77"/>
  <c r="F52" i="77"/>
  <c r="E52" i="77"/>
  <c r="D52" i="77"/>
  <c r="H51" i="77"/>
  <c r="G51" i="77"/>
  <c r="F51" i="77"/>
  <c r="E51" i="77"/>
  <c r="G47" i="77"/>
  <c r="G48" i="77" s="1"/>
  <c r="F47" i="77"/>
  <c r="F48" i="77" s="1"/>
  <c r="E47" i="77"/>
  <c r="E48" i="77" s="1"/>
  <c r="D47" i="77"/>
  <c r="D48" i="77" s="1"/>
  <c r="G45" i="77"/>
  <c r="F45" i="77"/>
  <c r="E45" i="77"/>
  <c r="G44" i="77"/>
  <c r="F44" i="77"/>
  <c r="E44" i="77"/>
  <c r="G41" i="77"/>
  <c r="F41" i="77"/>
  <c r="E41" i="77"/>
  <c r="G40" i="77"/>
  <c r="F40" i="77"/>
  <c r="E40" i="77"/>
  <c r="G37" i="77"/>
  <c r="F37" i="77"/>
  <c r="E37" i="77"/>
  <c r="F34" i="77"/>
  <c r="E34" i="77"/>
  <c r="D34" i="77"/>
  <c r="H30" i="77"/>
  <c r="G30" i="77"/>
  <c r="F30" i="77"/>
  <c r="E30" i="77"/>
  <c r="D30" i="77"/>
  <c r="H29" i="77"/>
  <c r="G29" i="77"/>
  <c r="F29" i="77"/>
  <c r="E29" i="77"/>
  <c r="D29" i="77"/>
  <c r="H24" i="77"/>
  <c r="G24" i="77"/>
  <c r="F24" i="77"/>
  <c r="E24" i="77"/>
  <c r="H22" i="77"/>
  <c r="G22" i="77"/>
  <c r="F22" i="77"/>
  <c r="E22" i="77"/>
  <c r="E43" i="77"/>
  <c r="H175" i="12"/>
  <c r="G175" i="12"/>
  <c r="F175" i="12"/>
  <c r="E175" i="12"/>
  <c r="D175" i="12"/>
  <c r="L169" i="12"/>
  <c r="K169" i="12"/>
  <c r="J169" i="12"/>
  <c r="E169" i="12" s="1"/>
  <c r="B169" i="12"/>
  <c r="L168" i="12"/>
  <c r="K168" i="12"/>
  <c r="J168" i="12"/>
  <c r="E168" i="12" s="1"/>
  <c r="B168" i="12"/>
  <c r="L167" i="12"/>
  <c r="K167" i="12"/>
  <c r="J167" i="12"/>
  <c r="E167" i="12" s="1"/>
  <c r="B167" i="12"/>
  <c r="L166" i="12"/>
  <c r="K166" i="12"/>
  <c r="J166" i="12"/>
  <c r="E166" i="12" s="1"/>
  <c r="B166" i="12"/>
  <c r="L165" i="12"/>
  <c r="K165" i="12"/>
  <c r="J165" i="12"/>
  <c r="E165" i="12"/>
  <c r="B165" i="12"/>
  <c r="L164" i="12"/>
  <c r="K164" i="12"/>
  <c r="J164" i="12"/>
  <c r="E164" i="12" s="1"/>
  <c r="B164" i="12"/>
  <c r="L163" i="12"/>
  <c r="K163" i="12"/>
  <c r="J163" i="12"/>
  <c r="E163" i="12" s="1"/>
  <c r="B163" i="12"/>
  <c r="L162" i="12"/>
  <c r="L161" i="12" s="1"/>
  <c r="L177" i="12" s="1"/>
  <c r="K162" i="12"/>
  <c r="K161" i="12" s="1"/>
  <c r="K177" i="12" s="1"/>
  <c r="J162" i="12"/>
  <c r="J161" i="12" s="1"/>
  <c r="B162" i="12"/>
  <c r="O161" i="12"/>
  <c r="O177" i="12" s="1"/>
  <c r="N161" i="12"/>
  <c r="N177" i="12" s="1"/>
  <c r="M161" i="12"/>
  <c r="M177" i="12"/>
  <c r="C151" i="12"/>
  <c r="J148" i="12"/>
  <c r="K148" i="12" s="1"/>
  <c r="F148" i="12"/>
  <c r="E148" i="12"/>
  <c r="D148" i="12"/>
  <c r="D149" i="12" s="1"/>
  <c r="N142" i="12"/>
  <c r="O142" i="12" s="1"/>
  <c r="M142" i="12"/>
  <c r="O139" i="12"/>
  <c r="N139" i="12"/>
  <c r="M139" i="12"/>
  <c r="L139" i="12"/>
  <c r="K139" i="12"/>
  <c r="K141" i="12" s="1"/>
  <c r="K143" i="12" s="1"/>
  <c r="K144" i="12" s="1"/>
  <c r="K146" i="12" s="1"/>
  <c r="J139" i="12"/>
  <c r="J141" i="12" s="1"/>
  <c r="J143" i="12" s="1"/>
  <c r="J144" i="12" s="1"/>
  <c r="J146" i="12" s="1"/>
  <c r="N135" i="12"/>
  <c r="O135" i="12"/>
  <c r="O133" i="12" s="1"/>
  <c r="O134" i="12" s="1"/>
  <c r="M135" i="12"/>
  <c r="L135" i="12"/>
  <c r="L137" i="12" s="1"/>
  <c r="L140" i="12" s="1"/>
  <c r="M140" i="12" s="1"/>
  <c r="N140" i="12" s="1"/>
  <c r="O140" i="12" s="1"/>
  <c r="K135" i="12"/>
  <c r="H129" i="12"/>
  <c r="G129" i="12"/>
  <c r="F129" i="12"/>
  <c r="E129" i="12"/>
  <c r="D129" i="12"/>
  <c r="J128" i="12"/>
  <c r="I128" i="12"/>
  <c r="N126" i="12"/>
  <c r="N128" i="12" s="1"/>
  <c r="L126" i="12"/>
  <c r="L128" i="12" s="1"/>
  <c r="O125" i="12"/>
  <c r="O126" i="12"/>
  <c r="O128" i="12" s="1"/>
  <c r="N125" i="12"/>
  <c r="M125" i="12"/>
  <c r="M126" i="12"/>
  <c r="M128" i="12" s="1"/>
  <c r="L125" i="12"/>
  <c r="K125" i="12"/>
  <c r="K126" i="12" s="1"/>
  <c r="K128" i="12" s="1"/>
  <c r="J116" i="12"/>
  <c r="F116" i="12"/>
  <c r="E116" i="12"/>
  <c r="E157" i="12" s="1"/>
  <c r="D116" i="12"/>
  <c r="D157" i="12" s="1"/>
  <c r="J113" i="12"/>
  <c r="I113" i="12"/>
  <c r="F113" i="12"/>
  <c r="F119" i="12" s="1"/>
  <c r="E113" i="12"/>
  <c r="D113" i="12"/>
  <c r="D114" i="12" s="1"/>
  <c r="H109" i="12"/>
  <c r="G109" i="12"/>
  <c r="F109" i="12"/>
  <c r="J108" i="12"/>
  <c r="I108" i="12"/>
  <c r="I109" i="12" s="1"/>
  <c r="K109" i="12" s="1"/>
  <c r="J106" i="12"/>
  <c r="I106" i="12"/>
  <c r="H106" i="12"/>
  <c r="G106" i="12"/>
  <c r="I103" i="12"/>
  <c r="J102" i="12"/>
  <c r="J103" i="12" s="1"/>
  <c r="K103" i="12" s="1"/>
  <c r="L103" i="12" s="1"/>
  <c r="M103" i="12" s="1"/>
  <c r="N103" i="12" s="1"/>
  <c r="O103" i="12" s="1"/>
  <c r="G102" i="12"/>
  <c r="G103" i="12"/>
  <c r="F102" i="12"/>
  <c r="F103" i="12" s="1"/>
  <c r="I97" i="12"/>
  <c r="H97" i="12"/>
  <c r="I96" i="12"/>
  <c r="H96" i="12"/>
  <c r="J96" i="12" s="1"/>
  <c r="K96" i="12" s="1"/>
  <c r="L96" i="12" s="1"/>
  <c r="M96" i="12" s="1"/>
  <c r="N96" i="12" s="1"/>
  <c r="O96" i="12" s="1"/>
  <c r="J89" i="12"/>
  <c r="I89" i="12"/>
  <c r="I93" i="12" s="1"/>
  <c r="H89" i="12"/>
  <c r="H102" i="12" s="1"/>
  <c r="H103" i="12"/>
  <c r="I87" i="12"/>
  <c r="H87" i="12"/>
  <c r="G87" i="12"/>
  <c r="F87" i="12"/>
  <c r="E87" i="12"/>
  <c r="D87" i="12"/>
  <c r="J83" i="12"/>
  <c r="I83" i="12"/>
  <c r="H83" i="12"/>
  <c r="G83" i="12"/>
  <c r="F83" i="12"/>
  <c r="E83" i="12"/>
  <c r="J82" i="12"/>
  <c r="I82" i="12"/>
  <c r="H82" i="12"/>
  <c r="G82" i="12"/>
  <c r="F82" i="12"/>
  <c r="E82" i="12"/>
  <c r="J79" i="12"/>
  <c r="F78" i="12"/>
  <c r="J75" i="12"/>
  <c r="J81" i="12"/>
  <c r="I75" i="12"/>
  <c r="H75" i="12"/>
  <c r="G75" i="12"/>
  <c r="G78" i="12" s="1"/>
  <c r="F75" i="12"/>
  <c r="E75" i="12"/>
  <c r="E81" i="12" s="1"/>
  <c r="D75" i="12"/>
  <c r="K73" i="12"/>
  <c r="K72" i="12"/>
  <c r="J72" i="12"/>
  <c r="I72" i="12"/>
  <c r="H72" i="12"/>
  <c r="G72" i="12"/>
  <c r="F72" i="12"/>
  <c r="E72" i="12"/>
  <c r="K71" i="12"/>
  <c r="J61" i="12"/>
  <c r="K62" i="12"/>
  <c r="L62" i="12" s="1"/>
  <c r="M62" i="12" s="1"/>
  <c r="N62" i="12" s="1"/>
  <c r="I61" i="12"/>
  <c r="H61" i="12"/>
  <c r="G61" i="12"/>
  <c r="F61" i="12"/>
  <c r="E61" i="12"/>
  <c r="D61" i="12"/>
  <c r="K57" i="12"/>
  <c r="K76" i="12" s="1"/>
  <c r="O56" i="12"/>
  <c r="N56" i="12"/>
  <c r="M56" i="12"/>
  <c r="L56" i="12"/>
  <c r="O54" i="12"/>
  <c r="N54" i="12"/>
  <c r="M54" i="12"/>
  <c r="L54" i="12"/>
  <c r="J45" i="12"/>
  <c r="J48" i="12" s="1"/>
  <c r="I42" i="12"/>
  <c r="J43" i="12" s="1"/>
  <c r="I45" i="12"/>
  <c r="L39" i="12"/>
  <c r="M39" i="12" s="1"/>
  <c r="N39" i="12" s="1"/>
  <c r="O39" i="12" s="1"/>
  <c r="M38" i="12"/>
  <c r="N38" i="12" s="1"/>
  <c r="O38" i="12" s="1"/>
  <c r="L38" i="12"/>
  <c r="L37" i="12"/>
  <c r="M37" i="12" s="1"/>
  <c r="N37" i="12" s="1"/>
  <c r="O37" i="12" s="1"/>
  <c r="J34" i="12"/>
  <c r="I34" i="12"/>
  <c r="H34" i="12"/>
  <c r="G34" i="12"/>
  <c r="F34" i="12"/>
  <c r="J33" i="12"/>
  <c r="I33" i="12"/>
  <c r="H33" i="12"/>
  <c r="G33" i="12"/>
  <c r="F33" i="12"/>
  <c r="J32" i="12"/>
  <c r="I32" i="12"/>
  <c r="H32" i="12"/>
  <c r="G32" i="12"/>
  <c r="F32" i="12"/>
  <c r="I24" i="12"/>
  <c r="H24" i="12"/>
  <c r="G24" i="12"/>
  <c r="F24" i="12"/>
  <c r="E24" i="12"/>
  <c r="I23" i="12"/>
  <c r="H23" i="12"/>
  <c r="G23" i="12"/>
  <c r="F23" i="12"/>
  <c r="E23" i="12"/>
  <c r="J22" i="12"/>
  <c r="I22" i="12"/>
  <c r="H22" i="12"/>
  <c r="G22" i="12"/>
  <c r="F22" i="12"/>
  <c r="E22" i="12"/>
  <c r="J21" i="12"/>
  <c r="I21" i="12"/>
  <c r="H21" i="12"/>
  <c r="G21" i="12"/>
  <c r="F21" i="12"/>
  <c r="E21" i="12"/>
  <c r="J18" i="12"/>
  <c r="J24" i="12" s="1"/>
  <c r="J17" i="12"/>
  <c r="J23" i="12" s="1"/>
  <c r="O6" i="12"/>
  <c r="O66" i="12" s="1"/>
  <c r="N6" i="12"/>
  <c r="N66" i="12" s="1"/>
  <c r="M6" i="12"/>
  <c r="M66" i="12" s="1"/>
  <c r="L6" i="12"/>
  <c r="L66" i="12" s="1"/>
  <c r="L65" i="12" s="1"/>
  <c r="K6" i="12"/>
  <c r="J6" i="12"/>
  <c r="I6" i="12"/>
  <c r="H6" i="12"/>
  <c r="G6" i="12"/>
  <c r="F6" i="12"/>
  <c r="E6" i="12"/>
  <c r="H329" i="3"/>
  <c r="G329" i="3"/>
  <c r="H327" i="3"/>
  <c r="G327" i="3"/>
  <c r="H321" i="3"/>
  <c r="G321" i="3"/>
  <c r="H318" i="3"/>
  <c r="G318" i="3"/>
  <c r="H316" i="3"/>
  <c r="G316" i="3"/>
  <c r="B299" i="3"/>
  <c r="B285" i="3" s="1"/>
  <c r="B298" i="3"/>
  <c r="B284" i="3" s="1"/>
  <c r="B283" i="3"/>
  <c r="D266" i="3"/>
  <c r="F264" i="3"/>
  <c r="E264" i="3"/>
  <c r="D264" i="3"/>
  <c r="G260" i="3"/>
  <c r="G264" i="3" s="1"/>
  <c r="G254" i="3"/>
  <c r="G248" i="3"/>
  <c r="G247" i="3"/>
  <c r="G244" i="3"/>
  <c r="O243" i="3"/>
  <c r="P243" i="3" s="1"/>
  <c r="Q243" i="3" s="1"/>
  <c r="R243" i="3" s="1"/>
  <c r="S243" i="3" s="1"/>
  <c r="G243" i="3"/>
  <c r="G242" i="3"/>
  <c r="G241" i="3"/>
  <c r="G240" i="3"/>
  <c r="G239" i="3"/>
  <c r="G223" i="3"/>
  <c r="H222" i="3"/>
  <c r="G222" i="3"/>
  <c r="H221" i="3"/>
  <c r="G221" i="3"/>
  <c r="H220" i="3"/>
  <c r="G220" i="3"/>
  <c r="H219" i="3"/>
  <c r="H230" i="3" s="1"/>
  <c r="G219" i="3"/>
  <c r="G230" i="3" s="1"/>
  <c r="G218" i="3"/>
  <c r="G229" i="3" s="1"/>
  <c r="H217" i="3"/>
  <c r="G217" i="3"/>
  <c r="H200" i="3"/>
  <c r="G200" i="3"/>
  <c r="H199" i="3"/>
  <c r="G199" i="3"/>
  <c r="H198" i="3"/>
  <c r="G198" i="3"/>
  <c r="H197" i="3"/>
  <c r="G197" i="3"/>
  <c r="H196" i="3"/>
  <c r="G196" i="3"/>
  <c r="H195" i="3"/>
  <c r="G195" i="3"/>
  <c r="H193" i="3"/>
  <c r="G193" i="3"/>
  <c r="H192" i="3"/>
  <c r="G192" i="3"/>
  <c r="H191" i="3"/>
  <c r="G191" i="3"/>
  <c r="C102" i="3"/>
  <c r="B102" i="3"/>
  <c r="C101" i="3"/>
  <c r="B101" i="3"/>
  <c r="C94" i="3"/>
  <c r="B94" i="3"/>
  <c r="H93" i="3"/>
  <c r="G93" i="3"/>
  <c r="G99" i="3" s="1"/>
  <c r="C93" i="3"/>
  <c r="B93" i="3"/>
  <c r="H92" i="3"/>
  <c r="G92" i="3"/>
  <c r="C92" i="3"/>
  <c r="B92" i="3"/>
  <c r="C91" i="3"/>
  <c r="B91" i="3"/>
  <c r="H68" i="3"/>
  <c r="G68" i="3"/>
  <c r="C68" i="3"/>
  <c r="B68" i="3"/>
  <c r="H67" i="3"/>
  <c r="G67" i="3"/>
  <c r="C67" i="3"/>
  <c r="B67" i="3"/>
  <c r="H66" i="3"/>
  <c r="G66" i="3"/>
  <c r="C66" i="3"/>
  <c r="B66" i="3"/>
  <c r="H65" i="3"/>
  <c r="G65" i="3"/>
  <c r="C65" i="3"/>
  <c r="B65" i="3"/>
  <c r="H63" i="3"/>
  <c r="G63" i="3"/>
  <c r="C63" i="3"/>
  <c r="B63" i="3"/>
  <c r="H62" i="3"/>
  <c r="G62" i="3"/>
  <c r="C62" i="3"/>
  <c r="B62" i="3"/>
  <c r="G61" i="3"/>
  <c r="C61" i="3"/>
  <c r="B61" i="3"/>
  <c r="H60" i="3"/>
  <c r="G60" i="3"/>
  <c r="C60" i="3"/>
  <c r="B60" i="3"/>
  <c r="H59" i="3"/>
  <c r="G59" i="3"/>
  <c r="C59" i="3"/>
  <c r="B59" i="3"/>
  <c r="B58" i="3"/>
  <c r="G57" i="3"/>
  <c r="G76" i="3" s="1"/>
  <c r="B57" i="3"/>
  <c r="H56" i="3"/>
  <c r="G56" i="3"/>
  <c r="G74" i="3" s="1"/>
  <c r="B56" i="3"/>
  <c r="H55" i="3"/>
  <c r="G55" i="3"/>
  <c r="G73" i="3" s="1"/>
  <c r="B55" i="3"/>
  <c r="H54" i="3"/>
  <c r="G54" i="3"/>
  <c r="B54" i="3"/>
  <c r="C53" i="3"/>
  <c r="B53" i="3"/>
  <c r="G38" i="3"/>
  <c r="B38" i="3"/>
  <c r="H37" i="3"/>
  <c r="H48" i="3" s="1"/>
  <c r="G37" i="3"/>
  <c r="F37" i="3"/>
  <c r="B37" i="3"/>
  <c r="H33" i="3"/>
  <c r="G33" i="3"/>
  <c r="F33" i="3"/>
  <c r="B33" i="3"/>
  <c r="H34" i="3"/>
  <c r="G34" i="3"/>
  <c r="F34" i="3"/>
  <c r="B34" i="3"/>
  <c r="H36" i="3"/>
  <c r="G36" i="3"/>
  <c r="F36" i="3"/>
  <c r="B36" i="3"/>
  <c r="H31" i="3"/>
  <c r="G31" i="3"/>
  <c r="F31" i="3"/>
  <c r="B31" i="3"/>
  <c r="H35" i="3"/>
  <c r="G35" i="3"/>
  <c r="F35" i="3"/>
  <c r="B35" i="3"/>
  <c r="H32" i="3"/>
  <c r="G32" i="3"/>
  <c r="F32" i="3"/>
  <c r="B32" i="3"/>
  <c r="G29" i="3"/>
  <c r="B29" i="3"/>
  <c r="C28" i="3"/>
  <c r="B28" i="3"/>
  <c r="F24" i="3"/>
  <c r="H171" i="1"/>
  <c r="G171" i="1"/>
  <c r="H153" i="1"/>
  <c r="H151" i="1"/>
  <c r="H150" i="1"/>
  <c r="H149" i="1"/>
  <c r="H148" i="1"/>
  <c r="H147" i="1"/>
  <c r="H146" i="1"/>
  <c r="H145" i="1"/>
  <c r="H144" i="1"/>
  <c r="H141" i="1"/>
  <c r="H140" i="1"/>
  <c r="Q123" i="1"/>
  <c r="P123" i="1"/>
  <c r="O123" i="1"/>
  <c r="F222" i="3"/>
  <c r="G118" i="1"/>
  <c r="F221" i="3"/>
  <c r="E221" i="3"/>
  <c r="F220" i="3"/>
  <c r="E220" i="3"/>
  <c r="G149" i="1"/>
  <c r="E219" i="3"/>
  <c r="E230" i="3" s="1"/>
  <c r="D219" i="3"/>
  <c r="D230" i="3" s="1"/>
  <c r="G148" i="1"/>
  <c r="G146" i="1"/>
  <c r="H108" i="1"/>
  <c r="G108" i="1"/>
  <c r="F254" i="3"/>
  <c r="E254" i="3"/>
  <c r="D254" i="3"/>
  <c r="D253" i="3"/>
  <c r="F247" i="3"/>
  <c r="E247" i="3"/>
  <c r="D247" i="3"/>
  <c r="F244" i="3"/>
  <c r="E244" i="3"/>
  <c r="D244" i="3"/>
  <c r="F243" i="3"/>
  <c r="E243" i="3"/>
  <c r="D243" i="3"/>
  <c r="F242" i="3"/>
  <c r="E242" i="3"/>
  <c r="D242" i="3"/>
  <c r="F241" i="3"/>
  <c r="E241" i="3"/>
  <c r="D241" i="3"/>
  <c r="F240" i="3"/>
  <c r="E240" i="3"/>
  <c r="D240" i="3"/>
  <c r="E239" i="3"/>
  <c r="H90" i="1"/>
  <c r="H89" i="1" s="1"/>
  <c r="G90" i="1"/>
  <c r="G89" i="1" s="1"/>
  <c r="G250" i="3" s="1"/>
  <c r="F200" i="3"/>
  <c r="E200" i="3"/>
  <c r="D200" i="3"/>
  <c r="F199" i="3"/>
  <c r="F198" i="3"/>
  <c r="E198" i="3"/>
  <c r="F197" i="3"/>
  <c r="E197" i="3"/>
  <c r="D197" i="3"/>
  <c r="F196" i="3"/>
  <c r="E196" i="3"/>
  <c r="D196" i="3"/>
  <c r="F195" i="3"/>
  <c r="E195" i="3"/>
  <c r="D195" i="3"/>
  <c r="G80" i="1"/>
  <c r="AQ65" i="1"/>
  <c r="AQ59" i="1"/>
  <c r="H94" i="3"/>
  <c r="G94" i="3"/>
  <c r="AQ56" i="1"/>
  <c r="E93" i="3"/>
  <c r="E99" i="3" s="1"/>
  <c r="AQ55" i="1"/>
  <c r="AQ48" i="1"/>
  <c r="AP48" i="1"/>
  <c r="AQ47" i="1"/>
  <c r="E248" i="3"/>
  <c r="D248" i="3"/>
  <c r="AQ41" i="1"/>
  <c r="AQ40" i="1"/>
  <c r="F67" i="3"/>
  <c r="AQ39" i="1"/>
  <c r="F66" i="3"/>
  <c r="E66" i="3"/>
  <c r="AQ38" i="1"/>
  <c r="F65" i="3"/>
  <c r="E65" i="3"/>
  <c r="AQ37" i="1"/>
  <c r="E63" i="3"/>
  <c r="AQ36" i="1"/>
  <c r="AP36" i="1"/>
  <c r="AQ35" i="1"/>
  <c r="AP35" i="1"/>
  <c r="E61" i="3"/>
  <c r="AQ34" i="1"/>
  <c r="AP34" i="1"/>
  <c r="AQ33" i="1"/>
  <c r="H32" i="1"/>
  <c r="H58" i="3" s="1"/>
  <c r="G32" i="1"/>
  <c r="AQ31" i="1"/>
  <c r="F57" i="3"/>
  <c r="AQ30" i="1"/>
  <c r="E56" i="3"/>
  <c r="E74" i="3" s="1"/>
  <c r="AQ28" i="1"/>
  <c r="F38" i="3"/>
  <c r="AQ18" i="1"/>
  <c r="AP18" i="1"/>
  <c r="AQ16" i="1"/>
  <c r="AP16" i="1"/>
  <c r="AQ17" i="1"/>
  <c r="AP17" i="1"/>
  <c r="D34" i="3"/>
  <c r="AQ21" i="1"/>
  <c r="AP21" i="1"/>
  <c r="D36" i="3"/>
  <c r="AQ15" i="1"/>
  <c r="AP15" i="1"/>
  <c r="AQ20" i="1"/>
  <c r="AP20" i="1"/>
  <c r="D35" i="3"/>
  <c r="AQ19" i="1"/>
  <c r="AP19" i="1"/>
  <c r="AQ14" i="1"/>
  <c r="V11" i="1"/>
  <c r="U11" i="1"/>
  <c r="AQ10" i="1"/>
  <c r="AQ9" i="1"/>
  <c r="AQ7" i="1"/>
  <c r="AP7" i="1"/>
  <c r="O67" i="12"/>
  <c r="O65" i="12"/>
  <c r="L67" i="12"/>
  <c r="K60" i="12"/>
  <c r="L60" i="12" s="1"/>
  <c r="M60" i="12" s="1"/>
  <c r="N60" i="12" s="1"/>
  <c r="O60" i="12" s="1"/>
  <c r="K61" i="12"/>
  <c r="L61" i="12" s="1"/>
  <c r="M61" i="12" s="1"/>
  <c r="N61" i="12" s="1"/>
  <c r="O61" i="12" s="1"/>
  <c r="D79" i="12"/>
  <c r="L40" i="12"/>
  <c r="E79" i="12"/>
  <c r="E78" i="12"/>
  <c r="I79" i="12"/>
  <c r="I78" i="12"/>
  <c r="J78" i="12"/>
  <c r="F79" i="12"/>
  <c r="K68" i="12"/>
  <c r="K77" i="12" s="1"/>
  <c r="D78" i="12"/>
  <c r="I92" i="12"/>
  <c r="E162" i="12"/>
  <c r="AR39" i="1"/>
  <c r="AR38" i="1"/>
  <c r="H176" i="1"/>
  <c r="F19" i="3"/>
  <c r="F18" i="3" s="1"/>
  <c r="G18" i="3" s="1"/>
  <c r="G26" i="77"/>
  <c r="E20" i="77"/>
  <c r="D28" i="77"/>
  <c r="E28" i="77"/>
  <c r="F28" i="77"/>
  <c r="D25" i="77"/>
  <c r="E26" i="77"/>
  <c r="E25" i="77"/>
  <c r="AO19" i="1"/>
  <c r="E31" i="3"/>
  <c r="AO21" i="1"/>
  <c r="AO17" i="1"/>
  <c r="E37" i="3"/>
  <c r="E48" i="3" s="1"/>
  <c r="E54" i="3"/>
  <c r="E57" i="3"/>
  <c r="E76" i="3" s="1"/>
  <c r="E62" i="3"/>
  <c r="AN40" i="1"/>
  <c r="AO59" i="1"/>
  <c r="AO65" i="1"/>
  <c r="D93" i="3"/>
  <c r="F93" i="3"/>
  <c r="F99" i="3" s="1"/>
  <c r="AR28" i="1"/>
  <c r="H58" i="1"/>
  <c r="H54" i="1"/>
  <c r="H173" i="1" s="1"/>
  <c r="AP33" i="1"/>
  <c r="E118" i="1"/>
  <c r="D118" i="1"/>
  <c r="AN47" i="1"/>
  <c r="AP30" i="1"/>
  <c r="AP39" i="1"/>
  <c r="AO41" i="1"/>
  <c r="AP59" i="1"/>
  <c r="E90" i="1"/>
  <c r="E89" i="1" s="1"/>
  <c r="AP65" i="1"/>
  <c r="F90" i="1"/>
  <c r="F89" i="1" s="1"/>
  <c r="D33" i="3"/>
  <c r="AO16" i="1"/>
  <c r="F190" i="3"/>
  <c r="F192" i="3"/>
  <c r="F321" i="3"/>
  <c r="I116" i="12"/>
  <c r="AO14" i="1"/>
  <c r="D32" i="3"/>
  <c r="AO31" i="1"/>
  <c r="AN38" i="1"/>
  <c r="AO40" i="1"/>
  <c r="AN41" i="1"/>
  <c r="D92" i="3"/>
  <c r="AN65" i="1"/>
  <c r="E181" i="1"/>
  <c r="F191" i="3"/>
  <c r="D193" i="3"/>
  <c r="D100" i="1"/>
  <c r="E100" i="1"/>
  <c r="G147" i="1"/>
  <c r="F118" i="1"/>
  <c r="E191" i="3"/>
  <c r="D54" i="3"/>
  <c r="AN30" i="1"/>
  <c r="AP31" i="1"/>
  <c r="D60" i="3"/>
  <c r="AN39" i="1"/>
  <c r="AP40" i="1"/>
  <c r="D190" i="3"/>
  <c r="F181" i="1"/>
  <c r="D192" i="3"/>
  <c r="E193" i="3"/>
  <c r="F100" i="1"/>
  <c r="AO30" i="1"/>
  <c r="E60" i="3"/>
  <c r="AO39" i="1"/>
  <c r="E190" i="3"/>
  <c r="G181" i="1"/>
  <c r="D191" i="3"/>
  <c r="E192" i="3"/>
  <c r="F193" i="3"/>
  <c r="F108" i="1"/>
  <c r="E108" i="1"/>
  <c r="G145" i="1"/>
  <c r="E321" i="3"/>
  <c r="D108" i="1"/>
  <c r="D321" i="3"/>
  <c r="F327" i="3"/>
  <c r="H116" i="12"/>
  <c r="H157" i="12" s="1"/>
  <c r="F29" i="3"/>
  <c r="D37" i="3"/>
  <c r="D48" i="3" s="1"/>
  <c r="F151" i="12"/>
  <c r="AP14" i="1"/>
  <c r="E35" i="3"/>
  <c r="AO20" i="1"/>
  <c r="AN20" i="1"/>
  <c r="E151" i="12"/>
  <c r="E99" i="12" s="1"/>
  <c r="D66" i="77"/>
  <c r="G148" i="12"/>
  <c r="G113" i="12"/>
  <c r="D59" i="77"/>
  <c r="D73" i="77" s="1"/>
  <c r="F13" i="1"/>
  <c r="AO7" i="1"/>
  <c r="H113" i="12"/>
  <c r="E59" i="77"/>
  <c r="E14" i="77" s="1"/>
  <c r="E11" i="77" s="1"/>
  <c r="E12" i="77" s="1"/>
  <c r="F66" i="77"/>
  <c r="D31" i="3"/>
  <c r="AN7" i="1"/>
  <c r="AN10" i="1"/>
  <c r="F32" i="1"/>
  <c r="F27" i="1" s="1"/>
  <c r="G144" i="1"/>
  <c r="E151" i="1"/>
  <c r="F153" i="1"/>
  <c r="F176" i="1"/>
  <c r="F61" i="3"/>
  <c r="E67" i="3"/>
  <c r="D215" i="3"/>
  <c r="D216" i="3"/>
  <c r="D217" i="3"/>
  <c r="D218" i="3"/>
  <c r="D229" i="3" s="1"/>
  <c r="D220" i="3"/>
  <c r="D221" i="3"/>
  <c r="D222" i="3"/>
  <c r="D223" i="3"/>
  <c r="I129" i="12"/>
  <c r="D151" i="12"/>
  <c r="D99" i="12" s="1"/>
  <c r="F150" i="1"/>
  <c r="F151" i="1"/>
  <c r="G153" i="1"/>
  <c r="F171" i="1"/>
  <c r="G176" i="1"/>
  <c r="E34" i="3"/>
  <c r="F62" i="3"/>
  <c r="E215" i="3"/>
  <c r="E216" i="3"/>
  <c r="E217" i="3"/>
  <c r="E218" i="3"/>
  <c r="E229" i="3" s="1"/>
  <c r="E222" i="3"/>
  <c r="E223" i="3"/>
  <c r="AO28" i="1"/>
  <c r="AN37" i="1"/>
  <c r="AO38" i="1"/>
  <c r="F149" i="1"/>
  <c r="G150" i="1"/>
  <c r="G151" i="1"/>
  <c r="D59" i="3"/>
  <c r="E68" i="3"/>
  <c r="F215" i="3"/>
  <c r="F216" i="3"/>
  <c r="F217" i="3"/>
  <c r="F218" i="3"/>
  <c r="F229" i="3" s="1"/>
  <c r="F219" i="3"/>
  <c r="F230" i="3" s="1"/>
  <c r="F223" i="3"/>
  <c r="D239" i="3"/>
  <c r="D316" i="3"/>
  <c r="D318" i="3"/>
  <c r="D327" i="3"/>
  <c r="D329" i="3"/>
  <c r="AP28" i="1"/>
  <c r="AO37" i="1"/>
  <c r="AP38" i="1"/>
  <c r="D80" i="1"/>
  <c r="D74" i="1" s="1"/>
  <c r="F148" i="1"/>
  <c r="E59" i="3"/>
  <c r="F63" i="3"/>
  <c r="F68" i="3"/>
  <c r="E253" i="3"/>
  <c r="E316" i="3"/>
  <c r="E318" i="3"/>
  <c r="E327" i="3"/>
  <c r="E329" i="3"/>
  <c r="H148" i="12"/>
  <c r="AN35" i="1"/>
  <c r="F94" i="3"/>
  <c r="E102" i="3"/>
  <c r="E80" i="1"/>
  <c r="F147" i="1"/>
  <c r="F59" i="3"/>
  <c r="F239" i="3"/>
  <c r="F253" i="3"/>
  <c r="F316" i="3"/>
  <c r="F318" i="3"/>
  <c r="F329" i="3"/>
  <c r="AN16" i="1"/>
  <c r="AO35" i="1"/>
  <c r="F80" i="1"/>
  <c r="F141" i="1"/>
  <c r="F146" i="1"/>
  <c r="D198" i="3"/>
  <c r="D199" i="3"/>
  <c r="AN33" i="1"/>
  <c r="AN56" i="1"/>
  <c r="F140" i="1"/>
  <c r="G141" i="1"/>
  <c r="F145" i="1"/>
  <c r="F60" i="3"/>
  <c r="E199" i="3"/>
  <c r="G140" i="1"/>
  <c r="F144" i="1"/>
  <c r="H102" i="3"/>
  <c r="G58" i="1"/>
  <c r="G102" i="3"/>
  <c r="AQ60" i="1"/>
  <c r="G54" i="1"/>
  <c r="G173" i="1" s="1"/>
  <c r="AQ57" i="1"/>
  <c r="F157" i="12"/>
  <c r="AP22" i="1"/>
  <c r="AQ22" i="1"/>
  <c r="AR34" i="1"/>
  <c r="AR41" i="1"/>
  <c r="AR33" i="1"/>
  <c r="AR40" i="1"/>
  <c r="AR56" i="1"/>
  <c r="O260" i="3"/>
  <c r="P260" i="3" s="1"/>
  <c r="Q260" i="3" s="1"/>
  <c r="R260" i="3" s="1"/>
  <c r="S260" i="3" s="1"/>
  <c r="I176" i="1"/>
  <c r="AN17" i="1"/>
  <c r="AN48" i="1"/>
  <c r="E32" i="3"/>
  <c r="AN36" i="1"/>
  <c r="AO36" i="1"/>
  <c r="F248" i="3"/>
  <c r="E33" i="3"/>
  <c r="AN31" i="1"/>
  <c r="I148" i="12"/>
  <c r="AO48" i="1"/>
  <c r="AO10" i="1"/>
  <c r="AO47" i="1"/>
  <c r="AP10" i="1"/>
  <c r="AO56" i="1"/>
  <c r="AP47" i="1"/>
  <c r="AO9" i="1"/>
  <c r="AP9" i="1"/>
  <c r="E36" i="3"/>
  <c r="AN59" i="1"/>
  <c r="AN21" i="1"/>
  <c r="D74" i="77"/>
  <c r="AN15" i="1"/>
  <c r="AO15" i="1"/>
  <c r="E94" i="3"/>
  <c r="F74" i="77"/>
  <c r="D38" i="3"/>
  <c r="AO33" i="1"/>
  <c r="G116" i="12"/>
  <c r="G157" i="12" s="1"/>
  <c r="AN18" i="1"/>
  <c r="D94" i="3"/>
  <c r="AN55" i="1"/>
  <c r="AN9" i="1"/>
  <c r="AP56" i="1"/>
  <c r="E38" i="3"/>
  <c r="AO18" i="1"/>
  <c r="AN19" i="1"/>
  <c r="D102" i="3"/>
  <c r="AP57" i="1"/>
  <c r="E58" i="1"/>
  <c r="E29" i="3"/>
  <c r="AN14" i="1"/>
  <c r="E13" i="1"/>
  <c r="AO34" i="1"/>
  <c r="E92" i="3"/>
  <c r="D32" i="1"/>
  <c r="D27" i="1" s="1"/>
  <c r="AN34" i="1"/>
  <c r="D58" i="1"/>
  <c r="E32" i="1"/>
  <c r="F92" i="3"/>
  <c r="AO55" i="1"/>
  <c r="AP55" i="1"/>
  <c r="AN60" i="1"/>
  <c r="F54" i="1"/>
  <c r="F173" i="1" s="1"/>
  <c r="AN28" i="1"/>
  <c r="F296" i="3"/>
  <c r="AR10" i="1"/>
  <c r="AR35" i="1"/>
  <c r="AR17" i="1"/>
  <c r="AR36" i="1"/>
  <c r="AR31" i="1"/>
  <c r="AR30" i="1"/>
  <c r="AS38" i="1"/>
  <c r="AS40" i="1"/>
  <c r="AS34" i="1"/>
  <c r="AS39" i="1"/>
  <c r="AS33" i="1"/>
  <c r="G296" i="3"/>
  <c r="AR37" i="1"/>
  <c r="AO22" i="1"/>
  <c r="D13" i="1"/>
  <c r="AS28" i="1"/>
  <c r="F58" i="1"/>
  <c r="E54" i="1"/>
  <c r="E173" i="1" s="1"/>
  <c r="AO57" i="1"/>
  <c r="AN57" i="1"/>
  <c r="AN22" i="1"/>
  <c r="D54" i="1"/>
  <c r="AP60" i="1"/>
  <c r="AO60" i="1"/>
  <c r="F102" i="3"/>
  <c r="I30" i="77"/>
  <c r="I24" i="77"/>
  <c r="I29" i="77"/>
  <c r="I22" i="77"/>
  <c r="AR48" i="1"/>
  <c r="J30" i="77"/>
  <c r="O13" i="3"/>
  <c r="O119" i="3" s="1"/>
  <c r="AS10" i="1"/>
  <c r="K15" i="77"/>
  <c r="AS31" i="1"/>
  <c r="AS41" i="1"/>
  <c r="AS35" i="1"/>
  <c r="AS30" i="1"/>
  <c r="AS17" i="1"/>
  <c r="H19" i="3"/>
  <c r="I40" i="77"/>
  <c r="J29" i="77"/>
  <c r="AS36" i="1"/>
  <c r="AT10" i="1"/>
  <c r="H296" i="3"/>
  <c r="AR18" i="1"/>
  <c r="K29" i="77"/>
  <c r="I41" i="77"/>
  <c r="AU10" i="1"/>
  <c r="U10" i="1"/>
  <c r="I52" i="77"/>
  <c r="I51" i="77"/>
  <c r="L29" i="77"/>
  <c r="K52" i="77"/>
  <c r="AR47" i="1"/>
  <c r="AS7" i="1"/>
  <c r="I19" i="3"/>
  <c r="J18" i="3" s="1"/>
  <c r="J48" i="3" s="1"/>
  <c r="AR7" i="1"/>
  <c r="K73" i="77"/>
  <c r="G190" i="3"/>
  <c r="H181" i="1"/>
  <c r="V10" i="1"/>
  <c r="AR9" i="1"/>
  <c r="AS9" i="1"/>
  <c r="AS18" i="1"/>
  <c r="AS21" i="1"/>
  <c r="AS16" i="1"/>
  <c r="AS20" i="1"/>
  <c r="AS19" i="1"/>
  <c r="AS14" i="1"/>
  <c r="AR14" i="1"/>
  <c r="AR21" i="1"/>
  <c r="AR15" i="1"/>
  <c r="AR20" i="1"/>
  <c r="AR16" i="1"/>
  <c r="AR19" i="1"/>
  <c r="AS15" i="1"/>
  <c r="AS37" i="1"/>
  <c r="H190" i="3"/>
  <c r="AR60" i="1"/>
  <c r="AR55" i="1"/>
  <c r="AS47" i="1"/>
  <c r="H37" i="77"/>
  <c r="I37" i="77"/>
  <c r="H41" i="77"/>
  <c r="H40" i="77"/>
  <c r="AR22" i="1"/>
  <c r="AS22" i="1"/>
  <c r="U12" i="1"/>
  <c r="AR59" i="1"/>
  <c r="AS60" i="1"/>
  <c r="AS59" i="1"/>
  <c r="AS57" i="1"/>
  <c r="AR57" i="1"/>
  <c r="I94" i="3"/>
  <c r="AR65" i="1"/>
  <c r="I80" i="1"/>
  <c r="I147" i="1"/>
  <c r="I223" i="3"/>
  <c r="I190" i="3"/>
  <c r="AS55" i="1"/>
  <c r="I118" i="1"/>
  <c r="AS48" i="1"/>
  <c r="AS65" i="1"/>
  <c r="J43" i="3" l="1"/>
  <c r="J44" i="3"/>
  <c r="E142" i="1"/>
  <c r="E138" i="1" s="1"/>
  <c r="D39" i="81" s="1"/>
  <c r="F88" i="1"/>
  <c r="E157" i="1"/>
  <c r="E88" i="1"/>
  <c r="F76" i="3"/>
  <c r="D74" i="3"/>
  <c r="J47" i="3"/>
  <c r="H77" i="3"/>
  <c r="H73" i="3"/>
  <c r="J60" i="77"/>
  <c r="I14" i="77"/>
  <c r="J74" i="3"/>
  <c r="H74" i="3"/>
  <c r="J76" i="3"/>
  <c r="F73" i="77"/>
  <c r="F72" i="77" s="1"/>
  <c r="F14" i="77"/>
  <c r="E15" i="77"/>
  <c r="E164" i="1"/>
  <c r="J45" i="3"/>
  <c r="J42" i="3"/>
  <c r="J41" i="3"/>
  <c r="G72" i="3"/>
  <c r="E72" i="3"/>
  <c r="H72" i="3"/>
  <c r="F72" i="3"/>
  <c r="I72" i="3"/>
  <c r="J72" i="3"/>
  <c r="G20" i="77"/>
  <c r="G28" i="77"/>
  <c r="H28" i="77"/>
  <c r="G25" i="77"/>
  <c r="F43" i="77"/>
  <c r="F25" i="77"/>
  <c r="F20" i="77"/>
  <c r="O241" i="3"/>
  <c r="P241" i="3" s="1"/>
  <c r="Q241" i="3" s="1"/>
  <c r="R241" i="3" s="1"/>
  <c r="S241" i="3" s="1"/>
  <c r="O242" i="3"/>
  <c r="P242" i="3" s="1"/>
  <c r="Q242" i="3" s="1"/>
  <c r="R242" i="3" s="1"/>
  <c r="S242" i="3" s="1"/>
  <c r="P302" i="3"/>
  <c r="Q302" i="3" s="1"/>
  <c r="R302" i="3" s="1"/>
  <c r="S302" i="3" s="1"/>
  <c r="M348" i="3"/>
  <c r="L378" i="3"/>
  <c r="J46" i="12"/>
  <c r="F81" i="12"/>
  <c r="J97" i="12"/>
  <c r="K97" i="12" s="1"/>
  <c r="L97" i="12" s="1"/>
  <c r="M97" i="12" s="1"/>
  <c r="N97" i="12" s="1"/>
  <c r="O97" i="12" s="1"/>
  <c r="O62" i="12"/>
  <c r="L68" i="12"/>
  <c r="G206" i="3"/>
  <c r="I74" i="77"/>
  <c r="G203" i="3"/>
  <c r="E6" i="1"/>
  <c r="H169" i="1"/>
  <c r="I169" i="1"/>
  <c r="F6" i="1"/>
  <c r="H15" i="77"/>
  <c r="H11" i="77"/>
  <c r="H12" i="77" s="1"/>
  <c r="H6" i="1"/>
  <c r="O289" i="3"/>
  <c r="I119" i="12"/>
  <c r="J121" i="12" s="1"/>
  <c r="AR54" i="1"/>
  <c r="I84" i="3"/>
  <c r="G6" i="1"/>
  <c r="AC55" i="1"/>
  <c r="AC59" i="1"/>
  <c r="AC40" i="1"/>
  <c r="E149" i="12"/>
  <c r="G209" i="3"/>
  <c r="G228" i="3"/>
  <c r="AO54" i="1"/>
  <c r="AC14" i="1"/>
  <c r="H118" i="1"/>
  <c r="E228" i="3"/>
  <c r="AO58" i="1"/>
  <c r="F74" i="1"/>
  <c r="F142" i="1"/>
  <c r="F138" i="1" s="1"/>
  <c r="E39" i="81" s="1"/>
  <c r="G74" i="1"/>
  <c r="G142" i="1"/>
  <c r="G138" i="1" s="1"/>
  <c r="F39" i="81" s="1"/>
  <c r="AQ46" i="1"/>
  <c r="I74" i="1"/>
  <c r="I142" i="1"/>
  <c r="I138" i="1" s="1"/>
  <c r="H39" i="81" s="1"/>
  <c r="E74" i="1"/>
  <c r="H142" i="1"/>
  <c r="H138" i="1" s="1"/>
  <c r="G39" i="81" s="1"/>
  <c r="H87" i="3"/>
  <c r="AR46" i="1"/>
  <c r="D60" i="77"/>
  <c r="F164" i="1"/>
  <c r="AN58" i="1"/>
  <c r="AN54" i="1"/>
  <c r="AA35" i="1"/>
  <c r="AA46" i="1"/>
  <c r="AA15" i="1"/>
  <c r="AA21" i="1"/>
  <c r="AA54" i="1"/>
  <c r="AA17" i="1"/>
  <c r="AA55" i="1"/>
  <c r="AA48" i="1"/>
  <c r="AA5" i="1"/>
  <c r="AA28" i="1"/>
  <c r="H43" i="3"/>
  <c r="H45" i="3"/>
  <c r="H47" i="3"/>
  <c r="H42" i="3"/>
  <c r="H44" i="3"/>
  <c r="F67" i="77"/>
  <c r="Z10" i="1"/>
  <c r="G24" i="1"/>
  <c r="AN46" i="1"/>
  <c r="F24" i="1"/>
  <c r="AQ54" i="1"/>
  <c r="AA41" i="1"/>
  <c r="H24" i="1"/>
  <c r="X36" i="1"/>
  <c r="E24" i="1"/>
  <c r="D24" i="1"/>
  <c r="D43" i="1" s="1"/>
  <c r="D51" i="1" s="1"/>
  <c r="D62" i="1" s="1"/>
  <c r="J24" i="1"/>
  <c r="H73" i="77"/>
  <c r="H64" i="77"/>
  <c r="Y35" i="1"/>
  <c r="Y60" i="1"/>
  <c r="Y17" i="1"/>
  <c r="Y55" i="1"/>
  <c r="Y57" i="1"/>
  <c r="Y30" i="1"/>
  <c r="Y36" i="1"/>
  <c r="Y47" i="1"/>
  <c r="Y59" i="1"/>
  <c r="Y20" i="1"/>
  <c r="Y58" i="1"/>
  <c r="F42" i="3"/>
  <c r="F44" i="3"/>
  <c r="I41" i="3"/>
  <c r="F41" i="3"/>
  <c r="J231" i="3"/>
  <c r="J275" i="3"/>
  <c r="J280" i="3"/>
  <c r="J278" i="3"/>
  <c r="J276" i="3"/>
  <c r="J277" i="3"/>
  <c r="J279" i="3"/>
  <c r="F43" i="3"/>
  <c r="F45" i="3"/>
  <c r="F47" i="3"/>
  <c r="AO46" i="1"/>
  <c r="Y32" i="1"/>
  <c r="Y46" i="1"/>
  <c r="Y34" i="1"/>
  <c r="X21" i="1"/>
  <c r="Y5" i="1"/>
  <c r="X57" i="1"/>
  <c r="AO8" i="1"/>
  <c r="Y33" i="1"/>
  <c r="Y21" i="1"/>
  <c r="Y8" i="1"/>
  <c r="Y9" i="1"/>
  <c r="X34" i="1"/>
  <c r="X56" i="1"/>
  <c r="E44" i="3"/>
  <c r="X22" i="1"/>
  <c r="X37" i="1"/>
  <c r="Y10" i="1"/>
  <c r="Y19" i="1"/>
  <c r="Y18" i="1"/>
  <c r="Y56" i="1"/>
  <c r="Y22" i="1"/>
  <c r="X14" i="1"/>
  <c r="X10" i="1"/>
  <c r="E47" i="3"/>
  <c r="X54" i="1"/>
  <c r="AN8" i="1"/>
  <c r="Y37" i="1"/>
  <c r="Y65" i="1"/>
  <c r="Y16" i="1"/>
  <c r="Y48" i="1"/>
  <c r="Y14" i="1"/>
  <c r="X8" i="1"/>
  <c r="E43" i="3"/>
  <c r="E49" i="3"/>
  <c r="X35" i="1"/>
  <c r="Y7" i="1"/>
  <c r="Y38" i="1"/>
  <c r="AO5" i="1"/>
  <c r="Y40" i="1"/>
  <c r="E34" i="81"/>
  <c r="X38" i="1"/>
  <c r="Z15" i="1"/>
  <c r="E233" i="3"/>
  <c r="Y28" i="1"/>
  <c r="Y15" i="1"/>
  <c r="Y31" i="1"/>
  <c r="Y41" i="1"/>
  <c r="F280" i="3"/>
  <c r="X55" i="1"/>
  <c r="X58" i="1"/>
  <c r="X15" i="1"/>
  <c r="E45" i="3"/>
  <c r="E42" i="3"/>
  <c r="D34" i="81"/>
  <c r="I227" i="3"/>
  <c r="G226" i="3"/>
  <c r="E206" i="3"/>
  <c r="I228" i="3"/>
  <c r="G227" i="3"/>
  <c r="I226" i="3"/>
  <c r="I203" i="3"/>
  <c r="AR13" i="1"/>
  <c r="AC57" i="1"/>
  <c r="AC35" i="1"/>
  <c r="AC28" i="1"/>
  <c r="AC31" i="1"/>
  <c r="AC18" i="1"/>
  <c r="AC65" i="1"/>
  <c r="AC19" i="1"/>
  <c r="G280" i="3"/>
  <c r="AC46" i="1"/>
  <c r="AC16" i="1"/>
  <c r="AC15" i="1"/>
  <c r="J205" i="3"/>
  <c r="AC30" i="1"/>
  <c r="AC48" i="1"/>
  <c r="AC58" i="1"/>
  <c r="AC13" i="1"/>
  <c r="AC36" i="1"/>
  <c r="AC60" i="1"/>
  <c r="AC38" i="1"/>
  <c r="AC41" i="1"/>
  <c r="H41" i="3"/>
  <c r="J20" i="77"/>
  <c r="I26" i="77"/>
  <c r="H25" i="77"/>
  <c r="G58" i="85"/>
  <c r="F60" i="85"/>
  <c r="Y39" i="1"/>
  <c r="D43" i="3"/>
  <c r="Z56" i="1"/>
  <c r="F205" i="3"/>
  <c r="D41" i="3"/>
  <c r="Z13" i="1"/>
  <c r="Z5" i="1"/>
  <c r="Z34" i="1"/>
  <c r="F34" i="81"/>
  <c r="Z39" i="1"/>
  <c r="D42" i="3"/>
  <c r="D47" i="3"/>
  <c r="D45" i="3"/>
  <c r="K82" i="12"/>
  <c r="K75" i="12"/>
  <c r="K78" i="12" s="1"/>
  <c r="K90" i="12"/>
  <c r="M67" i="12"/>
  <c r="M65" i="12"/>
  <c r="M68" i="12"/>
  <c r="N67" i="12"/>
  <c r="N65" i="12"/>
  <c r="H78" i="12"/>
  <c r="I81" i="12"/>
  <c r="H79" i="12"/>
  <c r="H81" i="12"/>
  <c r="F167" i="12"/>
  <c r="K83" i="12"/>
  <c r="L72" i="12"/>
  <c r="K91" i="12"/>
  <c r="Y54" i="1"/>
  <c r="AP54" i="1"/>
  <c r="L71" i="12"/>
  <c r="J177" i="12"/>
  <c r="J180" i="12" s="1"/>
  <c r="E170" i="12"/>
  <c r="F165" i="12" s="1"/>
  <c r="L109" i="12"/>
  <c r="L73" i="12"/>
  <c r="AP58" i="1"/>
  <c r="AQ58" i="1"/>
  <c r="L77" i="12"/>
  <c r="I114" i="12"/>
  <c r="H114" i="12"/>
  <c r="G79" i="12"/>
  <c r="G81" i="12"/>
  <c r="J28" i="77"/>
  <c r="I43" i="77"/>
  <c r="I28" i="77"/>
  <c r="I20" i="77"/>
  <c r="F166" i="12"/>
  <c r="Q9" i="77"/>
  <c r="Q12" i="77" s="1"/>
  <c r="G114" i="12"/>
  <c r="K40" i="12"/>
  <c r="O40" i="12"/>
  <c r="M141" i="12"/>
  <c r="M143" i="12" s="1"/>
  <c r="M144" i="12" s="1"/>
  <c r="M146" i="12" s="1"/>
  <c r="H43" i="77"/>
  <c r="H20" i="77"/>
  <c r="H26" i="77"/>
  <c r="I95" i="12"/>
  <c r="M57" i="12"/>
  <c r="N40" i="12"/>
  <c r="H93" i="12"/>
  <c r="O141" i="12"/>
  <c r="O143" i="12" s="1"/>
  <c r="O144" i="12" s="1"/>
  <c r="O146" i="12" s="1"/>
  <c r="I15" i="81"/>
  <c r="I23" i="81" s="1"/>
  <c r="H227" i="3"/>
  <c r="I208" i="3"/>
  <c r="G88" i="1"/>
  <c r="H98" i="3" s="1"/>
  <c r="F228" i="3"/>
  <c r="H92" i="12"/>
  <c r="H95" i="12"/>
  <c r="N57" i="12"/>
  <c r="H27" i="1"/>
  <c r="AR27" i="1" s="1"/>
  <c r="F212" i="3"/>
  <c r="J40" i="12"/>
  <c r="O57" i="12"/>
  <c r="H226" i="3"/>
  <c r="I206" i="3"/>
  <c r="AR58" i="1"/>
  <c r="J27" i="1"/>
  <c r="AS27" i="1" s="1"/>
  <c r="M40" i="12"/>
  <c r="M129" i="12"/>
  <c r="P9" i="77"/>
  <c r="P12" i="77" s="1"/>
  <c r="J114" i="12"/>
  <c r="J178" i="12"/>
  <c r="G157" i="1"/>
  <c r="I40" i="12"/>
  <c r="L57" i="12"/>
  <c r="L76" i="12" s="1"/>
  <c r="H205" i="3"/>
  <c r="L141" i="12"/>
  <c r="L143" i="12" s="1"/>
  <c r="L144" i="12" s="1"/>
  <c r="L146" i="12" s="1"/>
  <c r="AX57" i="1"/>
  <c r="P285" i="3"/>
  <c r="U57" i="1"/>
  <c r="AN13" i="1"/>
  <c r="I157" i="12"/>
  <c r="I151" i="12" s="1"/>
  <c r="I99" i="12" s="1"/>
  <c r="F82" i="3"/>
  <c r="E226" i="3"/>
  <c r="G149" i="12"/>
  <c r="O68" i="12"/>
  <c r="N68" i="12"/>
  <c r="F210" i="3"/>
  <c r="F232" i="3"/>
  <c r="F117" i="12"/>
  <c r="N141" i="12"/>
  <c r="N143" i="12" s="1"/>
  <c r="N144" i="12" s="1"/>
  <c r="N146" i="12" s="1"/>
  <c r="H60" i="77"/>
  <c r="H210" i="3"/>
  <c r="H275" i="3"/>
  <c r="J227" i="3"/>
  <c r="AS13" i="1"/>
  <c r="H119" i="12"/>
  <c r="X31" i="1"/>
  <c r="X33" i="1"/>
  <c r="X7" i="1"/>
  <c r="X28" i="1"/>
  <c r="F58" i="3"/>
  <c r="AA22" i="1"/>
  <c r="AA14" i="1"/>
  <c r="AA16" i="1"/>
  <c r="AA59" i="1"/>
  <c r="D119" i="12"/>
  <c r="H149" i="12"/>
  <c r="H117" i="12"/>
  <c r="E203" i="3"/>
  <c r="F49" i="3"/>
  <c r="E231" i="3"/>
  <c r="I86" i="3"/>
  <c r="G164" i="1"/>
  <c r="AY57" i="1"/>
  <c r="I164" i="1"/>
  <c r="AP46" i="1"/>
  <c r="J49" i="3"/>
  <c r="J203" i="3"/>
  <c r="G117" i="12"/>
  <c r="D64" i="77"/>
  <c r="AS58" i="1"/>
  <c r="D63" i="77"/>
  <c r="G63" i="77"/>
  <c r="AO13" i="1"/>
  <c r="H151" i="12"/>
  <c r="H99" i="12" s="1"/>
  <c r="X47" i="1"/>
  <c r="X39" i="1"/>
  <c r="AA60" i="1"/>
  <c r="AA36" i="1"/>
  <c r="AA19" i="1"/>
  <c r="E227" i="3"/>
  <c r="E100" i="12"/>
  <c r="D227" i="3"/>
  <c r="H231" i="3"/>
  <c r="F114" i="12"/>
  <c r="F149" i="12"/>
  <c r="I67" i="77"/>
  <c r="E81" i="3"/>
  <c r="AS46" i="1"/>
  <c r="J209" i="3"/>
  <c r="U133" i="1"/>
  <c r="O133" i="1"/>
  <c r="P133" i="1" s="1"/>
  <c r="Q133" i="1" s="1"/>
  <c r="R133" i="1" s="1"/>
  <c r="S133" i="1" s="1"/>
  <c r="V133" i="1" s="1"/>
  <c r="F227" i="3"/>
  <c r="I58" i="3"/>
  <c r="H203" i="3"/>
  <c r="E152" i="12"/>
  <c r="F69" i="77"/>
  <c r="F64" i="77"/>
  <c r="G73" i="77"/>
  <c r="G72" i="77" s="1"/>
  <c r="G60" i="77"/>
  <c r="D233" i="3"/>
  <c r="D228" i="3"/>
  <c r="E73" i="77"/>
  <c r="F60" i="77"/>
  <c r="E60" i="77"/>
  <c r="F99" i="12"/>
  <c r="F100" i="12" s="1"/>
  <c r="F152" i="12"/>
  <c r="F206" i="3"/>
  <c r="F203" i="3"/>
  <c r="E114" i="12"/>
  <c r="E280" i="3"/>
  <c r="X18" i="1"/>
  <c r="X46" i="1"/>
  <c r="X65" i="1"/>
  <c r="X30" i="1"/>
  <c r="X16" i="1"/>
  <c r="X20" i="1"/>
  <c r="X17" i="1"/>
  <c r="X60" i="1"/>
  <c r="X40" i="1"/>
  <c r="X9" i="1"/>
  <c r="X59" i="1"/>
  <c r="X48" i="1"/>
  <c r="X41" i="1"/>
  <c r="X19" i="1"/>
  <c r="X13" i="1"/>
  <c r="E277" i="3"/>
  <c r="AP13" i="1"/>
  <c r="Y13" i="1"/>
  <c r="G69" i="77"/>
  <c r="I108" i="1"/>
  <c r="AA13" i="1"/>
  <c r="AQ13" i="1"/>
  <c r="D280" i="3"/>
  <c r="D275" i="3"/>
  <c r="D58" i="3"/>
  <c r="AO32" i="1"/>
  <c r="E27" i="1"/>
  <c r="X27" i="1" s="1"/>
  <c r="J149" i="12"/>
  <c r="I149" i="12"/>
  <c r="J119" i="12"/>
  <c r="J117" i="12"/>
  <c r="J129" i="12"/>
  <c r="J157" i="12"/>
  <c r="J151" i="12" s="1"/>
  <c r="J99" i="12" s="1"/>
  <c r="AR32" i="1"/>
  <c r="E58" i="3"/>
  <c r="G64" i="77"/>
  <c r="E119" i="12"/>
  <c r="D209" i="3"/>
  <c r="H206" i="3"/>
  <c r="E117" i="12"/>
  <c r="D117" i="12"/>
  <c r="K129" i="12"/>
  <c r="AZ57" i="1"/>
  <c r="J82" i="3"/>
  <c r="J210" i="3"/>
  <c r="AC22" i="1"/>
  <c r="AC47" i="1"/>
  <c r="AC37" i="1"/>
  <c r="AC33" i="1"/>
  <c r="AC8" i="1"/>
  <c r="AC7" i="1"/>
  <c r="AC17" i="1"/>
  <c r="AC10" i="1"/>
  <c r="AC5" i="1"/>
  <c r="I73" i="77"/>
  <c r="F226" i="3"/>
  <c r="D226" i="3"/>
  <c r="E205" i="3"/>
  <c r="D206" i="3"/>
  <c r="E82" i="3"/>
  <c r="E208" i="3"/>
  <c r="F209" i="3"/>
  <c r="F231" i="3"/>
  <c r="F233" i="3"/>
  <c r="H232" i="3"/>
  <c r="I69" i="77"/>
  <c r="J70" i="77" s="1"/>
  <c r="V57" i="1"/>
  <c r="BB57" i="1"/>
  <c r="E275" i="3"/>
  <c r="E279" i="3"/>
  <c r="F275" i="3"/>
  <c r="F276" i="3"/>
  <c r="I64" i="77"/>
  <c r="J204" i="3"/>
  <c r="J226" i="3"/>
  <c r="J232" i="3"/>
  <c r="I34" i="81"/>
  <c r="J212" i="3"/>
  <c r="AC34" i="1"/>
  <c r="AC20" i="1"/>
  <c r="AC39" i="1"/>
  <c r="AC21" i="1"/>
  <c r="AC9" i="1"/>
  <c r="G119" i="12"/>
  <c r="D72" i="77"/>
  <c r="D203" i="3"/>
  <c r="F204" i="3"/>
  <c r="AP32" i="1"/>
  <c r="F208" i="3"/>
  <c r="E210" i="3"/>
  <c r="E212" i="3"/>
  <c r="E232" i="3"/>
  <c r="H209" i="3"/>
  <c r="H228" i="3"/>
  <c r="I60" i="77"/>
  <c r="BA57" i="1"/>
  <c r="I28" i="3"/>
  <c r="J206" i="3"/>
  <c r="J233" i="3"/>
  <c r="J228" i="3"/>
  <c r="F3" i="81"/>
  <c r="G31" i="81"/>
  <c r="K3" i="81"/>
  <c r="I11" i="81"/>
  <c r="I19" i="81" s="1"/>
  <c r="H164" i="1"/>
  <c r="D88" i="1"/>
  <c r="E98" i="3" s="1"/>
  <c r="AN32" i="1"/>
  <c r="E84" i="3"/>
  <c r="AS32" i="1"/>
  <c r="X32" i="1"/>
  <c r="AC32" i="1"/>
  <c r="J25" i="77"/>
  <c r="J43" i="77"/>
  <c r="K43" i="77" s="1"/>
  <c r="L43" i="77" s="1"/>
  <c r="AT7" i="1"/>
  <c r="K388" i="3"/>
  <c r="I250" i="3"/>
  <c r="I157" i="1"/>
  <c r="I88" i="1"/>
  <c r="J98" i="3" s="1"/>
  <c r="H250" i="3"/>
  <c r="H88" i="1"/>
  <c r="I98" i="3" s="1"/>
  <c r="U90" i="1"/>
  <c r="Y27" i="1"/>
  <c r="AQ32" i="1"/>
  <c r="G58" i="3"/>
  <c r="D207" i="3"/>
  <c r="G27" i="1"/>
  <c r="G207" i="3" s="1"/>
  <c r="I83" i="3"/>
  <c r="I80" i="3"/>
  <c r="E257" i="3"/>
  <c r="G46" i="3"/>
  <c r="G87" i="3"/>
  <c r="Q13" i="3"/>
  <c r="J145" i="1"/>
  <c r="H80" i="3"/>
  <c r="J80" i="3"/>
  <c r="O93" i="3"/>
  <c r="D211" i="3"/>
  <c r="F78" i="3"/>
  <c r="G80" i="3"/>
  <c r="F28" i="3"/>
  <c r="E211" i="3"/>
  <c r="H83" i="3"/>
  <c r="H84" i="3"/>
  <c r="H86" i="3"/>
  <c r="O129" i="12"/>
  <c r="F87" i="3"/>
  <c r="I211" i="3"/>
  <c r="I91" i="3"/>
  <c r="P13" i="3"/>
  <c r="E78" i="3"/>
  <c r="E80" i="3"/>
  <c r="E85" i="3"/>
  <c r="I87" i="3"/>
  <c r="K66" i="77"/>
  <c r="K67" i="77" s="1"/>
  <c r="G84" i="3"/>
  <c r="F91" i="3"/>
  <c r="E83" i="3"/>
  <c r="H46" i="3"/>
  <c r="I79" i="3"/>
  <c r="G257" i="3"/>
  <c r="AW57" i="1"/>
  <c r="H257" i="3"/>
  <c r="D91" i="3"/>
  <c r="G78" i="3"/>
  <c r="H78" i="3"/>
  <c r="H194" i="3"/>
  <c r="H208" i="3"/>
  <c r="I22" i="3"/>
  <c r="I24" i="3" s="1"/>
  <c r="AT36" i="1"/>
  <c r="D257" i="3"/>
  <c r="H22" i="3"/>
  <c r="H24" i="3" s="1"/>
  <c r="K152" i="1"/>
  <c r="J149" i="1"/>
  <c r="I209" i="3"/>
  <c r="AT17" i="1"/>
  <c r="H91" i="3"/>
  <c r="G85" i="3"/>
  <c r="H85" i="3"/>
  <c r="G246" i="3"/>
  <c r="H249" i="3" s="1"/>
  <c r="O153" i="3"/>
  <c r="P153" i="3" s="1"/>
  <c r="Q153" i="3" s="1"/>
  <c r="I207" i="3"/>
  <c r="I194" i="3"/>
  <c r="J78" i="3"/>
  <c r="I78" i="3"/>
  <c r="E91" i="3"/>
  <c r="F85" i="3"/>
  <c r="G91" i="3"/>
  <c r="D194" i="3"/>
  <c r="E194" i="3"/>
  <c r="F211" i="3"/>
  <c r="F246" i="3"/>
  <c r="G249" i="3" s="1"/>
  <c r="G211" i="3"/>
  <c r="H28" i="3"/>
  <c r="K36" i="81"/>
  <c r="L388" i="3" s="1"/>
  <c r="K12" i="77"/>
  <c r="F81" i="3"/>
  <c r="F84" i="3"/>
  <c r="H79" i="3"/>
  <c r="I81" i="3"/>
  <c r="I85" i="3"/>
  <c r="H211" i="3"/>
  <c r="E86" i="3"/>
  <c r="F266" i="3"/>
  <c r="I257" i="3"/>
  <c r="G48" i="3"/>
  <c r="G22" i="3"/>
  <c r="G24" i="3" s="1"/>
  <c r="N129" i="12"/>
  <c r="H53" i="3"/>
  <c r="H103" i="3" s="1"/>
  <c r="E209" i="3"/>
  <c r="E204" i="3"/>
  <c r="E87" i="3"/>
  <c r="F79" i="3"/>
  <c r="G79" i="3"/>
  <c r="E46" i="3"/>
  <c r="D44" i="3"/>
  <c r="D28" i="3"/>
  <c r="E79" i="3"/>
  <c r="F83" i="3"/>
  <c r="G83" i="3"/>
  <c r="N283" i="3"/>
  <c r="D208" i="3"/>
  <c r="E28" i="3"/>
  <c r="E41" i="3"/>
  <c r="F257" i="3"/>
  <c r="H81" i="3"/>
  <c r="G81" i="3"/>
  <c r="L129" i="12"/>
  <c r="I46" i="3"/>
  <c r="K149" i="12"/>
  <c r="L148" i="12"/>
  <c r="G86" i="3"/>
  <c r="F86" i="3"/>
  <c r="F80" i="3"/>
  <c r="F194" i="3"/>
  <c r="F207" i="3"/>
  <c r="G28" i="3"/>
  <c r="G208" i="3"/>
  <c r="G194" i="3"/>
  <c r="E266" i="3"/>
  <c r="H266" i="3"/>
  <c r="L284" i="3"/>
  <c r="K282" i="3"/>
  <c r="F46" i="3"/>
  <c r="F48" i="3"/>
  <c r="G47" i="3"/>
  <c r="V123" i="1"/>
  <c r="K176" i="1"/>
  <c r="U123" i="1"/>
  <c r="G266" i="3"/>
  <c r="AT28" i="1"/>
  <c r="H246" i="3"/>
  <c r="I249" i="3" s="1"/>
  <c r="AT30" i="1"/>
  <c r="AT40" i="1"/>
  <c r="AT34" i="1"/>
  <c r="AT33" i="1"/>
  <c r="G277" i="3"/>
  <c r="Z30" i="1"/>
  <c r="Z40" i="1"/>
  <c r="G49" i="3"/>
  <c r="G82" i="3"/>
  <c r="Z60" i="1"/>
  <c r="Z17" i="1"/>
  <c r="Z23" i="1"/>
  <c r="Z37" i="1"/>
  <c r="Z58" i="1"/>
  <c r="Z7" i="1"/>
  <c r="Z19" i="1"/>
  <c r="Z14" i="1"/>
  <c r="Z65" i="1"/>
  <c r="G212" i="3"/>
  <c r="G279" i="3"/>
  <c r="P10" i="81"/>
  <c r="G204" i="3"/>
  <c r="G210" i="3"/>
  <c r="Z55" i="1"/>
  <c r="Z33" i="1"/>
  <c r="Z59" i="1"/>
  <c r="Z38" i="1"/>
  <c r="Z20" i="1"/>
  <c r="Z46" i="1"/>
  <c r="Z48" i="1"/>
  <c r="Z31" i="1"/>
  <c r="Z41" i="1"/>
  <c r="E74" i="77"/>
  <c r="E69" i="77"/>
  <c r="I63" i="77"/>
  <c r="H63" i="77"/>
  <c r="H74" i="77"/>
  <c r="Z18" i="1"/>
  <c r="Z28" i="1"/>
  <c r="Z54" i="1"/>
  <c r="G232" i="3"/>
  <c r="Z47" i="1"/>
  <c r="E67" i="77"/>
  <c r="D67" i="77"/>
  <c r="D69" i="77"/>
  <c r="I5" i="1"/>
  <c r="I6" i="1" s="1"/>
  <c r="I44" i="3"/>
  <c r="I45" i="3"/>
  <c r="I43" i="3"/>
  <c r="I47" i="3"/>
  <c r="I42" i="3"/>
  <c r="AR8" i="1"/>
  <c r="AP5" i="1"/>
  <c r="F63" i="77"/>
  <c r="E63" i="77"/>
  <c r="Z57" i="1"/>
  <c r="Z22" i="1"/>
  <c r="Z36" i="1"/>
  <c r="I117" i="12"/>
  <c r="G233" i="3"/>
  <c r="G67" i="77"/>
  <c r="Z21" i="1"/>
  <c r="G278" i="3"/>
  <c r="H69" i="77"/>
  <c r="G34" i="81"/>
  <c r="H278" i="3"/>
  <c r="H49" i="3"/>
  <c r="AA65" i="1"/>
  <c r="AA39" i="1"/>
  <c r="AA47" i="1"/>
  <c r="AA34" i="1"/>
  <c r="AA57" i="1"/>
  <c r="AA7" i="1"/>
  <c r="AA18" i="1"/>
  <c r="AA8" i="1"/>
  <c r="AA33" i="1"/>
  <c r="H82" i="3"/>
  <c r="H212" i="3"/>
  <c r="H233" i="3"/>
  <c r="AQ5" i="1"/>
  <c r="H280" i="3"/>
  <c r="AA58" i="1"/>
  <c r="AA56" i="1"/>
  <c r="AA31" i="1"/>
  <c r="AA37" i="1"/>
  <c r="AA40" i="1"/>
  <c r="AA9" i="1"/>
  <c r="AA20" i="1"/>
  <c r="AA30" i="1"/>
  <c r="AA10" i="1"/>
  <c r="AA38" i="1"/>
  <c r="H204" i="3"/>
  <c r="AA32" i="1"/>
  <c r="G44" i="3"/>
  <c r="G45" i="3"/>
  <c r="G42" i="3"/>
  <c r="Z8" i="1"/>
  <c r="G43" i="3"/>
  <c r="Z32" i="1"/>
  <c r="D279" i="3"/>
  <c r="D277" i="3"/>
  <c r="D204" i="3"/>
  <c r="D210" i="3"/>
  <c r="AN5" i="1"/>
  <c r="D278" i="3"/>
  <c r="D231" i="3"/>
  <c r="G151" i="12"/>
  <c r="D205" i="3"/>
  <c r="D232" i="3"/>
  <c r="AS8" i="1"/>
  <c r="D212" i="3"/>
  <c r="AP8" i="1"/>
  <c r="D49" i="3"/>
  <c r="D276" i="3"/>
  <c r="Z16" i="1"/>
  <c r="Z35" i="1"/>
  <c r="G231" i="3"/>
  <c r="E64" i="77"/>
  <c r="Z9" i="1"/>
  <c r="G205" i="3"/>
  <c r="G276" i="3"/>
  <c r="G41" i="3"/>
  <c r="H67" i="77"/>
  <c r="AQ8" i="1"/>
  <c r="H276" i="3"/>
  <c r="E278" i="3"/>
  <c r="F277" i="3"/>
  <c r="F278" i="3"/>
  <c r="F279" i="3"/>
  <c r="E276" i="3"/>
  <c r="H277" i="3"/>
  <c r="H279" i="3"/>
  <c r="E250" i="3"/>
  <c r="H157" i="1"/>
  <c r="F157" i="1"/>
  <c r="F250" i="3"/>
  <c r="G98" i="3"/>
  <c r="I246" i="3"/>
  <c r="J249" i="3" s="1"/>
  <c r="D246" i="3"/>
  <c r="E246" i="3"/>
  <c r="F249" i="3" s="1"/>
  <c r="G275" i="3"/>
  <c r="I266" i="3"/>
  <c r="J157" i="1"/>
  <c r="I38" i="81" s="1"/>
  <c r="P130" i="1"/>
  <c r="Q130" i="1" s="1"/>
  <c r="R130" i="1" s="1"/>
  <c r="S130" i="1" s="1"/>
  <c r="V130" i="1" s="1"/>
  <c r="U130" i="1"/>
  <c r="O128" i="1"/>
  <c r="P128" i="1" s="1"/>
  <c r="Q128" i="1" s="1"/>
  <c r="R128" i="1" s="1"/>
  <c r="S128" i="1" s="1"/>
  <c r="V128" i="1" s="1"/>
  <c r="U128" i="1"/>
  <c r="U106" i="1"/>
  <c r="O106" i="1"/>
  <c r="P106" i="1" s="1"/>
  <c r="Q106" i="1" s="1"/>
  <c r="R106" i="1" s="1"/>
  <c r="S106" i="1" s="1"/>
  <c r="V106" i="1" s="1"/>
  <c r="J148" i="1"/>
  <c r="J80" i="1"/>
  <c r="J142" i="1" s="1"/>
  <c r="J147" i="1"/>
  <c r="J108" i="1"/>
  <c r="J141" i="1"/>
  <c r="J88" i="1"/>
  <c r="F98" i="3" l="1"/>
  <c r="F11" i="77"/>
  <c r="F15" i="77"/>
  <c r="G15" i="77"/>
  <c r="I73" i="3"/>
  <c r="I76" i="3"/>
  <c r="I74" i="3"/>
  <c r="D249" i="3"/>
  <c r="E249" i="3"/>
  <c r="D53" i="3"/>
  <c r="D103" i="3" s="1"/>
  <c r="D77" i="3"/>
  <c r="F53" i="3"/>
  <c r="F103" i="3" s="1"/>
  <c r="F77" i="3"/>
  <c r="I53" i="3"/>
  <c r="I103" i="3" s="1"/>
  <c r="I77" i="3"/>
  <c r="G53" i="3"/>
  <c r="G103" i="3" s="1"/>
  <c r="G77" i="3"/>
  <c r="E53" i="3"/>
  <c r="E103" i="3" s="1"/>
  <c r="E77" i="3"/>
  <c r="O240" i="3"/>
  <c r="P240" i="3" s="1"/>
  <c r="Q240" i="3" s="1"/>
  <c r="R240" i="3" s="1"/>
  <c r="S240" i="3" s="1"/>
  <c r="O239" i="3"/>
  <c r="N246" i="3"/>
  <c r="F162" i="12"/>
  <c r="F170" i="12" s="1"/>
  <c r="F163" i="12"/>
  <c r="N348" i="3"/>
  <c r="M378" i="3"/>
  <c r="F169" i="12"/>
  <c r="J44" i="77"/>
  <c r="J45" i="77" s="1"/>
  <c r="J41" i="77" s="1"/>
  <c r="I72" i="77"/>
  <c r="AC27" i="1"/>
  <c r="H72" i="77"/>
  <c r="J15" i="77"/>
  <c r="I11" i="77"/>
  <c r="J12" i="77" s="1"/>
  <c r="J6" i="1"/>
  <c r="I15" i="77"/>
  <c r="D25" i="1"/>
  <c r="J207" i="3"/>
  <c r="F38" i="81"/>
  <c r="H38" i="81"/>
  <c r="I275" i="3"/>
  <c r="I24" i="1"/>
  <c r="E72" i="77"/>
  <c r="AA27" i="1"/>
  <c r="H207" i="3"/>
  <c r="P289" i="3"/>
  <c r="Q289" i="3" s="1"/>
  <c r="R289" i="3" s="1"/>
  <c r="S289" i="3" s="1"/>
  <c r="AO27" i="1"/>
  <c r="E207" i="3"/>
  <c r="AN24" i="1"/>
  <c r="I152" i="12"/>
  <c r="J100" i="12"/>
  <c r="G70" i="77"/>
  <c r="H70" i="77"/>
  <c r="AN27" i="1"/>
  <c r="AO24" i="1"/>
  <c r="J152" i="12"/>
  <c r="F43" i="1"/>
  <c r="F137" i="1" s="1"/>
  <c r="F155" i="1" s="1"/>
  <c r="H58" i="85"/>
  <c r="G60" i="85"/>
  <c r="J179" i="12"/>
  <c r="K42" i="12"/>
  <c r="K45" i="12"/>
  <c r="L83" i="12"/>
  <c r="M71" i="12"/>
  <c r="L91" i="12"/>
  <c r="M72" i="12"/>
  <c r="M77" i="12"/>
  <c r="M73" i="12"/>
  <c r="M109" i="12"/>
  <c r="F168" i="12"/>
  <c r="F164" i="12"/>
  <c r="K79" i="12"/>
  <c r="K81" i="12"/>
  <c r="J95" i="12"/>
  <c r="K95" i="12" s="1"/>
  <c r="L95" i="12" s="1"/>
  <c r="M95" i="12" s="1"/>
  <c r="N95" i="12" s="1"/>
  <c r="O95" i="12" s="1"/>
  <c r="L82" i="12"/>
  <c r="L75" i="12"/>
  <c r="L79" i="12" s="1"/>
  <c r="L90" i="12"/>
  <c r="M76" i="12"/>
  <c r="I100" i="12"/>
  <c r="Y24" i="1"/>
  <c r="F25" i="1"/>
  <c r="AQ24" i="1"/>
  <c r="L3" i="81"/>
  <c r="K31" i="81"/>
  <c r="E3" i="81"/>
  <c r="F31" i="81"/>
  <c r="D52" i="1"/>
  <c r="K44" i="77"/>
  <c r="L44" i="77"/>
  <c r="M43" i="77"/>
  <c r="J40" i="77"/>
  <c r="L66" i="77"/>
  <c r="L67" i="77" s="1"/>
  <c r="O55" i="77"/>
  <c r="O54" i="77" s="1"/>
  <c r="Z27" i="1"/>
  <c r="AP27" i="1"/>
  <c r="AQ27" i="1"/>
  <c r="D44" i="1"/>
  <c r="J47" i="77"/>
  <c r="J48" i="77" s="1"/>
  <c r="J37" i="77"/>
  <c r="AU56" i="1"/>
  <c r="L152" i="1"/>
  <c r="M318" i="3"/>
  <c r="L36" i="81"/>
  <c r="Q285" i="3"/>
  <c r="R285" i="3" s="1"/>
  <c r="S285" i="3" s="1"/>
  <c r="D274" i="3"/>
  <c r="E274" i="3"/>
  <c r="H274" i="3"/>
  <c r="AT48" i="1"/>
  <c r="M284" i="3"/>
  <c r="L282" i="3"/>
  <c r="L149" i="12"/>
  <c r="M148" i="12"/>
  <c r="R153" i="3"/>
  <c r="F274" i="3"/>
  <c r="L176" i="1"/>
  <c r="K166" i="1"/>
  <c r="K165" i="1" s="1"/>
  <c r="K356" i="3"/>
  <c r="O283" i="3"/>
  <c r="P99" i="3"/>
  <c r="O253" i="3"/>
  <c r="U101" i="1"/>
  <c r="I82" i="3"/>
  <c r="I204" i="3"/>
  <c r="I205" i="3"/>
  <c r="I233" i="3"/>
  <c r="I49" i="3"/>
  <c r="I279" i="3"/>
  <c r="I231" i="3"/>
  <c r="AB17" i="1"/>
  <c r="AB28" i="1"/>
  <c r="AB9" i="1"/>
  <c r="AB14" i="1"/>
  <c r="AB31" i="1"/>
  <c r="AB5" i="1"/>
  <c r="AB47" i="1"/>
  <c r="H34" i="81"/>
  <c r="AB21" i="1"/>
  <c r="AB16" i="1"/>
  <c r="AB36" i="1"/>
  <c r="AB40" i="1"/>
  <c r="AB46" i="1"/>
  <c r="AB37" i="1"/>
  <c r="AB18" i="1"/>
  <c r="AB10" i="1"/>
  <c r="AB19" i="1"/>
  <c r="AB41" i="1"/>
  <c r="AB38" i="1"/>
  <c r="AB34" i="1"/>
  <c r="AB32" i="1"/>
  <c r="AB13" i="1"/>
  <c r="AB65" i="1"/>
  <c r="AB33" i="1"/>
  <c r="AB57" i="1"/>
  <c r="AR5" i="1"/>
  <c r="AB35" i="1"/>
  <c r="AB20" i="1"/>
  <c r="AB48" i="1"/>
  <c r="AB7" i="1"/>
  <c r="AB55" i="1"/>
  <c r="AB22" i="1"/>
  <c r="AB58" i="1"/>
  <c r="I280" i="3"/>
  <c r="I232" i="3"/>
  <c r="AB15" i="1"/>
  <c r="AB56" i="1"/>
  <c r="AB39" i="1"/>
  <c r="AS5" i="1"/>
  <c r="AB27" i="1"/>
  <c r="AB54" i="1"/>
  <c r="I210" i="3"/>
  <c r="I212" i="3"/>
  <c r="I278" i="3"/>
  <c r="AB30" i="1"/>
  <c r="AB59" i="1"/>
  <c r="AB60" i="1"/>
  <c r="I277" i="3"/>
  <c r="I276" i="3"/>
  <c r="AB8" i="1"/>
  <c r="I70" i="77"/>
  <c r="E70" i="77"/>
  <c r="F70" i="77"/>
  <c r="G43" i="1"/>
  <c r="AP24" i="1"/>
  <c r="G25" i="1"/>
  <c r="Z24" i="1"/>
  <c r="G274" i="3"/>
  <c r="D66" i="1"/>
  <c r="D68" i="1"/>
  <c r="D63" i="1"/>
  <c r="G99" i="12"/>
  <c r="G152" i="12"/>
  <c r="H152" i="12"/>
  <c r="D38" i="81"/>
  <c r="G38" i="81"/>
  <c r="E38" i="81"/>
  <c r="O127" i="1"/>
  <c r="J138" i="1"/>
  <c r="I39" i="81" s="1"/>
  <c r="F12" i="77" l="1"/>
  <c r="G12" i="77"/>
  <c r="P255" i="3"/>
  <c r="Q255" i="3" s="1"/>
  <c r="R255" i="3" s="1"/>
  <c r="S255" i="3" s="1"/>
  <c r="O248" i="3"/>
  <c r="P262" i="3"/>
  <c r="Q262" i="3" s="1"/>
  <c r="R262" i="3" s="1"/>
  <c r="S262" i="3" s="1"/>
  <c r="L48" i="77"/>
  <c r="M48" i="77" s="1"/>
  <c r="O246" i="3"/>
  <c r="Q304" i="3"/>
  <c r="R304" i="3" s="1"/>
  <c r="S304" i="3" s="1"/>
  <c r="O348" i="3"/>
  <c r="N378" i="3"/>
  <c r="M388" i="3"/>
  <c r="M36" i="81"/>
  <c r="N388" i="3" s="1"/>
  <c r="L78" i="12"/>
  <c r="I12" i="77"/>
  <c r="AP25" i="1"/>
  <c r="E25" i="1"/>
  <c r="P239" i="3"/>
  <c r="X24" i="1"/>
  <c r="E43" i="1"/>
  <c r="X43" i="1" s="1"/>
  <c r="E35" i="81"/>
  <c r="E41" i="81" s="1"/>
  <c r="Y43" i="1"/>
  <c r="F44" i="1"/>
  <c r="F51" i="1"/>
  <c r="H60" i="85"/>
  <c r="K89" i="12"/>
  <c r="L45" i="12"/>
  <c r="K46" i="12"/>
  <c r="N73" i="12"/>
  <c r="M83" i="12"/>
  <c r="M91" i="12"/>
  <c r="N71" i="12"/>
  <c r="N77" i="12"/>
  <c r="N72" i="12"/>
  <c r="N109" i="12"/>
  <c r="O109" i="12" s="1"/>
  <c r="M90" i="12"/>
  <c r="M75" i="12"/>
  <c r="M82" i="12"/>
  <c r="M78" i="12"/>
  <c r="N76" i="12"/>
  <c r="L81" i="12"/>
  <c r="L89" i="12"/>
  <c r="L102" i="12" s="1"/>
  <c r="L105" i="12" s="1"/>
  <c r="L93" i="12"/>
  <c r="K48" i="12"/>
  <c r="K43" i="12"/>
  <c r="L42" i="12"/>
  <c r="M66" i="77"/>
  <c r="N66" i="77" s="1"/>
  <c r="AC24" i="1"/>
  <c r="J25" i="1"/>
  <c r="J43" i="1"/>
  <c r="AA24" i="1"/>
  <c r="H43" i="1"/>
  <c r="AQ43" i="1" s="1"/>
  <c r="H25" i="1"/>
  <c r="AQ25" i="1" s="1"/>
  <c r="E31" i="81"/>
  <c r="D3" i="81"/>
  <c r="M3" i="81"/>
  <c r="Q23" i="81" s="1"/>
  <c r="L31" i="81"/>
  <c r="K45" i="77"/>
  <c r="K38" i="77"/>
  <c r="N43" i="77"/>
  <c r="M44" i="77"/>
  <c r="L38" i="77"/>
  <c r="L45" i="77"/>
  <c r="P55" i="77"/>
  <c r="P54" i="77" s="1"/>
  <c r="J52" i="77"/>
  <c r="K51" i="77"/>
  <c r="J21" i="3"/>
  <c r="J51" i="77"/>
  <c r="AV56" i="1"/>
  <c r="P109" i="3"/>
  <c r="N318" i="3"/>
  <c r="N119" i="3"/>
  <c r="N120" i="3" s="1"/>
  <c r="L166" i="1"/>
  <c r="L165" i="1" s="1"/>
  <c r="L356" i="3"/>
  <c r="N284" i="3"/>
  <c r="M282" i="3"/>
  <c r="I274" i="3"/>
  <c r="N148" i="12"/>
  <c r="M149" i="12"/>
  <c r="P283" i="3"/>
  <c r="S153" i="3"/>
  <c r="O321" i="3"/>
  <c r="Q99" i="3"/>
  <c r="O101" i="1"/>
  <c r="P253" i="3"/>
  <c r="G137" i="1"/>
  <c r="G155" i="1" s="1"/>
  <c r="AP43" i="1"/>
  <c r="P11" i="81"/>
  <c r="P15" i="81" s="1"/>
  <c r="Z43" i="1"/>
  <c r="G51" i="1"/>
  <c r="G44" i="1"/>
  <c r="F35" i="81"/>
  <c r="F41" i="81" s="1"/>
  <c r="J28" i="3"/>
  <c r="G100" i="12"/>
  <c r="H100" i="12"/>
  <c r="D132" i="1"/>
  <c r="D125" i="1" s="1"/>
  <c r="D2" i="1" s="1"/>
  <c r="D69" i="1"/>
  <c r="D328" i="3"/>
  <c r="K9" i="1"/>
  <c r="K8" i="1" s="1"/>
  <c r="K74" i="77"/>
  <c r="K72" i="77" s="1"/>
  <c r="K69" i="77"/>
  <c r="I43" i="1"/>
  <c r="AB24" i="1"/>
  <c r="I25" i="1"/>
  <c r="AR24" i="1"/>
  <c r="AS24" i="1"/>
  <c r="J87" i="3"/>
  <c r="J274" i="3"/>
  <c r="J266" i="3"/>
  <c r="U127" i="1"/>
  <c r="U115" i="1"/>
  <c r="O115" i="1"/>
  <c r="O150" i="1" s="1"/>
  <c r="M47" i="77" l="1"/>
  <c r="M36" i="77" s="1"/>
  <c r="N48" i="77"/>
  <c r="K45" i="3"/>
  <c r="K42" i="3"/>
  <c r="K41" i="3"/>
  <c r="K47" i="3"/>
  <c r="K44" i="3"/>
  <c r="K43" i="3"/>
  <c r="AN25" i="1"/>
  <c r="P24" i="81"/>
  <c r="P348" i="3"/>
  <c r="O378" i="3"/>
  <c r="M67" i="77"/>
  <c r="AO25" i="1"/>
  <c r="Q239" i="3"/>
  <c r="P246" i="3"/>
  <c r="E44" i="1"/>
  <c r="AN44" i="1" s="1"/>
  <c r="E51" i="1"/>
  <c r="E62" i="1" s="1"/>
  <c r="AN62" i="1" s="1"/>
  <c r="E137" i="1"/>
  <c r="E155" i="1" s="1"/>
  <c r="AN43" i="1"/>
  <c r="AO43" i="1"/>
  <c r="D35" i="81"/>
  <c r="D41" i="81" s="1"/>
  <c r="AP44" i="1"/>
  <c r="Y51" i="1"/>
  <c r="F62" i="1"/>
  <c r="F52" i="1"/>
  <c r="L47" i="77"/>
  <c r="K40" i="77"/>
  <c r="N75" i="12"/>
  <c r="N90" i="12"/>
  <c r="N82" i="12"/>
  <c r="O76" i="12"/>
  <c r="N78" i="12"/>
  <c r="M89" i="12"/>
  <c r="M102" i="12" s="1"/>
  <c r="M105" i="12" s="1"/>
  <c r="M81" i="12"/>
  <c r="O77" i="12"/>
  <c r="N79" i="12"/>
  <c r="O73" i="12"/>
  <c r="N83" i="12"/>
  <c r="O72" i="12"/>
  <c r="O71" i="12"/>
  <c r="N91" i="12"/>
  <c r="L46" i="12"/>
  <c r="M45" i="12"/>
  <c r="L92" i="12"/>
  <c r="K102" i="12"/>
  <c r="K105" i="12" s="1"/>
  <c r="K92" i="12"/>
  <c r="K93" i="12"/>
  <c r="L43" i="12"/>
  <c r="L48" i="12"/>
  <c r="L49" i="12" s="1"/>
  <c r="M42" i="12"/>
  <c r="L108" i="12"/>
  <c r="L106" i="12"/>
  <c r="L113" i="12"/>
  <c r="K37" i="77"/>
  <c r="K19" i="77"/>
  <c r="M79" i="12"/>
  <c r="N36" i="81"/>
  <c r="H51" i="1"/>
  <c r="AQ51" i="1" s="1"/>
  <c r="AA43" i="1"/>
  <c r="H137" i="1"/>
  <c r="H155" i="1" s="1"/>
  <c r="G35" i="81"/>
  <c r="G41" i="81" s="1"/>
  <c r="H44" i="1"/>
  <c r="AQ44" i="1" s="1"/>
  <c r="I35" i="81"/>
  <c r="I37" i="81" s="1"/>
  <c r="J51" i="1"/>
  <c r="AC43" i="1"/>
  <c r="J137" i="1"/>
  <c r="J155" i="1" s="1"/>
  <c r="J44" i="1"/>
  <c r="D31" i="81"/>
  <c r="P18" i="81"/>
  <c r="P23" i="81" s="1"/>
  <c r="N3" i="81"/>
  <c r="M31" i="81"/>
  <c r="Q18" i="81"/>
  <c r="M45" i="77"/>
  <c r="M38" i="77"/>
  <c r="O43" i="77"/>
  <c r="N44" i="77"/>
  <c r="Q55" i="77"/>
  <c r="J22" i="3"/>
  <c r="J24" i="3" s="1"/>
  <c r="K60" i="77"/>
  <c r="O318" i="3"/>
  <c r="O120" i="3"/>
  <c r="Q109" i="3"/>
  <c r="O85" i="1"/>
  <c r="O143" i="1" s="1"/>
  <c r="P199" i="3"/>
  <c r="P93" i="3"/>
  <c r="O316" i="3"/>
  <c r="Q283" i="3"/>
  <c r="O120" i="1"/>
  <c r="O152" i="1" s="1"/>
  <c r="P321" i="3"/>
  <c r="U120" i="1"/>
  <c r="S160" i="3"/>
  <c r="S169" i="3" s="1"/>
  <c r="N149" i="12"/>
  <c r="O148" i="12"/>
  <c r="O149" i="12" s="1"/>
  <c r="O149" i="3"/>
  <c r="O284" i="3"/>
  <c r="N282" i="3"/>
  <c r="U85" i="1"/>
  <c r="U56" i="1"/>
  <c r="AW56" i="1"/>
  <c r="M356" i="3"/>
  <c r="O56" i="1"/>
  <c r="O327" i="3"/>
  <c r="O126" i="1" s="1"/>
  <c r="O176" i="1" s="1"/>
  <c r="R99" i="3"/>
  <c r="Q253" i="3"/>
  <c r="P101" i="1"/>
  <c r="Z51" i="1"/>
  <c r="G52" i="1"/>
  <c r="AP51" i="1"/>
  <c r="G62" i="1"/>
  <c r="I51" i="1"/>
  <c r="H35" i="81"/>
  <c r="I44" i="1"/>
  <c r="AR43" i="1"/>
  <c r="I137" i="1"/>
  <c r="I155" i="1" s="1"/>
  <c r="AB43" i="1"/>
  <c r="AS43" i="1"/>
  <c r="AT9" i="1"/>
  <c r="J53" i="3"/>
  <c r="J103" i="3" s="1"/>
  <c r="N67" i="77"/>
  <c r="O66" i="77"/>
  <c r="AR25" i="1"/>
  <c r="AS25" i="1"/>
  <c r="P127" i="1"/>
  <c r="P115" i="1"/>
  <c r="P150" i="1" s="1"/>
  <c r="R55" i="77" l="1"/>
  <c r="R54" i="77" s="1"/>
  <c r="Q54" i="77"/>
  <c r="L36" i="77"/>
  <c r="M37" i="77" s="1"/>
  <c r="Q348" i="3"/>
  <c r="P378" i="3"/>
  <c r="O388" i="3"/>
  <c r="O36" i="81"/>
  <c r="P36" i="81" s="1"/>
  <c r="M92" i="12"/>
  <c r="O164" i="3"/>
  <c r="O173" i="3" s="1"/>
  <c r="E68" i="1"/>
  <c r="AN68" i="1" s="1"/>
  <c r="X51" i="1"/>
  <c r="E63" i="1"/>
  <c r="AN63" i="1" s="1"/>
  <c r="R239" i="3"/>
  <c r="Q246" i="3"/>
  <c r="E66" i="1"/>
  <c r="AN66" i="1" s="1"/>
  <c r="AO51" i="1"/>
  <c r="AO44" i="1"/>
  <c r="X62" i="1"/>
  <c r="E52" i="1"/>
  <c r="AN52" i="1" s="1"/>
  <c r="AN51" i="1"/>
  <c r="AO62" i="1"/>
  <c r="AP52" i="1"/>
  <c r="Y62" i="1"/>
  <c r="F63" i="1"/>
  <c r="F68" i="1"/>
  <c r="F66" i="1"/>
  <c r="AX56" i="1"/>
  <c r="M48" i="12"/>
  <c r="M49" i="12" s="1"/>
  <c r="N42" i="12"/>
  <c r="M43" i="12"/>
  <c r="M113" i="12"/>
  <c r="M108" i="12"/>
  <c r="M106" i="12"/>
  <c r="K23" i="77"/>
  <c r="K25" i="77"/>
  <c r="K20" i="77"/>
  <c r="K28" i="77"/>
  <c r="L178" i="12"/>
  <c r="L180" i="12"/>
  <c r="L179" i="12"/>
  <c r="O75" i="12"/>
  <c r="O90" i="12"/>
  <c r="O82" i="12"/>
  <c r="K108" i="12"/>
  <c r="K113" i="12"/>
  <c r="L114" i="12" s="1"/>
  <c r="K106" i="12"/>
  <c r="M46" i="12"/>
  <c r="N45" i="12"/>
  <c r="O83" i="12"/>
  <c r="O79" i="12"/>
  <c r="O91" i="12"/>
  <c r="M93" i="12"/>
  <c r="N81" i="12"/>
  <c r="N89" i="12"/>
  <c r="N102" i="12" s="1"/>
  <c r="N105" i="12" s="1"/>
  <c r="J52" i="1"/>
  <c r="AC51" i="1"/>
  <c r="J385" i="3"/>
  <c r="J389" i="3" s="1"/>
  <c r="H52" i="1"/>
  <c r="AQ52" i="1" s="1"/>
  <c r="AA51" i="1"/>
  <c r="H62" i="1"/>
  <c r="N31" i="81"/>
  <c r="O3" i="81"/>
  <c r="K164" i="1"/>
  <c r="N45" i="77"/>
  <c r="N38" i="77"/>
  <c r="P43" i="77"/>
  <c r="O44" i="77"/>
  <c r="K70" i="77"/>
  <c r="S55" i="77"/>
  <c r="S54" i="77" s="1"/>
  <c r="J19" i="3"/>
  <c r="K18" i="3" s="1"/>
  <c r="K48" i="3" s="1"/>
  <c r="K63" i="77"/>
  <c r="O105" i="1"/>
  <c r="O172" i="1" s="1"/>
  <c r="P318" i="3"/>
  <c r="S109" i="3"/>
  <c r="R109" i="3"/>
  <c r="P119" i="3"/>
  <c r="P120" i="3" s="1"/>
  <c r="U105" i="1"/>
  <c r="O122" i="1"/>
  <c r="O177" i="1" s="1"/>
  <c r="P223" i="3"/>
  <c r="U126" i="1"/>
  <c r="P284" i="3"/>
  <c r="O282" i="3"/>
  <c r="U122" i="1"/>
  <c r="U99" i="1"/>
  <c r="N356" i="3"/>
  <c r="P56" i="1"/>
  <c r="O83" i="1"/>
  <c r="P197" i="3"/>
  <c r="P149" i="3"/>
  <c r="O150" i="3"/>
  <c r="O151" i="3" s="1"/>
  <c r="P120" i="1"/>
  <c r="P152" i="1" s="1"/>
  <c r="Q321" i="3"/>
  <c r="R283" i="3"/>
  <c r="P85" i="1"/>
  <c r="P143" i="1" s="1"/>
  <c r="Q199" i="3"/>
  <c r="P327" i="3"/>
  <c r="U83" i="1"/>
  <c r="O99" i="1"/>
  <c r="O166" i="1" s="1"/>
  <c r="O165" i="1" s="1"/>
  <c r="P316" i="3"/>
  <c r="S99" i="3"/>
  <c r="Q101" i="1"/>
  <c r="R253" i="3"/>
  <c r="AR44" i="1"/>
  <c r="P25" i="81"/>
  <c r="AS44" i="1"/>
  <c r="H37" i="81"/>
  <c r="H41" i="81"/>
  <c r="AT37" i="1"/>
  <c r="I62" i="1"/>
  <c r="I52" i="1"/>
  <c r="AB51" i="1"/>
  <c r="AR51" i="1"/>
  <c r="AS51" i="1"/>
  <c r="P66" i="77"/>
  <c r="O67" i="77"/>
  <c r="G63" i="1"/>
  <c r="G68" i="1"/>
  <c r="Z62" i="1"/>
  <c r="AP62" i="1"/>
  <c r="G66" i="1"/>
  <c r="K5" i="1"/>
  <c r="AT8" i="1"/>
  <c r="Q127" i="1"/>
  <c r="Q115" i="1"/>
  <c r="Q150" i="1" s="1"/>
  <c r="O165" i="3"/>
  <c r="O174" i="3" s="1"/>
  <c r="O166" i="3"/>
  <c r="O175" i="3" s="1"/>
  <c r="O163" i="3"/>
  <c r="O172" i="3" s="1"/>
  <c r="K73" i="3" l="1"/>
  <c r="K74" i="3"/>
  <c r="K76" i="3"/>
  <c r="K6" i="1"/>
  <c r="K49" i="3"/>
  <c r="R348" i="3"/>
  <c r="Q378" i="3"/>
  <c r="N93" i="12"/>
  <c r="N92" i="12"/>
  <c r="P164" i="3"/>
  <c r="P173" i="3" s="1"/>
  <c r="K58" i="3"/>
  <c r="K77" i="3" s="1"/>
  <c r="AO63" i="1"/>
  <c r="E69" i="1"/>
  <c r="AN69" i="1" s="1"/>
  <c r="X68" i="1"/>
  <c r="E328" i="3"/>
  <c r="AO68" i="1"/>
  <c r="E132" i="1"/>
  <c r="AO52" i="1"/>
  <c r="AP63" i="1"/>
  <c r="AO66" i="1"/>
  <c r="S239" i="3"/>
  <c r="S246" i="3" s="1"/>
  <c r="R246" i="3"/>
  <c r="K280" i="3"/>
  <c r="K279" i="3"/>
  <c r="K275" i="3"/>
  <c r="K277" i="3"/>
  <c r="K278" i="3"/>
  <c r="K276" i="3"/>
  <c r="K204" i="3"/>
  <c r="K205" i="3"/>
  <c r="K212" i="3"/>
  <c r="K210" i="3"/>
  <c r="AP66" i="1"/>
  <c r="Y68" i="1"/>
  <c r="F69" i="1"/>
  <c r="F328" i="3"/>
  <c r="F132" i="1"/>
  <c r="F125" i="1" s="1"/>
  <c r="F2" i="1" s="1"/>
  <c r="F3" i="3" s="1"/>
  <c r="O45" i="12"/>
  <c r="O46" i="12" s="1"/>
  <c r="N46" i="12"/>
  <c r="M180" i="12"/>
  <c r="M178" i="12"/>
  <c r="M114" i="12"/>
  <c r="N108" i="12"/>
  <c r="N106" i="12"/>
  <c r="N113" i="12"/>
  <c r="O89" i="12"/>
  <c r="O102" i="12" s="1"/>
  <c r="O105" i="12" s="1"/>
  <c r="O81" i="12"/>
  <c r="O42" i="12"/>
  <c r="N43" i="12"/>
  <c r="N48" i="12"/>
  <c r="N49" i="12" s="1"/>
  <c r="O78" i="12"/>
  <c r="K22" i="3"/>
  <c r="K24" i="3" s="1"/>
  <c r="K180" i="12"/>
  <c r="K178" i="12"/>
  <c r="K114" i="12"/>
  <c r="K116" i="12" s="1"/>
  <c r="K151" i="12" s="1"/>
  <c r="K179" i="12"/>
  <c r="K24" i="77"/>
  <c r="K30" i="77"/>
  <c r="K26" i="77"/>
  <c r="K39" i="77"/>
  <c r="K41" i="77" s="1"/>
  <c r="L23" i="77"/>
  <c r="AY56" i="1"/>
  <c r="P388" i="3"/>
  <c r="J398" i="3"/>
  <c r="J397" i="3"/>
  <c r="J392" i="3"/>
  <c r="J393" i="3" s="1"/>
  <c r="J394" i="3" s="1"/>
  <c r="AD37" i="1"/>
  <c r="K82" i="3"/>
  <c r="H66" i="1"/>
  <c r="AQ66" i="1" s="1"/>
  <c r="AA62" i="1"/>
  <c r="H63" i="1"/>
  <c r="AQ63" i="1" s="1"/>
  <c r="H68" i="1"/>
  <c r="AQ68" i="1" s="1"/>
  <c r="AQ62" i="1"/>
  <c r="P3" i="81"/>
  <c r="O31" i="81"/>
  <c r="AU48" i="1"/>
  <c r="P44" i="77"/>
  <c r="Q43" i="77"/>
  <c r="O45" i="77"/>
  <c r="O38" i="77"/>
  <c r="AD8" i="1"/>
  <c r="AT18" i="1"/>
  <c r="L288" i="3"/>
  <c r="P105" i="1"/>
  <c r="P172" i="1" s="1"/>
  <c r="Q318" i="3"/>
  <c r="Q119" i="3"/>
  <c r="Q120" i="3" s="1"/>
  <c r="Q284" i="3"/>
  <c r="P282" i="3"/>
  <c r="O356" i="3"/>
  <c r="Q93" i="3"/>
  <c r="Q56" i="1" s="1"/>
  <c r="AZ56" i="1" s="1"/>
  <c r="R199" i="3"/>
  <c r="Q85" i="1"/>
  <c r="Q143" i="1" s="1"/>
  <c r="P122" i="1"/>
  <c r="P177" i="1" s="1"/>
  <c r="Q223" i="3"/>
  <c r="P126" i="1"/>
  <c r="P176" i="1" s="1"/>
  <c r="Q327" i="3"/>
  <c r="S283" i="3"/>
  <c r="Q149" i="3"/>
  <c r="P150" i="3"/>
  <c r="P151" i="3" s="1"/>
  <c r="P99" i="1"/>
  <c r="P166" i="1" s="1"/>
  <c r="P165" i="1" s="1"/>
  <c r="Q316" i="3"/>
  <c r="Q388" i="3"/>
  <c r="Q36" i="81"/>
  <c r="Q120" i="1"/>
  <c r="Q152" i="1" s="1"/>
  <c r="R321" i="3"/>
  <c r="Q197" i="3"/>
  <c r="P83" i="1"/>
  <c r="R101" i="1"/>
  <c r="S253" i="3"/>
  <c r="S101" i="1" s="1"/>
  <c r="AT19" i="1"/>
  <c r="AD19" i="1"/>
  <c r="AR52" i="1"/>
  <c r="AS52" i="1"/>
  <c r="AD14" i="1"/>
  <c r="AT14" i="1"/>
  <c r="AT15" i="1"/>
  <c r="AD15" i="1"/>
  <c r="I68" i="1"/>
  <c r="AR62" i="1"/>
  <c r="AB62" i="1"/>
  <c r="I63" i="1"/>
  <c r="I66" i="1"/>
  <c r="K27" i="1"/>
  <c r="AT32" i="1"/>
  <c r="AD32" i="1"/>
  <c r="AD16" i="1"/>
  <c r="AT16" i="1"/>
  <c r="G132" i="1"/>
  <c r="G69" i="1"/>
  <c r="P16" i="81" s="1"/>
  <c r="P12" i="81"/>
  <c r="AP68" i="1"/>
  <c r="Z68" i="1"/>
  <c r="G328" i="3"/>
  <c r="K140" i="1"/>
  <c r="K144" i="1"/>
  <c r="J34" i="81"/>
  <c r="AD34" i="1"/>
  <c r="AD10" i="1"/>
  <c r="AD7" i="1"/>
  <c r="AD35" i="1"/>
  <c r="AD30" i="1"/>
  <c r="AD17" i="1"/>
  <c r="AD36" i="1"/>
  <c r="AD28" i="1"/>
  <c r="AD56" i="1"/>
  <c r="AD40" i="1"/>
  <c r="AD5" i="1"/>
  <c r="AD57" i="1"/>
  <c r="AD33" i="1"/>
  <c r="AD38" i="1"/>
  <c r="AT5" i="1"/>
  <c r="AD48" i="1"/>
  <c r="AD39" i="1"/>
  <c r="AD41" i="1"/>
  <c r="AD31" i="1"/>
  <c r="AD9" i="1"/>
  <c r="AD20" i="1"/>
  <c r="AT20" i="1"/>
  <c r="AD21" i="1"/>
  <c r="AT21" i="1"/>
  <c r="P67" i="77"/>
  <c r="Q66" i="77"/>
  <c r="K46" i="1"/>
  <c r="AT47" i="1"/>
  <c r="AD47" i="1"/>
  <c r="R127" i="1"/>
  <c r="R115" i="1"/>
  <c r="R150" i="1" s="1"/>
  <c r="P166" i="3"/>
  <c r="P175" i="3" s="1"/>
  <c r="P165" i="3"/>
  <c r="P174" i="3" s="1"/>
  <c r="E125" i="1" l="1"/>
  <c r="E2" i="1" s="1"/>
  <c r="E178" i="1"/>
  <c r="V101" i="1"/>
  <c r="S348" i="3"/>
  <c r="S378" i="3" s="1"/>
  <c r="R378" i="3"/>
  <c r="O92" i="12"/>
  <c r="AO69" i="1"/>
  <c r="K274" i="3"/>
  <c r="F178" i="1"/>
  <c r="K99" i="12"/>
  <c r="K100" i="12" s="1"/>
  <c r="K152" i="12"/>
  <c r="L39" i="77"/>
  <c r="L30" i="77"/>
  <c r="L19" i="77"/>
  <c r="L26" i="77" s="1"/>
  <c r="M23" i="77"/>
  <c r="O43" i="12"/>
  <c r="O48" i="12"/>
  <c r="O49" i="12" s="1"/>
  <c r="O113" i="12"/>
  <c r="O108" i="12"/>
  <c r="O106" i="12"/>
  <c r="O93" i="12"/>
  <c r="K119" i="12"/>
  <c r="K157" i="12"/>
  <c r="K117" i="12"/>
  <c r="L116" i="12"/>
  <c r="N180" i="12"/>
  <c r="N178" i="12"/>
  <c r="N114" i="12"/>
  <c r="H328" i="3"/>
  <c r="AA68" i="1"/>
  <c r="H132" i="1"/>
  <c r="H69" i="1"/>
  <c r="AQ69" i="1" s="1"/>
  <c r="Q3" i="81"/>
  <c r="P31" i="81"/>
  <c r="L164" i="1"/>
  <c r="Q44" i="77"/>
  <c r="R43" i="77"/>
  <c r="P38" i="77"/>
  <c r="P45" i="77"/>
  <c r="AD18" i="1"/>
  <c r="K19" i="3"/>
  <c r="L18" i="3" s="1"/>
  <c r="S119" i="3"/>
  <c r="S120" i="3" s="1"/>
  <c r="R119" i="3"/>
  <c r="R120" i="3" s="1"/>
  <c r="R318" i="3"/>
  <c r="Q105" i="1"/>
  <c r="Q172" i="1" s="1"/>
  <c r="P356" i="3"/>
  <c r="R93" i="3"/>
  <c r="R56" i="1" s="1"/>
  <c r="BA56" i="1" s="1"/>
  <c r="Q99" i="1"/>
  <c r="Q166" i="1" s="1"/>
  <c r="Q165" i="1" s="1"/>
  <c r="R316" i="3"/>
  <c r="R197" i="3"/>
  <c r="Q83" i="1"/>
  <c r="R388" i="3"/>
  <c r="R36" i="81"/>
  <c r="S388" i="3" s="1"/>
  <c r="R149" i="3"/>
  <c r="Q150" i="3"/>
  <c r="Q151" i="3" s="1"/>
  <c r="R85" i="1"/>
  <c r="R143" i="1" s="1"/>
  <c r="S199" i="3"/>
  <c r="S85" i="1" s="1"/>
  <c r="R223" i="3"/>
  <c r="Q122" i="1"/>
  <c r="Q177" i="1" s="1"/>
  <c r="R120" i="1"/>
  <c r="R152" i="1" s="1"/>
  <c r="S321" i="3"/>
  <c r="S120" i="1" s="1"/>
  <c r="R327" i="3"/>
  <c r="Q126" i="1"/>
  <c r="Q176" i="1" s="1"/>
  <c r="R284" i="3"/>
  <c r="Q282" i="3"/>
  <c r="R66" i="77"/>
  <c r="Q67" i="77"/>
  <c r="K266" i="3"/>
  <c r="AT22" i="1"/>
  <c r="AD22" i="1"/>
  <c r="G178" i="1"/>
  <c r="G125" i="1"/>
  <c r="G2" i="1" s="1"/>
  <c r="G3" i="3" s="1"/>
  <c r="AR66" i="1"/>
  <c r="I132" i="1"/>
  <c r="I328" i="3"/>
  <c r="AR68" i="1"/>
  <c r="I69" i="1"/>
  <c r="AB68" i="1"/>
  <c r="K28" i="3"/>
  <c r="AR63" i="1"/>
  <c r="AP69" i="1"/>
  <c r="AD27" i="1"/>
  <c r="AT27" i="1"/>
  <c r="K13" i="1"/>
  <c r="AT46" i="1"/>
  <c r="AD46" i="1"/>
  <c r="S127" i="1"/>
  <c r="S115" i="1"/>
  <c r="S150" i="1" s="1"/>
  <c r="Q165" i="3"/>
  <c r="Q174" i="3" s="1"/>
  <c r="Q166" i="3"/>
  <c r="Q175" i="3" s="1"/>
  <c r="S152" i="1" l="1"/>
  <c r="S143" i="1"/>
  <c r="L33" i="3"/>
  <c r="L35" i="3"/>
  <c r="L36" i="3"/>
  <c r="L31" i="3"/>
  <c r="L32" i="3"/>
  <c r="K24" i="1"/>
  <c r="L38" i="3"/>
  <c r="L29" i="3"/>
  <c r="K206" i="3"/>
  <c r="K209" i="3"/>
  <c r="K208" i="3"/>
  <c r="K203" i="3"/>
  <c r="K207" i="3"/>
  <c r="L119" i="12"/>
  <c r="M116" i="12"/>
  <c r="L117" i="12"/>
  <c r="L157" i="12"/>
  <c r="L151" i="12"/>
  <c r="M39" i="77"/>
  <c r="N23" i="77"/>
  <c r="N39" i="77" s="1"/>
  <c r="M19" i="77"/>
  <c r="L20" i="77"/>
  <c r="L25" i="77"/>
  <c r="L28" i="77"/>
  <c r="O178" i="12"/>
  <c r="O114" i="12"/>
  <c r="O180" i="12"/>
  <c r="P26" i="81"/>
  <c r="I178" i="1"/>
  <c r="H125" i="1"/>
  <c r="H178" i="1"/>
  <c r="Q31" i="81"/>
  <c r="R3" i="81"/>
  <c r="R31" i="81" s="1"/>
  <c r="AV48" i="1"/>
  <c r="Q45" i="77"/>
  <c r="Q38" i="77"/>
  <c r="S43" i="77"/>
  <c r="R44" i="77"/>
  <c r="S318" i="3"/>
  <c r="S105" i="1" s="1"/>
  <c r="S172" i="1" s="1"/>
  <c r="R105" i="1"/>
  <c r="R172" i="1" s="1"/>
  <c r="V120" i="1"/>
  <c r="S149" i="3"/>
  <c r="S150" i="3" s="1"/>
  <c r="S151" i="3" s="1"/>
  <c r="R150" i="3"/>
  <c r="R151" i="3" s="1"/>
  <c r="S284" i="3"/>
  <c r="S282" i="3" s="1"/>
  <c r="R282" i="3"/>
  <c r="V85" i="1"/>
  <c r="N122" i="3"/>
  <c r="N124" i="3"/>
  <c r="R83" i="1"/>
  <c r="S197" i="3"/>
  <c r="S83" i="1" s="1"/>
  <c r="R99" i="1"/>
  <c r="R166" i="1" s="1"/>
  <c r="R165" i="1" s="1"/>
  <c r="S316" i="3"/>
  <c r="S99" i="1" s="1"/>
  <c r="S166" i="1" s="1"/>
  <c r="S165" i="1" s="1"/>
  <c r="S327" i="3"/>
  <c r="S126" i="1" s="1"/>
  <c r="R126" i="1"/>
  <c r="R176" i="1" s="1"/>
  <c r="R122" i="1"/>
  <c r="R177" i="1" s="1"/>
  <c r="S223" i="3"/>
  <c r="S122" i="1" s="1"/>
  <c r="S177" i="1" s="1"/>
  <c r="Q356" i="3"/>
  <c r="S93" i="3"/>
  <c r="S56" i="1" s="1"/>
  <c r="AR69" i="1"/>
  <c r="J178" i="1"/>
  <c r="I125" i="1"/>
  <c r="K53" i="3"/>
  <c r="K103" i="3" s="1"/>
  <c r="K141" i="1"/>
  <c r="AT13" i="1"/>
  <c r="AD13" i="1"/>
  <c r="S66" i="77"/>
  <c r="S67" i="77" s="1"/>
  <c r="R67" i="77"/>
  <c r="V127" i="1"/>
  <c r="V115" i="1"/>
  <c r="R166" i="3"/>
  <c r="R175" i="3" s="1"/>
  <c r="V126" i="1" l="1"/>
  <c r="S176" i="1"/>
  <c r="H2" i="1"/>
  <c r="H3" i="3" s="1"/>
  <c r="L34" i="3"/>
  <c r="M46" i="3" s="1"/>
  <c r="AU17" i="1"/>
  <c r="L37" i="3"/>
  <c r="AU18" i="1"/>
  <c r="U100" i="1"/>
  <c r="M26" i="77"/>
  <c r="M20" i="77"/>
  <c r="M25" i="77"/>
  <c r="O23" i="77"/>
  <c r="N19" i="77"/>
  <c r="N25" i="77" s="1"/>
  <c r="L99" i="12"/>
  <c r="L100" i="12" s="1"/>
  <c r="L152" i="12"/>
  <c r="L37" i="77"/>
  <c r="L40" i="77"/>
  <c r="L41" i="77"/>
  <c r="M117" i="12"/>
  <c r="M157" i="12"/>
  <c r="N116" i="12"/>
  <c r="M119" i="12"/>
  <c r="M151" i="12"/>
  <c r="V56" i="1"/>
  <c r="BB56" i="1"/>
  <c r="R45" i="77"/>
  <c r="R38" i="77"/>
  <c r="S44" i="77"/>
  <c r="O257" i="3"/>
  <c r="P256" i="3" s="1"/>
  <c r="V105" i="1"/>
  <c r="N126" i="3"/>
  <c r="N121" i="3" s="1"/>
  <c r="V83" i="1"/>
  <c r="O254" i="3"/>
  <c r="U103" i="1"/>
  <c r="R356" i="3"/>
  <c r="V122" i="1"/>
  <c r="V99" i="1"/>
  <c r="S356" i="3"/>
  <c r="K194" i="3"/>
  <c r="I352" i="3"/>
  <c r="I382" i="3"/>
  <c r="J383" i="3" s="1"/>
  <c r="J395" i="3" s="1"/>
  <c r="J399" i="3" s="1"/>
  <c r="J400" i="3" s="1"/>
  <c r="I40" i="81" s="1"/>
  <c r="I41" i="81" s="1"/>
  <c r="I2" i="1"/>
  <c r="I3" i="3" s="1"/>
  <c r="K145" i="1"/>
  <c r="K108" i="1"/>
  <c r="J118" i="1"/>
  <c r="L48" i="3" l="1"/>
  <c r="L46" i="3"/>
  <c r="N26" i="77"/>
  <c r="N20" i="77"/>
  <c r="L51" i="77"/>
  <c r="L21" i="3"/>
  <c r="L52" i="77"/>
  <c r="O39" i="77"/>
  <c r="P23" i="77"/>
  <c r="O19" i="77"/>
  <c r="M152" i="12"/>
  <c r="M99" i="12"/>
  <c r="M100" i="12" s="1"/>
  <c r="N157" i="12"/>
  <c r="N119" i="12"/>
  <c r="N117" i="12"/>
  <c r="O116" i="12"/>
  <c r="N151" i="12"/>
  <c r="P257" i="3"/>
  <c r="Q256" i="3" s="1"/>
  <c r="S45" i="77"/>
  <c r="S38" i="77"/>
  <c r="O122" i="3"/>
  <c r="O124" i="3"/>
  <c r="O103" i="1"/>
  <c r="O100" i="1" s="1"/>
  <c r="J401" i="3"/>
  <c r="W75" i="1"/>
  <c r="W77" i="1" s="1"/>
  <c r="K43" i="1"/>
  <c r="K25" i="1"/>
  <c r="AD24" i="1"/>
  <c r="AT24" i="1"/>
  <c r="K137" i="1" l="1"/>
  <c r="K51" i="1"/>
  <c r="O138" i="3"/>
  <c r="O111" i="3"/>
  <c r="O126" i="3"/>
  <c r="K142" i="1"/>
  <c r="L142" i="1"/>
  <c r="P254" i="3"/>
  <c r="P103" i="1" s="1"/>
  <c r="P100" i="1" s="1"/>
  <c r="N99" i="12"/>
  <c r="N100" i="12" s="1"/>
  <c r="N152" i="12"/>
  <c r="L22" i="3"/>
  <c r="L24" i="3" s="1"/>
  <c r="O157" i="12"/>
  <c r="O119" i="12"/>
  <c r="O117" i="12"/>
  <c r="O151" i="12"/>
  <c r="O25" i="77"/>
  <c r="O20" i="77"/>
  <c r="O26" i="77"/>
  <c r="P19" i="77"/>
  <c r="P26" i="77" s="1"/>
  <c r="P39" i="77"/>
  <c r="Q23" i="77"/>
  <c r="M21" i="3"/>
  <c r="M51" i="77"/>
  <c r="Q257" i="3"/>
  <c r="R256" i="3" s="1"/>
  <c r="J35" i="81"/>
  <c r="J37" i="81" s="1"/>
  <c r="K44" i="1"/>
  <c r="AD43" i="1"/>
  <c r="AT43" i="1"/>
  <c r="AT25" i="1"/>
  <c r="J74" i="1"/>
  <c r="K98" i="3" s="1"/>
  <c r="K181" i="1"/>
  <c r="O136" i="3" l="1"/>
  <c r="O115" i="3"/>
  <c r="Q254" i="3"/>
  <c r="Q103" i="1" s="1"/>
  <c r="Q100" i="1" s="1"/>
  <c r="O152" i="12"/>
  <c r="O99" i="12"/>
  <c r="O100" i="12" s="1"/>
  <c r="Q39" i="77"/>
  <c r="R23" i="77"/>
  <c r="Q19" i="77"/>
  <c r="P25" i="77"/>
  <c r="P20" i="77"/>
  <c r="L287" i="3"/>
  <c r="P122" i="3"/>
  <c r="P124" i="3"/>
  <c r="O121" i="3"/>
  <c r="K52" i="1"/>
  <c r="AT52" i="1" s="1"/>
  <c r="K385" i="3"/>
  <c r="AT51" i="1"/>
  <c r="AD51" i="1"/>
  <c r="AT44" i="1"/>
  <c r="M23" i="81"/>
  <c r="K19" i="81"/>
  <c r="M21" i="81"/>
  <c r="L23" i="81"/>
  <c r="J20" i="81"/>
  <c r="K23" i="81"/>
  <c r="L20" i="81"/>
  <c r="K22" i="81"/>
  <c r="J21" i="81"/>
  <c r="J23" i="81"/>
  <c r="J22" i="81"/>
  <c r="L21" i="81"/>
  <c r="M19" i="81"/>
  <c r="K20" i="81"/>
  <c r="M22" i="81"/>
  <c r="M20" i="81"/>
  <c r="L19" i="81"/>
  <c r="L22" i="81"/>
  <c r="K21" i="81"/>
  <c r="J19" i="81"/>
  <c r="K91" i="3"/>
  <c r="O139" i="3" l="1"/>
  <c r="O119" i="1" s="1"/>
  <c r="O169" i="1" s="1"/>
  <c r="O110" i="3"/>
  <c r="O135" i="3" s="1"/>
  <c r="P113" i="3"/>
  <c r="P138" i="3" s="1"/>
  <c r="P111" i="3"/>
  <c r="P136" i="3" s="1"/>
  <c r="Q26" i="77"/>
  <c r="Q20" i="77"/>
  <c r="Q25" i="77"/>
  <c r="R39" i="77"/>
  <c r="S23" i="77"/>
  <c r="R19" i="77"/>
  <c r="R257" i="3"/>
  <c r="S256" i="3" s="1"/>
  <c r="P126" i="3"/>
  <c r="P121" i="3" s="1"/>
  <c r="R254" i="3"/>
  <c r="K54" i="1"/>
  <c r="K173" i="1" s="1"/>
  <c r="AT55" i="1"/>
  <c r="AD55" i="1"/>
  <c r="P139" i="3" l="1"/>
  <c r="P119" i="1" s="1"/>
  <c r="P169" i="1" s="1"/>
  <c r="P115" i="3"/>
  <c r="K296" i="3"/>
  <c r="M288" i="3"/>
  <c r="L19" i="3"/>
  <c r="M18" i="3" s="1"/>
  <c r="M48" i="3" s="1"/>
  <c r="R26" i="77"/>
  <c r="R20" i="77"/>
  <c r="R25" i="77"/>
  <c r="M287" i="3"/>
  <c r="S19" i="77"/>
  <c r="S26" i="77" s="1"/>
  <c r="S39" i="77"/>
  <c r="S257" i="3"/>
  <c r="Q122" i="3"/>
  <c r="Q124" i="3"/>
  <c r="R103" i="1"/>
  <c r="R100" i="1" s="1"/>
  <c r="S254" i="3"/>
  <c r="S103" i="1" s="1"/>
  <c r="AD54" i="1"/>
  <c r="V103" i="1" l="1"/>
  <c r="S100" i="1"/>
  <c r="P110" i="3"/>
  <c r="P135" i="3" s="1"/>
  <c r="Q113" i="3"/>
  <c r="Q138" i="3" s="1"/>
  <c r="Q111" i="3"/>
  <c r="Q136" i="3" s="1"/>
  <c r="K88" i="1"/>
  <c r="S20" i="77"/>
  <c r="S25" i="77"/>
  <c r="M22" i="3"/>
  <c r="M24" i="3" s="1"/>
  <c r="M294" i="3"/>
  <c r="N288" i="3" s="1"/>
  <c r="L296" i="3"/>
  <c r="Q126" i="3"/>
  <c r="Q121" i="3" s="1"/>
  <c r="V100" i="1" l="1"/>
  <c r="Q139" i="3"/>
  <c r="Q119" i="1" s="1"/>
  <c r="Q169" i="1" s="1"/>
  <c r="Q115" i="3"/>
  <c r="J38" i="81"/>
  <c r="M19" i="3"/>
  <c r="N18" i="3" s="1"/>
  <c r="N48" i="3" s="1"/>
  <c r="O48" i="3" s="1"/>
  <c r="M297" i="3"/>
  <c r="R122" i="3"/>
  <c r="R124" i="3"/>
  <c r="O247" i="3"/>
  <c r="Q110" i="3" l="1"/>
  <c r="Q135" i="3" s="1"/>
  <c r="R113" i="3"/>
  <c r="R138" i="3" s="1"/>
  <c r="O250" i="3"/>
  <c r="P248" i="3" s="1"/>
  <c r="R111" i="3"/>
  <c r="R136" i="3" s="1"/>
  <c r="R126" i="3"/>
  <c r="R121" i="3" s="1"/>
  <c r="R139" i="3" l="1"/>
  <c r="R119" i="1" s="1"/>
  <c r="R169" i="1" s="1"/>
  <c r="R115" i="3"/>
  <c r="R110" i="3" s="1"/>
  <c r="R135" i="3" s="1"/>
  <c r="AU47" i="1"/>
  <c r="AU46" i="1"/>
  <c r="K118" i="1"/>
  <c r="S122" i="3"/>
  <c r="S124" i="3"/>
  <c r="AT60" i="1"/>
  <c r="AD60" i="1"/>
  <c r="AT59" i="1"/>
  <c r="K58" i="1"/>
  <c r="AD59" i="1"/>
  <c r="S113" i="3" l="1"/>
  <c r="S138" i="3" s="1"/>
  <c r="S111" i="3"/>
  <c r="S136" i="3" s="1"/>
  <c r="S126" i="3"/>
  <c r="S121" i="3" s="1"/>
  <c r="AD58" i="1"/>
  <c r="AT58" i="1"/>
  <c r="K62" i="1"/>
  <c r="P247" i="3"/>
  <c r="S139" i="3" l="1"/>
  <c r="S119" i="1" s="1"/>
  <c r="S169" i="1" s="1"/>
  <c r="S115" i="3"/>
  <c r="S110" i="3" s="1"/>
  <c r="S135" i="3" s="1"/>
  <c r="K63" i="1"/>
  <c r="AD62" i="1"/>
  <c r="K355" i="3"/>
  <c r="P250" i="3"/>
  <c r="Q248" i="3" s="1"/>
  <c r="K358" i="3" l="1"/>
  <c r="K367" i="3"/>
  <c r="K361" i="3" l="1"/>
  <c r="K366" i="3"/>
  <c r="Q247" i="3"/>
  <c r="Q250" i="3" l="1"/>
  <c r="R248" i="3" s="1"/>
  <c r="R247" i="3" l="1"/>
  <c r="R250" i="3" l="1"/>
  <c r="S248" i="3" s="1"/>
  <c r="S247" i="3" l="1"/>
  <c r="S250" i="3" s="1"/>
  <c r="AT56" i="1" l="1"/>
  <c r="AC56" i="1"/>
  <c r="AS56" i="1"/>
  <c r="J93" i="3"/>
  <c r="J91" i="3" s="1"/>
  <c r="J54" i="1"/>
  <c r="J173" i="1" s="1"/>
  <c r="J62" i="1" l="1"/>
  <c r="AT62" i="1" s="1"/>
  <c r="AC54" i="1"/>
  <c r="AT54" i="1"/>
  <c r="AS54" i="1"/>
  <c r="J66" i="1" l="1"/>
  <c r="AS66" i="1" s="1"/>
  <c r="J68" i="1"/>
  <c r="J132" i="1" s="1"/>
  <c r="J63" i="1"/>
  <c r="AS63" i="1" s="1"/>
  <c r="AC62" i="1"/>
  <c r="AS62" i="1"/>
  <c r="AT63" i="1" l="1"/>
  <c r="J328" i="3"/>
  <c r="AC68" i="1"/>
  <c r="J69" i="1"/>
  <c r="AS69" i="1" s="1"/>
  <c r="AS68" i="1"/>
  <c r="J125" i="1"/>
  <c r="J352" i="3" s="1"/>
  <c r="K353" i="3" s="1"/>
  <c r="K178" i="1"/>
  <c r="J2" i="1" l="1"/>
  <c r="J3" i="3" s="1"/>
  <c r="J382" i="3"/>
  <c r="K383" i="3" s="1"/>
  <c r="K362" i="3" l="1"/>
  <c r="K363" i="3" s="1"/>
  <c r="K364" i="3" s="1"/>
  <c r="K368" i="3" s="1"/>
  <c r="K369" i="3" s="1"/>
  <c r="K386" i="3"/>
  <c r="K389" i="3" s="1"/>
  <c r="K370" i="3" l="1"/>
  <c r="K398" i="3"/>
  <c r="K392" i="3"/>
  <c r="K393" i="3" s="1"/>
  <c r="K397" i="3"/>
  <c r="AT65" i="1" l="1"/>
  <c r="K66" i="1"/>
  <c r="AT66" i="1" s="1"/>
  <c r="AD65" i="1"/>
  <c r="K68" i="1"/>
  <c r="K328" i="3" s="1"/>
  <c r="K154" i="1"/>
  <c r="K394" i="3"/>
  <c r="K395" i="3" l="1"/>
  <c r="K399" i="3" s="1"/>
  <c r="K400" i="3" s="1"/>
  <c r="AT68" i="1"/>
  <c r="K69" i="1"/>
  <c r="AD68" i="1"/>
  <c r="K401" i="3" l="1"/>
  <c r="J40" i="81"/>
  <c r="AT69" i="1"/>
  <c r="L386" i="3" l="1"/>
  <c r="K69" i="3" l="1"/>
  <c r="K87" i="3" s="1"/>
  <c r="K139" i="1"/>
  <c r="K125" i="1" l="1"/>
  <c r="K352" i="3" l="1"/>
  <c r="L353" i="3" s="1"/>
  <c r="K382" i="3"/>
  <c r="L383" i="3" s="1"/>
  <c r="K74" i="1"/>
  <c r="L181" i="1"/>
  <c r="K2" i="1" l="1"/>
  <c r="K3" i="3" s="1"/>
  <c r="L98" i="3"/>
  <c r="AU55" i="1"/>
  <c r="L11" i="77" l="1"/>
  <c r="L12" i="77" l="1"/>
  <c r="L15" i="77"/>
  <c r="L73" i="77"/>
  <c r="L60" i="77"/>
  <c r="L7" i="1"/>
  <c r="M12" i="77" l="1"/>
  <c r="N11" i="77"/>
  <c r="M15" i="77"/>
  <c r="M64" i="77"/>
  <c r="AU7" i="1"/>
  <c r="M73" i="77" l="1"/>
  <c r="M7" i="1"/>
  <c r="M60" i="77"/>
  <c r="N15" i="77"/>
  <c r="N12" i="77"/>
  <c r="O12" i="77" l="1"/>
  <c r="O15" i="77"/>
  <c r="AV7" i="1"/>
  <c r="L64" i="77"/>
  <c r="M63" i="77" l="1"/>
  <c r="L69" i="77"/>
  <c r="L9" i="1"/>
  <c r="L63" i="77"/>
  <c r="L74" i="77"/>
  <c r="L72" i="77" s="1"/>
  <c r="I31" i="85"/>
  <c r="I21" i="84"/>
  <c r="I8" i="84"/>
  <c r="I19" i="84"/>
  <c r="T93" i="85" a="1"/>
  <c r="P17" i="84"/>
  <c r="M70" i="77" l="1"/>
  <c r="M74" i="77"/>
  <c r="M72" i="77" s="1"/>
  <c r="M9" i="1"/>
  <c r="AU9" i="1"/>
  <c r="L8" i="1"/>
  <c r="L70" i="77"/>
  <c r="P21" i="84"/>
  <c r="P19" i="84"/>
  <c r="T102" i="85"/>
  <c r="T94" i="85"/>
  <c r="T101" i="85"/>
  <c r="T93" i="85"/>
  <c r="T100" i="85"/>
  <c r="T99" i="85"/>
  <c r="T98" i="85"/>
  <c r="T97" i="85"/>
  <c r="T104" i="85"/>
  <c r="T96" i="85"/>
  <c r="T103" i="85"/>
  <c r="T95" i="85"/>
  <c r="N31" i="85"/>
  <c r="N21" i="84"/>
  <c r="N19" i="84"/>
  <c r="N8" i="84"/>
  <c r="N9" i="84" s="1"/>
  <c r="J31" i="85"/>
  <c r="J21" i="84"/>
  <c r="J19" i="84"/>
  <c r="J8" i="84"/>
  <c r="J9" i="84" s="1"/>
  <c r="I9" i="84"/>
  <c r="L31" i="85"/>
  <c r="L21" i="84"/>
  <c r="L19" i="84"/>
  <c r="L8" i="84"/>
  <c r="L9" i="84" s="1"/>
  <c r="K31" i="85"/>
  <c r="K21" i="84"/>
  <c r="K19" i="84"/>
  <c r="K8" i="84"/>
  <c r="K9" i="84" s="1"/>
  <c r="M31" i="85"/>
  <c r="M21" i="84"/>
  <c r="M19" i="84"/>
  <c r="M8" i="84"/>
  <c r="M9" i="84" s="1"/>
  <c r="L5" i="1" l="1"/>
  <c r="L6" i="1" s="1"/>
  <c r="L47" i="3"/>
  <c r="L44" i="3"/>
  <c r="L42" i="3"/>
  <c r="L45" i="3"/>
  <c r="L41" i="3"/>
  <c r="L43" i="3"/>
  <c r="P64" i="77"/>
  <c r="M8" i="1"/>
  <c r="AV9" i="1"/>
  <c r="U9" i="1"/>
  <c r="AU14" i="1"/>
  <c r="AU8" i="1"/>
  <c r="P8" i="84"/>
  <c r="P9" i="84" s="1"/>
  <c r="O31" i="85"/>
  <c r="V100" i="85"/>
  <c r="W100" i="85" s="1"/>
  <c r="V99" i="85"/>
  <c r="W99" i="85" s="1"/>
  <c r="V104" i="85"/>
  <c r="W104" i="85" s="1"/>
  <c r="V102" i="85"/>
  <c r="W102" i="85" s="1"/>
  <c r="V101" i="85"/>
  <c r="W101" i="85" s="1"/>
  <c r="V103" i="85"/>
  <c r="W103" i="85" s="1"/>
  <c r="M43" i="3" l="1"/>
  <c r="O43" i="3" s="1"/>
  <c r="M41" i="3"/>
  <c r="M42" i="3"/>
  <c r="M44" i="3"/>
  <c r="M47" i="3"/>
  <c r="M45" i="3"/>
  <c r="M5" i="1"/>
  <c r="L277" i="3"/>
  <c r="L279" i="3"/>
  <c r="L280" i="3"/>
  <c r="L275" i="3"/>
  <c r="L278" i="3"/>
  <c r="L276" i="3"/>
  <c r="P41" i="3"/>
  <c r="L49" i="3"/>
  <c r="L204" i="3"/>
  <c r="L212" i="3"/>
  <c r="L205" i="3"/>
  <c r="L210" i="3"/>
  <c r="AV8" i="1"/>
  <c r="Q64" i="77"/>
  <c r="AU21" i="1"/>
  <c r="AE21" i="1"/>
  <c r="AE19" i="1"/>
  <c r="AU19" i="1"/>
  <c r="AE20" i="1"/>
  <c r="AU20" i="1"/>
  <c r="AE8" i="1"/>
  <c r="K34" i="81"/>
  <c r="AE46" i="1"/>
  <c r="L140" i="1"/>
  <c r="AE55" i="1"/>
  <c r="AE10" i="1"/>
  <c r="AU5" i="1"/>
  <c r="AE48" i="1"/>
  <c r="L144" i="1"/>
  <c r="AE7" i="1"/>
  <c r="AE9" i="1"/>
  <c r="AE56" i="1"/>
  <c r="AE18" i="1"/>
  <c r="AE5" i="1"/>
  <c r="AE17" i="1"/>
  <c r="AE47" i="1"/>
  <c r="AE14" i="1"/>
  <c r="AE16" i="1"/>
  <c r="AU16" i="1"/>
  <c r="M49" i="3" l="1"/>
  <c r="M76" i="3"/>
  <c r="M74" i="3"/>
  <c r="M231" i="3"/>
  <c r="M73" i="3"/>
  <c r="M232" i="3"/>
  <c r="M233" i="3"/>
  <c r="M77" i="3"/>
  <c r="M6" i="1"/>
  <c r="Q41" i="3"/>
  <c r="R41" i="3" s="1"/>
  <c r="S41" i="3" s="1"/>
  <c r="Q10" i="81"/>
  <c r="M277" i="3"/>
  <c r="M279" i="3"/>
  <c r="M204" i="3"/>
  <c r="M278" i="3"/>
  <c r="M205" i="3"/>
  <c r="M212" i="3"/>
  <c r="M275" i="3"/>
  <c r="M210" i="3"/>
  <c r="N210" i="3" s="1"/>
  <c r="O210" i="3" s="1"/>
  <c r="P210" i="3" s="1"/>
  <c r="Q210" i="3" s="1"/>
  <c r="R210" i="3" s="1"/>
  <c r="S210" i="3" s="1"/>
  <c r="M280" i="3"/>
  <c r="M276" i="3"/>
  <c r="P204" i="3"/>
  <c r="Q204" i="3" s="1"/>
  <c r="R204" i="3" s="1"/>
  <c r="S204" i="3" s="1"/>
  <c r="P43" i="3"/>
  <c r="Q43" i="3" s="1"/>
  <c r="R43" i="3" s="1"/>
  <c r="S43" i="3" s="1"/>
  <c r="L274" i="3"/>
  <c r="R64" i="77"/>
  <c r="AF10" i="1"/>
  <c r="AF5" i="1"/>
  <c r="AF7" i="1"/>
  <c r="L34" i="81"/>
  <c r="AV5" i="1"/>
  <c r="AF56" i="1"/>
  <c r="AF57" i="1"/>
  <c r="AF9" i="1"/>
  <c r="AF48" i="1"/>
  <c r="AF8" i="1"/>
  <c r="L266" i="3"/>
  <c r="L28" i="3"/>
  <c r="AE22" i="1"/>
  <c r="AU22" i="1"/>
  <c r="AE15" i="1"/>
  <c r="AU15" i="1"/>
  <c r="L24" i="1"/>
  <c r="L43" i="1" s="1"/>
  <c r="L51" i="1" s="1"/>
  <c r="L206" i="3" l="1"/>
  <c r="L209" i="3"/>
  <c r="L208" i="3"/>
  <c r="P208" i="3" s="1"/>
  <c r="Q208" i="3" s="1"/>
  <c r="R208" i="3" s="1"/>
  <c r="S208" i="3" s="1"/>
  <c r="M274" i="3"/>
  <c r="S64" i="77"/>
  <c r="L88" i="1"/>
  <c r="K38" i="81"/>
  <c r="L141" i="1"/>
  <c r="AU13" i="1"/>
  <c r="AE13" i="1"/>
  <c r="AV19" i="1" l="1"/>
  <c r="AF19" i="1"/>
  <c r="AV16" i="1"/>
  <c r="AF16" i="1"/>
  <c r="AV14" i="1"/>
  <c r="AF14" i="1"/>
  <c r="AF21" i="1"/>
  <c r="AV21" i="1"/>
  <c r="AV18" i="1"/>
  <c r="AF18" i="1"/>
  <c r="AF20" i="1"/>
  <c r="AV20" i="1"/>
  <c r="AF15" i="1"/>
  <c r="AV15" i="1"/>
  <c r="U84" i="1"/>
  <c r="O84" i="1"/>
  <c r="AF22" i="1"/>
  <c r="AV22" i="1"/>
  <c r="L145" i="1"/>
  <c r="P206" i="3" l="1"/>
  <c r="Q206" i="3" s="1"/>
  <c r="R206" i="3" s="1"/>
  <c r="S206" i="3" s="1"/>
  <c r="AF47" i="1"/>
  <c r="AV17" i="1"/>
  <c r="AF17" i="1"/>
  <c r="M24" i="1"/>
  <c r="M43" i="1" s="1"/>
  <c r="P84" i="1"/>
  <c r="L25" i="1"/>
  <c r="AU25" i="1" s="1"/>
  <c r="AE24" i="1"/>
  <c r="AU24" i="1"/>
  <c r="Q11" i="81" l="1"/>
  <c r="Q15" i="81" s="1"/>
  <c r="M137" i="1"/>
  <c r="M155" i="1" s="1"/>
  <c r="AV13" i="1"/>
  <c r="AF13" i="1"/>
  <c r="M46" i="1"/>
  <c r="AV46" i="1" s="1"/>
  <c r="AV47" i="1"/>
  <c r="Q84" i="1"/>
  <c r="S84" i="1"/>
  <c r="O9" i="85"/>
  <c r="O37" i="85"/>
  <c r="AF46" i="1" l="1"/>
  <c r="R84" i="1"/>
  <c r="M25" i="1"/>
  <c r="AV25" i="1" s="1"/>
  <c r="AF24" i="1"/>
  <c r="AV24" i="1"/>
  <c r="V84" i="1"/>
  <c r="I28" i="84" l="1"/>
  <c r="I32" i="85"/>
  <c r="I30" i="84"/>
  <c r="I49" i="84"/>
  <c r="I34" i="84"/>
  <c r="L32" i="85" l="1"/>
  <c r="L34" i="85" s="1"/>
  <c r="L28" i="84"/>
  <c r="L30" i="84"/>
  <c r="L34" i="84"/>
  <c r="L49" i="84"/>
  <c r="K32" i="85"/>
  <c r="K34" i="85" s="1"/>
  <c r="K28" i="84"/>
  <c r="K30" i="84"/>
  <c r="K49" i="84"/>
  <c r="K34" i="84"/>
  <c r="J92" i="84"/>
  <c r="J32" i="85"/>
  <c r="J34" i="85" s="1"/>
  <c r="J28" i="84"/>
  <c r="J30" i="84"/>
  <c r="J49" i="84"/>
  <c r="J34" i="84"/>
  <c r="I92" i="84"/>
  <c r="I87" i="84"/>
  <c r="I51" i="84"/>
  <c r="I57" i="84"/>
  <c r="I88" i="84"/>
  <c r="I53" i="84"/>
  <c r="I94" i="84"/>
  <c r="I85" i="84" s="1"/>
  <c r="K94" i="84"/>
  <c r="K85" i="84" s="1"/>
  <c r="J94" i="84"/>
  <c r="J85" i="84" s="1"/>
  <c r="M32" i="85"/>
  <c r="M34" i="85" s="1"/>
  <c r="M30" i="84"/>
  <c r="M28" i="84"/>
  <c r="M49" i="84"/>
  <c r="M94" i="84" s="1"/>
  <c r="M85" i="84" s="1"/>
  <c r="M34" i="84"/>
  <c r="P26" i="84"/>
  <c r="N32" i="85"/>
  <c r="N34" i="85" s="1"/>
  <c r="N28" i="84"/>
  <c r="N30" i="84"/>
  <c r="N34" i="84"/>
  <c r="N49" i="84"/>
  <c r="I34" i="85"/>
  <c r="L94" i="84" l="1"/>
  <c r="L85" i="84" s="1"/>
  <c r="P49" i="84"/>
  <c r="J51" i="84"/>
  <c r="J57" i="84"/>
  <c r="J87" i="84"/>
  <c r="J88" i="84"/>
  <c r="J53" i="84"/>
  <c r="P30" i="84"/>
  <c r="P28" i="84"/>
  <c r="P34" i="84"/>
  <c r="O34" i="85"/>
  <c r="L87" i="84"/>
  <c r="L88" i="84"/>
  <c r="L51" i="84"/>
  <c r="L57" i="84"/>
  <c r="L53" i="84"/>
  <c r="O32" i="85"/>
  <c r="M57" i="84"/>
  <c r="M53" i="84"/>
  <c r="M87" i="84"/>
  <c r="M88" i="84"/>
  <c r="M51" i="84"/>
  <c r="N94" i="84"/>
  <c r="N85" i="84" s="1"/>
  <c r="N88" i="84"/>
  <c r="N57" i="84"/>
  <c r="N53" i="84"/>
  <c r="N87" i="84"/>
  <c r="N51" i="84"/>
  <c r="AA93" i="85" a="1"/>
  <c r="K87" i="84"/>
  <c r="K88" i="84"/>
  <c r="K51" i="84"/>
  <c r="K57" i="84"/>
  <c r="K53" i="84"/>
  <c r="AA101" i="85" l="1"/>
  <c r="AA93" i="85"/>
  <c r="AA100" i="85"/>
  <c r="AA99" i="85"/>
  <c r="AA98" i="85"/>
  <c r="AA97" i="85"/>
  <c r="AA104" i="85"/>
  <c r="AA96" i="85"/>
  <c r="AA103" i="85"/>
  <c r="AA95" i="85"/>
  <c r="AA102" i="85"/>
  <c r="AA94" i="85"/>
  <c r="P88" i="84"/>
  <c r="N86" i="84"/>
  <c r="F86" i="84"/>
  <c r="P53" i="84"/>
  <c r="P94" i="84"/>
  <c r="P87" i="84"/>
  <c r="P86" i="84"/>
  <c r="C86" i="84"/>
  <c r="P85" i="84"/>
  <c r="L86" i="84"/>
  <c r="P51" i="84"/>
  <c r="K86" i="84"/>
  <c r="J86" i="84"/>
  <c r="P57" i="84"/>
  <c r="G86" i="84"/>
  <c r="M86" i="84"/>
  <c r="H86" i="84"/>
  <c r="I86" i="84"/>
  <c r="E86" i="84"/>
  <c r="D86" i="84"/>
  <c r="AC104" i="85" l="1"/>
  <c r="AC101" i="85"/>
  <c r="AC100" i="85"/>
  <c r="AC102" i="85"/>
  <c r="AC99" i="85"/>
  <c r="AC103" i="85"/>
  <c r="AD103" i="85" l="1"/>
  <c r="AE103" i="85"/>
  <c r="AE99" i="85"/>
  <c r="AD99" i="85"/>
  <c r="AE102" i="85"/>
  <c r="AD102" i="85"/>
  <c r="AE100" i="85"/>
  <c r="AD100" i="85"/>
  <c r="AE101" i="85"/>
  <c r="AD101" i="85"/>
  <c r="AE104" i="85"/>
  <c r="AD104" i="85"/>
  <c r="I91" i="84" l="1"/>
  <c r="J91" i="84" l="1"/>
  <c r="O7" i="85" l="1"/>
  <c r="O35" i="85" l="1"/>
  <c r="K71" i="84" l="1"/>
  <c r="K67" i="84"/>
  <c r="K65" i="84"/>
  <c r="I21" i="85" l="1"/>
  <c r="J71" i="84" l="1"/>
  <c r="J67" i="84"/>
  <c r="J65" i="84"/>
  <c r="I42" i="85"/>
  <c r="M67" i="84" l="1"/>
  <c r="M65" i="84"/>
  <c r="M71" i="84"/>
  <c r="J21" i="85"/>
  <c r="L67" i="84"/>
  <c r="L65" i="84"/>
  <c r="L71" i="84"/>
  <c r="I65" i="84"/>
  <c r="I71" i="84"/>
  <c r="I67" i="84"/>
  <c r="AI93" i="85" a="1"/>
  <c r="P63" i="84"/>
  <c r="I45" i="85"/>
  <c r="N65" i="84"/>
  <c r="N71" i="84"/>
  <c r="N67" i="84"/>
  <c r="I28" i="85"/>
  <c r="I84" i="84" s="1"/>
  <c r="I57" i="85" l="1"/>
  <c r="I89" i="84"/>
  <c r="I90" i="84"/>
  <c r="P65" i="84"/>
  <c r="P71" i="84"/>
  <c r="P67" i="84"/>
  <c r="AI99" i="85"/>
  <c r="AI98" i="85"/>
  <c r="AI97" i="85"/>
  <c r="AI104" i="85"/>
  <c r="AI96" i="85"/>
  <c r="AI103" i="85"/>
  <c r="AI95" i="85"/>
  <c r="AI102" i="85"/>
  <c r="AI94" i="85"/>
  <c r="AI101" i="85"/>
  <c r="AI93" i="85"/>
  <c r="AI100" i="85"/>
  <c r="J42" i="85"/>
  <c r="J28" i="85"/>
  <c r="J84" i="84" s="1"/>
  <c r="J45" i="85" l="1"/>
  <c r="I58" i="85"/>
  <c r="K21" i="85"/>
  <c r="AK101" i="85"/>
  <c r="AK102" i="85"/>
  <c r="AK103" i="85"/>
  <c r="AK99" i="85"/>
  <c r="AK100" i="85"/>
  <c r="AK104" i="85"/>
  <c r="K28" i="85"/>
  <c r="K84" i="84" s="1"/>
  <c r="I10" i="85"/>
  <c r="I29" i="85" s="1"/>
  <c r="L21" i="85" l="1"/>
  <c r="L42" i="85"/>
  <c r="L45" i="85" s="1"/>
  <c r="K42" i="85"/>
  <c r="M21" i="85"/>
  <c r="M42" i="85"/>
  <c r="M45" i="85" s="1"/>
  <c r="AM104" i="85"/>
  <c r="AL104" i="85"/>
  <c r="AM100" i="85"/>
  <c r="AL100" i="85"/>
  <c r="AL99" i="85"/>
  <c r="AM99" i="85"/>
  <c r="I60" i="85"/>
  <c r="AM103" i="85"/>
  <c r="AL103" i="85"/>
  <c r="AM102" i="85"/>
  <c r="AL102" i="85"/>
  <c r="AM101" i="85"/>
  <c r="AL101" i="85"/>
  <c r="J57" i="85"/>
  <c r="J58" i="85" s="1"/>
  <c r="J89" i="84"/>
  <c r="J90" i="84"/>
  <c r="L28" i="85"/>
  <c r="L84" i="84" s="1"/>
  <c r="M57" i="85" l="1"/>
  <c r="M90" i="84"/>
  <c r="M89" i="84"/>
  <c r="O39" i="85"/>
  <c r="N42" i="85"/>
  <c r="O18" i="85"/>
  <c r="K45" i="85"/>
  <c r="O16" i="85"/>
  <c r="O21" i="85" s="1"/>
  <c r="L57" i="85"/>
  <c r="L90" i="84"/>
  <c r="L89" i="84"/>
  <c r="M28" i="85"/>
  <c r="M84" i="84" s="1"/>
  <c r="N45" i="85" l="1"/>
  <c r="O42" i="85"/>
  <c r="O45" i="85" s="1"/>
  <c r="O40" i="85"/>
  <c r="N21" i="85"/>
  <c r="K57" i="85"/>
  <c r="K89" i="84"/>
  <c r="K90" i="84"/>
  <c r="O27" i="85" l="1"/>
  <c r="N28" i="85"/>
  <c r="K58" i="85"/>
  <c r="P89" i="84"/>
  <c r="P90" i="84"/>
  <c r="J10" i="85"/>
  <c r="J29" i="85" s="1"/>
  <c r="J60" i="85"/>
  <c r="N57" i="85"/>
  <c r="O57" i="85" s="1"/>
  <c r="N89" i="84"/>
  <c r="N90" i="84"/>
  <c r="K10" i="85"/>
  <c r="K29" i="85" s="1"/>
  <c r="K60" i="85" l="1"/>
  <c r="L58" i="85"/>
  <c r="O28" i="85"/>
  <c r="P84" i="84" s="1"/>
  <c r="N84" i="84"/>
  <c r="L10" i="85"/>
  <c r="L29" i="85" s="1"/>
  <c r="L60" i="85" l="1"/>
  <c r="M58" i="85"/>
  <c r="M10" i="85"/>
  <c r="M29" i="85" s="1"/>
  <c r="M60" i="85" l="1"/>
  <c r="N58" i="85"/>
  <c r="O58" i="85" l="1"/>
  <c r="N60" i="85"/>
  <c r="N10" i="85"/>
  <c r="O6" i="85"/>
  <c r="N29" i="85" l="1"/>
  <c r="O10" i="85"/>
  <c r="E12" i="81"/>
  <c r="L55" i="3"/>
  <c r="L73" i="3" s="1"/>
  <c r="AE28" i="1"/>
  <c r="AU28" i="1"/>
  <c r="AE31" i="1"/>
  <c r="L57" i="3"/>
  <c r="L76" i="3" s="1"/>
  <c r="AU31" i="1"/>
  <c r="AE30" i="1"/>
  <c r="L56" i="3"/>
  <c r="L74" i="3" s="1"/>
  <c r="AU30" i="1"/>
  <c r="P76" i="3" l="1"/>
  <c r="L108" i="1"/>
  <c r="L148" i="1"/>
  <c r="Q76" i="3" l="1"/>
  <c r="AU37" i="1"/>
  <c r="AE37" i="1"/>
  <c r="L82" i="3"/>
  <c r="AE39" i="1"/>
  <c r="AU39" i="1"/>
  <c r="AU41" i="1"/>
  <c r="AE41" i="1"/>
  <c r="AE34" i="1"/>
  <c r="AU34" i="1"/>
  <c r="AE40" i="1"/>
  <c r="AU40" i="1"/>
  <c r="AU33" i="1"/>
  <c r="AE33" i="1"/>
  <c r="AU36" i="1"/>
  <c r="AE36" i="1"/>
  <c r="AE38" i="1"/>
  <c r="AU38" i="1"/>
  <c r="AE35" i="1"/>
  <c r="AU35" i="1"/>
  <c r="R76" i="3" l="1"/>
  <c r="L137" i="1"/>
  <c r="L207" i="3"/>
  <c r="P207" i="3" s="1"/>
  <c r="Q207" i="3" s="1"/>
  <c r="R207" i="3" s="1"/>
  <c r="S207" i="3" s="1"/>
  <c r="L85" i="3"/>
  <c r="L83" i="3"/>
  <c r="AV39" i="1"/>
  <c r="L84" i="3"/>
  <c r="AF41" i="1"/>
  <c r="L86" i="3"/>
  <c r="L78" i="3"/>
  <c r="L81" i="3"/>
  <c r="L80" i="3"/>
  <c r="L79" i="3"/>
  <c r="AE27" i="1"/>
  <c r="AU27" i="1"/>
  <c r="L58" i="3"/>
  <c r="AU32" i="1"/>
  <c r="AE32" i="1"/>
  <c r="L53" i="3" l="1"/>
  <c r="L103" i="3" s="1"/>
  <c r="P103" i="3" s="1"/>
  <c r="Q103" i="3" s="1"/>
  <c r="R103" i="3" s="1"/>
  <c r="S103" i="3" s="1"/>
  <c r="L77" i="3"/>
  <c r="S76" i="3"/>
  <c r="O36" i="1"/>
  <c r="U29" i="1"/>
  <c r="AF31" i="1"/>
  <c r="AV31" i="1"/>
  <c r="AF30" i="1"/>
  <c r="AV30" i="1"/>
  <c r="AF28" i="1"/>
  <c r="AV28" i="1"/>
  <c r="AV41" i="1"/>
  <c r="AF39" i="1"/>
  <c r="U39" i="1"/>
  <c r="AE43" i="1"/>
  <c r="L44" i="1"/>
  <c r="AU44" i="1" s="1"/>
  <c r="U41" i="1"/>
  <c r="AU43" i="1"/>
  <c r="AE51" i="1"/>
  <c r="K35" i="81"/>
  <c r="K37" i="81" s="1"/>
  <c r="AV35" i="1"/>
  <c r="AF36" i="1"/>
  <c r="U38" i="1"/>
  <c r="U37" i="1"/>
  <c r="AF37" i="1"/>
  <c r="AV37" i="1"/>
  <c r="AW37" i="1"/>
  <c r="U34" i="1"/>
  <c r="AF34" i="1"/>
  <c r="AV34" i="1"/>
  <c r="U40" i="1"/>
  <c r="AV40" i="1"/>
  <c r="AF40" i="1"/>
  <c r="U33" i="1"/>
  <c r="AV33" i="1"/>
  <c r="AF33" i="1"/>
  <c r="L194" i="3"/>
  <c r="AW34" i="1" l="1"/>
  <c r="AW33" i="1"/>
  <c r="O33" i="1"/>
  <c r="AW36" i="1"/>
  <c r="O40" i="1"/>
  <c r="AF32" i="1"/>
  <c r="AU51" i="1"/>
  <c r="AW41" i="1"/>
  <c r="L52" i="1"/>
  <c r="AU52" i="1" s="1"/>
  <c r="L385" i="3"/>
  <c r="L389" i="3" s="1"/>
  <c r="AF35" i="1"/>
  <c r="U35" i="1"/>
  <c r="U36" i="1"/>
  <c r="AV36" i="1"/>
  <c r="AF38" i="1"/>
  <c r="AV38" i="1"/>
  <c r="O41" i="1"/>
  <c r="AX36" i="1"/>
  <c r="AW38" i="1"/>
  <c r="O39" i="1"/>
  <c r="O35" i="1"/>
  <c r="AW40" i="1"/>
  <c r="O38" i="1"/>
  <c r="AW35" i="1"/>
  <c r="L398" i="3" l="1"/>
  <c r="AW31" i="1"/>
  <c r="AW32" i="1"/>
  <c r="AW28" i="1"/>
  <c r="U28" i="1"/>
  <c r="O28" i="1"/>
  <c r="P54" i="3"/>
  <c r="U30" i="1"/>
  <c r="AW30" i="1"/>
  <c r="O34" i="1"/>
  <c r="AX34" i="1" s="1"/>
  <c r="AV32" i="1"/>
  <c r="AV27" i="1"/>
  <c r="AW39" i="1"/>
  <c r="P36" i="1"/>
  <c r="V36" i="1" s="1"/>
  <c r="L397" i="3"/>
  <c r="L392" i="3"/>
  <c r="L393" i="3" s="1"/>
  <c r="L394" i="3" s="1"/>
  <c r="L395" i="3" s="1"/>
  <c r="Q36" i="1"/>
  <c r="AX40" i="1"/>
  <c r="AX35" i="1"/>
  <c r="AX33" i="1"/>
  <c r="P35" i="1"/>
  <c r="AX38" i="1"/>
  <c r="AX39" i="1"/>
  <c r="P39" i="1"/>
  <c r="P41" i="1"/>
  <c r="P34" i="1"/>
  <c r="P38" i="1"/>
  <c r="AX41" i="1"/>
  <c r="AX28" i="1" l="1"/>
  <c r="L399" i="3"/>
  <c r="L400" i="3" s="1"/>
  <c r="L401" i="3" s="1"/>
  <c r="U31" i="1"/>
  <c r="P33" i="1"/>
  <c r="AY33" i="1" s="1"/>
  <c r="Q54" i="3"/>
  <c r="P28" i="1"/>
  <c r="AY28" i="1" s="1"/>
  <c r="P40" i="1"/>
  <c r="AY40" i="1" s="1"/>
  <c r="U32" i="1"/>
  <c r="AY36" i="1"/>
  <c r="AF27" i="1"/>
  <c r="AY34" i="1"/>
  <c r="V34" i="1"/>
  <c r="AZ36" i="1"/>
  <c r="Q34" i="1"/>
  <c r="S36" i="1"/>
  <c r="R36" i="1"/>
  <c r="AY35" i="1"/>
  <c r="V35" i="1"/>
  <c r="V41" i="1"/>
  <c r="AY41" i="1"/>
  <c r="AY38" i="1"/>
  <c r="V38" i="1"/>
  <c r="V39" i="1"/>
  <c r="AY39" i="1"/>
  <c r="Q40" i="1"/>
  <c r="Q41" i="1"/>
  <c r="Q35" i="1"/>
  <c r="Q38" i="1"/>
  <c r="Q39" i="1"/>
  <c r="Q33" i="1"/>
  <c r="V33" i="1" l="1"/>
  <c r="U27" i="1"/>
  <c r="R54" i="3"/>
  <c r="Q28" i="1"/>
  <c r="AZ28" i="1" s="1"/>
  <c r="V40" i="1"/>
  <c r="AW27" i="1"/>
  <c r="M44" i="1"/>
  <c r="AV44" i="1" s="1"/>
  <c r="L35" i="81"/>
  <c r="L37" i="81" s="1"/>
  <c r="M51" i="1"/>
  <c r="AV51" i="1" s="1"/>
  <c r="AV43" i="1"/>
  <c r="AF43" i="1"/>
  <c r="K40" i="81"/>
  <c r="S35" i="1"/>
  <c r="R35" i="1"/>
  <c r="AZ40" i="1"/>
  <c r="AZ34" i="1"/>
  <c r="AZ35" i="1"/>
  <c r="S40" i="1"/>
  <c r="R40" i="1"/>
  <c r="AZ38" i="1"/>
  <c r="AZ41" i="1"/>
  <c r="R33" i="1"/>
  <c r="R41" i="1"/>
  <c r="S41" i="1"/>
  <c r="S39" i="1"/>
  <c r="R39" i="1"/>
  <c r="BA36" i="1"/>
  <c r="R34" i="1"/>
  <c r="S34" i="1"/>
  <c r="AZ33" i="1"/>
  <c r="AZ39" i="1"/>
  <c r="BB36" i="1"/>
  <c r="S38" i="1"/>
  <c r="R38" i="1"/>
  <c r="R28" i="1" l="1"/>
  <c r="BA28" i="1" s="1"/>
  <c r="S54" i="3"/>
  <c r="S28" i="1" s="1"/>
  <c r="M52" i="1"/>
  <c r="AV52" i="1" s="1"/>
  <c r="M385" i="3"/>
  <c r="AF51" i="1"/>
  <c r="BB34" i="1"/>
  <c r="BA39" i="1"/>
  <c r="BB39" i="1"/>
  <c r="BB41" i="1"/>
  <c r="BA41" i="1"/>
  <c r="BA34" i="1"/>
  <c r="S33" i="1"/>
  <c r="BA38" i="1"/>
  <c r="BA33" i="1"/>
  <c r="BA40" i="1"/>
  <c r="BA35" i="1"/>
  <c r="BB38" i="1"/>
  <c r="BB40" i="1"/>
  <c r="BB35" i="1"/>
  <c r="BB28" i="1" l="1"/>
  <c r="V28" i="1"/>
  <c r="L118" i="1"/>
  <c r="AE60" i="1"/>
  <c r="AU60" i="1"/>
  <c r="BB33" i="1"/>
  <c r="AE59" i="1"/>
  <c r="AU59" i="1"/>
  <c r="L58" i="1"/>
  <c r="AE58" i="1" l="1"/>
  <c r="AU58" i="1"/>
  <c r="AV60" i="1" l="1"/>
  <c r="AF60" i="1"/>
  <c r="L87" i="3" l="1"/>
  <c r="L139" i="1"/>
  <c r="L54" i="1" l="1"/>
  <c r="L173" i="1" s="1"/>
  <c r="AE57" i="1"/>
  <c r="AU57" i="1"/>
  <c r="L94" i="3"/>
  <c r="L91" i="3" s="1"/>
  <c r="AV57" i="1"/>
  <c r="AE54" i="1" l="1"/>
  <c r="AU54" i="1"/>
  <c r="L62" i="1"/>
  <c r="L355" i="3" s="1"/>
  <c r="AU62" i="1" l="1"/>
  <c r="AE62" i="1"/>
  <c r="L63" i="1"/>
  <c r="AU63" i="1" s="1"/>
  <c r="L367" i="3"/>
  <c r="L358" i="3"/>
  <c r="L361" i="3" l="1"/>
  <c r="L362" i="3" s="1"/>
  <c r="L366" i="3"/>
  <c r="L363" i="3" l="1"/>
  <c r="L364" i="3" s="1"/>
  <c r="L368" i="3" s="1"/>
  <c r="L369" i="3" s="1"/>
  <c r="L370" i="3" l="1"/>
  <c r="L154" i="1" l="1"/>
  <c r="L66" i="1"/>
  <c r="AU66" i="1" s="1"/>
  <c r="AU65" i="1"/>
  <c r="AE65" i="1"/>
  <c r="L68" i="1"/>
  <c r="L328" i="3" l="1"/>
  <c r="AE68" i="1"/>
  <c r="L69" i="1"/>
  <c r="Q16" i="81" s="1"/>
  <c r="AU68" i="1"/>
  <c r="AU69" i="1" l="1"/>
  <c r="L125" i="1" l="1"/>
  <c r="L382" i="3" l="1"/>
  <c r="M383" i="3" s="1"/>
  <c r="L352" i="3"/>
  <c r="M353" i="3" s="1"/>
  <c r="M386" i="3"/>
  <c r="M389" i="3" s="1"/>
  <c r="M397" i="3" l="1"/>
  <c r="M392" i="3"/>
  <c r="M393" i="3" s="1"/>
  <c r="M398" i="3"/>
  <c r="M394" i="3" l="1"/>
  <c r="M395" i="3" s="1"/>
  <c r="M399" i="3" s="1"/>
  <c r="M400" i="3" s="1"/>
  <c r="M401" i="3" l="1"/>
  <c r="L40" i="81"/>
  <c r="M40" i="77" l="1"/>
  <c r="M41" i="77"/>
  <c r="N21" i="3" l="1"/>
  <c r="N51" i="77"/>
  <c r="N60" i="77" l="1"/>
  <c r="N7" i="1"/>
  <c r="N73" i="77"/>
  <c r="M291" i="3"/>
  <c r="N287" i="3" s="1"/>
  <c r="N294" i="3" s="1"/>
  <c r="N22" i="3"/>
  <c r="N24" i="3" s="1"/>
  <c r="M292" i="3" l="1"/>
  <c r="N9" i="1"/>
  <c r="N63" i="77"/>
  <c r="N74" i="77"/>
  <c r="N72" i="77" s="1"/>
  <c r="U7" i="1"/>
  <c r="AW7" i="1"/>
  <c r="N8" i="1" l="1"/>
  <c r="AW9" i="1"/>
  <c r="M298" i="3"/>
  <c r="M299" i="3"/>
  <c r="N47" i="3" l="1"/>
  <c r="O47" i="3" s="1"/>
  <c r="P47" i="3" s="1"/>
  <c r="Q47" i="3" s="1"/>
  <c r="R47" i="3" s="1"/>
  <c r="S47" i="3" s="1"/>
  <c r="N44" i="3"/>
  <c r="O44" i="3" s="1"/>
  <c r="N42" i="3"/>
  <c r="O42" i="3" s="1"/>
  <c r="P42" i="3" s="1"/>
  <c r="Q42" i="3" s="1"/>
  <c r="R42" i="3" s="1"/>
  <c r="S42" i="3" s="1"/>
  <c r="N45" i="3"/>
  <c r="O45" i="3" s="1"/>
  <c r="P45" i="3" s="1"/>
  <c r="Q45" i="3" s="1"/>
  <c r="R45" i="3" s="1"/>
  <c r="S45" i="3" s="1"/>
  <c r="N43" i="3"/>
  <c r="N41" i="3"/>
  <c r="N5" i="1"/>
  <c r="M296" i="3"/>
  <c r="N297" i="3"/>
  <c r="N19" i="3"/>
  <c r="O18" i="3" s="1"/>
  <c r="O288" i="3"/>
  <c r="U8" i="1"/>
  <c r="AW8" i="1"/>
  <c r="N231" i="3" l="1"/>
  <c r="N204" i="3"/>
  <c r="N205" i="3"/>
  <c r="O205" i="3" s="1"/>
  <c r="P205" i="3" s="1"/>
  <c r="Q205" i="3" s="1"/>
  <c r="R205" i="3" s="1"/>
  <c r="S205" i="3" s="1"/>
  <c r="N232" i="3"/>
  <c r="N73" i="3"/>
  <c r="O73" i="3" s="1"/>
  <c r="P73" i="3" s="1"/>
  <c r="Q73" i="3" s="1"/>
  <c r="R73" i="3" s="1"/>
  <c r="S73" i="3" s="1"/>
  <c r="N76" i="3"/>
  <c r="N233" i="3"/>
  <c r="N212" i="3"/>
  <c r="O212" i="3" s="1"/>
  <c r="P212" i="3" s="1"/>
  <c r="Q212" i="3" s="1"/>
  <c r="R212" i="3" s="1"/>
  <c r="S212" i="3" s="1"/>
  <c r="N74" i="3"/>
  <c r="O74" i="3" s="1"/>
  <c r="P74" i="3" s="1"/>
  <c r="Q74" i="3" s="1"/>
  <c r="R74" i="3" s="1"/>
  <c r="S74" i="3" s="1"/>
  <c r="N77" i="3"/>
  <c r="O77" i="3" s="1"/>
  <c r="P77" i="3" s="1"/>
  <c r="Q77" i="3" s="1"/>
  <c r="R77" i="3" s="1"/>
  <c r="S77" i="3" s="1"/>
  <c r="N49" i="3"/>
  <c r="O49" i="3" s="1"/>
  <c r="P49" i="3" s="1"/>
  <c r="Q49" i="3" s="1"/>
  <c r="R49" i="3" s="1"/>
  <c r="S49" i="3" s="1"/>
  <c r="N279" i="3"/>
  <c r="O279" i="3" s="1"/>
  <c r="P279" i="3" s="1"/>
  <c r="Q279" i="3" s="1"/>
  <c r="R279" i="3" s="1"/>
  <c r="S279" i="3" s="1"/>
  <c r="N280" i="3"/>
  <c r="P280" i="3" s="1"/>
  <c r="Q280" i="3" s="1"/>
  <c r="R280" i="3" s="1"/>
  <c r="S280" i="3" s="1"/>
  <c r="N275" i="3"/>
  <c r="N278" i="3"/>
  <c r="N277" i="3"/>
  <c r="P277" i="3" s="1"/>
  <c r="Q277" i="3" s="1"/>
  <c r="R277" i="3" s="1"/>
  <c r="S277" i="3" s="1"/>
  <c r="N276" i="3"/>
  <c r="O276" i="3" s="1"/>
  <c r="P276" i="3" s="1"/>
  <c r="Q276" i="3" s="1"/>
  <c r="R276" i="3" s="1"/>
  <c r="S276" i="3" s="1"/>
  <c r="N6" i="1"/>
  <c r="U5" i="1"/>
  <c r="AG8" i="1"/>
  <c r="AG19" i="1"/>
  <c r="U19" i="1"/>
  <c r="AW19" i="1"/>
  <c r="U14" i="1"/>
  <c r="AW14" i="1"/>
  <c r="AG14" i="1"/>
  <c r="AW16" i="1"/>
  <c r="U16" i="1"/>
  <c r="AG16" i="1"/>
  <c r="AJ10" i="1"/>
  <c r="M34" i="81"/>
  <c r="AG37" i="1"/>
  <c r="AL10" i="1"/>
  <c r="AI10" i="1"/>
  <c r="AW5" i="1"/>
  <c r="AG57" i="1"/>
  <c r="AH10" i="1"/>
  <c r="AG56" i="1"/>
  <c r="AK10" i="1"/>
  <c r="AG10" i="1"/>
  <c r="AG5" i="1"/>
  <c r="AG28" i="1"/>
  <c r="AG31" i="1"/>
  <c r="AG30" i="1"/>
  <c r="AG36" i="1"/>
  <c r="AG35" i="1"/>
  <c r="AG39" i="1"/>
  <c r="AG33" i="1"/>
  <c r="AG41" i="1"/>
  <c r="AG40" i="1"/>
  <c r="AH36" i="1"/>
  <c r="AG34" i="1"/>
  <c r="AG38" i="1"/>
  <c r="AH35" i="1"/>
  <c r="AI36" i="1"/>
  <c r="AG32" i="1"/>
  <c r="AH39" i="1"/>
  <c r="AH33" i="1"/>
  <c r="AH41" i="1"/>
  <c r="AH34" i="1"/>
  <c r="AH38" i="1"/>
  <c r="AH40" i="1"/>
  <c r="AI41" i="1"/>
  <c r="AI40" i="1"/>
  <c r="AI39" i="1"/>
  <c r="AI34" i="1"/>
  <c r="AI35" i="1"/>
  <c r="AJ36" i="1"/>
  <c r="AI38" i="1"/>
  <c r="AG27" i="1"/>
  <c r="AI33" i="1"/>
  <c r="AJ39" i="1"/>
  <c r="AJ41" i="1"/>
  <c r="AJ38" i="1"/>
  <c r="AJ33" i="1"/>
  <c r="AL36" i="1"/>
  <c r="AK36" i="1"/>
  <c r="AJ40" i="1"/>
  <c r="AJ34" i="1"/>
  <c r="AJ35" i="1"/>
  <c r="AK33" i="1"/>
  <c r="AL35" i="1"/>
  <c r="AL38" i="1"/>
  <c r="AK34" i="1"/>
  <c r="AK39" i="1"/>
  <c r="AL41" i="1"/>
  <c r="AK38" i="1"/>
  <c r="AL39" i="1"/>
  <c r="AL40" i="1"/>
  <c r="AK40" i="1"/>
  <c r="AK35" i="1"/>
  <c r="AL34" i="1"/>
  <c r="AK41" i="1"/>
  <c r="AL33" i="1"/>
  <c r="AG7" i="1"/>
  <c r="AG9" i="1"/>
  <c r="AG21" i="1"/>
  <c r="U21" i="1"/>
  <c r="AW21" i="1"/>
  <c r="U20" i="1"/>
  <c r="AW20" i="1"/>
  <c r="AG20" i="1"/>
  <c r="N274" i="3" l="1"/>
  <c r="O275" i="3"/>
  <c r="AG22" i="1"/>
  <c r="N28" i="3"/>
  <c r="N266" i="3"/>
  <c r="M88" i="1"/>
  <c r="L38" i="81"/>
  <c r="U78" i="1"/>
  <c r="U86" i="1"/>
  <c r="O37" i="1"/>
  <c r="AW22" i="1"/>
  <c r="U22" i="1"/>
  <c r="P275" i="3" l="1"/>
  <c r="O274" i="3"/>
  <c r="U49" i="1"/>
  <c r="U77" i="1"/>
  <c r="AH37" i="1"/>
  <c r="AX37" i="1"/>
  <c r="P274" i="3" l="1"/>
  <c r="Q275" i="3"/>
  <c r="AW47" i="1"/>
  <c r="U47" i="1"/>
  <c r="AG47" i="1"/>
  <c r="U89" i="1"/>
  <c r="Q274" i="3" l="1"/>
  <c r="R275" i="3"/>
  <c r="V49" i="1"/>
  <c r="S275" i="3" l="1"/>
  <c r="S274" i="3" s="1"/>
  <c r="R274" i="3"/>
  <c r="AG60" i="1"/>
  <c r="AW60" i="1"/>
  <c r="U60" i="1"/>
  <c r="L153" i="1" l="1"/>
  <c r="K153" i="1"/>
  <c r="K148" i="1"/>
  <c r="L151" i="1"/>
  <c r="L149" i="1"/>
  <c r="L147" i="1"/>
  <c r="K151" i="1"/>
  <c r="K147" i="1"/>
  <c r="K146" i="1"/>
  <c r="K149" i="1"/>
  <c r="L146" i="1"/>
  <c r="K227" i="3"/>
  <c r="K233" i="3"/>
  <c r="K229" i="3"/>
  <c r="K228" i="3"/>
  <c r="K230" i="3"/>
  <c r="K232" i="3"/>
  <c r="K226" i="3"/>
  <c r="K231" i="3"/>
  <c r="L228" i="3"/>
  <c r="L231" i="3"/>
  <c r="L229" i="3"/>
  <c r="L232" i="3"/>
  <c r="L227" i="3"/>
  <c r="L233" i="3"/>
  <c r="L226" i="3"/>
  <c r="L230" i="3"/>
  <c r="L138" i="1" l="1"/>
  <c r="L155" i="1" s="1"/>
  <c r="K138" i="1"/>
  <c r="K155" i="1" s="1"/>
  <c r="O231" i="3" l="1"/>
  <c r="J39" i="81"/>
  <c r="J41" i="81" s="1"/>
  <c r="J44" i="81" s="1"/>
  <c r="K39" i="81"/>
  <c r="K41" i="81" s="1"/>
  <c r="K44" i="81" s="1"/>
  <c r="P229" i="3"/>
  <c r="O233" i="3"/>
  <c r="P227" i="3"/>
  <c r="P226" i="3"/>
  <c r="U113" i="1" l="1"/>
  <c r="L39" i="81"/>
  <c r="L41" i="81" s="1"/>
  <c r="L44" i="81" s="1"/>
  <c r="P232" i="3"/>
  <c r="P230" i="3"/>
  <c r="P233" i="3"/>
  <c r="U114" i="1"/>
  <c r="U121" i="1"/>
  <c r="P228" i="3"/>
  <c r="Q229" i="3"/>
  <c r="Q226" i="3"/>
  <c r="Q227" i="3"/>
  <c r="P231" i="3"/>
  <c r="U116" i="1"/>
  <c r="Q228" i="3" l="1"/>
  <c r="Q233" i="3"/>
  <c r="R226" i="3"/>
  <c r="Q230" i="3"/>
  <c r="Q231" i="3"/>
  <c r="Q232" i="3"/>
  <c r="R229" i="3"/>
  <c r="R227" i="3"/>
  <c r="L190" i="3" l="1"/>
  <c r="L203" i="3" s="1"/>
  <c r="L74" i="1"/>
  <c r="R231" i="3"/>
  <c r="R233" i="3"/>
  <c r="R228" i="3"/>
  <c r="S226" i="3"/>
  <c r="S229" i="3"/>
  <c r="R232" i="3"/>
  <c r="R230" i="3"/>
  <c r="S227" i="3"/>
  <c r="L2" i="1" l="1"/>
  <c r="L3" i="3" s="1"/>
  <c r="M98" i="3"/>
  <c r="M91" i="3"/>
  <c r="S228" i="3"/>
  <c r="S233" i="3"/>
  <c r="S232" i="3"/>
  <c r="S231" i="3"/>
  <c r="S230" i="3"/>
  <c r="M54" i="1" l="1"/>
  <c r="M173" i="1" s="1"/>
  <c r="M174" i="1" s="1"/>
  <c r="AF55" i="1"/>
  <c r="AV55" i="1"/>
  <c r="AV54" i="1" l="1"/>
  <c r="AF54" i="1"/>
  <c r="M58" i="1" l="1"/>
  <c r="AV58" i="1" l="1"/>
  <c r="AF58" i="1"/>
  <c r="M62" i="1"/>
  <c r="AV59" i="1"/>
  <c r="AF59" i="1"/>
  <c r="M66" i="1" l="1"/>
  <c r="M68" i="1"/>
  <c r="M63" i="1"/>
  <c r="AV63" i="1" s="1"/>
  <c r="AF62" i="1"/>
  <c r="AV62" i="1"/>
  <c r="M355" i="3"/>
  <c r="M328" i="3" l="1"/>
  <c r="M178" i="1"/>
  <c r="M179" i="1" s="1"/>
  <c r="M182" i="1" s="1"/>
  <c r="M184" i="1" s="1"/>
  <c r="M367" i="3"/>
  <c r="M358" i="3"/>
  <c r="M366" i="3" l="1"/>
  <c r="M361" i="3"/>
  <c r="M362" i="3" s="1"/>
  <c r="M363" i="3" l="1"/>
  <c r="M364" i="3" s="1"/>
  <c r="M368" i="3" s="1"/>
  <c r="M369" i="3" s="1"/>
  <c r="M370" i="3" l="1"/>
  <c r="Q12" i="81"/>
  <c r="AF65" i="1" l="1"/>
  <c r="AV65" i="1"/>
  <c r="AV66" i="1" l="1"/>
  <c r="AF68" i="1"/>
  <c r="AV68" i="1"/>
  <c r="M69" i="1"/>
  <c r="AV69" i="1" l="1"/>
  <c r="N386" i="3" l="1"/>
  <c r="U129" i="1"/>
  <c r="M118" i="1" l="1"/>
  <c r="V119" i="1"/>
  <c r="N118" i="1"/>
  <c r="U118" i="1" s="1"/>
  <c r="U119" i="1"/>
  <c r="O160" i="3" l="1"/>
  <c r="O169" i="3" s="1"/>
  <c r="P160" i="3" l="1"/>
  <c r="M108" i="1" l="1"/>
  <c r="P169" i="3"/>
  <c r="Q160" i="3"/>
  <c r="R160" i="3" l="1"/>
  <c r="R169" i="3" s="1"/>
  <c r="Q169" i="3"/>
  <c r="AG59" i="1" l="1"/>
  <c r="U58" i="1"/>
  <c r="AW59" i="1"/>
  <c r="U59" i="1"/>
  <c r="AW58" i="1" l="1"/>
  <c r="AG58" i="1"/>
  <c r="M125" i="1"/>
  <c r="M352" i="3" l="1"/>
  <c r="N353" i="3" s="1"/>
  <c r="C46" i="79"/>
  <c r="C45" i="79" s="1"/>
  <c r="M382" i="3"/>
  <c r="N383" i="3" s="1"/>
  <c r="M74" i="1"/>
  <c r="M2" i="1" l="1"/>
  <c r="M3" i="3" s="1"/>
  <c r="N98" i="3"/>
  <c r="G11" i="81"/>
  <c r="C53" i="79"/>
  <c r="C52" i="79" s="1"/>
  <c r="C13" i="79"/>
  <c r="G10" i="81" s="1"/>
  <c r="N91" i="3"/>
  <c r="C14" i="79" l="1"/>
  <c r="C24" i="79" s="1"/>
  <c r="G12" i="81" s="1"/>
  <c r="U55" i="1"/>
  <c r="AW55" i="1"/>
  <c r="AG55" i="1"/>
  <c r="U54" i="1" l="1"/>
  <c r="AG54" i="1"/>
  <c r="AW54" i="1"/>
  <c r="P44" i="3" l="1"/>
  <c r="Q44" i="3" s="1"/>
  <c r="R44" i="3" l="1"/>
  <c r="S44" i="3" l="1"/>
  <c r="AW15" i="1"/>
  <c r="AG15" i="1"/>
  <c r="U15" i="1"/>
  <c r="O17" i="1" l="1"/>
  <c r="P34" i="3"/>
  <c r="AG17" i="1"/>
  <c r="AW17" i="1"/>
  <c r="U17" i="1"/>
  <c r="AX17" i="1" l="1"/>
  <c r="P46" i="3"/>
  <c r="P17" i="1"/>
  <c r="Q34" i="3"/>
  <c r="Q17" i="1" l="1"/>
  <c r="R34" i="3"/>
  <c r="Q46" i="3"/>
  <c r="AY17" i="1"/>
  <c r="R46" i="3" l="1"/>
  <c r="R17" i="1"/>
  <c r="S34" i="3"/>
  <c r="AZ17" i="1"/>
  <c r="S17" i="1" l="1"/>
  <c r="S46" i="3"/>
  <c r="BA17" i="1"/>
  <c r="BB17" i="1" l="1"/>
  <c r="V17" i="1"/>
  <c r="U18" i="1" l="1"/>
  <c r="AW18" i="1"/>
  <c r="AG18" i="1"/>
  <c r="AW13" i="1" l="1"/>
  <c r="AG13" i="1"/>
  <c r="U13" i="1"/>
  <c r="N24" i="1"/>
  <c r="N43" i="1" s="1"/>
  <c r="N137" i="1" s="1"/>
  <c r="N155" i="1" s="1"/>
  <c r="N174" i="1" s="1"/>
  <c r="N51" i="1" l="1"/>
  <c r="U82" i="1"/>
  <c r="AW24" i="1"/>
  <c r="AG24" i="1"/>
  <c r="N25" i="1"/>
  <c r="U24" i="1"/>
  <c r="U79" i="1"/>
  <c r="U111" i="1"/>
  <c r="U110" i="1"/>
  <c r="U112" i="1"/>
  <c r="N44" i="1" l="1"/>
  <c r="M35" i="81"/>
  <c r="M37" i="81" s="1"/>
  <c r="AW43" i="1"/>
  <c r="U43" i="1"/>
  <c r="AG43" i="1"/>
  <c r="AW25" i="1"/>
  <c r="Q24" i="81"/>
  <c r="U25" i="1"/>
  <c r="U81" i="1"/>
  <c r="M39" i="81" l="1"/>
  <c r="U80" i="1"/>
  <c r="U44" i="1"/>
  <c r="Q25" i="81"/>
  <c r="AW44" i="1"/>
  <c r="O48" i="1" l="1"/>
  <c r="AX48" i="1" l="1"/>
  <c r="O264" i="3"/>
  <c r="P263" i="3" s="1"/>
  <c r="U48" i="1"/>
  <c r="AW48" i="1"/>
  <c r="AG48" i="1"/>
  <c r="O261" i="3"/>
  <c r="U104" i="1" l="1"/>
  <c r="U46" i="1"/>
  <c r="AG46" i="1"/>
  <c r="AW46" i="1"/>
  <c r="O104" i="1"/>
  <c r="O164" i="1" s="1"/>
  <c r="P48" i="1"/>
  <c r="U88" i="1" l="1"/>
  <c r="AY48" i="1"/>
  <c r="N52" i="1"/>
  <c r="AW51" i="1"/>
  <c r="AG51" i="1"/>
  <c r="N62" i="1"/>
  <c r="U51" i="1"/>
  <c r="N385" i="3"/>
  <c r="N389" i="3" s="1"/>
  <c r="P264" i="3"/>
  <c r="Q263" i="3" s="1"/>
  <c r="P261" i="3"/>
  <c r="N355" i="3" l="1"/>
  <c r="N358" i="3" s="1"/>
  <c r="U52" i="1"/>
  <c r="AW52" i="1"/>
  <c r="N397" i="3"/>
  <c r="N398" i="3"/>
  <c r="N392" i="3"/>
  <c r="N393" i="3" s="1"/>
  <c r="AG62" i="1"/>
  <c r="AW62" i="1"/>
  <c r="N63" i="1"/>
  <c r="U62" i="1"/>
  <c r="Q48" i="1"/>
  <c r="P104" i="1"/>
  <c r="P164" i="1" s="1"/>
  <c r="Q264" i="3" l="1"/>
  <c r="R263" i="3" s="1"/>
  <c r="AW63" i="1"/>
  <c r="U63" i="1"/>
  <c r="AZ48" i="1"/>
  <c r="Q261" i="3"/>
  <c r="N394" i="3"/>
  <c r="N395" i="3" s="1"/>
  <c r="N399" i="3" s="1"/>
  <c r="N400" i="3" s="1"/>
  <c r="N401" i="3" s="1"/>
  <c r="N367" i="3"/>
  <c r="R48" i="1" l="1"/>
  <c r="BA48" i="1" s="1"/>
  <c r="Q104" i="1"/>
  <c r="Q164" i="1" s="1"/>
  <c r="M40" i="81"/>
  <c r="N366" i="3"/>
  <c r="N361" i="3"/>
  <c r="N362" i="3" s="1"/>
  <c r="R261" i="3"/>
  <c r="R264" i="3" l="1"/>
  <c r="S263" i="3" s="1"/>
  <c r="S48" i="1" s="1"/>
  <c r="N363" i="3"/>
  <c r="R104" i="1" l="1"/>
  <c r="R164" i="1" s="1"/>
  <c r="N364" i="3"/>
  <c r="N368" i="3" s="1"/>
  <c r="N369" i="3" s="1"/>
  <c r="S264" i="3"/>
  <c r="S104" i="1" s="1"/>
  <c r="S164" i="1" s="1"/>
  <c r="V48" i="1"/>
  <c r="BB48" i="1"/>
  <c r="S261" i="3"/>
  <c r="V104" i="1" l="1"/>
  <c r="N68" i="1" l="1"/>
  <c r="N328" i="3" l="1"/>
  <c r="N178" i="1"/>
  <c r="N179" i="1" s="1"/>
  <c r="N182" i="1" s="1"/>
  <c r="N184" i="1" s="1"/>
  <c r="N370" i="3"/>
  <c r="N66" i="1"/>
  <c r="U66" i="1" s="1"/>
  <c r="AG65" i="1"/>
  <c r="U65" i="1"/>
  <c r="AW65" i="1"/>
  <c r="N69" i="1" l="1"/>
  <c r="AW69" i="1" s="1"/>
  <c r="O332" i="3"/>
  <c r="AW68" i="1"/>
  <c r="AG68" i="1"/>
  <c r="U132" i="1"/>
  <c r="U68" i="1"/>
  <c r="AW66" i="1"/>
  <c r="Q26" i="81" l="1"/>
  <c r="U69" i="1"/>
  <c r="O329" i="3"/>
  <c r="O129" i="1" s="1"/>
  <c r="O386" i="3" s="1"/>
  <c r="O334" i="3" l="1"/>
  <c r="N108" i="1" l="1"/>
  <c r="U108" i="1" s="1"/>
  <c r="U109" i="1"/>
  <c r="U131" i="1" l="1"/>
  <c r="N125" i="1" l="1"/>
  <c r="O333" i="3"/>
  <c r="O335" i="3" s="1"/>
  <c r="N352" i="3" l="1"/>
  <c r="O353" i="3" s="1"/>
  <c r="N382" i="3"/>
  <c r="O383" i="3" s="1"/>
  <c r="U125" i="1"/>
  <c r="U75" i="1" l="1"/>
  <c r="N74" i="1"/>
  <c r="N2" i="1" l="1"/>
  <c r="O92" i="3"/>
  <c r="O55" i="1" s="1"/>
  <c r="O54" i="1" s="1"/>
  <c r="U74" i="1"/>
  <c r="O91" i="3"/>
  <c r="N3" i="3"/>
  <c r="AX54" i="1" l="1"/>
  <c r="AX55" i="1"/>
  <c r="O339" i="3"/>
  <c r="O131" i="1" s="1"/>
  <c r="P333" i="3" l="1"/>
  <c r="C47" i="79" l="1"/>
  <c r="V12" i="1"/>
  <c r="N47" i="77"/>
  <c r="N36" i="77" s="1"/>
  <c r="O48" i="77"/>
  <c r="P48" i="77" s="1"/>
  <c r="Q48" i="77" s="1"/>
  <c r="R48" i="77" s="1"/>
  <c r="S48" i="77" s="1"/>
  <c r="O36" i="77" l="1"/>
  <c r="N40" i="77"/>
  <c r="N41" i="77"/>
  <c r="P36" i="77" l="1"/>
  <c r="O40" i="77"/>
  <c r="O41" i="77"/>
  <c r="O47" i="77"/>
  <c r="O50" i="77" s="1"/>
  <c r="O52" i="77" l="1"/>
  <c r="O21" i="3"/>
  <c r="O51" i="77"/>
  <c r="Q36" i="77"/>
  <c r="P47" i="77"/>
  <c r="P50" i="77" s="1"/>
  <c r="P40" i="77"/>
  <c r="P41" i="77"/>
  <c r="P21" i="3" l="1"/>
  <c r="P51" i="77"/>
  <c r="P52" i="77"/>
  <c r="N291" i="3"/>
  <c r="O22" i="3"/>
  <c r="O24" i="3" s="1"/>
  <c r="R36" i="77"/>
  <c r="Q41" i="77"/>
  <c r="Q40" i="77"/>
  <c r="Q47" i="77"/>
  <c r="Q50" i="77" s="1"/>
  <c r="O60" i="77"/>
  <c r="O7" i="1"/>
  <c r="O73" i="77"/>
  <c r="O62" i="77"/>
  <c r="O9" i="1" l="1"/>
  <c r="O29" i="3" s="1"/>
  <c r="O63" i="77"/>
  <c r="O74" i="77"/>
  <c r="O72" i="77" s="1"/>
  <c r="AX7" i="1"/>
  <c r="N292" i="3"/>
  <c r="O287" i="3"/>
  <c r="O291" i="3" s="1"/>
  <c r="O292" i="3" s="1"/>
  <c r="Q51" i="77"/>
  <c r="Q21" i="3"/>
  <c r="Q52" i="77"/>
  <c r="O69" i="77"/>
  <c r="O70" i="77" s="1"/>
  <c r="R41" i="77"/>
  <c r="R47" i="77"/>
  <c r="R50" i="77" s="1"/>
  <c r="R40" i="77"/>
  <c r="S36" i="77"/>
  <c r="O294" i="3" l="1"/>
  <c r="N299" i="3"/>
  <c r="N298" i="3"/>
  <c r="R21" i="3"/>
  <c r="R52" i="77"/>
  <c r="R51" i="77"/>
  <c r="O14" i="1"/>
  <c r="S41" i="77"/>
  <c r="S47" i="77"/>
  <c r="S50" i="77" s="1"/>
  <c r="S40" i="77"/>
  <c r="AX9" i="1"/>
  <c r="O8" i="1"/>
  <c r="AH9" i="1"/>
  <c r="S21" i="3" l="1"/>
  <c r="S51" i="77"/>
  <c r="S52" i="77"/>
  <c r="P288" i="3"/>
  <c r="O297" i="3"/>
  <c r="O298" i="3"/>
  <c r="O299" i="3"/>
  <c r="O19" i="3"/>
  <c r="P18" i="3" s="1"/>
  <c r="O218" i="3"/>
  <c r="O113" i="1" s="1"/>
  <c r="O148" i="1" s="1"/>
  <c r="O219" i="3"/>
  <c r="O114" i="1" s="1"/>
  <c r="O149" i="1" s="1"/>
  <c r="AX14" i="1"/>
  <c r="N296" i="3"/>
  <c r="N306" i="3" s="1"/>
  <c r="O305" i="3" s="1"/>
  <c r="P287" i="3"/>
  <c r="AX8" i="1"/>
  <c r="O5" i="1"/>
  <c r="O35" i="3"/>
  <c r="O20" i="1" s="1"/>
  <c r="O31" i="3"/>
  <c r="O36" i="3"/>
  <c r="O21" i="1" s="1"/>
  <c r="O33" i="3"/>
  <c r="O16" i="1" s="1"/>
  <c r="O32" i="3"/>
  <c r="O19" i="1" s="1"/>
  <c r="O58" i="3" l="1"/>
  <c r="O32" i="1" s="1"/>
  <c r="AX32" i="1" s="1"/>
  <c r="O191" i="3"/>
  <c r="AH14" i="1"/>
  <c r="O55" i="3"/>
  <c r="O29" i="1" s="1"/>
  <c r="O57" i="3"/>
  <c r="O31" i="1" s="1"/>
  <c r="AX31" i="1" s="1"/>
  <c r="O56" i="3"/>
  <c r="O30" i="1" s="1"/>
  <c r="AX30" i="1" s="1"/>
  <c r="N309" i="3"/>
  <c r="AH19" i="1"/>
  <c r="AX19" i="1"/>
  <c r="AH16" i="1"/>
  <c r="AX16" i="1"/>
  <c r="O296" i="3"/>
  <c r="AH21" i="1"/>
  <c r="AX21" i="1"/>
  <c r="P22" i="3"/>
  <c r="P24" i="3" s="1"/>
  <c r="O221" i="3"/>
  <c r="O116" i="1" s="1"/>
  <c r="O151" i="1" s="1"/>
  <c r="O222" i="3"/>
  <c r="O121" i="1" s="1"/>
  <c r="O153" i="1" s="1"/>
  <c r="AH54" i="1"/>
  <c r="N34" i="81"/>
  <c r="AH56" i="1"/>
  <c r="AH48" i="1"/>
  <c r="AH5" i="1"/>
  <c r="O192" i="3"/>
  <c r="O78" i="1" s="1"/>
  <c r="O140" i="1" s="1"/>
  <c r="O271" i="3"/>
  <c r="O272" i="3"/>
  <c r="O200" i="3"/>
  <c r="O86" i="1" s="1"/>
  <c r="O144" i="1" s="1"/>
  <c r="AH17" i="1"/>
  <c r="O6" i="1"/>
  <c r="O270" i="3"/>
  <c r="O269" i="3"/>
  <c r="O220" i="3"/>
  <c r="AH28" i="1"/>
  <c r="O38" i="3"/>
  <c r="O22" i="1" s="1"/>
  <c r="AH30" i="1"/>
  <c r="O268" i="3"/>
  <c r="AH57" i="1"/>
  <c r="O267" i="3"/>
  <c r="AH55" i="1"/>
  <c r="AH32" i="1"/>
  <c r="AX5" i="1"/>
  <c r="AH7" i="1"/>
  <c r="AH8" i="1"/>
  <c r="O15" i="1"/>
  <c r="AH20" i="1"/>
  <c r="AX20" i="1"/>
  <c r="P294" i="3"/>
  <c r="Q288" i="3" s="1"/>
  <c r="P291" i="3"/>
  <c r="P292" i="3" s="1"/>
  <c r="AH31" i="1" l="1"/>
  <c r="O27" i="1"/>
  <c r="O307" i="3"/>
  <c r="O47" i="1" s="1"/>
  <c r="P37" i="1"/>
  <c r="M38" i="81"/>
  <c r="M41" i="81" s="1"/>
  <c r="Q287" i="3"/>
  <c r="P297" i="3"/>
  <c r="P299" i="3"/>
  <c r="P298" i="3"/>
  <c r="P19" i="3"/>
  <c r="Q18" i="3" s="1"/>
  <c r="O77" i="1"/>
  <c r="O139" i="1" s="1"/>
  <c r="O53" i="3"/>
  <c r="O102" i="3" s="1"/>
  <c r="O60" i="1" s="1"/>
  <c r="O173" i="1" s="1"/>
  <c r="AH22" i="1"/>
  <c r="AX22" i="1"/>
  <c r="AX15" i="1"/>
  <c r="AH15" i="1"/>
  <c r="O118" i="1"/>
  <c r="O266" i="3"/>
  <c r="O303" i="3" s="1"/>
  <c r="O306" i="3" s="1"/>
  <c r="AX60" i="1" l="1"/>
  <c r="AH60" i="1"/>
  <c r="P305" i="3"/>
  <c r="O90" i="1"/>
  <c r="AX27" i="1"/>
  <c r="AH27" i="1"/>
  <c r="O308" i="3"/>
  <c r="O98" i="1" s="1"/>
  <c r="Q22" i="3"/>
  <c r="Q24" i="3" s="1"/>
  <c r="AX47" i="1"/>
  <c r="O46" i="1"/>
  <c r="AH47" i="1"/>
  <c r="Q294" i="3"/>
  <c r="Q291" i="3"/>
  <c r="Q292" i="3" s="1"/>
  <c r="P296" i="3"/>
  <c r="M44" i="81"/>
  <c r="AI37" i="1"/>
  <c r="V37" i="1"/>
  <c r="AY37" i="1"/>
  <c r="O89" i="1" l="1"/>
  <c r="O157" i="1" s="1"/>
  <c r="O167" i="1" s="1"/>
  <c r="O309" i="3"/>
  <c r="AX46" i="1"/>
  <c r="AH46" i="1"/>
  <c r="Q299" i="3"/>
  <c r="Q298" i="3"/>
  <c r="Q297" i="3"/>
  <c r="Q19" i="3"/>
  <c r="R18" i="3" s="1"/>
  <c r="R288" i="3"/>
  <c r="R287" i="3"/>
  <c r="N38" i="81" l="1"/>
  <c r="O88" i="1"/>
  <c r="P307" i="3"/>
  <c r="P47" i="1" s="1"/>
  <c r="P46" i="1" s="1"/>
  <c r="AY46" i="1" s="1"/>
  <c r="O161" i="3"/>
  <c r="R294" i="3"/>
  <c r="R291" i="3"/>
  <c r="R292" i="3" s="1"/>
  <c r="R22" i="3"/>
  <c r="R24" i="3" s="1"/>
  <c r="Q296" i="3"/>
  <c r="AY47" i="1" l="1"/>
  <c r="P308" i="3"/>
  <c r="P98" i="1" s="1"/>
  <c r="O152" i="3"/>
  <c r="P161" i="3"/>
  <c r="O170" i="3"/>
  <c r="O176" i="3" s="1"/>
  <c r="S287" i="3"/>
  <c r="R19" i="3"/>
  <c r="S18" i="3" s="1"/>
  <c r="S22" i="3" s="1"/>
  <c r="S24" i="3" s="1"/>
  <c r="R297" i="3"/>
  <c r="R299" i="3"/>
  <c r="R298" i="3"/>
  <c r="S288" i="3"/>
  <c r="S291" i="3" l="1"/>
  <c r="S292" i="3" s="1"/>
  <c r="S294" i="3"/>
  <c r="O155" i="3"/>
  <c r="O182" i="3" s="1"/>
  <c r="O180" i="3"/>
  <c r="R296" i="3"/>
  <c r="P170" i="3"/>
  <c r="Q161" i="3"/>
  <c r="C30" i="79"/>
  <c r="R161" i="3" l="1"/>
  <c r="Q170" i="3"/>
  <c r="S297" i="3"/>
  <c r="S19" i="3"/>
  <c r="S299" i="3"/>
  <c r="S298" i="3"/>
  <c r="S296" i="3" l="1"/>
  <c r="S161" i="3"/>
  <c r="S170" i="3" s="1"/>
  <c r="R170" i="3"/>
  <c r="P11" i="77" l="1"/>
  <c r="P14" i="77" l="1"/>
  <c r="P15" i="77" s="1"/>
  <c r="Q11" i="77"/>
  <c r="R11" i="77" s="1"/>
  <c r="S11" i="77" s="1"/>
  <c r="P59" i="77" l="1"/>
  <c r="P60" i="77" s="1"/>
  <c r="Q14" i="77"/>
  <c r="P7" i="1" l="1"/>
  <c r="P73" i="77"/>
  <c r="P62" i="77"/>
  <c r="P74" i="77" s="1"/>
  <c r="AY7" i="1"/>
  <c r="P69" i="77"/>
  <c r="P70" i="77" s="1"/>
  <c r="Q15" i="77"/>
  <c r="Q59" i="77"/>
  <c r="R14" i="77"/>
  <c r="P9" i="1" l="1"/>
  <c r="P29" i="3" s="1"/>
  <c r="P63" i="77"/>
  <c r="P72" i="77"/>
  <c r="Q73" i="77"/>
  <c r="Q60" i="77"/>
  <c r="Q62" i="77"/>
  <c r="Q7" i="1"/>
  <c r="P8" i="1"/>
  <c r="AY9" i="1"/>
  <c r="V9" i="1"/>
  <c r="P14" i="1"/>
  <c r="S14" i="77"/>
  <c r="R15" i="77"/>
  <c r="R59" i="77"/>
  <c r="AI9" i="1" l="1"/>
  <c r="R73" i="77"/>
  <c r="R60" i="77"/>
  <c r="R62" i="77"/>
  <c r="R7" i="1"/>
  <c r="AZ7" i="1"/>
  <c r="Q74" i="77"/>
  <c r="Q72" i="77" s="1"/>
  <c r="Q9" i="1"/>
  <c r="Q63" i="77"/>
  <c r="AY8" i="1"/>
  <c r="P33" i="3"/>
  <c r="P16" i="1" s="1"/>
  <c r="P35" i="3"/>
  <c r="P20" i="1" s="1"/>
  <c r="P5" i="1"/>
  <c r="P58" i="3" s="1"/>
  <c r="P32" i="1" s="1"/>
  <c r="AY32" i="1" s="1"/>
  <c r="P31" i="3"/>
  <c r="P36" i="3"/>
  <c r="P21" i="1" s="1"/>
  <c r="P32" i="3"/>
  <c r="P19" i="1" s="1"/>
  <c r="AY14" i="1"/>
  <c r="P218" i="3"/>
  <c r="P113" i="1" s="1"/>
  <c r="P148" i="1" s="1"/>
  <c r="P219" i="3"/>
  <c r="P114" i="1" s="1"/>
  <c r="P149" i="1" s="1"/>
  <c r="Q69" i="77"/>
  <c r="Q70" i="77" s="1"/>
  <c r="S15" i="77"/>
  <c r="S59" i="77"/>
  <c r="P57" i="3" l="1"/>
  <c r="P31" i="1" s="1"/>
  <c r="AY31" i="1" s="1"/>
  <c r="P55" i="3"/>
  <c r="P29" i="1" s="1"/>
  <c r="P56" i="3"/>
  <c r="P30" i="1" s="1"/>
  <c r="AY30" i="1" s="1"/>
  <c r="AJ9" i="1"/>
  <c r="Q8" i="1"/>
  <c r="AZ9" i="1"/>
  <c r="P15" i="1"/>
  <c r="AI21" i="1"/>
  <c r="AY21" i="1"/>
  <c r="P192" i="3"/>
  <c r="P78" i="1" s="1"/>
  <c r="P140" i="1" s="1"/>
  <c r="AI57" i="1"/>
  <c r="AI47" i="1"/>
  <c r="P271" i="3"/>
  <c r="P200" i="3"/>
  <c r="P86" i="1" s="1"/>
  <c r="P144" i="1" s="1"/>
  <c r="P222" i="3"/>
  <c r="P121" i="1" s="1"/>
  <c r="P153" i="1" s="1"/>
  <c r="P6" i="1"/>
  <c r="P268" i="3"/>
  <c r="AY5" i="1"/>
  <c r="P220" i="3"/>
  <c r="P269" i="3"/>
  <c r="AI56" i="1"/>
  <c r="P270" i="3"/>
  <c r="P38" i="3"/>
  <c r="P22" i="1" s="1"/>
  <c r="AI30" i="1"/>
  <c r="AI32" i="1"/>
  <c r="P272" i="3"/>
  <c r="AI28" i="1"/>
  <c r="AI48" i="1"/>
  <c r="P221" i="3"/>
  <c r="P116" i="1" s="1"/>
  <c r="P151" i="1" s="1"/>
  <c r="AI17" i="1"/>
  <c r="O34" i="81"/>
  <c r="M28" i="81" s="1"/>
  <c r="P191" i="3"/>
  <c r="AI46" i="1"/>
  <c r="AI31" i="1"/>
  <c r="AI5" i="1"/>
  <c r="P267" i="3"/>
  <c r="AI7" i="1"/>
  <c r="BA7" i="1"/>
  <c r="AY16" i="1"/>
  <c r="AI16" i="1"/>
  <c r="R9" i="1"/>
  <c r="R74" i="77"/>
  <c r="R72" i="77" s="1"/>
  <c r="R63" i="77"/>
  <c r="AI14" i="1"/>
  <c r="R69" i="77"/>
  <c r="R70" i="77" s="1"/>
  <c r="AI8" i="1"/>
  <c r="AI20" i="1"/>
  <c r="AY20" i="1"/>
  <c r="S73" i="77"/>
  <c r="S60" i="77"/>
  <c r="S62" i="77"/>
  <c r="S7" i="1"/>
  <c r="AY19" i="1"/>
  <c r="AI19" i="1"/>
  <c r="Q29" i="3"/>
  <c r="P27" i="1" l="1"/>
  <c r="AI22" i="1"/>
  <c r="AY22" i="1"/>
  <c r="R8" i="1"/>
  <c r="BA9" i="1"/>
  <c r="AK9" i="1"/>
  <c r="P118" i="1"/>
  <c r="P53" i="3"/>
  <c r="P102" i="3" s="1"/>
  <c r="P60" i="1" s="1"/>
  <c r="P77" i="1"/>
  <c r="P139" i="1" s="1"/>
  <c r="R29" i="3"/>
  <c r="AI15" i="1"/>
  <c r="AY15" i="1"/>
  <c r="S72" i="77"/>
  <c r="BB7" i="1"/>
  <c r="V7" i="1"/>
  <c r="S63" i="77"/>
  <c r="S74" i="77"/>
  <c r="S9" i="1"/>
  <c r="S29" i="3" s="1"/>
  <c r="P266" i="3"/>
  <c r="P303" i="3" s="1"/>
  <c r="P306" i="3" s="1"/>
  <c r="AZ8" i="1"/>
  <c r="Q33" i="3"/>
  <c r="Q16" i="1" s="1"/>
  <c r="Q5" i="1"/>
  <c r="Q58" i="3" s="1"/>
  <c r="Q32" i="1" s="1"/>
  <c r="Q31" i="3"/>
  <c r="Q15" i="1" s="1"/>
  <c r="Q36" i="3"/>
  <c r="Q21" i="1" s="1"/>
  <c r="Q35" i="3"/>
  <c r="Q20" i="1" s="1"/>
  <c r="Q32" i="3"/>
  <c r="Q19" i="1" s="1"/>
  <c r="Q14" i="1"/>
  <c r="S69" i="77"/>
  <c r="S70" i="77" s="1"/>
  <c r="Q37" i="1"/>
  <c r="Q305" i="3" l="1"/>
  <c r="P90" i="1"/>
  <c r="P89" i="1" s="1"/>
  <c r="P157" i="1" s="1"/>
  <c r="P167" i="1" s="1"/>
  <c r="AY60" i="1"/>
  <c r="AI60" i="1"/>
  <c r="AY27" i="1"/>
  <c r="AI27" i="1"/>
  <c r="AJ8" i="1"/>
  <c r="Q56" i="3"/>
  <c r="Q30" i="1" s="1"/>
  <c r="AZ30" i="1" s="1"/>
  <c r="Q55" i="3"/>
  <c r="Q29" i="1" s="1"/>
  <c r="Q57" i="3"/>
  <c r="Q31" i="1" s="1"/>
  <c r="AZ31" i="1" s="1"/>
  <c r="P309" i="3"/>
  <c r="AJ21" i="1"/>
  <c r="AZ21" i="1"/>
  <c r="AL9" i="1"/>
  <c r="BB9" i="1"/>
  <c r="S8" i="1"/>
  <c r="S14" i="1"/>
  <c r="AZ20" i="1"/>
  <c r="AJ20" i="1"/>
  <c r="AZ15" i="1"/>
  <c r="AJ15" i="1"/>
  <c r="R14" i="1"/>
  <c r="BA8" i="1"/>
  <c r="R32" i="3"/>
  <c r="R19" i="1" s="1"/>
  <c r="R36" i="3"/>
  <c r="R21" i="1" s="1"/>
  <c r="R31" i="3"/>
  <c r="R15" i="1" s="1"/>
  <c r="R35" i="3"/>
  <c r="R20" i="1" s="1"/>
  <c r="R5" i="1"/>
  <c r="R58" i="3" s="1"/>
  <c r="R32" i="1" s="1"/>
  <c r="R33" i="3"/>
  <c r="R16" i="1" s="1"/>
  <c r="AJ19" i="1"/>
  <c r="AZ19" i="1"/>
  <c r="AZ37" i="1"/>
  <c r="AJ37" i="1"/>
  <c r="Q271" i="3"/>
  <c r="Q270" i="3"/>
  <c r="AJ5" i="1"/>
  <c r="Q268" i="3"/>
  <c r="AJ48" i="1"/>
  <c r="Q222" i="3"/>
  <c r="Q121" i="1" s="1"/>
  <c r="Q153" i="1" s="1"/>
  <c r="AJ56" i="1"/>
  <c r="AZ5" i="1"/>
  <c r="Q221" i="3"/>
  <c r="Q116" i="1" s="1"/>
  <c r="Q151" i="1" s="1"/>
  <c r="Q38" i="3"/>
  <c r="AJ17" i="1"/>
  <c r="Q220" i="3"/>
  <c r="Q269" i="3"/>
  <c r="Q192" i="3"/>
  <c r="Q78" i="1" s="1"/>
  <c r="Q140" i="1" s="1"/>
  <c r="AJ28" i="1"/>
  <c r="Q6" i="1"/>
  <c r="Q191" i="3"/>
  <c r="Q200" i="3"/>
  <c r="Q86" i="1" s="1"/>
  <c r="Q144" i="1" s="1"/>
  <c r="Q272" i="3"/>
  <c r="AJ57" i="1"/>
  <c r="P34" i="81"/>
  <c r="Q267" i="3"/>
  <c r="AJ7" i="1"/>
  <c r="AZ14" i="1"/>
  <c r="AJ14" i="1"/>
  <c r="Q218" i="3"/>
  <c r="Q113" i="1" s="1"/>
  <c r="Q148" i="1" s="1"/>
  <c r="Q219" i="3"/>
  <c r="Q114" i="1" s="1"/>
  <c r="Q149" i="1" s="1"/>
  <c r="AJ16" i="1"/>
  <c r="AZ16" i="1"/>
  <c r="O38" i="81" l="1"/>
  <c r="P88" i="1"/>
  <c r="AJ30" i="1"/>
  <c r="AK8" i="1"/>
  <c r="R57" i="3"/>
  <c r="R31" i="1" s="1"/>
  <c r="BA31" i="1" s="1"/>
  <c r="R56" i="3"/>
  <c r="R30" i="1" s="1"/>
  <c r="BA30" i="1" s="1"/>
  <c r="R55" i="3"/>
  <c r="R29" i="1" s="1"/>
  <c r="AJ31" i="1"/>
  <c r="Q307" i="3"/>
  <c r="Q308" i="3" s="1"/>
  <c r="Q98" i="1" s="1"/>
  <c r="Q118" i="1"/>
  <c r="AK15" i="1"/>
  <c r="BA15" i="1"/>
  <c r="BA21" i="1"/>
  <c r="AK21" i="1"/>
  <c r="R37" i="1"/>
  <c r="Q77" i="1"/>
  <c r="Q139" i="1" s="1"/>
  <c r="Q53" i="3"/>
  <c r="Q102" i="3" s="1"/>
  <c r="Q60" i="1" s="1"/>
  <c r="AZ32" i="1"/>
  <c r="AJ32" i="1"/>
  <c r="Q27" i="1"/>
  <c r="BA19" i="1"/>
  <c r="AK19" i="1"/>
  <c r="S218" i="3"/>
  <c r="S113" i="1" s="1"/>
  <c r="V14" i="1"/>
  <c r="BB14" i="1"/>
  <c r="S219" i="3"/>
  <c r="S114" i="1" s="1"/>
  <c r="S149" i="1" s="1"/>
  <c r="Q22" i="1"/>
  <c r="AK16" i="1"/>
  <c r="BA16" i="1"/>
  <c r="R218" i="3"/>
  <c r="R113" i="1" s="1"/>
  <c r="R148" i="1" s="1"/>
  <c r="R219" i="3"/>
  <c r="R114" i="1" s="1"/>
  <c r="R149" i="1" s="1"/>
  <c r="BA14" i="1"/>
  <c r="AK14" i="1"/>
  <c r="BB8" i="1"/>
  <c r="V8" i="1"/>
  <c r="S33" i="3"/>
  <c r="S16" i="1" s="1"/>
  <c r="S5" i="1"/>
  <c r="S58" i="3" s="1"/>
  <c r="S32" i="1" s="1"/>
  <c r="S35" i="3"/>
  <c r="S20" i="1" s="1"/>
  <c r="S36" i="3"/>
  <c r="S21" i="1" s="1"/>
  <c r="S31" i="3"/>
  <c r="S32" i="3"/>
  <c r="S19" i="1" s="1"/>
  <c r="R272" i="3"/>
  <c r="R269" i="3"/>
  <c r="R271" i="3"/>
  <c r="R222" i="3"/>
  <c r="R121" i="1" s="1"/>
  <c r="R153" i="1" s="1"/>
  <c r="R270" i="3"/>
  <c r="R192" i="3"/>
  <c r="R78" i="1" s="1"/>
  <c r="R140" i="1" s="1"/>
  <c r="AK56" i="1"/>
  <c r="R38" i="3"/>
  <c r="R22" i="1" s="1"/>
  <c r="AK30" i="1"/>
  <c r="R268" i="3"/>
  <c r="BA5" i="1"/>
  <c r="R220" i="3"/>
  <c r="R221" i="3"/>
  <c r="R116" i="1" s="1"/>
  <c r="R151" i="1" s="1"/>
  <c r="R200" i="3"/>
  <c r="R86" i="1" s="1"/>
  <c r="R144" i="1" s="1"/>
  <c r="AK57" i="1"/>
  <c r="AK17" i="1"/>
  <c r="AK28" i="1"/>
  <c r="AK5" i="1"/>
  <c r="Q34" i="81"/>
  <c r="R6" i="1"/>
  <c r="AK48" i="1"/>
  <c r="R191" i="3"/>
  <c r="R267" i="3"/>
  <c r="AK7" i="1"/>
  <c r="Q266" i="3"/>
  <c r="Q303" i="3" s="1"/>
  <c r="Q306" i="3" s="1"/>
  <c r="BA20" i="1"/>
  <c r="AK20" i="1"/>
  <c r="S148" i="1" l="1"/>
  <c r="R305" i="3"/>
  <c r="Q90" i="1"/>
  <c r="Q89" i="1" s="1"/>
  <c r="AZ60" i="1"/>
  <c r="AJ60" i="1"/>
  <c r="AK31" i="1"/>
  <c r="S56" i="3"/>
  <c r="S30" i="1" s="1"/>
  <c r="AL30" i="1" s="1"/>
  <c r="S55" i="3"/>
  <c r="S29" i="1" s="1"/>
  <c r="V29" i="1" s="1"/>
  <c r="S57" i="3"/>
  <c r="S31" i="1" s="1"/>
  <c r="AL31" i="1" s="1"/>
  <c r="Q47" i="1"/>
  <c r="Q46" i="1" s="1"/>
  <c r="BB20" i="1"/>
  <c r="V20" i="1"/>
  <c r="AL20" i="1"/>
  <c r="Q309" i="3"/>
  <c r="BA22" i="1"/>
  <c r="AK22" i="1"/>
  <c r="AL48" i="1"/>
  <c r="R34" i="81"/>
  <c r="S272" i="3"/>
  <c r="AL5" i="1"/>
  <c r="S221" i="3"/>
  <c r="S116" i="1" s="1"/>
  <c r="S151" i="1" s="1"/>
  <c r="S220" i="3"/>
  <c r="S222" i="3"/>
  <c r="S121" i="1" s="1"/>
  <c r="S153" i="1" s="1"/>
  <c r="S6" i="1"/>
  <c r="BB5" i="1"/>
  <c r="S268" i="3"/>
  <c r="AL28" i="1"/>
  <c r="AL57" i="1"/>
  <c r="S38" i="3"/>
  <c r="S22" i="1" s="1"/>
  <c r="S271" i="3"/>
  <c r="S200" i="3"/>
  <c r="S86" i="1" s="1"/>
  <c r="S144" i="1" s="1"/>
  <c r="V5" i="1"/>
  <c r="AL56" i="1"/>
  <c r="S192" i="3"/>
  <c r="S78" i="1" s="1"/>
  <c r="S140" i="1" s="1"/>
  <c r="S269" i="3"/>
  <c r="AL17" i="1"/>
  <c r="S267" i="3"/>
  <c r="S191" i="3"/>
  <c r="S270" i="3"/>
  <c r="AL7" i="1"/>
  <c r="AZ27" i="1"/>
  <c r="AJ27" i="1"/>
  <c r="AL16" i="1"/>
  <c r="V16" i="1"/>
  <c r="BB16" i="1"/>
  <c r="AL14" i="1"/>
  <c r="V114" i="1"/>
  <c r="R118" i="1"/>
  <c r="AL19" i="1"/>
  <c r="V19" i="1"/>
  <c r="BB19" i="1"/>
  <c r="AL8" i="1"/>
  <c r="R266" i="3"/>
  <c r="R303" i="3" s="1"/>
  <c r="R306" i="3" s="1"/>
  <c r="S37" i="1"/>
  <c r="S15" i="1"/>
  <c r="AZ22" i="1"/>
  <c r="AJ22" i="1"/>
  <c r="V113" i="1"/>
  <c r="R77" i="1"/>
  <c r="R139" i="1" s="1"/>
  <c r="R53" i="3"/>
  <c r="R102" i="3" s="1"/>
  <c r="R60" i="1" s="1"/>
  <c r="BB21" i="1"/>
  <c r="V21" i="1"/>
  <c r="AL21" i="1"/>
  <c r="AK37" i="1"/>
  <c r="BA37" i="1"/>
  <c r="Q157" i="1" l="1"/>
  <c r="Q167" i="1" s="1"/>
  <c r="BA60" i="1"/>
  <c r="AK60" i="1"/>
  <c r="S305" i="3"/>
  <c r="R90" i="1"/>
  <c r="Q88" i="1"/>
  <c r="BB31" i="1"/>
  <c r="V31" i="1"/>
  <c r="V30" i="1"/>
  <c r="BB30" i="1"/>
  <c r="AJ47" i="1"/>
  <c r="AZ47" i="1"/>
  <c r="R307" i="3"/>
  <c r="R47" i="1" s="1"/>
  <c r="R46" i="1" s="1"/>
  <c r="V86" i="1"/>
  <c r="S53" i="3"/>
  <c r="S102" i="3" s="1"/>
  <c r="S60" i="1" s="1"/>
  <c r="S77" i="1"/>
  <c r="S139" i="1" s="1"/>
  <c r="BB15" i="1"/>
  <c r="AL15" i="1"/>
  <c r="V15" i="1"/>
  <c r="AL22" i="1"/>
  <c r="BB22" i="1"/>
  <c r="V22" i="1"/>
  <c r="V121" i="1"/>
  <c r="S118" i="1"/>
  <c r="V118" i="1" s="1"/>
  <c r="R27" i="1"/>
  <c r="AK32" i="1"/>
  <c r="BA32" i="1"/>
  <c r="S266" i="3"/>
  <c r="S303" i="3" s="1"/>
  <c r="S306" i="3" s="1"/>
  <c r="S90" i="1" s="1"/>
  <c r="V90" i="1" s="1"/>
  <c r="BB37" i="1"/>
  <c r="AL37" i="1"/>
  <c r="AZ46" i="1"/>
  <c r="AJ46" i="1"/>
  <c r="V78" i="1"/>
  <c r="V116" i="1"/>
  <c r="P38" i="81" l="1"/>
  <c r="BB60" i="1"/>
  <c r="V60" i="1"/>
  <c r="AL60" i="1"/>
  <c r="R308" i="3"/>
  <c r="BA47" i="1"/>
  <c r="AK47" i="1"/>
  <c r="AK27" i="1"/>
  <c r="BA27" i="1"/>
  <c r="V32" i="1"/>
  <c r="BB32" i="1"/>
  <c r="S27" i="1"/>
  <c r="AL32" i="1"/>
  <c r="V77" i="1"/>
  <c r="BA46" i="1"/>
  <c r="AK46" i="1"/>
  <c r="R309" i="3" l="1"/>
  <c r="S307" i="3" s="1"/>
  <c r="S47" i="1" s="1"/>
  <c r="V47" i="1" s="1"/>
  <c r="R98" i="1"/>
  <c r="R89" i="1" s="1"/>
  <c r="R157" i="1" s="1"/>
  <c r="R167" i="1" s="1"/>
  <c r="BB27" i="1"/>
  <c r="V27" i="1"/>
  <c r="AL27" i="1"/>
  <c r="Q38" i="81" l="1"/>
  <c r="R88" i="1"/>
  <c r="AL47" i="1"/>
  <c r="S46" i="1"/>
  <c r="V46" i="1" s="1"/>
  <c r="BB47" i="1"/>
  <c r="S308" i="3"/>
  <c r="S309" i="3" l="1"/>
  <c r="S98" i="1"/>
  <c r="S89" i="1" s="1"/>
  <c r="S157" i="1" s="1"/>
  <c r="S167" i="1" s="1"/>
  <c r="AL46" i="1"/>
  <c r="BB46" i="1"/>
  <c r="P48" i="3"/>
  <c r="Q48" i="3" s="1"/>
  <c r="O37" i="3"/>
  <c r="O28" i="3" s="1"/>
  <c r="R38" i="81" l="1"/>
  <c r="V98" i="1"/>
  <c r="S88" i="1"/>
  <c r="V88" i="1" s="1"/>
  <c r="V89" i="1"/>
  <c r="O18" i="1"/>
  <c r="O13" i="1" s="1"/>
  <c r="O196" i="3" s="1"/>
  <c r="O82" i="1" s="1"/>
  <c r="R48" i="3"/>
  <c r="Q37" i="3"/>
  <c r="P37" i="3"/>
  <c r="O216" i="3" l="1"/>
  <c r="O111" i="1" s="1"/>
  <c r="O146" i="1" s="1"/>
  <c r="O217" i="3"/>
  <c r="O112" i="1" s="1"/>
  <c r="O147" i="1" s="1"/>
  <c r="AH13" i="1"/>
  <c r="O215" i="3"/>
  <c r="O110" i="1" s="1"/>
  <c r="O145" i="1" s="1"/>
  <c r="O193" i="3"/>
  <c r="O79" i="1" s="1"/>
  <c r="O141" i="1" s="1"/>
  <c r="AX13" i="1"/>
  <c r="O195" i="3"/>
  <c r="O194" i="3" s="1"/>
  <c r="AX18" i="1"/>
  <c r="AH18" i="1"/>
  <c r="O24" i="1"/>
  <c r="O25" i="1" s="1"/>
  <c r="AX25" i="1" s="1"/>
  <c r="P28" i="3"/>
  <c r="P18" i="1"/>
  <c r="Q28" i="3"/>
  <c r="Q18" i="1"/>
  <c r="S48" i="3"/>
  <c r="S37" i="3" s="1"/>
  <c r="R37" i="3"/>
  <c r="O81" i="1" l="1"/>
  <c r="O80" i="1" s="1"/>
  <c r="O43" i="1"/>
  <c r="O137" i="1" s="1"/>
  <c r="AH24" i="1"/>
  <c r="AX24" i="1"/>
  <c r="AJ18" i="1"/>
  <c r="AZ18" i="1"/>
  <c r="Q13" i="1"/>
  <c r="S28" i="3"/>
  <c r="S18" i="1"/>
  <c r="AX43" i="1"/>
  <c r="O140" i="3"/>
  <c r="N35" i="81"/>
  <c r="N37" i="81" s="1"/>
  <c r="O44" i="1"/>
  <c r="AX44" i="1" s="1"/>
  <c r="O144" i="3"/>
  <c r="O145" i="3" s="1"/>
  <c r="AH43" i="1"/>
  <c r="O51" i="1"/>
  <c r="AI18" i="1"/>
  <c r="AY18" i="1"/>
  <c r="P13" i="1"/>
  <c r="R28" i="3"/>
  <c r="R18" i="1"/>
  <c r="O142" i="1" l="1"/>
  <c r="O138" i="1" s="1"/>
  <c r="N39" i="81" s="1"/>
  <c r="AX51" i="1"/>
  <c r="AH51" i="1"/>
  <c r="O385" i="3"/>
  <c r="O389" i="3" s="1"/>
  <c r="O52" i="1"/>
  <c r="AX52" i="1" s="1"/>
  <c r="Q215" i="3"/>
  <c r="Q110" i="1" s="1"/>
  <c r="Q216" i="3"/>
  <c r="Q111" i="1" s="1"/>
  <c r="Q196" i="3"/>
  <c r="Q82" i="1" s="1"/>
  <c r="Q195" i="3"/>
  <c r="Q217" i="3"/>
  <c r="Q112" i="1" s="1"/>
  <c r="AZ13" i="1"/>
  <c r="Q193" i="3"/>
  <c r="Q79" i="1" s="1"/>
  <c r="AJ13" i="1"/>
  <c r="Q24" i="1"/>
  <c r="BB18" i="1"/>
  <c r="AL18" i="1"/>
  <c r="V18" i="1"/>
  <c r="S13" i="1"/>
  <c r="BA18" i="1"/>
  <c r="AK18" i="1"/>
  <c r="R13" i="1"/>
  <c r="P215" i="3"/>
  <c r="P110" i="1" s="1"/>
  <c r="P145" i="1" s="1"/>
  <c r="P24" i="1"/>
  <c r="P196" i="3"/>
  <c r="P82" i="1" s="1"/>
  <c r="P193" i="3"/>
  <c r="P79" i="1" s="1"/>
  <c r="P141" i="1" s="1"/>
  <c r="P217" i="3"/>
  <c r="P112" i="1" s="1"/>
  <c r="P147" i="1" s="1"/>
  <c r="AI13" i="1"/>
  <c r="P216" i="3"/>
  <c r="P111" i="1" s="1"/>
  <c r="P146" i="1" s="1"/>
  <c r="AY13" i="1"/>
  <c r="P195" i="3"/>
  <c r="Q146" i="1" l="1"/>
  <c r="Q147" i="1"/>
  <c r="Q145" i="1"/>
  <c r="Q141" i="1"/>
  <c r="AI24" i="1"/>
  <c r="P25" i="1"/>
  <c r="AY25" i="1" s="1"/>
  <c r="AY24" i="1"/>
  <c r="P43" i="1"/>
  <c r="P137" i="1" s="1"/>
  <c r="P81" i="1"/>
  <c r="P80" i="1" s="1"/>
  <c r="P194" i="3"/>
  <c r="R216" i="3"/>
  <c r="R111" i="1" s="1"/>
  <c r="R146" i="1" s="1"/>
  <c r="R215" i="3"/>
  <c r="R110" i="1" s="1"/>
  <c r="R145" i="1" s="1"/>
  <c r="R193" i="3"/>
  <c r="R79" i="1" s="1"/>
  <c r="R141" i="1" s="1"/>
  <c r="BA13" i="1"/>
  <c r="R195" i="3"/>
  <c r="AK13" i="1"/>
  <c r="R217" i="3"/>
  <c r="R112" i="1" s="1"/>
  <c r="R147" i="1" s="1"/>
  <c r="R196" i="3"/>
  <c r="R82" i="1" s="1"/>
  <c r="R24" i="1"/>
  <c r="AZ24" i="1"/>
  <c r="Q25" i="1"/>
  <c r="AJ24" i="1"/>
  <c r="Q43" i="1"/>
  <c r="Q137" i="1" s="1"/>
  <c r="O397" i="3"/>
  <c r="O392" i="3"/>
  <c r="O393" i="3" s="1"/>
  <c r="O398" i="3"/>
  <c r="S217" i="3"/>
  <c r="S112" i="1" s="1"/>
  <c r="S147" i="1" s="1"/>
  <c r="S215" i="3"/>
  <c r="S110" i="1" s="1"/>
  <c r="S145" i="1" s="1"/>
  <c r="S216" i="3"/>
  <c r="S111" i="1" s="1"/>
  <c r="S146" i="1" s="1"/>
  <c r="S196" i="3"/>
  <c r="S82" i="1" s="1"/>
  <c r="V82" i="1" s="1"/>
  <c r="BB13" i="1"/>
  <c r="AL13" i="1"/>
  <c r="S195" i="3"/>
  <c r="S193" i="3"/>
  <c r="S79" i="1" s="1"/>
  <c r="S141" i="1" s="1"/>
  <c r="V13" i="1"/>
  <c r="S24" i="1"/>
  <c r="Q81" i="1"/>
  <c r="Q80" i="1" s="1"/>
  <c r="Q142" i="1" s="1"/>
  <c r="Q194" i="3"/>
  <c r="P142" i="1" l="1"/>
  <c r="P138" i="1" s="1"/>
  <c r="O39" i="81" s="1"/>
  <c r="Q138" i="1"/>
  <c r="P39" i="81"/>
  <c r="AZ25" i="1"/>
  <c r="BA24" i="1"/>
  <c r="AK24" i="1"/>
  <c r="R25" i="1"/>
  <c r="BA25" i="1" s="1"/>
  <c r="R43" i="1"/>
  <c r="R137" i="1" s="1"/>
  <c r="V79" i="1"/>
  <c r="S81" i="1"/>
  <c r="S194" i="3"/>
  <c r="O394" i="3"/>
  <c r="O395" i="3" s="1"/>
  <c r="O399" i="3" s="1"/>
  <c r="O400" i="3" s="1"/>
  <c r="O35" i="81"/>
  <c r="O37" i="81" s="1"/>
  <c r="P144" i="3"/>
  <c r="P145" i="3" s="1"/>
  <c r="P44" i="1"/>
  <c r="AY44" i="1" s="1"/>
  <c r="AY43" i="1"/>
  <c r="P140" i="3"/>
  <c r="P51" i="1"/>
  <c r="AI43" i="1"/>
  <c r="P35" i="81"/>
  <c r="P37" i="81" s="1"/>
  <c r="AJ43" i="1"/>
  <c r="Q140" i="3"/>
  <c r="Q44" i="1"/>
  <c r="AZ43" i="1"/>
  <c r="Q144" i="3"/>
  <c r="Q145" i="3" s="1"/>
  <c r="Q51" i="1"/>
  <c r="R81" i="1"/>
  <c r="R80" i="1" s="1"/>
  <c r="R194" i="3"/>
  <c r="V111" i="1"/>
  <c r="V24" i="1"/>
  <c r="S25" i="1"/>
  <c r="BB24" i="1"/>
  <c r="AL24" i="1"/>
  <c r="S43" i="1"/>
  <c r="S137" i="1" s="1"/>
  <c r="V110" i="1"/>
  <c r="V112" i="1"/>
  <c r="R142" i="1" l="1"/>
  <c r="R138" i="1" s="1"/>
  <c r="Q39" i="81" s="1"/>
  <c r="R140" i="3"/>
  <c r="AK43" i="1"/>
  <c r="BA43" i="1"/>
  <c r="R144" i="3"/>
  <c r="R145" i="3" s="1"/>
  <c r="Q35" i="81"/>
  <c r="Q37" i="81" s="1"/>
  <c r="R51" i="1"/>
  <c r="R44" i="1"/>
  <c r="BA44" i="1" s="1"/>
  <c r="O401" i="3"/>
  <c r="N40" i="81"/>
  <c r="N41" i="81" s="1"/>
  <c r="Q385" i="3"/>
  <c r="AJ51" i="1"/>
  <c r="AZ51" i="1"/>
  <c r="Q52" i="1"/>
  <c r="S144" i="3"/>
  <c r="S145" i="3" s="1"/>
  <c r="AL43" i="1"/>
  <c r="S140" i="3"/>
  <c r="R35" i="81"/>
  <c r="R37" i="81" s="1"/>
  <c r="BB43" i="1"/>
  <c r="V43" i="1"/>
  <c r="S44" i="1"/>
  <c r="S51" i="1"/>
  <c r="V25" i="1"/>
  <c r="BB25" i="1"/>
  <c r="AY51" i="1"/>
  <c r="P385" i="3"/>
  <c r="AI51" i="1"/>
  <c r="P52" i="1"/>
  <c r="AY52" i="1" s="1"/>
  <c r="AZ44" i="1"/>
  <c r="S80" i="1"/>
  <c r="S142" i="1" s="1"/>
  <c r="S138" i="1" s="1"/>
  <c r="V81" i="1"/>
  <c r="AZ52" i="1" l="1"/>
  <c r="BA51" i="1"/>
  <c r="AK51" i="1"/>
  <c r="R52" i="1"/>
  <c r="BA52" i="1" s="1"/>
  <c r="R385" i="3"/>
  <c r="S52" i="1"/>
  <c r="BB51" i="1"/>
  <c r="AL51" i="1"/>
  <c r="V51" i="1"/>
  <c r="S385" i="3"/>
  <c r="N44" i="81"/>
  <c r="V80" i="1"/>
  <c r="R39" i="81"/>
  <c r="BB44" i="1"/>
  <c r="V44" i="1"/>
  <c r="V52" i="1" l="1"/>
  <c r="BB52" i="1"/>
  <c r="O179" i="3"/>
  <c r="O59" i="1" s="1"/>
  <c r="O171" i="1" s="1"/>
  <c r="AX59" i="1" l="1"/>
  <c r="AH59" i="1"/>
  <c r="O58" i="1"/>
  <c r="O62" i="1" l="1"/>
  <c r="AX58" i="1"/>
  <c r="AH58" i="1"/>
  <c r="O355" i="3" l="1"/>
  <c r="AX62" i="1"/>
  <c r="AH62" i="1"/>
  <c r="O63" i="1"/>
  <c r="AX63" i="1" s="1"/>
  <c r="O358" i="3" l="1"/>
  <c r="O367" i="3"/>
  <c r="O361" i="3" l="1"/>
  <c r="O362" i="3" s="1"/>
  <c r="O366" i="3"/>
  <c r="O363" i="3" l="1"/>
  <c r="O364" i="3" s="1"/>
  <c r="O368" i="3" s="1"/>
  <c r="O369" i="3" s="1"/>
  <c r="O65" i="1" l="1"/>
  <c r="O154" i="1" s="1"/>
  <c r="O155" i="1" s="1"/>
  <c r="O147" i="3" s="1"/>
  <c r="O370" i="3"/>
  <c r="AX65" i="1" l="1"/>
  <c r="O66" i="1"/>
  <c r="AX66" i="1" s="1"/>
  <c r="AH65" i="1"/>
  <c r="O68" i="1"/>
  <c r="O132" i="1" l="1"/>
  <c r="O178" i="1" s="1"/>
  <c r="AH68" i="1"/>
  <c r="O69" i="1"/>
  <c r="AX69" i="1" s="1"/>
  <c r="AX68" i="1"/>
  <c r="O328" i="3"/>
  <c r="O125" i="1" l="1"/>
  <c r="O352" i="3" s="1"/>
  <c r="P353" i="3" s="1"/>
  <c r="P329" i="3"/>
  <c r="P332" i="3"/>
  <c r="O382" i="3" l="1"/>
  <c r="P383" i="3" s="1"/>
  <c r="P334" i="3"/>
  <c r="P335" i="3" s="1"/>
  <c r="P129" i="1"/>
  <c r="P386" i="3" l="1"/>
  <c r="P389" i="3" s="1"/>
  <c r="P398" i="3" l="1"/>
  <c r="P392" i="3"/>
  <c r="P393" i="3" s="1"/>
  <c r="P397" i="3"/>
  <c r="P394" i="3" l="1"/>
  <c r="P395" i="3" s="1"/>
  <c r="P399" i="3" s="1"/>
  <c r="P400" i="3" s="1"/>
  <c r="P401" i="3" l="1"/>
  <c r="O40" i="81"/>
  <c r="O41" i="81" s="1"/>
  <c r="O44" i="81" l="1"/>
  <c r="E167" i="1"/>
  <c r="E174" i="1" s="1"/>
  <c r="E179" i="1" s="1"/>
  <c r="E182" i="1" s="1"/>
  <c r="E184" i="1" s="1"/>
  <c r="L167" i="1"/>
  <c r="K167" i="1"/>
  <c r="J167" i="1"/>
  <c r="J174" i="1" s="1"/>
  <c r="J179" i="1" s="1"/>
  <c r="J182" i="1" s="1"/>
  <c r="J184" i="1" s="1"/>
  <c r="I167" i="1"/>
  <c r="I174" i="1" s="1"/>
  <c r="I179" i="1" s="1"/>
  <c r="I182" i="1" s="1"/>
  <c r="I184" i="1" s="1"/>
  <c r="H167" i="1"/>
  <c r="H174" i="1" s="1"/>
  <c r="H179" i="1" s="1"/>
  <c r="H182" i="1" s="1"/>
  <c r="H184" i="1" s="1"/>
  <c r="G167" i="1"/>
  <c r="G174" i="1" s="1"/>
  <c r="G179" i="1" s="1"/>
  <c r="G182" i="1" s="1"/>
  <c r="G184" i="1" s="1"/>
  <c r="F167" i="1"/>
  <c r="F174" i="1" s="1"/>
  <c r="F179" i="1" s="1"/>
  <c r="F182" i="1" s="1"/>
  <c r="F184" i="1" s="1"/>
  <c r="L174" i="1" l="1"/>
  <c r="L179" i="1" s="1"/>
  <c r="L182" i="1" s="1"/>
  <c r="K174" i="1"/>
  <c r="K179" i="1" s="1"/>
  <c r="K182" i="1" s="1"/>
  <c r="K184" i="1" s="1"/>
  <c r="L184" i="1" l="1"/>
  <c r="O181" i="3"/>
  <c r="O156" i="3" l="1"/>
  <c r="O162" i="3" s="1"/>
  <c r="P162" i="3" s="1"/>
  <c r="P171" i="3" s="1"/>
  <c r="P176" i="3" s="1"/>
  <c r="O157" i="3" l="1"/>
  <c r="O109" i="1" s="1"/>
  <c r="Q162" i="3"/>
  <c r="Q171" i="3" s="1"/>
  <c r="P155" i="3"/>
  <c r="P182" i="3" s="1"/>
  <c r="R162" i="3" l="1"/>
  <c r="R171" i="3" s="1"/>
  <c r="P152" i="3"/>
  <c r="P180" i="3" s="1"/>
  <c r="O183" i="3"/>
  <c r="O184" i="3" s="1"/>
  <c r="O170" i="1"/>
  <c r="O108" i="1"/>
  <c r="O185" i="3" l="1"/>
  <c r="S162" i="3"/>
  <c r="S171" i="3" s="1"/>
  <c r="O148" i="3"/>
  <c r="P154" i="3"/>
  <c r="P179" i="3" s="1"/>
  <c r="P59" i="1" s="1"/>
  <c r="O174" i="1"/>
  <c r="AY59" i="1" l="1"/>
  <c r="P58" i="1"/>
  <c r="AI59" i="1"/>
  <c r="P171" i="1"/>
  <c r="O179" i="1"/>
  <c r="O182" i="1" s="1"/>
  <c r="O336" i="3"/>
  <c r="O337" i="3" s="1"/>
  <c r="O75" i="1" l="1"/>
  <c r="AI58" i="1"/>
  <c r="AY58" i="1"/>
  <c r="P181" i="1" l="1"/>
  <c r="O74" i="1"/>
  <c r="O2" i="1" s="1"/>
  <c r="O3" i="3" s="1"/>
  <c r="O184" i="1"/>
  <c r="P92" i="3" l="1"/>
  <c r="P55" i="1" l="1"/>
  <c r="P91" i="3"/>
  <c r="AI55" i="1" l="1"/>
  <c r="AY55" i="1"/>
  <c r="P54" i="1"/>
  <c r="P173" i="1" l="1"/>
  <c r="P62" i="1"/>
  <c r="AI54" i="1"/>
  <c r="AY54" i="1"/>
  <c r="P63" i="1" l="1"/>
  <c r="AY63" i="1" s="1"/>
  <c r="AI62" i="1"/>
  <c r="AY62" i="1"/>
  <c r="P355" i="3"/>
  <c r="P358" i="3" l="1"/>
  <c r="P367" i="3"/>
  <c r="P361" i="3" l="1"/>
  <c r="P362" i="3" s="1"/>
  <c r="P366" i="3"/>
  <c r="P363" i="3" l="1"/>
  <c r="P364" i="3" s="1"/>
  <c r="P368" i="3" s="1"/>
  <c r="P369" i="3" s="1"/>
  <c r="P370" i="3" l="1"/>
  <c r="P65" i="1"/>
  <c r="P154" i="1" l="1"/>
  <c r="P155" i="1" s="1"/>
  <c r="AY65" i="1"/>
  <c r="AI65" i="1"/>
  <c r="P66" i="1"/>
  <c r="AY66" i="1" s="1"/>
  <c r="P68" i="1"/>
  <c r="AI68" i="1" l="1"/>
  <c r="P328" i="3"/>
  <c r="P69" i="1"/>
  <c r="AY69" i="1" s="1"/>
  <c r="AY68" i="1"/>
  <c r="P132" i="1"/>
  <c r="P147" i="3"/>
  <c r="P181" i="3" l="1"/>
  <c r="P156" i="3"/>
  <c r="Q329" i="3"/>
  <c r="Q332" i="3"/>
  <c r="P163" i="3" l="1"/>
  <c r="Q163" i="3" s="1"/>
  <c r="P157" i="3"/>
  <c r="Q334" i="3"/>
  <c r="Q129" i="1"/>
  <c r="Q172" i="3" l="1"/>
  <c r="Q176" i="3" s="1"/>
  <c r="R163" i="3"/>
  <c r="Q386" i="3"/>
  <c r="Q389" i="3" s="1"/>
  <c r="P109" i="1"/>
  <c r="P183" i="3"/>
  <c r="Q152" i="3"/>
  <c r="Q180" i="3" l="1"/>
  <c r="Q154" i="3"/>
  <c r="Q179" i="3" s="1"/>
  <c r="P170" i="1"/>
  <c r="P108" i="1"/>
  <c r="P148" i="3"/>
  <c r="P184" i="3"/>
  <c r="P185" i="3"/>
  <c r="R172" i="3"/>
  <c r="S163" i="3"/>
  <c r="S172" i="3" s="1"/>
  <c r="Q397" i="3"/>
  <c r="Q392" i="3"/>
  <c r="Q393" i="3" s="1"/>
  <c r="Q398" i="3"/>
  <c r="Q155" i="3"/>
  <c r="Q182" i="3" s="1"/>
  <c r="Q394" i="3" l="1"/>
  <c r="P174" i="1"/>
  <c r="Q59" i="1"/>
  <c r="P336" i="3" l="1"/>
  <c r="P337" i="3" s="1"/>
  <c r="P338" i="3" s="1"/>
  <c r="P339" i="3" s="1"/>
  <c r="P131" i="1" s="1"/>
  <c r="Q171" i="1"/>
  <c r="AJ59" i="1"/>
  <c r="Q58" i="1"/>
  <c r="AZ59" i="1"/>
  <c r="P125" i="1" l="1"/>
  <c r="Q333" i="3"/>
  <c r="P178" i="1"/>
  <c r="AJ58" i="1"/>
  <c r="AZ58" i="1"/>
  <c r="Q335" i="3" l="1"/>
  <c r="P179" i="1"/>
  <c r="P182" i="1" s="1"/>
  <c r="P352" i="3"/>
  <c r="Q353" i="3" s="1"/>
  <c r="P382" i="3"/>
  <c r="Q383" i="3" s="1"/>
  <c r="Q395" i="3" s="1"/>
  <c r="Q399" i="3" s="1"/>
  <c r="Q400" i="3" s="1"/>
  <c r="P40" i="81" l="1"/>
  <c r="P41" i="81" s="1"/>
  <c r="Q401" i="3"/>
  <c r="P75" i="1"/>
  <c r="P184" i="1" s="1"/>
  <c r="P74" i="1" l="1"/>
  <c r="P2" i="1" s="1"/>
  <c r="P3" i="3" s="1"/>
  <c r="Q181" i="1"/>
  <c r="P44" i="81"/>
  <c r="Q92" i="3" l="1"/>
  <c r="Q55" i="1" l="1"/>
  <c r="Q91" i="3"/>
  <c r="Q54" i="1" l="1"/>
  <c r="AJ55" i="1"/>
  <c r="AZ55" i="1"/>
  <c r="Q173" i="1" l="1"/>
  <c r="AZ54" i="1"/>
  <c r="Q62" i="1"/>
  <c r="AJ54" i="1"/>
  <c r="Q355" i="3" l="1"/>
  <c r="Q63" i="1"/>
  <c r="AZ63" i="1" s="1"/>
  <c r="AZ62" i="1"/>
  <c r="AJ62" i="1"/>
  <c r="Q367" i="3" l="1"/>
  <c r="Q358" i="3"/>
  <c r="Q366" i="3" l="1"/>
  <c r="Q361" i="3"/>
  <c r="Q362" i="3" s="1"/>
  <c r="Q363" i="3" l="1"/>
  <c r="Q364" i="3" s="1"/>
  <c r="Q368" i="3" s="1"/>
  <c r="Q369" i="3" s="1"/>
  <c r="Q370" i="3" l="1"/>
  <c r="Q65" i="1"/>
  <c r="Q154" i="1" l="1"/>
  <c r="Q155" i="1" s="1"/>
  <c r="AJ65" i="1"/>
  <c r="AZ65" i="1"/>
  <c r="Q66" i="1"/>
  <c r="AZ66" i="1" s="1"/>
  <c r="Q68" i="1"/>
  <c r="Q132" i="1" l="1"/>
  <c r="Q328" i="3"/>
  <c r="Q69" i="1"/>
  <c r="AZ69" i="1" s="1"/>
  <c r="AJ68" i="1"/>
  <c r="AZ68" i="1"/>
  <c r="Q147" i="3"/>
  <c r="Q156" i="3" l="1"/>
  <c r="Q181" i="3"/>
  <c r="R332" i="3"/>
  <c r="R329" i="3"/>
  <c r="R129" i="1" l="1"/>
  <c r="S329" i="3"/>
  <c r="R334" i="3"/>
  <c r="Q164" i="3"/>
  <c r="R164" i="3" s="1"/>
  <c r="Q157" i="3"/>
  <c r="S164" i="3" l="1"/>
  <c r="S173" i="3" s="1"/>
  <c r="R173" i="3"/>
  <c r="R176" i="3" s="1"/>
  <c r="S129" i="1"/>
  <c r="S334" i="3"/>
  <c r="Q109" i="1"/>
  <c r="R152" i="3"/>
  <c r="Q183" i="3"/>
  <c r="R386" i="3"/>
  <c r="R389" i="3" s="1"/>
  <c r="Q108" i="1" l="1"/>
  <c r="Q170" i="1"/>
  <c r="Q184" i="3"/>
  <c r="Q148" i="3"/>
  <c r="Q185" i="3"/>
  <c r="R180" i="3"/>
  <c r="R154" i="3"/>
  <c r="R179" i="3" s="1"/>
  <c r="V129" i="1"/>
  <c r="S386" i="3"/>
  <c r="S389" i="3" s="1"/>
  <c r="R155" i="3"/>
  <c r="R182" i="3" s="1"/>
  <c r="R398" i="3"/>
  <c r="R392" i="3"/>
  <c r="R393" i="3" s="1"/>
  <c r="R397" i="3"/>
  <c r="R59" i="1" l="1"/>
  <c r="S397" i="3"/>
  <c r="S392" i="3"/>
  <c r="S398" i="3"/>
  <c r="Q174" i="1"/>
  <c r="R394" i="3"/>
  <c r="S393" i="3" l="1"/>
  <c r="S394" i="3" s="1"/>
  <c r="Q336" i="3"/>
  <c r="Q337" i="3" s="1"/>
  <c r="Q338" i="3" s="1"/>
  <c r="Q339" i="3" s="1"/>
  <c r="Q131" i="1" s="1"/>
  <c r="AK59" i="1"/>
  <c r="R58" i="1"/>
  <c r="R171" i="1"/>
  <c r="BA59" i="1"/>
  <c r="R333" i="3" l="1"/>
  <c r="Q125" i="1"/>
  <c r="Q178" i="1"/>
  <c r="AK58" i="1"/>
  <c r="BA58" i="1"/>
  <c r="Q179" i="1" l="1"/>
  <c r="Q182" i="1" s="1"/>
  <c r="Q352" i="3"/>
  <c r="R353" i="3" s="1"/>
  <c r="Q382" i="3"/>
  <c r="R383" i="3" s="1"/>
  <c r="R395" i="3" s="1"/>
  <c r="R399" i="3" s="1"/>
  <c r="R400" i="3" s="1"/>
  <c r="R335" i="3"/>
  <c r="Q40" i="81" l="1"/>
  <c r="Q41" i="81" s="1"/>
  <c r="R401" i="3"/>
  <c r="Q75" i="1"/>
  <c r="Q184" i="1" s="1"/>
  <c r="R181" i="1" l="1"/>
  <c r="Q74" i="1"/>
  <c r="Q2" i="1" s="1"/>
  <c r="Q3" i="3" s="1"/>
  <c r="Q44" i="81"/>
  <c r="R92" i="3" l="1"/>
  <c r="R91" i="3" l="1"/>
  <c r="R55" i="1"/>
  <c r="R54" i="1" l="1"/>
  <c r="BA55" i="1"/>
  <c r="AK55" i="1"/>
  <c r="AK54" i="1" l="1"/>
  <c r="BA54" i="1"/>
  <c r="R173" i="1"/>
  <c r="R62" i="1"/>
  <c r="R355" i="3" l="1"/>
  <c r="AK62" i="1"/>
  <c r="BA62" i="1"/>
  <c r="R63" i="1"/>
  <c r="BA63" i="1" s="1"/>
  <c r="R358" i="3" l="1"/>
  <c r="R367" i="3"/>
  <c r="R366" i="3" l="1"/>
  <c r="R361" i="3"/>
  <c r="R362" i="3" s="1"/>
  <c r="R363" i="3" l="1"/>
  <c r="R364" i="3" s="1"/>
  <c r="R368" i="3" s="1"/>
  <c r="R369" i="3" s="1"/>
  <c r="R370" i="3" l="1"/>
  <c r="R65" i="1"/>
  <c r="R154" i="1" l="1"/>
  <c r="R155" i="1" s="1"/>
  <c r="AK65" i="1"/>
  <c r="R66" i="1"/>
  <c r="BA66" i="1" s="1"/>
  <c r="BA65" i="1"/>
  <c r="R68" i="1"/>
  <c r="R328" i="3" l="1"/>
  <c r="S332" i="3" s="1"/>
  <c r="AK68" i="1"/>
  <c r="BA68" i="1"/>
  <c r="R69" i="1"/>
  <c r="BA69" i="1" s="1"/>
  <c r="R132" i="1"/>
  <c r="R147" i="3"/>
  <c r="R181" i="3" l="1"/>
  <c r="R156" i="3"/>
  <c r="R165" i="3" l="1"/>
  <c r="S165" i="3" s="1"/>
  <c r="S174" i="3" s="1"/>
  <c r="S176" i="3" s="1"/>
  <c r="R157" i="3"/>
  <c r="R183" i="3" l="1"/>
  <c r="S152" i="3"/>
  <c r="R109" i="1"/>
  <c r="S155" i="3"/>
  <c r="S182" i="3" s="1"/>
  <c r="R170" i="1" l="1"/>
  <c r="R108" i="1"/>
  <c r="S180" i="3"/>
  <c r="S154" i="3"/>
  <c r="S179" i="3" s="1"/>
  <c r="R184" i="3"/>
  <c r="R148" i="3"/>
  <c r="R185" i="3"/>
  <c r="S59" i="1" l="1"/>
  <c r="R174" i="1"/>
  <c r="R336" i="3" l="1"/>
  <c r="R337" i="3" s="1"/>
  <c r="R338" i="3" s="1"/>
  <c r="R339" i="3" s="1"/>
  <c r="R131" i="1" s="1"/>
  <c r="BB59" i="1"/>
  <c r="V59" i="1"/>
  <c r="AL59" i="1"/>
  <c r="S171" i="1"/>
  <c r="S58" i="1"/>
  <c r="V58" i="1" l="1"/>
  <c r="BB58" i="1"/>
  <c r="AL58" i="1"/>
  <c r="S333" i="3"/>
  <c r="R125" i="1"/>
  <c r="R178" i="1"/>
  <c r="S335" i="3" l="1"/>
  <c r="R179" i="1"/>
  <c r="R182" i="1" s="1"/>
  <c r="R382" i="3"/>
  <c r="S383" i="3" s="1"/>
  <c r="S395" i="3" s="1"/>
  <c r="S399" i="3" s="1"/>
  <c r="S400" i="3" s="1"/>
  <c r="R352" i="3"/>
  <c r="S353" i="3" s="1"/>
  <c r="R75" i="1" l="1"/>
  <c r="S401" i="3"/>
  <c r="R40" i="81"/>
  <c r="R41" i="81" s="1"/>
  <c r="R74" i="1" l="1"/>
  <c r="R2" i="1" s="1"/>
  <c r="R3" i="3" s="1"/>
  <c r="S181" i="1"/>
  <c r="R184" i="1"/>
  <c r="S92" i="3" l="1"/>
  <c r="S91" i="3" l="1"/>
  <c r="S55" i="1"/>
  <c r="S54" i="1" l="1"/>
  <c r="BB55" i="1"/>
  <c r="AL55" i="1"/>
  <c r="V55" i="1"/>
  <c r="BB54" i="1" l="1"/>
  <c r="S173" i="1"/>
  <c r="S62" i="1"/>
  <c r="AL54" i="1"/>
  <c r="V54" i="1"/>
  <c r="S355" i="3" l="1"/>
  <c r="BB62" i="1"/>
  <c r="V62" i="1"/>
  <c r="AL62" i="1"/>
  <c r="S63" i="1"/>
  <c r="V63" i="1" l="1"/>
  <c r="BB63" i="1"/>
  <c r="S367" i="3"/>
  <c r="S358" i="3"/>
  <c r="S366" i="3" l="1"/>
  <c r="S361" i="3"/>
  <c r="S362" i="3" s="1"/>
  <c r="S363" i="3" s="1"/>
  <c r="S364" i="3" s="1"/>
  <c r="S368" i="3" s="1"/>
  <c r="S369" i="3" l="1"/>
  <c r="S65" i="1" l="1"/>
  <c r="S370" i="3"/>
  <c r="C41" i="79" s="1"/>
  <c r="AL65" i="1" l="1"/>
  <c r="BB65" i="1"/>
  <c r="S66" i="1"/>
  <c r="S154" i="1"/>
  <c r="S155" i="1" s="1"/>
  <c r="V65" i="1"/>
  <c r="S68" i="1"/>
  <c r="V68" i="1" l="1"/>
  <c r="S132" i="1"/>
  <c r="V132" i="1" s="1"/>
  <c r="AL68" i="1"/>
  <c r="BB68" i="1"/>
  <c r="S69" i="1"/>
  <c r="S328" i="3"/>
  <c r="S147" i="3"/>
  <c r="V66" i="1"/>
  <c r="BB66" i="1"/>
  <c r="BB69" i="1" l="1"/>
  <c r="V69" i="1"/>
  <c r="S181" i="3"/>
  <c r="S156" i="3"/>
  <c r="S166" i="3" l="1"/>
  <c r="S157" i="3"/>
  <c r="S183" i="3" l="1"/>
  <c r="S109" i="1"/>
  <c r="S108" i="1" l="1"/>
  <c r="V108" i="1" s="1"/>
  <c r="S170" i="1"/>
  <c r="V109" i="1"/>
  <c r="S148" i="3"/>
  <c r="S184" i="3"/>
  <c r="S185" i="3"/>
  <c r="C31" i="79" s="1"/>
  <c r="C29" i="79" s="1"/>
  <c r="C34" i="79" s="1"/>
  <c r="S174" i="1" l="1"/>
  <c r="C54" i="79"/>
  <c r="G14" i="81" s="1"/>
  <c r="G13" i="81"/>
  <c r="M52" i="81" l="1"/>
  <c r="M53" i="81" s="1"/>
  <c r="P47" i="81"/>
  <c r="P48" i="81" s="1"/>
  <c r="R52" i="81"/>
  <c r="R53" i="81" s="1"/>
  <c r="R47" i="81"/>
  <c r="R48" i="81" s="1"/>
  <c r="P52" i="81"/>
  <c r="P53" i="81" s="1"/>
  <c r="Q52" i="81"/>
  <c r="Q53" i="81" s="1"/>
  <c r="N52" i="81"/>
  <c r="N53" i="81" s="1"/>
  <c r="O47" i="81"/>
  <c r="O48" i="81" s="1"/>
  <c r="Q47" i="81"/>
  <c r="Q48" i="81" s="1"/>
  <c r="M47" i="81"/>
  <c r="M48" i="81" s="1"/>
  <c r="O52" i="81"/>
  <c r="O53" i="81" s="1"/>
  <c r="N47" i="81"/>
  <c r="N48" i="81" s="1"/>
  <c r="R43" i="81"/>
  <c r="S336" i="3"/>
  <c r="S337" i="3" s="1"/>
  <c r="S338" i="3" s="1"/>
  <c r="S339" i="3" s="1"/>
  <c r="S131" i="1" s="1"/>
  <c r="V131" i="1" l="1"/>
  <c r="S178" i="1"/>
  <c r="S125" i="1"/>
  <c r="R49" i="81"/>
  <c r="E17" i="81" s="1"/>
  <c r="R54" i="81"/>
  <c r="D56" i="81" s="1"/>
  <c r="R44" i="81"/>
  <c r="E16" i="81"/>
  <c r="D55" i="81"/>
  <c r="D57" i="81" l="1"/>
  <c r="D60" i="81" s="1"/>
  <c r="D62" i="81" s="1"/>
  <c r="V125" i="1"/>
  <c r="S382" i="3"/>
  <c r="S352" i="3"/>
  <c r="S179" i="1"/>
  <c r="S182" i="1" s="1"/>
  <c r="E18" i="81"/>
  <c r="E22" i="81" l="1"/>
  <c r="E24" i="81"/>
  <c r="I18" i="81" s="1"/>
  <c r="G24" i="81"/>
  <c r="G25" i="81"/>
  <c r="F18" i="81"/>
  <c r="E25" i="81"/>
  <c r="F25" i="81"/>
  <c r="F24" i="81"/>
  <c r="S75" i="1"/>
  <c r="F16" i="81"/>
  <c r="F17" i="81"/>
  <c r="V75" i="1" l="1"/>
  <c r="S74" i="1"/>
  <c r="S184" i="1"/>
  <c r="I10" i="81"/>
  <c r="G19" i="81"/>
  <c r="G21" i="81" s="1"/>
  <c r="S2" i="1" l="1"/>
  <c r="S3" i="3" s="1"/>
  <c r="V7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Antonio Echavarria</author>
    <author>Andres Gutierrez</author>
    <author>Juan Pablo Arboleda</author>
  </authors>
  <commentList>
    <comment ref="B39" authorId="0" shapeId="0" xr:uid="{00000000-0006-0000-0300-000002000000}">
      <text>
        <r>
          <rPr>
            <b/>
            <sz val="9"/>
            <color indexed="81"/>
            <rFont val="Tahoma"/>
            <family val="2"/>
          </rPr>
          <t>Antonio Echavarria:</t>
        </r>
        <r>
          <rPr>
            <sz val="9"/>
            <color indexed="81"/>
            <rFont val="Tahoma"/>
            <family val="2"/>
          </rPr>
          <t xml:space="preserve">
2009,2010,2011,2012 estan incluidos en diversos</t>
        </r>
      </text>
    </comment>
    <comment ref="B40" authorId="0" shapeId="0" xr:uid="{00000000-0006-0000-0300-000003000000}">
      <text>
        <r>
          <rPr>
            <b/>
            <sz val="9"/>
            <color indexed="81"/>
            <rFont val="Tahoma"/>
            <family val="2"/>
          </rPr>
          <t>Antonio Echavarria:</t>
        </r>
        <r>
          <rPr>
            <sz val="9"/>
            <color indexed="81"/>
            <rFont val="Tahoma"/>
            <family val="2"/>
          </rPr>
          <t xml:space="preserve">
2009,2010,2011,2012 estan incluidos en diversos</t>
        </r>
      </text>
    </comment>
    <comment ref="B41" authorId="0" shapeId="0" xr:uid="{00000000-0006-0000-0300-000004000000}">
      <text>
        <r>
          <rPr>
            <b/>
            <sz val="9"/>
            <color indexed="81"/>
            <rFont val="Tahoma"/>
            <family val="2"/>
          </rPr>
          <t>Antonio Echavarria:</t>
        </r>
        <r>
          <rPr>
            <sz val="9"/>
            <color indexed="81"/>
            <rFont val="Tahoma"/>
            <family val="2"/>
          </rPr>
          <t xml:space="preserve">
2009,2010,2011,2012 estan incluidos en diversos</t>
        </r>
      </text>
    </comment>
    <comment ref="G57" authorId="1" shapeId="0" xr:uid="{00000000-0006-0000-0300-000005000000}">
      <text>
        <r>
          <rPr>
            <sz val="9"/>
            <color indexed="81"/>
            <rFont val="Tahoma"/>
            <family val="2"/>
          </rPr>
          <t>Proceeds from sale of PP&amp;E</t>
        </r>
      </text>
    </comment>
    <comment ref="G60" authorId="1" shapeId="0" xr:uid="{00000000-0006-0000-0300-000006000000}">
      <text>
        <r>
          <rPr>
            <sz val="9"/>
            <color indexed="81"/>
            <rFont val="Tahoma"/>
            <family val="2"/>
          </rPr>
          <t>Perdida en venta y retiro de bienes</t>
        </r>
      </text>
    </comment>
    <comment ref="E81" authorId="1" shapeId="0" xr:uid="{00000000-0006-0000-0300-000007000000}">
      <text>
        <r>
          <rPr>
            <sz val="9"/>
            <color indexed="81"/>
            <rFont val="Tahoma"/>
            <family val="2"/>
          </rPr>
          <t>Fondo de empleados</t>
        </r>
      </text>
    </comment>
    <comment ref="F81" authorId="1" shapeId="0" xr:uid="{00000000-0006-0000-0300-000008000000}">
      <text>
        <r>
          <rPr>
            <sz val="9"/>
            <color indexed="81"/>
            <rFont val="Tahoma"/>
            <family val="2"/>
          </rPr>
          <t>From Shareholders</t>
        </r>
      </text>
    </comment>
    <comment ref="I82" authorId="1" shapeId="0" xr:uid="{00000000-0006-0000-0300-000009000000}">
      <text>
        <r>
          <rPr>
            <sz val="9"/>
            <color indexed="81"/>
            <rFont val="Tahoma"/>
            <family val="2"/>
          </rPr>
          <t>Aumento por cambio a NIIF. Ahora se declara IVA sobre el ingreso reconocido, no solo el facturado.</t>
        </r>
      </text>
    </comment>
    <comment ref="I83" authorId="1" shapeId="0" xr:uid="{00000000-0006-0000-0300-00000A000000}">
      <text>
        <r>
          <rPr>
            <sz val="9"/>
            <color indexed="81"/>
            <rFont val="Tahoma"/>
            <family val="2"/>
          </rPr>
          <t>Incluye accounts receivable a accionistas por 300 mm y 62.7mm de inversión en subsidiaria Ecuador</t>
        </r>
      </text>
    </comment>
    <comment ref="J83" authorId="1" shapeId="0" xr:uid="{00000000-0006-0000-0300-00000B000000}">
      <text>
        <r>
          <rPr>
            <sz val="9"/>
            <color indexed="81"/>
            <rFont val="Tahoma"/>
            <family val="2"/>
          </rPr>
          <t>Se castiga la CxC a accionistas y se descuenta del precio</t>
        </r>
      </text>
    </comment>
    <comment ref="I102" authorId="1" shapeId="0" xr:uid="{00000000-0006-0000-0300-00000C000000}">
      <text>
        <r>
          <rPr>
            <sz val="9"/>
            <color indexed="81"/>
            <rFont val="Tahoma"/>
            <family val="2"/>
          </rPr>
          <t>Se castigan licencias de software que ya no se usan o se vencieron</t>
        </r>
      </text>
    </comment>
    <comment ref="K102" authorId="1" shapeId="0" xr:uid="{00000000-0006-0000-0300-00000D000000}">
      <text>
        <r>
          <rPr>
            <b/>
            <sz val="9"/>
            <color indexed="81"/>
            <rFont val="Tahoma"/>
            <family val="2"/>
          </rPr>
          <t>Andres Gutierrez:</t>
        </r>
        <r>
          <rPr>
            <sz val="9"/>
            <color indexed="81"/>
            <rFont val="Tahoma"/>
            <family val="2"/>
          </rPr>
          <t xml:space="preserve">
included in the line above</t>
        </r>
      </text>
    </comment>
    <comment ref="B105" authorId="0" shapeId="0" xr:uid="{00000000-0006-0000-0300-00000E000000}">
      <text>
        <r>
          <rPr>
            <b/>
            <sz val="9"/>
            <color indexed="81"/>
            <rFont val="Tahoma"/>
            <family val="2"/>
          </rPr>
          <t>Antonio Echavarria:</t>
        </r>
        <r>
          <rPr>
            <sz val="9"/>
            <color indexed="81"/>
            <rFont val="Tahoma"/>
            <family val="2"/>
          </rPr>
          <t xml:space="preserve">
Bienes arte y cultura
rte</t>
        </r>
      </text>
    </comment>
    <comment ref="K109" authorId="2" shapeId="0" xr:uid="{673AE0F2-1932-4EAE-9576-8F2D2834BD55}">
      <text>
        <r>
          <rPr>
            <b/>
            <sz val="9"/>
            <color indexed="81"/>
            <rFont val="Tahoma"/>
            <family val="2"/>
          </rPr>
          <t>Juan Pablo Arboleda:</t>
        </r>
        <r>
          <rPr>
            <sz val="9"/>
            <color indexed="81"/>
            <rFont val="Tahoma"/>
            <family val="2"/>
          </rPr>
          <t xml:space="preserve">
Reclasificado a LT Debt</t>
        </r>
      </text>
    </comment>
    <comment ref="L109" authorId="2" shapeId="0" xr:uid="{2250914E-8A88-4AFF-8259-B39439A42B87}">
      <text>
        <r>
          <rPr>
            <b/>
            <sz val="9"/>
            <color indexed="81"/>
            <rFont val="Tahoma"/>
            <family val="2"/>
          </rPr>
          <t>Juan Pablo Arboleda:</t>
        </r>
        <r>
          <rPr>
            <sz val="9"/>
            <color indexed="81"/>
            <rFont val="Tahoma"/>
            <family val="2"/>
          </rPr>
          <t xml:space="preserve">
Reclasificado a LT Debt</t>
        </r>
      </text>
    </comment>
    <comment ref="M109" authorId="2" shapeId="0" xr:uid="{87C15924-1643-4010-AAAE-EF517225F599}">
      <text>
        <r>
          <rPr>
            <b/>
            <sz val="9"/>
            <color indexed="81"/>
            <rFont val="Tahoma"/>
            <family val="2"/>
          </rPr>
          <t>Juan Pablo Arboleda:</t>
        </r>
        <r>
          <rPr>
            <sz val="9"/>
            <color indexed="81"/>
            <rFont val="Tahoma"/>
            <family val="2"/>
          </rPr>
          <t xml:space="preserve">
Reclasificado a LT Debt</t>
        </r>
      </text>
    </comment>
    <comment ref="K119" authorId="2" shapeId="0" xr:uid="{447C3493-C3F1-4FFF-A50E-A60F074F3AB3}">
      <text>
        <r>
          <rPr>
            <b/>
            <sz val="9"/>
            <color indexed="81"/>
            <rFont val="Tahoma"/>
            <family val="2"/>
          </rPr>
          <t>Juan Pablo Arboleda:</t>
        </r>
        <r>
          <rPr>
            <sz val="9"/>
            <color indexed="81"/>
            <rFont val="Tahoma"/>
            <family val="2"/>
          </rPr>
          <t xml:space="preserve">
Deuda de corto plazo en el archivo de monitoreo se reclasificó a LT Debt</t>
        </r>
      </text>
    </comment>
    <comment ref="L119" authorId="2" shapeId="0" xr:uid="{B19EE071-8FFA-4FAA-A13B-B61C29F8CD0F}">
      <text>
        <r>
          <rPr>
            <b/>
            <sz val="9"/>
            <color indexed="81"/>
            <rFont val="Tahoma"/>
            <family val="2"/>
          </rPr>
          <t>Juan Pablo Arboleda:</t>
        </r>
        <r>
          <rPr>
            <sz val="9"/>
            <color indexed="81"/>
            <rFont val="Tahoma"/>
            <family val="2"/>
          </rPr>
          <t xml:space="preserve">
Deuda de corto plazo en el archivo de monitoreo se reclasificó a LT Debt</t>
        </r>
      </text>
    </comment>
    <comment ref="M119" authorId="2" shapeId="0" xr:uid="{636ECD80-A610-4612-8CBB-DB6F593EE825}">
      <text>
        <r>
          <rPr>
            <b/>
            <sz val="9"/>
            <color indexed="81"/>
            <rFont val="Tahoma"/>
            <family val="2"/>
          </rPr>
          <t>Juan Pablo Arboleda:</t>
        </r>
        <r>
          <rPr>
            <sz val="9"/>
            <color indexed="81"/>
            <rFont val="Tahoma"/>
            <family val="2"/>
          </rPr>
          <t xml:space="preserve">
Deuda de corto plazo en el archivo de monitoreo se reclasificó a LT Debt</t>
        </r>
      </text>
    </comment>
    <comment ref="K131" authorId="2" shapeId="0" xr:uid="{9FA090FB-9C1F-4887-AC2E-12555D463D51}">
      <text>
        <r>
          <rPr>
            <b/>
            <sz val="9"/>
            <color indexed="81"/>
            <rFont val="Tahoma"/>
            <family val="2"/>
          </rPr>
          <t>Juan Pablo Arboleda:</t>
        </r>
        <r>
          <rPr>
            <sz val="9"/>
            <color indexed="81"/>
            <rFont val="Tahoma"/>
            <family val="2"/>
          </rPr>
          <t xml:space="preserve">
Cambié la fórmula porque el archivo base de información tenía un error</t>
        </r>
      </text>
    </comment>
    <comment ref="G153" authorId="0" shapeId="0" xr:uid="{00000000-0006-0000-0300-00000F000000}">
      <text>
        <r>
          <rPr>
            <b/>
            <sz val="9"/>
            <color indexed="81"/>
            <rFont val="Tahoma"/>
            <family val="2"/>
          </rPr>
          <t>Antonio Echavarria:</t>
        </r>
        <r>
          <rPr>
            <sz val="9"/>
            <color indexed="81"/>
            <rFont val="Tahoma"/>
            <family val="2"/>
          </rPr>
          <t xml:space="preserve">
Provision de renta </t>
        </r>
      </text>
    </comment>
    <comment ref="H153" authorId="0" shapeId="0" xr:uid="{00000000-0006-0000-0300-000010000000}">
      <text>
        <r>
          <rPr>
            <b/>
            <sz val="9"/>
            <color indexed="81"/>
            <rFont val="Tahoma"/>
            <family val="2"/>
          </rPr>
          <t>Antonio Echavarria:</t>
        </r>
        <r>
          <rPr>
            <sz val="9"/>
            <color indexed="81"/>
            <rFont val="Tahoma"/>
            <family val="2"/>
          </rPr>
          <t xml:space="preserve">
Provision de renta </t>
        </r>
      </text>
    </comment>
    <comment ref="J173" authorId="1" shapeId="0" xr:uid="{00000000-0006-0000-0300-000012000000}">
      <text>
        <r>
          <rPr>
            <sz val="9"/>
            <color indexed="81"/>
            <rFont val="Tahoma"/>
            <family val="2"/>
          </rPr>
          <t>Incluye castigo de CxC a accionistas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Rafael Salas</author>
    <author>Andres Gutierrez</author>
    <author>Antonio Echavarria</author>
    <author>Juan Pablo Arboleda</author>
    <author>Jack Cybul</author>
    <author>Michael Papageorgiou</author>
  </authors>
  <commentList>
    <comment ref="O6" authorId="0" shapeId="0" xr:uid="{33C6E50C-F20A-45C2-A8B6-295B3C73ED56}">
      <text>
        <r>
          <rPr>
            <b/>
            <sz val="9"/>
            <color indexed="81"/>
            <rFont val="Tahoma"/>
            <family val="2"/>
          </rPr>
          <t>Rafael Salas:</t>
        </r>
        <r>
          <rPr>
            <sz val="9"/>
            <color indexed="81"/>
            <rFont val="Tahoma"/>
            <family val="2"/>
          </rPr>
          <t xml:space="preserve">
Reporte de Proyecciones Macroeconómicas - Guía Bancolombia 2023</t>
        </r>
      </text>
    </comment>
    <comment ref="O7" authorId="0" shapeId="0" xr:uid="{7D2EC01D-67F0-4D13-B978-957142D8AF0C}">
      <text>
        <r>
          <rPr>
            <b/>
            <sz val="9"/>
            <color indexed="81"/>
            <rFont val="Tahoma"/>
            <family val="2"/>
          </rPr>
          <t>Rafael Salas:</t>
        </r>
        <r>
          <rPr>
            <sz val="9"/>
            <color indexed="81"/>
            <rFont val="Tahoma"/>
            <family val="2"/>
          </rPr>
          <t xml:space="preserve">
Reporte de Proyecciones Macroeconómicas - Guía Bancolombia 2023</t>
        </r>
      </text>
    </comment>
    <comment ref="O8" authorId="0" shapeId="0" xr:uid="{3884D93C-2CEC-464F-8656-7FCCD0741EB9}">
      <text>
        <r>
          <rPr>
            <b/>
            <sz val="9"/>
            <color indexed="81"/>
            <rFont val="Tahoma"/>
            <family val="2"/>
          </rPr>
          <t>Rafael Salas:</t>
        </r>
        <r>
          <rPr>
            <sz val="9"/>
            <color indexed="81"/>
            <rFont val="Tahoma"/>
            <family val="2"/>
          </rPr>
          <t xml:space="preserve">
Reporte de Proyecciones Macroeconómicas - Guía Bancolombia 2023</t>
        </r>
      </text>
    </comment>
    <comment ref="O9" authorId="0" shapeId="0" xr:uid="{1AEBB023-FE41-47EF-8199-A9377476DE29}">
      <text>
        <r>
          <rPr>
            <b/>
            <sz val="9"/>
            <color indexed="81"/>
            <rFont val="Tahoma"/>
            <family val="2"/>
          </rPr>
          <t>Rafael Salas:</t>
        </r>
        <r>
          <rPr>
            <sz val="9"/>
            <color indexed="81"/>
            <rFont val="Tahoma"/>
            <family val="2"/>
          </rPr>
          <t xml:space="preserve">
JP Morgan - Economic and Market Update (1Q 2023)</t>
        </r>
      </text>
    </comment>
    <comment ref="O11" authorId="0" shapeId="0" xr:uid="{8246505B-C6BB-40D6-A511-811632657B47}">
      <text>
        <r>
          <rPr>
            <b/>
            <sz val="9"/>
            <color indexed="81"/>
            <rFont val="Tahoma"/>
            <family val="2"/>
          </rPr>
          <t>Rafael Salas:</t>
        </r>
        <r>
          <rPr>
            <sz val="9"/>
            <color indexed="81"/>
            <rFont val="Tahoma"/>
            <family val="2"/>
          </rPr>
          <t xml:space="preserve">
Reporte de Proyecciones Macroeconómicas - Guía Bancolombia 2023</t>
        </r>
      </text>
    </comment>
    <comment ref="O12" authorId="0" shapeId="0" xr:uid="{6A406CE7-1CE7-42B4-B31B-CAE43F3B8A15}">
      <text>
        <r>
          <rPr>
            <b/>
            <sz val="9"/>
            <color indexed="81"/>
            <rFont val="Tahoma"/>
            <family val="2"/>
          </rPr>
          <t>Rafael Salas:</t>
        </r>
        <r>
          <rPr>
            <sz val="9"/>
            <color indexed="81"/>
            <rFont val="Tahoma"/>
            <family val="2"/>
          </rPr>
          <t xml:space="preserve">
Reporte de Proyecciones Macroeconómicas - Guía Bancolombia 2023</t>
        </r>
      </text>
    </comment>
    <comment ref="O14" authorId="0" shapeId="0" xr:uid="{48952B95-323E-4A7B-ACDA-F27F6C6FA699}">
      <text>
        <r>
          <rPr>
            <b/>
            <sz val="9"/>
            <color indexed="81"/>
            <rFont val="Tahoma"/>
            <family val="2"/>
          </rPr>
          <t>Rafael Salas:</t>
        </r>
        <r>
          <rPr>
            <sz val="9"/>
            <color indexed="81"/>
            <rFont val="Tahoma"/>
            <family val="2"/>
          </rPr>
          <t xml:space="preserve">
Reporte de Proyecciones Macroeconómicas - Guía Bancolombia 2023</t>
        </r>
      </text>
    </comment>
    <comment ref="H18" authorId="1" shapeId="0" xr:uid="{00000000-0006-0000-0400-000001000000}">
      <text>
        <r>
          <rPr>
            <sz val="9"/>
            <color indexed="81"/>
            <rFont val="Tahoma"/>
            <family val="2"/>
          </rPr>
          <t>Venta de una unidad</t>
        </r>
      </text>
    </comment>
    <comment ref="I18" authorId="1" shapeId="0" xr:uid="{00000000-0006-0000-0400-000002000000}">
      <text>
        <r>
          <rPr>
            <sz val="9"/>
            <color indexed="81"/>
            <rFont val="Tahoma"/>
            <family val="2"/>
          </rPr>
          <t>Unidad usada como bodega</t>
        </r>
      </text>
    </comment>
    <comment ref="B31" authorId="2" shapeId="0" xr:uid="{00000000-0006-0000-0400-000003000000}">
      <text>
        <r>
          <rPr>
            <b/>
            <sz val="9"/>
            <color indexed="81"/>
            <rFont val="Tahoma"/>
            <family val="2"/>
          </rPr>
          <t>Antonio Echavarria:</t>
        </r>
        <r>
          <rPr>
            <sz val="9"/>
            <color indexed="81"/>
            <rFont val="Tahoma"/>
            <family val="2"/>
          </rPr>
          <t xml:space="preserve">
Honoraios que incurren la operación para el ciertos contratos. E.g. geologo en especial. </t>
        </r>
      </text>
    </comment>
    <comment ref="B32" authorId="2" shapeId="0" xr:uid="{00000000-0006-0000-0400-000004000000}">
      <text>
        <r>
          <rPr>
            <b/>
            <sz val="9"/>
            <color indexed="81"/>
            <rFont val="Tahoma"/>
            <family val="2"/>
          </rPr>
          <t>Antonio Echavarria:</t>
        </r>
        <r>
          <rPr>
            <sz val="9"/>
            <color indexed="81"/>
            <rFont val="Tahoma"/>
            <family val="2"/>
          </rPr>
          <t xml:space="preserve">
Servicio de transporte terrestre de materiales, servicio de telecomunicaciones (antenas) es una cuota fija, Internetr</t>
        </r>
      </text>
    </comment>
    <comment ref="B33" authorId="2" shapeId="0" xr:uid="{00000000-0006-0000-0400-000005000000}">
      <text>
        <r>
          <rPr>
            <b/>
            <sz val="9"/>
            <color indexed="81"/>
            <rFont val="Tahoma"/>
            <family val="2"/>
          </rPr>
          <t>Antonio Echavarria:</t>
        </r>
        <r>
          <rPr>
            <sz val="9"/>
            <color indexed="81"/>
            <rFont val="Tahoma"/>
            <family val="2"/>
          </rPr>
          <t xml:space="preserve">
Principalmente es el ICA.
De 2 a 7 en instril y 2 a 1o en comercial. </t>
        </r>
      </text>
    </comment>
    <comment ref="B35" authorId="2" shapeId="0" xr:uid="{00000000-0006-0000-0400-000006000000}">
      <text>
        <r>
          <rPr>
            <b/>
            <sz val="9"/>
            <color indexed="81"/>
            <rFont val="Tahoma"/>
            <family val="2"/>
          </rPr>
          <t>Antonio Echavarria:</t>
        </r>
        <r>
          <rPr>
            <sz val="9"/>
            <color indexed="81"/>
            <rFont val="Tahoma"/>
            <family val="2"/>
          </rPr>
          <t xml:space="preserve">
Este es proporcinal a la operación, aparte de que se planate un cronograma fijo/preventivo</t>
        </r>
      </text>
    </comment>
    <comment ref="B36" authorId="2" shapeId="0" xr:uid="{00000000-0006-0000-0400-000007000000}">
      <text>
        <r>
          <rPr>
            <b/>
            <sz val="9"/>
            <color indexed="81"/>
            <rFont val="Tahoma"/>
            <family val="2"/>
          </rPr>
          <t>Antonio Echavarria:</t>
        </r>
        <r>
          <rPr>
            <sz val="9"/>
            <color indexed="81"/>
            <rFont val="Tahoma"/>
            <family val="2"/>
          </rPr>
          <t xml:space="preserve">
Trsnaporte personla a campo,. Tiquetes, alojamiento , etc</t>
        </r>
      </text>
    </comment>
    <comment ref="B37" authorId="2" shapeId="0" xr:uid="{00000000-0006-0000-0400-000008000000}">
      <text>
        <r>
          <rPr>
            <b/>
            <sz val="9"/>
            <color indexed="81"/>
            <rFont val="Tahoma"/>
            <family val="2"/>
          </rPr>
          <t>Antonio Echavarria:</t>
        </r>
        <r>
          <rPr>
            <sz val="9"/>
            <color indexed="81"/>
            <rFont val="Tahoma"/>
            <family val="2"/>
          </rPr>
          <t xml:space="preserve">
Se ensaya por proyecto pero usualmenet se pasa en le gasto. </t>
        </r>
      </text>
    </comment>
    <comment ref="O41" authorId="0" shapeId="0" xr:uid="{DD2F411E-B060-434C-A9A7-E0D705F4F9CF}">
      <text>
        <r>
          <rPr>
            <b/>
            <sz val="9"/>
            <color indexed="81"/>
            <rFont val="Tahoma"/>
            <family val="2"/>
          </rPr>
          <t>Rafael Salas:</t>
        </r>
        <r>
          <rPr>
            <sz val="9"/>
            <color indexed="81"/>
            <rFont val="Tahoma"/>
            <family val="2"/>
          </rPr>
          <t xml:space="preserve">
Se estima incremento en el costo de personal operativo por baja actividad en 1Q23 sin despidos, y mayor competitividad en mercado laboral (geólogos)</t>
        </r>
      </text>
    </comment>
    <comment ref="O43" authorId="0" shapeId="0" xr:uid="{FD766269-7FFA-4259-B4BF-AD980414A696}">
      <text>
        <r>
          <rPr>
            <b/>
            <sz val="9"/>
            <color indexed="81"/>
            <rFont val="Tahoma"/>
            <family val="2"/>
          </rPr>
          <t>Rafael Salas:</t>
        </r>
        <r>
          <rPr>
            <sz val="9"/>
            <color indexed="81"/>
            <rFont val="Tahoma"/>
            <family val="2"/>
          </rPr>
          <t xml:space="preserve">
No se toma en cuenta la actividad de 2022 por programa de mantenimiento extraordinario</t>
        </r>
      </text>
    </comment>
    <comment ref="B61" authorId="2" shapeId="0" xr:uid="{00000000-0006-0000-0400-000009000000}">
      <text>
        <r>
          <rPr>
            <b/>
            <sz val="9"/>
            <color indexed="81"/>
            <rFont val="Tahoma"/>
            <family val="2"/>
          </rPr>
          <t>Antonio Echavarria:</t>
        </r>
        <r>
          <rPr>
            <sz val="9"/>
            <color indexed="81"/>
            <rFont val="Tahoma"/>
            <family val="2"/>
          </rPr>
          <t xml:space="preserve">
Antes aredndamientos de equipos de admin.</t>
        </r>
      </text>
    </comment>
    <comment ref="O76" authorId="0" shapeId="0" xr:uid="{8C551508-1926-495B-A165-0B827DCA934A}">
      <text>
        <r>
          <rPr>
            <b/>
            <sz val="9"/>
            <color indexed="81"/>
            <rFont val="Tahoma"/>
            <family val="2"/>
          </rPr>
          <t>Rafael Salas:</t>
        </r>
        <r>
          <rPr>
            <sz val="9"/>
            <color indexed="81"/>
            <rFont val="Tahoma"/>
            <family val="2"/>
          </rPr>
          <t xml:space="preserve">
Ajustado para coincidir con PPTO 2023</t>
        </r>
      </text>
    </comment>
    <comment ref="B82" authorId="2" shapeId="0" xr:uid="{00000000-0006-0000-0400-00000A000000}">
      <text>
        <r>
          <rPr>
            <b/>
            <sz val="9"/>
            <color indexed="81"/>
            <rFont val="Tahoma"/>
            <family val="2"/>
          </rPr>
          <t>Antonio Echavarria
 Impuesto predial y de insutria y commercio por servicios en Bogota</t>
        </r>
      </text>
    </comment>
    <comment ref="E99" authorId="2" shapeId="0" xr:uid="{00000000-0006-0000-0400-00000B000000}">
      <text>
        <r>
          <rPr>
            <b/>
            <sz val="9"/>
            <color indexed="81"/>
            <rFont val="Tahoma"/>
            <family val="2"/>
          </rPr>
          <t>Antonio Echavarria:</t>
        </r>
        <r>
          <rPr>
            <sz val="9"/>
            <color indexed="81"/>
            <rFont val="Tahoma"/>
            <family val="2"/>
          </rPr>
          <t xml:space="preserve">
Año extraordinario por dividendos accuulados en peru.</t>
        </r>
      </text>
    </comment>
    <comment ref="J102" authorId="1" shapeId="0" xr:uid="{00000000-0006-0000-0400-00000C000000}">
      <text>
        <r>
          <rPr>
            <sz val="9"/>
            <color indexed="81"/>
            <rFont val="Tahoma"/>
            <family val="2"/>
          </rPr>
          <t>Castigo de CxC de accionistas (en BS "Other Accounts Receivable)</t>
        </r>
      </text>
    </comment>
    <comment ref="O103" authorId="0" shapeId="0" xr:uid="{A6871A9E-78B5-4A77-BF50-B890ADB9356B}">
      <text>
        <r>
          <rPr>
            <b/>
            <sz val="9"/>
            <color indexed="81"/>
            <rFont val="Tahoma"/>
            <family val="2"/>
          </rPr>
          <t>Rafael Salas:</t>
        </r>
        <r>
          <rPr>
            <sz val="9"/>
            <color indexed="81"/>
            <rFont val="Tahoma"/>
            <family val="2"/>
          </rPr>
          <t xml:space="preserve">
Ajustado para coincidir con PPTO 2023</t>
        </r>
      </text>
    </comment>
    <comment ref="B192" authorId="3" shapeId="0" xr:uid="{5249D4DE-DF43-47BA-9425-254674F71927}">
      <text>
        <r>
          <rPr>
            <b/>
            <sz val="9"/>
            <color indexed="81"/>
            <rFont val="Tahoma"/>
            <family val="2"/>
          </rPr>
          <t>Juan Pablo Arboleda:</t>
        </r>
        <r>
          <rPr>
            <sz val="9"/>
            <color indexed="81"/>
            <rFont val="Tahoma"/>
            <family val="2"/>
          </rPr>
          <t xml:space="preserve">
mainly income tax withhold by clients</t>
        </r>
      </text>
    </comment>
    <comment ref="O204" authorId="0" shapeId="0" xr:uid="{3D610C71-1CC8-4FB8-9EB4-03E5908196CA}">
      <text>
        <r>
          <rPr>
            <b/>
            <sz val="9"/>
            <color indexed="81"/>
            <rFont val="Tahoma"/>
            <family val="2"/>
          </rPr>
          <t>Rafael Salas:</t>
        </r>
        <r>
          <rPr>
            <sz val="9"/>
            <color indexed="81"/>
            <rFont val="Tahoma"/>
            <family val="2"/>
          </rPr>
          <t xml:space="preserve">
Rotación afectada a fin de 2022 por renegociación de tarifas y trámite administrativo de otrosi (Ecopetrol)</t>
        </r>
      </text>
    </comment>
    <comment ref="J212" authorId="1" shapeId="0" xr:uid="{00000000-0006-0000-0400-00000D000000}">
      <text>
        <r>
          <rPr>
            <sz val="9"/>
            <color indexed="81"/>
            <rFont val="Tahoma"/>
            <family val="2"/>
          </rPr>
          <t>5% total, se asume recuperación de 1.67% (igual a 2017)</t>
        </r>
      </text>
    </comment>
    <comment ref="O223" authorId="0" shapeId="0" xr:uid="{A943A985-A8BE-44A2-9261-6FA843784AAD}">
      <text>
        <r>
          <rPr>
            <b/>
            <sz val="9"/>
            <color indexed="81"/>
            <rFont val="Tahoma"/>
            <family val="2"/>
          </rPr>
          <t>Rafael Salas:</t>
        </r>
        <r>
          <rPr>
            <sz val="9"/>
            <color indexed="81"/>
            <rFont val="Tahoma"/>
            <family val="2"/>
          </rPr>
          <t xml:space="preserve">
Pago de dividendos pendientes ocurre en 2023</t>
        </r>
      </text>
    </comment>
    <comment ref="O226" authorId="0" shapeId="0" xr:uid="{B593FC87-9056-4D3A-B3B6-90DEAEB972FB}">
      <text>
        <r>
          <rPr>
            <b/>
            <sz val="9"/>
            <color indexed="81"/>
            <rFont val="Tahoma"/>
            <family val="2"/>
          </rPr>
          <t>Rafael Salas:</t>
        </r>
        <r>
          <rPr>
            <sz val="9"/>
            <color indexed="81"/>
            <rFont val="Tahoma"/>
            <family val="2"/>
          </rPr>
          <t xml:space="preserve">
Normalización de rotación de pago</t>
        </r>
      </text>
    </comment>
    <comment ref="O227" authorId="0" shapeId="0" xr:uid="{86DFDE26-8E19-41FE-A044-F5E2981EB7B9}">
      <text>
        <r>
          <rPr>
            <b/>
            <sz val="9"/>
            <color indexed="81"/>
            <rFont val="Tahoma"/>
            <family val="2"/>
          </rPr>
          <t>Rafael Salas:</t>
        </r>
        <r>
          <rPr>
            <sz val="9"/>
            <color indexed="81"/>
            <rFont val="Tahoma"/>
            <family val="2"/>
          </rPr>
          <t xml:space="preserve">
Normalización de rotación de pago</t>
        </r>
      </text>
    </comment>
    <comment ref="O232" authorId="0" shapeId="0" xr:uid="{BE8CE546-609A-4397-BF87-520B3A8929BE}">
      <text>
        <r>
          <rPr>
            <b/>
            <sz val="9"/>
            <color indexed="81"/>
            <rFont val="Tahoma"/>
            <family val="2"/>
          </rPr>
          <t>Rafael Salas:</t>
        </r>
        <r>
          <rPr>
            <sz val="9"/>
            <color indexed="81"/>
            <rFont val="Tahoma"/>
            <family val="2"/>
          </rPr>
          <t xml:space="preserve">
Normalización, cierre de 2022 con ajuste por provisión de renta estimada</t>
        </r>
      </text>
    </comment>
    <comment ref="O249" authorId="0" shapeId="0" xr:uid="{8CBA29B4-8D3E-4D91-BB4E-E9F953BAD635}">
      <text>
        <r>
          <rPr>
            <b/>
            <sz val="9"/>
            <color indexed="81"/>
            <rFont val="Tahoma"/>
            <family val="2"/>
          </rPr>
          <t>Rafael Salas:</t>
        </r>
        <r>
          <rPr>
            <sz val="9"/>
            <color indexed="81"/>
            <rFont val="Tahoma"/>
            <family val="2"/>
          </rPr>
          <t xml:space="preserve">
Ajustado para coincidir con PPTO 2023</t>
        </r>
      </text>
    </comment>
    <comment ref="N255" authorId="1" shapeId="0" xr:uid="{00000000-0006-0000-0400-00000F000000}">
      <text>
        <r>
          <rPr>
            <sz val="9"/>
            <color indexed="81"/>
            <rFont val="Tahoma"/>
            <family val="2"/>
          </rPr>
          <t>Según políticas contables</t>
        </r>
      </text>
    </comment>
    <comment ref="N262" authorId="0" shapeId="0" xr:uid="{17851AAC-A35B-44B2-B1D5-512B14235208}">
      <text>
        <r>
          <rPr>
            <sz val="9"/>
            <color indexed="81"/>
            <rFont val="Tahoma"/>
            <family val="2"/>
          </rPr>
          <t>Según políticas contables</t>
        </r>
      </text>
    </comment>
    <comment ref="L269" authorId="3" shapeId="0" xr:uid="{C10D6D5D-D333-4B4F-8206-3FD8EAD6A3D8}">
      <text>
        <r>
          <rPr>
            <b/>
            <sz val="9"/>
            <color indexed="81"/>
            <rFont val="Tahoma"/>
            <family val="2"/>
          </rPr>
          <t>Juan Pablo Arboleda:</t>
        </r>
        <r>
          <rPr>
            <sz val="9"/>
            <color indexed="81"/>
            <rFont val="Tahoma"/>
            <family val="2"/>
          </rPr>
          <t xml:space="preserve">
Parece que las cabinas están reconocidas en la cuenta de arriba</t>
        </r>
      </text>
    </comment>
    <comment ref="L277" authorId="3" shapeId="0" xr:uid="{B6A9A936-C118-46D2-A0A3-04CD2E3E89A8}">
      <text>
        <r>
          <rPr>
            <b/>
            <sz val="9"/>
            <color indexed="81"/>
            <rFont val="Tahoma"/>
            <family val="2"/>
          </rPr>
          <t>Juan Pablo Arboleda:</t>
        </r>
        <r>
          <rPr>
            <sz val="9"/>
            <color indexed="81"/>
            <rFont val="Tahoma"/>
            <family val="2"/>
          </rPr>
          <t xml:space="preserve">
Parece que las cabinas están reconocidas en la cuenta de arriba</t>
        </r>
      </text>
    </comment>
    <comment ref="M277" authorId="3" shapeId="0" xr:uid="{4DA55200-C165-4E76-A8DF-B8CFDEC52B37}">
      <text>
        <r>
          <rPr>
            <b/>
            <sz val="9"/>
            <color indexed="81"/>
            <rFont val="Tahoma"/>
            <family val="2"/>
          </rPr>
          <t>Juan Pablo Arboleda:</t>
        </r>
        <r>
          <rPr>
            <sz val="9"/>
            <color indexed="81"/>
            <rFont val="Tahoma"/>
            <family val="2"/>
          </rPr>
          <t xml:space="preserve">
Parece que las cabinas están reconocidas en la cuenta de arriba</t>
        </r>
      </text>
    </comment>
    <comment ref="O277" authorId="0" shapeId="0" xr:uid="{8FFF3EF8-15DF-4642-926D-8AA3535DBECD}">
      <text>
        <r>
          <rPr>
            <b/>
            <sz val="9"/>
            <color indexed="81"/>
            <rFont val="Tahoma"/>
            <family val="2"/>
          </rPr>
          <t>Rafael Salas:</t>
        </r>
        <r>
          <rPr>
            <sz val="9"/>
            <color indexed="81"/>
            <rFont val="Tahoma"/>
            <family val="2"/>
          </rPr>
          <t xml:space="preserve">
Ajustado a niveles estándar</t>
        </r>
      </text>
    </comment>
    <comment ref="O278" authorId="0" shapeId="0" xr:uid="{2DF051D4-3D10-4A87-AEF3-30B0EAB3D410}">
      <text>
        <r>
          <rPr>
            <b/>
            <sz val="9"/>
            <color indexed="81"/>
            <rFont val="Tahoma"/>
            <family val="2"/>
          </rPr>
          <t>Rafael Salas:</t>
        </r>
        <r>
          <rPr>
            <sz val="9"/>
            <color indexed="81"/>
            <rFont val="Tahoma"/>
            <family val="2"/>
          </rPr>
          <t xml:space="preserve">
Ajustado a niveles estándar</t>
        </r>
      </text>
    </comment>
    <comment ref="O280" authorId="0" shapeId="0" xr:uid="{AA95F333-5F85-4E8B-8DDD-6BBC27758EB7}">
      <text>
        <r>
          <rPr>
            <b/>
            <sz val="9"/>
            <color indexed="81"/>
            <rFont val="Tahoma"/>
            <family val="2"/>
          </rPr>
          <t>Rafael Salas:</t>
        </r>
        <r>
          <rPr>
            <sz val="9"/>
            <color indexed="81"/>
            <rFont val="Tahoma"/>
            <family val="2"/>
          </rPr>
          <t xml:space="preserve">
Ajustado a niveles estándar</t>
        </r>
      </text>
    </comment>
    <comment ref="K287" authorId="3" shapeId="0" xr:uid="{6B9C04A2-BB71-425A-8DE0-14F9DAA588FC}">
      <text>
        <r>
          <rPr>
            <b/>
            <sz val="9"/>
            <color indexed="81"/>
            <rFont val="Tahoma"/>
            <family val="2"/>
          </rPr>
          <t>Juan Pablo Arboleda:</t>
        </r>
        <r>
          <rPr>
            <sz val="9"/>
            <color indexed="81"/>
            <rFont val="Tahoma"/>
            <family val="2"/>
          </rPr>
          <t xml:space="preserve">
Input Robin</t>
        </r>
      </text>
    </comment>
    <comment ref="B318" authorId="2" shapeId="0" xr:uid="{00000000-0006-0000-0400-000010000000}">
      <text>
        <r>
          <rPr>
            <b/>
            <sz val="9"/>
            <color indexed="81"/>
            <rFont val="Tahoma"/>
            <family val="2"/>
          </rPr>
          <t>Antonio Echavarria:</t>
        </r>
        <r>
          <rPr>
            <sz val="9"/>
            <color indexed="81"/>
            <rFont val="Tahoma"/>
            <family val="2"/>
          </rPr>
          <t xml:space="preserve">
Bienes arte y cultura
rte</t>
        </r>
      </text>
    </comment>
    <comment ref="O338" authorId="4" shapeId="0" xr:uid="{B7D54783-12B8-4DEB-BADA-AD1B446F26A8}">
      <text>
        <r>
          <rPr>
            <b/>
            <sz val="9"/>
            <color indexed="81"/>
            <rFont val="Tahoma"/>
            <family val="2"/>
          </rPr>
          <t>Rafael Salas:</t>
        </r>
        <r>
          <rPr>
            <sz val="9"/>
            <color indexed="81"/>
            <rFont val="Tahoma"/>
            <family val="2"/>
          </rPr>
          <t xml:space="preserve">
Estimación de dividendos a repartir en 2023</t>
        </r>
      </text>
    </comment>
    <comment ref="B356" authorId="5" shapeId="0" xr:uid="{00000000-0006-0000-0400-000011000000}">
      <text>
        <r>
          <rPr>
            <b/>
            <sz val="9"/>
            <color indexed="81"/>
            <rFont val="Tahoma"/>
            <family val="2"/>
          </rPr>
          <t>Michael Papageorgiou:</t>
        </r>
        <r>
          <rPr>
            <sz val="9"/>
            <color indexed="81"/>
            <rFont val="Tahoma"/>
            <family val="2"/>
          </rPr>
          <t xml:space="preserve">
Incluir dividendos de otroas compañía, si aplica</t>
        </r>
      </text>
    </comment>
    <comment ref="B357" authorId="5" shapeId="0" xr:uid="{00000000-0006-0000-0400-000012000000}">
      <text>
        <r>
          <rPr>
            <b/>
            <sz val="9"/>
            <color indexed="81"/>
            <rFont val="Tahoma"/>
            <family val="2"/>
          </rPr>
          <t>Michael Papageorgiou:</t>
        </r>
        <r>
          <rPr>
            <sz val="9"/>
            <color indexed="81"/>
            <rFont val="Tahoma"/>
            <family val="2"/>
          </rPr>
          <t xml:space="preserve">
Por confirmar: Intereses relacionados a deuda superior a 3x patrimonio liquido</t>
        </r>
      </text>
    </comment>
    <comment ref="B386" authorId="5" shapeId="0" xr:uid="{00000000-0006-0000-0400-000013000000}">
      <text>
        <r>
          <rPr>
            <b/>
            <sz val="9"/>
            <color indexed="81"/>
            <rFont val="Tahoma"/>
            <family val="2"/>
          </rPr>
          <t>Michael Papageorgiou:</t>
        </r>
        <r>
          <rPr>
            <sz val="9"/>
            <color indexed="81"/>
            <rFont val="Tahoma"/>
            <family val="2"/>
          </rPr>
          <t xml:space="preserve">
Incluir dividendos de otroas compañía, si aplica</t>
        </r>
      </text>
    </comment>
    <comment ref="B387" authorId="5" shapeId="0" xr:uid="{00000000-0006-0000-0400-000014000000}">
      <text>
        <r>
          <rPr>
            <b/>
            <sz val="9"/>
            <color indexed="81"/>
            <rFont val="Tahoma"/>
            <family val="2"/>
          </rPr>
          <t>Michael Papageorgiou:</t>
        </r>
        <r>
          <rPr>
            <sz val="9"/>
            <color indexed="81"/>
            <rFont val="Tahoma"/>
            <family val="2"/>
          </rPr>
          <t xml:space="preserve">
Por confirmar: Intereses relacionados a deuda superior a 3x patrimonio liquido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Rafael Salas</author>
    <author>Juan Pablo Arboleda</author>
    <author>Antonio Echavarria</author>
    <author>Michael Papageorgiou</author>
    <author>Andres Gutierrez</author>
  </authors>
  <commentList>
    <comment ref="O11" authorId="0" shapeId="0" xr:uid="{15D216C1-F140-483F-911A-D9C9F7442DC4}">
      <text>
        <r>
          <rPr>
            <b/>
            <sz val="9"/>
            <color indexed="81"/>
            <rFont val="Tahoma"/>
            <family val="2"/>
          </rPr>
          <t>Rafael Salas:</t>
        </r>
        <r>
          <rPr>
            <sz val="9"/>
            <color indexed="81"/>
            <rFont val="Tahoma"/>
            <family val="2"/>
          </rPr>
          <t xml:space="preserve">
Tarifa promedio según tarifas renegociads indicadas en el PPTO 2023. Se asume estabilidad post-2024</t>
        </r>
      </text>
    </comment>
    <comment ref="L19" authorId="1" shapeId="0" xr:uid="{955196B2-C952-46A5-94EC-53064B85CA7D}">
      <text>
        <r>
          <rPr>
            <b/>
            <sz val="9"/>
            <color indexed="81"/>
            <rFont val="Tahoma"/>
            <family val="2"/>
          </rPr>
          <t>Juan Pablo Arboleda:</t>
        </r>
        <r>
          <rPr>
            <sz val="9"/>
            <color indexed="81"/>
            <rFont val="Tahoma"/>
            <family val="2"/>
          </rPr>
          <t xml:space="preserve">
Pendiente de actualizar</t>
        </r>
      </text>
    </comment>
    <comment ref="G21" authorId="2" shapeId="0" xr:uid="{00000000-0006-0000-0600-000002000000}">
      <text>
        <r>
          <rPr>
            <sz val="9"/>
            <color indexed="81"/>
            <rFont val="Tahoma"/>
            <family val="2"/>
          </rPr>
          <t xml:space="preserve">(1) Programados 83 (2) 25 ano  
</t>
        </r>
      </text>
    </comment>
    <comment ref="H21" authorId="3" shapeId="0" xr:uid="{00000000-0006-0000-0600-000003000000}">
      <text>
        <r>
          <rPr>
            <sz val="9"/>
            <color indexed="81"/>
            <rFont val="Tahoma"/>
            <family val="2"/>
          </rPr>
          <t>ACP, Informe Económico No.12, Diciembre 2016</t>
        </r>
      </text>
    </comment>
    <comment ref="I21" authorId="3" shapeId="0" xr:uid="{00000000-0006-0000-0600-000004000000}">
      <text>
        <r>
          <rPr>
            <sz val="9"/>
            <color indexed="81"/>
            <rFont val="Tahoma"/>
            <family val="2"/>
          </rPr>
          <t>ACP, Informe Económico No.12, Diciembre 2017</t>
        </r>
      </text>
    </comment>
    <comment ref="J21" authorId="4" shapeId="0" xr:uid="{00000000-0006-0000-0600-000005000000}">
      <text>
        <r>
          <rPr>
            <b/>
            <sz val="9"/>
            <color indexed="81"/>
            <rFont val="Tahoma"/>
            <family val="2"/>
          </rPr>
          <t>Andres Gutierrez:</t>
        </r>
        <r>
          <rPr>
            <sz val="9"/>
            <color indexed="81"/>
            <rFont val="Tahoma"/>
            <family val="2"/>
          </rPr>
          <t xml:space="preserve">
ACP</t>
        </r>
      </text>
    </comment>
    <comment ref="G23" authorId="2" shapeId="0" xr:uid="{00000000-0006-0000-0600-000006000000}">
      <text>
        <r>
          <rPr>
            <sz val="9"/>
            <color indexed="81"/>
            <rFont val="Tahoma"/>
            <family val="2"/>
          </rPr>
          <t xml:space="preserve">Programa de taldros ACP 750 </t>
        </r>
      </text>
    </comment>
    <comment ref="H23" authorId="3" shapeId="0" xr:uid="{00000000-0006-0000-0600-000007000000}">
      <text>
        <r>
          <rPr>
            <sz val="9"/>
            <color indexed="81"/>
            <rFont val="Tahoma"/>
            <family val="2"/>
          </rPr>
          <t>ACP, Informe Económico No.12, Diciembre 2017</t>
        </r>
      </text>
    </comment>
    <comment ref="I23" authorId="4" shapeId="0" xr:uid="{00000000-0006-0000-0600-000008000000}">
      <text>
        <r>
          <rPr>
            <sz val="9"/>
            <color indexed="81"/>
            <rFont val="Tahoma"/>
            <family val="2"/>
          </rPr>
          <t>ACP, Informe Económico No.12, Diciembre 2017</t>
        </r>
      </text>
    </comment>
    <comment ref="J23" authorId="4" shapeId="0" xr:uid="{00000000-0006-0000-0600-000009000000}">
      <text>
        <r>
          <rPr>
            <sz val="9"/>
            <color indexed="81"/>
            <rFont val="Tahoma"/>
            <family val="2"/>
          </rPr>
          <t>620 Ecopetrol</t>
        </r>
      </text>
    </comment>
    <comment ref="K36" authorId="1" shapeId="0" xr:uid="{C49E4D70-FC43-42A7-A24F-9108A494CCAC}">
      <text>
        <r>
          <rPr>
            <b/>
            <sz val="9"/>
            <color indexed="81"/>
            <rFont val="Tahoma"/>
            <family val="2"/>
          </rPr>
          <t>Juan Pablo Arboleda:</t>
        </r>
        <r>
          <rPr>
            <sz val="9"/>
            <color indexed="81"/>
            <rFont val="Tahoma"/>
            <family val="2"/>
          </rPr>
          <t xml:space="preserve">
Input compañía - Brayan</t>
        </r>
      </text>
    </comment>
    <comment ref="O37" authorId="0" shapeId="0" xr:uid="{E3FDE224-F5D0-4633-AB06-CE77A4032C9A}">
      <text>
        <r>
          <rPr>
            <b/>
            <sz val="9"/>
            <color indexed="81"/>
            <rFont val="Tahoma"/>
            <family val="2"/>
          </rPr>
          <t>Rafael Salas:</t>
        </r>
        <r>
          <rPr>
            <sz val="9"/>
            <color indexed="81"/>
            <rFont val="Tahoma"/>
            <family val="2"/>
          </rPr>
          <t xml:space="preserve">
Ajustado para coincidir con proyección de días de operación en PPTO 2023</t>
        </r>
      </text>
    </comment>
    <comment ref="N50" authorId="0" shapeId="0" xr:uid="{B53EFFA0-AC45-4488-B330-6BAEE9E45245}">
      <text>
        <r>
          <rPr>
            <b/>
            <sz val="9"/>
            <color indexed="81"/>
            <rFont val="Tahoma"/>
            <family val="2"/>
          </rPr>
          <t>Rafael Salas:</t>
        </r>
        <r>
          <rPr>
            <sz val="9"/>
            <color indexed="81"/>
            <rFont val="Tahoma"/>
            <family val="2"/>
          </rPr>
          <t xml:space="preserve">
Informe Presupuesto 2023</t>
        </r>
      </text>
    </comment>
    <comment ref="K55" authorId="0" shapeId="0" xr:uid="{C06E681D-C121-4CC6-AB59-4CF8B6FF3E2C}">
      <text>
        <r>
          <rPr>
            <b/>
            <sz val="9"/>
            <color indexed="81"/>
            <rFont val="Tahoma"/>
            <family val="2"/>
          </rPr>
          <t>Rafael Salas:</t>
        </r>
        <r>
          <rPr>
            <sz val="9"/>
            <color indexed="81"/>
            <rFont val="Tahoma"/>
            <family val="2"/>
          </rPr>
          <t xml:space="preserve">
Informe JD Ene-20</t>
        </r>
      </text>
    </comment>
    <comment ref="L55" authorId="0" shapeId="0" xr:uid="{F2B90598-48CE-4ACB-B2A4-8AA01060FF65}">
      <text>
        <r>
          <rPr>
            <b/>
            <sz val="9"/>
            <color indexed="81"/>
            <rFont val="Tahoma"/>
            <family val="2"/>
          </rPr>
          <t>Rafael Salas:</t>
        </r>
        <r>
          <rPr>
            <sz val="9"/>
            <color indexed="81"/>
            <rFont val="Tahoma"/>
            <family val="2"/>
          </rPr>
          <t xml:space="preserve">
Informe JD Ene-21</t>
        </r>
      </text>
    </comment>
    <comment ref="M55" authorId="0" shapeId="0" xr:uid="{1FD2B509-2B74-4773-AB17-165DE85F0D68}">
      <text>
        <r>
          <rPr>
            <b/>
            <sz val="9"/>
            <color indexed="81"/>
            <rFont val="Tahoma"/>
            <family val="2"/>
          </rPr>
          <t>Rafael Salas:</t>
        </r>
        <r>
          <rPr>
            <sz val="9"/>
            <color indexed="81"/>
            <rFont val="Tahoma"/>
            <family val="2"/>
          </rPr>
          <t xml:space="preserve">
Informe JD Ene-22</t>
        </r>
      </text>
    </comment>
    <comment ref="N55" authorId="0" shapeId="0" xr:uid="{4BD41046-0F0B-4CE6-BF7A-D2B4EDD63476}">
      <text>
        <r>
          <rPr>
            <b/>
            <sz val="9"/>
            <color indexed="81"/>
            <rFont val="Tahoma"/>
            <family val="2"/>
          </rPr>
          <t>Rafael Salas:</t>
        </r>
        <r>
          <rPr>
            <sz val="9"/>
            <color indexed="81"/>
            <rFont val="Tahoma"/>
            <family val="2"/>
          </rPr>
          <t xml:space="preserve">
Informe JD Ene-23</t>
        </r>
      </text>
    </comment>
    <comment ref="O59" authorId="0" shapeId="0" xr:uid="{87A58196-0F37-4470-9492-3183C2166D44}">
      <text>
        <r>
          <rPr>
            <b/>
            <sz val="9"/>
            <color indexed="81"/>
            <rFont val="Tahoma"/>
            <family val="2"/>
          </rPr>
          <t>Rafael Salas:</t>
        </r>
        <r>
          <rPr>
            <sz val="9"/>
            <color indexed="81"/>
            <rFont val="Tahoma"/>
            <family val="2"/>
          </rPr>
          <t xml:space="preserve">
Ajustado por factor de descuento (92.67%) para coincidir con PPTO 2023. Podría reflejar los problemas operacionales o revisiones en la facturación final con las petroleras.</t>
        </r>
      </text>
    </comment>
    <comment ref="O64" authorId="0" shapeId="0" xr:uid="{13E84604-8441-43E9-A7F4-B693BEB92E50}">
      <text>
        <r>
          <rPr>
            <b/>
            <sz val="9"/>
            <color indexed="81"/>
            <rFont val="Tahoma"/>
            <family val="2"/>
          </rPr>
          <t>Rafael Salas:</t>
        </r>
        <r>
          <rPr>
            <sz val="9"/>
            <color indexed="81"/>
            <rFont val="Tahoma"/>
            <family val="2"/>
          </rPr>
          <t xml:space="preserve">
Según distribución estimada en PPTO 2023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Antonio Echavarria</author>
  </authors>
  <commentList>
    <comment ref="E18" authorId="0" shapeId="0" xr:uid="{00000000-0006-0000-0500-000001000000}">
      <text>
        <r>
          <rPr>
            <b/>
            <sz val="9"/>
            <color indexed="81"/>
            <rFont val="Tahoma"/>
            <family val="2"/>
          </rPr>
          <t>Antonio Echavarria:</t>
        </r>
        <r>
          <rPr>
            <sz val="9"/>
            <color indexed="81"/>
            <rFont val="Tahoma"/>
            <family val="2"/>
          </rPr>
          <t xml:space="preserve">
Ecopetrol 27 meses
Meta 36 meses
LP</t>
        </r>
      </text>
    </comment>
    <comment ref="F18" authorId="0" shapeId="0" xr:uid="{00000000-0006-0000-0500-000002000000}">
      <text>
        <r>
          <rPr>
            <b/>
            <sz val="9"/>
            <color indexed="81"/>
            <rFont val="Tahoma"/>
            <family val="2"/>
          </rPr>
          <t>Antonio Echavarria:</t>
        </r>
        <r>
          <rPr>
            <sz val="9"/>
            <color indexed="81"/>
            <rFont val="Tahoma"/>
            <family val="2"/>
          </rPr>
          <t xml:space="preserve">
2 pacific LP</t>
        </r>
      </text>
    </comment>
    <comment ref="G28" authorId="0" shapeId="0" xr:uid="{00000000-0006-0000-0500-000003000000}">
      <text>
        <r>
          <rPr>
            <b/>
            <sz val="9"/>
            <color indexed="81"/>
            <rFont val="Tahoma"/>
            <family val="2"/>
          </rPr>
          <t>Antonio Echavarria:</t>
        </r>
        <r>
          <rPr>
            <sz val="9"/>
            <color indexed="81"/>
            <rFont val="Tahoma"/>
            <family val="2"/>
          </rPr>
          <t xml:space="preserve">
Contrato Meta</t>
        </r>
      </text>
    </comment>
    <comment ref="J45" authorId="0" shapeId="0" xr:uid="{00000000-0006-0000-0500-000004000000}">
      <text>
        <r>
          <rPr>
            <b/>
            <sz val="9"/>
            <color indexed="81"/>
            <rFont val="Tahoma"/>
            <family val="2"/>
          </rPr>
          <t>Antonio Echavarria:</t>
        </r>
        <r>
          <rPr>
            <sz val="9"/>
            <color indexed="81"/>
            <rFont val="Tahoma"/>
            <family val="2"/>
          </rPr>
          <t xml:space="preserve">
Budget´s FX rate</t>
        </r>
      </text>
    </comment>
    <comment ref="J76" authorId="0" shapeId="0" xr:uid="{00000000-0006-0000-0500-000005000000}">
      <text>
        <r>
          <rPr>
            <b/>
            <sz val="9"/>
            <color indexed="81"/>
            <rFont val="Tahoma"/>
            <family val="2"/>
          </rPr>
          <t xml:space="preserve">Antonio Echavarria:
</t>
        </r>
        <r>
          <rPr>
            <sz val="9"/>
            <color indexed="81"/>
            <rFont val="Tahoma"/>
            <family val="2"/>
          </rPr>
          <t xml:space="preserve">(1) Programados 83 (2) anualizado assumiendo repunte a final de ano)
</t>
        </r>
      </text>
    </comment>
    <comment ref="I77" authorId="0" shapeId="0" xr:uid="{00000000-0006-0000-0500-000006000000}">
      <text>
        <r>
          <rPr>
            <b/>
            <sz val="9"/>
            <color indexed="81"/>
            <rFont val="Tahoma"/>
            <family val="2"/>
          </rPr>
          <t>Antonio Echavarria:</t>
        </r>
        <r>
          <rPr>
            <sz val="9"/>
            <color indexed="81"/>
            <rFont val="Tahoma"/>
            <family val="2"/>
          </rPr>
          <t xml:space="preserve">
Anualized</t>
        </r>
      </text>
    </comment>
    <comment ref="J109" authorId="0" shapeId="0" xr:uid="{00000000-0006-0000-0500-000007000000}">
      <text>
        <r>
          <rPr>
            <b/>
            <sz val="9"/>
            <color indexed="81"/>
            <rFont val="Tahoma"/>
            <family val="2"/>
          </rPr>
          <t>Antonio Echavarria:</t>
        </r>
        <r>
          <rPr>
            <sz val="9"/>
            <color indexed="81"/>
            <rFont val="Tahoma"/>
            <family val="2"/>
          </rPr>
          <t xml:space="preserve">
17.38 a mayo 2015. Lo incrmeento ya que el mix esta hacia pozos de desarollo que no es la morma.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Andres Gutierrez</author>
  </authors>
  <commentList>
    <comment ref="H37" authorId="0" shapeId="0" xr:uid="{00000000-0006-0000-0700-000001000000}">
      <text>
        <r>
          <rPr>
            <sz val="9"/>
            <color indexed="81"/>
            <rFont val="Tahoma"/>
            <family val="2"/>
          </rPr>
          <t>Includes proforma rent from Non-Op Assets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tc={B8F11D73-6DD2-4302-9F6E-40CE65D8C33E}</author>
    <author>tc={4E568483-C96D-412E-ABFB-F34B6041D5CD}</author>
    <author>tc={DD05DF0F-DB22-40A0-BBB4-D8444A36FB0F}</author>
    <author>Rafael Salas</author>
  </authors>
  <commentList>
    <comment ref="DT12" authorId="0" shapeId="0" xr:uid="{B8F11D73-6DD2-4302-9F6E-40CE65D8C33E}">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contable ingresos causados</t>
      </text>
    </comment>
    <comment ref="DT18" authorId="1" shapeId="0" xr:uid="{4E568483-C96D-412E-ABFB-F34B6041D5CD}">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contable ingresos causados</t>
      </text>
    </comment>
    <comment ref="DT99" authorId="2" shapeId="0" xr:uid="{DD05DF0F-DB22-40A0-BBB4-D8444A36FB0F}">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contable gastos periodos anteriores</t>
      </text>
    </comment>
    <comment ref="EF108" authorId="3" shapeId="0" xr:uid="{A4E30CFD-0D1C-4E92-B553-F41449A19903}">
      <text>
        <r>
          <rPr>
            <b/>
            <sz val="9"/>
            <color indexed="81"/>
            <rFont val="Tahoma"/>
            <family val="2"/>
          </rPr>
          <t>Rafael Salas:</t>
        </r>
        <r>
          <rPr>
            <sz val="9"/>
            <color indexed="81"/>
            <rFont val="Tahoma"/>
            <family val="2"/>
          </rPr>
          <t xml:space="preserve">
Estimado según UAI al cierre de 2022</t>
        </r>
      </text>
    </comment>
    <comment ref="EF184" authorId="3" shapeId="0" xr:uid="{C8342158-683F-4FF6-A53F-0854CFA429A3}">
      <text>
        <r>
          <rPr>
            <b/>
            <sz val="9"/>
            <color indexed="81"/>
            <rFont val="Tahoma"/>
            <family val="2"/>
          </rPr>
          <t>Rafael Salas:</t>
        </r>
        <r>
          <rPr>
            <sz val="9"/>
            <color indexed="81"/>
            <rFont val="Tahoma"/>
            <family val="2"/>
          </rPr>
          <t xml:space="preserve">
Ajustado para reflejar potencial Impuesto de Renta (estimado sobre UAI)</t>
        </r>
      </text>
    </comment>
  </commentList>
</comments>
</file>

<file path=xl/sharedStrings.xml><?xml version="1.0" encoding="utf-8"?>
<sst xmlns="http://schemas.openxmlformats.org/spreadsheetml/2006/main" count="3342" uniqueCount="1020">
  <si>
    <t>BUILDING VALUE ONE BLOCK AT A TIME</t>
  </si>
  <si>
    <t>TGT Gamas</t>
  </si>
  <si>
    <t>Financial Model</t>
  </si>
  <si>
    <t>December 2017 (July 2018 Update)</t>
  </si>
  <si>
    <t>PRIVATE &amp; CONFIDENTIAL</t>
  </si>
  <si>
    <t>Color code:</t>
  </si>
  <si>
    <t>Scenario</t>
  </si>
  <si>
    <t>Base</t>
  </si>
  <si>
    <t>Dividend Payout Ratio</t>
  </si>
  <si>
    <t>Hard coded</t>
  </si>
  <si>
    <t>2018-2020</t>
  </si>
  <si>
    <t>Different sheet</t>
  </si>
  <si>
    <t>High</t>
  </si>
  <si>
    <t>2021-2026</t>
  </si>
  <si>
    <t>Change in formula</t>
  </si>
  <si>
    <t>Formula</t>
  </si>
  <si>
    <t>Low</t>
  </si>
  <si>
    <t xml:space="preserve">Actual </t>
  </si>
  <si>
    <t>DISCLAIMER</t>
  </si>
  <si>
    <t xml:space="preserve">This financial model is presented and/or furnished on a confidential basis to a limited number of prospective investors for the purpose of evaluating a possible investment in the company described herein (hereinafter “the company”). The information contained herein may not be reproduced or used in whole or in part for any other purpose and may not be provided to any other person other than the prospective investors. In attending the presentation of this financial model or accepting a copy of it, prospective investors commit to treat all non-public information in relation to the company contained herein and/or verbally disclosed as private and confidential. </t>
  </si>
  <si>
    <t>This financial model does not constitute an offer to sell or a solicitation of an offer to invest in the company described herein from any person other than the person to whom this document has been furnished, or the persons or entities that such person represents. no person other than such person receiving a copy of this financial model, or the persons represented by him/her, may treat the same as constituting an offer to sell or a solicitation of an offer invest in the company described herein.</t>
  </si>
  <si>
    <t>The investment in the company may be suitable only for investors for whom such investment does not constitute a complete investment program and who fully understand and have the financial resources necessary to assume the risks involved in this investment. In making an investment decision, investors must rely on their own examination of the company and the terms of the proposed deal including the merits and risks involved. Prospective investors should not construe the contents of this financial model as legal, investment, tax or other advice.</t>
  </si>
  <si>
    <t>The projections and/or economic assessment of the company wherever described in this financial model have been prepared on the basis of estimates and assumptions about performance believed to be reasonable. These projections and/or economic assessments are inherently subject to significant economic, market and other uncertainties that may adversely affect the performance of the company. Accordingly, such projections and economic assessments are not to be relied upon as facts and there can be no assurance that they will be achieved.</t>
  </si>
  <si>
    <t>COP Mn</t>
  </si>
  <si>
    <t>CONTROL PANEL</t>
  </si>
  <si>
    <t>Hardcoded</t>
  </si>
  <si>
    <t>Calculation</t>
  </si>
  <si>
    <t>From another worksheet</t>
  </si>
  <si>
    <t>Change in formulation</t>
  </si>
  <si>
    <t>INPUTS</t>
  </si>
  <si>
    <t>Operative Drivers</t>
  </si>
  <si>
    <t>CAPEX Depreciation</t>
  </si>
  <si>
    <t>Year</t>
  </si>
  <si>
    <t>Dividend</t>
  </si>
  <si>
    <t>Payout Ratio</t>
  </si>
  <si>
    <t>%</t>
  </si>
  <si>
    <t>From</t>
  </si>
  <si>
    <t>Financial Drivers</t>
  </si>
  <si>
    <t>Non-Op. Debt</t>
  </si>
  <si>
    <t>Separate Non-Op Asset</t>
  </si>
  <si>
    <t>Rent on Non-Op Asset / Month</t>
  </si>
  <si>
    <t>Market Value of Non-Op Asset</t>
  </si>
  <si>
    <t>MEP Convertible Debt</t>
  </si>
  <si>
    <t>Execute?</t>
  </si>
  <si>
    <t>Shareholders Debt</t>
  </si>
  <si>
    <t>Write off?</t>
  </si>
  <si>
    <t>Target Debt</t>
  </si>
  <si>
    <t>Target (x EBITDA)</t>
  </si>
  <si>
    <t>x</t>
  </si>
  <si>
    <t>Interest Spread</t>
  </si>
  <si>
    <t>Amortization</t>
  </si>
  <si>
    <t>Revolver</t>
  </si>
  <si>
    <t>TGT Gamas Annual Financial Statements</t>
  </si>
  <si>
    <t>Verical analysis</t>
  </si>
  <si>
    <t>Horizontal analysis</t>
  </si>
  <si>
    <t>Income Statement</t>
  </si>
  <si>
    <t>CAGR 5Y</t>
  </si>
  <si>
    <t>CAGR 10Y</t>
  </si>
  <si>
    <t>Revenue</t>
  </si>
  <si>
    <t>COP MM</t>
  </si>
  <si>
    <t>% growth rate</t>
  </si>
  <si>
    <t>Mudlogging</t>
  </si>
  <si>
    <t>Other (geologists and company men)</t>
  </si>
  <si>
    <t>Ancillary services to ML</t>
  </si>
  <si>
    <t>Machinary &amp; equipment rentals</t>
  </si>
  <si>
    <t>Cost of goods sold</t>
  </si>
  <si>
    <t xml:space="preserve">Payroll / gastos de personal </t>
  </si>
  <si>
    <t>Fees / Honorarios</t>
  </si>
  <si>
    <t>Taxes</t>
  </si>
  <si>
    <t>Leases</t>
  </si>
  <si>
    <t>Insurance</t>
  </si>
  <si>
    <t>Services / Servicios</t>
  </si>
  <si>
    <t>Maintenance &amp; repair</t>
  </si>
  <si>
    <t>Travel expenses</t>
  </si>
  <si>
    <t>Other</t>
  </si>
  <si>
    <t>Gross Profit</t>
  </si>
  <si>
    <t>Gross margin</t>
  </si>
  <si>
    <t>SG&amp;A</t>
  </si>
  <si>
    <t>Payroll</t>
  </si>
  <si>
    <t>Payroll commercial force</t>
  </si>
  <si>
    <t>Services</t>
  </si>
  <si>
    <t>Fees</t>
  </si>
  <si>
    <t>Others</t>
  </si>
  <si>
    <t>Diverse</t>
  </si>
  <si>
    <t>Legal expenses</t>
  </si>
  <si>
    <t>Contributions and Afiliations</t>
  </si>
  <si>
    <t>Mantenimiento y reparaciones</t>
  </si>
  <si>
    <t>Adecuaciones e instalaciones</t>
  </si>
  <si>
    <t>Gastos de Viaje</t>
  </si>
  <si>
    <t>EBITDA</t>
  </si>
  <si>
    <t>EBITDA Margin</t>
  </si>
  <si>
    <t>Depreciation &amp; amortization</t>
  </si>
  <si>
    <t>Depreciation</t>
  </si>
  <si>
    <t>Provisions</t>
  </si>
  <si>
    <t>EBIT</t>
  </si>
  <si>
    <t>EBIT Margin</t>
  </si>
  <si>
    <t>Non-operating income</t>
  </si>
  <si>
    <t>Financial income</t>
  </si>
  <si>
    <t>Fixed investments / partcipaciones</t>
  </si>
  <si>
    <t>Other Non-operating income</t>
  </si>
  <si>
    <t>Non-operating expenses</t>
  </si>
  <si>
    <t>Financial expenses</t>
  </si>
  <si>
    <t>Other Non-operating expenses</t>
  </si>
  <si>
    <t>EBT</t>
  </si>
  <si>
    <t>EBT Margin</t>
  </si>
  <si>
    <t>Income tax</t>
  </si>
  <si>
    <t>Tax rate</t>
  </si>
  <si>
    <t>Net income</t>
  </si>
  <si>
    <t>Net Margin</t>
  </si>
  <si>
    <t>Balance Sheet</t>
  </si>
  <si>
    <t>CAGR</t>
  </si>
  <si>
    <t>Current assets</t>
  </si>
  <si>
    <t xml:space="preserve">Cash </t>
  </si>
  <si>
    <t>Excess cash</t>
  </si>
  <si>
    <t>Clients</t>
  </si>
  <si>
    <t>Inventory</t>
  </si>
  <si>
    <t>Accounts receivable</t>
  </si>
  <si>
    <t>Prepyaments &amp; advances</t>
  </si>
  <si>
    <t>Other Accounts receivable</t>
  </si>
  <si>
    <t>Receivable from investments</t>
  </si>
  <si>
    <t>Retegarantias</t>
  </si>
  <si>
    <t>Non-current assets</t>
  </si>
  <si>
    <t>Net fixed assets</t>
  </si>
  <si>
    <t>Gross fixed assets</t>
  </si>
  <si>
    <t>Land</t>
  </si>
  <si>
    <t>Constructions &amp; buildings</t>
  </si>
  <si>
    <t>Stalls &amp; camps</t>
  </si>
  <si>
    <t>Machinery &amp; equipment</t>
  </si>
  <si>
    <t>Furniture</t>
  </si>
  <si>
    <t>Computer equipment &amp; electronics</t>
  </si>
  <si>
    <t>Accumulated depreciation</t>
  </si>
  <si>
    <t>Investments</t>
  </si>
  <si>
    <t>Intangibles</t>
  </si>
  <si>
    <t>Gross intangibles</t>
  </si>
  <si>
    <t>Licenses</t>
  </si>
  <si>
    <t>Accumulated amortaizacion</t>
  </si>
  <si>
    <t>Deferred charges</t>
  </si>
  <si>
    <t xml:space="preserve">Other Assets </t>
  </si>
  <si>
    <t>Appraisals</t>
  </si>
  <si>
    <t>Current liabilities</t>
  </si>
  <si>
    <t>ST debt</t>
  </si>
  <si>
    <t>Suppliers</t>
  </si>
  <si>
    <t>Other payable expenses</t>
  </si>
  <si>
    <t>Taxes &amp; fees</t>
  </si>
  <si>
    <t>Social Benefits</t>
  </si>
  <si>
    <t>Labor costs</t>
  </si>
  <si>
    <t>Income received in advance</t>
  </si>
  <si>
    <t>Income tax &amp; other</t>
  </si>
  <si>
    <t>Non-current liabilities</t>
  </si>
  <si>
    <t>LT Debt</t>
  </si>
  <si>
    <t>Liabilities with shareholders</t>
  </si>
  <si>
    <t>Dividends payable</t>
  </si>
  <si>
    <t>Shareholders' equity</t>
  </si>
  <si>
    <t>Capital Contributions</t>
  </si>
  <si>
    <t xml:space="preserve">Paid in capital </t>
  </si>
  <si>
    <t>Equity Appraisal</t>
  </si>
  <si>
    <t>Legal Reserve</t>
  </si>
  <si>
    <t>Reserves</t>
  </si>
  <si>
    <t>Retained Earnings</t>
  </si>
  <si>
    <t>Net Income</t>
  </si>
  <si>
    <t>Cash Flow</t>
  </si>
  <si>
    <t>Δ WK</t>
  </si>
  <si>
    <t>(+) Clients</t>
  </si>
  <si>
    <t>(+) Taxes</t>
  </si>
  <si>
    <t>(+) Inventory</t>
  </si>
  <si>
    <t>(+) Accounts receivable</t>
  </si>
  <si>
    <t>(+) Provisiones</t>
  </si>
  <si>
    <t>(+) Retegarantias</t>
  </si>
  <si>
    <t>(-) Suppliers</t>
  </si>
  <si>
    <t>(-) Other payable expenses</t>
  </si>
  <si>
    <t>(-) Taxes &amp; fees</t>
  </si>
  <si>
    <t>(-) Social Benefits</t>
  </si>
  <si>
    <t>(-) Labor costs</t>
  </si>
  <si>
    <t>(-) Income received in advance</t>
  </si>
  <si>
    <t>(-) Income tax &amp; other</t>
  </si>
  <si>
    <t>(-) Taxes</t>
  </si>
  <si>
    <t>(-) Provisions</t>
  </si>
  <si>
    <t>Operating Cash Flow</t>
  </si>
  <si>
    <t>CAPEX - PP&amp;E</t>
  </si>
  <si>
    <t>Cabins</t>
  </si>
  <si>
    <t>CAPEX - Intangibles and deferred assets</t>
  </si>
  <si>
    <t xml:space="preserve">New investments </t>
  </si>
  <si>
    <t>Cash Flow from Investments</t>
  </si>
  <si>
    <t>LT debt repayment</t>
  </si>
  <si>
    <t>ST debt issuance/(repayment)</t>
  </si>
  <si>
    <t>Interest expense</t>
  </si>
  <si>
    <t>Other Non-op. Items</t>
  </si>
  <si>
    <t>Other income/(expenses)</t>
  </si>
  <si>
    <t>Cash flow to equity</t>
  </si>
  <si>
    <t>Capital injection</t>
  </si>
  <si>
    <t>Dividends</t>
  </si>
  <si>
    <t>Net cash flow</t>
  </si>
  <si>
    <t>Initial cash</t>
  </si>
  <si>
    <t>Final cash</t>
  </si>
  <si>
    <t>Check</t>
  </si>
  <si>
    <t>TGT Gamas Drivers</t>
  </si>
  <si>
    <t>Macro Assumptions</t>
  </si>
  <si>
    <t>Crecimiento PIB Col (Real FdA)</t>
  </si>
  <si>
    <t>Brent (PdA)</t>
  </si>
  <si>
    <t>USD</t>
  </si>
  <si>
    <t>Inflacion Col (FdA)</t>
  </si>
  <si>
    <t>Inflacion US (FdA)</t>
  </si>
  <si>
    <t>TRM FdA</t>
  </si>
  <si>
    <t>COP</t>
  </si>
  <si>
    <t>TRM PdA</t>
  </si>
  <si>
    <t>DTF 90 dias (E.A. PdA)</t>
  </si>
  <si>
    <t>DTF 90 dias (T.A. PdA)</t>
  </si>
  <si>
    <t>IBR Overnight (%EA, FdA)</t>
  </si>
  <si>
    <t>Operations</t>
  </si>
  <si>
    <t>TGT cabins</t>
  </si>
  <si>
    <t>New cabins</t>
  </si>
  <si>
    <t>Used</t>
  </si>
  <si>
    <t>Available</t>
  </si>
  <si>
    <t>Rented</t>
  </si>
  <si>
    <t>Total cabins</t>
  </si>
  <si>
    <t>COGS</t>
  </si>
  <si>
    <t>% sales</t>
  </si>
  <si>
    <t>Indemnizaciones</t>
  </si>
  <si>
    <t>fixed + IPC</t>
  </si>
  <si>
    <t>% Sales</t>
  </si>
  <si>
    <t># of cabins</t>
  </si>
  <si>
    <t>IPC *+ Spread</t>
  </si>
  <si>
    <t>One-offs</t>
  </si>
  <si>
    <t>Spread over IPC</t>
  </si>
  <si>
    <t>Rent (Non-Op Asset)</t>
  </si>
  <si>
    <t>IPC + Spread</t>
  </si>
  <si>
    <t>IPC</t>
  </si>
  <si>
    <t>IPC  +Spread</t>
  </si>
  <si>
    <t>% Clients</t>
  </si>
  <si>
    <t xml:space="preserve"> % cash LY</t>
  </si>
  <si>
    <t>Exchange rate differences</t>
  </si>
  <si>
    <t>% assets LY</t>
  </si>
  <si>
    <t>% SG&amp;A</t>
  </si>
  <si>
    <t>Debt</t>
  </si>
  <si>
    <t>Outstanding Debt (Banco Popular, BBVA, German Corzo)</t>
  </si>
  <si>
    <t>Fixed rate E.A.</t>
  </si>
  <si>
    <t>Interest rate E.A.</t>
  </si>
  <si>
    <t>Initial balance</t>
  </si>
  <si>
    <t>Amortization schedule</t>
  </si>
  <si>
    <t>Disbursements</t>
  </si>
  <si>
    <t>Ending balance</t>
  </si>
  <si>
    <t>Banco occidente  (Bodega de Tocancipa)</t>
  </si>
  <si>
    <t>Non-Op. Asset Loan</t>
  </si>
  <si>
    <t>Spread over DTF</t>
  </si>
  <si>
    <t>Interest rate T.A.</t>
  </si>
  <si>
    <t>Bullet  10 years</t>
  </si>
  <si>
    <t>MAS Equity</t>
  </si>
  <si>
    <t>Credit Card</t>
  </si>
  <si>
    <t>Deuda Actual Total - LT Debt</t>
  </si>
  <si>
    <t>Interest</t>
  </si>
  <si>
    <t>Times EBITDA</t>
  </si>
  <si>
    <t>X</t>
  </si>
  <si>
    <t>Additional Debt - ST Debt</t>
  </si>
  <si>
    <t>EBITDA Multiple</t>
  </si>
  <si>
    <t>Maximum debt capacity</t>
  </si>
  <si>
    <t>Minimum Cash</t>
  </si>
  <si>
    <t>Disbursment</t>
  </si>
  <si>
    <t>Multiple Check</t>
  </si>
  <si>
    <t>Years of amortization</t>
  </si>
  <si>
    <t>Years</t>
  </si>
  <si>
    <t>Debt Face Value</t>
  </si>
  <si>
    <t>Total Amortization</t>
  </si>
  <si>
    <t>Deuda consolidada</t>
  </si>
  <si>
    <t>Working Capital</t>
  </si>
  <si>
    <t>Assets</t>
  </si>
  <si>
    <t>Accounts receivables</t>
  </si>
  <si>
    <t>Other accounts receivable</t>
  </si>
  <si>
    <t>Assets turnover</t>
  </si>
  <si>
    <t>Cash (Costs)</t>
  </si>
  <si>
    <t>Days</t>
  </si>
  <si>
    <t>Clients (Sales)</t>
  </si>
  <si>
    <t>Taxes (Sales)</t>
  </si>
  <si>
    <t>Inventory (Costs)</t>
  </si>
  <si>
    <t>Accounts receivables (Costs &amp; SGA)</t>
  </si>
  <si>
    <t>Prepyaments &amp; advances (Costs)</t>
  </si>
  <si>
    <t>Receivable from investments (sales)</t>
  </si>
  <si>
    <t>Retegarantias (Sales)</t>
  </si>
  <si>
    <t>Liabilities</t>
  </si>
  <si>
    <t>Suplliers</t>
  </si>
  <si>
    <t>Liabilities turnover</t>
  </si>
  <si>
    <t>Suplliers (Costs)</t>
  </si>
  <si>
    <t>Other payable expenses (Costs)</t>
  </si>
  <si>
    <t>Taxes &amp; fees (Costs)</t>
  </si>
  <si>
    <t>Social Benefits (Personnel)</t>
  </si>
  <si>
    <t>Labor costs (Personnel)</t>
  </si>
  <si>
    <t>Income received in advance (revenue)</t>
  </si>
  <si>
    <t>Income tax &amp; other (Sales)</t>
  </si>
  <si>
    <t>Provisions (% Sales)</t>
  </si>
  <si>
    <t>FIXED ASSETS</t>
  </si>
  <si>
    <t>Existing PP&amp;E</t>
  </si>
  <si>
    <t>Gross assets</t>
  </si>
  <si>
    <t>Depreciation expense</t>
  </si>
  <si>
    <t>Years of depreciation</t>
  </si>
  <si>
    <t>Net Assets</t>
  </si>
  <si>
    <t>Existing intangibles</t>
  </si>
  <si>
    <t>Accumulated amortization</t>
  </si>
  <si>
    <t>#</t>
  </si>
  <si>
    <t>Current amortization</t>
  </si>
  <si>
    <t>Net Intangibles</t>
  </si>
  <si>
    <t>Existing deffered  assets</t>
  </si>
  <si>
    <t>Net Deferred Charges</t>
  </si>
  <si>
    <t>Maintenance Capex - Current PP&amp;E</t>
  </si>
  <si>
    <t>Total</t>
  </si>
  <si>
    <t>Cost of new cabin</t>
  </si>
  <si>
    <t>COP M</t>
  </si>
  <si>
    <t># of Functional Cabins</t>
  </si>
  <si>
    <t>Total Cabins</t>
  </si>
  <si>
    <t>Costo de rehabilitar una cabina</t>
  </si>
  <si>
    <t>Additional Cabins for next year</t>
  </si>
  <si>
    <t>Rehab CAPEX</t>
  </si>
  <si>
    <t>New cabins required to support operation</t>
  </si>
  <si>
    <t>Expansion capex - New cabins</t>
  </si>
  <si>
    <t>New property, plant &amp; equipment</t>
  </si>
  <si>
    <t>Counter new PP&amp;E</t>
  </si>
  <si>
    <t>CAPEX</t>
  </si>
  <si>
    <t>Initial Gross Assets</t>
  </si>
  <si>
    <t>Net assets</t>
  </si>
  <si>
    <t>Other Long term assets / liabilities</t>
  </si>
  <si>
    <t>Other long term assets</t>
  </si>
  <si>
    <t>New Investments</t>
  </si>
  <si>
    <t>Other long term liabilities</t>
  </si>
  <si>
    <t>Shareholder´s Equity</t>
  </si>
  <si>
    <t>Capital</t>
  </si>
  <si>
    <t>Legal reserve</t>
  </si>
  <si>
    <t>Net income previous year</t>
  </si>
  <si>
    <t>Retained earnings previous year</t>
  </si>
  <si>
    <t>Change in legal reserve</t>
  </si>
  <si>
    <t>Max distributable earnings</t>
  </si>
  <si>
    <t>Cash available to pay dividends</t>
  </si>
  <si>
    <t>Max dividend payable</t>
  </si>
  <si>
    <t>Paid dividends</t>
  </si>
  <si>
    <t>Retained earnings</t>
  </si>
  <si>
    <t>Drivers</t>
  </si>
  <si>
    <t>Income Tax Rate</t>
  </si>
  <si>
    <t>CREE</t>
  </si>
  <si>
    <t>Sobretasa CREE</t>
  </si>
  <si>
    <t>Tax Rate Lowd on Equity</t>
  </si>
  <si>
    <t>Maximum tax losses deduction</t>
  </si>
  <si>
    <t>Taxes Lowd on Shareholders' Equity</t>
  </si>
  <si>
    <t>Shareholders' Equity</t>
  </si>
  <si>
    <t>Earnings before Taxes</t>
  </si>
  <si>
    <t>(-) Equity Method</t>
  </si>
  <si>
    <t>(+) Nondeductible expenses</t>
  </si>
  <si>
    <t>Earnings before taxes (adjusted)</t>
  </si>
  <si>
    <t>Compensations</t>
  </si>
  <si>
    <t>Tax losses</t>
  </si>
  <si>
    <t>Accumulated Tax Losses</t>
  </si>
  <si>
    <t>Tax losses compensations</t>
  </si>
  <si>
    <t>Income tax + CREE</t>
  </si>
  <si>
    <t>Effective tax rate</t>
  </si>
  <si>
    <t>Taxes on EBIT</t>
  </si>
  <si>
    <t>(-) Other</t>
  </si>
  <si>
    <t>*</t>
  </si>
  <si>
    <t>Tarrifs</t>
  </si>
  <si>
    <t>Tariff sensitivity</t>
  </si>
  <si>
    <t>Tarrif USD</t>
  </si>
  <si>
    <t>Growth</t>
  </si>
  <si>
    <t>Tarrif COP</t>
  </si>
  <si>
    <t>Wells drilled</t>
  </si>
  <si>
    <t>Wells drilled Colombia</t>
  </si>
  <si>
    <t>YoY growth</t>
  </si>
  <si>
    <t>Exploratory</t>
  </si>
  <si>
    <t>Development</t>
  </si>
  <si>
    <t>Ratio Exp/total</t>
  </si>
  <si>
    <t>Ratio Dev/total</t>
  </si>
  <si>
    <t>YoY Wells drilled Colombia</t>
  </si>
  <si>
    <t>YoY Exploratory</t>
  </si>
  <si>
    <t>YoY Development</t>
  </si>
  <si>
    <t>Wells programados</t>
  </si>
  <si>
    <t>Diff.</t>
  </si>
  <si>
    <t>Wells TGT</t>
  </si>
  <si>
    <t>Market share</t>
  </si>
  <si>
    <t># of wells</t>
  </si>
  <si>
    <t>Avrg. Day X well</t>
  </si>
  <si>
    <t>Days of operation</t>
  </si>
  <si>
    <t>YoY</t>
  </si>
  <si>
    <t>Avrg. Day X month</t>
  </si>
  <si>
    <t>Avrg. # of units x month</t>
  </si>
  <si>
    <t>Avrg. Day X unit X month</t>
  </si>
  <si>
    <t>Revenue Mudlog. Serv.</t>
  </si>
  <si>
    <t xml:space="preserve">YoY </t>
  </si>
  <si>
    <t>% Mudlloging Services</t>
  </si>
  <si>
    <t>Machinery &amp; equipment rentals</t>
  </si>
  <si>
    <t>Total revenues</t>
  </si>
  <si>
    <t>Summary Revenue</t>
  </si>
  <si>
    <t>Other services</t>
  </si>
  <si>
    <t>Macro</t>
  </si>
  <si>
    <t>Oil Production</t>
  </si>
  <si>
    <t>Mbd</t>
  </si>
  <si>
    <t>YoY Growth</t>
  </si>
  <si>
    <t>Source: Projections DGPM - Ministerio de Hacienda y Crédito Público</t>
  </si>
  <si>
    <t>mbbl</t>
  </si>
  <si>
    <t>Reserve ratio</t>
  </si>
  <si>
    <t>Stock of contracts</t>
  </si>
  <si>
    <t>WA Tarrif</t>
  </si>
  <si>
    <t>Average Tariff</t>
  </si>
  <si>
    <t>Average duration</t>
  </si>
  <si>
    <t>months</t>
  </si>
  <si>
    <t>Weighted average duracion</t>
  </si>
  <si>
    <t>YoY changes</t>
  </si>
  <si>
    <t>Signed contracts</t>
  </si>
  <si>
    <t>WA Days</t>
  </si>
  <si>
    <t>Months</t>
  </si>
  <si>
    <t>Number</t>
  </si>
  <si>
    <t>WA Tarrif YoY</t>
  </si>
  <si>
    <t>WA Days YoY</t>
  </si>
  <si>
    <t>Number YoY</t>
  </si>
  <si>
    <t>Tarrif COP FX</t>
  </si>
  <si>
    <t>Sensitivity Exploratory Wells</t>
  </si>
  <si>
    <t>Sensitivity Exploratory Wells in absolut figures</t>
  </si>
  <si>
    <t>Sensitivity Development Wells</t>
  </si>
  <si>
    <t xml:space="preserve">1.077 1.036 999 959 </t>
  </si>
  <si>
    <t>Basado en crecimiento en produccion proteado en MFMP despues de 2016</t>
  </si>
  <si>
    <t xml:space="preserve">Revenue / wells </t>
  </si>
  <si>
    <t>Days of operación</t>
  </si>
  <si>
    <t># of units</t>
  </si>
  <si>
    <t>#of contarcts X year</t>
  </si>
  <si>
    <t>Average Value contracts USD</t>
  </si>
  <si>
    <t>Value contract USD</t>
  </si>
  <si>
    <t>USD MM</t>
  </si>
  <si>
    <t>Value contarct COP</t>
  </si>
  <si>
    <t>Cores and cuttings</t>
  </si>
  <si>
    <t>Geochemical services</t>
  </si>
  <si>
    <t>Tarif USD</t>
  </si>
  <si>
    <t>Revenue COL</t>
  </si>
  <si>
    <t>Days per Month X Unit  X month</t>
  </si>
  <si>
    <t>Revenues USD</t>
  </si>
  <si>
    <t>Number of days X cabin X month</t>
  </si>
  <si>
    <t>Revnue X Cabin X month</t>
  </si>
  <si>
    <t>Revenue X month</t>
  </si>
  <si>
    <t>Sample storage</t>
  </si>
  <si>
    <t>Summary</t>
  </si>
  <si>
    <t>Revenue other services</t>
  </si>
  <si>
    <t>Back log</t>
  </si>
  <si>
    <t>Value</t>
  </si>
  <si>
    <t>Commercial effort</t>
  </si>
  <si>
    <t xml:space="preserve">Number </t>
  </si>
  <si>
    <t>Avrg. Value</t>
  </si>
  <si>
    <t>Backlog</t>
  </si>
  <si>
    <t>Backlog / Revenue</t>
  </si>
  <si>
    <t>VALUATION SHEET</t>
  </si>
  <si>
    <t>VALUATION SUMMARY</t>
  </si>
  <si>
    <t>Valuation</t>
  </si>
  <si>
    <t>Sensitivities</t>
  </si>
  <si>
    <t>Main financials</t>
  </si>
  <si>
    <t>Rf Rate</t>
  </si>
  <si>
    <t>Unlevered beta</t>
  </si>
  <si>
    <t>Equity Value</t>
  </si>
  <si>
    <t>Market Risk Premium</t>
  </si>
  <si>
    <t>Levered beta</t>
  </si>
  <si>
    <t>Country Risk Premium</t>
  </si>
  <si>
    <t>Leverage (D/E)</t>
  </si>
  <si>
    <t>Cost of equity</t>
  </si>
  <si>
    <t>Cost of debt</t>
  </si>
  <si>
    <t>Financial Obligations</t>
  </si>
  <si>
    <t>Terminal growth rate</t>
  </si>
  <si>
    <t>WACC</t>
  </si>
  <si>
    <t>D/E</t>
  </si>
  <si>
    <t>FCF Value</t>
  </si>
  <si>
    <t>Term. Value</t>
  </si>
  <si>
    <t>EV/EBITDA</t>
  </si>
  <si>
    <t>Total EV</t>
  </si>
  <si>
    <t>Net Debt</t>
  </si>
  <si>
    <t>Receivables</t>
  </si>
  <si>
    <t>Non Op. Assets</t>
  </si>
  <si>
    <t>Eq. Value</t>
  </si>
  <si>
    <t>Average</t>
  </si>
  <si>
    <t>Gross Margin</t>
  </si>
  <si>
    <t>EV/Revenue</t>
  </si>
  <si>
    <t>VALUATION CASH FLOW</t>
  </si>
  <si>
    <t>Valuation Cash Flow</t>
  </si>
  <si>
    <t>Period</t>
  </si>
  <si>
    <t>Non Op. Asset Rent</t>
  </si>
  <si>
    <t>EBITDA Adj.</t>
  </si>
  <si>
    <t>Change in WK (Excl. Non Operating)</t>
  </si>
  <si>
    <t>Operational Taxes</t>
  </si>
  <si>
    <t>Free Cash Flow</t>
  </si>
  <si>
    <t>Terminal Value</t>
  </si>
  <si>
    <t>Total FCF</t>
  </si>
  <si>
    <t>FCF Valuation</t>
  </si>
  <si>
    <t>Discount Factor</t>
  </si>
  <si>
    <t>Discounted FCF</t>
  </si>
  <si>
    <t>Discounted Terminal Value</t>
  </si>
  <si>
    <t>Period 2</t>
  </si>
  <si>
    <t>PV of cash flows</t>
  </si>
  <si>
    <t>PV of terminal value</t>
  </si>
  <si>
    <t>Enterprise Value</t>
  </si>
  <si>
    <t>MEP Stake (%)</t>
  </si>
  <si>
    <t>MEP Stake Valuation</t>
  </si>
  <si>
    <t>DISCOUNT RATE - WACC</t>
  </si>
  <si>
    <t>Cost of Equity</t>
  </si>
  <si>
    <t>Item</t>
  </si>
  <si>
    <t>Date</t>
  </si>
  <si>
    <t>Comments / Source</t>
  </si>
  <si>
    <t>Risk-Free Rate</t>
  </si>
  <si>
    <t>US Treasury Bonds 10 years (average last 2 months) (Source: US Department of Treasury. https://www.treasury.gov/resource-center/data-chart-center/interest-rates/Pages/TextView.aspx?data=yield)</t>
  </si>
  <si>
    <t>Market-Risk Premium</t>
  </si>
  <si>
    <t>Difference of the annual returns between US stock market and Treasury Bonds (geometric average of data since 1928). Source: Damodaran (http://pages.stern.nyu.edu/~adamodar/)</t>
  </si>
  <si>
    <t>Industry Unlevered Beta</t>
  </si>
  <si>
    <r>
      <t xml:space="preserve">Unlevered beta corrected for cash for the </t>
    </r>
    <r>
      <rPr>
        <b/>
        <sz val="8"/>
        <color rgb="FFFF0000"/>
        <rFont val="Calibri"/>
        <family val="2"/>
        <scheme val="minor"/>
      </rPr>
      <t>Oilfield Svcs/Equip.</t>
    </r>
    <r>
      <rPr>
        <sz val="8"/>
        <color theme="1"/>
        <rFont val="Calibri"/>
        <family val="2"/>
        <scheme val="minor"/>
      </rPr>
      <t xml:space="preserve"> industry in US. Source: Damodaran (http://pages.stern.nyu.edu/~adamodar/)</t>
    </r>
  </si>
  <si>
    <t>Company Levered Beta</t>
  </si>
  <si>
    <t>Levered beta, adjusted to reflect the company's leverage ratio and tax rate</t>
  </si>
  <si>
    <t>Adjusted Market-Risk Premium</t>
  </si>
  <si>
    <t>Country-Risk Premium</t>
  </si>
  <si>
    <r>
      <t xml:space="preserve">EMBI index for </t>
    </r>
    <r>
      <rPr>
        <b/>
        <sz val="8"/>
        <color rgb="FFFF0000"/>
        <rFont val="Calibri"/>
        <family val="2"/>
        <scheme val="minor"/>
      </rPr>
      <t>Colombia</t>
    </r>
    <r>
      <rPr>
        <sz val="8"/>
        <rFont val="Calibri"/>
        <family val="2"/>
        <scheme val="minor"/>
      </rPr>
      <t xml:space="preserve">, </t>
    </r>
    <r>
      <rPr>
        <b/>
        <sz val="8"/>
        <rFont val="Calibri"/>
        <family val="2"/>
        <scheme val="minor"/>
      </rPr>
      <t>average last 2 months</t>
    </r>
  </si>
  <si>
    <t>Foreign Inflation</t>
  </si>
  <si>
    <t>Expected annual core-inflation in US for the current year. Source: Federal Reserve Economic Projections - Quarterly update</t>
  </si>
  <si>
    <t>Local Inflation</t>
  </si>
  <si>
    <r>
      <t xml:space="preserve">Expected annual inflation (without food products) in </t>
    </r>
    <r>
      <rPr>
        <b/>
        <sz val="8"/>
        <color rgb="FFFF0000"/>
        <rFont val="Calibri"/>
        <family val="2"/>
        <scheme val="minor"/>
      </rPr>
      <t>Colombia</t>
    </r>
    <r>
      <rPr>
        <sz val="8"/>
        <color theme="1"/>
        <rFont val="Calibri"/>
        <family val="2"/>
        <scheme val="minor"/>
      </rPr>
      <t xml:space="preserve"> for the current year. Source: Banrep - Monthly inflation expectations survey (http://www.banrep.gov.co/resultados-mensuales-expectativas-analistas-economicos)</t>
    </r>
  </si>
  <si>
    <t>Expected Currency Devaluation</t>
  </si>
  <si>
    <t>Size Preimum</t>
  </si>
  <si>
    <t>Cost of Debt</t>
  </si>
  <si>
    <t>Company Cost of Debt</t>
  </si>
  <si>
    <t>Target</t>
  </si>
  <si>
    <t>Current</t>
  </si>
  <si>
    <t>Current cost of debt, calculated with weighted average of the interest rates of each outstanding loan of the company</t>
  </si>
  <si>
    <t>Target cost of debt based on the average of the interest expenses projected in the financial statements</t>
  </si>
  <si>
    <t>Custom</t>
  </si>
  <si>
    <t>Cost of Debt (After-Tax)</t>
  </si>
  <si>
    <t>Tax Rate and Leverage Ratio</t>
  </si>
  <si>
    <t>Company Tax Rate</t>
  </si>
  <si>
    <t>Effective (Current)</t>
  </si>
  <si>
    <t>Effective tax rate, calculated with the income tax accrued during the current year, or the registered in the last year's financial statements if the previous not reliable/available</t>
  </si>
  <si>
    <t>Target tax rate based on the average of the projected financial statements</t>
  </si>
  <si>
    <t>Colombian statutory tax rate from 2021 onwards</t>
  </si>
  <si>
    <t>Company Leverage Ratio (D/E)</t>
  </si>
  <si>
    <t>Leverage ratio calculated with the debt and equity book value of the latest financial statements used in the valuation (including any off-balance debt or leasings)</t>
  </si>
  <si>
    <t>Leverage ratio based on the average of the projected financial statements</t>
  </si>
  <si>
    <t xml:space="preserve">WACC - Calculated and Implied </t>
  </si>
  <si>
    <t>Weight of Equity</t>
  </si>
  <si>
    <t>Weight of Debt</t>
  </si>
  <si>
    <t>Calculated WACC</t>
  </si>
  <si>
    <t>NIIF</t>
  </si>
  <si>
    <t>--&gt; Annual</t>
  </si>
  <si>
    <t>--&gt; Accumulado</t>
  </si>
  <si>
    <t>--&gt; Mensual</t>
  </si>
  <si>
    <t>Ene</t>
  </si>
  <si>
    <t>Feb</t>
  </si>
  <si>
    <t>Mar</t>
  </si>
  <si>
    <t>Información Financiera</t>
  </si>
  <si>
    <t>Ejecutado 2012</t>
  </si>
  <si>
    <t>Ejecutado 2013</t>
  </si>
  <si>
    <t>Ejecutado 2014</t>
  </si>
  <si>
    <t>Ejecutado 2015</t>
  </si>
  <si>
    <t>Ejecutado 2016</t>
  </si>
  <si>
    <t>Ejecutado 2017</t>
  </si>
  <si>
    <t>Ejecutado 2018</t>
  </si>
  <si>
    <t>Ejecutado 2019</t>
  </si>
  <si>
    <t>Ejecutado 2020</t>
  </si>
  <si>
    <t>Ejecutado 2021</t>
  </si>
  <si>
    <t>Ejecutado 2022</t>
  </si>
  <si>
    <t>Forecast 2020</t>
  </si>
  <si>
    <t>Presupuesto 2015</t>
  </si>
  <si>
    <t>Presupuesto 2016</t>
  </si>
  <si>
    <t>Presupuesto 2017</t>
  </si>
  <si>
    <t>Presupuesto 2018</t>
  </si>
  <si>
    <t>Presupuesto 2020</t>
  </si>
  <si>
    <t>Total Años</t>
  </si>
  <si>
    <t>Variaciones Porcentuales % YoY</t>
  </si>
  <si>
    <t>Variaciones en Pesos YoY</t>
  </si>
  <si>
    <t>% ventas</t>
  </si>
  <si>
    <t>Cifras Acumuladas</t>
  </si>
  <si>
    <t>Ejecución Presupuestal YTD</t>
  </si>
  <si>
    <t>Variaciones Porcentuales % YoY - YTD</t>
  </si>
  <si>
    <t>Variaciones en Pesos YoY -YTD</t>
  </si>
  <si>
    <t>% ventas - YTD</t>
  </si>
  <si>
    <t>Cifras comparativas Mensuales ( $ miles)</t>
  </si>
  <si>
    <t>Variaciones Porcentuales % YoY - Mensual</t>
  </si>
  <si>
    <t>Variaciones en Pesos YoY - Mensual</t>
  </si>
  <si>
    <t>Abr</t>
  </si>
  <si>
    <t>Mes indicador</t>
  </si>
  <si>
    <t>Mes =</t>
  </si>
  <si>
    <t>May</t>
  </si>
  <si>
    <t>Jun</t>
  </si>
  <si>
    <t>2022F</t>
  </si>
  <si>
    <t>Var % 
2014-2013</t>
  </si>
  <si>
    <t>Var % 
2014-2015</t>
  </si>
  <si>
    <t>Var % 
2015-2016</t>
  </si>
  <si>
    <t>Var % 
2016-2017</t>
  </si>
  <si>
    <t>Var % 
2017-2018</t>
  </si>
  <si>
    <t>Var % 
2018-2019</t>
  </si>
  <si>
    <t>Var % 
2019-2020</t>
  </si>
  <si>
    <t>Var % 
2020-2021</t>
  </si>
  <si>
    <t>Var % 
2021-2022</t>
  </si>
  <si>
    <t>Var %
2021P vs. 2020</t>
  </si>
  <si>
    <t>Var% 2021P vs. 2021F</t>
  </si>
  <si>
    <t>Var %
2021F vs. 2020</t>
  </si>
  <si>
    <t>Var
2014-2013</t>
  </si>
  <si>
    <t>Var  
2014-2015</t>
  </si>
  <si>
    <t>Var 
2015 vs. 2016</t>
  </si>
  <si>
    <t>Var 
2016 vs. 2017</t>
  </si>
  <si>
    <t>Var 
2017 vs. 2018</t>
  </si>
  <si>
    <t>Var 
2018 vs. 2019</t>
  </si>
  <si>
    <t>Var 
2019 vs. 2020</t>
  </si>
  <si>
    <t>Var 
2021P vs. 2020</t>
  </si>
  <si>
    <t>Var 2021P vs. 2021F</t>
  </si>
  <si>
    <t>Var 
2021F vs. 2020</t>
  </si>
  <si>
    <t>2021F</t>
  </si>
  <si>
    <t>2020 YTD</t>
  </si>
  <si>
    <t xml:space="preserve">2020P YTD </t>
  </si>
  <si>
    <t xml:space="preserve"> % Ejecución 2020-2020P</t>
  </si>
  <si>
    <t>$ Ejecución 2020-2020P</t>
  </si>
  <si>
    <t>% Ventas 2020 YTD</t>
  </si>
  <si>
    <t>% Ventas 2020P YTD</t>
  </si>
  <si>
    <t>Var % 
2013-2014</t>
  </si>
  <si>
    <t>Var %
2020 -2021F</t>
  </si>
  <si>
    <t>Var $ 
2013-2014</t>
  </si>
  <si>
    <t>Var $ 
2014-2015</t>
  </si>
  <si>
    <t>Var $ 
2015-2016</t>
  </si>
  <si>
    <t>Var $ 
2016-2017</t>
  </si>
  <si>
    <t>Var $ 
2017-2018</t>
  </si>
  <si>
    <t>Var $ 
2018-2019</t>
  </si>
  <si>
    <t>Var $ 
2019-2020</t>
  </si>
  <si>
    <t>Var $
2020 -2021F</t>
  </si>
  <si>
    <t>Var %
2017 -2018F</t>
  </si>
  <si>
    <t>Var $
2018 -2019F</t>
  </si>
  <si>
    <t>Jul</t>
  </si>
  <si>
    <t>Ago</t>
  </si>
  <si>
    <t>----&gt;</t>
  </si>
  <si>
    <t>ESTADO DE PERDIDAS Y GANANCIAS</t>
  </si>
  <si>
    <t>Sept</t>
  </si>
  <si>
    <t>Oct</t>
  </si>
  <si>
    <t>Revenues</t>
  </si>
  <si>
    <t>Nov</t>
  </si>
  <si>
    <t>Dic</t>
  </si>
  <si>
    <t>Field samples</t>
  </si>
  <si>
    <t>Transportation and Storage</t>
  </si>
  <si>
    <t>Devoluciones,Rebajas Y Dtos.Vt</t>
  </si>
  <si>
    <t>Refunds</t>
  </si>
  <si>
    <t>Gastos De Pesonal</t>
  </si>
  <si>
    <t>Honorarios</t>
  </si>
  <si>
    <t>Impuestos</t>
  </si>
  <si>
    <t>Arendamientos</t>
  </si>
  <si>
    <t>Contributions and affiliations</t>
  </si>
  <si>
    <t>Seguros</t>
  </si>
  <si>
    <t>Servicios</t>
  </si>
  <si>
    <t>Mantenimiento Y Reparaciones</t>
  </si>
  <si>
    <t>Gastos De Viaje</t>
  </si>
  <si>
    <t>Diversos</t>
  </si>
  <si>
    <t>Gastos Legales</t>
  </si>
  <si>
    <t>Adecuacion E Instalacion</t>
  </si>
  <si>
    <t>Provisiones</t>
  </si>
  <si>
    <t>Afiliaciones y sostenimiento</t>
  </si>
  <si>
    <t>Adjustment for non oper. services</t>
  </si>
  <si>
    <t>Gastos De Personal</t>
  </si>
  <si>
    <t>Arrendamientos</t>
  </si>
  <si>
    <t>Contribuciones Y Afiliaciones</t>
  </si>
  <si>
    <t>-</t>
  </si>
  <si>
    <t>Gastosdeviaje</t>
  </si>
  <si>
    <t>Depreciations &amp; amortizations</t>
  </si>
  <si>
    <t>Depreciaciones</t>
  </si>
  <si>
    <t>Dep. SG&amp;A</t>
  </si>
  <si>
    <t>Dep. COGS</t>
  </si>
  <si>
    <t>Amortizaciones</t>
  </si>
  <si>
    <t>Amort. SG&amp;A</t>
  </si>
  <si>
    <t>Amort. COGS</t>
  </si>
  <si>
    <t>AR Accrual</t>
  </si>
  <si>
    <t>Bonus accrual</t>
  </si>
  <si>
    <t>Staff  compensation</t>
  </si>
  <si>
    <t>Financieros</t>
  </si>
  <si>
    <t>Commercial discounts</t>
  </si>
  <si>
    <t>Dividendos Y Participaciones</t>
  </si>
  <si>
    <t>Recoveries</t>
  </si>
  <si>
    <t>Income from other periods</t>
  </si>
  <si>
    <t>Recuperaciones</t>
  </si>
  <si>
    <t>Revenue recoveries</t>
  </si>
  <si>
    <t>Various</t>
  </si>
  <si>
    <t>Utilidadenventadepropiedadesplantayequipo</t>
  </si>
  <si>
    <t>Procceds from sale of PP&amp;E</t>
  </si>
  <si>
    <t>Worker compensation</t>
  </si>
  <si>
    <t>Bank expenses</t>
  </si>
  <si>
    <t>Comisiones</t>
  </si>
  <si>
    <t>Exchage rate difference</t>
  </si>
  <si>
    <t>Interest expenses</t>
  </si>
  <si>
    <t>Descuento comercial condicionado</t>
  </si>
  <si>
    <t>Perdida En Venta Y Retiro De B</t>
  </si>
  <si>
    <t>Perdida en Venta y Retiro de Bienes</t>
  </si>
  <si>
    <t>Perdida Metodo De Participacio</t>
  </si>
  <si>
    <t>Perdida en Metodo de Participacion</t>
  </si>
  <si>
    <t>Gastos Extraordinarios</t>
  </si>
  <si>
    <t>Gastos Diversos</t>
  </si>
  <si>
    <t>Earnings before taxes</t>
  </si>
  <si>
    <t>Impuesto De Renta Y Complement</t>
  </si>
  <si>
    <t>Ganancias Y Perdidas</t>
  </si>
  <si>
    <t>BALANCE GENERAL</t>
  </si>
  <si>
    <t>Disponible</t>
  </si>
  <si>
    <t>IFRS</t>
  </si>
  <si>
    <t>Anticipo De Impuestos Y Contri</t>
  </si>
  <si>
    <t>Inventarios</t>
  </si>
  <si>
    <t>Prestamosaparticulares</t>
  </si>
  <si>
    <t>Employees credit fund</t>
  </si>
  <si>
    <t>Shareholders</t>
  </si>
  <si>
    <t>Cuentas Por Cobrar A 
Trabajado</t>
  </si>
  <si>
    <t>Employee travel expenses pending arpoval</t>
  </si>
  <si>
    <t>Deudores Varios</t>
  </si>
  <si>
    <t>Account payable to suppliers</t>
  </si>
  <si>
    <t>Anticipos Y Avances</t>
  </si>
  <si>
    <t>Cuentas Corrientes Comerciales</t>
  </si>
  <si>
    <t>Sale commitments</t>
  </si>
  <si>
    <t>Ingresos Por Cobrar</t>
  </si>
  <si>
    <t>Depositos</t>
  </si>
  <si>
    <t>Retegarantia</t>
  </si>
  <si>
    <t>Terrenos</t>
  </si>
  <si>
    <t>Oficinas</t>
  </si>
  <si>
    <t>Offices</t>
  </si>
  <si>
    <t>Axi Inmuebles</t>
  </si>
  <si>
    <t>Ajustesporinflacioninmuebles</t>
  </si>
  <si>
    <t>Casetas Y Campamentos</t>
  </si>
  <si>
    <t>Axi Casetas Y Campamentos</t>
  </si>
  <si>
    <t>Ajustesporinflacioncasetas</t>
  </si>
  <si>
    <t>Maquinaria Y Equipos En Montaj</t>
  </si>
  <si>
    <t>Maquinaria Y Equipo</t>
  </si>
  <si>
    <t>Equipo De Oficina</t>
  </si>
  <si>
    <t>Equipo De Computacion Y Comuni</t>
  </si>
  <si>
    <t>Transport Equipment</t>
  </si>
  <si>
    <t>Depreciacion Acumulada</t>
  </si>
  <si>
    <t>Derechos</t>
  </si>
  <si>
    <t>Licences</t>
  </si>
  <si>
    <t>Amortizacion Acumulada</t>
  </si>
  <si>
    <t>Diferidos</t>
  </si>
  <si>
    <t>Deffered charges</t>
  </si>
  <si>
    <t>Otros Activos</t>
  </si>
  <si>
    <t>Valorizaciones</t>
  </si>
  <si>
    <t>Total Assets</t>
  </si>
  <si>
    <t>Bancos Nacionales</t>
  </si>
  <si>
    <t>National Banks</t>
  </si>
  <si>
    <t>Compañias Financiamiento Comer</t>
  </si>
  <si>
    <t>Other Financial Companies</t>
  </si>
  <si>
    <t>Obligations Other</t>
  </si>
  <si>
    <t>Proveedores</t>
  </si>
  <si>
    <t>Costos Y Gastos Por Pagar</t>
  </si>
  <si>
    <t>Accounts payable</t>
  </si>
  <si>
    <t>Acreedores Oficiales</t>
  </si>
  <si>
    <t>Retenciones Y Aportes De Nomin</t>
  </si>
  <si>
    <t>Acreedores Varios</t>
  </si>
  <si>
    <t>Para Obligaciones Laborales</t>
  </si>
  <si>
    <t>Labor Liabilities</t>
  </si>
  <si>
    <t>Obligaciones Laborales</t>
  </si>
  <si>
    <t>Otros Pasivos</t>
  </si>
  <si>
    <t>Impuestos Gravamenes Y Tasas</t>
  </si>
  <si>
    <t>Retencion En La Fuente</t>
  </si>
  <si>
    <t>Impuesto A Las Ventas Retenido</t>
  </si>
  <si>
    <t>Imp.De Ind.Y Cio.Retenido</t>
  </si>
  <si>
    <t>Impuestocree</t>
  </si>
  <si>
    <t xml:space="preserve"> </t>
  </si>
  <si>
    <t>Corporaciones Financieras</t>
  </si>
  <si>
    <t>Deudasconaccionistasosocios</t>
  </si>
  <si>
    <t>Dividendos O Participaciones P</t>
  </si>
  <si>
    <t>Paracostosygastos</t>
  </si>
  <si>
    <t>Provisiones para costos y gastos</t>
  </si>
  <si>
    <t>Para Obligaciones Fiscales</t>
  </si>
  <si>
    <t>Provisiones Para obligaciones fiscales</t>
  </si>
  <si>
    <t>Provisionesdiversas</t>
  </si>
  <si>
    <t>Total Liabilities</t>
  </si>
  <si>
    <t>Capital Social</t>
  </si>
  <si>
    <t>Superavit De Capital</t>
  </si>
  <si>
    <t>Reserva Legal</t>
  </si>
  <si>
    <t>Reservaparareadquisiciondeacciones</t>
  </si>
  <si>
    <t>Reserva Para Readquisicion De</t>
  </si>
  <si>
    <t>Reservas Ocacionales</t>
  </si>
  <si>
    <t>Revalorizacion Del Patrimonio</t>
  </si>
  <si>
    <t>Resultados Del Ejercicio</t>
  </si>
  <si>
    <t>Resultados De Ejercicios Anter</t>
  </si>
  <si>
    <t>Superavit Por Valorizaciones</t>
  </si>
  <si>
    <t>Otros Resultados Integrales</t>
  </si>
  <si>
    <t>Liabilities + Shareholder´s Equity</t>
  </si>
  <si>
    <t>Free CashFlow</t>
  </si>
  <si>
    <t>CAPEX- PP&amp;E</t>
  </si>
  <si>
    <t>Δ Activos</t>
  </si>
  <si>
    <t>Δ Pasivos</t>
  </si>
  <si>
    <t>Free cash flow</t>
  </si>
  <si>
    <t>Debt disbursements</t>
  </si>
  <si>
    <t>Debt amortization</t>
  </si>
  <si>
    <t>Net other income/expenses</t>
  </si>
  <si>
    <t>Capital contributions</t>
  </si>
  <si>
    <t>Endeudamiento</t>
  </si>
  <si>
    <t>PAGARE 2014-1 CITIBANK - 2 AÑOS - 3.800M - 6,86%EA</t>
  </si>
  <si>
    <t>CONTRATO 0631306422 POPULAR - 3 AÑOS - 3.000M - 8,738EA</t>
  </si>
  <si>
    <t>PAGARE 833-9600042963 BBVA</t>
  </si>
  <si>
    <t>PAGARE 833-9600051832 BBVA</t>
  </si>
  <si>
    <t>TARJETA CREDITO PESOS GERENTE</t>
  </si>
  <si>
    <t>TARJETAS DE CREDITO DOLARES GERENTE</t>
  </si>
  <si>
    <t>LEASING INMOBILIARIO OCCIDENTE 180-105912</t>
  </si>
  <si>
    <t>PAGARES</t>
  </si>
  <si>
    <t>CONTRATO 833-1000-00001296000 LEASING BBVA CARRO CEO</t>
  </si>
  <si>
    <t>DEUDA FONDO</t>
  </si>
  <si>
    <t>TOTAL ENDEUDAMIENTO</t>
  </si>
  <si>
    <t>Saldos de Cuentas Bancarias</t>
  </si>
  <si>
    <t>CAJAS MENORES</t>
  </si>
  <si>
    <t>BANCO OCCIDENTE 255032708</t>
  </si>
  <si>
    <t>BANCO OCCIDENTE 221000599</t>
  </si>
  <si>
    <t>BBVA COLOMBIA 358000875</t>
  </si>
  <si>
    <t>BANCO POPULAR 1100141378</t>
  </si>
  <si>
    <t>BANCO CITI 5077105028</t>
  </si>
  <si>
    <t>BANCO POPULAR 110-063-14609-6</t>
  </si>
  <si>
    <t>BANCO OCCIDENTE 100008712</t>
  </si>
  <si>
    <t>BANCO OCCIDENTE 221800113</t>
  </si>
  <si>
    <t>BANCO AV VILLAS 078007762</t>
  </si>
  <si>
    <t>BANCO AV VILLAS 078059847</t>
  </si>
  <si>
    <t>ENCARGO FIDUCIARIO CORFICOLOMBIANA 110200910042</t>
  </si>
  <si>
    <t>PA TGT GAMAS FUDICIARIA POPULAR 220150141992</t>
  </si>
  <si>
    <t>IFRS EFECTIVO Y EQUIVALENTES DE EFECTIVO</t>
  </si>
  <si>
    <t>TOTAL SALDO DE BANCOS</t>
  </si>
  <si>
    <t>INDICADORES</t>
  </si>
  <si>
    <t>Liquidez y Solvencia</t>
  </si>
  <si>
    <t>Razon corriente</t>
  </si>
  <si>
    <t>Prueba acida</t>
  </si>
  <si>
    <t>Debt / Equity</t>
  </si>
  <si>
    <t>Deuda / FCF</t>
  </si>
  <si>
    <t>Net non-cash working capital</t>
  </si>
  <si>
    <t>Days Operating Cash</t>
  </si>
  <si>
    <t>Days Receivables</t>
  </si>
  <si>
    <t>Days Inventories</t>
  </si>
  <si>
    <t>Days Suppliers</t>
  </si>
  <si>
    <t>Rentabilidad</t>
  </si>
  <si>
    <t>Return sobre capital invertido (ROIC)</t>
  </si>
  <si>
    <t>Returno sobre activos (ROA)</t>
  </si>
  <si>
    <t>Return sobre capital (ROE)</t>
  </si>
  <si>
    <t>Ciclo de caja de efectivo</t>
  </si>
  <si>
    <t>Rotación de cartera (días)</t>
  </si>
  <si>
    <t>Rotación de inventario (días)</t>
  </si>
  <si>
    <t>Ciclo operativo</t>
  </si>
  <si>
    <t>Rotación de proveedores</t>
  </si>
  <si>
    <t>Provisiones para costos, gastos y obligaciones fiscales</t>
  </si>
  <si>
    <t>Personal</t>
  </si>
  <si>
    <t>Ciclo de pagos</t>
  </si>
  <si>
    <t>Caja para soportar lo operación</t>
  </si>
  <si>
    <t>Capital de trabajo</t>
  </si>
  <si>
    <t>Caja</t>
  </si>
  <si>
    <t>Activos corrientes (sin caja)</t>
  </si>
  <si>
    <t>Pasivos corrientes (sin deuda financiera)</t>
  </si>
  <si>
    <t>Deuda financiera corto plazo</t>
  </si>
  <si>
    <t>Capital de trabajo neto Operativo</t>
  </si>
  <si>
    <t>Var. Capital de trabajo</t>
  </si>
  <si>
    <t>Dias de capital de trabajo</t>
  </si>
  <si>
    <t>Forecast 2019</t>
  </si>
  <si>
    <t>Presupuesto 2019</t>
  </si>
  <si>
    <t>2020F</t>
  </si>
  <si>
    <t>Var %
2020P vs. 2019</t>
  </si>
  <si>
    <t>Var% 2018P vs. 2018F</t>
  </si>
  <si>
    <t>Var %
2020F vs. 2019</t>
  </si>
  <si>
    <t>Var 
2020P vs. 2019</t>
  </si>
  <si>
    <t>Var 2020P vs. 2020F</t>
  </si>
  <si>
    <t>Var 
2020F vs. 2019</t>
  </si>
  <si>
    <t>Var %
2019 -2020F</t>
  </si>
  <si>
    <t>Var $
2019 -2020F</t>
  </si>
  <si>
    <t>Bonus Accrual</t>
  </si>
  <si>
    <t>Rotación de cuentas por pagar</t>
  </si>
  <si>
    <t>Caja para soportar el capital de trabajo</t>
  </si>
  <si>
    <t>EQUIPO DE OFICINA</t>
  </si>
  <si>
    <t>EQUIPO DE COMPUTACION Y COMUNICACION</t>
  </si>
  <si>
    <t>EQUIPOS INSTRUMENTACION</t>
  </si>
  <si>
    <t>ELEMENTOS DE MUESTRAS</t>
  </si>
  <si>
    <t>Saldo</t>
  </si>
  <si>
    <t xml:space="preserve">Intereses </t>
  </si>
  <si>
    <t xml:space="preserve">Tasa </t>
  </si>
  <si>
    <t>DTF + 5,5</t>
  </si>
  <si>
    <t>vencimiento</t>
  </si>
  <si>
    <t>Se amortiza el 100% del capital al vencimiento</t>
  </si>
  <si>
    <t>Modificado</t>
  </si>
  <si>
    <t>DTF + 5</t>
  </si>
  <si>
    <t>Original</t>
  </si>
  <si>
    <t>Mes</t>
  </si>
  <si>
    <t>Año</t>
  </si>
  <si>
    <t>Cuota</t>
  </si>
  <si>
    <t>Fecha</t>
  </si>
  <si>
    <t>% Amortización</t>
  </si>
  <si>
    <t>Abono a capital</t>
  </si>
  <si>
    <t>Intereses</t>
  </si>
  <si>
    <t>Interes compensatorio vencido (años anteriores)</t>
  </si>
  <si>
    <t>REPORTE DE SEGUIMIENTO MENSUAL</t>
  </si>
  <si>
    <t>JUNIO 2020</t>
  </si>
  <si>
    <t>Millones de Pesos</t>
  </si>
  <si>
    <t>KPIs</t>
  </si>
  <si>
    <t>ENE</t>
  </si>
  <si>
    <t>FEB</t>
  </si>
  <si>
    <t>MAR</t>
  </si>
  <si>
    <t>APR</t>
  </si>
  <si>
    <t>MAY</t>
  </si>
  <si>
    <t>JUN</t>
  </si>
  <si>
    <t>JUL</t>
  </si>
  <si>
    <t>AUG</t>
  </si>
  <si>
    <t>SEP</t>
  </si>
  <si>
    <t>OCT</t>
  </si>
  <si>
    <t>NOV</t>
  </si>
  <si>
    <t>DEC</t>
  </si>
  <si>
    <t>TOTAL</t>
  </si>
  <si>
    <t>KPI</t>
  </si>
  <si>
    <t>JAN</t>
  </si>
  <si>
    <t>Dias de Operacion</t>
  </si>
  <si>
    <t>Cabinas en Operación</t>
  </si>
  <si>
    <t>Tarifa ML (COP$ miles)</t>
  </si>
  <si>
    <t>Tarifa ML (USD$)</t>
  </si>
  <si>
    <t>Personal Total</t>
  </si>
  <si>
    <t>Personal Fijo</t>
  </si>
  <si>
    <t>Personal Temporal</t>
  </si>
  <si>
    <t>INGRESOS</t>
  </si>
  <si>
    <t>Ventas</t>
  </si>
  <si>
    <t>2018 R</t>
  </si>
  <si>
    <t>2019 R</t>
  </si>
  <si>
    <t>2020 R/P</t>
  </si>
  <si>
    <t xml:space="preserve"> 2020 (R) </t>
  </si>
  <si>
    <t>Presupuesto</t>
  </si>
  <si>
    <t xml:space="preserve"> 2020 (P) </t>
  </si>
  <si>
    <t>Ejecutado</t>
  </si>
  <si>
    <t>Var. 19-18</t>
  </si>
  <si>
    <t>Var. 20-19</t>
  </si>
  <si>
    <t>COSTOS</t>
  </si>
  <si>
    <t>Costos</t>
  </si>
  <si>
    <t>MB 2018</t>
  </si>
  <si>
    <t>MB 2019</t>
  </si>
  <si>
    <t>MB 2020</t>
  </si>
  <si>
    <t>MB 2020 Ppto</t>
  </si>
  <si>
    <t>GASTOS</t>
  </si>
  <si>
    <t>Gastos</t>
  </si>
  <si>
    <t>ME 2018</t>
  </si>
  <si>
    <t>ME 2019</t>
  </si>
  <si>
    <t>ME 2020</t>
  </si>
  <si>
    <t>ME 2020 Ppto</t>
  </si>
  <si>
    <t>UTILIDAD NETA</t>
  </si>
  <si>
    <t>Ut. Neta</t>
  </si>
  <si>
    <t>MN 2018</t>
  </si>
  <si>
    <t>MN 2019</t>
  </si>
  <si>
    <t>MN 2020</t>
  </si>
  <si>
    <t>MN 2020 Ppto</t>
  </si>
  <si>
    <t>RATIOS</t>
  </si>
  <si>
    <t>Deuda/Capital</t>
  </si>
  <si>
    <t>Deuda/EBITDA LTM</t>
  </si>
  <si>
    <t>Deuda/EBITDA Fwd</t>
  </si>
  <si>
    <t>ICR (EBITDA)</t>
  </si>
  <si>
    <t>DSCR (EBITDA)</t>
  </si>
  <si>
    <t>DSCR (FCF)</t>
  </si>
  <si>
    <t>FCF/Ingresos</t>
  </si>
  <si>
    <t>Rot. Cartera (días)</t>
  </si>
  <si>
    <t>Rot. Proveedores (días)</t>
  </si>
  <si>
    <t>EBITDA LTM</t>
  </si>
  <si>
    <t>COMENTARIOS</t>
  </si>
  <si>
    <t xml:space="preserve">- Días de operación: Junio -80% a/a y 20% del presupuesto. Acumulado -45,3% a/a y 50,1% del presupuesto.
- Ingresos: Junio -76% a/a y 21% del presupuesto. Acumulado -31% y 61% del presupuesto
- Costos: Junio -68% a/a y 31% del presupuesto (En Junio se incrementaron los costos de movilizaciones de unidades, requisiciones de personal debido a la reactivación de 5 cabinas vs mayo estos ascendieron a 108 mm).
- Gastos: Junio 0% a/a y 90% del presupuesto. Acumulado +4% a/a y 83% del presupuesto. (En junio se incrementan los honorarios en 20,9mm por la asesoria para la devolución de renta; en mayo los gastos de personal administrativo disminuyen por la flexibilización de sueldos de hasta el 40%)
- Cartera: la compañía realizo operaciones de factoring en Junio por 204 mm.
- Otros gastos 140 mm diferencia en cambio (neto 13 mm) y 67 mm de bajas de activos fijos
- Para la nomina fue aprobado el beneficio PAEF por 15 mm el cual quedará reconocido en Julio
</t>
  </si>
  <si>
    <t>BALANCE</t>
  </si>
  <si>
    <t>Disponible - Caja y Bancos</t>
  </si>
  <si>
    <t>ENERO</t>
  </si>
  <si>
    <t xml:space="preserve">Cuentas por cobrar </t>
  </si>
  <si>
    <t>FEBRERO</t>
  </si>
  <si>
    <t>MARZO</t>
  </si>
  <si>
    <t>Otros Activos Corrientes</t>
  </si>
  <si>
    <t>ABRIL</t>
  </si>
  <si>
    <t>Activo Corriente</t>
  </si>
  <si>
    <t>MAYO</t>
  </si>
  <si>
    <t>PPE - Activos Fijos</t>
  </si>
  <si>
    <t>JUNIO</t>
  </si>
  <si>
    <t>Otros Activos No Corrientes</t>
  </si>
  <si>
    <t>JULIO</t>
  </si>
  <si>
    <t>Activo No Corriente</t>
  </si>
  <si>
    <t>AGOSTO</t>
  </si>
  <si>
    <t>Deuda a corto plazo</t>
  </si>
  <si>
    <t>SEPTIEMBRE</t>
  </si>
  <si>
    <t>Deuda a largo plazo</t>
  </si>
  <si>
    <t>Cargas Fiscales / Tributarias</t>
  </si>
  <si>
    <t>OCTUBRE</t>
  </si>
  <si>
    <t>Remuneraciones y Cargas Sociales</t>
  </si>
  <si>
    <t>NOVIEMBRE</t>
  </si>
  <si>
    <t>Cuentas por Pagar a Proveedores</t>
  </si>
  <si>
    <t>DICIEMBRE</t>
  </si>
  <si>
    <t>Provisión de Impuestos</t>
  </si>
  <si>
    <t>Total Pasivo</t>
  </si>
  <si>
    <t>Capital Suscrito y Pagado</t>
  </si>
  <si>
    <t>Superavit de Capital</t>
  </si>
  <si>
    <t>Reserva para futuras inversiones</t>
  </si>
  <si>
    <t>Resultados acumulados</t>
  </si>
  <si>
    <t>Resultados del ejercicio</t>
  </si>
  <si>
    <t>Patrimonio Neto</t>
  </si>
  <si>
    <t>FLUJO DE CAJA</t>
  </si>
  <si>
    <t>Cuentas por cobrar (a)</t>
  </si>
  <si>
    <t>Inventarios (a)</t>
  </si>
  <si>
    <t>Otros Activos Corrientes (a)</t>
  </si>
  <si>
    <t>Salarios y Cargas Sociales (p)</t>
  </si>
  <si>
    <t>Impuestos por Pagar (p)</t>
  </si>
  <si>
    <t>Cuentas por Pagar a Proveedores (p)</t>
  </si>
  <si>
    <t>Otros Pasivos (p)</t>
  </si>
  <si>
    <t>FC Operativo</t>
  </si>
  <si>
    <t>CAPEX (a)</t>
  </si>
  <si>
    <t>Otras Inversiones (a)</t>
  </si>
  <si>
    <t>FC Libre</t>
  </si>
  <si>
    <t>Pagos de Deuda Bancaria</t>
  </si>
  <si>
    <t>Pagos de Deuda BBVA</t>
  </si>
  <si>
    <t>Pagos de Deuda Citi</t>
  </si>
  <si>
    <t>Pagos de Deuda Popular</t>
  </si>
  <si>
    <t>Pagos de Deuda Occidente</t>
  </si>
  <si>
    <t>Pagos de Deuda MCL</t>
  </si>
  <si>
    <t>Deuda nueva (p)</t>
  </si>
  <si>
    <t>Intereses (g)</t>
  </si>
  <si>
    <t>FX (i&amp;g)</t>
  </si>
  <si>
    <t>Otros No Operacionales (i&amp;g)</t>
  </si>
  <si>
    <t>Capitalizaciones</t>
  </si>
  <si>
    <t>FC Neto</t>
  </si>
  <si>
    <t>Caja al final</t>
  </si>
  <si>
    <t>Deuda al final</t>
  </si>
  <si>
    <t>VENTAS</t>
  </si>
  <si>
    <t>REAL</t>
  </si>
  <si>
    <t>FORECAST</t>
  </si>
  <si>
    <t xml:space="preserve"> LTM (R) </t>
  </si>
  <si>
    <t xml:space="preserve"> LTM (F) </t>
  </si>
  <si>
    <t>Crec. %</t>
  </si>
  <si>
    <t>Mg. E</t>
  </si>
  <si>
    <t>UT NETA</t>
  </si>
  <si>
    <t>Mg. N</t>
  </si>
  <si>
    <t>DICIEMBRE 2019</t>
  </si>
  <si>
    <t>2017 R</t>
  </si>
  <si>
    <t>2019 R/P</t>
  </si>
  <si>
    <t xml:space="preserve"> 2018 (R) </t>
  </si>
  <si>
    <t xml:space="preserve"> 2018 (P) </t>
  </si>
  <si>
    <t>Var. 18-17</t>
  </si>
  <si>
    <t>MB 2017</t>
  </si>
  <si>
    <t>MB 2019 Ppto</t>
  </si>
  <si>
    <t>ME 2017</t>
  </si>
  <si>
    <t>ME 2019 Ppto</t>
  </si>
  <si>
    <t>MN 2017</t>
  </si>
  <si>
    <t>MN 2019 Ppto</t>
  </si>
  <si>
    <t>n.m.</t>
  </si>
  <si>
    <t xml:space="preserve">- Días de operación: Diciembre +15% a/a y 114% del presupuesto. Acumulado +50% a/a y 124% del presupuesto.
- Ingresos: Diciembre +21% a/a y 121% del presupuesto. Acumulado +50% y 135% del presupuesto
- Costos: Diciembre +22% a/a y 122% del presupuesto (incremento en costos de personal y transporte por mayores dìas de operaciòn debido al incremento en la operación).
- Gastos: Diciembre +18% a/a y 163% del presupuesto. Acumulado +6% y 110% del presupuesto.
- EBITDA: Diciembre +22% a/a y 91% del presupuesto (debido a la provisión del impuesto predial en Diciembre). Acumulado +112% a/a y 215% del presupuesto.
- Cartera: la compañía realizo operaciones de factoring en octubre por 1.809 mn.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</si>
</sst>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7" formatCode="&quot;$&quot;\ #,##0.00;\-&quot;$&quot;\ #,##0.00"/>
    <numFmt numFmtId="41" formatCode="_-* #,##0_-;\-* #,##0_-;_-* &quot;-&quot;_-;_-@_-"/>
    <numFmt numFmtId="44" formatCode="_-&quot;$&quot;\ * #,##0.00_-;\-&quot;$&quot;\ * #,##0.00_-;_-&quot;$&quot;\ * &quot;-&quot;??_-;_-@_-"/>
    <numFmt numFmtId="43" formatCode="_-* #,##0.00_-;\-* #,##0.00_-;_-* &quot;-&quot;??_-;_-@_-"/>
    <numFmt numFmtId="164" formatCode="_(* #,##0.00_);_(* \(#,##0.00\);_(* &quot;-&quot;??_);_(@_)"/>
    <numFmt numFmtId="165" formatCode="&quot;$&quot;#,##0;[Red]\-&quot;$&quot;#,##0"/>
    <numFmt numFmtId="166" formatCode="&quot;$&quot;#,##0.00;\-&quot;$&quot;#,##0.00"/>
    <numFmt numFmtId="167" formatCode="&quot;$&quot;#,##0.00;[Red]\-&quot;$&quot;#,##0.00"/>
    <numFmt numFmtId="168" formatCode="_-&quot;$&quot;* #,##0.00_-;\-&quot;$&quot;* #,##0.00_-;_-&quot;$&quot;* &quot;-&quot;??_-;_-@_-"/>
    <numFmt numFmtId="169" formatCode="_(&quot;$&quot;\ * #,##0.00_);_(&quot;$&quot;\ * \(#,##0.00\);_(&quot;$&quot;\ *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0;\(#,##0\)"/>
    <numFmt numFmtId="175" formatCode="#,##0.0_);\(#,##0.0\);#,##0.0_);@_)"/>
    <numFmt numFmtId="176" formatCode="#,##0.0_);\(#,##0.0\)"/>
    <numFmt numFmtId="177" formatCode="&quot;£&quot;_(#,##0.00_);&quot;£&quot;\(#,##0.00\);&quot;£&quot;_(0.00_);@_)"/>
    <numFmt numFmtId="178" formatCode="_(* #,##0.000_);_(* \(#,##0.000\);_(* &quot;-&quot;??_);_(@_)"/>
    <numFmt numFmtId="179" formatCode="#,##0.00\x;\(#,##0.00\)\x"/>
    <numFmt numFmtId="180" formatCode="_-* #,##0.00\ &quot;F&quot;_-;\-* #,##0.00\ &quot;F&quot;_-;_-* &quot;-&quot;??\ &quot;F&quot;_-;_-@_-"/>
    <numFmt numFmtId="181" formatCode="#,##0.00_);\(#,##0.00\);0.00_);@_)"/>
    <numFmt numFmtId="182" formatCode="#,##0.00_ ;[Red]\-#,##0.00;\-"/>
    <numFmt numFmtId="183" formatCode="_(\£* #,##0.00_);_(\£* \(#,##0.00\);_(\£* &quot;-&quot;_);_(@_)"/>
    <numFmt numFmtId="184" formatCode="_(\£* #,##0_);_(\£* \(#,##0\);_(\£* &quot;-&quot;_);_(@_)"/>
    <numFmt numFmtId="185" formatCode="_(* #,##0.00\p_);_(* \(#,##0.00\p\);_(* &quot;-&quot;\ \p_);_(@_)"/>
    <numFmt numFmtId="186" formatCode="#,##0;[Red]\(#,##0\);\ \-"/>
    <numFmt numFmtId="187" formatCode="\€_(#,##0.00_);\€\(#,##0.00\);\€_(0.00_);@_)"/>
    <numFmt numFmtId="188" formatCode="_(&quot;€&quot;* #,##0.00_);_(&quot;€&quot;* \(#,##0.00\);_(&quot;€&quot;* &quot;-&quot;??_);_(@_)"/>
    <numFmt numFmtId="189" formatCode="#,##0_)\x;\(#,##0\)\x;0_)\x;@_)_x"/>
    <numFmt numFmtId="190" formatCode="#,##0.0_)\x;\(#,##0.0\)\x"/>
    <numFmt numFmtId="191" formatCode="_-* #,##0.00\ _D_M_-;\-* #,##0.00\ _D_M_-;_-* &quot;-&quot;??\ _D_M_-;_-@_-"/>
    <numFmt numFmtId="192" formatCode="_(* #,##0.0_);_(* \(#,##0.0\);_(* &quot;-&quot;??_);_(@_)"/>
    <numFmt numFmtId="193" formatCode="#,##0_)_x;\(#,##0\)_x;0_)_x;@_)_x"/>
    <numFmt numFmtId="194" formatCode="#,##0.0_)_x;\(#,##0.0\)_x"/>
    <numFmt numFmtId="195" formatCode="0.000%"/>
    <numFmt numFmtId="196" formatCode="#,##0.0_);[Red]\(#,##0.0\)"/>
    <numFmt numFmtId="197" formatCode="0.0_)\%;\(0.0\)\%"/>
    <numFmt numFmtId="198" formatCode="_(\£* #,##0.0_);_(\£* \(#,##0.0\);_(\£* &quot;-&quot;_);_(@_)"/>
    <numFmt numFmtId="199" formatCode="0.0_)\%;\(0.0\)\%;0.0_)\%;@_)_%"/>
    <numFmt numFmtId="200" formatCode="#,##0.0_)_%;\(#,##0.0\)_%"/>
    <numFmt numFmtId="201" formatCode="#,##0.0_)_%;\(#,##0.0\)_%;0.0_)_%;@_)_%"/>
    <numFmt numFmtId="202" formatCode="General_)"/>
    <numFmt numFmtId="203" formatCode="_(&quot;€&quot;* #,##0_);_(&quot;€&quot;* \(#,##0\);_(&quot;€&quot;* &quot;-&quot;_);_(@_)"/>
    <numFmt numFmtId="204" formatCode="#,##0.00000000000000000_);\(#,##0.00000000000000000\)"/>
    <numFmt numFmtId="205" formatCode="0.0000"/>
    <numFmt numFmtId="206" formatCode="_(* #,##0\p_);_(* \(#,##0\p\);_(* &quot;-&quot;\ \p_);_(@_)"/>
    <numFmt numFmtId="207" formatCode="\£#,##0.00"/>
    <numFmt numFmtId="208" formatCode="#,##0.000000000000000000_);\(#,##0.000000000000000000\)"/>
    <numFmt numFmtId="209" formatCode="0.0%;\(0.0%\)"/>
    <numFmt numFmtId="210" formatCode="0.0\x;\(0.0\x\)"/>
    <numFmt numFmtId="211" formatCode="&quot;000-&quot;0000\-000"/>
    <numFmt numFmtId="212" formatCode="0.0;;"/>
    <numFmt numFmtId="213" formatCode="0.0%"/>
    <numFmt numFmtId="214" formatCode="0.0"/>
    <numFmt numFmtId="215" formatCode="#,##0.00_x"/>
    <numFmt numFmtId="216" formatCode="#,##0.0"/>
    <numFmt numFmtId="217" formatCode="_([$€]* #,##0.00_);_([$€]* \(#,##0.00\);_([$€]* &quot;-&quot;??_);_(@_)"/>
    <numFmt numFmtId="218" formatCode="_(* #,##0\ \x_);_(* \(#,##0\ \x\);_(* &quot;-&quot;??_);_(@_)"/>
    <numFmt numFmtId="219" formatCode="&quot;600-&quot;0000\-000"/>
    <numFmt numFmtId="220" formatCode="&quot;700-&quot;0000\-000"/>
    <numFmt numFmtId="221" formatCode="0.0_);\(0.0\)"/>
    <numFmt numFmtId="222" formatCode="\£#,##0.0_);\(\£#,##0.0\)"/>
    <numFmt numFmtId="223" formatCode="&quot;€&quot;#,##0_);\(&quot;€&quot;#,##0\)"/>
    <numFmt numFmtId="224" formatCode="yyyy\A"/>
    <numFmt numFmtId="225" formatCode="0.0%;[Red]\(0.0%\)"/>
    <numFmt numFmtId="226" formatCode="_-* #,##0_-;\-* #,##0_-;_-* &quot;-&quot;??_-;_-@_-"/>
    <numFmt numFmtId="227" formatCode=";;;"/>
    <numFmt numFmtId="228" formatCode="###0_);\(###0\)"/>
    <numFmt numFmtId="229" formatCode="#,##0.00&quot;x&quot;_);\(#,##0.0\);\-"/>
    <numFmt numFmtId="230" formatCode="&quot;(&quot;0&quot;)&quot;"/>
    <numFmt numFmtId="231" formatCode="#,##0.0;\(#,##0.0\);\-"/>
    <numFmt numFmtId="232" formatCode="mmm\-d\-yyyy"/>
    <numFmt numFmtId="233" formatCode="#,##0.0;\(#,##0.0\)"/>
    <numFmt numFmtId="234" formatCode="0.0%_);\(0.0%\)"/>
    <numFmt numFmtId="235" formatCode="#,##0.0\x;\(#,##0.0\x\)"/>
    <numFmt numFmtId="236" formatCode="0.0\x_);\(0.0\x\)"/>
    <numFmt numFmtId="237" formatCode="#,##0.0%;\(#,##0.0%\)"/>
    <numFmt numFmtId="238" formatCode="#,##0.000_);\(#,##0.000\)"/>
    <numFmt numFmtId="239" formatCode="0.0_)"/>
    <numFmt numFmtId="240" formatCode="_(* #,##0.00000_);_(* \(#,##0.00000\);_(* &quot;-&quot;??_);_(@_)"/>
    <numFmt numFmtId="241" formatCode="#,##0_);\(#,##0\);\—"/>
    <numFmt numFmtId="242" formatCode="0.0%_ ;\(0.0%\)"/>
    <numFmt numFmtId="243" formatCode="#,##0;\(#,##0\);\—"/>
    <numFmt numFmtId="244" formatCode="#,##0.000_%_);\(#,##0.000\)_%;#,##0.000_%_);@_%_)"/>
    <numFmt numFmtId="245" formatCode="0.0\x"/>
    <numFmt numFmtId="246" formatCode="0.0;\(0.0\)"/>
    <numFmt numFmtId="247" formatCode="_(* #,##0_);_(* \(#,##0\);_(* &quot;-&quot;??_);_(@_)"/>
    <numFmt numFmtId="248" formatCode="#,##0.000_);[Red]\(#,##0.000\)"/>
    <numFmt numFmtId="249" formatCode="#,##0_);\(#,##0\);\-_)"/>
    <numFmt numFmtId="250" formatCode="#,##0.0%;\-#,##0.0%;&quot;- &quot;"/>
    <numFmt numFmtId="251" formatCode="#,##0.00%;\-#,##0.00%;&quot;- &quot;"/>
    <numFmt numFmtId="252" formatCode="#,##0;\-#,##0;&quot;-&quot;"/>
    <numFmt numFmtId="253" formatCode="&quot;£&quot;#,##0_);&quot;£&quot;\(#,##0\);&quot;£&quot;#,##0_);@_)"/>
    <numFmt numFmtId="254" formatCode="0&quot; bp&quot;"/>
    <numFmt numFmtId="255" formatCode="#,##0.0000000000000000000_);\(#,##0.0000000000000000000\)"/>
    <numFmt numFmtId="256" formatCode="_(* #,##0_);_(* \(#,##0\)"/>
    <numFmt numFmtId="257" formatCode="#,##0.000"/>
    <numFmt numFmtId="258" formatCode="_-* ##,##0_-;\(##,##0\);_-* &quot;-&quot;_-;_-@_-"/>
    <numFmt numFmtId="259" formatCode="_-* #,###_-;\(#,###\);_-* &quot;–&quot;_-;_-@_-"/>
    <numFmt numFmtId="260" formatCode="0%;[Red]\ \(0%\)"/>
    <numFmt numFmtId="261" formatCode="mmm"/>
    <numFmt numFmtId="262" formatCode="mmm\.\ \'yy"/>
    <numFmt numFmtId="263" formatCode="[Magenta]0.0;[Red]\-0.0;0.0"/>
    <numFmt numFmtId="264" formatCode="0_);\(0\)"/>
    <numFmt numFmtId="265" formatCode="&quot;£&quot;#,##0_);&quot;£&quot;\(#,##0\);_-* &quot;--&quot;_-;_-@_-"/>
    <numFmt numFmtId="266" formatCode="#,##0.0_);\(#,##0.0\);0.0_)"/>
    <numFmt numFmtId="267" formatCode="#,##0.000000000000000000000_);\(#,##0.000000000000000000000\)"/>
    <numFmt numFmtId="268" formatCode="#,##0.0_);\(#,##0.0\);\-_);@_)"/>
    <numFmt numFmtId="269" formatCode="0.0%_);\(0.0%\);\-_%_);@_%_)"/>
    <numFmt numFmtId="270" formatCode="###0_);\(###0\);\-_);@_)"/>
    <numFmt numFmtId="271" formatCode="_(* #,##0.000_);_(* \(#,##0.000\);_(* &quot; - &quot;_);_(@_)"/>
    <numFmt numFmtId="272" formatCode="#,##0_);\(#,##0\);&quot;-&quot;?"/>
    <numFmt numFmtId="273" formatCode="#,##0.0_);\(#,##0.0\);&quot;-&quot;?"/>
    <numFmt numFmtId="274" formatCode="#,##0.00_);\(#,##0.00\);&quot;-&quot;?"/>
    <numFmt numFmtId="275" formatCode="dd/mm/yy;@"/>
    <numFmt numFmtId="276" formatCode="#,##0_%_);\(#,##0\)_%;**;@_%_)"/>
    <numFmt numFmtId="277" formatCode="_ * #,##0.00_ ;_ * \-#,##0.00_ ;_ * &quot;-&quot;??_ ;_ @_ "/>
    <numFmt numFmtId="278" formatCode="&quot;$&quot;#,##0_%_);\(&quot;$&quot;#,##0\)_%;&quot;$&quot;#,##0_%_);@_%_)"/>
    <numFmt numFmtId="279" formatCode="#,##0_%_);\(#,##0\)_%;#,##0_%_);@_%_)"/>
    <numFmt numFmtId="280" formatCode="#,##0.00_);\(#,##0.00\);0.00_)"/>
    <numFmt numFmtId="281" formatCode="&quot;$&quot;#,##0.00_);[Red]\(&quot;$&quot;#,##0.00\);&quot;--  &quot;;_(@_)"/>
    <numFmt numFmtId="282" formatCode="&quot;$&quot;#,##0.00_);\(&quot;$&quot;#,##0.00\);&quot;$&quot;&quot;-&quot;?"/>
    <numFmt numFmtId="283" formatCode="#,##0.0;\-#,##0.0;&quot;-&quot;"/>
    <numFmt numFmtId="284" formatCode="&quot;$&quot;#,##0.0_);[Red]\(&quot;$&quot;#,##0.0\)"/>
    <numFmt numFmtId="285" formatCode="_ &quot;$&quot;\ * #,##0.00_ ;_ &quot;$&quot;\ * \-#,##0.00_ ;_ &quot;$&quot;\ * &quot;-&quot;??_ ;_ @_ "/>
    <numFmt numFmtId="286" formatCode="#,##0.0000000_);\(#,##0.0000000\)"/>
    <numFmt numFmtId="287" formatCode="0.00\x"/>
    <numFmt numFmtId="288" formatCode="#,##0.00;\-#,##0.00;&quot;-&quot;"/>
    <numFmt numFmtId="289" formatCode="#,##0%;\-#,##0%;&quot;- &quot;"/>
    <numFmt numFmtId="290" formatCode="&quot;£ &quot;#,##0.00;[Red]\(&quot;£ &quot;#,##0.00\);&quot;--  &quot;;_(@_)"/>
    <numFmt numFmtId="291" formatCode="_(* #,##0.0\ \x_);_(* \(#,##0.0\ \x\);_(* &quot;-&quot;??_);_(@_)"/>
    <numFmt numFmtId="292" formatCode="#,##0.00&quot; $&quot;;\-#,##0.00&quot; $&quot;"/>
    <numFmt numFmtId="293" formatCode="0.0\ \x\ \ \ \ ;&quot;NM      &quot;;\ 0.0\ \x\ \ \ \ "/>
    <numFmt numFmtId="294" formatCode="0%_);\(0%\);0%_)"/>
    <numFmt numFmtId="295" formatCode="#,##0.0&quot;x&quot;"/>
    <numFmt numFmtId="296" formatCode="0&quot;A&quot;"/>
    <numFmt numFmtId="297" formatCode="mmm\-yyyy"/>
    <numFmt numFmtId="298" formatCode="#0.00\x"/>
    <numFmt numFmtId="299" formatCode="#,##0.0&quot;x&quot;_);[Red]\(#,##0.0\)"/>
    <numFmt numFmtId="300" formatCode="* #,##0\ ;* \(#,##0\);* &quot; - &quot;;* @\ "/>
    <numFmt numFmtId="301" formatCode="#,##0.00\ &quot;DM&quot;;[Red]\-#,##0.00\ &quot;DM&quot;"/>
    <numFmt numFmtId="302" formatCode="\$#,##0_);\$\(#,##0\);_-* &quot;--&quot;_-;_-@_-"/>
    <numFmt numFmtId="303" formatCode="\$#,##0.0_);\$\(#,##0.0\);_-* &quot;--&quot;_-;_-@_-"/>
    <numFmt numFmtId="304" formatCode="\¥#,##0.0_);\(\¥#,##0.0\)"/>
    <numFmt numFmtId="305" formatCode="0.0%&quot;NWI/Sls&quot;"/>
    <numFmt numFmtId="306" formatCode="_-[$$-240A]\ * #,##0.00_ ;_-[$$-240A]\ * \-#,##0.00\ ;_-[$$-240A]\ * &quot;-&quot;??_ ;_-@_ "/>
    <numFmt numFmtId="307" formatCode="#,##0.00;\(#,##0.00\)"/>
    <numFmt numFmtId="308" formatCode="_([$€-2]* #,##0.00_);_([$€-2]* \(#,##0.00\);_([$€-2]* &quot;-&quot;??_)"/>
    <numFmt numFmtId="309" formatCode="_-* #,##0.00\ [$€]_-;\-* #,##0.00\ [$€]_-;_-* &quot;-&quot;??\ [$€]_-;_-@_-"/>
    <numFmt numFmtId="310" formatCode="_ [$€-2]\ * #,##0.00_ ;_ [$€-2]\ * \-#,##0.00_ ;_ [$€-2]\ * &quot;-&quot;??_ "/>
    <numFmt numFmtId="311" formatCode="\€#,##0_);\€\(#,##0\);_-* &quot;--&quot;_-;_-@_-"/>
    <numFmt numFmtId="312" formatCode="\€#,##0.0_);\€\(#,##0.0\);_-* &quot;--&quot;_-;_-@_-"/>
    <numFmt numFmtId="313" formatCode="0&quot;E&quot;"/>
    <numFmt numFmtId="314" formatCode="_(* #,##0.0_%_);_(* \(#,##0.0_%\);_(* &quot; - &quot;_%_);_(@_)"/>
    <numFmt numFmtId="315" formatCode="_(* #,##0.0%_);_(* \(#,##0.0%\);_(* &quot; - &quot;\%_);_(@_)"/>
    <numFmt numFmtId="316" formatCode="_(* #,##0_);_(* \(#,##0\);_(* &quot; - &quot;_);_(@_)"/>
    <numFmt numFmtId="317" formatCode="_(* #,##0.0_);_(* \(#,##0.0\);_(* &quot; - &quot;_);_(@_)"/>
    <numFmt numFmtId="318" formatCode="_(* #,##0.00_);_(* \(#,##0.00\);_(* &quot; - &quot;_);_(@_)"/>
    <numFmt numFmtId="319" formatCode="#,##0;\(#,##0\);&quot;-&quot;"/>
    <numFmt numFmtId="320" formatCode="mmm\-d\-yy"/>
    <numFmt numFmtId="321" formatCode="0.0%&quot;Sales&quot;"/>
    <numFmt numFmtId="322" formatCode="_-* #,##0.0_-;\-* #,##0.0_-;_-* &quot;-&quot;??_-;_-@_-"/>
    <numFmt numFmtId="323" formatCode="0_);[Red]\(0\)"/>
    <numFmt numFmtId="324" formatCode="_(&quot;$&quot;* #,##0_);_(&quot;$&quot;* \(#,##0\);_(&quot;$&quot;* &quot;-&quot;??_);_(@_)"/>
    <numFmt numFmtId="325" formatCode="#,##0.0%_);\(#,##0.0%\)"/>
    <numFmt numFmtId="326" formatCode="0.000_)"/>
    <numFmt numFmtId="327" formatCode="#,##0.0&quot;x&quot;_);\(#,##0\);\-"/>
    <numFmt numFmtId="328" formatCode="&quot;£&quot;#,##0.00;[Red]\(&quot;£&quot;#,##0.00\)"/>
    <numFmt numFmtId="329" formatCode="&quot;$&quot;#,##0.00;[Red]&quot;$&quot;\-#,##0.00"/>
    <numFmt numFmtId="330" formatCode="0.0%;[Red]\ \(0.0%\)"/>
    <numFmt numFmtId="331" formatCode="#,##0.0\x_);\(#,##0.0\x\)"/>
    <numFmt numFmtId="332" formatCode="#,##0.0_ ;[Red]\-#,##0.0\ "/>
    <numFmt numFmtId="333" formatCode="mmmddyyyy"/>
    <numFmt numFmtId="334" formatCode="0.00%;[Red]\(0.00%\)"/>
    <numFmt numFmtId="335" formatCode="_-* #,##0\ _p_t_a_-;\-* #,##0\ _p_t_a_-;_-* &quot;-&quot;\ _p_t_a_-;_-@_-"/>
    <numFmt numFmtId="336" formatCode="_ * #,##0_ ;_ * \-#,##0_ ;_ * &quot;-&quot;_ ;_ @_ "/>
    <numFmt numFmtId="337" formatCode="#,##0.00,,_);\(#,##0.00,,\)"/>
    <numFmt numFmtId="338" formatCode="&quot;$&quot;#,##0.0_);\(&quot;$&quot;#,##0.0\)"/>
    <numFmt numFmtId="339" formatCode="\€#,##0.0_);\(\€#,##0.0\)"/>
    <numFmt numFmtId="340" formatCode="#,##0%_);\(#,##0%\)"/>
    <numFmt numFmtId="341" formatCode="_ &quot;$&quot;* #,##0.00_ ;_ &quot;$&quot;* \-#,##0.00_ ;_ &quot;$&quot;* &quot;-&quot;??_ ;_ @_ "/>
    <numFmt numFmtId="342" formatCode="&quot;¥&quot;#,##0.00;[Red]&quot;¥&quot;\-#,##0.00"/>
    <numFmt numFmtId="343" formatCode="_-* #,##0.00\ _F_-;\-* #,##0.00\ _F_-;_-* &quot;-&quot;??\ _F_-;_-@_-"/>
    <numFmt numFmtId="344" formatCode="#,##0.0_);[Red]\(#,##0.0\);&quot;--  &quot;"/>
    <numFmt numFmtId="345" formatCode="0.0_%"/>
    <numFmt numFmtId="346" formatCode="#,##0.00\x;\(#,##0.00\x\)"/>
    <numFmt numFmtId="347" formatCode="#,##0.0_);[Red]\(#,##0.0\);&quot;N/A &quot;"/>
    <numFmt numFmtId="348" formatCode="[$-C0A]dd\-mmm\-yy;@"/>
    <numFmt numFmtId="349" formatCode="#,##0_);\(#,##0\);_-* &quot;--&quot;_-;_-@_-"/>
    <numFmt numFmtId="350" formatCode="0.00_)"/>
    <numFmt numFmtId="351" formatCode="&quot;€&quot;#,##0.00"/>
    <numFmt numFmtId="352" formatCode="#,##0.0_)\ \ ;[Red]\(#,##0.0\)\ \ "/>
    <numFmt numFmtId="353" formatCode="#,##0.00&quot;x&quot;_);[Red]\(#,##0.00&quot;x&quot;\)"/>
    <numFmt numFmtId="354" formatCode="#,##0.00_)&quot; &quot;;[Red]\(#,##0.00\)&quot; &quot;"/>
    <numFmt numFmtId="355" formatCode="0.0%&quot;NetPPE/sales&quot;"/>
    <numFmt numFmtId="356" formatCode="#,##0.0;[Red]\(#,##0.0\)"/>
    <numFmt numFmtId="357" formatCode="#,##0.0_);\(#,##0.0\);_-* &quot;--&quot;_-;_-@_-"/>
    <numFmt numFmtId="358" formatCode="0.000%;[Red]\(0.000%\)"/>
    <numFmt numFmtId="359" formatCode="#,##0,,;\(#,##0,,\)"/>
    <numFmt numFmtId="360" formatCode="#,##0,"/>
    <numFmt numFmtId="361" formatCode="0\A"/>
    <numFmt numFmtId="362" formatCode="#,##0_ ;\-#,##0\ "/>
    <numFmt numFmtId="363" formatCode="#,##0.0;\-#,##0.0"/>
    <numFmt numFmtId="364" formatCode="[$-409]d\-mmm\-yy;@"/>
    <numFmt numFmtId="365" formatCode="0.0%_);\(0.0%\);&quot;–&quot;_)"/>
    <numFmt numFmtId="366" formatCode="#,##0.00_);\(#,##0.00\);\–_);&quot;–&quot;_)"/>
  </numFmts>
  <fonts count="384">
    <font>
      <sz val="11"/>
      <color theme="1"/>
      <name val="Calibri"/>
      <family val="2"/>
      <scheme val="minor"/>
    </font>
    <font>
      <sz val="11"/>
      <color theme="1"/>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theme="0"/>
      <name val="Calibri"/>
      <family val="2"/>
      <scheme val="minor"/>
    </font>
    <font>
      <sz val="11"/>
      <color theme="1"/>
      <name val="Arial"/>
      <family val="2"/>
    </font>
    <font>
      <b/>
      <sz val="11"/>
      <color theme="1"/>
      <name val="Arial"/>
      <family val="2"/>
    </font>
    <font>
      <b/>
      <sz val="10"/>
      <color theme="0"/>
      <name val="Arial"/>
      <family val="2"/>
    </font>
    <font>
      <b/>
      <sz val="10"/>
      <color rgb="FF0070C0"/>
      <name val="Arial"/>
      <family val="2"/>
    </font>
    <font>
      <b/>
      <sz val="10"/>
      <name val="Arial"/>
      <family val="2"/>
    </font>
    <font>
      <b/>
      <u/>
      <sz val="9"/>
      <color theme="1"/>
      <name val="Arial"/>
      <family val="2"/>
    </font>
    <font>
      <sz val="8"/>
      <color theme="0"/>
      <name val="Arial"/>
      <family val="2"/>
    </font>
    <font>
      <sz val="8"/>
      <color indexed="12"/>
      <name val="Arial"/>
      <family val="2"/>
    </font>
    <font>
      <sz val="10"/>
      <name val="Arial"/>
      <family val="2"/>
    </font>
    <font>
      <sz val="12"/>
      <name val="Times New Roman"/>
      <family val="1"/>
    </font>
    <font>
      <sz val="10"/>
      <name val="Arial Cyr"/>
      <family val="2"/>
    </font>
    <font>
      <sz val="10"/>
      <color indexed="8"/>
      <name val="Arial"/>
      <family val="2"/>
    </font>
    <font>
      <sz val="10"/>
      <name val="Courier"/>
      <family val="3"/>
    </font>
    <font>
      <sz val="10"/>
      <name val="Times New Roman"/>
      <family val="1"/>
    </font>
    <font>
      <sz val="10"/>
      <color indexed="8"/>
      <name val="MS Sans Serif"/>
      <family val="2"/>
    </font>
    <font>
      <sz val="12"/>
      <name val="Palatino"/>
      <family val="1"/>
    </font>
    <font>
      <sz val="10"/>
      <name val="Helv"/>
    </font>
    <font>
      <sz val="8"/>
      <name val="Arial"/>
      <family val="2"/>
    </font>
    <font>
      <sz val="10"/>
      <color indexed="9"/>
      <name val="Arial"/>
      <family val="2"/>
    </font>
    <font>
      <i/>
      <sz val="10"/>
      <name val="Arial"/>
      <family val="2"/>
    </font>
    <font>
      <i/>
      <sz val="10"/>
      <color indexed="13"/>
      <name val="Arial"/>
      <family val="2"/>
    </font>
    <font>
      <b/>
      <i/>
      <sz val="10"/>
      <name val="Arial"/>
      <family val="2"/>
    </font>
    <font>
      <sz val="10"/>
      <color indexed="13"/>
      <name val="Arial"/>
      <family val="2"/>
    </font>
    <font>
      <b/>
      <i/>
      <sz val="9"/>
      <name val="Arial"/>
      <family val="2"/>
    </font>
    <font>
      <b/>
      <sz val="9"/>
      <name val="Arial"/>
      <family val="2"/>
    </font>
    <font>
      <sz val="9"/>
      <name val="Arial"/>
      <family val="2"/>
    </font>
    <font>
      <sz val="11"/>
      <name val="Arial"/>
      <family val="2"/>
    </font>
    <font>
      <sz val="10"/>
      <name val="Garamond"/>
      <family val="1"/>
    </font>
    <font>
      <b/>
      <sz val="22"/>
      <color indexed="18"/>
      <name val="Arial"/>
      <family val="2"/>
    </font>
    <font>
      <sz val="10"/>
      <name val="MS Sans Serif"/>
      <family val="2"/>
    </font>
    <font>
      <sz val="8"/>
      <name val="Trebuchet MS"/>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8"/>
      <name val="Times New Roman"/>
      <family val="1"/>
    </font>
    <font>
      <sz val="8"/>
      <color indexed="14"/>
      <name val="Times New Roman"/>
      <family val="1"/>
    </font>
    <font>
      <sz val="12"/>
      <name val="·s²Ó©úÅé"/>
    </font>
    <font>
      <sz val="8"/>
      <name val="Times New Roman"/>
      <family val="1"/>
    </font>
    <font>
      <sz val="8"/>
      <name val="Helv"/>
    </font>
    <font>
      <sz val="10"/>
      <color indexed="17"/>
      <name val="Arial"/>
      <family val="2"/>
    </font>
    <font>
      <sz val="7"/>
      <name val="Arial"/>
      <family val="2"/>
    </font>
    <font>
      <b/>
      <sz val="8"/>
      <name val="Arial"/>
      <family val="2"/>
    </font>
    <font>
      <sz val="10"/>
      <name val="Helvetica"/>
      <family val="2"/>
    </font>
    <font>
      <sz val="10"/>
      <color indexed="11"/>
      <name val="Arial"/>
      <family val="2"/>
    </font>
    <font>
      <sz val="11"/>
      <color indexed="8"/>
      <name val="Calibri"/>
      <family val="2"/>
    </font>
    <font>
      <sz val="11"/>
      <color indexed="8"/>
      <name val="宋体"/>
      <charset val="134"/>
    </font>
    <font>
      <sz val="10"/>
      <color indexed="53"/>
      <name val="Arial"/>
      <family val="2"/>
    </font>
    <font>
      <sz val="11"/>
      <color indexed="9"/>
      <name val="Calibri"/>
      <family val="2"/>
    </font>
    <font>
      <sz val="11"/>
      <color indexed="9"/>
      <name val="宋体"/>
      <charset val="134"/>
    </font>
    <font>
      <sz val="10"/>
      <color indexed="16"/>
      <name val="Arial"/>
      <family val="2"/>
    </font>
    <font>
      <sz val="10"/>
      <color indexed="12"/>
      <name val="Arial"/>
      <family val="2"/>
    </font>
    <font>
      <sz val="10"/>
      <color indexed="10"/>
      <name val="Arial"/>
      <family val="2"/>
    </font>
    <font>
      <b/>
      <sz val="9"/>
      <color indexed="9"/>
      <name val="Trebuchet MS"/>
      <family val="2"/>
    </font>
    <font>
      <sz val="12"/>
      <name val="Helv"/>
    </font>
    <font>
      <sz val="10"/>
      <color indexed="12"/>
      <name val="Times New Roman"/>
      <family val="1"/>
    </font>
    <font>
      <sz val="9"/>
      <color indexed="8"/>
      <name val="Times New Roman"/>
      <family val="1"/>
    </font>
    <font>
      <sz val="8"/>
      <name val="Times"/>
      <family val="1"/>
    </font>
    <font>
      <b/>
      <sz val="12"/>
      <name val="Times New Roman"/>
      <family val="1"/>
    </font>
    <font>
      <sz val="8"/>
      <color indexed="8"/>
      <name val="MS Sans Serif"/>
      <family val="2"/>
    </font>
    <font>
      <b/>
      <sz val="12"/>
      <name val="Tms Rmn"/>
    </font>
    <font>
      <sz val="10"/>
      <name val="Century Gothic"/>
      <family val="2"/>
    </font>
    <font>
      <sz val="12"/>
      <name val="Arial"/>
      <family val="2"/>
    </font>
    <font>
      <b/>
      <sz val="6"/>
      <name val="Arial"/>
      <family val="2"/>
    </font>
    <font>
      <i/>
      <sz val="8"/>
      <name val="Arial"/>
      <family val="2"/>
    </font>
    <font>
      <sz val="10"/>
      <color indexed="12"/>
      <name val="Helvetica"/>
      <family val="2"/>
    </font>
    <font>
      <sz val="10"/>
      <color indexed="12"/>
      <name val="Trebuchet MS"/>
      <family val="2"/>
    </font>
    <font>
      <sz val="9"/>
      <color indexed="12"/>
      <name val="Arial"/>
      <family val="2"/>
    </font>
    <font>
      <b/>
      <sz val="8"/>
      <color indexed="12"/>
      <name val="Arial"/>
      <family val="2"/>
    </font>
    <font>
      <sz val="10"/>
      <name val="Book Antiqua"/>
      <family val="1"/>
    </font>
    <font>
      <sz val="12"/>
      <color indexed="12"/>
      <name val="Times New Roman"/>
      <family val="1"/>
    </font>
    <font>
      <sz val="10"/>
      <name val="Trebuchet MS"/>
      <family val="2"/>
    </font>
    <font>
      <sz val="8"/>
      <color indexed="12"/>
      <name val="Trebuchet MS"/>
      <family val="2"/>
    </font>
    <font>
      <sz val="11"/>
      <color indexed="20"/>
      <name val="Calibri"/>
      <family val="2"/>
    </font>
    <font>
      <b/>
      <u/>
      <sz val="14"/>
      <name val="Palatino"/>
      <family val="1"/>
    </font>
    <font>
      <sz val="8"/>
      <color indexed="13"/>
      <name val="Arial"/>
      <family val="2"/>
    </font>
    <font>
      <b/>
      <sz val="10"/>
      <color indexed="9"/>
      <name val="Arial"/>
      <family val="2"/>
    </font>
    <font>
      <b/>
      <sz val="10"/>
      <color indexed="9"/>
      <name val="Trebuchet MS"/>
      <family val="2"/>
    </font>
    <font>
      <u/>
      <sz val="10"/>
      <color indexed="36"/>
      <name val="Arial"/>
      <family val="2"/>
    </font>
    <font>
      <b/>
      <i/>
      <sz val="11"/>
      <color indexed="9"/>
      <name val="Times New Roman"/>
      <family val="1"/>
    </font>
    <font>
      <sz val="10"/>
      <color indexed="8"/>
      <name val="Times New Roman"/>
      <family val="1"/>
    </font>
    <font>
      <b/>
      <sz val="9"/>
      <color indexed="9"/>
      <name val="Arial"/>
      <family val="2"/>
    </font>
    <font>
      <b/>
      <sz val="10"/>
      <color indexed="56"/>
      <name val="Arial"/>
      <family val="2"/>
    </font>
    <font>
      <sz val="10"/>
      <name val="Times New Roman CE"/>
      <family val="1"/>
    </font>
    <font>
      <sz val="8"/>
      <color indexed="9"/>
      <name val="Arial"/>
      <family val="2"/>
    </font>
    <font>
      <sz val="12"/>
      <name val="Times New Roman Cyr"/>
      <family val="1"/>
    </font>
    <font>
      <b/>
      <i/>
      <sz val="12"/>
      <name val="Times New Roman"/>
      <family val="1"/>
    </font>
    <font>
      <b/>
      <sz val="10"/>
      <color indexed="9"/>
      <name val="Times New Roman"/>
      <family val="1"/>
    </font>
    <font>
      <b/>
      <i/>
      <sz val="9"/>
      <name val="Palatino"/>
      <family val="1"/>
    </font>
    <font>
      <i/>
      <sz val="8"/>
      <color indexed="12"/>
      <name val="Arial"/>
      <family val="2"/>
    </font>
    <font>
      <b/>
      <sz val="10"/>
      <color indexed="60"/>
      <name val="Arial"/>
      <family val="2"/>
    </font>
    <font>
      <sz val="11"/>
      <color indexed="17"/>
      <name val="Calibri"/>
      <family val="2"/>
    </font>
    <font>
      <b/>
      <sz val="10"/>
      <color indexed="8"/>
      <name val="Times New Roman"/>
      <family val="1"/>
    </font>
    <font>
      <sz val="24"/>
      <name val="Times New Roman"/>
      <family val="1"/>
    </font>
    <font>
      <sz val="8"/>
      <color indexed="50"/>
      <name val="Arial"/>
      <family val="2"/>
    </font>
    <font>
      <b/>
      <sz val="8"/>
      <color indexed="17"/>
      <name val="Arial"/>
      <family val="2"/>
    </font>
    <font>
      <sz val="10"/>
      <color indexed="24"/>
      <name val="Modern"/>
      <family val="3"/>
      <charset val="255"/>
    </font>
    <font>
      <sz val="14"/>
      <color indexed="24"/>
      <name val="Roman"/>
      <family val="1"/>
      <charset val="255"/>
    </font>
    <font>
      <sz val="10"/>
      <color indexed="10"/>
      <name val="Verdana"/>
      <family val="2"/>
    </font>
    <font>
      <sz val="12"/>
      <color indexed="12"/>
      <name val="Book Antiqua"/>
      <family val="1"/>
    </font>
    <font>
      <b/>
      <sz val="11"/>
      <color indexed="52"/>
      <name val="Calibri"/>
      <family val="2"/>
    </font>
    <font>
      <b/>
      <sz val="10"/>
      <name val="Helv"/>
    </font>
    <font>
      <sz val="10"/>
      <color indexed="17"/>
      <name val="Times New Roman"/>
      <family val="1"/>
    </font>
    <font>
      <b/>
      <sz val="11"/>
      <color indexed="9"/>
      <name val="Calibri"/>
      <family val="2"/>
    </font>
    <font>
      <sz val="11"/>
      <color indexed="52"/>
      <name val="Calibri"/>
      <family val="2"/>
    </font>
    <font>
      <sz val="6"/>
      <color indexed="10"/>
      <name val="Trebuchet MS"/>
      <family val="2"/>
    </font>
    <font>
      <b/>
      <sz val="8"/>
      <color indexed="8"/>
      <name val="Verdana"/>
      <family val="2"/>
    </font>
    <font>
      <sz val="8"/>
      <color indexed="39"/>
      <name val="Arial"/>
      <family val="2"/>
    </font>
    <font>
      <b/>
      <sz val="10"/>
      <name val="MS Sans Serif"/>
      <family val="2"/>
    </font>
    <font>
      <b/>
      <i/>
      <sz val="8"/>
      <name val="Arial"/>
      <family val="2"/>
    </font>
    <font>
      <b/>
      <sz val="8"/>
      <name val="Book Antiqua"/>
      <family val="1"/>
    </font>
    <font>
      <b/>
      <sz val="7"/>
      <name val="Helvetica-Narrow"/>
      <family val="2"/>
    </font>
    <font>
      <b/>
      <sz val="7"/>
      <name val="GillSans"/>
      <family val="2"/>
    </font>
    <font>
      <b/>
      <sz val="10"/>
      <name val="Times New Roman"/>
      <family val="1"/>
    </font>
    <font>
      <b/>
      <sz val="12"/>
      <name val="Arial"/>
      <family val="2"/>
    </font>
    <font>
      <b/>
      <u val="singleAccounting"/>
      <sz val="8"/>
      <name val="Arial"/>
      <family val="2"/>
    </font>
    <font>
      <b/>
      <sz val="9"/>
      <name val="Palatino"/>
      <family val="1"/>
    </font>
    <font>
      <b/>
      <u val="singleAccounting"/>
      <sz val="8"/>
      <color indexed="8"/>
      <name val="Arial"/>
      <family val="2"/>
    </font>
    <font>
      <sz val="9"/>
      <name val="Trebuchet MS"/>
      <family val="2"/>
    </font>
    <font>
      <sz val="10"/>
      <color indexed="39"/>
      <name val="Century Schoolbook"/>
      <family val="1"/>
    </font>
    <font>
      <sz val="10"/>
      <name val="Arial"/>
      <family val="2"/>
      <charset val="204"/>
    </font>
    <font>
      <sz val="8"/>
      <color indexed="12"/>
      <name val="Times New Roman"/>
      <family val="1"/>
    </font>
    <font>
      <sz val="8"/>
      <name val="Palatino"/>
      <family val="1"/>
    </font>
    <font>
      <b/>
      <sz val="14.05"/>
      <color indexed="8"/>
      <name val="Times New Roman"/>
      <family val="1"/>
    </font>
    <font>
      <sz val="10"/>
      <color theme="1"/>
      <name val="Arial"/>
      <family val="2"/>
    </font>
    <font>
      <sz val="10"/>
      <name val="Geneva"/>
      <family val="2"/>
    </font>
    <font>
      <sz val="10"/>
      <color indexed="22"/>
      <name val="Arial"/>
      <family val="2"/>
    </font>
    <font>
      <sz val="8"/>
      <name val="trebuchet"/>
    </font>
    <font>
      <sz val="16"/>
      <color indexed="9"/>
      <name val="Times New Roman"/>
      <family val="1"/>
    </font>
    <font>
      <sz val="24"/>
      <name val="MS Sans Serif"/>
      <family val="2"/>
    </font>
    <font>
      <sz val="10"/>
      <name val="MS Serif"/>
      <family val="1"/>
    </font>
    <font>
      <b/>
      <sz val="18"/>
      <name val="Palatino"/>
      <family val="1"/>
    </font>
    <font>
      <sz val="10"/>
      <name val="Arial Narrow"/>
      <family val="2"/>
    </font>
    <font>
      <b/>
      <sz val="8"/>
      <name val="Helv"/>
    </font>
    <font>
      <sz val="11"/>
      <color indexed="62"/>
      <name val="Calibri"/>
      <family val="2"/>
    </font>
    <font>
      <b/>
      <sz val="11"/>
      <color indexed="63"/>
      <name val="Calibri"/>
      <family val="2"/>
    </font>
    <font>
      <sz val="10"/>
      <color indexed="10"/>
      <name val="Trebuchet MS"/>
      <family val="2"/>
    </font>
    <font>
      <b/>
      <sz val="12"/>
      <color indexed="9"/>
      <name val="Arial"/>
      <family val="2"/>
    </font>
    <font>
      <sz val="10"/>
      <color indexed="12"/>
      <name val="Arial MT"/>
      <family val="2"/>
    </font>
    <font>
      <b/>
      <sz val="8"/>
      <name val="Times New Roman"/>
      <family val="1"/>
    </font>
    <font>
      <sz val="8"/>
      <color theme="1"/>
      <name val="Arial"/>
      <family val="2"/>
    </font>
    <font>
      <sz val="1"/>
      <color indexed="8"/>
      <name val="Courier"/>
      <family val="3"/>
    </font>
    <font>
      <sz val="10"/>
      <color indexed="16"/>
      <name val="Times New Roman"/>
      <family val="1"/>
    </font>
    <font>
      <b/>
      <i/>
      <sz val="8"/>
      <color indexed="12"/>
      <name val="HelveticaNeue Condensed"/>
    </font>
    <font>
      <b/>
      <sz val="1"/>
      <color indexed="8"/>
      <name val="Courier"/>
      <family val="3"/>
    </font>
    <font>
      <b/>
      <sz val="11"/>
      <color indexed="62"/>
      <name val="Calibri"/>
      <family val="2"/>
    </font>
    <font>
      <b/>
      <sz val="11"/>
      <color indexed="56"/>
      <name val="Calibri"/>
      <family val="2"/>
    </font>
    <font>
      <sz val="11"/>
      <name val="Book Antiqua"/>
      <family val="1"/>
    </font>
    <font>
      <b/>
      <sz val="7"/>
      <color indexed="18"/>
      <name val="Arial"/>
      <family val="2"/>
    </font>
    <font>
      <b/>
      <u/>
      <sz val="12"/>
      <name val="Arial Narrow"/>
      <family val="2"/>
    </font>
    <font>
      <b/>
      <sz val="10"/>
      <color indexed="8"/>
      <name val="Courier"/>
      <family val="3"/>
    </font>
    <font>
      <sz val="12"/>
      <name val="SWISS"/>
    </font>
    <font>
      <i/>
      <sz val="8"/>
      <name val="Times New Roman"/>
      <family val="1"/>
    </font>
    <font>
      <sz val="9"/>
      <name val="Times New Roman"/>
      <family val="1"/>
    </font>
    <font>
      <b/>
      <sz val="10"/>
      <color indexed="12"/>
      <name val="Arial"/>
      <family val="2"/>
    </font>
    <font>
      <b/>
      <u val="singleAccounting"/>
      <sz val="9"/>
      <name val="Times New Roman"/>
      <family val="1"/>
    </font>
    <font>
      <b/>
      <sz val="11"/>
      <name val="Times New Roman"/>
      <family val="1"/>
    </font>
    <font>
      <b/>
      <i/>
      <sz val="9.5"/>
      <name val="Times New Roman"/>
      <family val="1"/>
    </font>
    <font>
      <b/>
      <sz val="16"/>
      <name val="Arial"/>
      <family val="2"/>
    </font>
    <font>
      <b/>
      <sz val="7"/>
      <color indexed="12"/>
      <name val="Arial"/>
      <family val="2"/>
    </font>
    <font>
      <u/>
      <sz val="10"/>
      <color indexed="20"/>
      <name val="Arial"/>
      <family val="2"/>
    </font>
    <font>
      <sz val="7"/>
      <name val="Palatino"/>
      <family val="1"/>
    </font>
    <font>
      <sz val="10"/>
      <color indexed="57"/>
      <name val="Arial"/>
      <family val="2"/>
    </font>
    <font>
      <sz val="10"/>
      <color indexed="17"/>
      <name val="Helvetica"/>
      <family val="2"/>
    </font>
    <font>
      <b/>
      <sz val="8"/>
      <color indexed="9"/>
      <name val="Arial"/>
      <family val="2"/>
    </font>
    <font>
      <b/>
      <sz val="7"/>
      <color indexed="17"/>
      <name val="Arial"/>
      <family val="2"/>
    </font>
    <font>
      <b/>
      <sz val="22"/>
      <name val="Arial"/>
      <family val="2"/>
    </font>
    <font>
      <b/>
      <sz val="18"/>
      <name val="Arial"/>
      <family val="2"/>
    </font>
    <font>
      <b/>
      <sz val="14"/>
      <name val="Arial"/>
      <family val="2"/>
    </font>
    <font>
      <sz val="10"/>
      <color indexed="48"/>
      <name val="Arial"/>
      <family val="2"/>
    </font>
    <font>
      <b/>
      <sz val="10"/>
      <color indexed="9"/>
      <name val="GillSans"/>
      <family val="2"/>
    </font>
    <font>
      <b/>
      <u/>
      <sz val="11"/>
      <color indexed="37"/>
      <name val="Arial"/>
      <family val="2"/>
    </font>
    <font>
      <b/>
      <sz val="8"/>
      <name val="Palatino"/>
      <family val="1"/>
    </font>
    <font>
      <b/>
      <sz val="10"/>
      <color indexed="18"/>
      <name val="Times New Roman"/>
      <family val="1"/>
    </font>
    <font>
      <sz val="8"/>
      <name val="HelveticaCondensed"/>
    </font>
    <font>
      <b/>
      <sz val="1"/>
      <color indexed="48"/>
      <name val="Book Antiqua"/>
      <family val="1"/>
    </font>
    <font>
      <sz val="10"/>
      <color indexed="10"/>
      <name val="Times New Roman"/>
      <family val="1"/>
    </font>
    <font>
      <u/>
      <sz val="8"/>
      <color rgb="FF0000FF"/>
      <name val="Calibri"/>
      <family val="2"/>
      <scheme val="minor"/>
    </font>
    <font>
      <u/>
      <sz val="9.35"/>
      <color indexed="12"/>
      <name val="Calibri"/>
      <family val="2"/>
    </font>
    <font>
      <u/>
      <sz val="10"/>
      <color indexed="12"/>
      <name val="Arial"/>
      <family val="2"/>
    </font>
    <font>
      <u/>
      <sz val="7"/>
      <color indexed="12"/>
      <name val="Arial"/>
      <family val="2"/>
    </font>
    <font>
      <u/>
      <sz val="6"/>
      <color indexed="12"/>
      <name val="Arial"/>
      <family val="2"/>
    </font>
    <font>
      <u/>
      <sz val="9"/>
      <color indexed="12"/>
      <name val="Arial"/>
      <family val="2"/>
    </font>
    <font>
      <sz val="10"/>
      <color indexed="37"/>
      <name val="Arial"/>
      <family val="2"/>
    </font>
    <font>
      <sz val="9"/>
      <color indexed="39"/>
      <name val="Arial"/>
      <family val="2"/>
    </font>
    <font>
      <sz val="10"/>
      <name val="N Helvetica Narrow"/>
    </font>
    <font>
      <b/>
      <u/>
      <sz val="10"/>
      <color indexed="10"/>
      <name val="Times New Roman"/>
      <family val="1"/>
    </font>
    <font>
      <sz val="1"/>
      <color indexed="9"/>
      <name val="Symbol"/>
      <family val="1"/>
      <charset val="2"/>
    </font>
    <font>
      <sz val="8"/>
      <color indexed="8"/>
      <name val="Arial"/>
      <family val="2"/>
    </font>
    <font>
      <sz val="8"/>
      <color indexed="10"/>
      <name val="Helv"/>
    </font>
    <font>
      <sz val="10"/>
      <name val="GillSans Light"/>
      <family val="2"/>
    </font>
    <font>
      <sz val="18"/>
      <name val="Times New Roman"/>
      <family val="1"/>
    </font>
    <font>
      <b/>
      <sz val="13"/>
      <name val="Times New Roman"/>
      <family val="1"/>
    </font>
    <font>
      <i/>
      <sz val="12"/>
      <name val="Times New Roman"/>
      <family val="1"/>
    </font>
    <font>
      <sz val="11"/>
      <name val="Times New Roman"/>
      <family val="1"/>
    </font>
    <font>
      <u/>
      <sz val="7.5"/>
      <color indexed="12"/>
      <name val="Arial"/>
      <family val="2"/>
    </font>
    <font>
      <sz val="8"/>
      <color indexed="60"/>
      <name val="Trebuchet MS"/>
      <family val="2"/>
    </font>
    <font>
      <sz val="10"/>
      <color indexed="14"/>
      <name val="Arial"/>
      <family val="2"/>
    </font>
    <font>
      <sz val="10"/>
      <color indexed="16"/>
      <name val="MS Sans Serif"/>
      <family val="2"/>
    </font>
    <font>
      <b/>
      <sz val="12"/>
      <color indexed="17"/>
      <name val="Wingdings"/>
      <charset val="2"/>
    </font>
    <font>
      <sz val="28"/>
      <name val="Times New Roman"/>
      <family val="1"/>
    </font>
    <font>
      <sz val="22"/>
      <name val="Times New Roman"/>
      <family val="1"/>
    </font>
    <font>
      <b/>
      <sz val="18"/>
      <name val="Times New Roman"/>
      <family val="1"/>
    </font>
    <font>
      <b/>
      <sz val="8"/>
      <color indexed="14"/>
      <name val="MS Sans Serif"/>
      <family val="2"/>
    </font>
    <font>
      <sz val="8"/>
      <color indexed="18"/>
      <name val="Times New Roman"/>
      <family val="1"/>
    </font>
    <font>
      <b/>
      <sz val="8"/>
      <name val="MS Sans Serif"/>
      <family val="2"/>
    </font>
    <font>
      <sz val="12"/>
      <name val="MicroBoston"/>
    </font>
    <font>
      <sz val="20"/>
      <color theme="1"/>
      <name val="Calibri"/>
      <family val="2"/>
      <scheme val="minor"/>
    </font>
    <font>
      <sz val="10"/>
      <color indexed="8"/>
      <name val="Sans serif 20cpi"/>
    </font>
    <font>
      <b/>
      <sz val="14"/>
      <color indexed="24"/>
      <name val="Book Antiqua"/>
      <family val="1"/>
    </font>
    <font>
      <sz val="12"/>
      <name val="GillSans"/>
      <family val="2"/>
    </font>
    <font>
      <i/>
      <sz val="10"/>
      <color indexed="16"/>
      <name val="Times New Roman"/>
      <family val="1"/>
    </font>
    <font>
      <sz val="11"/>
      <color indexed="60"/>
      <name val="Calibri"/>
      <family val="2"/>
    </font>
    <font>
      <sz val="10"/>
      <color rgb="FF9C6500"/>
      <name val="Arial"/>
      <family val="2"/>
    </font>
    <font>
      <b/>
      <sz val="12"/>
      <color indexed="10"/>
      <name val="Book Antiqua"/>
      <family val="1"/>
    </font>
    <font>
      <b/>
      <u val="singleAccounting"/>
      <sz val="8"/>
      <color indexed="8"/>
      <name val="Verdana"/>
      <family val="2"/>
    </font>
    <font>
      <b/>
      <sz val="12"/>
      <color indexed="8"/>
      <name val="Verdana"/>
      <family val="2"/>
    </font>
    <font>
      <sz val="7"/>
      <name val="Small Fonts"/>
      <family val="2"/>
    </font>
    <font>
      <b/>
      <i/>
      <sz val="16"/>
      <name val="Helv"/>
    </font>
    <font>
      <b/>
      <u/>
      <sz val="12"/>
      <name val="L Serifa Light"/>
    </font>
    <font>
      <sz val="12"/>
      <color theme="1"/>
      <name val="Calibri"/>
      <family val="2"/>
      <scheme val="minor"/>
    </font>
    <font>
      <sz val="10"/>
      <color theme="1"/>
      <name val="Calibri"/>
      <family val="2"/>
      <scheme val="minor"/>
    </font>
    <font>
      <sz val="8.5"/>
      <name val="MS Sans Serif"/>
      <family val="2"/>
    </font>
    <font>
      <i/>
      <sz val="9"/>
      <name val="Arial"/>
      <family val="2"/>
    </font>
    <font>
      <b/>
      <sz val="10"/>
      <name val="Trebuchet MS"/>
      <family val="2"/>
    </font>
    <font>
      <sz val="7"/>
      <color indexed="12"/>
      <name val="Arial"/>
      <family val="2"/>
    </font>
    <font>
      <i/>
      <sz val="10"/>
      <name val="Helv"/>
    </font>
    <font>
      <sz val="8"/>
      <name val="Book Antiqua"/>
      <family val="1"/>
    </font>
    <font>
      <b/>
      <sz val="12"/>
      <color indexed="12"/>
      <name val="Book Antiqua"/>
      <family val="1"/>
    </font>
    <font>
      <i/>
      <sz val="12"/>
      <color indexed="12"/>
      <name val="Tms Rmn"/>
    </font>
    <font>
      <b/>
      <sz val="14"/>
      <name val="Times New Roman"/>
      <family val="1"/>
    </font>
    <font>
      <b/>
      <sz val="26"/>
      <name val="Times New Roman"/>
      <family val="1"/>
    </font>
    <font>
      <sz val="10"/>
      <color indexed="16"/>
      <name val="Helvetica-Black"/>
    </font>
    <font>
      <i/>
      <sz val="14"/>
      <name val="Times New Roman"/>
      <family val="1"/>
    </font>
    <font>
      <b/>
      <sz val="22"/>
      <name val="Book Antiqua"/>
      <family val="1"/>
    </font>
    <font>
      <b/>
      <sz val="9"/>
      <name val="Frutiger 45 Light"/>
      <family val="2"/>
    </font>
    <font>
      <i/>
      <sz val="10"/>
      <name val="Helvetica"/>
      <family val="2"/>
    </font>
    <font>
      <sz val="10"/>
      <color indexed="12"/>
      <name val="Geneva"/>
      <family val="2"/>
    </font>
    <font>
      <b/>
      <sz val="8"/>
      <color indexed="9"/>
      <name val="Verdana"/>
      <family val="2"/>
    </font>
    <font>
      <b/>
      <sz val="9"/>
      <color theme="0"/>
      <name val="Arial"/>
      <family val="2"/>
    </font>
    <font>
      <vertAlign val="subscript"/>
      <sz val="8"/>
      <color indexed="8"/>
      <name val="Arial"/>
      <family val="2"/>
    </font>
    <font>
      <vertAlign val="superscript"/>
      <sz val="8"/>
      <color indexed="8"/>
      <name val="Arial"/>
      <family val="2"/>
    </font>
    <font>
      <b/>
      <sz val="8"/>
      <color theme="1"/>
      <name val="Arial"/>
      <family val="2"/>
    </font>
    <font>
      <b/>
      <sz val="8"/>
      <color indexed="8"/>
      <name val="Arial"/>
      <family val="2"/>
    </font>
    <font>
      <i/>
      <sz val="8"/>
      <color indexed="8"/>
      <name val="Arial"/>
      <family val="2"/>
    </font>
    <font>
      <sz val="11"/>
      <color indexed="10"/>
      <name val="Calibri"/>
      <family val="2"/>
    </font>
    <font>
      <i/>
      <sz val="11"/>
      <color indexed="23"/>
      <name val="Calibri"/>
      <family val="2"/>
    </font>
    <font>
      <b/>
      <sz val="13"/>
      <color indexed="8"/>
      <name val="Verdana"/>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theme="1"/>
      <name val="Arial"/>
      <family val="2"/>
    </font>
    <font>
      <sz val="11"/>
      <color theme="1"/>
      <name val="Cambria"/>
      <family val="1"/>
      <scheme val="major"/>
    </font>
    <font>
      <b/>
      <sz val="14"/>
      <color theme="1"/>
      <name val="Arial"/>
      <family val="2"/>
    </font>
    <font>
      <b/>
      <sz val="8"/>
      <color theme="0"/>
      <name val="Arial"/>
      <family val="2"/>
    </font>
    <font>
      <sz val="6"/>
      <color theme="0"/>
      <name val="Arial"/>
      <family val="2"/>
    </font>
    <font>
      <sz val="6"/>
      <color theme="1"/>
      <name val="Arial"/>
      <family val="2"/>
    </font>
    <font>
      <sz val="8"/>
      <color rgb="FF0000FF"/>
      <name val="Arial"/>
      <family val="2"/>
    </font>
    <font>
      <sz val="11"/>
      <color theme="0" tint="-0.499984740745262"/>
      <name val="Calibri"/>
      <family val="2"/>
      <scheme val="minor"/>
    </font>
    <font>
      <b/>
      <sz val="6"/>
      <color theme="1"/>
      <name val="Arial"/>
      <family val="2"/>
    </font>
    <font>
      <sz val="6"/>
      <color theme="1"/>
      <name val="Arial "/>
    </font>
    <font>
      <b/>
      <i/>
      <sz val="9"/>
      <color theme="9" tint="-0.249977111117893"/>
      <name val="Arial"/>
      <family val="2"/>
    </font>
    <font>
      <i/>
      <sz val="9"/>
      <color theme="9" tint="-0.249977111117893"/>
      <name val="Arial"/>
      <family val="2"/>
    </font>
    <font>
      <b/>
      <sz val="6"/>
      <color theme="1"/>
      <name val="Arial "/>
    </font>
    <font>
      <b/>
      <u/>
      <sz val="8"/>
      <color theme="1"/>
      <name val="Arial"/>
      <family val="2"/>
    </font>
    <font>
      <sz val="9"/>
      <color indexed="81"/>
      <name val="Tahoma"/>
      <family val="2"/>
    </font>
    <font>
      <b/>
      <sz val="9"/>
      <color indexed="81"/>
      <name val="Tahoma"/>
      <family val="2"/>
    </font>
    <font>
      <b/>
      <sz val="6"/>
      <color theme="1"/>
      <name val="Calibri"/>
      <family val="2"/>
      <scheme val="minor"/>
    </font>
    <font>
      <sz val="8"/>
      <color rgb="FFFF0000"/>
      <name val="Arial"/>
      <family val="2"/>
    </font>
    <font>
      <b/>
      <sz val="8"/>
      <color theme="1"/>
      <name val="Aial"/>
    </font>
    <font>
      <sz val="8"/>
      <color rgb="FF008000"/>
      <name val="Arial"/>
      <family val="2"/>
    </font>
    <font>
      <b/>
      <sz val="8"/>
      <color rgb="FFFF0000"/>
      <name val="Arial"/>
      <family val="2"/>
    </font>
    <font>
      <b/>
      <sz val="11"/>
      <color rgb="FFFF0000"/>
      <name val="Calibri"/>
      <family val="2"/>
      <scheme val="minor"/>
    </font>
    <font>
      <sz val="6"/>
      <name val="Arial"/>
      <family val="2"/>
    </font>
    <font>
      <b/>
      <sz val="8"/>
      <color rgb="FF0000FF"/>
      <name val="Arial"/>
      <family val="2"/>
    </font>
    <font>
      <b/>
      <sz val="8"/>
      <color rgb="FF008000"/>
      <name val="Arial"/>
      <family val="2"/>
    </font>
    <font>
      <i/>
      <sz val="8"/>
      <color theme="1"/>
      <name val="Arial"/>
      <family val="2"/>
    </font>
    <font>
      <b/>
      <sz val="11"/>
      <color theme="1"/>
      <name val="Calibri"/>
      <family val="2"/>
      <scheme val="minor"/>
    </font>
    <font>
      <sz val="8"/>
      <color indexed="17"/>
      <name val="Arial"/>
      <family val="2"/>
    </font>
    <font>
      <sz val="9"/>
      <color theme="1"/>
      <name val="Calibri"/>
      <family val="2"/>
      <scheme val="minor"/>
    </font>
    <font>
      <i/>
      <sz val="11"/>
      <color theme="1"/>
      <name val="Calibri"/>
      <family val="2"/>
      <scheme val="minor"/>
    </font>
    <font>
      <b/>
      <sz val="18"/>
      <color theme="3"/>
      <name val="Cambria"/>
      <family val="2"/>
      <scheme val="major"/>
    </font>
    <font>
      <b/>
      <sz val="13"/>
      <color theme="3"/>
      <name val="Calibri"/>
      <family val="2"/>
      <scheme val="minor"/>
    </font>
    <font>
      <b/>
      <sz val="11"/>
      <color rgb="FF3F3F3F"/>
      <name val="Calibri"/>
      <family val="2"/>
      <scheme val="minor"/>
    </font>
    <font>
      <i/>
      <sz val="11"/>
      <color rgb="FF7F7F7F"/>
      <name val="Calibri"/>
      <family val="2"/>
      <scheme val="minor"/>
    </font>
    <font>
      <b/>
      <u/>
      <sz val="11"/>
      <color theme="1"/>
      <name val="Calibri"/>
      <family val="2"/>
      <scheme val="minor"/>
    </font>
    <font>
      <b/>
      <sz val="8"/>
      <color theme="1"/>
      <name val="Rial"/>
    </font>
    <font>
      <sz val="6"/>
      <color theme="1"/>
      <name val="Calibri"/>
      <family val="2"/>
      <scheme val="minor"/>
    </font>
    <font>
      <sz val="8"/>
      <color theme="1"/>
      <name val="Rial"/>
    </font>
    <font>
      <b/>
      <sz val="8"/>
      <color rgb="FF0000FF"/>
      <name val="Rial"/>
    </font>
    <font>
      <b/>
      <sz val="8"/>
      <name val="Rial"/>
    </font>
    <font>
      <i/>
      <sz val="6"/>
      <color theme="1"/>
      <name val="Arial"/>
      <family val="2"/>
    </font>
    <font>
      <sz val="6"/>
      <color rgb="FF0000FF"/>
      <name val="Arial"/>
      <family val="2"/>
    </font>
    <font>
      <sz val="8"/>
      <color theme="1"/>
      <name val="Arabic Typesetting"/>
      <family val="4"/>
    </font>
    <font>
      <sz val="8"/>
      <color theme="1"/>
      <name val="Arila"/>
    </font>
    <font>
      <b/>
      <i/>
      <sz val="8"/>
      <color theme="1"/>
      <name val="Arial"/>
      <family val="2"/>
    </font>
    <font>
      <i/>
      <sz val="8"/>
      <color theme="3"/>
      <name val="Arial"/>
      <family val="2"/>
    </font>
    <font>
      <sz val="12"/>
      <name val="ⓒoUAAA¨u"/>
      <family val="1"/>
      <charset val="255"/>
    </font>
    <font>
      <sz val="11"/>
      <name val="￥i￠￢￠?o"/>
      <family val="3"/>
      <charset val="255"/>
    </font>
    <font>
      <b/>
      <i/>
      <sz val="6"/>
      <color theme="1"/>
      <name val="Arial"/>
      <family val="2"/>
    </font>
    <font>
      <b/>
      <sz val="22"/>
      <color theme="3" tint="-0.249977111117893"/>
      <name val="Cambria"/>
      <family val="1"/>
      <scheme val="major"/>
    </font>
    <font>
      <sz val="18"/>
      <color theme="3" tint="-0.249977111117893"/>
      <name val="Calibri"/>
      <family val="2"/>
      <scheme val="minor"/>
    </font>
    <font>
      <b/>
      <sz val="16"/>
      <color theme="9" tint="-0.249977111117893"/>
      <name val="Cambria"/>
      <family val="1"/>
      <scheme val="major"/>
    </font>
    <font>
      <b/>
      <sz val="10"/>
      <color theme="1"/>
      <name val="Calibri"/>
      <family val="2"/>
      <scheme val="minor"/>
    </font>
    <font>
      <sz val="10"/>
      <color rgb="FF000000"/>
      <name val="Calibri"/>
      <family val="2"/>
      <scheme val="minor"/>
    </font>
    <font>
      <b/>
      <sz val="11"/>
      <color theme="1"/>
      <name val="Cambria"/>
      <family val="1"/>
      <scheme val="major"/>
    </font>
    <font>
      <b/>
      <sz val="12"/>
      <color theme="1" tint="0.34998626667073579"/>
      <name val="Calibri"/>
      <family val="2"/>
      <scheme val="minor"/>
    </font>
    <font>
      <b/>
      <sz val="8"/>
      <color theme="0"/>
      <name val="Rial"/>
    </font>
    <font>
      <b/>
      <i/>
      <sz val="8"/>
      <color theme="1" tint="0.499984740745262"/>
      <name val="Arial"/>
      <family val="2"/>
    </font>
    <font>
      <b/>
      <i/>
      <sz val="6"/>
      <color theme="1" tint="0.499984740745262"/>
      <name val="Arial"/>
      <family val="2"/>
    </font>
    <font>
      <i/>
      <sz val="8"/>
      <color theme="1" tint="0.499984740745262"/>
      <name val="Arial"/>
      <family val="2"/>
    </font>
    <font>
      <i/>
      <sz val="6"/>
      <color theme="1" tint="0.499984740745262"/>
      <name val="Arial"/>
      <family val="2"/>
    </font>
    <font>
      <i/>
      <sz val="10"/>
      <color theme="1"/>
      <name val="Calibri"/>
      <family val="2"/>
      <scheme val="minor"/>
    </font>
    <font>
      <i/>
      <sz val="11"/>
      <color rgb="FFFF0000"/>
      <name val="Calibri"/>
      <family val="2"/>
      <scheme val="minor"/>
    </font>
    <font>
      <i/>
      <sz val="6"/>
      <color theme="1"/>
      <name val="Calibri"/>
      <family val="2"/>
      <scheme val="minor"/>
    </font>
    <font>
      <i/>
      <sz val="8"/>
      <color theme="1"/>
      <name val="Rial"/>
    </font>
    <font>
      <sz val="11"/>
      <color theme="3"/>
      <name val="Calibri"/>
      <family val="2"/>
      <scheme val="minor"/>
    </font>
    <font>
      <sz val="8"/>
      <color rgb="FF000000"/>
      <name val="Arial"/>
      <family val="2"/>
    </font>
    <font>
      <i/>
      <sz val="8"/>
      <color rgb="FF0000FF"/>
      <name val="Arial"/>
      <family val="2"/>
    </font>
    <font>
      <i/>
      <sz val="8"/>
      <color theme="1"/>
      <name val="Calibri"/>
      <family val="2"/>
      <scheme val="minor"/>
    </font>
    <font>
      <b/>
      <sz val="11"/>
      <color rgb="FF0000FF"/>
      <name val="Calibri"/>
      <family val="2"/>
      <scheme val="minor"/>
    </font>
    <font>
      <b/>
      <sz val="12"/>
      <color theme="1" tint="0.34998626667073579"/>
      <name val="Times New Roman"/>
      <family val="1"/>
    </font>
    <font>
      <b/>
      <sz val="14"/>
      <color theme="1"/>
      <name val="Cambria"/>
      <family val="1"/>
      <scheme val="major"/>
    </font>
    <font>
      <b/>
      <sz val="10"/>
      <color theme="1"/>
      <name val="Times New Roman"/>
      <family val="1"/>
    </font>
    <font>
      <b/>
      <sz val="9"/>
      <color theme="0"/>
      <name val="Times New Roman"/>
      <family val="1"/>
    </font>
    <font>
      <sz val="10"/>
      <color theme="1"/>
      <name val="Times New Roman"/>
      <family val="1"/>
    </font>
    <font>
      <b/>
      <sz val="9"/>
      <color theme="1"/>
      <name val="Calibri"/>
      <family val="2"/>
      <scheme val="minor"/>
    </font>
    <font>
      <b/>
      <sz val="10"/>
      <color rgb="FF0000FF"/>
      <name val="Calibri"/>
      <family val="2"/>
      <scheme val="minor"/>
    </font>
    <font>
      <b/>
      <sz val="8"/>
      <color theme="1"/>
      <name val="Calibri"/>
      <family val="2"/>
      <scheme val="minor"/>
    </font>
    <font>
      <sz val="8"/>
      <color theme="1"/>
      <name val="Calibri"/>
      <family val="2"/>
      <scheme val="minor"/>
    </font>
    <font>
      <sz val="10"/>
      <color rgb="FF0000FF"/>
      <name val="Calibri"/>
      <family val="2"/>
      <scheme val="minor"/>
    </font>
    <font>
      <b/>
      <sz val="8"/>
      <color rgb="FFFF0000"/>
      <name val="Calibri"/>
      <family val="2"/>
      <scheme val="minor"/>
    </font>
    <font>
      <b/>
      <sz val="8"/>
      <name val="Calibri"/>
      <family val="2"/>
      <scheme val="minor"/>
    </font>
    <font>
      <sz val="8"/>
      <color theme="1"/>
      <name val="Times New Roman"/>
      <family val="1"/>
    </font>
    <font>
      <b/>
      <sz val="8"/>
      <color rgb="FF0000FF"/>
      <name val="Calibri"/>
      <family val="2"/>
      <scheme val="minor"/>
    </font>
    <font>
      <sz val="8"/>
      <color rgb="FF0000FF"/>
      <name val="Calibri"/>
      <family val="2"/>
      <scheme val="minor"/>
    </font>
    <font>
      <b/>
      <sz val="8"/>
      <color rgb="FF008000"/>
      <name val="Calibri"/>
      <family val="2"/>
      <scheme val="minor"/>
    </font>
    <font>
      <sz val="10"/>
      <name val="Calibri"/>
      <family val="2"/>
      <scheme val="minor"/>
    </font>
    <font>
      <sz val="9"/>
      <color theme="1"/>
      <name val="Times New Roman"/>
      <family val="1"/>
    </font>
    <font>
      <sz val="14"/>
      <color theme="1"/>
      <name val="Calibri"/>
      <family val="2"/>
      <scheme val="minor"/>
    </font>
    <font>
      <sz val="10"/>
      <color rgb="FF008000"/>
      <name val="Calibri"/>
      <family val="2"/>
      <scheme val="minor"/>
    </font>
    <font>
      <sz val="10"/>
      <color rgb="FFFF0000"/>
      <name val="Calibri"/>
      <family val="2"/>
      <scheme val="minor"/>
    </font>
    <font>
      <b/>
      <sz val="10"/>
      <color theme="0"/>
      <name val="Calibri"/>
      <family val="2"/>
      <scheme val="minor"/>
    </font>
    <font>
      <b/>
      <u/>
      <sz val="10"/>
      <color theme="1"/>
      <name val="Calibri"/>
      <family val="2"/>
      <scheme val="minor"/>
    </font>
    <font>
      <b/>
      <sz val="10"/>
      <color rgb="FF000000"/>
      <name val="Calibri"/>
      <family val="2"/>
      <scheme val="minor"/>
    </font>
    <font>
      <b/>
      <sz val="10"/>
      <color rgb="FFFFFFFF"/>
      <name val="Calibri"/>
      <family val="2"/>
      <scheme val="minor"/>
    </font>
    <font>
      <i/>
      <sz val="10"/>
      <name val="Calibri"/>
      <family val="2"/>
      <scheme val="minor"/>
    </font>
    <font>
      <b/>
      <sz val="10"/>
      <color rgb="FF008000"/>
      <name val="Calibri"/>
      <family val="2"/>
      <scheme val="minor"/>
    </font>
    <font>
      <u/>
      <sz val="10"/>
      <name val="Calibri"/>
      <family val="2"/>
      <scheme val="minor"/>
    </font>
    <font>
      <sz val="10"/>
      <color theme="0"/>
      <name val="Calibri"/>
      <family val="2"/>
      <scheme val="minor"/>
    </font>
    <font>
      <sz val="10"/>
      <color rgb="FFFFFFFF"/>
      <name val="Calibri"/>
      <family val="2"/>
      <scheme val="minor"/>
    </font>
    <font>
      <b/>
      <sz val="10"/>
      <name val="Calibri"/>
      <family val="2"/>
      <scheme val="minor"/>
    </font>
    <font>
      <i/>
      <sz val="10"/>
      <color theme="0" tint="-0.499984740745262"/>
      <name val="Calibri"/>
      <family val="2"/>
      <scheme val="minor"/>
    </font>
    <font>
      <i/>
      <sz val="10"/>
      <color rgb="FF000000"/>
      <name val="Calibri"/>
      <family val="2"/>
      <scheme val="minor"/>
    </font>
    <font>
      <i/>
      <sz val="10"/>
      <color rgb="FFFF0000"/>
      <name val="Calibri"/>
      <family val="2"/>
      <scheme val="minor"/>
    </font>
    <font>
      <i/>
      <sz val="10"/>
      <color rgb="FF0000FF"/>
      <name val="Calibri"/>
      <family val="2"/>
      <scheme val="minor"/>
    </font>
    <font>
      <sz val="11"/>
      <name val="Calibri"/>
      <family val="2"/>
      <scheme val="minor"/>
    </font>
    <font>
      <i/>
      <sz val="6"/>
      <name val="Arial"/>
      <family val="2"/>
    </font>
    <font>
      <sz val="8"/>
      <name val="Calibri"/>
      <family val="2"/>
      <scheme val="minor"/>
    </font>
    <font>
      <b/>
      <sz val="11"/>
      <color theme="0"/>
      <name val="Cambria"/>
      <family val="1"/>
      <scheme val="major"/>
    </font>
    <font>
      <b/>
      <i/>
      <sz val="10"/>
      <color theme="1" tint="0.249977111117893"/>
      <name val="Cambria"/>
      <family val="1"/>
      <scheme val="major"/>
    </font>
    <font>
      <b/>
      <sz val="10"/>
      <name val="Cambria"/>
      <family val="1"/>
      <scheme val="major"/>
    </font>
    <font>
      <sz val="10"/>
      <color theme="0" tint="-0.34998626667073579"/>
      <name val="Calibri"/>
      <family val="2"/>
      <scheme val="minor"/>
    </font>
    <font>
      <b/>
      <sz val="10"/>
      <color theme="0"/>
      <name val="Cambria"/>
      <family val="1"/>
      <scheme val="major"/>
    </font>
    <font>
      <b/>
      <sz val="9"/>
      <color theme="0"/>
      <name val="Cambria"/>
      <family val="1"/>
      <scheme val="major"/>
    </font>
    <font>
      <sz val="8"/>
      <color theme="1" tint="0.249977111117893"/>
      <name val="Arial"/>
      <family val="2"/>
    </font>
    <font>
      <b/>
      <u/>
      <sz val="14"/>
      <color theme="1"/>
      <name val="Arial"/>
      <family val="2"/>
    </font>
    <font>
      <sz val="8"/>
      <color theme="0" tint="-0.249977111117893"/>
      <name val="Arial"/>
      <family val="2"/>
    </font>
    <font>
      <b/>
      <sz val="8"/>
      <color theme="1" tint="0.249977111117893"/>
      <name val="Arial"/>
      <family val="2"/>
    </font>
    <font>
      <b/>
      <sz val="8"/>
      <color theme="4"/>
      <name val="Arial"/>
      <family val="2"/>
    </font>
    <font>
      <i/>
      <sz val="6"/>
      <color theme="1"/>
      <name val="Arial "/>
    </font>
    <font>
      <b/>
      <sz val="10"/>
      <color rgb="FFFFFFFF"/>
      <name val="Calibri"/>
      <family val="2"/>
    </font>
    <font>
      <sz val="11"/>
      <color theme="1"/>
      <name val="Calibri"/>
      <family val="2"/>
    </font>
    <font>
      <sz val="10"/>
      <name val="Calibri"/>
      <family val="2"/>
    </font>
    <font>
      <sz val="10"/>
      <color rgb="FF000000"/>
      <name val="Calibri"/>
      <family val="2"/>
    </font>
    <font>
      <sz val="8"/>
      <color rgb="FF0070C0"/>
      <name val="Arial"/>
      <family val="2"/>
    </font>
  </fonts>
  <fills count="145">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77111117893"/>
        <bgColor indexed="64"/>
      </patternFill>
    </fill>
    <fill>
      <patternFill patternType="solid">
        <fgColor rgb="FF0000FF"/>
        <bgColor indexed="64"/>
      </patternFill>
    </fill>
    <fill>
      <patternFill patternType="solid">
        <fgColor rgb="FF008000"/>
        <bgColor indexed="64"/>
      </patternFill>
    </fill>
    <fill>
      <patternFill patternType="solid">
        <fgColor rgb="FFFF0000"/>
        <bgColor indexed="64"/>
      </patternFill>
    </fill>
    <fill>
      <patternFill patternType="solid">
        <fgColor theme="1"/>
        <bgColor indexed="64"/>
      </patternFill>
    </fill>
    <fill>
      <patternFill patternType="solid">
        <fgColor indexed="22"/>
        <bgColor indexed="64"/>
      </patternFill>
    </fill>
    <fill>
      <patternFill patternType="solid">
        <fgColor indexed="47"/>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indexed="43"/>
      </patternFill>
    </fill>
    <fill>
      <patternFill patternType="solid">
        <fgColor indexed="9"/>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53"/>
        <bgColor indexed="64"/>
      </patternFill>
    </fill>
    <fill>
      <patternFill patternType="lightUp">
        <bgColor indexed="1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13"/>
        <bgColor indexed="64"/>
      </patternFill>
    </fill>
    <fill>
      <patternFill patternType="lightUp">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6"/>
        <bgColor indexed="64"/>
      </patternFill>
    </fill>
    <fill>
      <patternFill patternType="solid">
        <fgColor indexed="12"/>
        <bgColor indexed="64"/>
      </patternFill>
    </fill>
    <fill>
      <patternFill patternType="solid">
        <fgColor indexed="10"/>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44"/>
        <bgColor indexed="64"/>
      </patternFill>
    </fill>
    <fill>
      <patternFill patternType="solid">
        <fgColor indexed="32"/>
        <bgColor indexed="64"/>
      </patternFill>
    </fill>
    <fill>
      <patternFill patternType="solid">
        <fgColor indexed="18"/>
        <bgColor indexed="64"/>
      </patternFill>
    </fill>
    <fill>
      <patternFill patternType="solid">
        <fgColor indexed="62"/>
        <bgColor indexed="64"/>
      </patternFill>
    </fill>
    <fill>
      <patternFill patternType="solid">
        <fgColor indexed="8"/>
        <bgColor indexed="64"/>
      </patternFill>
    </fill>
    <fill>
      <patternFill patternType="lightGray">
        <fgColor indexed="15"/>
      </patternFill>
    </fill>
    <fill>
      <patternFill patternType="lightGray">
        <fgColor indexed="15"/>
        <bgColor indexed="9"/>
      </patternFill>
    </fill>
    <fill>
      <patternFill patternType="solid">
        <fgColor indexed="35"/>
        <bgColor indexed="64"/>
      </patternFill>
    </fill>
    <fill>
      <patternFill patternType="solid">
        <fgColor indexed="23"/>
        <bgColor indexed="64"/>
      </patternFill>
    </fill>
    <fill>
      <patternFill patternType="lightGray">
        <fgColor indexed="14"/>
        <bgColor indexed="9"/>
      </patternFill>
    </fill>
    <fill>
      <patternFill patternType="solid">
        <fgColor indexed="42"/>
        <bgColor indexed="64"/>
      </patternFill>
    </fill>
    <fill>
      <patternFill patternType="solid">
        <fgColor indexed="55"/>
      </patternFill>
    </fill>
    <fill>
      <patternFill patternType="gray0625">
        <fgColor indexed="15"/>
      </patternFill>
    </fill>
    <fill>
      <patternFill patternType="solid">
        <fgColor indexed="41"/>
        <bgColor indexed="64"/>
      </patternFill>
    </fill>
    <fill>
      <patternFill patternType="solid">
        <fgColor indexed="31"/>
        <bgColor indexed="64"/>
      </patternFill>
    </fill>
    <fill>
      <patternFill patternType="solid">
        <fgColor indexed="60"/>
        <bgColor indexed="64"/>
      </patternFill>
    </fill>
    <fill>
      <patternFill patternType="mediumGray">
        <fgColor indexed="9"/>
        <bgColor indexed="22"/>
      </patternFill>
    </fill>
    <fill>
      <patternFill patternType="lightGray">
        <fgColor indexed="12"/>
      </patternFill>
    </fill>
    <fill>
      <patternFill patternType="solid">
        <fgColor indexed="14"/>
        <bgColor indexed="64"/>
      </patternFill>
    </fill>
    <fill>
      <patternFill patternType="solid">
        <fgColor indexed="19"/>
      </patternFill>
    </fill>
    <fill>
      <patternFill patternType="solid">
        <fgColor indexed="54"/>
      </patternFill>
    </fill>
    <fill>
      <patternFill patternType="mediumGray">
        <fgColor indexed="9"/>
        <bgColor indexed="44"/>
      </patternFill>
    </fill>
    <fill>
      <patternFill patternType="lightGray">
        <fgColor indexed="12"/>
        <bgColor indexed="9"/>
      </patternFill>
    </fill>
    <fill>
      <patternFill patternType="gray0625">
        <fgColor indexed="22"/>
        <bgColor indexed="26"/>
      </patternFill>
    </fill>
    <fill>
      <patternFill patternType="solid">
        <fgColor indexed="13"/>
      </patternFill>
    </fill>
    <fill>
      <patternFill patternType="gray0625"/>
    </fill>
    <fill>
      <patternFill patternType="mediumGray"/>
    </fill>
    <fill>
      <patternFill patternType="gray0625">
        <fgColor indexed="22"/>
        <bgColor indexed="15"/>
      </patternFill>
    </fill>
    <fill>
      <patternFill patternType="solid">
        <fgColor indexed="24"/>
        <bgColor indexed="64"/>
      </patternFill>
    </fill>
    <fill>
      <patternFill patternType="solid">
        <fgColor indexed="11"/>
        <bgColor indexed="9"/>
      </patternFill>
    </fill>
    <fill>
      <patternFill patternType="solid">
        <fgColor indexed="13"/>
        <bgColor indexed="15"/>
      </patternFill>
    </fill>
    <fill>
      <patternFill patternType="solid">
        <fgColor indexed="63"/>
        <bgColor indexed="64"/>
      </patternFill>
    </fill>
    <fill>
      <patternFill patternType="mediumGray">
        <fgColor indexed="22"/>
      </patternFill>
    </fill>
    <fill>
      <patternFill patternType="solid">
        <fgColor indexed="56"/>
        <bgColor indexed="64"/>
      </patternFill>
    </fill>
    <fill>
      <patternFill patternType="solid">
        <fgColor theme="9"/>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6" tint="0.79998168889431442"/>
        <bgColor indexed="64"/>
      </patternFill>
    </fill>
    <fill>
      <patternFill patternType="solid">
        <fgColor rgb="FF1A738B"/>
        <bgColor indexed="64"/>
      </patternFill>
    </fill>
    <fill>
      <patternFill patternType="solid">
        <fgColor theme="5" tint="0.59999389629810485"/>
        <bgColor indexed="64"/>
      </patternFill>
    </fill>
    <fill>
      <patternFill patternType="solid">
        <fgColor rgb="FFFF9900"/>
        <bgColor indexed="64"/>
      </patternFill>
    </fill>
    <fill>
      <patternFill patternType="solid">
        <fgColor rgb="FFBFBFBF"/>
        <bgColor indexed="64"/>
      </patternFill>
    </fill>
    <fill>
      <patternFill patternType="solid">
        <fgColor rgb="FFC5D9F1"/>
        <bgColor indexed="64"/>
      </patternFill>
    </fill>
    <fill>
      <patternFill patternType="solid">
        <fgColor rgb="FFFFFF99"/>
        <bgColor indexed="64"/>
      </patternFill>
    </fill>
    <fill>
      <patternFill patternType="solid">
        <fgColor rgb="FFC0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4"/>
        <bgColor indexed="64"/>
      </patternFill>
    </fill>
    <fill>
      <patternFill patternType="solid">
        <fgColor theme="7" tint="0.59999389629810485"/>
        <bgColor indexed="64"/>
      </patternFill>
    </fill>
    <fill>
      <patternFill patternType="solid">
        <fgColor theme="3" tint="-0.49998474074526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bgColor theme="0"/>
      </patternFill>
    </fill>
    <fill>
      <patternFill patternType="solid">
        <fgColor theme="4" tint="0.7999816888943144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2F75B5"/>
        <bgColor rgb="FF000000"/>
      </patternFill>
    </fill>
    <fill>
      <patternFill patternType="solid">
        <fgColor rgb="FFD9D9D9"/>
        <bgColor rgb="FF000000"/>
      </patternFill>
    </fill>
    <fill>
      <patternFill patternType="solid">
        <fgColor theme="3"/>
        <bgColor indexed="64"/>
      </patternFill>
    </fill>
    <fill>
      <patternFill patternType="solid">
        <fgColor rgb="FF0070C0"/>
        <bgColor indexed="64"/>
      </patternFill>
    </fill>
    <fill>
      <patternFill patternType="solid">
        <fgColor rgb="FFFFFFCC"/>
        <bgColor indexed="64"/>
      </patternFill>
    </fill>
  </fills>
  <borders count="191">
    <border>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thin">
        <color indexed="64"/>
      </bottom>
      <diagonal/>
    </border>
    <border>
      <left/>
      <right/>
      <top/>
      <bottom style="hair">
        <color indexed="22"/>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right/>
      <top/>
      <bottom style="thin">
        <color indexed="8"/>
      </bottom>
      <diagonal/>
    </border>
    <border>
      <left/>
      <right style="thin">
        <color indexed="64"/>
      </right>
      <top/>
      <bottom/>
      <diagonal/>
    </border>
    <border>
      <left/>
      <right/>
      <top style="thin">
        <color indexed="64"/>
      </top>
      <bottom style="thin">
        <color indexed="64"/>
      </bottom>
      <diagonal/>
    </border>
    <border>
      <left style="hair">
        <color indexed="22"/>
      </left>
      <right style="hair">
        <color indexed="22"/>
      </right>
      <top style="hair">
        <color indexed="22"/>
      </top>
      <bottom style="hair">
        <color indexed="22"/>
      </bottom>
      <diagonal/>
    </border>
    <border>
      <left style="hair">
        <color indexed="55"/>
      </left>
      <right style="hair">
        <color indexed="55"/>
      </right>
      <top style="hair">
        <color indexed="55"/>
      </top>
      <bottom style="hair">
        <color indexed="55"/>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indexed="64"/>
      </left>
      <right/>
      <top/>
      <bottom/>
      <diagonal/>
    </border>
    <border>
      <left style="medium">
        <color indexed="9"/>
      </left>
      <right style="medium">
        <color indexed="9"/>
      </right>
      <top style="medium">
        <color indexed="9"/>
      </top>
      <bottom style="medium">
        <color indexed="9"/>
      </bottom>
      <diagonal/>
    </border>
    <border>
      <left/>
      <right style="medium">
        <color indexed="9"/>
      </right>
      <top/>
      <bottom style="medium">
        <color indexed="9"/>
      </bottom>
      <diagonal/>
    </border>
    <border>
      <left/>
      <right style="thin">
        <color indexed="64"/>
      </right>
      <top/>
      <bottom style="thin">
        <color indexed="64"/>
      </bottom>
      <diagonal/>
    </border>
    <border>
      <left/>
      <right/>
      <top style="hair">
        <color indexed="22"/>
      </top>
      <bottom style="hair">
        <color indexed="22"/>
      </bottom>
      <diagonal/>
    </border>
    <border>
      <left/>
      <right/>
      <top style="thin">
        <color indexed="64"/>
      </top>
      <bottom/>
      <diagonal/>
    </border>
    <border>
      <left/>
      <right/>
      <top/>
      <bottom style="medium">
        <color indexed="64"/>
      </bottom>
      <diagonal/>
    </border>
    <border>
      <left/>
      <right/>
      <top style="medium">
        <color indexed="64"/>
      </top>
      <bottom/>
      <diagonal/>
    </border>
    <border>
      <left/>
      <right/>
      <top/>
      <bottom style="thin">
        <color indexed="22"/>
      </bottom>
      <diagonal/>
    </border>
    <border>
      <left/>
      <right/>
      <top style="thin">
        <color indexed="8"/>
      </top>
      <bottom/>
      <diagonal/>
    </border>
    <border>
      <left style="thick">
        <color indexed="9"/>
      </left>
      <right style="thick">
        <color indexed="9"/>
      </right>
      <top style="thick">
        <color indexed="9"/>
      </top>
      <bottom style="thick">
        <color indexed="9"/>
      </bottom>
      <diagonal/>
    </border>
    <border>
      <left/>
      <right/>
      <top/>
      <bottom style="hair">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n">
        <color indexed="23"/>
      </bottom>
      <diagonal/>
    </border>
    <border>
      <left/>
      <right style="thick">
        <color indexed="9"/>
      </right>
      <top/>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double">
        <color auto="1"/>
      </top>
      <bottom style="double">
        <color auto="1"/>
      </bottom>
      <diagonal/>
    </border>
    <border>
      <left/>
      <right/>
      <top/>
      <bottom style="dotted">
        <color indexed="64"/>
      </bottom>
      <diagonal/>
    </border>
    <border>
      <left style="mediumDashed">
        <color indexed="56"/>
      </left>
      <right style="mediumDashed">
        <color indexed="56"/>
      </right>
      <top style="mediumDashed">
        <color indexed="56"/>
      </top>
      <bottom style="mediumDashed">
        <color indexed="56"/>
      </bottom>
      <diagonal/>
    </border>
    <border>
      <left style="dotted">
        <color indexed="12"/>
      </left>
      <right style="dotted">
        <color indexed="12"/>
      </right>
      <top style="dotted">
        <color indexed="12"/>
      </top>
      <bottom style="dotted">
        <color indexed="12"/>
      </bottom>
      <diagonal/>
    </border>
    <border>
      <left/>
      <right/>
      <top/>
      <bottom style="medium">
        <color indexed="23"/>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medium">
        <color indexed="64"/>
      </top>
      <bottom style="medium">
        <color indexed="64"/>
      </bottom>
      <diagonal/>
    </border>
    <border>
      <left style="medium">
        <color indexed="64"/>
      </left>
      <right/>
      <top/>
      <bottom/>
      <diagonal/>
    </border>
    <border>
      <left style="dotted">
        <color indexed="57"/>
      </left>
      <right style="dotted">
        <color indexed="57"/>
      </right>
      <top style="dotted">
        <color indexed="57"/>
      </top>
      <bottom style="dotted">
        <color indexed="57"/>
      </bottom>
      <diagonal/>
    </border>
    <border>
      <left style="medium">
        <color indexed="64"/>
      </left>
      <right style="medium">
        <color indexed="64"/>
      </right>
      <top style="medium">
        <color indexed="64"/>
      </top>
      <bottom style="medium">
        <color indexed="64"/>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dotted">
        <color indexed="22"/>
      </left>
      <right style="dotted">
        <color indexed="22"/>
      </right>
      <top style="dotted">
        <color indexed="22"/>
      </top>
      <bottom style="dotted">
        <color indexed="22"/>
      </bottom>
      <diagonal/>
    </border>
    <border>
      <left style="thin">
        <color indexed="8"/>
      </left>
      <right style="thin">
        <color indexed="8"/>
      </right>
      <top style="thin">
        <color indexed="8"/>
      </top>
      <bottom style="thin">
        <color indexed="8"/>
      </bottom>
      <diagonal/>
    </border>
    <border>
      <left/>
      <right/>
      <top style="thick">
        <color indexed="64"/>
      </top>
      <bottom/>
      <diagonal/>
    </border>
    <border>
      <left/>
      <right/>
      <top style="medium">
        <color indexed="18"/>
      </top>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auto="1"/>
      </top>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8"/>
      </top>
      <bottom style="thin">
        <color indexed="8"/>
      </bottom>
      <diagonal/>
    </border>
    <border>
      <left/>
      <right/>
      <top/>
      <bottom style="thin">
        <color auto="1"/>
      </bottom>
      <diagonal/>
    </border>
    <border>
      <left style="thin">
        <color indexed="9"/>
      </left>
      <right style="thin">
        <color indexed="9"/>
      </right>
      <top style="thin">
        <color indexed="9"/>
      </top>
      <bottom style="thin">
        <color indexed="9"/>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style="thin">
        <color indexed="64"/>
      </right>
      <top/>
      <bottom style="thin">
        <color auto="1"/>
      </bottom>
      <diagonal/>
    </border>
    <border>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style="thin">
        <color auto="1"/>
      </bottom>
      <diagonal/>
    </border>
    <border>
      <left/>
      <right style="thin">
        <color rgb="FF000000"/>
      </right>
      <top style="thin">
        <color indexed="64"/>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top style="thin">
        <color rgb="FF000000"/>
      </top>
      <bottom style="medium">
        <color rgb="FF000000"/>
      </bottom>
      <diagonal/>
    </border>
    <border>
      <left/>
      <right/>
      <top style="thin">
        <color rgb="FF000000"/>
      </top>
      <bottom style="medium">
        <color rgb="FF000000"/>
      </bottom>
      <diagonal/>
    </border>
    <border>
      <left/>
      <right style="thin">
        <color indexed="64"/>
      </right>
      <top style="thin">
        <color rgb="FF000000"/>
      </top>
      <bottom style="medium">
        <color rgb="FF000000"/>
      </bottom>
      <diagonal/>
    </border>
    <border>
      <left style="thin">
        <color indexed="64"/>
      </left>
      <right/>
      <top style="thin">
        <color indexed="64"/>
      </top>
      <bottom style="medium">
        <color rgb="FF000000"/>
      </bottom>
      <diagonal/>
    </border>
    <border>
      <left/>
      <right/>
      <top style="thin">
        <color indexed="64"/>
      </top>
      <bottom style="medium">
        <color rgb="FF000000"/>
      </bottom>
      <diagonal/>
    </border>
    <border>
      <left/>
      <right style="thin">
        <color indexed="64"/>
      </right>
      <top style="thin">
        <color indexed="64"/>
      </top>
      <bottom style="medium">
        <color rgb="FF000000"/>
      </bottom>
      <diagonal/>
    </border>
    <border>
      <left style="thin">
        <color auto="1"/>
      </left>
      <right/>
      <top/>
      <bottom style="thin">
        <color rgb="FF000000"/>
      </bottom>
      <diagonal/>
    </border>
    <border>
      <left style="medium">
        <color indexed="64"/>
      </left>
      <right style="thin">
        <color rgb="FF000000"/>
      </right>
      <top/>
      <bottom/>
      <diagonal/>
    </border>
    <border>
      <left style="thin">
        <color indexed="64"/>
      </left>
      <right style="medium">
        <color indexed="64"/>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indexed="64"/>
      </left>
      <right style="thin">
        <color indexed="64"/>
      </right>
      <top style="thin">
        <color rgb="FF000000"/>
      </top>
      <bottom/>
      <diagonal/>
    </border>
    <border>
      <left style="thin">
        <color indexed="64"/>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diagonal/>
    </border>
    <border>
      <left style="thin">
        <color rgb="FF000000"/>
      </left>
      <right/>
      <top/>
      <bottom style="medium">
        <color rgb="FF000000"/>
      </bottom>
      <diagonal/>
    </border>
    <border>
      <left/>
      <right style="medium">
        <color indexed="64"/>
      </right>
      <top/>
      <bottom/>
      <diagonal/>
    </border>
    <border>
      <left style="medium">
        <color indexed="64"/>
      </left>
      <right style="thin">
        <color rgb="FF000000"/>
      </right>
      <top/>
      <bottom style="thin">
        <color indexed="64"/>
      </bottom>
      <diagonal/>
    </border>
    <border>
      <left style="thin">
        <color rgb="FF000000"/>
      </left>
      <right/>
      <top/>
      <bottom style="thin">
        <color indexed="64"/>
      </bottom>
      <diagonal/>
    </border>
    <border>
      <left/>
      <right style="medium">
        <color indexed="64"/>
      </right>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rgb="FF000000"/>
      </right>
      <top style="medium">
        <color rgb="FF000000"/>
      </top>
      <bottom/>
      <diagonal/>
    </border>
    <border>
      <left style="thin">
        <color rgb="FF000000"/>
      </left>
      <right/>
      <top style="medium">
        <color rgb="FF000000"/>
      </top>
      <bottom/>
      <diagonal/>
    </border>
    <border>
      <left style="thin">
        <color indexed="64"/>
      </left>
      <right style="thin">
        <color indexed="64"/>
      </right>
      <top style="medium">
        <color rgb="FF000000"/>
      </top>
      <bottom/>
      <diagonal/>
    </border>
    <border>
      <left/>
      <right style="medium">
        <color indexed="64"/>
      </right>
      <top style="medium">
        <color rgb="FF000000"/>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thin">
        <color rgb="FF000000"/>
      </left>
      <right/>
      <top style="thin">
        <color indexed="64"/>
      </top>
      <bottom style="thin">
        <color indexed="64"/>
      </bottom>
      <diagonal/>
    </border>
    <border>
      <left/>
      <right/>
      <top style="thin">
        <color theme="5"/>
      </top>
      <bottom/>
      <diagonal/>
    </border>
    <border>
      <left/>
      <right/>
      <top/>
      <bottom style="medium">
        <color auto="1"/>
      </bottom>
      <diagonal/>
    </border>
    <border>
      <left style="medium">
        <color indexed="64"/>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style="thin">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thin">
        <color indexed="64"/>
      </top>
      <bottom style="thin">
        <color rgb="FF000000"/>
      </bottom>
      <diagonal/>
    </border>
    <border>
      <left style="thin">
        <color indexed="64"/>
      </left>
      <right/>
      <top style="thin">
        <color auto="1"/>
      </top>
      <bottom/>
      <diagonal/>
    </border>
    <border>
      <left/>
      <right style="thin">
        <color indexed="64"/>
      </right>
      <top style="thin">
        <color indexed="64"/>
      </top>
      <bottom/>
      <diagonal/>
    </border>
    <border>
      <left/>
      <right/>
      <top style="thin">
        <color auto="1"/>
      </top>
      <bottom style="thin">
        <color indexed="64"/>
      </bottom>
      <diagonal/>
    </border>
    <border>
      <left/>
      <right style="thin">
        <color indexed="64"/>
      </right>
      <top style="thin">
        <color auto="1"/>
      </top>
      <bottom style="thin">
        <color auto="1"/>
      </bottom>
      <diagonal/>
    </border>
    <border>
      <left/>
      <right style="thin">
        <color rgb="FF000000"/>
      </right>
      <top style="thin">
        <color indexed="64"/>
      </top>
      <bottom/>
      <diagonal/>
    </border>
    <border>
      <left style="thin">
        <color rgb="FF000000"/>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s>
  <cellStyleXfs count="6635">
    <xf numFmtId="0" fontId="0" fillId="0" borderId="0"/>
    <xf numFmtId="9" fontId="1" fillId="0" borderId="0" applyFont="0" applyFill="0" applyBorder="0" applyAlignment="0" applyProtection="0"/>
    <xf numFmtId="9" fontId="14" fillId="0" borderId="0">
      <alignment horizontal="righ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4" fontId="16" fillId="0" borderId="3" applyFont="0" applyFill="0" applyBorder="0" applyAlignment="0" applyProtection="0"/>
    <xf numFmtId="0" fontId="17" fillId="0" borderId="0"/>
    <xf numFmtId="0" fontId="18" fillId="0" borderId="0">
      <alignment vertical="top"/>
    </xf>
    <xf numFmtId="0" fontId="19" fillId="0" borderId="0">
      <alignment vertical="center"/>
    </xf>
    <xf numFmtId="0" fontId="19" fillId="0" borderId="0">
      <alignment vertical="center"/>
    </xf>
    <xf numFmtId="0" fontId="19" fillId="0" borderId="0">
      <alignment vertical="center"/>
    </xf>
    <xf numFmtId="0" fontId="17"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174" fontId="20" fillId="0" borderId="0" applyFont="0" applyFill="0" applyBorder="0" applyAlignment="0" applyProtection="0">
      <protection locked="0"/>
    </xf>
    <xf numFmtId="0" fontId="21" fillId="0" borderId="0" applyNumberFormat="0" applyFill="0" applyBorder="0" applyAlignment="0" applyProtection="0"/>
    <xf numFmtId="0" fontId="15" fillId="0" borderId="0" applyNumberFormat="0" applyFon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9" fillId="0" borderId="0">
      <alignment vertical="center"/>
    </xf>
    <xf numFmtId="0" fontId="19" fillId="0" borderId="0">
      <alignment vertical="center"/>
    </xf>
    <xf numFmtId="0" fontId="22" fillId="0" borderId="0"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alignment vertical="top"/>
    </xf>
    <xf numFmtId="0" fontId="15" fillId="0" borderId="0"/>
    <xf numFmtId="0" fontId="15" fillId="0" borderId="0"/>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5" fillId="0" borderId="0"/>
    <xf numFmtId="0" fontId="15" fillId="0" borderId="0"/>
    <xf numFmtId="0" fontId="15" fillId="0" borderId="0"/>
    <xf numFmtId="0" fontId="15" fillId="0" borderId="0"/>
    <xf numFmtId="0" fontId="18" fillId="0" borderId="0">
      <alignment vertical="top"/>
    </xf>
    <xf numFmtId="0" fontId="15" fillId="0" borderId="0"/>
    <xf numFmtId="0" fontId="24" fillId="27" borderId="0">
      <alignment horizontal="left" wrapText="1"/>
    </xf>
    <xf numFmtId="0" fontId="15" fillId="27" borderId="0"/>
    <xf numFmtId="0" fontId="24" fillId="27" borderId="0">
      <alignment horizontal="left" wrapText="1"/>
    </xf>
    <xf numFmtId="0" fontId="24" fillId="27" borderId="0">
      <alignment horizontal="left" wrapText="1"/>
    </xf>
    <xf numFmtId="0" fontId="15" fillId="27" borderId="0"/>
    <xf numFmtId="3" fontId="24" fillId="28" borderId="0">
      <alignment horizontal="left" wrapText="1"/>
    </xf>
    <xf numFmtId="0" fontId="24" fillId="27" borderId="0">
      <alignment horizontal="left" wrapText="1"/>
    </xf>
    <xf numFmtId="0" fontId="15" fillId="27" borderId="0"/>
    <xf numFmtId="0" fontId="24" fillId="27" borderId="0">
      <alignment horizontal="left" wrapText="1"/>
    </xf>
    <xf numFmtId="0" fontId="15" fillId="27" borderId="0"/>
    <xf numFmtId="0" fontId="15" fillId="27" borderId="0"/>
    <xf numFmtId="0" fontId="24" fillId="27" borderId="0">
      <alignment horizontal="left" wrapText="1"/>
    </xf>
    <xf numFmtId="0" fontId="24" fillId="27" borderId="0">
      <alignment horizontal="left" wrapText="1"/>
    </xf>
    <xf numFmtId="0" fontId="24" fillId="27" borderId="0">
      <alignment horizontal="left" wrapText="1"/>
    </xf>
    <xf numFmtId="0" fontId="15" fillId="27" borderId="0"/>
    <xf numFmtId="0" fontId="15" fillId="27" borderId="0"/>
    <xf numFmtId="0" fontId="15" fillId="27" borderId="0"/>
    <xf numFmtId="0" fontId="15" fillId="27" borderId="0"/>
    <xf numFmtId="0" fontId="24" fillId="27" borderId="0">
      <alignment horizontal="left" wrapText="1"/>
    </xf>
    <xf numFmtId="0" fontId="24" fillId="27" borderId="0">
      <alignment horizontal="left" wrapText="1"/>
    </xf>
    <xf numFmtId="0" fontId="24" fillId="27" borderId="0">
      <alignment horizontal="left" wrapText="1"/>
    </xf>
    <xf numFmtId="0" fontId="15" fillId="27" borderId="0"/>
    <xf numFmtId="0" fontId="15" fillId="27" borderId="0"/>
    <xf numFmtId="0" fontId="15" fillId="27" borderId="0"/>
    <xf numFmtId="0" fontId="24" fillId="27" borderId="0">
      <alignment horizontal="left" wrapText="1"/>
    </xf>
    <xf numFmtId="0" fontId="24" fillId="27" borderId="0">
      <alignment horizontal="left" wrapText="1"/>
    </xf>
    <xf numFmtId="0" fontId="24" fillId="28" borderId="0"/>
    <xf numFmtId="0" fontId="24" fillId="28" borderId="0"/>
    <xf numFmtId="0" fontId="24" fillId="28" borderId="0"/>
    <xf numFmtId="0" fontId="24" fillId="28" borderId="0"/>
    <xf numFmtId="0" fontId="11" fillId="27" borderId="0"/>
    <xf numFmtId="0" fontId="24" fillId="28" borderId="0"/>
    <xf numFmtId="0" fontId="25" fillId="29" borderId="0"/>
    <xf numFmtId="0" fontId="24" fillId="27" borderId="0">
      <alignment horizontal="left" wrapText="1"/>
    </xf>
    <xf numFmtId="0" fontId="24" fillId="28" borderId="0"/>
    <xf numFmtId="0" fontId="24" fillId="28" borderId="0"/>
    <xf numFmtId="0" fontId="24" fillId="27" borderId="0">
      <alignment horizontal="left" wrapText="1"/>
    </xf>
    <xf numFmtId="0" fontId="24" fillId="27" borderId="0">
      <alignment horizontal="left" wrapText="1"/>
    </xf>
    <xf numFmtId="0" fontId="25" fillId="29" borderId="0"/>
    <xf numFmtId="0" fontId="24" fillId="27" borderId="0">
      <alignment horizontal="left" wrapText="1"/>
    </xf>
    <xf numFmtId="0" fontId="24" fillId="28" borderId="0"/>
    <xf numFmtId="0" fontId="24" fillId="28" borderId="0"/>
    <xf numFmtId="0" fontId="24" fillId="28" borderId="0"/>
    <xf numFmtId="0" fontId="24" fillId="28" borderId="0"/>
    <xf numFmtId="0" fontId="26" fillId="27" borderId="0"/>
    <xf numFmtId="0" fontId="24" fillId="28" borderId="0"/>
    <xf numFmtId="0" fontId="27" fillId="30" borderId="0"/>
    <xf numFmtId="0" fontId="24" fillId="27" borderId="0">
      <alignment horizontal="left" wrapText="1"/>
    </xf>
    <xf numFmtId="0" fontId="24" fillId="28" borderId="0"/>
    <xf numFmtId="0" fontId="24" fillId="28" borderId="0"/>
    <xf numFmtId="0" fontId="24" fillId="27" borderId="0">
      <alignment horizontal="left" wrapText="1"/>
    </xf>
    <xf numFmtId="0" fontId="24" fillId="27" borderId="0">
      <alignment horizontal="left" wrapText="1"/>
    </xf>
    <xf numFmtId="0" fontId="27" fillId="30" borderId="0"/>
    <xf numFmtId="0" fontId="24" fillId="27" borderId="0">
      <alignment horizontal="left" wrapText="1"/>
    </xf>
    <xf numFmtId="0" fontId="24" fillId="28" borderId="0"/>
    <xf numFmtId="0" fontId="24" fillId="28" borderId="0"/>
    <xf numFmtId="0" fontId="24" fillId="28" borderId="0"/>
    <xf numFmtId="0" fontId="24" fillId="28" borderId="0"/>
    <xf numFmtId="0" fontId="28" fillId="27" borderId="0"/>
    <xf numFmtId="0" fontId="24" fillId="28" borderId="0"/>
    <xf numFmtId="0" fontId="29" fillId="31" borderId="0"/>
    <xf numFmtId="0" fontId="24" fillId="27" borderId="0">
      <alignment horizontal="left" wrapText="1"/>
    </xf>
    <xf numFmtId="0" fontId="24" fillId="28" borderId="0"/>
    <xf numFmtId="0" fontId="24" fillId="28" borderId="0"/>
    <xf numFmtId="0" fontId="24" fillId="27" borderId="0">
      <alignment horizontal="left" wrapText="1"/>
    </xf>
    <xf numFmtId="0" fontId="24" fillId="27" borderId="0">
      <alignment horizontal="left" wrapText="1"/>
    </xf>
    <xf numFmtId="0" fontId="29" fillId="31" borderId="0"/>
    <xf numFmtId="0" fontId="24" fillId="27" borderId="0">
      <alignment horizontal="left" wrapText="1"/>
    </xf>
    <xf numFmtId="0" fontId="24" fillId="28" borderId="0"/>
    <xf numFmtId="0" fontId="24" fillId="28" borderId="0"/>
    <xf numFmtId="0" fontId="24" fillId="28" borderId="0"/>
    <xf numFmtId="0" fontId="24" fillId="28" borderId="0"/>
    <xf numFmtId="0" fontId="30" fillId="27" borderId="0"/>
    <xf numFmtId="0" fontId="24" fillId="28" borderId="0"/>
    <xf numFmtId="0" fontId="30" fillId="0" borderId="0"/>
    <xf numFmtId="0" fontId="24" fillId="27" borderId="0">
      <alignment horizontal="left" wrapText="1"/>
    </xf>
    <xf numFmtId="0" fontId="24" fillId="28" borderId="0"/>
    <xf numFmtId="0" fontId="24" fillId="28" borderId="0"/>
    <xf numFmtId="0" fontId="24" fillId="27" borderId="0">
      <alignment horizontal="left" wrapText="1"/>
    </xf>
    <xf numFmtId="0" fontId="24" fillId="27" borderId="0">
      <alignment horizontal="left" wrapText="1"/>
    </xf>
    <xf numFmtId="0" fontId="30" fillId="0" borderId="0"/>
    <xf numFmtId="0" fontId="24" fillId="27" borderId="0">
      <alignment horizontal="left" wrapText="1"/>
    </xf>
    <xf numFmtId="0" fontId="24" fillId="28" borderId="0"/>
    <xf numFmtId="0" fontId="24" fillId="28" borderId="0"/>
    <xf numFmtId="0" fontId="24" fillId="28" borderId="0"/>
    <xf numFmtId="0" fontId="31" fillId="27" borderId="0"/>
    <xf numFmtId="0" fontId="24" fillId="28" borderId="0"/>
    <xf numFmtId="0" fontId="31" fillId="0" borderId="0"/>
    <xf numFmtId="0" fontId="24" fillId="27" borderId="0">
      <alignment horizontal="left" wrapText="1"/>
    </xf>
    <xf numFmtId="0" fontId="24" fillId="28" borderId="0"/>
    <xf numFmtId="0" fontId="24" fillId="28" borderId="0"/>
    <xf numFmtId="0" fontId="24" fillId="27" borderId="0">
      <alignment horizontal="left" wrapText="1"/>
    </xf>
    <xf numFmtId="0" fontId="24" fillId="27" borderId="0">
      <alignment horizontal="left" wrapText="1"/>
    </xf>
    <xf numFmtId="0" fontId="31" fillId="0" borderId="0"/>
    <xf numFmtId="0" fontId="24" fillId="27" borderId="0">
      <alignment horizontal="left" wrapText="1"/>
    </xf>
    <xf numFmtId="0" fontId="24" fillId="28" borderId="0"/>
    <xf numFmtId="0" fontId="24" fillId="28" borderId="0"/>
    <xf numFmtId="0" fontId="24" fillId="28" borderId="0"/>
    <xf numFmtId="0" fontId="24" fillId="28" borderId="0"/>
    <xf numFmtId="0" fontId="24" fillId="27" borderId="0"/>
    <xf numFmtId="0" fontId="24" fillId="28" borderId="0"/>
    <xf numFmtId="0" fontId="24" fillId="0" borderId="0"/>
    <xf numFmtId="0" fontId="24" fillId="27" borderId="0">
      <alignment horizontal="left" wrapText="1"/>
    </xf>
    <xf numFmtId="0" fontId="24" fillId="28" borderId="0"/>
    <xf numFmtId="0" fontId="24" fillId="28" borderId="0"/>
    <xf numFmtId="0" fontId="24" fillId="27" borderId="0">
      <alignment horizontal="left" wrapText="1"/>
    </xf>
    <xf numFmtId="0" fontId="24" fillId="27" borderId="0">
      <alignment horizontal="left" wrapText="1"/>
    </xf>
    <xf numFmtId="0" fontId="24" fillId="0" borderId="0"/>
    <xf numFmtId="3" fontId="32" fillId="0" borderId="0"/>
    <xf numFmtId="0" fontId="32" fillId="0" borderId="0" applyFont="0" applyFill="0" applyBorder="0" applyAlignment="0" applyProtection="0"/>
    <xf numFmtId="175" fontId="15" fillId="0" borderId="0" applyFont="0" applyFill="0" applyBorder="0" applyAlignment="0" applyProtection="0"/>
    <xf numFmtId="0" fontId="32"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33"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5" fontId="20" fillId="0" borderId="0" applyFont="0" applyFill="0" applyBorder="0" applyAlignment="0" applyProtection="0"/>
    <xf numFmtId="175"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5"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5" fontId="15" fillId="0" borderId="0" applyFont="0" applyFill="0" applyBorder="0" applyAlignment="0" applyProtection="0"/>
    <xf numFmtId="176" fontId="15" fillId="0" borderId="0" applyFont="0" applyFill="0" applyBorder="0" applyAlignment="0" applyProtection="0"/>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9" fillId="0" borderId="0">
      <alignment vertical="center"/>
    </xf>
    <xf numFmtId="0" fontId="22" fillId="0" borderId="0" applyNumberFormat="0" applyAlignment="0" applyProtection="0"/>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32" fillId="0" borderId="0" applyFont="0" applyFill="0" applyBorder="0" applyAlignment="0" applyProtection="0"/>
    <xf numFmtId="177" fontId="15" fillId="0" borderId="0" applyFont="0" applyFill="0" applyBorder="0" applyAlignment="0" applyProtection="0"/>
    <xf numFmtId="0" fontId="32"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33" fillId="0" borderId="0" applyFont="0" applyFill="0" applyBorder="0" applyAlignment="0" applyProtection="0"/>
    <xf numFmtId="179" fontId="15" fillId="0" borderId="0" applyFont="0" applyFill="0" applyBorder="0" applyAlignment="0" applyProtection="0"/>
    <xf numFmtId="180" fontId="24" fillId="0" borderId="0" applyFont="0" applyFill="0" applyBorder="0" applyAlignment="0" applyProtection="0"/>
    <xf numFmtId="178" fontId="15" fillId="0" borderId="0" applyFont="0" applyFill="0" applyBorder="0" applyAlignment="0" applyProtection="0"/>
    <xf numFmtId="179" fontId="15" fillId="0" borderId="0" applyFont="0" applyFill="0" applyBorder="0" applyAlignment="0" applyProtection="0"/>
    <xf numFmtId="177" fontId="20" fillId="0" borderId="0" applyFont="0" applyFill="0" applyBorder="0" applyAlignment="0" applyProtection="0"/>
    <xf numFmtId="177"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7" fontId="15" fillId="0" borderId="0" applyFont="0" applyFill="0" applyBorder="0" applyAlignment="0" applyProtection="0"/>
    <xf numFmtId="179" fontId="15" fillId="0" borderId="0" applyFont="0" applyFill="0" applyBorder="0" applyAlignment="0" applyProtection="0"/>
    <xf numFmtId="0" fontId="15" fillId="0" borderId="0" applyFont="0" applyFill="0" applyBorder="0" applyAlignment="0" applyProtection="0"/>
    <xf numFmtId="177" fontId="15" fillId="0" borderId="0" applyFont="0" applyFill="0" applyBorder="0" applyAlignment="0" applyProtection="0"/>
    <xf numFmtId="179" fontId="15" fillId="0" borderId="0" applyFont="0" applyFill="0" applyBorder="0" applyAlignment="0" applyProtection="0"/>
    <xf numFmtId="0" fontId="32" fillId="0" borderId="0" applyFont="0" applyFill="0" applyBorder="0" applyAlignment="0" applyProtection="0"/>
    <xf numFmtId="181" fontId="15" fillId="0" borderId="0" applyFont="0" applyFill="0" applyBorder="0" applyAlignment="0" applyProtection="0"/>
    <xf numFmtId="0" fontId="32"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33" fillId="0" borderId="0" applyFont="0" applyFill="0" applyBorder="0" applyAlignment="0" applyProtection="0"/>
    <xf numFmtId="39" fontId="15" fillId="0" borderId="0" applyFont="0" applyFill="0" applyBorder="0" applyAlignment="0" applyProtection="0"/>
    <xf numFmtId="176" fontId="15" fillId="0" borderId="0" applyFont="0" applyFill="0" applyBorder="0" applyAlignment="0" applyProtection="0"/>
    <xf numFmtId="181" fontId="20" fillId="0" borderId="0" applyFont="0" applyFill="0" applyBorder="0" applyAlignment="0" applyProtection="0"/>
    <xf numFmtId="181"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81"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81" fontId="15" fillId="0" borderId="0" applyFont="0" applyFill="0" applyBorder="0" applyAlignment="0" applyProtection="0"/>
    <xf numFmtId="39" fontId="15" fillId="0" borderId="0" applyFont="0" applyFill="0" applyBorder="0" applyAlignment="0" applyProtection="0"/>
    <xf numFmtId="3" fontId="24" fillId="32" borderId="4">
      <alignment horizontal="right"/>
    </xf>
    <xf numFmtId="4" fontId="15" fillId="32" borderId="0"/>
    <xf numFmtId="182" fontId="15" fillId="32" borderId="4"/>
    <xf numFmtId="3" fontId="24" fillId="32" borderId="4">
      <alignment horizontal="right"/>
    </xf>
    <xf numFmtId="183" fontId="15" fillId="32" borderId="4"/>
    <xf numFmtId="183" fontId="15" fillId="32" borderId="4"/>
    <xf numFmtId="184" fontId="15" fillId="32" borderId="4"/>
    <xf numFmtId="185" fontId="15" fillId="32" borderId="4"/>
    <xf numFmtId="3" fontId="24" fillId="32" borderId="4">
      <alignment horizontal="right"/>
    </xf>
    <xf numFmtId="184" fontId="15" fillId="32" borderId="4"/>
    <xf numFmtId="184" fontId="15" fillId="32" borderId="4"/>
    <xf numFmtId="179" fontId="15" fillId="32" borderId="4"/>
    <xf numFmtId="183" fontId="15" fillId="32" borderId="4"/>
    <xf numFmtId="184" fontId="15" fillId="32" borderId="4"/>
    <xf numFmtId="183" fontId="15" fillId="32" borderId="4"/>
    <xf numFmtId="183" fontId="15" fillId="32" borderId="4"/>
    <xf numFmtId="184" fontId="15" fillId="32" borderId="4"/>
    <xf numFmtId="185" fontId="15" fillId="32" borderId="4"/>
    <xf numFmtId="3" fontId="24" fillId="33" borderId="4"/>
    <xf numFmtId="183" fontId="15" fillId="32" borderId="4"/>
    <xf numFmtId="183" fontId="15" fillId="32" borderId="4"/>
    <xf numFmtId="184" fontId="15" fillId="32" borderId="4"/>
    <xf numFmtId="185" fontId="15" fillId="32" borderId="4"/>
    <xf numFmtId="183" fontId="15" fillId="32" borderId="4"/>
    <xf numFmtId="183" fontId="15" fillId="32" borderId="4"/>
    <xf numFmtId="184" fontId="15" fillId="32" borderId="4"/>
    <xf numFmtId="185" fontId="15" fillId="32" borderId="4"/>
    <xf numFmtId="3" fontId="24" fillId="32" borderId="4">
      <alignment horizontal="right"/>
    </xf>
    <xf numFmtId="166" fontId="15" fillId="32" borderId="0"/>
    <xf numFmtId="3" fontId="24" fillId="32" borderId="4">
      <alignment horizontal="right"/>
    </xf>
    <xf numFmtId="182" fontId="15" fillId="32" borderId="4"/>
    <xf numFmtId="182" fontId="15" fillId="32" borderId="4"/>
    <xf numFmtId="3" fontId="24" fillId="32" borderId="4">
      <alignment horizontal="right"/>
    </xf>
    <xf numFmtId="3" fontId="24" fillId="32" borderId="4">
      <alignment horizontal="right"/>
    </xf>
    <xf numFmtId="184" fontId="15" fillId="32" borderId="4"/>
    <xf numFmtId="179" fontId="15" fillId="32" borderId="4"/>
    <xf numFmtId="183" fontId="15" fillId="32" borderId="4"/>
    <xf numFmtId="184" fontId="15" fillId="32" borderId="4"/>
    <xf numFmtId="184" fontId="15" fillId="32" borderId="4"/>
    <xf numFmtId="179" fontId="15" fillId="32" borderId="4"/>
    <xf numFmtId="183" fontId="15" fillId="32" borderId="4"/>
    <xf numFmtId="184" fontId="15" fillId="32" borderId="4"/>
    <xf numFmtId="184" fontId="15" fillId="32" borderId="4"/>
    <xf numFmtId="179" fontId="15" fillId="32" borderId="4"/>
    <xf numFmtId="183" fontId="15" fillId="32" borderId="4"/>
    <xf numFmtId="3" fontId="24" fillId="32" borderId="4">
      <alignment horizontal="right"/>
    </xf>
    <xf numFmtId="182" fontId="15" fillId="32" borderId="4"/>
    <xf numFmtId="184" fontId="15" fillId="32" borderId="4"/>
    <xf numFmtId="184" fontId="15" fillId="32" borderId="4"/>
    <xf numFmtId="179" fontId="15" fillId="32" borderId="4"/>
    <xf numFmtId="183" fontId="15" fillId="32" borderId="4"/>
    <xf numFmtId="182" fontId="15" fillId="32" borderId="4"/>
    <xf numFmtId="182" fontId="15" fillId="32" borderId="4"/>
    <xf numFmtId="183" fontId="15" fillId="32" borderId="4"/>
    <xf numFmtId="183" fontId="15" fillId="32" borderId="4"/>
    <xf numFmtId="184" fontId="15" fillId="32" borderId="4"/>
    <xf numFmtId="185" fontId="15" fillId="32" borderId="4"/>
    <xf numFmtId="182" fontId="15" fillId="32" borderId="4"/>
    <xf numFmtId="3" fontId="24" fillId="32" borderId="4">
      <alignment horizontal="right"/>
    </xf>
    <xf numFmtId="184" fontId="15" fillId="32" borderId="4"/>
    <xf numFmtId="184" fontId="15" fillId="32" borderId="4"/>
    <xf numFmtId="179" fontId="15" fillId="32" borderId="4"/>
    <xf numFmtId="183" fontId="15" fillId="32" borderId="4"/>
    <xf numFmtId="3" fontId="24" fillId="32" borderId="4">
      <alignment horizontal="right"/>
    </xf>
    <xf numFmtId="3" fontId="24" fillId="32" borderId="4">
      <alignment horizontal="right"/>
    </xf>
    <xf numFmtId="183" fontId="15" fillId="32" borderId="4"/>
    <xf numFmtId="183" fontId="15" fillId="32" borderId="4"/>
    <xf numFmtId="184" fontId="15" fillId="32" borderId="4"/>
    <xf numFmtId="185" fontId="15" fillId="32" borderId="4"/>
    <xf numFmtId="183" fontId="15" fillId="32" borderId="4"/>
    <xf numFmtId="183" fontId="15" fillId="32" borderId="4"/>
    <xf numFmtId="184" fontId="15" fillId="32" borderId="4"/>
    <xf numFmtId="185" fontId="15" fillId="32" borderId="4"/>
    <xf numFmtId="183" fontId="15" fillId="32" borderId="4"/>
    <xf numFmtId="183" fontId="15" fillId="32" borderId="4"/>
    <xf numFmtId="184" fontId="15" fillId="32" borderId="4"/>
    <xf numFmtId="185" fontId="15" fillId="32" borderId="4"/>
    <xf numFmtId="182" fontId="15" fillId="32" borderId="4"/>
    <xf numFmtId="186" fontId="34" fillId="32" borderId="0"/>
    <xf numFmtId="182" fontId="15" fillId="32" borderId="4"/>
    <xf numFmtId="3" fontId="24" fillId="32" borderId="4">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applyFont="0" applyFill="0" applyBorder="0" applyAlignment="0" applyProtection="0"/>
    <xf numFmtId="187" fontId="15" fillId="0" borderId="0" applyFont="0" applyFill="0" applyBorder="0" applyAlignment="0" applyProtection="0"/>
    <xf numFmtId="0" fontId="17" fillId="0" borderId="0"/>
    <xf numFmtId="0" fontId="17" fillId="0" borderId="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21" fillId="0" borderId="0"/>
    <xf numFmtId="0" fontId="21"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center"/>
    </xf>
    <xf numFmtId="0" fontId="15" fillId="0" borderId="0" applyFont="0" applyFill="0" applyBorder="0" applyAlignment="0" applyProtection="0"/>
    <xf numFmtId="0" fontId="15" fillId="0" borderId="0"/>
    <xf numFmtId="0" fontId="26" fillId="32" borderId="0">
      <alignment horizontal="left"/>
    </xf>
    <xf numFmtId="0" fontId="26" fillId="32" borderId="0"/>
    <xf numFmtId="0" fontId="26" fillId="32" borderId="0">
      <alignment horizontal="left"/>
    </xf>
    <xf numFmtId="0" fontId="26" fillId="32" borderId="0">
      <alignment horizontal="left"/>
    </xf>
    <xf numFmtId="0" fontId="26" fillId="32" borderId="0"/>
    <xf numFmtId="0" fontId="15" fillId="32" borderId="0">
      <alignment wrapText="1"/>
    </xf>
    <xf numFmtId="0" fontId="26" fillId="34" borderId="0"/>
    <xf numFmtId="0" fontId="26" fillId="32" borderId="0">
      <alignment horizontal="left"/>
    </xf>
    <xf numFmtId="0" fontId="26" fillId="32" borderId="0"/>
    <xf numFmtId="0" fontId="26" fillId="32" borderId="0"/>
    <xf numFmtId="0" fontId="26" fillId="32" borderId="0">
      <alignment horizontal="left"/>
    </xf>
    <xf numFmtId="0" fontId="26" fillId="32" borderId="0">
      <alignment horizontal="left"/>
    </xf>
    <xf numFmtId="0" fontId="26" fillId="32" borderId="0">
      <alignment horizontal="left"/>
    </xf>
    <xf numFmtId="0" fontId="26" fillId="32" borderId="0"/>
    <xf numFmtId="0" fontId="26" fillId="32" borderId="0"/>
    <xf numFmtId="0" fontId="26" fillId="32" borderId="0"/>
    <xf numFmtId="0" fontId="26" fillId="32" borderId="0"/>
    <xf numFmtId="0" fontId="26" fillId="32" borderId="0">
      <alignment horizontal="left"/>
    </xf>
    <xf numFmtId="0" fontId="26" fillId="32" borderId="0">
      <alignment horizontal="left"/>
    </xf>
    <xf numFmtId="0" fontId="26" fillId="32" borderId="0">
      <alignment horizontal="left"/>
    </xf>
    <xf numFmtId="0" fontId="26" fillId="32" borderId="0"/>
    <xf numFmtId="0" fontId="26" fillId="34" borderId="0"/>
    <xf numFmtId="0" fontId="26" fillId="32" borderId="0"/>
    <xf numFmtId="0" fontId="26" fillId="32" borderId="0">
      <alignment horizontal="left"/>
    </xf>
    <xf numFmtId="0" fontId="35" fillId="0" borderId="0" applyNumberFormat="0" applyFill="0" applyBorder="0" applyAlignment="0" applyProtection="0"/>
    <xf numFmtId="188"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5" fillId="35" borderId="0" applyNumberFormat="0" applyFont="0" applyAlignment="0" applyProtection="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applyFont="0" applyFill="0" applyBorder="0" applyAlignment="0" applyProtection="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2" fillId="0" borderId="0" applyNumberFormat="0" applyAlignment="0" applyProtection="0"/>
    <xf numFmtId="0" fontId="21" fillId="0" borderId="0" applyNumberFormat="0" applyFill="0" applyBorder="0" applyAlignment="0" applyProtection="0"/>
    <xf numFmtId="0" fontId="18" fillId="0" borderId="0">
      <alignment vertical="top"/>
    </xf>
    <xf numFmtId="3" fontId="15" fillId="0" borderId="0"/>
    <xf numFmtId="0" fontId="23" fillId="0" borderId="0"/>
    <xf numFmtId="0" fontId="18" fillId="0" borderId="0">
      <alignment vertical="top"/>
    </xf>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7" fillId="0" borderId="0"/>
    <xf numFmtId="0" fontId="23" fillId="0" borderId="0"/>
    <xf numFmtId="0" fontId="23" fillId="0" borderId="0"/>
    <xf numFmtId="0" fontId="23"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5" fillId="0" borderId="0" applyFont="0" applyFill="0" applyBorder="0" applyAlignment="0" applyProtection="0"/>
    <xf numFmtId="0" fontId="23" fillId="0" borderId="0"/>
    <xf numFmtId="3" fontId="15" fillId="0" borderId="0"/>
    <xf numFmtId="0" fontId="21" fillId="0" borderId="0" applyNumberFormat="0" applyFill="0" applyBorder="0" applyAlignment="0" applyProtection="0"/>
    <xf numFmtId="38" fontId="37" fillId="0" borderId="0" applyBorder="0" applyAlignment="0" applyProtection="0"/>
    <xf numFmtId="3" fontId="32" fillId="0" borderId="0"/>
    <xf numFmtId="3" fontId="32" fillId="0" borderId="0"/>
    <xf numFmtId="0" fontId="32" fillId="0" borderId="0" applyFont="0" applyFill="0" applyBorder="0" applyAlignment="0" applyProtection="0"/>
    <xf numFmtId="189" fontId="15" fillId="0" borderId="0" applyFont="0" applyFill="0" applyBorder="0" applyAlignment="0" applyProtection="0"/>
    <xf numFmtId="0" fontId="32"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89"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1" fontId="15" fillId="0" borderId="0" applyFont="0" applyFill="0" applyBorder="0" applyAlignment="0" applyProtection="0"/>
    <xf numFmtId="189"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89" fontId="20" fillId="0" borderId="0" applyFont="0" applyFill="0" applyBorder="0" applyAlignment="0" applyProtection="0"/>
    <xf numFmtId="192"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2" fontId="15" fillId="0" borderId="0" applyFont="0" applyFill="0" applyBorder="0" applyAlignment="0" applyProtection="0"/>
    <xf numFmtId="189" fontId="15" fillId="0" borderId="0" applyFont="0" applyFill="0" applyBorder="0" applyAlignment="0" applyProtection="0"/>
    <xf numFmtId="191" fontId="15" fillId="0" borderId="0" applyFont="0" applyFill="0" applyBorder="0" applyAlignment="0" applyProtection="0"/>
    <xf numFmtId="0" fontId="32" fillId="0" borderId="0" applyFont="0" applyFill="0" applyBorder="0" applyAlignment="0" applyProtection="0"/>
    <xf numFmtId="193" fontId="15" fillId="0" borderId="0" applyFont="0" applyFill="0" applyBorder="0" applyProtection="0">
      <alignment horizontal="right"/>
    </xf>
    <xf numFmtId="0" fontId="32" fillId="0" borderId="0" applyFont="0" applyFill="0" applyBorder="0" applyAlignment="0" applyProtection="0"/>
    <xf numFmtId="194" fontId="15" fillId="0" borderId="0" applyFont="0" applyFill="0" applyBorder="0" applyAlignment="0" applyProtection="0"/>
    <xf numFmtId="184" fontId="15" fillId="0" borderId="0" applyFont="0" applyFill="0" applyBorder="0" applyAlignment="0" applyProtection="0"/>
    <xf numFmtId="194" fontId="15" fillId="0" borderId="0" applyFont="0" applyFill="0" applyBorder="0" applyAlignment="0" applyProtection="0"/>
    <xf numFmtId="193" fontId="15" fillId="0" borderId="0" applyFont="0" applyFill="0" applyBorder="0" applyProtection="0">
      <alignment horizontal="right"/>
    </xf>
    <xf numFmtId="184" fontId="15" fillId="0" borderId="0" applyFont="0" applyFill="0" applyBorder="0" applyAlignment="0" applyProtection="0"/>
    <xf numFmtId="195" fontId="15" fillId="0" borderId="0" applyFont="0" applyFill="0" applyBorder="0" applyAlignment="0" applyProtection="0"/>
    <xf numFmtId="193" fontId="15" fillId="0" borderId="0" applyFont="0" applyFill="0" applyBorder="0" applyProtection="0">
      <alignment horizontal="right"/>
    </xf>
    <xf numFmtId="195" fontId="15" fillId="0" borderId="0" applyFont="0" applyFill="0" applyBorder="0" applyAlignment="0" applyProtection="0"/>
    <xf numFmtId="184" fontId="15" fillId="0" borderId="0" applyFont="0" applyFill="0" applyBorder="0" applyAlignment="0" applyProtection="0"/>
    <xf numFmtId="184" fontId="15" fillId="0" borderId="0" applyFont="0" applyFill="0" applyBorder="0" applyAlignment="0" applyProtection="0"/>
    <xf numFmtId="193" fontId="20" fillId="0" borderId="0" applyFont="0" applyFill="0" applyBorder="0" applyProtection="0">
      <alignment horizontal="right"/>
    </xf>
    <xf numFmtId="195" fontId="15" fillId="0" borderId="0" applyFont="0" applyFill="0" applyBorder="0" applyAlignment="0" applyProtection="0"/>
    <xf numFmtId="184" fontId="15" fillId="0" borderId="0" applyFont="0" applyFill="0" applyBorder="0" applyAlignment="0" applyProtection="0"/>
    <xf numFmtId="184" fontId="15" fillId="0" borderId="0" applyFont="0" applyFill="0" applyBorder="0" applyAlignment="0" applyProtection="0"/>
    <xf numFmtId="184" fontId="15" fillId="0" borderId="0" applyFont="0" applyFill="0" applyBorder="0" applyAlignment="0" applyProtection="0"/>
    <xf numFmtId="195" fontId="15" fillId="0" borderId="0" applyFont="0" applyFill="0" applyBorder="0" applyAlignment="0" applyProtection="0"/>
    <xf numFmtId="184" fontId="15" fillId="0" borderId="0" applyFont="0" applyFill="0" applyBorder="0" applyAlignment="0" applyProtection="0"/>
    <xf numFmtId="194" fontId="15" fillId="0" borderId="0" applyFont="0" applyFill="0" applyBorder="0" applyAlignment="0" applyProtection="0"/>
    <xf numFmtId="195" fontId="15" fillId="0" borderId="0" applyFont="0" applyFill="0" applyBorder="0" applyAlignment="0" applyProtection="0"/>
    <xf numFmtId="184" fontId="15" fillId="0" borderId="0" applyFont="0" applyFill="0" applyBorder="0" applyAlignment="0" applyProtection="0"/>
    <xf numFmtId="0" fontId="17" fillId="0" borderId="0"/>
    <xf numFmtId="0" fontId="15" fillId="0" borderId="0" applyNumberFormat="0" applyFill="0" applyBorder="0" applyAlignment="0" applyProtection="0"/>
    <xf numFmtId="0" fontId="15" fillId="0" borderId="0"/>
    <xf numFmtId="196" fontId="24" fillId="0" borderId="0"/>
    <xf numFmtId="0" fontId="19" fillId="0" borderId="0">
      <alignment vertical="center"/>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32" fillId="0" borderId="0" applyFont="0" applyFill="0" applyBorder="0" applyAlignment="0" applyProtection="0"/>
    <xf numFmtId="0" fontId="32" fillId="0" borderId="0" applyFont="0" applyFill="0" applyBorder="0" applyAlignment="0" applyProtection="0"/>
    <xf numFmtId="197" fontId="15" fillId="0" borderId="0" applyFont="0" applyFill="0" applyBorder="0" applyAlignment="0" applyProtection="0"/>
    <xf numFmtId="198" fontId="15" fillId="0" borderId="0" applyFont="0" applyFill="0" applyBorder="0" applyAlignment="0" applyProtection="0"/>
    <xf numFmtId="197" fontId="15" fillId="0" borderId="0" applyFont="0" applyFill="0" applyBorder="0" applyAlignment="0" applyProtection="0"/>
    <xf numFmtId="199" fontId="15" fillId="0" borderId="0" applyFont="0" applyFill="0" applyBorder="0" applyAlignment="0" applyProtection="0"/>
    <xf numFmtId="199" fontId="33"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8" fontId="15" fillId="0" borderId="0" applyFont="0" applyFill="0" applyBorder="0" applyAlignment="0" applyProtection="0"/>
    <xf numFmtId="197" fontId="15" fillId="0" borderId="0" applyFont="0" applyFill="0" applyBorder="0" applyAlignment="0" applyProtection="0"/>
    <xf numFmtId="199" fontId="1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00" fontId="15" fillId="0" borderId="0" applyFont="0" applyFill="0" applyBorder="0" applyAlignment="0" applyProtection="0"/>
    <xf numFmtId="183" fontId="15" fillId="0" borderId="0" applyFont="0" applyFill="0" applyBorder="0" applyAlignment="0" applyProtection="0"/>
    <xf numFmtId="200" fontId="15" fillId="0" borderId="0" applyFont="0" applyFill="0" applyBorder="0" applyAlignment="0" applyProtection="0"/>
    <xf numFmtId="201" fontId="15" fillId="0" borderId="0" applyFont="0" applyFill="0" applyBorder="0" applyAlignment="0" applyProtection="0"/>
    <xf numFmtId="201" fontId="33"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183" fontId="15" fillId="0" borderId="0" applyFont="0" applyFill="0" applyBorder="0" applyAlignment="0" applyProtection="0"/>
    <xf numFmtId="200" fontId="15" fillId="0" borderId="0" applyFont="0" applyFill="0" applyBorder="0" applyAlignment="0" applyProtection="0"/>
    <xf numFmtId="201" fontId="15" fillId="0" borderId="0" applyFont="0" applyFill="0" applyBorder="0" applyAlignment="0" applyProtection="0"/>
    <xf numFmtId="3" fontId="32" fillId="0" borderId="0"/>
    <xf numFmtId="0" fontId="15" fillId="0" borderId="0"/>
    <xf numFmtId="0" fontId="15" fillId="0" borderId="0"/>
    <xf numFmtId="0" fontId="15" fillId="0" borderId="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21" fillId="0" borderId="0"/>
    <xf numFmtId="0" fontId="21" fillId="0" borderId="0"/>
    <xf numFmtId="0" fontId="15" fillId="0" borderId="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21" fillId="0" borderId="0" applyNumberFormat="0" applyFill="0" applyBorder="0" applyAlignment="0" applyProtection="0"/>
    <xf numFmtId="0" fontId="24" fillId="27" borderId="0">
      <alignment horizontal="left" wrapText="1"/>
    </xf>
    <xf numFmtId="0" fontId="15" fillId="27" borderId="0"/>
    <xf numFmtId="0" fontId="24" fillId="27" borderId="0">
      <alignment horizontal="left" wrapText="1"/>
    </xf>
    <xf numFmtId="0" fontId="24" fillId="27" borderId="0">
      <alignment horizontal="left" wrapText="1"/>
    </xf>
    <xf numFmtId="0" fontId="15" fillId="27" borderId="0"/>
    <xf numFmtId="3" fontId="24" fillId="28" borderId="0">
      <alignment horizontal="left" vertical="center"/>
    </xf>
    <xf numFmtId="0" fontId="24" fillId="27" borderId="0">
      <alignment horizontal="left" wrapText="1"/>
    </xf>
    <xf numFmtId="0" fontId="15" fillId="27" borderId="0"/>
    <xf numFmtId="0" fontId="24" fillId="27" borderId="0">
      <alignment horizontal="left" wrapText="1"/>
    </xf>
    <xf numFmtId="0" fontId="15" fillId="27" borderId="0"/>
    <xf numFmtId="0" fontId="15" fillId="27" borderId="0"/>
    <xf numFmtId="0" fontId="24" fillId="27" borderId="0">
      <alignment horizontal="left" wrapText="1"/>
    </xf>
    <xf numFmtId="0" fontId="24" fillId="27" borderId="0">
      <alignment horizontal="left" wrapText="1"/>
    </xf>
    <xf numFmtId="0" fontId="24" fillId="27" borderId="0">
      <alignment horizontal="left" wrapText="1"/>
    </xf>
    <xf numFmtId="0" fontId="15" fillId="27" borderId="0"/>
    <xf numFmtId="0" fontId="15" fillId="27" borderId="0"/>
    <xf numFmtId="0" fontId="15" fillId="27" borderId="0"/>
    <xf numFmtId="0" fontId="15" fillId="27" borderId="0"/>
    <xf numFmtId="0" fontId="24" fillId="27" borderId="0">
      <alignment horizontal="left" wrapText="1"/>
    </xf>
    <xf numFmtId="0" fontId="24" fillId="27" borderId="0">
      <alignment horizontal="left" wrapText="1"/>
    </xf>
    <xf numFmtId="0" fontId="24" fillId="27" borderId="0">
      <alignment horizontal="left" wrapText="1"/>
    </xf>
    <xf numFmtId="0" fontId="15" fillId="27" borderId="0"/>
    <xf numFmtId="0" fontId="15" fillId="27" borderId="0"/>
    <xf numFmtId="0" fontId="15" fillId="27" borderId="0"/>
    <xf numFmtId="0" fontId="24" fillId="27" borderId="0">
      <alignment horizontal="left" wrapText="1"/>
    </xf>
    <xf numFmtId="0" fontId="24" fillId="27" borderId="0">
      <alignment horizontal="left" wrapText="1"/>
    </xf>
    <xf numFmtId="0" fontId="24" fillId="28" borderId="0">
      <alignment horizontal="left"/>
    </xf>
    <xf numFmtId="0" fontId="24" fillId="28" borderId="0">
      <alignment horizontal="left"/>
    </xf>
    <xf numFmtId="0" fontId="25" fillId="29" borderId="0"/>
    <xf numFmtId="0" fontId="24" fillId="28" borderId="0">
      <alignment horizontal="left"/>
    </xf>
    <xf numFmtId="0" fontId="24" fillId="28" borderId="0">
      <alignment horizontal="left"/>
    </xf>
    <xf numFmtId="0" fontId="24" fillId="28" borderId="0">
      <alignment horizontal="left"/>
    </xf>
    <xf numFmtId="0" fontId="24" fillId="28" borderId="0">
      <alignment horizontal="left"/>
    </xf>
    <xf numFmtId="0" fontId="24" fillId="28" borderId="0">
      <alignment horizontal="left"/>
    </xf>
    <xf numFmtId="0" fontId="24" fillId="27" borderId="0">
      <alignment horizontal="left" wrapText="1"/>
    </xf>
    <xf numFmtId="0" fontId="24" fillId="27" borderId="0">
      <alignment horizontal="left" wrapText="1"/>
    </xf>
    <xf numFmtId="0" fontId="11" fillId="27" borderId="0"/>
    <xf numFmtId="0" fontId="24" fillId="27" borderId="0">
      <alignment horizontal="left" wrapText="1"/>
    </xf>
    <xf numFmtId="0" fontId="24" fillId="28" borderId="0">
      <alignment horizontal="left"/>
    </xf>
    <xf numFmtId="0" fontId="24" fillId="28" borderId="0">
      <alignment horizontal="left"/>
    </xf>
    <xf numFmtId="0" fontId="24" fillId="28" borderId="0">
      <alignment horizontal="left"/>
    </xf>
    <xf numFmtId="0" fontId="24" fillId="28" borderId="0">
      <alignment horizontal="left"/>
    </xf>
    <xf numFmtId="0" fontId="26" fillId="27" borderId="0"/>
    <xf numFmtId="0" fontId="24" fillId="28" borderId="0">
      <alignment horizontal="left"/>
    </xf>
    <xf numFmtId="0" fontId="27" fillId="30" borderId="0"/>
    <xf numFmtId="0" fontId="24" fillId="27" borderId="0">
      <alignment horizontal="left" wrapText="1"/>
    </xf>
    <xf numFmtId="0" fontId="24" fillId="28" borderId="0">
      <alignment horizontal="left"/>
    </xf>
    <xf numFmtId="0" fontId="24" fillId="28" borderId="0">
      <alignment horizontal="left"/>
    </xf>
    <xf numFmtId="0" fontId="24" fillId="27" borderId="0">
      <alignment horizontal="left" wrapText="1"/>
    </xf>
    <xf numFmtId="0" fontId="24" fillId="27" borderId="0">
      <alignment horizontal="left" wrapText="1"/>
    </xf>
    <xf numFmtId="0" fontId="27" fillId="30" borderId="0"/>
    <xf numFmtId="0" fontId="24" fillId="27" borderId="0">
      <alignment horizontal="left"/>
    </xf>
    <xf numFmtId="0" fontId="24" fillId="28" borderId="0">
      <alignment horizontal="left"/>
    </xf>
    <xf numFmtId="0" fontId="24" fillId="28" borderId="0">
      <alignment horizontal="left"/>
    </xf>
    <xf numFmtId="0" fontId="24" fillId="28" borderId="0">
      <alignment horizontal="left"/>
    </xf>
    <xf numFmtId="0" fontId="24" fillId="28" borderId="0">
      <alignment horizontal="left"/>
    </xf>
    <xf numFmtId="0" fontId="15" fillId="27" borderId="0"/>
    <xf numFmtId="0" fontId="24" fillId="28" borderId="0">
      <alignment horizontal="left"/>
    </xf>
    <xf numFmtId="0" fontId="29" fillId="31" borderId="0"/>
    <xf numFmtId="0" fontId="24" fillId="27" borderId="0">
      <alignment horizontal="left"/>
    </xf>
    <xf numFmtId="0" fontId="24" fillId="28" borderId="0">
      <alignment horizontal="left"/>
    </xf>
    <xf numFmtId="0" fontId="24" fillId="28" borderId="0">
      <alignment horizontal="left"/>
    </xf>
    <xf numFmtId="0" fontId="24" fillId="27" borderId="0">
      <alignment horizontal="left"/>
    </xf>
    <xf numFmtId="0" fontId="24" fillId="27" borderId="0">
      <alignment horizontal="left"/>
    </xf>
    <xf numFmtId="0" fontId="29" fillId="31" borderId="0"/>
    <xf numFmtId="0" fontId="24" fillId="27" borderId="0">
      <alignment horizontal="left"/>
    </xf>
    <xf numFmtId="0" fontId="24" fillId="28" borderId="0">
      <alignment horizontal="left"/>
    </xf>
    <xf numFmtId="0" fontId="24" fillId="28" borderId="0">
      <alignment horizontal="left"/>
    </xf>
    <xf numFmtId="0" fontId="24" fillId="28" borderId="0">
      <alignment horizontal="left"/>
    </xf>
    <xf numFmtId="0" fontId="24" fillId="28" borderId="0">
      <alignment horizontal="left"/>
    </xf>
    <xf numFmtId="0" fontId="30" fillId="27" borderId="0"/>
    <xf numFmtId="0" fontId="24" fillId="28" borderId="0">
      <alignment horizontal="left"/>
    </xf>
    <xf numFmtId="0" fontId="30" fillId="0" borderId="0"/>
    <xf numFmtId="0" fontId="24" fillId="27" borderId="0">
      <alignment horizontal="left"/>
    </xf>
    <xf numFmtId="0" fontId="24" fillId="28" borderId="0">
      <alignment horizontal="left"/>
    </xf>
    <xf numFmtId="0" fontId="24" fillId="28" borderId="0">
      <alignment horizontal="left"/>
    </xf>
    <xf numFmtId="0" fontId="24" fillId="27" borderId="0">
      <alignment horizontal="left"/>
    </xf>
    <xf numFmtId="0" fontId="24" fillId="27" borderId="0">
      <alignment horizontal="left"/>
    </xf>
    <xf numFmtId="0" fontId="30" fillId="0" borderId="0"/>
    <xf numFmtId="0" fontId="24" fillId="27" borderId="0">
      <alignment horizontal="left"/>
    </xf>
    <xf numFmtId="0" fontId="24" fillId="28" borderId="0">
      <alignment horizontal="left"/>
    </xf>
    <xf numFmtId="0" fontId="24" fillId="28" borderId="0">
      <alignment horizontal="left"/>
    </xf>
    <xf numFmtId="0" fontId="24" fillId="28" borderId="0">
      <alignment horizontal="left"/>
    </xf>
    <xf numFmtId="0" fontId="24" fillId="28" borderId="0">
      <alignment horizontal="left"/>
    </xf>
    <xf numFmtId="0" fontId="31" fillId="27" borderId="0"/>
    <xf numFmtId="0" fontId="24" fillId="28" borderId="0">
      <alignment horizontal="left"/>
    </xf>
    <xf numFmtId="0" fontId="31" fillId="0" borderId="0"/>
    <xf numFmtId="0" fontId="24" fillId="27" borderId="0">
      <alignment horizontal="left"/>
    </xf>
    <xf numFmtId="0" fontId="24" fillId="28" borderId="0">
      <alignment horizontal="left"/>
    </xf>
    <xf numFmtId="0" fontId="24" fillId="28" borderId="0">
      <alignment horizontal="left"/>
    </xf>
    <xf numFmtId="0" fontId="24" fillId="27" borderId="0">
      <alignment horizontal="left"/>
    </xf>
    <xf numFmtId="0" fontId="24" fillId="27" borderId="0">
      <alignment horizontal="left"/>
    </xf>
    <xf numFmtId="0" fontId="31" fillId="0" borderId="0"/>
    <xf numFmtId="0" fontId="24" fillId="27" borderId="0">
      <alignment horizontal="left"/>
    </xf>
    <xf numFmtId="0" fontId="24" fillId="28" borderId="0">
      <alignment horizontal="left"/>
    </xf>
    <xf numFmtId="0" fontId="24" fillId="28" borderId="0">
      <alignment horizontal="left"/>
    </xf>
    <xf numFmtId="0" fontId="24" fillId="28" borderId="0">
      <alignment horizontal="left"/>
    </xf>
    <xf numFmtId="0" fontId="24" fillId="28" borderId="0">
      <alignment horizontal="left"/>
    </xf>
    <xf numFmtId="0" fontId="24" fillId="27" borderId="0"/>
    <xf numFmtId="0" fontId="24" fillId="28" borderId="0">
      <alignment horizontal="left"/>
    </xf>
    <xf numFmtId="0" fontId="24" fillId="0" borderId="0"/>
    <xf numFmtId="0" fontId="24" fillId="27" borderId="0">
      <alignment horizontal="left"/>
    </xf>
    <xf numFmtId="0" fontId="24" fillId="28" borderId="0">
      <alignment horizontal="left"/>
    </xf>
    <xf numFmtId="0" fontId="24" fillId="28" borderId="0">
      <alignment horizontal="left"/>
    </xf>
    <xf numFmtId="0" fontId="24" fillId="27" borderId="0">
      <alignment horizontal="left"/>
    </xf>
    <xf numFmtId="0" fontId="24" fillId="27" borderId="0">
      <alignment horizontal="left"/>
    </xf>
    <xf numFmtId="0" fontId="24" fillId="0" borderId="0"/>
    <xf numFmtId="0" fontId="21" fillId="0" borderId="0"/>
    <xf numFmtId="0" fontId="21" fillId="0" borderId="0"/>
    <xf numFmtId="3" fontId="15" fillId="0" borderId="0"/>
    <xf numFmtId="3" fontId="15" fillId="0" borderId="0"/>
    <xf numFmtId="0" fontId="19" fillId="0" borderId="0">
      <alignment vertical="center"/>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188" fontId="15" fillId="0" borderId="0" applyNumberFormat="0" applyFill="0" applyBorder="0" applyProtection="0">
      <alignment vertical="top"/>
    </xf>
    <xf numFmtId="0" fontId="38" fillId="0" borderId="0" applyNumberFormat="0" applyFill="0" applyBorder="0" applyAlignment="0" applyProtection="0">
      <alignment vertical="top"/>
    </xf>
    <xf numFmtId="0" fontId="38" fillId="0" borderId="0" applyNumberFormat="0" applyFill="0" applyBorder="0" applyProtection="0">
      <alignment vertical="top"/>
    </xf>
    <xf numFmtId="0" fontId="38" fillId="0" borderId="0" applyNumberFormat="0" applyFill="0" applyBorder="0" applyAlignment="0" applyProtection="0">
      <alignment vertical="top"/>
    </xf>
    <xf numFmtId="0" fontId="38" fillId="0" borderId="0" applyNumberFormat="0" applyFill="0" applyBorder="0" applyProtection="0">
      <alignment vertical="top"/>
    </xf>
    <xf numFmtId="0" fontId="38" fillId="0" borderId="0" applyNumberFormat="0" applyFill="0" applyBorder="0" applyAlignment="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Protection="0">
      <alignment vertical="top"/>
    </xf>
    <xf numFmtId="0" fontId="38" fillId="0" borderId="0" applyNumberFormat="0" applyFill="0" applyBorder="0" applyAlignment="0" applyProtection="0">
      <alignment vertical="top"/>
    </xf>
    <xf numFmtId="0" fontId="38" fillId="0" borderId="0" applyNumberFormat="0" applyFill="0" applyBorder="0" applyProtection="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188" fontId="15" fillId="0" borderId="5" applyNumberFormat="0" applyFill="0" applyAlignment="0" applyProtection="0"/>
    <xf numFmtId="202" fontId="39" fillId="0" borderId="6" applyNumberFormat="0" applyFill="0" applyAlignment="0" applyProtection="0"/>
    <xf numFmtId="0" fontId="40" fillId="0" borderId="7" applyNumberFormat="0" applyFill="0" applyProtection="0">
      <alignment horizontal="center"/>
    </xf>
    <xf numFmtId="188" fontId="15" fillId="0" borderId="7" applyNumberFormat="0" applyFill="0" applyProtection="0">
      <alignment horizontal="center"/>
    </xf>
    <xf numFmtId="0" fontId="40" fillId="0" borderId="7" applyNumberFormat="0" applyFill="0" applyProtection="0">
      <alignment horizontal="center"/>
    </xf>
    <xf numFmtId="0" fontId="15" fillId="0" borderId="8" applyNumberFormat="0" applyFont="0" applyFill="0" applyAlignment="0" applyProtection="0"/>
    <xf numFmtId="0" fontId="40" fillId="0" borderId="0" applyNumberFormat="0" applyFill="0" applyBorder="0" applyProtection="0">
      <alignment horizontal="left"/>
    </xf>
    <xf numFmtId="0" fontId="40" fillId="0" borderId="0" applyNumberFormat="0" applyFill="0" applyBorder="0" applyProtection="0">
      <alignment horizontal="left"/>
    </xf>
    <xf numFmtId="0" fontId="41" fillId="0" borderId="0" applyNumberFormat="0" applyFill="0" applyBorder="0" applyProtection="0">
      <alignment horizontal="centerContinuous"/>
    </xf>
    <xf numFmtId="0" fontId="41" fillId="0" borderId="0" applyNumberFormat="0" applyFill="0" applyBorder="0" applyProtection="0">
      <alignment horizontal="centerContinuous"/>
    </xf>
    <xf numFmtId="0" fontId="41" fillId="0" borderId="0" applyNumberFormat="0" applyFill="0" applyBorder="0" applyProtection="0">
      <alignment horizontal="centerContinuous"/>
    </xf>
    <xf numFmtId="0" fontId="41" fillId="0" borderId="0" applyNumberFormat="0" applyFill="0" applyBorder="0" applyProtection="0">
      <alignment horizontal="centerContinuous"/>
    </xf>
    <xf numFmtId="188" fontId="15" fillId="0" borderId="0" applyNumberFormat="0" applyFill="0" applyBorder="0" applyProtection="0">
      <alignment horizontal="centerContinuous"/>
    </xf>
    <xf numFmtId="202" fontId="41" fillId="0" borderId="0" applyNumberFormat="0" applyFill="0" applyProtection="0">
      <alignment horizontal="centerContinuous"/>
    </xf>
    <xf numFmtId="0" fontId="41" fillId="0" borderId="0" applyNumberFormat="0" applyFill="0" applyBorder="0" applyProtection="0">
      <alignment horizontal="centerContinuous"/>
    </xf>
    <xf numFmtId="0" fontId="39" fillId="0" borderId="0" applyNumberFormat="0" applyFill="0" applyBorder="0" applyAlignment="0" applyProtection="0"/>
    <xf numFmtId="0" fontId="15" fillId="0" borderId="0" applyNumberFormat="0" applyFont="0" applyFill="0" applyBorder="0" applyAlignment="0" applyProtection="0"/>
    <xf numFmtId="3" fontId="32" fillId="0" borderId="0"/>
    <xf numFmtId="3" fontId="32" fillId="0" borderId="0"/>
    <xf numFmtId="0" fontId="15" fillId="0" borderId="0"/>
    <xf numFmtId="0" fontId="15" fillId="0" borderId="0" applyNumberFormat="0" applyFill="0" applyBorder="0" applyAlignment="0" applyProtection="0"/>
    <xf numFmtId="0" fontId="19" fillId="0" borderId="0">
      <alignment vertical="center"/>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5" fillId="0" borderId="0" applyNumberFormat="0" applyFill="0" applyBorder="0" applyAlignment="0" applyProtection="0"/>
    <xf numFmtId="0" fontId="23" fillId="0" borderId="0"/>
    <xf numFmtId="0" fontId="15" fillId="0" borderId="0" applyFont="0" applyFill="0" applyBorder="0" applyAlignment="0" applyProtection="0"/>
    <xf numFmtId="0" fontId="15" fillId="0" borderId="0" applyFont="0" applyFill="0" applyBorder="0" applyAlignment="0" applyProtection="0"/>
    <xf numFmtId="0" fontId="22" fillId="0" borderId="0" applyNumberFormat="0" applyAlignment="0" applyProtection="0"/>
    <xf numFmtId="196" fontId="24" fillId="0" borderId="0"/>
    <xf numFmtId="3" fontId="15" fillId="0" borderId="0"/>
    <xf numFmtId="0" fontId="19" fillId="0" borderId="0">
      <alignment vertical="center"/>
    </xf>
    <xf numFmtId="0" fontId="19"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7" fillId="0" borderId="0"/>
    <xf numFmtId="0" fontId="1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7" fillId="0" borderId="0"/>
    <xf numFmtId="0" fontId="17" fillId="0" borderId="0"/>
    <xf numFmtId="0" fontId="17" fillId="0" borderId="0"/>
    <xf numFmtId="0" fontId="17" fillId="0" borderId="0"/>
    <xf numFmtId="188" fontId="20" fillId="0" borderId="0" applyFont="0" applyFill="0" applyBorder="0" applyAlignment="0" applyProtection="0"/>
    <xf numFmtId="203" fontId="20" fillId="0" borderId="0" applyFont="0" applyFill="0" applyBorder="0" applyAlignment="0" applyProtection="0"/>
    <xf numFmtId="204" fontId="20" fillId="0" borderId="0" applyFont="0" applyFill="0" applyBorder="0" applyAlignment="0" applyProtection="0"/>
    <xf numFmtId="196" fontId="15" fillId="0" borderId="0"/>
    <xf numFmtId="178" fontId="20" fillId="0" borderId="0"/>
    <xf numFmtId="195" fontId="20" fillId="0" borderId="0"/>
    <xf numFmtId="205" fontId="20" fillId="0" borderId="0"/>
    <xf numFmtId="184" fontId="42" fillId="0" borderId="0" applyFont="0" applyFill="0" applyBorder="0" applyAlignment="0" applyProtection="0"/>
    <xf numFmtId="198" fontId="42" fillId="0" borderId="0" applyFont="0" applyFill="0" applyBorder="0" applyAlignment="0" applyProtection="0"/>
    <xf numFmtId="183" fontId="42" fillId="0" borderId="0" applyFont="0" applyFill="0" applyBorder="0" applyAlignment="0" applyProtection="0"/>
    <xf numFmtId="206" fontId="42" fillId="0" borderId="0" applyFont="0" applyFill="0" applyBorder="0" applyAlignment="0" applyProtection="0"/>
    <xf numFmtId="185" fontId="42" fillId="0" borderId="0" applyFont="0" applyFill="0" applyBorder="0" applyAlignment="0" applyProtection="0"/>
    <xf numFmtId="207" fontId="43" fillId="0" borderId="0" applyFont="0" applyFill="0" applyBorder="0" applyAlignment="0" applyProtection="0"/>
    <xf numFmtId="0" fontId="44" fillId="0" borderId="0"/>
    <xf numFmtId="208" fontId="20" fillId="0" borderId="0" applyFont="0" applyFill="0" applyBorder="0" applyAlignment="0" applyProtection="0"/>
    <xf numFmtId="0" fontId="15" fillId="0" borderId="0"/>
    <xf numFmtId="202" fontId="19" fillId="0" borderId="0"/>
    <xf numFmtId="0" fontId="15" fillId="0" borderId="0"/>
    <xf numFmtId="0" fontId="15" fillId="0" borderId="0"/>
    <xf numFmtId="0" fontId="20" fillId="0" borderId="0"/>
    <xf numFmtId="0" fontId="31" fillId="0" borderId="0" applyNumberFormat="0" applyFill="0" applyBorder="0" applyAlignment="0" applyProtection="0"/>
    <xf numFmtId="209" fontId="45" fillId="36" borderId="9"/>
    <xf numFmtId="10" fontId="20" fillId="0" borderId="0" applyFont="0" applyFill="0" applyBorder="0" applyAlignment="0" applyProtection="0"/>
    <xf numFmtId="210" fontId="15" fillId="36" borderId="0"/>
    <xf numFmtId="0" fontId="31" fillId="0" borderId="0" applyNumberFormat="0" applyFill="0" applyBorder="0" applyAlignment="0" applyProtection="0"/>
    <xf numFmtId="179" fontId="16" fillId="0" borderId="0">
      <alignment horizontal="center"/>
    </xf>
    <xf numFmtId="211" fontId="46" fillId="0" borderId="0">
      <alignment horizontal="center"/>
    </xf>
    <xf numFmtId="49" fontId="47" fillId="36" borderId="0" applyFill="0" applyBorder="0">
      <alignment horizontal="left"/>
    </xf>
    <xf numFmtId="0" fontId="24" fillId="0" borderId="10" applyNumberFormat="0" applyFont="0" applyAlignment="0">
      <alignment vertical="center"/>
    </xf>
    <xf numFmtId="0" fontId="48" fillId="0" borderId="0" applyFill="0" applyBorder="0">
      <alignment vertical="center"/>
    </xf>
    <xf numFmtId="212" fontId="49" fillId="0" borderId="0" applyFill="0" applyBorder="0">
      <alignment horizontal="right" vertical="center"/>
    </xf>
    <xf numFmtId="212" fontId="24" fillId="0" borderId="0" applyFill="0" applyBorder="0">
      <alignment horizontal="right" vertical="center"/>
    </xf>
    <xf numFmtId="213" fontId="24" fillId="0" borderId="0" applyFill="0" applyBorder="0">
      <alignment horizontal="right" vertical="center"/>
    </xf>
    <xf numFmtId="0" fontId="49" fillId="0" borderId="10" applyFill="0" applyBorder="0">
      <alignment vertical="center"/>
    </xf>
    <xf numFmtId="177" fontId="15" fillId="0" borderId="0" applyFont="0" applyFill="0" applyBorder="0" applyAlignment="0" applyProtection="0"/>
    <xf numFmtId="214" fontId="15" fillId="0" borderId="0" applyFont="0" applyBorder="0"/>
    <xf numFmtId="176" fontId="15" fillId="0" borderId="0"/>
    <xf numFmtId="215" fontId="15" fillId="0" borderId="0">
      <alignment horizontal="right"/>
      <protection locked="0"/>
    </xf>
    <xf numFmtId="181" fontId="15" fillId="0" borderId="3" applyFont="0" applyFill="0" applyBorder="0" applyAlignment="0" applyProtection="0">
      <alignment horizontal="right"/>
    </xf>
    <xf numFmtId="216" fontId="50" fillId="0" borderId="0"/>
    <xf numFmtId="217" fontId="51" fillId="37" borderId="0">
      <alignment horizontal="right"/>
    </xf>
    <xf numFmtId="176" fontId="24" fillId="0" borderId="0">
      <alignment horizontal="right"/>
    </xf>
    <xf numFmtId="218" fontId="15"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1" fillId="7" borderId="0" applyNumberFormat="0" applyBorder="0" applyAlignment="0" applyProtection="0"/>
    <xf numFmtId="0" fontId="52" fillId="38" borderId="0" applyNumberFormat="0" applyBorder="0" applyAlignment="0" applyProtection="0"/>
    <xf numFmtId="0" fontId="52" fillId="43" borderId="0" applyNumberFormat="0" applyBorder="0" applyAlignment="0" applyProtection="0"/>
    <xf numFmtId="0" fontId="1" fillId="11" borderId="0" applyNumberFormat="0" applyBorder="0" applyAlignment="0" applyProtection="0"/>
    <xf numFmtId="0" fontId="52" fillId="39" borderId="0" applyNumberFormat="0" applyBorder="0" applyAlignment="0" applyProtection="0"/>
    <xf numFmtId="0" fontId="52" fillId="45" borderId="0" applyNumberFormat="0" applyBorder="0" applyAlignment="0" applyProtection="0"/>
    <xf numFmtId="0" fontId="1" fillId="13" borderId="0" applyNumberFormat="0" applyBorder="0" applyAlignment="0" applyProtection="0"/>
    <xf numFmtId="0" fontId="52" fillId="40" borderId="0" applyNumberFormat="0" applyBorder="0" applyAlignment="0" applyProtection="0"/>
    <xf numFmtId="0" fontId="52" fillId="44" borderId="0" applyNumberFormat="0" applyBorder="0" applyAlignment="0" applyProtection="0"/>
    <xf numFmtId="0" fontId="1" fillId="17"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3" fillId="38" borderId="0" applyNumberFormat="0" applyBorder="0" applyAlignment="0" applyProtection="0">
      <alignment vertical="center"/>
    </xf>
    <xf numFmtId="0" fontId="53" fillId="39" borderId="0" applyNumberFormat="0" applyBorder="0" applyAlignment="0" applyProtection="0">
      <alignment vertical="center"/>
    </xf>
    <xf numFmtId="0" fontId="53" fillId="40" borderId="0" applyNumberFormat="0" applyBorder="0" applyAlignment="0" applyProtection="0">
      <alignment vertical="center"/>
    </xf>
    <xf numFmtId="0" fontId="53" fillId="41" borderId="0" applyNumberFormat="0" applyBorder="0" applyAlignment="0" applyProtection="0">
      <alignment vertical="center"/>
    </xf>
    <xf numFmtId="0" fontId="53" fillId="42" borderId="0" applyNumberFormat="0" applyBorder="0" applyAlignment="0" applyProtection="0">
      <alignment vertical="center"/>
    </xf>
    <xf numFmtId="0" fontId="53" fillId="43" borderId="0" applyNumberFormat="0" applyBorder="0" applyAlignment="0" applyProtection="0">
      <alignment vertical="center"/>
    </xf>
    <xf numFmtId="217" fontId="54" fillId="46" borderId="0">
      <alignment horizontal="right"/>
    </xf>
    <xf numFmtId="37" fontId="15" fillId="0" borderId="0"/>
    <xf numFmtId="0" fontId="15" fillId="0" borderId="0" applyFont="0" applyFill="0" applyBorder="0" applyAlignment="0" applyProtection="0"/>
    <xf numFmtId="195" fontId="15" fillId="0" borderId="0" applyFont="0" applyFill="0" applyBorder="0" applyAlignment="0" applyProtection="0"/>
    <xf numFmtId="217" fontId="51" fillId="47" borderId="0">
      <alignment horizontal="right"/>
    </xf>
    <xf numFmtId="0" fontId="52" fillId="48"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52" fillId="41" borderId="0" applyNumberFormat="0" applyBorder="0" applyAlignment="0" applyProtection="0"/>
    <xf numFmtId="0" fontId="52" fillId="48" borderId="0" applyNumberFormat="0" applyBorder="0" applyAlignment="0" applyProtection="0"/>
    <xf numFmtId="0" fontId="52" fillId="51" borderId="0" applyNumberFormat="0" applyBorder="0" applyAlignment="0" applyProtection="0"/>
    <xf numFmtId="0" fontId="52" fillId="48"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52" fillId="41" borderId="0" applyNumberFormat="0" applyBorder="0" applyAlignment="0" applyProtection="0"/>
    <xf numFmtId="0" fontId="52" fillId="48" borderId="0" applyNumberFormat="0" applyBorder="0" applyAlignment="0" applyProtection="0"/>
    <xf numFmtId="0" fontId="52" fillId="51" borderId="0" applyNumberFormat="0" applyBorder="0" applyAlignment="0" applyProtection="0"/>
    <xf numFmtId="0" fontId="52" fillId="52" borderId="0" applyNumberFormat="0" applyBorder="0" applyAlignment="0" applyProtection="0"/>
    <xf numFmtId="0" fontId="1" fillId="8" borderId="0" applyNumberFormat="0" applyBorder="0" applyAlignment="0" applyProtection="0"/>
    <xf numFmtId="0" fontId="52" fillId="4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35" borderId="0" applyNumberFormat="0" applyBorder="0" applyAlignment="0" applyProtection="0"/>
    <xf numFmtId="0" fontId="1" fillId="14" borderId="0" applyNumberFormat="0" applyBorder="0" applyAlignment="0" applyProtection="0"/>
    <xf numFmtId="0" fontId="52" fillId="50" borderId="0" applyNumberFormat="0" applyBorder="0" applyAlignment="0" applyProtection="0"/>
    <xf numFmtId="0" fontId="52" fillId="52" borderId="0" applyNumberFormat="0" applyBorder="0" applyAlignment="0" applyProtection="0"/>
    <xf numFmtId="0" fontId="1" fillId="18" borderId="0" applyNumberFormat="0" applyBorder="0" applyAlignment="0" applyProtection="0"/>
    <xf numFmtId="0" fontId="52" fillId="41"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3" borderId="0" applyNumberFormat="0" applyBorder="0" applyAlignment="0" applyProtection="0"/>
    <xf numFmtId="0" fontId="1" fillId="20" borderId="0" applyNumberFormat="0" applyBorder="0" applyAlignment="0" applyProtection="0"/>
    <xf numFmtId="0" fontId="52" fillId="51" borderId="0" applyNumberFormat="0" applyBorder="0" applyAlignment="0" applyProtection="0"/>
    <xf numFmtId="0" fontId="52" fillId="48"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52" fillId="41" borderId="0" applyNumberFormat="0" applyBorder="0" applyAlignment="0" applyProtection="0"/>
    <xf numFmtId="0" fontId="52" fillId="48" borderId="0" applyNumberFormat="0" applyBorder="0" applyAlignment="0" applyProtection="0"/>
    <xf numFmtId="0" fontId="52" fillId="51" borderId="0" applyNumberFormat="0" applyBorder="0" applyAlignment="0" applyProtection="0"/>
    <xf numFmtId="0" fontId="53" fillId="48" borderId="0" applyNumberFormat="0" applyBorder="0" applyAlignment="0" applyProtection="0">
      <alignment vertical="center"/>
    </xf>
    <xf numFmtId="0" fontId="53" fillId="49" borderId="0" applyNumberFormat="0" applyBorder="0" applyAlignment="0" applyProtection="0">
      <alignment vertical="center"/>
    </xf>
    <xf numFmtId="0" fontId="53" fillId="50" borderId="0" applyNumberFormat="0" applyBorder="0" applyAlignment="0" applyProtection="0">
      <alignment vertical="center"/>
    </xf>
    <xf numFmtId="0" fontId="53" fillId="41" borderId="0" applyNumberFormat="0" applyBorder="0" applyAlignment="0" applyProtection="0">
      <alignment vertical="center"/>
    </xf>
    <xf numFmtId="0" fontId="53" fillId="48" borderId="0" applyNumberFormat="0" applyBorder="0" applyAlignment="0" applyProtection="0">
      <alignment vertical="center"/>
    </xf>
    <xf numFmtId="0" fontId="53" fillId="51" borderId="0" applyNumberFormat="0" applyBorder="0" applyAlignment="0" applyProtection="0">
      <alignment vertical="center"/>
    </xf>
    <xf numFmtId="217" fontId="29" fillId="53" borderId="0">
      <alignment horizontal="right"/>
    </xf>
    <xf numFmtId="217" fontId="29" fillId="54" borderId="0">
      <alignment horizontal="right"/>
    </xf>
    <xf numFmtId="0" fontId="55" fillId="55"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58" borderId="0" applyNumberFormat="0" applyBorder="0" applyAlignment="0" applyProtection="0"/>
    <xf numFmtId="0" fontId="55" fillId="57" borderId="0" applyNumberFormat="0" applyBorder="0" applyAlignment="0" applyProtection="0"/>
    <xf numFmtId="0" fontId="6" fillId="9" borderId="0" applyNumberFormat="0" applyBorder="0" applyAlignment="0" applyProtection="0"/>
    <xf numFmtId="0" fontId="55" fillId="55"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35" borderId="0" applyNumberFormat="0" applyBorder="0" applyAlignment="0" applyProtection="0"/>
    <xf numFmtId="0" fontId="6" fillId="15" borderId="0" applyNumberFormat="0" applyBorder="0" applyAlignment="0" applyProtection="0"/>
    <xf numFmtId="0" fontId="55" fillId="50" borderId="0" applyNumberFormat="0" applyBorder="0" applyAlignment="0" applyProtection="0"/>
    <xf numFmtId="0" fontId="55" fillId="52" borderId="0" applyNumberFormat="0" applyBorder="0" applyAlignment="0" applyProtection="0"/>
    <xf numFmtId="0" fontId="6" fillId="19"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43" borderId="0" applyNumberFormat="0" applyBorder="0" applyAlignment="0" applyProtection="0"/>
    <xf numFmtId="0" fontId="6" fillId="21" borderId="0" applyNumberFormat="0" applyBorder="0" applyAlignment="0" applyProtection="0"/>
    <xf numFmtId="0" fontId="55" fillId="58" borderId="0" applyNumberFormat="0" applyBorder="0" applyAlignment="0" applyProtection="0"/>
    <xf numFmtId="0" fontId="55" fillId="55"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58" borderId="0" applyNumberFormat="0" applyBorder="0" applyAlignment="0" applyProtection="0"/>
    <xf numFmtId="0" fontId="56" fillId="55" borderId="0" applyNumberFormat="0" applyBorder="0" applyAlignment="0" applyProtection="0">
      <alignment vertical="center"/>
    </xf>
    <xf numFmtId="0" fontId="56" fillId="49" borderId="0" applyNumberFormat="0" applyBorder="0" applyAlignment="0" applyProtection="0">
      <alignment vertical="center"/>
    </xf>
    <xf numFmtId="0" fontId="56" fillId="50" borderId="0" applyNumberFormat="0" applyBorder="0" applyAlignment="0" applyProtection="0">
      <alignment vertical="center"/>
    </xf>
    <xf numFmtId="0" fontId="56" fillId="56" borderId="0" applyNumberFormat="0" applyBorder="0" applyAlignment="0" applyProtection="0">
      <alignment vertical="center"/>
    </xf>
    <xf numFmtId="0" fontId="56" fillId="57" borderId="0" applyNumberFormat="0" applyBorder="0" applyAlignment="0" applyProtection="0">
      <alignment vertical="center"/>
    </xf>
    <xf numFmtId="0" fontId="56" fillId="58" borderId="0" applyNumberFormat="0" applyBorder="0" applyAlignment="0" applyProtection="0">
      <alignment vertical="center"/>
    </xf>
    <xf numFmtId="219" fontId="46" fillId="0" borderId="0">
      <alignment horizontal="center"/>
    </xf>
    <xf numFmtId="217" fontId="23" fillId="0" borderId="0">
      <protection locked="0"/>
    </xf>
    <xf numFmtId="217" fontId="57" fillId="59" borderId="0">
      <alignment horizontal="right"/>
    </xf>
    <xf numFmtId="220" fontId="46" fillId="0" borderId="0">
      <alignment horizontal="center"/>
    </xf>
    <xf numFmtId="217" fontId="58" fillId="60" borderId="0">
      <alignment horizontal="right"/>
    </xf>
    <xf numFmtId="217" fontId="59" fillId="61" borderId="0">
      <alignment horizontal="right"/>
    </xf>
    <xf numFmtId="221" fontId="15" fillId="29" borderId="0">
      <alignment horizontal="right"/>
    </xf>
    <xf numFmtId="222" fontId="15" fillId="0" borderId="0" applyFill="0" applyBorder="0" applyProtection="0">
      <alignment horizontal="right"/>
    </xf>
    <xf numFmtId="172" fontId="15" fillId="0" borderId="0" applyFont="0" applyFill="0" applyBorder="0" applyProtection="0">
      <alignment horizontal="right"/>
    </xf>
    <xf numFmtId="37" fontId="58" fillId="32" borderId="11"/>
    <xf numFmtId="223" fontId="15" fillId="32" borderId="12"/>
    <xf numFmtId="0" fontId="15" fillId="0" borderId="0"/>
    <xf numFmtId="0" fontId="15" fillId="0" borderId="0"/>
    <xf numFmtId="224" fontId="60" fillId="29" borderId="0">
      <alignment horizontal="right"/>
    </xf>
    <xf numFmtId="224" fontId="60" fillId="29" borderId="0">
      <alignment horizontal="right"/>
    </xf>
    <xf numFmtId="37" fontId="61" fillId="0" borderId="0"/>
    <xf numFmtId="0" fontId="14" fillId="33" borderId="0"/>
    <xf numFmtId="214" fontId="15" fillId="0" borderId="0" applyNumberFormat="0" applyFill="0" applyBorder="0" applyAlignment="0"/>
    <xf numFmtId="0" fontId="55" fillId="62"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65" borderId="0" applyNumberFormat="0" applyBorder="0" applyAlignment="0" applyProtection="0"/>
    <xf numFmtId="185" fontId="15" fillId="0" borderId="0" applyFont="0" applyFill="0" applyBorder="0" applyAlignment="0" applyProtection="0"/>
    <xf numFmtId="225" fontId="15" fillId="0" borderId="0" applyFont="0" applyFill="0" applyBorder="0" applyAlignment="0" applyProtection="0"/>
    <xf numFmtId="41" fontId="50" fillId="0" borderId="0" applyFont="0" applyFill="0" applyBorder="0" applyAlignment="0" applyProtection="0"/>
    <xf numFmtId="226" fontId="15" fillId="0" borderId="0" applyFont="0" applyFill="0" applyBorder="0" applyAlignment="0" applyProtection="0"/>
    <xf numFmtId="43" fontId="50" fillId="0" borderId="0" applyFont="0" applyFill="0" applyBorder="0" applyAlignment="0" applyProtection="0"/>
    <xf numFmtId="227" fontId="15" fillId="0" borderId="0" applyFont="0" applyFill="0" applyBorder="0" applyAlignment="0" applyProtection="0"/>
    <xf numFmtId="228" fontId="15" fillId="0" borderId="0" applyFont="0" applyFill="0" applyBorder="0" applyAlignment="0" applyProtection="0"/>
    <xf numFmtId="229" fontId="15" fillId="0" borderId="0" applyFont="0" applyFill="0" applyBorder="0" applyAlignment="0" applyProtection="0"/>
    <xf numFmtId="230" fontId="15" fillId="0" borderId="0" applyFill="0" applyBorder="0" applyProtection="0">
      <alignment horizontal="right"/>
    </xf>
    <xf numFmtId="0" fontId="24" fillId="0" borderId="0" applyNumberFormat="0" applyAlignment="0"/>
    <xf numFmtId="174" fontId="63" fillId="66" borderId="0" applyNumberFormat="0" applyFont="0" applyBorder="0" applyAlignment="0">
      <alignment horizontal="right"/>
    </xf>
    <xf numFmtId="0" fontId="24" fillId="67" borderId="13">
      <alignment horizontal="center" vertical="center"/>
    </xf>
    <xf numFmtId="231" fontId="15" fillId="66" borderId="10" applyFont="0">
      <alignment horizontal="right"/>
    </xf>
    <xf numFmtId="0" fontId="24"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4" fillId="0" borderId="0"/>
    <xf numFmtId="0" fontId="65" fillId="0" borderId="0" applyFont="0">
      <alignment horizontal="centerContinuous"/>
    </xf>
    <xf numFmtId="0" fontId="55" fillId="62"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65" borderId="0" applyNumberFormat="0" applyBorder="0" applyAlignment="0" applyProtection="0"/>
    <xf numFmtId="196" fontId="37" fillId="0" borderId="0" applyNumberFormat="0" applyFont="0" applyFill="0" applyBorder="0" applyProtection="0">
      <alignment horizontal="center"/>
    </xf>
    <xf numFmtId="216" fontId="66" fillId="32" borderId="0">
      <alignment horizontal="left"/>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16" fontId="67" fillId="0" borderId="0"/>
    <xf numFmtId="0" fontId="15" fillId="0" borderId="0">
      <alignment horizontal="right"/>
    </xf>
    <xf numFmtId="0" fontId="68" fillId="0" borderId="0" applyFont="0" applyFill="0" applyBorder="0" applyAlignment="0"/>
    <xf numFmtId="0" fontId="45" fillId="0" borderId="0">
      <alignment horizontal="center" wrapText="1"/>
      <protection locked="0"/>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9" fillId="0" borderId="0" applyNumberFormat="0" applyFill="0" applyBorder="0" applyAlignment="0" applyProtection="0"/>
    <xf numFmtId="0" fontId="70" fillId="0" borderId="14" applyNumberFormat="0" applyFill="0" applyBorder="0" applyAlignment="0" applyProtection="0"/>
    <xf numFmtId="0" fontId="49" fillId="0" borderId="14" applyNumberFormat="0" applyFill="0" applyBorder="0" applyAlignment="0" applyProtection="0"/>
    <xf numFmtId="0" fontId="71" fillId="0" borderId="14" applyNumberFormat="0" applyFill="0" applyBorder="0" applyAlignment="0" applyProtection="0"/>
    <xf numFmtId="0" fontId="24" fillId="0" borderId="14" applyNumberFormat="0" applyFill="0" applyAlignment="0" applyProtection="0"/>
    <xf numFmtId="176" fontId="72" fillId="32" borderId="15" applyAlignment="0"/>
    <xf numFmtId="209" fontId="72" fillId="32" borderId="15" applyAlignment="0"/>
    <xf numFmtId="213" fontId="72" fillId="32" borderId="15"/>
    <xf numFmtId="0" fontId="73" fillId="32" borderId="11" applyNumberFormat="0" applyAlignment="0" applyProtection="0"/>
    <xf numFmtId="165" fontId="24" fillId="33" borderId="15"/>
    <xf numFmtId="232" fontId="24" fillId="33" borderId="15"/>
    <xf numFmtId="165" fontId="24" fillId="33" borderId="15"/>
    <xf numFmtId="233" fontId="58" fillId="32" borderId="0" applyBorder="0" applyProtection="0">
      <alignment horizontal="right"/>
    </xf>
    <xf numFmtId="234" fontId="58" fillId="32" borderId="0" applyBorder="0" applyAlignment="0" applyProtection="0"/>
    <xf numFmtId="235" fontId="58" fillId="32" borderId="0" applyBorder="0" applyProtection="0">
      <alignment horizontal="right"/>
    </xf>
    <xf numFmtId="236" fontId="74" fillId="32" borderId="0"/>
    <xf numFmtId="214" fontId="75" fillId="33" borderId="0"/>
    <xf numFmtId="237" fontId="75" fillId="33" borderId="0" applyBorder="0"/>
    <xf numFmtId="0" fontId="24" fillId="33" borderId="15" applyNumberFormat="0" applyAlignment="0" applyProtection="0"/>
    <xf numFmtId="176" fontId="58" fillId="32" borderId="0" applyBorder="0" applyAlignment="0" applyProtection="0"/>
    <xf numFmtId="0" fontId="24" fillId="33" borderId="15" applyNumberFormat="0" applyAlignment="0" applyProtection="0"/>
    <xf numFmtId="0" fontId="20" fillId="0" borderId="0">
      <alignment horizontal="centerContinuous"/>
    </xf>
    <xf numFmtId="0" fontId="65" fillId="0" borderId="3">
      <alignment horizontal="centerContinuous"/>
    </xf>
    <xf numFmtId="0" fontId="15" fillId="0" borderId="0" applyFont="0" applyFill="0" applyBorder="0" applyAlignment="0" applyProtection="0"/>
    <xf numFmtId="0" fontId="15" fillId="0" borderId="0" applyFont="0" applyFill="0" applyBorder="0" applyAlignment="0" applyProtection="0"/>
    <xf numFmtId="0" fontId="15" fillId="0" borderId="0"/>
    <xf numFmtId="238" fontId="76" fillId="0" borderId="0"/>
    <xf numFmtId="223" fontId="15" fillId="0" borderId="0"/>
    <xf numFmtId="239" fontId="15" fillId="0" borderId="0"/>
    <xf numFmtId="240" fontId="20" fillId="0" borderId="0"/>
    <xf numFmtId="9" fontId="77" fillId="0" borderId="0"/>
    <xf numFmtId="213" fontId="77" fillId="0" borderId="0"/>
    <xf numFmtId="10" fontId="77" fillId="0" borderId="0"/>
    <xf numFmtId="0" fontId="78" fillId="0" borderId="0"/>
    <xf numFmtId="3" fontId="24" fillId="36" borderId="0" applyBorder="0"/>
    <xf numFmtId="174" fontId="58" fillId="0" borderId="0" applyFill="0" applyBorder="0" applyAlignment="0" applyProtection="0"/>
    <xf numFmtId="238" fontId="76" fillId="0" borderId="0"/>
    <xf numFmtId="241" fontId="73" fillId="0" borderId="0" applyFill="0" applyBorder="0" applyAlignment="0" applyProtection="0"/>
    <xf numFmtId="241" fontId="73" fillId="0" borderId="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4" fontId="58" fillId="0" borderId="0" applyFill="0" applyBorder="0" applyAlignment="0" applyProtection="0"/>
    <xf numFmtId="242" fontId="79" fillId="0" borderId="0" applyNumberFormat="0" applyFill="0" applyBorder="0" applyAlignment="0"/>
    <xf numFmtId="174" fontId="58" fillId="36"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4" fontId="58" fillId="36" borderId="0"/>
    <xf numFmtId="0" fontId="73" fillId="0" borderId="0" applyNumberFormat="0" applyFill="0" applyBorder="0" applyAlignment="0" applyProtection="0"/>
    <xf numFmtId="223" fontId="15" fillId="0" borderId="0"/>
    <xf numFmtId="192" fontId="15" fillId="0" borderId="0" applyNumberFormat="0" applyFill="0" applyBorder="0" applyAlignment="0" applyProtection="0"/>
    <xf numFmtId="176" fontId="58" fillId="33" borderId="0"/>
    <xf numFmtId="176" fontId="58" fillId="33" borderId="0"/>
    <xf numFmtId="176" fontId="58" fillId="32" borderId="11"/>
    <xf numFmtId="176" fontId="58" fillId="32" borderId="11"/>
    <xf numFmtId="241" fontId="73" fillId="0" borderId="0" applyFill="0" applyBorder="0" applyAlignment="0" applyProtection="0"/>
    <xf numFmtId="241" fontId="73" fillId="0" borderId="0" applyFill="0" applyBorder="0" applyAlignment="0" applyProtection="0"/>
    <xf numFmtId="174" fontId="20" fillId="0" borderId="0"/>
    <xf numFmtId="174" fontId="20" fillId="0" borderId="0"/>
    <xf numFmtId="174" fontId="58" fillId="0" borderId="0" applyNumberFormat="0" applyFill="0" applyBorder="0" applyProtection="0"/>
    <xf numFmtId="243" fontId="14" fillId="36" borderId="0" applyFill="0" applyBorder="0" applyAlignment="0" applyProtection="0"/>
    <xf numFmtId="243" fontId="14" fillId="36" borderId="0" applyFill="0" applyBorder="0" applyAlignment="0" applyProtection="0"/>
    <xf numFmtId="243" fontId="73" fillId="32" borderId="11" applyFill="0" applyBorder="0" applyAlignment="0" applyProtection="0"/>
    <xf numFmtId="243" fontId="73" fillId="32" borderId="11" applyFill="0" applyBorder="0" applyAlignment="0" applyProtection="0"/>
    <xf numFmtId="244" fontId="15" fillId="32" borderId="11" applyFill="0" applyBorder="0" applyAlignment="0" applyProtection="0"/>
    <xf numFmtId="245" fontId="15" fillId="32" borderId="11" applyFill="0" applyBorder="0" applyAlignment="0" applyProtection="0"/>
    <xf numFmtId="246" fontId="73" fillId="0" borderId="0"/>
    <xf numFmtId="176" fontId="77" fillId="0" borderId="0" applyNumberFormat="0" applyFill="0" applyBorder="0" applyAlignment="0" applyProtection="0">
      <alignment horizontal="right"/>
      <protection locked="0"/>
    </xf>
    <xf numFmtId="192" fontId="15" fillId="0" borderId="0" applyNumberFormat="0" applyFill="0" applyBorder="0" applyAlignment="0" applyProtection="0"/>
    <xf numFmtId="3" fontId="24" fillId="36" borderId="0" applyBorder="0"/>
    <xf numFmtId="0" fontId="77" fillId="0" borderId="0" applyNumberFormat="0" applyFill="0" applyBorder="0" applyAlignment="0" applyProtection="0">
      <alignment horizontal="centerContinuous"/>
    </xf>
    <xf numFmtId="0" fontId="77" fillId="0" borderId="0" applyNumberFormat="0" applyFill="0" applyBorder="0" applyAlignment="0" applyProtection="0">
      <alignment horizontal="centerContinuous"/>
    </xf>
    <xf numFmtId="0" fontId="77" fillId="0" borderId="0" applyNumberFormat="0" applyFill="0" applyBorder="0" applyAlignment="0" applyProtection="0">
      <alignment horizontal="centerContinuous"/>
    </xf>
    <xf numFmtId="238" fontId="76" fillId="0" borderId="0"/>
    <xf numFmtId="192" fontId="15" fillId="0" borderId="0" applyNumberFormat="0" applyFill="0" applyBorder="0" applyAlignment="0" applyProtection="0"/>
    <xf numFmtId="174" fontId="58" fillId="36" borderId="0"/>
    <xf numFmtId="3" fontId="24" fillId="36" borderId="0" applyBorder="0"/>
    <xf numFmtId="174" fontId="58" fillId="0" borderId="0" applyNumberFormat="0" applyFill="0" applyBorder="0" applyProtection="0"/>
    <xf numFmtId="174" fontId="20" fillId="0" borderId="0"/>
    <xf numFmtId="174" fontId="20" fillId="0" borderId="0"/>
    <xf numFmtId="243" fontId="73" fillId="32" borderId="11" applyFill="0" applyBorder="0" applyAlignment="0" applyProtection="0"/>
    <xf numFmtId="243" fontId="73" fillId="32" borderId="11" applyFill="0" applyBorder="0" applyAlignment="0" applyProtection="0"/>
    <xf numFmtId="174" fontId="58" fillId="0" borderId="0" applyNumberFormat="0" applyFill="0" applyBorder="0" applyProtection="0"/>
    <xf numFmtId="238" fontId="76" fillId="0" borderId="0"/>
    <xf numFmtId="241" fontId="73" fillId="0" borderId="0" applyFill="0" applyBorder="0" applyAlignment="0" applyProtection="0"/>
    <xf numFmtId="241" fontId="73" fillId="0" borderId="0" applyFill="0" applyBorder="0" applyAlignment="0" applyProtection="0"/>
    <xf numFmtId="243" fontId="73" fillId="32" borderId="11" applyFill="0" applyBorder="0" applyAlignment="0" applyProtection="0"/>
    <xf numFmtId="243" fontId="73" fillId="32" borderId="11" applyFill="0" applyBorder="0" applyAlignment="0" applyProtection="0"/>
    <xf numFmtId="174" fontId="58" fillId="0" borderId="0" applyFill="0" applyBorder="0" applyAlignment="0" applyProtection="0"/>
    <xf numFmtId="174" fontId="58" fillId="36" borderId="0"/>
    <xf numFmtId="174" fontId="58" fillId="0" borderId="0" applyNumberFormat="0" applyFill="0" applyBorder="0" applyProtection="0"/>
    <xf numFmtId="176" fontId="58" fillId="32" borderId="11"/>
    <xf numFmtId="176" fontId="58" fillId="32" borderId="11"/>
    <xf numFmtId="174" fontId="15" fillId="0" borderId="0"/>
    <xf numFmtId="38" fontId="69" fillId="32" borderId="0">
      <protection locked="0"/>
    </xf>
    <xf numFmtId="176" fontId="58" fillId="32" borderId="11"/>
    <xf numFmtId="176" fontId="58" fillId="32" borderId="11"/>
    <xf numFmtId="243" fontId="73" fillId="32" borderId="11" applyFill="0" applyBorder="0" applyAlignment="0" applyProtection="0"/>
    <xf numFmtId="243" fontId="73" fillId="32" borderId="11" applyFill="0" applyBorder="0" applyAlignment="0" applyProtection="0"/>
    <xf numFmtId="246" fontId="73" fillId="0" borderId="0"/>
    <xf numFmtId="171" fontId="15" fillId="0" borderId="0" applyNumberFormat="0" applyFill="0" applyBorder="0" applyAlignment="0"/>
    <xf numFmtId="176" fontId="58" fillId="0" borderId="0" applyNumberFormat="0" applyFill="0" applyBorder="0" applyAlignment="0" applyProtection="0"/>
    <xf numFmtId="243" fontId="14" fillId="36" borderId="0" applyFill="0" applyBorder="0" applyAlignment="0" applyProtection="0"/>
    <xf numFmtId="243" fontId="14" fillId="36" borderId="0" applyFill="0" applyBorder="0" applyAlignment="0" applyProtection="0"/>
    <xf numFmtId="245" fontId="15" fillId="36" borderId="0" applyFill="0" applyBorder="0" applyAlignment="0" applyProtection="0"/>
    <xf numFmtId="38" fontId="69" fillId="32" borderId="0">
      <protection locked="0"/>
    </xf>
    <xf numFmtId="176" fontId="73" fillId="0" borderId="0" applyNumberFormat="0" applyFill="0" applyBorder="0" applyAlignment="0" applyProtection="0"/>
    <xf numFmtId="176" fontId="73" fillId="0" borderId="0" applyNumberFormat="0" applyFill="0" applyBorder="0" applyAlignment="0" applyProtection="0"/>
    <xf numFmtId="174" fontId="58" fillId="0" borderId="0" applyNumberFormat="0" applyFill="0" applyBorder="0" applyProtection="0"/>
    <xf numFmtId="174" fontId="20" fillId="0" borderId="0"/>
    <xf numFmtId="174" fontId="20" fillId="0" borderId="0"/>
    <xf numFmtId="174" fontId="58" fillId="0" borderId="0" applyNumberFormat="0" applyFill="0" applyBorder="0" applyProtection="0"/>
    <xf numFmtId="3" fontId="24" fillId="36" borderId="0" applyBorder="0"/>
    <xf numFmtId="178" fontId="20" fillId="0" borderId="0"/>
    <xf numFmtId="195" fontId="20" fillId="0" borderId="0"/>
    <xf numFmtId="205" fontId="20" fillId="0" borderId="0"/>
    <xf numFmtId="247" fontId="77" fillId="0" borderId="0"/>
    <xf numFmtId="192" fontId="77" fillId="0" borderId="0"/>
    <xf numFmtId="43" fontId="77" fillId="0" borderId="0"/>
    <xf numFmtId="0" fontId="80" fillId="39" borderId="0" applyNumberFormat="0" applyBorder="0" applyAlignment="0" applyProtection="0"/>
    <xf numFmtId="241" fontId="78" fillId="0" borderId="0"/>
    <xf numFmtId="176" fontId="81" fillId="0" borderId="16" applyNumberFormat="0" applyFont="0" applyFill="0" applyBorder="0" applyAlignment="0"/>
    <xf numFmtId="248" fontId="45" fillId="0" borderId="0" applyFill="0" applyBorder="0" applyAlignment="0" applyProtection="0">
      <protection locked="0"/>
    </xf>
    <xf numFmtId="1" fontId="82" fillId="68" borderId="17" applyNumberFormat="0" applyBorder="0" applyAlignment="0">
      <alignment horizontal="center" vertical="top" wrapText="1"/>
      <protection hidden="1"/>
    </xf>
    <xf numFmtId="0" fontId="83" fillId="69" borderId="18" applyNumberFormat="0" applyAlignment="0" applyProtection="0"/>
    <xf numFmtId="0" fontId="84" fillId="70" borderId="0" applyNumberFormat="0">
      <alignment horizontal="left"/>
    </xf>
    <xf numFmtId="0" fontId="85" fillId="0" borderId="0" applyNumberFormat="0" applyFill="0" applyBorder="0" applyAlignment="0" applyProtection="0">
      <alignment vertical="top"/>
      <protection locked="0"/>
    </xf>
    <xf numFmtId="243" fontId="15" fillId="0" borderId="0"/>
    <xf numFmtId="233" fontId="78" fillId="0" borderId="0"/>
    <xf numFmtId="243" fontId="78" fillId="0" borderId="0" applyFont="0" applyFill="0" applyBorder="0" applyAlignment="0" applyProtection="0"/>
    <xf numFmtId="0" fontId="86" fillId="71" borderId="0"/>
    <xf numFmtId="209" fontId="24" fillId="0" borderId="0" applyNumberFormat="0" applyFont="0" applyAlignment="0"/>
    <xf numFmtId="249" fontId="87" fillId="0" borderId="0" applyFont="0" applyFill="0" applyBorder="0" applyAlignment="0" applyProtection="0"/>
    <xf numFmtId="0" fontId="15" fillId="0" borderId="0" applyNumberFormat="0" applyFont="0" applyAlignment="0" applyProtection="0"/>
    <xf numFmtId="0" fontId="88" fillId="69" borderId="0" applyNumberFormat="0" applyBorder="0">
      <alignment horizontal="center" vertical="center"/>
    </xf>
    <xf numFmtId="250" fontId="15" fillId="0" borderId="0"/>
    <xf numFmtId="251" fontId="15" fillId="0" borderId="0">
      <alignment horizontal="right"/>
    </xf>
    <xf numFmtId="176" fontId="15" fillId="0" borderId="0"/>
    <xf numFmtId="0" fontId="15" fillId="0" borderId="0" applyNumberFormat="0" applyFill="0" applyBorder="0" applyAlignment="0" applyProtection="0"/>
    <xf numFmtId="3" fontId="89" fillId="72" borderId="0" applyNumberFormat="0" applyFont="0" applyBorder="0" applyAlignment="0" applyProtection="0"/>
    <xf numFmtId="0" fontId="90" fillId="73" borderId="0" applyNumberFormat="0" applyFont="0" applyBorder="0" applyAlignment="0" applyProtection="0"/>
    <xf numFmtId="0" fontId="90" fillId="73" borderId="0" applyNumberFormat="0" applyFont="0" applyBorder="0" applyAlignment="0" applyProtection="0"/>
    <xf numFmtId="0" fontId="90" fillId="73" borderId="0" applyNumberFormat="0" applyFont="0" applyBorder="0" applyAlignment="0" applyProtection="0"/>
    <xf numFmtId="0" fontId="90" fillId="73" borderId="0" applyNumberFormat="0" applyFont="0" applyBorder="0" applyAlignment="0" applyProtection="0"/>
    <xf numFmtId="0" fontId="90" fillId="73" borderId="0" applyNumberFormat="0" applyFont="0" applyBorder="0" applyAlignment="0" applyProtection="0"/>
    <xf numFmtId="0" fontId="90" fillId="73" borderId="0" applyNumberFormat="0" applyFont="0" applyBorder="0" applyAlignment="0" applyProtection="0"/>
    <xf numFmtId="0" fontId="90" fillId="73" borderId="0" applyNumberFormat="0" applyFont="0" applyBorder="0" applyAlignment="0" applyProtection="0"/>
    <xf numFmtId="0" fontId="90" fillId="73" borderId="0" applyNumberFormat="0" applyFont="0" applyBorder="0" applyAlignment="0" applyProtection="0"/>
    <xf numFmtId="196" fontId="14" fillId="33" borderId="0" applyNumberFormat="0" applyFill="0" applyBorder="0" applyAlignment="0" applyProtection="0">
      <alignment horizontal="center"/>
    </xf>
    <xf numFmtId="195" fontId="15" fillId="0" borderId="0" applyFill="0" applyBorder="0" applyAlignment="0" applyProtection="0"/>
    <xf numFmtId="0" fontId="83" fillId="69" borderId="19">
      <alignment horizontal="center" vertical="center"/>
    </xf>
    <xf numFmtId="1" fontId="91" fillId="69" borderId="0" applyBorder="0" applyAlignment="0" applyProtection="0"/>
    <xf numFmtId="216" fontId="58" fillId="36" borderId="0"/>
    <xf numFmtId="0" fontId="90" fillId="73" borderId="0" applyNumberFormat="0" applyFont="0" applyBorder="0" applyAlignment="0" applyProtection="0"/>
    <xf numFmtId="252" fontId="15" fillId="0" borderId="20"/>
    <xf numFmtId="0" fontId="92" fillId="0" borderId="15" applyFill="0" applyProtection="0"/>
    <xf numFmtId="0" fontId="69" fillId="0" borderId="21">
      <alignment horizontal="center"/>
    </xf>
    <xf numFmtId="0" fontId="15" fillId="0" borderId="21">
      <alignment horizontal="center"/>
    </xf>
    <xf numFmtId="0" fontId="49" fillId="0" borderId="21">
      <alignment horizontal="center"/>
    </xf>
    <xf numFmtId="0" fontId="24" fillId="0" borderId="21">
      <alignment horizontal="center"/>
    </xf>
    <xf numFmtId="176" fontId="49" fillId="0" borderId="0"/>
    <xf numFmtId="0" fontId="65" fillId="0" borderId="3" applyNumberFormat="0" applyFill="0" applyAlignment="0" applyProtection="0"/>
    <xf numFmtId="176" fontId="15" fillId="0" borderId="22" applyNumberFormat="0" applyFont="0" applyFill="0" applyAlignment="0" applyProtection="0"/>
    <xf numFmtId="0" fontId="45" fillId="0" borderId="23" applyNumberFormat="0" applyFont="0" applyFill="0" applyAlignment="0" applyProtection="0"/>
    <xf numFmtId="253" fontId="87" fillId="0" borderId="24" applyNumberFormat="0" applyFont="0" applyFill="0" applyAlignment="0" applyProtection="0"/>
    <xf numFmtId="0" fontId="45" fillId="0" borderId="3" applyNumberFormat="0" applyFont="0" applyFill="0" applyAlignment="0" applyProtection="0"/>
    <xf numFmtId="253" fontId="87" fillId="0" borderId="22" applyNumberFormat="0" applyFont="0" applyFill="0" applyAlignment="0" applyProtection="0"/>
    <xf numFmtId="202" fontId="15" fillId="0" borderId="25" applyNumberFormat="0" applyFill="0" applyAlignment="0" applyProtection="0"/>
    <xf numFmtId="0" fontId="93" fillId="0" borderId="26" applyFill="0" applyProtection="0">
      <alignment horizontal="right"/>
    </xf>
    <xf numFmtId="0" fontId="94" fillId="69" borderId="27" applyProtection="0">
      <alignment horizontal="center" vertical="center"/>
    </xf>
    <xf numFmtId="176" fontId="95" fillId="0" borderId="28" applyBorder="0"/>
    <xf numFmtId="254" fontId="96" fillId="33" borderId="0" applyFont="0" applyFill="0" applyBorder="0" applyAlignment="0" applyProtection="0"/>
    <xf numFmtId="254" fontId="58" fillId="0" borderId="0"/>
    <xf numFmtId="254" fontId="15" fillId="0" borderId="0"/>
    <xf numFmtId="0" fontId="15" fillId="0" borderId="0" applyFont="0" applyFill="0" applyBorder="0" applyAlignment="0" applyProtection="0"/>
    <xf numFmtId="167" fontId="15" fillId="74" borderId="29" applyFont="0" applyFill="0" applyBorder="0" applyAlignment="0" applyProtection="0"/>
    <xf numFmtId="192" fontId="15" fillId="32" borderId="0" applyBorder="0" applyProtection="0"/>
    <xf numFmtId="37" fontId="97" fillId="0" borderId="0" applyNumberFormat="0" applyFill="0" applyBorder="0" applyAlignment="0" applyProtection="0"/>
    <xf numFmtId="247" fontId="77" fillId="0" borderId="22"/>
    <xf numFmtId="43" fontId="77" fillId="0" borderId="22"/>
    <xf numFmtId="0" fontId="15" fillId="0" borderId="0">
      <alignment vertical="center"/>
    </xf>
    <xf numFmtId="0" fontId="98"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255" fontId="20" fillId="0" borderId="0" applyFont="0" applyFill="0" applyBorder="0" applyAlignment="0" applyProtection="0"/>
    <xf numFmtId="174" fontId="15" fillId="36" borderId="0"/>
    <xf numFmtId="0" fontId="30" fillId="0" borderId="0" applyNumberFormat="0" applyFill="0" applyBorder="0" applyAlignment="0" applyProtection="0"/>
    <xf numFmtId="213" fontId="59" fillId="0" borderId="0"/>
    <xf numFmtId="227" fontId="15" fillId="0" borderId="0"/>
    <xf numFmtId="256" fontId="20" fillId="0" borderId="0"/>
    <xf numFmtId="257" fontId="2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0" fillId="0" borderId="0" applyNumberFormat="0" applyFont="0" applyFill="0" applyBorder="0" applyProtection="0">
      <alignment horizontal="centerContinuous"/>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5" fillId="0" borderId="0"/>
    <xf numFmtId="258" fontId="24" fillId="0" borderId="0" applyFill="0" applyBorder="0">
      <alignment horizontal="right"/>
    </xf>
    <xf numFmtId="259" fontId="101" fillId="0" borderId="0">
      <alignment horizontal="right" vertical="center"/>
    </xf>
    <xf numFmtId="259" fontId="102" fillId="0" borderId="0">
      <alignment horizontal="right" vertical="center"/>
    </xf>
    <xf numFmtId="0" fontId="48" fillId="0" borderId="0"/>
    <xf numFmtId="0" fontId="103" fillId="0" borderId="0" applyNumberFormat="0" applyFill="0" applyBorder="0" applyAlignment="0" applyProtection="0"/>
    <xf numFmtId="0" fontId="104" fillId="0" borderId="0" applyNumberFormat="0" applyFill="0" applyBorder="0" applyAlignment="0" applyProtection="0"/>
    <xf numFmtId="260" fontId="15" fillId="75" borderId="9"/>
    <xf numFmtId="2" fontId="24" fillId="76" borderId="0" applyNumberFormat="0" applyFont="0" applyBorder="0" applyAlignment="0" applyProtection="0"/>
    <xf numFmtId="261" fontId="20" fillId="0" borderId="0" applyFill="0" applyBorder="0" applyAlignment="0"/>
    <xf numFmtId="262" fontId="20" fillId="0" borderId="0" applyFill="0" applyBorder="0" applyAlignment="0"/>
    <xf numFmtId="263" fontId="20" fillId="0" borderId="0" applyFill="0" applyBorder="0" applyAlignment="0"/>
    <xf numFmtId="264" fontId="20" fillId="0" borderId="0" applyFill="0" applyBorder="0" applyAlignment="0"/>
    <xf numFmtId="216" fontId="20" fillId="0" borderId="0" applyFill="0" applyBorder="0" applyAlignment="0"/>
    <xf numFmtId="261" fontId="20" fillId="0" borderId="0" applyFill="0" applyBorder="0" applyAlignment="0"/>
    <xf numFmtId="0" fontId="18" fillId="0" borderId="0" applyFill="0" applyBorder="0" applyAlignment="0"/>
    <xf numFmtId="262" fontId="20" fillId="0" borderId="0" applyFill="0" applyBorder="0" applyAlignment="0"/>
    <xf numFmtId="213" fontId="105" fillId="77" borderId="15"/>
    <xf numFmtId="3" fontId="105" fillId="77" borderId="15"/>
    <xf numFmtId="213" fontId="105" fillId="77" borderId="15"/>
    <xf numFmtId="2" fontId="106" fillId="27" borderId="0" applyNumberFormat="0" applyBorder="0">
      <alignment horizontal="right"/>
    </xf>
    <xf numFmtId="0" fontId="107" fillId="52" borderId="30" applyNumberFormat="0" applyAlignment="0" applyProtection="0"/>
    <xf numFmtId="0" fontId="107" fillId="44" borderId="30" applyNumberFormat="0" applyAlignment="0" applyProtection="0"/>
    <xf numFmtId="0" fontId="5" fillId="5" borderId="1" applyNumberFormat="0" applyAlignment="0" applyProtection="0"/>
    <xf numFmtId="0" fontId="107" fillId="52" borderId="30" applyNumberFormat="0" applyAlignment="0" applyProtection="0"/>
    <xf numFmtId="265" fontId="15" fillId="0" borderId="0" applyFont="0" applyFill="0" applyBorder="0" applyAlignment="0" applyProtection="0"/>
    <xf numFmtId="266" fontId="15" fillId="0" borderId="0" applyFont="0" applyFill="0" applyBorder="0" applyAlignment="0" applyProtection="0"/>
    <xf numFmtId="267" fontId="15" fillId="36" borderId="0"/>
    <xf numFmtId="178" fontId="15" fillId="72" borderId="0" applyNumberFormat="0" applyFont="0" applyBorder="0" applyAlignment="0"/>
    <xf numFmtId="248" fontId="45" fillId="0" borderId="0" applyFont="0" applyFill="0" applyBorder="0" applyAlignment="0" applyProtection="0">
      <protection locked="0"/>
    </xf>
    <xf numFmtId="0" fontId="108" fillId="0" borderId="0"/>
    <xf numFmtId="268" fontId="109" fillId="0" borderId="0"/>
    <xf numFmtId="268" fontId="20" fillId="0" borderId="0" applyFill="0" applyBorder="0" applyProtection="0"/>
    <xf numFmtId="269" fontId="87" fillId="0" borderId="0"/>
    <xf numFmtId="270" fontId="99" fillId="0" borderId="0">
      <alignment horizontal="right"/>
    </xf>
    <xf numFmtId="0" fontId="110" fillId="78" borderId="31" applyNumberFormat="0" applyAlignment="0" applyProtection="0"/>
    <xf numFmtId="0" fontId="110" fillId="78" borderId="31" applyNumberFormat="0" applyAlignment="0" applyProtection="0"/>
    <xf numFmtId="0" fontId="110" fillId="78" borderId="31" applyNumberFormat="0" applyAlignment="0" applyProtection="0"/>
    <xf numFmtId="0" fontId="110" fillId="78" borderId="31" applyNumberFormat="0" applyAlignment="0" applyProtection="0"/>
    <xf numFmtId="0" fontId="110" fillId="78" borderId="31" applyNumberFormat="0" applyAlignment="0" applyProtection="0"/>
    <xf numFmtId="0" fontId="110" fillId="78" borderId="31" applyNumberFormat="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40" fontId="72" fillId="33" borderId="0" applyNumberFormat="0" applyFont="0" applyFill="0" applyBorder="0" applyProtection="0">
      <alignment horizontal="center" wrapText="1"/>
    </xf>
    <xf numFmtId="167" fontId="15" fillId="0" borderId="8" applyFont="0" applyFill="0" applyBorder="0" applyProtection="0">
      <alignment horizontal="right"/>
    </xf>
    <xf numFmtId="0" fontId="18" fillId="0" borderId="0" applyAlignment="0"/>
    <xf numFmtId="38" fontId="112" fillId="0" borderId="0" applyNumberFormat="0" applyFill="0" applyBorder="0" applyAlignment="0" applyProtection="0"/>
    <xf numFmtId="176" fontId="59" fillId="0" borderId="0"/>
    <xf numFmtId="0" fontId="110" fillId="78" borderId="31" applyNumberFormat="0" applyAlignment="0" applyProtection="0"/>
    <xf numFmtId="271" fontId="15" fillId="0" borderId="0" applyNumberFormat="0" applyAlignment="0">
      <alignment vertical="center"/>
    </xf>
    <xf numFmtId="0" fontId="73" fillId="0" borderId="15" applyNumberFormat="0"/>
    <xf numFmtId="0" fontId="113" fillId="0" borderId="0" applyAlignment="0"/>
    <xf numFmtId="0" fontId="114" fillId="33" borderId="15" applyNumberFormat="0" applyAlignment="0"/>
    <xf numFmtId="0" fontId="115" fillId="0" borderId="24">
      <alignment horizontal="left"/>
    </xf>
    <xf numFmtId="0" fontId="24" fillId="0" borderId="0" applyNumberFormat="0" applyFill="0" applyBorder="0" applyAlignment="0" applyProtection="0"/>
    <xf numFmtId="0" fontId="116" fillId="0" borderId="0" applyNumberFormat="0" applyFill="0" applyBorder="0" applyAlignment="0" applyProtection="0"/>
    <xf numFmtId="0" fontId="24" fillId="0" borderId="0" applyNumberFormat="0" applyFill="0" applyBorder="0" applyAlignment="0" applyProtection="0"/>
    <xf numFmtId="0" fontId="117" fillId="0" borderId="3" applyNumberFormat="0" applyFill="0" applyBorder="0" applyAlignment="0" applyProtection="0">
      <alignment horizontal="center"/>
    </xf>
    <xf numFmtId="0" fontId="36" fillId="0" borderId="0">
      <alignment horizontal="center" wrapText="1"/>
      <protection hidden="1"/>
    </xf>
    <xf numFmtId="0" fontId="118" fillId="0" borderId="28" applyNumberFormat="0" applyFill="0" applyProtection="0">
      <alignment horizontal="center" vertical="center"/>
    </xf>
    <xf numFmtId="0" fontId="119" fillId="0" borderId="3" applyNumberFormat="0" applyFill="0" applyBorder="0" applyProtection="0">
      <alignment horizontal="right" vertical="center"/>
    </xf>
    <xf numFmtId="0" fontId="120" fillId="79" borderId="15" applyNumberFormat="0" applyBorder="0" applyProtection="0">
      <alignment horizontal="center" vertical="center" wrapText="1"/>
    </xf>
    <xf numFmtId="0" fontId="31" fillId="80" borderId="0" applyNumberFormat="0">
      <alignment horizontal="center" vertical="top" wrapText="1"/>
    </xf>
    <xf numFmtId="0" fontId="31" fillId="80" borderId="0" applyNumberFormat="0">
      <alignment horizontal="left" vertical="top" wrapText="1"/>
    </xf>
    <xf numFmtId="0" fontId="31" fillId="80" borderId="0" applyNumberFormat="0">
      <alignment horizontal="centerContinuous" vertical="top"/>
    </xf>
    <xf numFmtId="0" fontId="32" fillId="80" borderId="0" applyNumberFormat="0">
      <alignment horizontal="center" vertical="top" wrapText="1"/>
    </xf>
    <xf numFmtId="0" fontId="78" fillId="81" borderId="33" applyNumberFormat="0" applyFont="0" applyProtection="0">
      <alignment horizontal="right"/>
    </xf>
    <xf numFmtId="0" fontId="49" fillId="0" borderId="0" applyNumberFormat="0" applyFill="0" applyBorder="0" applyProtection="0">
      <alignment wrapText="1"/>
    </xf>
    <xf numFmtId="0" fontId="121" fillId="0" borderId="0" applyNumberFormat="0" applyFill="0" applyBorder="0" applyProtection="0">
      <alignment wrapText="1"/>
    </xf>
    <xf numFmtId="0" fontId="122" fillId="0" borderId="0" applyNumberFormat="0" applyFill="0" applyBorder="0" applyProtection="0">
      <alignment horizontal="center" wrapText="1"/>
    </xf>
    <xf numFmtId="176" fontId="123" fillId="0" borderId="3" applyBorder="0">
      <alignment horizontal="center"/>
    </xf>
    <xf numFmtId="0" fontId="124" fillId="82" borderId="0" applyAlignment="0"/>
    <xf numFmtId="0" fontId="36" fillId="0" borderId="0" applyFont="0">
      <alignment horizontal="right" vertical="top"/>
    </xf>
    <xf numFmtId="214" fontId="49" fillId="0" borderId="0" applyBorder="0">
      <alignment horizontal="right"/>
    </xf>
    <xf numFmtId="214" fontId="49" fillId="0" borderId="23" applyAlignment="0">
      <alignment horizontal="right"/>
    </xf>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0" fontId="15" fillId="0" borderId="0" applyFont="0" applyFill="0" applyBorder="0" applyAlignment="0" applyProtection="0"/>
    <xf numFmtId="272" fontId="125" fillId="77" borderId="0" applyFont="0" applyFill="0" applyBorder="0" applyAlignment="0" applyProtection="0"/>
    <xf numFmtId="37" fontId="24" fillId="0" borderId="0"/>
    <xf numFmtId="273" fontId="125" fillId="0" borderId="0" applyFont="0" applyFill="0" applyBorder="0" applyAlignment="0" applyProtection="0"/>
    <xf numFmtId="176" fontId="24" fillId="0" borderId="0"/>
    <xf numFmtId="274" fontId="125" fillId="0" borderId="0" applyFont="0" applyFill="0" applyBorder="0" applyAlignment="0" applyProtection="0">
      <alignment horizontal="left" indent="1"/>
    </xf>
    <xf numFmtId="39" fontId="24" fillId="36" borderId="0"/>
    <xf numFmtId="177" fontId="15" fillId="0" borderId="0" applyFont="0" applyFill="0" applyBorder="0" applyProtection="0"/>
    <xf numFmtId="41" fontId="126" fillId="0" borderId="0" applyFont="0" applyBorder="0">
      <alignment horizontal="right"/>
    </xf>
    <xf numFmtId="41" fontId="15" fillId="0" borderId="0" applyFont="0" applyFill="0" applyBorder="0" applyAlignment="0" applyProtection="0"/>
    <xf numFmtId="166" fontId="127" fillId="0" borderId="0" applyFont="0" applyFill="0" applyBorder="0" applyAlignment="0" applyProtection="0"/>
    <xf numFmtId="261" fontId="20" fillId="0" borderId="0" applyFont="0" applyFill="0" applyBorder="0" applyAlignment="0" applyProtection="0"/>
    <xf numFmtId="192" fontId="128" fillId="0" borderId="0" applyFont="0" applyFill="0" applyBorder="0" applyAlignment="0" applyProtection="0"/>
    <xf numFmtId="0" fontId="15" fillId="0" borderId="0" applyFont="0" applyFill="0" applyBorder="0" applyAlignment="0" applyProtection="0"/>
    <xf numFmtId="275" fontId="15" fillId="0" borderId="0" applyFill="0" applyBorder="0" applyAlignment="0" applyProtection="0"/>
    <xf numFmtId="0" fontId="129" fillId="0" borderId="0" applyFont="0" applyFill="0" applyBorder="0" applyAlignment="0" applyProtection="0">
      <alignment horizontal="right"/>
    </xf>
    <xf numFmtId="276" fontId="129" fillId="0" borderId="0" applyFont="0" applyFill="0" applyBorder="0" applyAlignment="0" applyProtection="0"/>
    <xf numFmtId="43" fontId="1"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130"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0" fontId="1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31" fillId="0" borderId="0" applyFont="0" applyFill="0" applyBorder="0" applyAlignment="0" applyProtection="0"/>
    <xf numFmtId="198" fontId="15" fillId="0" borderId="0" applyFont="0" applyFill="0" applyBorder="0" applyAlignment="0" applyProtection="0"/>
    <xf numFmtId="43" fontId="52" fillId="0" borderId="0" applyFont="0" applyFill="0" applyBorder="0" applyAlignment="0" applyProtection="0"/>
    <xf numFmtId="173" fontId="15" fillId="0" borderId="0" applyFont="0" applyFill="0" applyBorder="0" applyAlignment="0" applyProtection="0"/>
    <xf numFmtId="278" fontId="15" fillId="0" borderId="0" applyFill="0" applyBorder="0" applyAlignment="0" applyProtection="0"/>
    <xf numFmtId="279" fontId="15" fillId="0" borderId="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0" fontId="15" fillId="0" borderId="0" applyFont="0" applyFill="0" applyBorder="0" applyProtection="0">
      <alignment horizontal="right"/>
    </xf>
    <xf numFmtId="0" fontId="132" fillId="0" borderId="0" applyFont="0" applyFill="0" applyBorder="0" applyAlignment="0" applyProtection="0"/>
    <xf numFmtId="176" fontId="24" fillId="0" borderId="0"/>
    <xf numFmtId="3" fontId="133" fillId="0" borderId="0" applyFont="0" applyFill="0" applyBorder="0" applyAlignment="0" applyProtection="0"/>
    <xf numFmtId="0" fontId="37" fillId="0" borderId="0" applyFont="0" applyBorder="0" applyAlignment="0" applyProtection="0"/>
    <xf numFmtId="0" fontId="61" fillId="0" borderId="0"/>
    <xf numFmtId="266" fontId="134" fillId="0" borderId="0" applyFont="0" applyFill="0" applyBorder="0" applyAlignment="0" applyProtection="0"/>
    <xf numFmtId="280" fontId="134" fillId="0" borderId="0" applyFont="0" applyFill="0" applyBorder="0" applyAlignment="0" applyProtection="0"/>
    <xf numFmtId="238" fontId="49" fillId="83" borderId="34" applyNumberFormat="0">
      <alignment horizontal="center" vertical="top"/>
    </xf>
    <xf numFmtId="0" fontId="15" fillId="84" borderId="0">
      <alignment horizontal="center" vertical="center" wrapText="1"/>
    </xf>
    <xf numFmtId="0" fontId="135" fillId="69" borderId="0" applyNumberFormat="0" applyProtection="0"/>
    <xf numFmtId="0" fontId="136" fillId="84" borderId="0">
      <alignment horizontal="center" vertical="center" wrapText="1"/>
    </xf>
    <xf numFmtId="217" fontId="137" fillId="0" borderId="0" applyNumberFormat="0" applyAlignment="0">
      <alignment horizontal="left"/>
    </xf>
    <xf numFmtId="217" fontId="19" fillId="0" borderId="0" applyNumberFormat="0" applyAlignment="0"/>
    <xf numFmtId="176" fontId="138" fillId="0" borderId="23">
      <alignment horizontal="left"/>
    </xf>
    <xf numFmtId="0" fontId="15" fillId="0" borderId="0">
      <alignment horizontal="left"/>
    </xf>
    <xf numFmtId="0" fontId="15" fillId="0" borderId="0"/>
    <xf numFmtId="0" fontId="15" fillId="0" borderId="0">
      <alignment horizontal="left"/>
    </xf>
    <xf numFmtId="37" fontId="139" fillId="0" borderId="0"/>
    <xf numFmtId="0" fontId="16" fillId="0" borderId="3" applyNumberFormat="0" applyFont="0" applyFill="0" applyProtection="0">
      <alignment horizontal="centerContinuous"/>
    </xf>
    <xf numFmtId="176" fontId="140" fillId="0" borderId="0" applyFill="0" applyBorder="0" applyAlignment="0" applyProtection="0">
      <alignment horizontal="left"/>
    </xf>
    <xf numFmtId="0" fontId="16" fillId="0" borderId="0" applyFill="0" applyBorder="0">
      <alignment horizontal="right"/>
      <protection locked="0"/>
    </xf>
    <xf numFmtId="281" fontId="24" fillId="0" borderId="35" applyFont="0" applyFill="0" applyBorder="0" applyAlignment="0" applyProtection="0"/>
    <xf numFmtId="181" fontId="15" fillId="0" borderId="0" applyFont="0" applyFill="0" applyBorder="0" applyAlignment="0" applyProtection="0"/>
    <xf numFmtId="175" fontId="15" fillId="0" borderId="0" applyFont="0" applyFill="0" applyBorder="0" applyAlignment="0" applyProtection="0"/>
    <xf numFmtId="282" fontId="125" fillId="77" borderId="0" applyFont="0" applyFill="0" applyBorder="0" applyAlignment="0" applyProtection="0"/>
    <xf numFmtId="283" fontId="15" fillId="0" borderId="0" applyFont="0" applyFill="0" applyBorder="0" applyAlignment="0" applyProtection="0">
      <alignment vertical="center"/>
    </xf>
    <xf numFmtId="262" fontId="20" fillId="0" borderId="0" applyFont="0" applyFill="0" applyBorder="0" applyAlignment="0" applyProtection="0"/>
    <xf numFmtId="284" fontId="24" fillId="0" borderId="0" applyFont="0" applyFill="0" applyBorder="0" applyAlignment="0"/>
    <xf numFmtId="167" fontId="76" fillId="0" borderId="0" applyBorder="0"/>
    <xf numFmtId="196" fontId="76" fillId="0" borderId="0"/>
    <xf numFmtId="0" fontId="129" fillId="0" borderId="0" applyFont="0" applyFill="0" applyBorder="0" applyAlignment="0" applyProtection="0">
      <alignment horizontal="right"/>
    </xf>
    <xf numFmtId="168" fontId="15" fillId="0" borderId="0" applyFont="0" applyFill="0" applyBorder="0" applyAlignment="0" applyProtection="0"/>
    <xf numFmtId="168" fontId="15" fillId="0" borderId="0" applyFont="0" applyFill="0" applyBorder="0" applyAlignment="0" applyProtection="0"/>
    <xf numFmtId="172" fontId="1" fillId="0" borderId="0" applyFont="0" applyFill="0" applyBorder="0" applyAlignment="0" applyProtection="0"/>
    <xf numFmtId="285" fontId="15" fillId="0" borderId="0" applyFont="0" applyFill="0" applyBorder="0" applyAlignment="0" applyProtection="0"/>
    <xf numFmtId="168" fontId="52" fillId="0" borderId="0" applyFont="0" applyFill="0" applyBorder="0" applyAlignment="0" applyProtection="0"/>
    <xf numFmtId="168" fontId="15" fillId="0" borderId="0" applyFont="0" applyFill="0" applyBorder="0" applyAlignment="0" applyProtection="0"/>
    <xf numFmtId="168" fontId="130" fillId="0" borderId="0" applyFont="0" applyFill="0" applyBorder="0" applyAlignment="0" applyProtection="0"/>
    <xf numFmtId="168" fontId="15" fillId="0" borderId="0" applyFont="0" applyFill="0" applyBorder="0" applyAlignment="0" applyProtection="0"/>
    <xf numFmtId="168" fontId="127" fillId="0" borderId="0" applyFont="0" applyFill="0" applyBorder="0" applyAlignment="0" applyProtection="0"/>
    <xf numFmtId="168" fontId="127" fillId="0" borderId="0" applyFont="0" applyFill="0" applyBorder="0" applyAlignment="0" applyProtection="0"/>
    <xf numFmtId="168" fontId="127" fillId="0" borderId="0" applyFont="0" applyFill="0" applyBorder="0" applyAlignment="0" applyProtection="0"/>
    <xf numFmtId="168" fontId="127" fillId="0" borderId="0" applyFont="0" applyFill="0" applyBorder="0" applyAlignment="0" applyProtection="0"/>
    <xf numFmtId="181" fontId="15" fillId="0" borderId="0" applyFont="0" applyFill="0" applyBorder="0" applyAlignment="0" applyProtection="0">
      <alignment vertical="center"/>
    </xf>
    <xf numFmtId="286" fontId="15" fillId="0" borderId="0" applyFont="0" applyFill="0" applyBorder="0" applyAlignment="0" applyProtection="0">
      <alignment vertical="center"/>
    </xf>
    <xf numFmtId="245" fontId="15" fillId="0" borderId="0" applyFont="0" applyFill="0" applyBorder="0" applyAlignment="0" applyProtection="0">
      <alignment vertical="center"/>
    </xf>
    <xf numFmtId="287" fontId="15" fillId="0" borderId="0" applyFont="0" applyFill="0" applyBorder="0" applyAlignment="0" applyProtection="0">
      <alignment vertical="center"/>
    </xf>
    <xf numFmtId="288" fontId="15" fillId="0" borderId="0" applyFont="0" applyFill="0" applyBorder="0" applyAlignment="0" applyProtection="0">
      <alignment vertical="center"/>
    </xf>
    <xf numFmtId="177" fontId="15" fillId="0" borderId="0" applyFont="0" applyFill="0" applyBorder="0" applyAlignment="0" applyProtection="0">
      <alignment vertical="center"/>
    </xf>
    <xf numFmtId="0" fontId="15" fillId="0" borderId="0" applyFont="0" applyFill="0" applyBorder="0" applyAlignment="0" applyProtection="0"/>
    <xf numFmtId="201" fontId="15" fillId="0" borderId="0" applyFont="0" applyFill="0" applyBorder="0" applyAlignment="0" applyProtection="0">
      <alignment vertical="center"/>
    </xf>
    <xf numFmtId="288" fontId="15" fillId="0" borderId="0" applyFont="0" applyFill="0" applyBorder="0" applyAlignment="0" applyProtection="0">
      <alignment vertical="center"/>
    </xf>
    <xf numFmtId="199" fontId="15" fillId="0" borderId="0" applyFont="0" applyFill="0" applyBorder="0" applyAlignment="0" applyProtection="0">
      <alignment vertical="center"/>
    </xf>
    <xf numFmtId="289" fontId="15" fillId="0" borderId="0" applyFont="0" applyFill="0" applyBorder="0" applyAlignment="0" applyProtection="0">
      <alignment vertical="center"/>
    </xf>
    <xf numFmtId="202" fontId="15" fillId="0" borderId="0" applyFont="0" applyFill="0" applyBorder="0" applyAlignment="0" applyProtection="0">
      <alignment vertical="center"/>
    </xf>
    <xf numFmtId="187" fontId="15" fillId="0" borderId="0" applyFont="0" applyFill="0" applyBorder="0" applyAlignment="0" applyProtection="0">
      <alignment vertical="center"/>
    </xf>
    <xf numFmtId="167" fontId="36" fillId="36" borderId="0" applyFont="0" applyFill="0" applyBorder="0" applyAlignment="0" applyProtection="0"/>
    <xf numFmtId="291" fontId="15" fillId="0" borderId="0" applyFont="0" applyFill="0" applyBorder="0" applyAlignment="0" applyProtection="0"/>
    <xf numFmtId="292" fontId="15" fillId="0" borderId="0" applyFill="0" applyBorder="0" applyProtection="0">
      <alignment horizontal="right"/>
    </xf>
    <xf numFmtId="15" fontId="73" fillId="0" borderId="0" applyFont="0" applyFill="0" applyBorder="0" applyAlignment="0" applyProtection="0"/>
    <xf numFmtId="199" fontId="15" fillId="36" borderId="0">
      <alignment horizontal="right"/>
    </xf>
    <xf numFmtId="0" fontId="141" fillId="43" borderId="30" applyNumberFormat="0" applyAlignment="0" applyProtection="0"/>
    <xf numFmtId="0" fontId="142" fillId="52" borderId="36" applyNumberFormat="0" applyAlignment="0" applyProtection="0"/>
    <xf numFmtId="267" fontId="20" fillId="0" borderId="0" applyFont="0" applyFill="0" applyBorder="0" applyAlignment="0" applyProtection="0"/>
    <xf numFmtId="174" fontId="24" fillId="0" borderId="0" applyProtection="0">
      <alignment horizontal="right"/>
    </xf>
    <xf numFmtId="0" fontId="15" fillId="33" borderId="15">
      <alignment horizontal="right"/>
    </xf>
    <xf numFmtId="0" fontId="121" fillId="0" borderId="0"/>
    <xf numFmtId="237" fontId="24" fillId="0" borderId="0" applyProtection="0">
      <alignment horizontal="right"/>
    </xf>
    <xf numFmtId="174" fontId="24" fillId="0" borderId="0" applyProtection="0">
      <alignment horizontal="right"/>
    </xf>
    <xf numFmtId="174" fontId="49" fillId="0" borderId="0" applyProtection="0"/>
    <xf numFmtId="243" fontId="143" fillId="0" borderId="37" applyNumberFormat="0" applyFill="0" applyAlignment="0" applyProtection="0"/>
    <xf numFmtId="0" fontId="144" fillId="60" borderId="38" applyFont="0" applyFill="0" applyBorder="0" applyAlignment="0">
      <alignment horizontal="center"/>
    </xf>
    <xf numFmtId="15" fontId="78" fillId="0" borderId="0" applyFont="0" applyFill="0" applyBorder="0" applyAlignment="0" applyProtection="0"/>
    <xf numFmtId="293" fontId="15" fillId="0" borderId="0" applyFont="0" applyFill="0" applyBorder="0" applyAlignment="0" applyProtection="0">
      <alignment vertical="center"/>
    </xf>
    <xf numFmtId="14" fontId="15" fillId="0" borderId="0" applyFont="0" applyFill="0" applyBorder="0" applyAlignment="0" applyProtection="0">
      <alignment vertical="center"/>
    </xf>
    <xf numFmtId="294" fontId="15" fillId="0" borderId="0" applyFont="0" applyFill="0" applyBorder="0" applyAlignment="0" applyProtection="0"/>
    <xf numFmtId="15" fontId="49" fillId="0" borderId="0" applyFill="0" applyBorder="0" applyAlignment="0"/>
    <xf numFmtId="0" fontId="49" fillId="32" borderId="0" applyFont="0" applyFill="0" applyBorder="0" applyAlignment="0" applyProtection="0"/>
    <xf numFmtId="232" fontId="14" fillId="32" borderId="39" applyFont="0" applyFill="0" applyBorder="0" applyAlignment="0" applyProtection="0"/>
    <xf numFmtId="295" fontId="15" fillId="0" borderId="0" applyFont="0" applyFill="0" applyBorder="0" applyAlignment="0" applyProtection="0"/>
    <xf numFmtId="296" fontId="15" fillId="0" borderId="0" applyFont="0" applyFill="0" applyBorder="0" applyAlignment="0" applyProtection="0"/>
    <xf numFmtId="232" fontId="24" fillId="32" borderId="0" applyFont="0" applyFill="0" applyBorder="0" applyAlignment="0" applyProtection="0"/>
    <xf numFmtId="17" fontId="49" fillId="0" borderId="0" applyFill="0" applyBorder="0">
      <alignment horizontal="right"/>
    </xf>
    <xf numFmtId="297" fontId="49" fillId="0" borderId="3" applyFont="0" applyFill="0" applyBorder="0" applyAlignment="0" applyProtection="0"/>
    <xf numFmtId="0" fontId="129" fillId="0" borderId="0" applyFont="0" applyFill="0" applyBorder="0" applyAlignment="0" applyProtection="0"/>
    <xf numFmtId="14" fontId="24" fillId="0" borderId="0" applyFont="0" applyFill="0" applyBorder="0" applyAlignment="0" applyProtection="0"/>
    <xf numFmtId="14" fontId="18" fillId="0" borderId="0" applyFill="0" applyBorder="0" applyAlignment="0"/>
    <xf numFmtId="275" fontId="15" fillId="33" borderId="40" applyFill="0" applyBorder="0">
      <alignment horizontal="right"/>
    </xf>
    <xf numFmtId="232" fontId="49" fillId="0" borderId="0" applyFill="0" applyBorder="0">
      <alignment horizontal="right"/>
    </xf>
    <xf numFmtId="15" fontId="145" fillId="33" borderId="15">
      <alignment horizontal="center"/>
    </xf>
    <xf numFmtId="14" fontId="146" fillId="0" borderId="0" applyFont="0" applyFill="0" applyBorder="0" applyAlignment="0" applyProtection="0">
      <alignment horizontal="center"/>
    </xf>
    <xf numFmtId="208" fontId="15" fillId="0" borderId="0" applyFont="0" applyFill="0" applyBorder="0" applyAlignment="0" applyProtection="0">
      <alignment horizontal="center"/>
    </xf>
    <xf numFmtId="14" fontId="15" fillId="0" borderId="41" applyFill="0" applyBorder="0"/>
    <xf numFmtId="174" fontId="20" fillId="0" borderId="0" applyFont="0" applyFill="0" applyBorder="0" applyAlignment="0"/>
    <xf numFmtId="298" fontId="15" fillId="0" borderId="0" applyFont="0" applyFill="0" applyBorder="0" applyAlignment="0" applyProtection="0"/>
    <xf numFmtId="280" fontId="15" fillId="0" borderId="0" applyFont="0" applyFill="0" applyBorder="0" applyAlignment="0" applyProtection="0"/>
    <xf numFmtId="0" fontId="24" fillId="0" borderId="0" applyFill="0" applyBorder="0" applyAlignment="0" applyProtection="0"/>
    <xf numFmtId="299" fontId="15" fillId="0" borderId="0" applyFont="0" applyFill="0" applyBorder="0" applyAlignment="0" applyProtection="0"/>
    <xf numFmtId="205" fontId="15" fillId="0" borderId="0" applyFont="0" applyFill="0" applyBorder="0" applyAlignment="0" applyProtection="0"/>
    <xf numFmtId="300" fontId="147" fillId="0" borderId="0">
      <alignment horizontal="right"/>
    </xf>
    <xf numFmtId="216" fontId="15" fillId="0" borderId="0"/>
    <xf numFmtId="38" fontId="36" fillId="0" borderId="42">
      <alignment vertical="center"/>
    </xf>
    <xf numFmtId="10" fontId="15" fillId="85" borderId="15" applyNumberFormat="0" applyFont="0" applyBorder="0" applyAlignment="0" applyProtection="0">
      <protection locked="0"/>
    </xf>
    <xf numFmtId="0" fontId="15" fillId="0" borderId="0">
      <protection locked="0"/>
    </xf>
    <xf numFmtId="171" fontId="15" fillId="0" borderId="0" applyFont="0" applyFill="0" applyBorder="0" applyAlignment="0" applyProtection="0"/>
    <xf numFmtId="43" fontId="15" fillId="0" borderId="0" applyFont="0" applyFill="0" applyBorder="0" applyAlignment="0" applyProtection="0"/>
    <xf numFmtId="0" fontId="148" fillId="0" borderId="0">
      <protection locked="0"/>
    </xf>
    <xf numFmtId="196" fontId="37" fillId="27" borderId="0" applyNumberFormat="0" applyFont="0" applyBorder="0" applyAlignment="0" applyProtection="0"/>
    <xf numFmtId="0" fontId="15" fillId="0" borderId="0" applyFill="0" applyBorder="0"/>
    <xf numFmtId="0" fontId="15" fillId="0" borderId="0" applyFill="0" applyBorder="0"/>
    <xf numFmtId="15" fontId="24" fillId="0" borderId="0"/>
    <xf numFmtId="0" fontId="98" fillId="40" borderId="0" applyNumberFormat="0" applyBorder="0" applyAlignment="0" applyProtection="0"/>
    <xf numFmtId="227" fontId="15" fillId="0" borderId="0"/>
    <xf numFmtId="301" fontId="15" fillId="0" borderId="0" applyFont="0" applyFill="0" applyBorder="0" applyAlignment="0" applyProtection="0"/>
    <xf numFmtId="0" fontId="43" fillId="0" borderId="0" applyFont="0" applyFill="0" applyBorder="0" applyAlignment="0" applyProtection="0"/>
    <xf numFmtId="302" fontId="87" fillId="0" borderId="0" applyFont="0" applyFill="0" applyBorder="0" applyAlignment="0" applyProtection="0"/>
    <xf numFmtId="303" fontId="149" fillId="0" borderId="0" applyFont="0" applyFill="0" applyBorder="0" applyAlignment="0" applyProtection="0"/>
    <xf numFmtId="166" fontId="24" fillId="0" borderId="0"/>
    <xf numFmtId="165" fontId="45" fillId="0" borderId="0" applyFont="0" applyFill="0" applyBorder="0" applyAlignment="0" applyProtection="0"/>
    <xf numFmtId="0" fontId="129" fillId="0" borderId="43" applyNumberFormat="0" applyFont="0" applyFill="0" applyAlignment="0" applyProtection="0"/>
    <xf numFmtId="192" fontId="15" fillId="0" borderId="44" applyNumberFormat="0" applyFont="0" applyFill="0" applyAlignment="0"/>
    <xf numFmtId="227" fontId="15" fillId="0" borderId="0" applyFill="0" applyBorder="0" applyAlignment="0" applyProtection="0"/>
    <xf numFmtId="38" fontId="24" fillId="27" borderId="0" applyNumberFormat="0" applyFont="0" applyBorder="0" applyAlignment="0" applyProtection="0"/>
    <xf numFmtId="213" fontId="150" fillId="0" borderId="45" applyNumberFormat="0" applyAlignment="0" applyProtection="0">
      <alignment vertical="top"/>
    </xf>
    <xf numFmtId="0" fontId="24" fillId="33" borderId="0" applyNumberFormat="0" applyFont="0" applyBorder="0" applyAlignment="0" applyProtection="0"/>
    <xf numFmtId="213" fontId="150" fillId="0" borderId="45" applyNumberFormat="0" applyAlignment="0" applyProtection="0">
      <alignment vertical="top"/>
    </xf>
    <xf numFmtId="192" fontId="15" fillId="29" borderId="0">
      <alignment horizontal="right"/>
    </xf>
    <xf numFmtId="304" fontId="15" fillId="0" borderId="0" applyFill="0" applyBorder="0" applyProtection="0">
      <alignment horizontal="right"/>
    </xf>
    <xf numFmtId="182" fontId="15" fillId="0" borderId="0" applyFill="0" applyBorder="0" applyProtection="0">
      <alignment horizontal="right"/>
    </xf>
    <xf numFmtId="305" fontId="15" fillId="29" borderId="0">
      <alignment horizontal="right"/>
    </xf>
    <xf numFmtId="0" fontId="151" fillId="0" borderId="0">
      <protection locked="0"/>
    </xf>
    <xf numFmtId="0" fontId="151" fillId="0" borderId="0">
      <protection locked="0"/>
    </xf>
    <xf numFmtId="0" fontId="152" fillId="0" borderId="0" applyNumberFormat="0" applyFill="0" applyBorder="0" applyAlignment="0" applyProtection="0"/>
    <xf numFmtId="0" fontId="2" fillId="0" borderId="0" applyNumberFormat="0" applyFill="0" applyBorder="0" applyAlignment="0" applyProtection="0"/>
    <xf numFmtId="0" fontId="153" fillId="0" borderId="0" applyNumberFormat="0" applyFill="0" applyBorder="0" applyAlignment="0" applyProtection="0"/>
    <xf numFmtId="0" fontId="78" fillId="0" borderId="46" applyNumberFormat="0" applyFont="0" applyAlignment="0"/>
    <xf numFmtId="0" fontId="55" fillId="57" borderId="0" applyNumberFormat="0" applyBorder="0" applyAlignment="0" applyProtection="0"/>
    <xf numFmtId="0" fontId="6" fillId="6" borderId="0" applyNumberFormat="0" applyBorder="0" applyAlignment="0" applyProtection="0"/>
    <xf numFmtId="0" fontId="55" fillId="62" borderId="0" applyNumberFormat="0" applyBorder="0" applyAlignment="0" applyProtection="0"/>
    <xf numFmtId="0" fontId="55" fillId="86" borderId="0" applyNumberFormat="0" applyBorder="0" applyAlignment="0" applyProtection="0"/>
    <xf numFmtId="0" fontId="6" fillId="10" borderId="0" applyNumberFormat="0" applyBorder="0" applyAlignment="0" applyProtection="0"/>
    <xf numFmtId="0" fontId="55" fillId="63" borderId="0" applyNumberFormat="0" applyBorder="0" applyAlignment="0" applyProtection="0"/>
    <xf numFmtId="0" fontId="55" fillId="86" borderId="0" applyNumberFormat="0" applyBorder="0" applyAlignment="0" applyProtection="0"/>
    <xf numFmtId="0" fontId="6" fillId="12" borderId="0" applyNumberFormat="0" applyBorder="0" applyAlignment="0" applyProtection="0"/>
    <xf numFmtId="0" fontId="55" fillId="64" borderId="0" applyNumberFormat="0" applyBorder="0" applyAlignment="0" applyProtection="0"/>
    <xf numFmtId="0" fontId="55" fillId="87" borderId="0" applyNumberFormat="0" applyBorder="0" applyAlignment="0" applyProtection="0"/>
    <xf numFmtId="0" fontId="6" fillId="16"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65" borderId="0" applyNumberFormat="0" applyBorder="0" applyAlignment="0" applyProtection="0"/>
    <xf numFmtId="0" fontId="55" fillId="65" borderId="0" applyNumberFormat="0" applyBorder="0" applyAlignment="0" applyProtection="0"/>
    <xf numFmtId="0" fontId="55" fillId="65" borderId="0" applyNumberFormat="0" applyBorder="0" applyAlignment="0" applyProtection="0"/>
    <xf numFmtId="261" fontId="20" fillId="0" borderId="0" applyFill="0" applyBorder="0" applyAlignment="0"/>
    <xf numFmtId="262" fontId="20" fillId="0" borderId="0" applyFill="0" applyBorder="0" applyAlignment="0"/>
    <xf numFmtId="261" fontId="20" fillId="0" borderId="0" applyFill="0" applyBorder="0" applyAlignment="0"/>
    <xf numFmtId="0" fontId="58" fillId="0" borderId="0" applyFill="0" applyBorder="0" applyAlignment="0"/>
    <xf numFmtId="262" fontId="20" fillId="0" borderId="0" applyFill="0" applyBorder="0" applyAlignment="0"/>
    <xf numFmtId="216" fontId="154" fillId="27" borderId="15">
      <alignment horizontal="right"/>
      <protection locked="0"/>
    </xf>
    <xf numFmtId="238" fontId="155" fillId="88" borderId="0" applyNumberFormat="0">
      <alignment horizontal="right" vertical="center"/>
    </xf>
    <xf numFmtId="0" fontId="141" fillId="43" borderId="30" applyNumberFormat="0" applyAlignment="0" applyProtection="0"/>
    <xf numFmtId="306" fontId="4" fillId="4" borderId="1" applyNumberFormat="0" applyAlignment="0" applyProtection="0"/>
    <xf numFmtId="0" fontId="141" fillId="43" borderId="30" applyNumberFormat="0" applyAlignment="0" applyProtection="0"/>
    <xf numFmtId="167" fontId="45" fillId="0" borderId="0" applyFont="0" applyFill="0" applyBorder="0" applyAlignment="0" applyProtection="0">
      <alignment horizontal="right"/>
    </xf>
    <xf numFmtId="193" fontId="15" fillId="0" borderId="0" applyFont="0" applyFill="0" applyBorder="0" applyProtection="0">
      <alignment horizontal="left"/>
      <protection locked="0"/>
    </xf>
    <xf numFmtId="189" fontId="15" fillId="0" borderId="0" applyFont="0" applyFill="0" applyBorder="0" applyProtection="0">
      <alignment horizontal="left"/>
      <protection locked="0"/>
    </xf>
    <xf numFmtId="307" fontId="24" fillId="0" borderId="0" applyProtection="0">
      <alignment horizontal="right"/>
    </xf>
    <xf numFmtId="0" fontId="156" fillId="0" borderId="0"/>
    <xf numFmtId="0" fontId="156" fillId="0" borderId="0"/>
    <xf numFmtId="0" fontId="156" fillId="0" borderId="0"/>
    <xf numFmtId="0" fontId="157" fillId="0" borderId="47" applyFont="0" applyFill="0" applyBorder="0"/>
    <xf numFmtId="0" fontId="15" fillId="0" borderId="0"/>
    <xf numFmtId="0" fontId="15" fillId="0" borderId="0"/>
    <xf numFmtId="0" fontId="15" fillId="0" borderId="0"/>
    <xf numFmtId="170" fontId="15" fillId="32" borderId="0" applyAlignment="0"/>
    <xf numFmtId="308" fontId="15" fillId="0" borderId="0" applyFont="0" applyFill="0" applyBorder="0" applyAlignment="0" applyProtection="0"/>
    <xf numFmtId="309" fontId="158" fillId="0" borderId="0" applyFont="0" applyFill="0" applyBorder="0" applyAlignment="0" applyProtection="0"/>
    <xf numFmtId="310" fontId="15" fillId="0" borderId="0" applyFont="0" applyFill="0" applyBorder="0" applyAlignment="0" applyProtection="0"/>
    <xf numFmtId="311" fontId="11" fillId="0" borderId="0" applyFont="0" applyFill="0" applyBorder="0" applyAlignment="0" applyProtection="0"/>
    <xf numFmtId="312" fontId="149" fillId="0" borderId="0" applyFont="0" applyFill="0" applyBorder="0" applyAlignment="0" applyProtection="0"/>
    <xf numFmtId="184" fontId="15" fillId="0" borderId="0" applyFill="0" applyBorder="0" applyProtection="0"/>
    <xf numFmtId="313" fontId="45" fillId="89" borderId="22" applyNumberFormat="0" applyFont="0" applyBorder="0" applyAlignment="0" applyProtection="0">
      <alignment horizontal="right"/>
    </xf>
    <xf numFmtId="0" fontId="16" fillId="0" borderId="0" applyNumberFormat="0" applyFill="0" applyBorder="0" applyAlignment="0"/>
    <xf numFmtId="314" fontId="159" fillId="0" borderId="0">
      <alignment horizontal="right" vertical="top"/>
    </xf>
    <xf numFmtId="315" fontId="160" fillId="0" borderId="0">
      <alignment horizontal="right" vertical="top"/>
    </xf>
    <xf numFmtId="315" fontId="159" fillId="0" borderId="0">
      <alignment horizontal="right" vertical="top"/>
    </xf>
    <xf numFmtId="316" fontId="160" fillId="0" borderId="0" applyFill="0" applyBorder="0">
      <alignment horizontal="right" vertical="top"/>
    </xf>
    <xf numFmtId="317" fontId="160" fillId="0" borderId="0" applyFill="0" applyBorder="0">
      <alignment horizontal="right" vertical="top"/>
    </xf>
    <xf numFmtId="318" fontId="160" fillId="0" borderId="0" applyFill="0" applyBorder="0">
      <alignment horizontal="right" vertical="top"/>
    </xf>
    <xf numFmtId="271" fontId="160" fillId="0" borderId="0" applyFill="0" applyBorder="0">
      <alignment horizontal="right" vertical="top"/>
    </xf>
    <xf numFmtId="0" fontId="161" fillId="0" borderId="0" applyNumberFormat="0" applyFill="0" applyBorder="0">
      <alignment horizontal="right"/>
    </xf>
    <xf numFmtId="0" fontId="162" fillId="0" borderId="0">
      <alignment horizontal="center" wrapText="1"/>
    </xf>
    <xf numFmtId="15" fontId="16" fillId="0" borderId="0" applyFont="0" applyFill="0" applyBorder="0">
      <alignment horizontal="center"/>
    </xf>
    <xf numFmtId="15" fontId="16" fillId="85" borderId="48" applyNumberFormat="0" applyFont="0" applyBorder="0" applyAlignment="0">
      <alignment horizontal="center"/>
    </xf>
    <xf numFmtId="319" fontId="163" fillId="0" borderId="0" applyFill="0" applyBorder="0">
      <alignment vertical="top"/>
    </xf>
    <xf numFmtId="319" fontId="120" fillId="0" borderId="0" applyFill="0" applyBorder="0" applyProtection="0">
      <alignment vertical="top"/>
    </xf>
    <xf numFmtId="319" fontId="164" fillId="0" borderId="0">
      <alignment vertical="top"/>
    </xf>
    <xf numFmtId="320" fontId="15" fillId="33" borderId="48" applyFont="0" applyAlignment="0"/>
    <xf numFmtId="237" fontId="15" fillId="33" borderId="48" applyFont="0" applyAlignment="0"/>
    <xf numFmtId="225" fontId="15" fillId="0" borderId="0" applyFont="0" applyFill="0" applyBorder="0" applyAlignment="0" applyProtection="0"/>
    <xf numFmtId="41" fontId="160" fillId="0" borderId="0" applyFill="0" applyBorder="0" applyAlignment="0" applyProtection="0">
      <alignment horizontal="right" vertical="top"/>
    </xf>
    <xf numFmtId="237" fontId="15" fillId="0" borderId="0" applyFont="0" applyFill="0" applyBorder="0" applyAlignment="0" applyProtection="0"/>
    <xf numFmtId="319" fontId="165" fillId="0" borderId="0"/>
    <xf numFmtId="0" fontId="11" fillId="0" borderId="10" applyNumberFormat="0" applyFont="0" applyAlignment="0">
      <alignment horizontal="right"/>
    </xf>
    <xf numFmtId="0" fontId="160" fillId="0" borderId="0" applyFill="0" applyBorder="0">
      <alignment horizontal="left" vertical="top"/>
    </xf>
    <xf numFmtId="0" fontId="16" fillId="0" borderId="49" applyNumberFormat="0" applyFont="0" applyAlignment="0"/>
    <xf numFmtId="0" fontId="16" fillId="37" borderId="0" applyNumberFormat="0" applyFont="0" applyBorder="0" applyAlignment="0"/>
    <xf numFmtId="216" fontId="20" fillId="0" borderId="0"/>
    <xf numFmtId="205" fontId="59" fillId="85" borderId="15" applyFont="0" applyFill="0" applyBorder="0" applyAlignment="0" applyProtection="0">
      <protection locked="0"/>
    </xf>
    <xf numFmtId="3" fontId="166" fillId="0" borderId="0" applyNumberFormat="0" applyFont="0" applyFill="0" applyBorder="0" applyAlignment="0" applyProtection="0">
      <alignment horizontal="left"/>
    </xf>
    <xf numFmtId="233" fontId="69" fillId="0" borderId="0"/>
    <xf numFmtId="321" fontId="15" fillId="0" borderId="0" applyFont="0" applyFill="0" applyBorder="0" applyAlignment="0" applyProtection="0"/>
    <xf numFmtId="322" fontId="15" fillId="0" borderId="0">
      <protection locked="0"/>
    </xf>
    <xf numFmtId="323" fontId="24" fillId="0" borderId="0" applyFont="0" applyFill="0" applyBorder="0" applyAlignment="0" applyProtection="0"/>
    <xf numFmtId="2" fontId="133" fillId="0" borderId="0" applyFont="0" applyFill="0" applyBorder="0" applyAlignment="0" applyProtection="0"/>
    <xf numFmtId="0" fontId="19" fillId="0" borderId="0">
      <alignment vertical="center"/>
    </xf>
    <xf numFmtId="0" fontId="167" fillId="0" borderId="0" applyNumberFormat="0" applyFill="0" applyBorder="0" applyAlignment="0" applyProtection="0">
      <alignment vertical="top"/>
      <protection locked="0"/>
    </xf>
    <xf numFmtId="0" fontId="15" fillId="0" borderId="0">
      <alignment horizontal="left"/>
    </xf>
    <xf numFmtId="0" fontId="15" fillId="0" borderId="0">
      <alignment horizontal="left"/>
    </xf>
    <xf numFmtId="0" fontId="168" fillId="0" borderId="0" applyFill="0" applyBorder="0" applyProtection="0">
      <alignment horizontal="left"/>
    </xf>
    <xf numFmtId="0" fontId="15" fillId="0" borderId="0">
      <alignment horizontal="left"/>
    </xf>
    <xf numFmtId="0" fontId="15" fillId="0" borderId="0">
      <alignment horizontal="left"/>
    </xf>
    <xf numFmtId="0" fontId="48" fillId="0" borderId="0" applyNumberFormat="0" applyFill="0" applyBorder="0" applyAlignment="0" applyProtection="0"/>
    <xf numFmtId="231" fontId="26" fillId="90" borderId="0">
      <alignment horizontal="right"/>
    </xf>
    <xf numFmtId="1" fontId="24" fillId="0" borderId="0" applyNumberFormat="0" applyBorder="0" applyAlignment="0" applyProtection="0"/>
    <xf numFmtId="324" fontId="15" fillId="90" borderId="0">
      <alignment horizontal="right"/>
    </xf>
    <xf numFmtId="0" fontId="46" fillId="91" borderId="0">
      <protection locked="0"/>
    </xf>
    <xf numFmtId="0" fontId="46" fillId="91" borderId="0">
      <protection locked="0"/>
    </xf>
    <xf numFmtId="226" fontId="15" fillId="0" borderId="9" applyNumberFormat="0" applyFill="0" applyBorder="0" applyAlignment="0" applyProtection="0"/>
    <xf numFmtId="178" fontId="15" fillId="0" borderId="0" applyProtection="0"/>
    <xf numFmtId="196" fontId="14" fillId="33" borderId="0"/>
    <xf numFmtId="176" fontId="169" fillId="0" borderId="0"/>
    <xf numFmtId="235" fontId="15" fillId="0" borderId="0">
      <alignment vertical="center"/>
    </xf>
    <xf numFmtId="196" fontId="45" fillId="0" borderId="0" applyFill="0" applyBorder="0" applyAlignment="0" applyProtection="0">
      <protection locked="0"/>
    </xf>
    <xf numFmtId="2" fontId="15" fillId="32" borderId="47" applyFill="0" applyBorder="0" applyProtection="0">
      <alignment horizontal="center"/>
    </xf>
    <xf numFmtId="0" fontId="154" fillId="0" borderId="0" applyNumberFormat="0" applyFill="0" applyBorder="0" applyAlignment="0" applyProtection="0"/>
    <xf numFmtId="0" fontId="24" fillId="0" borderId="0" applyNumberFormat="0" applyFill="0" applyBorder="0" applyProtection="0">
      <alignment wrapText="1"/>
    </xf>
    <xf numFmtId="0" fontId="69" fillId="0" borderId="0" applyNumberFormat="0" applyFill="0" applyBorder="0" applyProtection="0">
      <alignment wrapText="1"/>
    </xf>
    <xf numFmtId="0" fontId="170" fillId="36" borderId="0" applyNumberFormat="0" applyFill="0" applyBorder="0" applyAlignment="0"/>
    <xf numFmtId="38" fontId="24" fillId="27" borderId="0" applyNumberFormat="0" applyBorder="0" applyAlignment="0" applyProtection="0"/>
    <xf numFmtId="267" fontId="15" fillId="0" borderId="0" applyFill="0" applyBorder="0" applyAlignment="0" applyProtection="0"/>
    <xf numFmtId="267" fontId="15" fillId="0" borderId="0" applyAlignment="0">
      <alignment horizontal="left"/>
      <protection locked="0"/>
    </xf>
    <xf numFmtId="174" fontId="171" fillId="70" borderId="3" applyNumberFormat="0"/>
    <xf numFmtId="49" fontId="48" fillId="0" borderId="0">
      <alignment horizontal="right"/>
    </xf>
    <xf numFmtId="49" fontId="48" fillId="0" borderId="0">
      <alignment horizontal="right"/>
    </xf>
    <xf numFmtId="49" fontId="172" fillId="0" borderId="0">
      <alignment horizontal="right"/>
    </xf>
    <xf numFmtId="0" fontId="83" fillId="70" borderId="0"/>
    <xf numFmtId="0" fontId="83" fillId="70" borderId="0"/>
    <xf numFmtId="0" fontId="83" fillId="70" borderId="0"/>
    <xf numFmtId="0" fontId="83" fillId="70" borderId="0"/>
    <xf numFmtId="0" fontId="83" fillId="70" borderId="0"/>
    <xf numFmtId="174" fontId="171" fillId="70" borderId="3" applyNumberFormat="0"/>
    <xf numFmtId="0" fontId="83" fillId="70" borderId="0"/>
    <xf numFmtId="0" fontId="173" fillId="80" borderId="0" applyNumberFormat="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21" fillId="0" borderId="0" applyNumberFormat="0" applyFill="0" applyBorder="0" applyAlignment="0" applyProtection="0">
      <alignment horizontal="left" vertical="center"/>
    </xf>
    <xf numFmtId="0" fontId="31" fillId="0" borderId="0" applyNumberFormat="0" applyFill="0" applyBorder="0" applyAlignment="0" applyProtection="0">
      <alignment vertical="center"/>
    </xf>
    <xf numFmtId="0" fontId="20" fillId="0" borderId="0"/>
    <xf numFmtId="225" fontId="24" fillId="0" borderId="0">
      <alignment horizontal="right"/>
    </xf>
    <xf numFmtId="0" fontId="15" fillId="0" borderId="0">
      <alignment horizontal="right"/>
    </xf>
    <xf numFmtId="9" fontId="128" fillId="0" borderId="0">
      <alignment horizontal="right"/>
    </xf>
    <xf numFmtId="216" fontId="128" fillId="32" borderId="0">
      <alignment horizontal="right"/>
    </xf>
    <xf numFmtId="2" fontId="62" fillId="92" borderId="0"/>
    <xf numFmtId="325" fontId="176" fillId="0" borderId="0" applyFill="0" applyBorder="0" applyAlignment="0" applyProtection="0"/>
    <xf numFmtId="0" fontId="24" fillId="0" borderId="0"/>
    <xf numFmtId="182" fontId="15" fillId="32" borderId="15" applyNumberFormat="0" applyFont="0" applyAlignment="0"/>
    <xf numFmtId="0" fontId="129" fillId="0" borderId="0" applyFont="0" applyFill="0" applyBorder="0" applyAlignment="0" applyProtection="0">
      <alignment horizontal="right"/>
    </xf>
    <xf numFmtId="225" fontId="24" fillId="0" borderId="0">
      <alignment horizontal="right"/>
    </xf>
    <xf numFmtId="0" fontId="58" fillId="0" borderId="0">
      <alignment horizontal="right"/>
    </xf>
    <xf numFmtId="0" fontId="73" fillId="0" borderId="0" applyNumberFormat="0" applyBorder="0"/>
    <xf numFmtId="0" fontId="177" fillId="93" borderId="0" applyNumberFormat="0" applyBorder="0" applyProtection="0">
      <alignment horizontal="left" vertical="center"/>
    </xf>
    <xf numFmtId="0" fontId="15" fillId="1" borderId="0" applyNumberFormat="0" applyBorder="0" applyProtection="0">
      <alignment horizontal="left" vertical="center"/>
    </xf>
    <xf numFmtId="0" fontId="178" fillId="0" borderId="0" applyNumberFormat="0" applyFill="0" applyBorder="0" applyAlignment="0" applyProtection="0"/>
    <xf numFmtId="0" fontId="15" fillId="0" borderId="0">
      <alignment horizontal="left"/>
    </xf>
    <xf numFmtId="0" fontId="15" fillId="0" borderId="0">
      <alignment horizontal="left"/>
    </xf>
    <xf numFmtId="0" fontId="121" fillId="0" borderId="50" applyNumberFormat="0" applyAlignment="0" applyProtection="0">
      <alignment horizontal="left" vertical="center"/>
    </xf>
    <xf numFmtId="0" fontId="121" fillId="0" borderId="10">
      <alignment horizontal="left" vertical="center"/>
    </xf>
    <xf numFmtId="0" fontId="121" fillId="80" borderId="10" applyFill="0">
      <alignment horizontal="center"/>
    </xf>
    <xf numFmtId="0" fontId="11" fillId="80" borderId="10" applyFill="0">
      <alignment horizontal="center"/>
    </xf>
    <xf numFmtId="0" fontId="179" fillId="0" borderId="0">
      <alignment horizontal="center"/>
    </xf>
    <xf numFmtId="0" fontId="31" fillId="0" borderId="0" applyFill="0" applyBorder="0" applyProtection="0">
      <alignment horizontal="right"/>
    </xf>
    <xf numFmtId="0" fontId="15" fillId="0" borderId="0">
      <alignment horizontal="left"/>
    </xf>
    <xf numFmtId="0" fontId="15" fillId="0" borderId="17">
      <alignment horizontal="left" vertical="top"/>
    </xf>
    <xf numFmtId="0" fontId="15" fillId="0" borderId="0">
      <alignment horizontal="left"/>
    </xf>
    <xf numFmtId="0" fontId="15" fillId="0" borderId="17">
      <alignment horizontal="left" vertical="top"/>
    </xf>
    <xf numFmtId="0" fontId="15" fillId="0" borderId="0">
      <alignment horizontal="left"/>
    </xf>
    <xf numFmtId="0" fontId="180" fillId="0" borderId="0"/>
    <xf numFmtId="292" fontId="15" fillId="0" borderId="0">
      <protection locked="0"/>
    </xf>
    <xf numFmtId="292" fontId="15" fillId="0" borderId="0">
      <protection locked="0"/>
    </xf>
    <xf numFmtId="0" fontId="175" fillId="0" borderId="23"/>
    <xf numFmtId="0" fontId="181" fillId="0" borderId="0" applyNumberFormat="0" applyFill="0" applyBorder="0" applyAlignment="0" applyProtection="0">
      <alignment horizontal="right"/>
    </xf>
    <xf numFmtId="0" fontId="182" fillId="31" borderId="51" applyNumberFormat="0" applyFill="0" applyBorder="0">
      <alignment horizontal="center" vertical="center"/>
      <protection hidden="1"/>
    </xf>
    <xf numFmtId="215" fontId="15" fillId="0" borderId="0" applyFon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185" fontId="15" fillId="0" borderId="0" applyNumberFormat="0" applyFill="0" applyBorder="0" applyAlignment="0"/>
    <xf numFmtId="213" fontId="50" fillId="0" borderId="0" applyAlignment="0" applyProtection="0"/>
    <xf numFmtId="176" fontId="14" fillId="0" borderId="0" applyProtection="0">
      <alignment horizontal="right"/>
    </xf>
    <xf numFmtId="196" fontId="37" fillId="27" borderId="0" applyNumberFormat="0" applyFont="0" applyBorder="0" applyAlignment="0" applyProtection="0"/>
    <xf numFmtId="176" fontId="58" fillId="0" borderId="0" applyFill="0" applyBorder="0" applyAlignment="0" applyProtection="0"/>
    <xf numFmtId="325" fontId="58" fillId="0" borderId="0" applyFill="0" applyBorder="0" applyAlignment="0" applyProtection="0"/>
    <xf numFmtId="176" fontId="58" fillId="0" borderId="0" applyNumberFormat="0" applyFill="0" applyBorder="0" applyAlignment="0" applyProtection="0"/>
    <xf numFmtId="0" fontId="14" fillId="0" borderId="0" applyNumberFormat="0" applyFill="0" applyBorder="0" applyAlignment="0" applyProtection="0"/>
    <xf numFmtId="326" fontId="15" fillId="94" borderId="0"/>
    <xf numFmtId="176" fontId="72" fillId="32" borderId="0" applyNumberFormat="0" applyBorder="0" applyAlignment="0" applyProtection="0"/>
    <xf numFmtId="327" fontId="15" fillId="0" borderId="0" applyFill="0" applyBorder="0"/>
    <xf numFmtId="0" fontId="65" fillId="0" borderId="0">
      <alignment horizontal="center"/>
    </xf>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67" fontId="24" fillId="35" borderId="0" applyNumberFormat="0" applyFont="0" applyAlignment="0" applyProtection="0">
      <alignment horizontal="right"/>
      <protection locked="0"/>
    </xf>
    <xf numFmtId="209" fontId="15" fillId="0" borderId="0" applyNumberFormat="0" applyFill="0" applyBorder="0" applyAlignment="0" applyProtection="0"/>
    <xf numFmtId="192" fontId="15" fillId="81" borderId="15"/>
    <xf numFmtId="242" fontId="37" fillId="81" borderId="15"/>
    <xf numFmtId="192" fontId="15" fillId="95" borderId="15"/>
    <xf numFmtId="184" fontId="15" fillId="67" borderId="0"/>
    <xf numFmtId="216" fontId="58" fillId="0" borderId="0"/>
    <xf numFmtId="196" fontId="45" fillId="0" borderId="0" applyFill="0" applyBorder="0" applyAlignment="0" applyProtection="0">
      <alignment horizontal="right"/>
      <protection locked="0"/>
    </xf>
    <xf numFmtId="0" fontId="3" fillId="2" borderId="0" applyNumberFormat="0" applyBorder="0" applyAlignment="0" applyProtection="0"/>
    <xf numFmtId="0" fontId="80" fillId="39" borderId="0" applyNumberFormat="0" applyBorder="0" applyAlignment="0" applyProtection="0"/>
    <xf numFmtId="0" fontId="15" fillId="0" borderId="0" applyNumberFormat="0" applyFill="0" applyBorder="0" applyAlignment="0" applyProtection="0"/>
    <xf numFmtId="174" fontId="78" fillId="0" borderId="0"/>
    <xf numFmtId="225" fontId="96" fillId="0" borderId="0"/>
    <xf numFmtId="192" fontId="15" fillId="32" borderId="15" applyAlignment="0"/>
    <xf numFmtId="209" fontId="58" fillId="0" borderId="0"/>
    <xf numFmtId="209" fontId="14" fillId="32" borderId="0"/>
    <xf numFmtId="167" fontId="24" fillId="0" borderId="0"/>
    <xf numFmtId="171" fontId="15" fillId="32" borderId="15" applyAlignment="0"/>
    <xf numFmtId="233" fontId="190" fillId="0" borderId="0" applyFill="0" applyBorder="0" applyProtection="0"/>
    <xf numFmtId="176" fontId="58" fillId="32" borderId="0" applyBorder="0" applyAlignment="0" applyProtection="0"/>
    <xf numFmtId="187" fontId="15" fillId="0" borderId="0" applyFill="0" applyBorder="0" applyAlignment="0" applyProtection="0"/>
    <xf numFmtId="297" fontId="24" fillId="0" borderId="0"/>
    <xf numFmtId="43" fontId="24" fillId="0" borderId="0"/>
    <xf numFmtId="235" fontId="190" fillId="0" borderId="0" applyBorder="0" applyProtection="0">
      <alignment horizontal="right"/>
    </xf>
    <xf numFmtId="10" fontId="24" fillId="32" borderId="15" applyNumberFormat="0" applyBorder="0" applyAlignment="0" applyProtection="0"/>
    <xf numFmtId="3" fontId="74" fillId="27" borderId="0">
      <alignment horizontal="right"/>
      <protection locked="0"/>
    </xf>
    <xf numFmtId="216" fontId="191" fillId="27" borderId="0" applyBorder="0">
      <alignment horizontal="right"/>
      <protection locked="0"/>
    </xf>
    <xf numFmtId="0" fontId="32" fillId="0" borderId="52" applyNumberFormat="0" applyAlignment="0">
      <alignment vertical="center"/>
    </xf>
    <xf numFmtId="3" fontId="192" fillId="0" borderId="53" applyNumberFormat="0" applyFont="0" applyFill="0" applyAlignment="0">
      <alignment horizontal="center" vertical="top"/>
      <protection locked="0"/>
    </xf>
    <xf numFmtId="0" fontId="36" fillId="96" borderId="0" applyNumberFormat="0" applyFont="0" applyBorder="0" applyAlignment="0" applyProtection="0"/>
    <xf numFmtId="233" fontId="14" fillId="32" borderId="0"/>
    <xf numFmtId="328" fontId="24" fillId="32" borderId="0" applyFont="0" applyBorder="0" applyAlignment="0" applyProtection="0">
      <protection locked="0"/>
    </xf>
    <xf numFmtId="0" fontId="32" fillId="0" borderId="54" applyNumberFormat="0" applyAlignment="0">
      <alignment vertical="center"/>
      <protection locked="0"/>
    </xf>
    <xf numFmtId="15" fontId="24" fillId="32" borderId="0" applyFont="0" applyBorder="0" applyAlignment="0" applyProtection="0">
      <protection locked="0"/>
    </xf>
    <xf numFmtId="315" fontId="15" fillId="97" borderId="54" applyNumberFormat="0" applyAlignment="0">
      <alignment vertical="center"/>
      <protection locked="0"/>
    </xf>
    <xf numFmtId="228" fontId="24" fillId="32" borderId="0" applyFont="0" applyBorder="0" applyAlignment="0">
      <protection locked="0"/>
    </xf>
    <xf numFmtId="0" fontId="62" fillId="0" borderId="0" applyNumberFormat="0" applyFill="0" applyBorder="0" applyAlignment="0" applyProtection="0"/>
    <xf numFmtId="0" fontId="32" fillId="37" borderId="0" applyNumberFormat="0" applyAlignment="0">
      <alignment vertical="center"/>
    </xf>
    <xf numFmtId="0" fontId="62" fillId="0" borderId="0" applyNumberFormat="0" applyFill="0" applyBorder="0" applyAlignment="0" applyProtection="0"/>
    <xf numFmtId="210" fontId="58" fillId="0" borderId="0"/>
    <xf numFmtId="38" fontId="24" fillId="32" borderId="0">
      <protection locked="0"/>
    </xf>
    <xf numFmtId="37" fontId="14" fillId="32" borderId="0"/>
    <xf numFmtId="176" fontId="14" fillId="32" borderId="0"/>
    <xf numFmtId="0" fontId="73" fillId="33" borderId="0" applyNumberFormat="0" applyBorder="0"/>
    <xf numFmtId="0" fontId="32" fillId="0" borderId="55" applyNumberFormat="0" applyAlignment="0">
      <alignment vertical="center"/>
      <protection locked="0"/>
    </xf>
    <xf numFmtId="225" fontId="24" fillId="32" borderId="0" applyFont="0" applyBorder="0" applyAlignment="0">
      <protection locked="0"/>
    </xf>
    <xf numFmtId="10" fontId="24" fillId="32" borderId="0">
      <protection locked="0"/>
    </xf>
    <xf numFmtId="315" fontId="15" fillId="0" borderId="0"/>
    <xf numFmtId="196" fontId="114" fillId="32" borderId="0" applyNumberFormat="0" applyBorder="0" applyAlignment="0">
      <protection locked="0"/>
    </xf>
    <xf numFmtId="329" fontId="14" fillId="0" borderId="0" applyProtection="0">
      <alignment horizontal="right"/>
    </xf>
    <xf numFmtId="237" fontId="96" fillId="32" borderId="11" applyProtection="0">
      <alignment horizontal="right"/>
    </xf>
    <xf numFmtId="246" fontId="58" fillId="0" borderId="0" applyFill="0" applyBorder="0" applyProtection="0">
      <protection locked="0"/>
    </xf>
    <xf numFmtId="0" fontId="15" fillId="32" borderId="15"/>
    <xf numFmtId="0" fontId="15" fillId="32" borderId="15"/>
    <xf numFmtId="0" fontId="62" fillId="0" borderId="0" applyNumberFormat="0" applyFill="0" applyBorder="0" applyAlignment="0">
      <protection locked="0"/>
    </xf>
    <xf numFmtId="176" fontId="58" fillId="0" borderId="0" applyNumberFormat="0" applyBorder="0" applyAlignment="0" applyProtection="0"/>
    <xf numFmtId="14" fontId="14" fillId="32" borderId="11" applyProtection="0">
      <alignment horizontal="right"/>
    </xf>
    <xf numFmtId="0" fontId="193" fillId="0" borderId="0" applyProtection="0"/>
    <xf numFmtId="237" fontId="14" fillId="32" borderId="56" applyProtection="0"/>
    <xf numFmtId="196" fontId="24" fillId="32" borderId="0" applyNumberFormat="0" applyFont="0" applyBorder="0" applyAlignment="0" applyProtection="0">
      <alignment horizontal="center"/>
      <protection locked="0"/>
    </xf>
    <xf numFmtId="3" fontId="78" fillId="0" borderId="0" applyFont="0" applyFill="0" applyBorder="0" applyAlignment="0">
      <alignment horizontal="right"/>
    </xf>
    <xf numFmtId="0" fontId="194" fillId="0" borderId="0" applyAlignment="0"/>
    <xf numFmtId="0" fontId="16" fillId="0" borderId="0" applyFill="0" applyBorder="0">
      <alignment horizontal="right"/>
      <protection locked="0"/>
    </xf>
    <xf numFmtId="0" fontId="24"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xf numFmtId="283" fontId="15" fillId="0" borderId="0" applyFill="0" applyBorder="0">
      <alignment horizontal="right"/>
      <protection locked="0"/>
    </xf>
    <xf numFmtId="0" fontId="15" fillId="91" borderId="57">
      <alignment horizontal="left" vertical="center" wrapText="1"/>
    </xf>
    <xf numFmtId="0" fontId="14" fillId="33" borderId="0"/>
    <xf numFmtId="4" fontId="62" fillId="92" borderId="0"/>
    <xf numFmtId="176" fontId="15" fillId="0" borderId="0" applyFont="0" applyFill="0" applyBorder="0" applyAlignment="0" applyProtection="0"/>
    <xf numFmtId="0" fontId="195" fillId="0" borderId="11" applyNumberFormat="0" applyAlignment="0" applyProtection="0"/>
    <xf numFmtId="0" fontId="15" fillId="0" borderId="0" applyFont="0" applyFill="0" applyBorder="0" applyAlignment="0" applyProtection="0"/>
    <xf numFmtId="0" fontId="15" fillId="0" borderId="0" applyFont="0" applyFill="0" applyBorder="0" applyAlignment="0" applyProtection="0"/>
    <xf numFmtId="1" fontId="196" fillId="1" borderId="53">
      <protection locked="0"/>
    </xf>
    <xf numFmtId="0" fontId="197" fillId="0" borderId="0" applyNumberFormat="0" applyFill="0" applyBorder="0" applyProtection="0">
      <alignment horizontal="left" vertical="center"/>
    </xf>
    <xf numFmtId="38" fontId="198" fillId="0" borderId="0"/>
    <xf numFmtId="38" fontId="199" fillId="0" borderId="0"/>
    <xf numFmtId="38" fontId="93" fillId="0" borderId="0"/>
    <xf numFmtId="38" fontId="200" fillId="0" borderId="0"/>
    <xf numFmtId="0" fontId="201" fillId="0" borderId="0"/>
    <xf numFmtId="0" fontId="201" fillId="0" borderId="0"/>
    <xf numFmtId="0" fontId="15" fillId="0" borderId="0"/>
    <xf numFmtId="0" fontId="24" fillId="0" borderId="0" applyNumberFormat="0" applyFill="0" applyBorder="0" applyProtection="0">
      <alignment horizontal="left"/>
    </xf>
    <xf numFmtId="227" fontId="15" fillId="32" borderId="0">
      <alignment horizontal="left" vertical="top" indent="2"/>
    </xf>
    <xf numFmtId="227" fontId="15" fillId="32" borderId="0">
      <alignment vertical="top"/>
    </xf>
    <xf numFmtId="0" fontId="85" fillId="0" borderId="0" applyNumberFormat="0" applyFill="0" applyBorder="0" applyAlignment="0" applyProtection="0">
      <alignment vertical="top"/>
      <protection locked="0"/>
    </xf>
    <xf numFmtId="0" fontId="202" fillId="0" borderId="0" applyNumberFormat="0" applyFill="0" applyBorder="0" applyAlignment="0" applyProtection="0">
      <alignment vertical="top"/>
      <protection locked="0"/>
    </xf>
    <xf numFmtId="0" fontId="20" fillId="83" borderId="0" applyNumberFormat="0" applyFont="0" applyBorder="0" applyProtection="0"/>
    <xf numFmtId="174" fontId="15" fillId="0" borderId="0" applyFont="0" applyFill="0" applyAlignment="0" applyProtection="0"/>
    <xf numFmtId="38" fontId="203" fillId="0" borderId="0" applyNumberFormat="0" applyFill="0" applyBorder="0" applyAlignment="0" applyProtection="0"/>
    <xf numFmtId="261" fontId="20" fillId="0" borderId="0" applyFill="0" applyBorder="0" applyAlignment="0"/>
    <xf numFmtId="262" fontId="20" fillId="0" borderId="0" applyFill="0" applyBorder="0" applyAlignment="0"/>
    <xf numFmtId="261" fontId="20" fillId="0" borderId="0" applyFill="0" applyBorder="0" applyAlignment="0"/>
    <xf numFmtId="0" fontId="204" fillId="0" borderId="0" applyFill="0" applyBorder="0" applyAlignment="0"/>
    <xf numFmtId="262" fontId="20" fillId="0" borderId="0" applyFill="0" applyBorder="0" applyAlignment="0"/>
    <xf numFmtId="37" fontId="15" fillId="77" borderId="0" applyBorder="0"/>
    <xf numFmtId="1" fontId="205" fillId="0" borderId="0" applyNumberFormat="0" applyFill="0" applyBorder="0" applyAlignment="0" applyProtection="0">
      <alignment horizontal="right"/>
    </xf>
    <xf numFmtId="176" fontId="206" fillId="0" borderId="0" applyNumberFormat="0" applyFont="0" applyFill="0" applyBorder="0" applyAlignment="0">
      <protection hidden="1"/>
    </xf>
    <xf numFmtId="0" fontId="207" fillId="0" borderId="23">
      <alignment horizontal="left"/>
    </xf>
    <xf numFmtId="0" fontId="208" fillId="0" borderId="0">
      <alignment horizontal="left"/>
    </xf>
    <xf numFmtId="330" fontId="15" fillId="0" borderId="0" applyFont="0" applyFill="0" applyBorder="0" applyAlignment="0" applyProtection="0"/>
    <xf numFmtId="14" fontId="49" fillId="0" borderId="3" applyFont="0" applyFill="0" applyBorder="0" applyAlignment="0" applyProtection="0"/>
    <xf numFmtId="235" fontId="32" fillId="36" borderId="0" applyBorder="0" applyAlignment="0" applyProtection="0"/>
    <xf numFmtId="330" fontId="15" fillId="0" borderId="0" applyFont="0" applyFill="0" applyBorder="0" applyAlignment="0" applyProtection="0"/>
    <xf numFmtId="330" fontId="15" fillId="0" borderId="0" applyFont="0" applyFill="0" applyBorder="0" applyAlignment="0" applyProtection="0"/>
    <xf numFmtId="331" fontId="78" fillId="0" borderId="0" applyFont="0" applyFill="0" applyBorder="0" applyAlignment="0" applyProtection="0"/>
    <xf numFmtId="235" fontId="32" fillId="36" borderId="0" applyBorder="0" applyAlignment="0" applyProtection="0"/>
    <xf numFmtId="330" fontId="15" fillId="0" borderId="0" applyFont="0" applyFill="0" applyBorder="0" applyAlignment="0" applyProtection="0"/>
    <xf numFmtId="330" fontId="15" fillId="0" borderId="0" applyFont="0" applyFill="0" applyBorder="0" applyAlignment="0" applyProtection="0"/>
    <xf numFmtId="324" fontId="24" fillId="0" borderId="0"/>
    <xf numFmtId="324" fontId="24" fillId="0" borderId="0"/>
    <xf numFmtId="332" fontId="24" fillId="0" borderId="0"/>
    <xf numFmtId="331" fontId="73" fillId="0" borderId="0" applyFont="0" applyFill="0" applyBorder="0" applyAlignment="0" applyProtection="0"/>
    <xf numFmtId="324" fontId="24" fillId="0" borderId="0"/>
    <xf numFmtId="324" fontId="24" fillId="0" borderId="0"/>
    <xf numFmtId="330" fontId="15" fillId="0" borderId="0" applyFont="0" applyFill="0" applyBorder="0" applyAlignment="0" applyProtection="0"/>
    <xf numFmtId="235" fontId="32" fillId="36" borderId="0" applyBorder="0" applyAlignment="0" applyProtection="0"/>
    <xf numFmtId="331" fontId="73" fillId="0" borderId="0" applyFont="0" applyFill="0" applyBorder="0" applyAlignment="0" applyProtection="0"/>
    <xf numFmtId="235" fontId="32" fillId="36" borderId="0" applyBorder="0" applyAlignment="0" applyProtection="0"/>
    <xf numFmtId="330" fontId="15" fillId="0" borderId="0" applyFont="0" applyFill="0" applyBorder="0" applyAlignment="0" applyProtection="0"/>
    <xf numFmtId="245" fontId="15" fillId="0" borderId="0" applyFont="0" applyFill="0" applyBorder="0" applyAlignment="0" applyProtection="0"/>
    <xf numFmtId="333" fontId="15" fillId="32" borderId="3" applyFont="0" applyFill="0" applyBorder="0" applyAlignment="0" applyProtection="0">
      <alignment horizontal="right"/>
    </xf>
    <xf numFmtId="176" fontId="11" fillId="0" borderId="22"/>
    <xf numFmtId="0" fontId="209" fillId="0" borderId="0" applyNumberFormat="0" applyFill="0" applyBorder="0" applyProtection="0">
      <alignment horizontal="left" vertical="center"/>
    </xf>
    <xf numFmtId="0" fontId="175" fillId="0" borderId="0"/>
    <xf numFmtId="0" fontId="15" fillId="0" borderId="0" applyNumberFormat="0" applyBorder="0" applyProtection="0">
      <alignment vertical="top"/>
    </xf>
    <xf numFmtId="0" fontId="210" fillId="0" borderId="0"/>
    <xf numFmtId="213" fontId="48" fillId="0" borderId="0"/>
    <xf numFmtId="237" fontId="71" fillId="0" borderId="0" applyProtection="0">
      <alignment horizontal="right"/>
    </xf>
    <xf numFmtId="234" fontId="211" fillId="0" borderId="0" applyFill="0" applyBorder="0" applyAlignment="0" applyProtection="0"/>
    <xf numFmtId="0" fontId="212" fillId="53" borderId="0">
      <alignment horizontal="center"/>
    </xf>
    <xf numFmtId="334" fontId="15" fillId="0" borderId="0" applyFill="0" applyBorder="0" applyProtection="0"/>
    <xf numFmtId="37" fontId="48" fillId="0" borderId="0" applyBorder="0"/>
    <xf numFmtId="0" fontId="213" fillId="0" borderId="0">
      <alignment horizontal="center" vertical="center"/>
    </xf>
    <xf numFmtId="291" fontId="15" fillId="0" borderId="0" applyFont="0" applyFill="0" applyBorder="0" applyAlignment="0" applyProtection="0"/>
    <xf numFmtId="191" fontId="16"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33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336" fontId="15" fillId="0" borderId="0" applyFont="0" applyFill="0" applyBorder="0" applyAlignment="0" applyProtection="0"/>
    <xf numFmtId="336"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52" fillId="0" borderId="0" applyFont="0" applyFill="0" applyBorder="0" applyAlignment="0" applyProtection="0"/>
    <xf numFmtId="277" fontId="15" fillId="0" borderId="0" applyFont="0" applyFill="0" applyBorder="0" applyAlignment="0" applyProtection="0"/>
    <xf numFmtId="0"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0" fontId="1"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173" fontId="1" fillId="0" borderId="0" applyFont="0" applyFill="0" applyBorder="0" applyAlignment="0" applyProtection="0"/>
    <xf numFmtId="213" fontId="15" fillId="0" borderId="0" applyFont="0" applyFill="0" applyBorder="0" applyAlignment="0" applyProtection="0"/>
    <xf numFmtId="213"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1" fillId="0" borderId="0" applyFont="0" applyFill="0" applyBorder="0" applyAlignment="0" applyProtection="0"/>
    <xf numFmtId="43" fontId="214"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13"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43" fontId="52"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52"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277" fontId="15" fillId="0" borderId="0" applyFont="0" applyFill="0" applyBorder="0" applyAlignment="0" applyProtection="0"/>
    <xf numFmtId="16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167"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1"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2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43" fontId="52"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173"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52"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7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214" fillId="0" borderId="0" applyFont="0" applyFill="0" applyBorder="0" applyAlignment="0" applyProtection="0"/>
    <xf numFmtId="277"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277"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38" fontId="36" fillId="0" borderId="0" applyFont="0" applyFill="0" applyBorder="0" applyAlignment="0" applyProtection="0"/>
    <xf numFmtId="43" fontId="15" fillId="0" borderId="0" applyFont="0" applyFill="0" applyBorder="0" applyAlignment="0" applyProtection="0"/>
    <xf numFmtId="242" fontId="15" fillId="0" borderId="0" applyFont="0" applyFill="0" applyBorder="0" applyAlignment="0" applyProtection="0"/>
    <xf numFmtId="244" fontId="15" fillId="0" borderId="0" applyFont="0" applyFill="0" applyBorder="0" applyAlignment="0" applyProtection="0"/>
    <xf numFmtId="248" fontId="15" fillId="0" borderId="58" applyFont="0" applyFill="0" applyBorder="0" applyAlignment="0" applyProtection="0">
      <alignment horizontal="center"/>
    </xf>
    <xf numFmtId="265" fontId="15" fillId="0" borderId="0" applyFont="0" applyFill="0" applyBorder="0" applyAlignment="0" applyProtection="0"/>
    <xf numFmtId="337" fontId="1" fillId="0" borderId="0" applyFont="0" applyFill="0" applyBorder="0" applyProtection="0"/>
    <xf numFmtId="0" fontId="24" fillId="0" borderId="0"/>
    <xf numFmtId="213" fontId="15" fillId="0" borderId="0"/>
    <xf numFmtId="37" fontId="195" fillId="0" borderId="0" applyFont="0" applyFill="0" applyBorder="0" applyAlignment="0" applyProtection="0"/>
    <xf numFmtId="338" fontId="76" fillId="0" borderId="0" applyFont="0" applyFill="0" applyBorder="0" applyAlignment="0" applyProtection="0"/>
    <xf numFmtId="339" fontId="76" fillId="0" borderId="0" applyFont="0" applyFill="0" applyBorder="0" applyAlignment="0" applyProtection="0"/>
    <xf numFmtId="0" fontId="216" fillId="36" borderId="59">
      <alignment horizontal="left" vertical="top" indent="2"/>
    </xf>
    <xf numFmtId="331" fontId="195" fillId="0" borderId="0" applyFont="0" applyFill="0" applyBorder="0" applyAlignment="0" applyProtection="0"/>
    <xf numFmtId="340" fontId="195" fillId="0" borderId="0" applyFont="0" applyFill="0" applyBorder="0" applyAlignment="0" applyProtection="0"/>
    <xf numFmtId="222" fontId="76" fillId="0" borderId="0" applyFont="0" applyFill="0" applyBorder="0" applyAlignment="0" applyProtection="0"/>
    <xf numFmtId="304" fontId="76" fillId="0" borderId="0" applyFont="0" applyFill="0" applyBorder="0" applyAlignment="0" applyProtection="0"/>
    <xf numFmtId="168" fontId="2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285"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 fillId="0" borderId="0" applyFont="0" applyFill="0" applyBorder="0" applyAlignment="0" applyProtection="0"/>
    <xf numFmtId="168" fontId="15" fillId="0" borderId="0" applyFont="0" applyFill="0" applyBorder="0" applyAlignment="0" applyProtection="0"/>
    <xf numFmtId="341" fontId="15" fillId="0" borderId="0" applyFont="0" applyFill="0" applyBorder="0" applyAlignment="0" applyProtection="0"/>
    <xf numFmtId="169" fontId="15" fillId="0" borderId="0" applyFont="0" applyFill="0" applyBorder="0" applyAlignment="0" applyProtection="0"/>
    <xf numFmtId="285"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 fillId="0" borderId="0" applyFont="0" applyFill="0" applyBorder="0" applyAlignment="0" applyProtection="0"/>
    <xf numFmtId="285" fontId="15" fillId="0" borderId="0" applyFont="0" applyFill="0" applyBorder="0" applyAlignment="0" applyProtection="0"/>
    <xf numFmtId="285" fontId="15" fillId="0" borderId="0" applyFont="0" applyFill="0" applyBorder="0" applyAlignment="0" applyProtection="0"/>
    <xf numFmtId="285" fontId="15" fillId="0" borderId="0" applyFont="0" applyFill="0" applyBorder="0" applyAlignment="0" applyProtection="0"/>
    <xf numFmtId="285" fontId="15" fillId="0" borderId="0" applyFont="0" applyFill="0" applyBorder="0" applyAlignment="0" applyProtection="0"/>
    <xf numFmtId="3" fontId="15" fillId="0" borderId="0"/>
    <xf numFmtId="165" fontId="36" fillId="0" borderId="0" applyFont="0" applyFill="0" applyBorder="0" applyAlignment="0" applyProtection="0"/>
    <xf numFmtId="342" fontId="15" fillId="0" borderId="0" applyFont="0" applyFill="0" applyBorder="0" applyAlignment="0" applyProtection="0"/>
    <xf numFmtId="3" fontId="36" fillId="0" borderId="0" applyFont="0" applyAlignment="0"/>
    <xf numFmtId="39" fontId="15" fillId="36" borderId="0" applyFont="0" applyFill="0" applyBorder="0" applyAlignment="0" applyProtection="0"/>
    <xf numFmtId="17" fontId="24" fillId="0" borderId="0">
      <alignment horizontal="right"/>
    </xf>
    <xf numFmtId="206" fontId="15" fillId="0" borderId="0" applyFill="0" applyBorder="0"/>
    <xf numFmtId="343" fontId="24" fillId="0" borderId="0"/>
    <xf numFmtId="41" fontId="15" fillId="0" borderId="0" applyFill="0" applyBorder="0" applyAlignment="0">
      <alignment horizontal="right"/>
    </xf>
    <xf numFmtId="168" fontId="32" fillId="0" borderId="0"/>
    <xf numFmtId="218" fontId="45" fillId="0" borderId="0" applyFont="0" applyFill="0" applyBorder="0" applyAlignment="0" applyProtection="0"/>
    <xf numFmtId="291" fontId="16" fillId="0" borderId="0" applyFont="0" applyFill="0" applyBorder="0" applyAlignment="0" applyProtection="0"/>
    <xf numFmtId="172" fontId="15" fillId="0" borderId="0" applyFill="0" applyBorder="0" applyAlignment="0" applyProtection="0"/>
    <xf numFmtId="344" fontId="15" fillId="0" borderId="0"/>
    <xf numFmtId="345" fontId="15" fillId="0" borderId="0" applyFont="0" applyFill="0" applyBorder="0" applyAlignment="0" applyProtection="0"/>
    <xf numFmtId="293" fontId="129" fillId="0" borderId="0" applyFill="0" applyBorder="0" applyProtection="0">
      <alignment vertical="center"/>
    </xf>
    <xf numFmtId="346" fontId="24" fillId="0" borderId="0" applyProtection="0">
      <alignment horizontal="right"/>
    </xf>
    <xf numFmtId="213" fontId="15" fillId="32" borderId="48" applyProtection="0">
      <alignment horizontal="right"/>
    </xf>
    <xf numFmtId="245" fontId="24" fillId="36" borderId="0"/>
    <xf numFmtId="0" fontId="69" fillId="0" borderId="0" applyFont="0">
      <protection locked="0"/>
    </xf>
    <xf numFmtId="245" fontId="24" fillId="36" borderId="0"/>
    <xf numFmtId="176" fontId="217" fillId="0" borderId="0"/>
    <xf numFmtId="227" fontId="15" fillId="0" borderId="0" applyFill="0" applyAlignment="0"/>
    <xf numFmtId="176" fontId="15" fillId="0" borderId="0"/>
    <xf numFmtId="0" fontId="78" fillId="0" borderId="0"/>
    <xf numFmtId="0" fontId="78" fillId="0" borderId="0"/>
    <xf numFmtId="176" fontId="15" fillId="0" borderId="0"/>
    <xf numFmtId="247" fontId="16" fillId="0" borderId="0"/>
    <xf numFmtId="192" fontId="16" fillId="0" borderId="0"/>
    <xf numFmtId="43" fontId="16" fillId="0" borderId="0"/>
    <xf numFmtId="347" fontId="24" fillId="27" borderId="0" applyFont="0" applyBorder="0" applyAlignment="0" applyProtection="0">
      <alignment horizontal="right"/>
      <protection hidden="1"/>
    </xf>
    <xf numFmtId="0" fontId="218" fillId="0" borderId="0" applyNumberFormat="0" applyFill="0" applyBorder="0" applyProtection="0">
      <alignment horizontal="left"/>
    </xf>
    <xf numFmtId="176" fontId="50" fillId="36" borderId="0" applyFont="0" applyFill="0" applyBorder="0" applyAlignment="0" applyProtection="0"/>
    <xf numFmtId="37" fontId="50" fillId="36" borderId="0" applyFont="0" applyFill="0" applyBorder="0" applyAlignment="0" applyProtection="0"/>
    <xf numFmtId="0" fontId="15" fillId="0" borderId="60" applyBorder="0" applyAlignment="0" applyProtection="0">
      <alignment horizontal="center"/>
    </xf>
    <xf numFmtId="0" fontId="219" fillId="35" borderId="0" applyNumberFormat="0" applyBorder="0" applyAlignment="0" applyProtection="0"/>
    <xf numFmtId="0" fontId="219" fillId="35" borderId="0" applyNumberFormat="0" applyBorder="0" applyAlignment="0" applyProtection="0"/>
    <xf numFmtId="348" fontId="220" fillId="3" borderId="0" applyNumberFormat="0" applyBorder="0" applyAlignment="0" applyProtection="0"/>
    <xf numFmtId="2" fontId="221" fillId="27" borderId="3" applyNumberFormat="0" applyBorder="0" applyProtection="0">
      <alignment horizontal="right"/>
    </xf>
    <xf numFmtId="0" fontId="222" fillId="70" borderId="0" applyAlignment="0"/>
    <xf numFmtId="0" fontId="83" fillId="98" borderId="0" applyAlignment="0"/>
    <xf numFmtId="0" fontId="223" fillId="0" borderId="0" applyAlignment="0"/>
    <xf numFmtId="37" fontId="224" fillId="0" borderId="0"/>
    <xf numFmtId="349" fontId="20" fillId="0" borderId="0" applyFont="0" applyFill="0" applyBorder="0" applyAlignment="0" applyProtection="0"/>
    <xf numFmtId="318" fontId="15" fillId="27" borderId="0" applyNumberFormat="0">
      <alignment horizontal="right"/>
    </xf>
    <xf numFmtId="195" fontId="15" fillId="0" borderId="0" applyFont="0" applyFill="0" applyBorder="0" applyAlignment="0" applyProtection="0"/>
    <xf numFmtId="0" fontId="158" fillId="0" borderId="0"/>
    <xf numFmtId="0" fontId="19" fillId="0" borderId="0"/>
    <xf numFmtId="176" fontId="20" fillId="0" borderId="0"/>
    <xf numFmtId="176" fontId="14" fillId="32" borderId="11">
      <alignment horizontal="right"/>
    </xf>
    <xf numFmtId="0" fontId="24" fillId="0" borderId="0"/>
    <xf numFmtId="344" fontId="24" fillId="0" borderId="0" applyFont="0" applyFill="0" applyBorder="0" applyAlignment="0" applyProtection="0">
      <alignment horizontal="right"/>
    </xf>
    <xf numFmtId="350" fontId="225" fillId="0" borderId="0"/>
    <xf numFmtId="1" fontId="226" fillId="0" borderId="0" applyFill="0" applyBorder="0"/>
    <xf numFmtId="233" fontId="15" fillId="0" borderId="0" applyFill="0" applyProtection="0">
      <alignment horizontal="right"/>
    </xf>
    <xf numFmtId="209" fontId="26" fillId="0" borderId="0" applyFill="0" applyBorder="0" applyProtection="0">
      <alignment horizontal="right"/>
    </xf>
    <xf numFmtId="37" fontId="14" fillId="33" borderId="0" applyFont="0" applyFill="0" applyBorder="0" applyAlignment="0" applyProtection="0"/>
    <xf numFmtId="39" fontId="15" fillId="36" borderId="0" applyFill="0" applyBorder="0" applyAlignment="0" applyProtection="0"/>
    <xf numFmtId="196" fontId="15" fillId="0" borderId="0" applyFont="0" applyFill="0" applyBorder="0" applyAlignment="0"/>
    <xf numFmtId="40" fontId="24" fillId="0" borderId="0" applyFont="0" applyFill="0" applyBorder="0" applyAlignment="0"/>
    <xf numFmtId="248" fontId="24" fillId="0" borderId="0" applyFont="0" applyFill="0" applyBorder="0" applyAlignment="0"/>
    <xf numFmtId="235" fontId="15" fillId="0" borderId="0">
      <alignment horizontal="righ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 fillId="0" borderId="0"/>
    <xf numFmtId="0" fontId="227" fillId="0" borderId="0"/>
    <xf numFmtId="0" fontId="227" fillId="0" borderId="0"/>
    <xf numFmtId="0" fontId="227" fillId="0" borderId="0"/>
    <xf numFmtId="0" fontId="227"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8" fillId="0" borderId="0"/>
    <xf numFmtId="0" fontId="1" fillId="0" borderId="0"/>
    <xf numFmtId="0" fontId="1" fillId="0" borderId="0"/>
    <xf numFmtId="0" fontId="1" fillId="0" borderId="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306" fontId="15" fillId="0" borderId="0"/>
    <xf numFmtId="306" fontId="15" fillId="0" borderId="0"/>
    <xf numFmtId="0" fontId="1"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310" fontId="1" fillId="0" borderId="0"/>
    <xf numFmtId="0" fontId="15" fillId="0" borderId="0"/>
    <xf numFmtId="310" fontId="1" fillId="0" borderId="0"/>
    <xf numFmtId="310" fontId="1" fillId="0" borderId="0"/>
    <xf numFmtId="310" fontId="1" fillId="0" borderId="0"/>
    <xf numFmtId="310" fontId="1" fillId="0" borderId="0"/>
    <xf numFmtId="310" fontId="1" fillId="0" borderId="0"/>
    <xf numFmtId="310" fontId="1" fillId="0" borderId="0"/>
    <xf numFmtId="0" fontId="1" fillId="0" borderId="0"/>
    <xf numFmtId="0" fontId="1" fillId="0" borderId="0"/>
    <xf numFmtId="0" fontId="1" fillId="0" borderId="0"/>
    <xf numFmtId="0"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0" fontId="1" fillId="0" borderId="0"/>
    <xf numFmtId="0" fontId="15"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0" fontId="1" fillId="0" borderId="0"/>
    <xf numFmtId="0" fontId="15"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306" fontId="1" fillId="0" borderId="0"/>
    <xf numFmtId="0" fontId="1" fillId="0" borderId="0"/>
    <xf numFmtId="0" fontId="15" fillId="0" borderId="0"/>
    <xf numFmtId="306" fontId="1" fillId="0" borderId="0"/>
    <xf numFmtId="306" fontId="1" fillId="0" borderId="0"/>
    <xf numFmtId="306" fontId="1" fillId="0" borderId="0"/>
    <xf numFmtId="306" fontId="1" fillId="0" borderId="0"/>
    <xf numFmtId="0" fontId="214" fillId="0" borderId="0"/>
    <xf numFmtId="37" fontId="229" fillId="0" borderId="0"/>
    <xf numFmtId="348"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0" fontId="1" fillId="0" borderId="0"/>
    <xf numFmtId="0"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0" fontId="1" fillId="0" borderId="0"/>
    <xf numFmtId="0"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306" fontId="15" fillId="0" borderId="0"/>
    <xf numFmtId="0" fontId="1" fillId="0" borderId="0"/>
    <xf numFmtId="306" fontId="15" fillId="0" borderId="0"/>
    <xf numFmtId="306" fontId="15" fillId="0" borderId="0"/>
    <xf numFmtId="306" fontId="15" fillId="0" borderId="0"/>
    <xf numFmtId="306" fontId="15" fillId="0" borderId="0"/>
    <xf numFmtId="0" fontId="15" fillId="0" borderId="0"/>
    <xf numFmtId="0" fontId="1" fillId="0" borderId="0"/>
    <xf numFmtId="0" fontId="15" fillId="0" borderId="0"/>
    <xf numFmtId="0" fontId="1" fillId="0" borderId="0"/>
    <xf numFmtId="0" fontId="1" fillId="0" borderId="0"/>
    <xf numFmtId="0" fontId="1" fillId="0" borderId="0"/>
    <xf numFmtId="0" fontId="228" fillId="0" borderId="0"/>
    <xf numFmtId="0" fontId="228" fillId="0" borderId="0"/>
    <xf numFmtId="0" fontId="228" fillId="0" borderId="0"/>
    <xf numFmtId="0" fontId="228" fillId="0" borderId="0"/>
    <xf numFmtId="0" fontId="228" fillId="0" borderId="0"/>
    <xf numFmtId="0" fontId="2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5" fillId="0" borderId="0"/>
    <xf numFmtId="0" fontId="228" fillId="0" borderId="0"/>
    <xf numFmtId="0" fontId="228" fillId="0" borderId="0"/>
    <xf numFmtId="0" fontId="69" fillId="0" borderId="0"/>
    <xf numFmtId="0" fontId="228" fillId="0" borderId="0"/>
    <xf numFmtId="0" fontId="15" fillId="0" borderId="0"/>
    <xf numFmtId="0" fontId="228" fillId="0" borderId="0"/>
    <xf numFmtId="0" fontId="15"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8" fillId="0" borderId="0"/>
    <xf numFmtId="0" fontId="228"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96" fontId="49" fillId="0" borderId="0" applyNumberFormat="0" applyFill="0" applyBorder="0" applyAlignment="0" applyProtection="0"/>
    <xf numFmtId="2" fontId="36" fillId="0" borderId="0" applyBorder="0" applyProtection="0"/>
    <xf numFmtId="351" fontId="15" fillId="0" borderId="0" applyFont="0" applyFill="0" applyBorder="0" applyAlignment="0"/>
    <xf numFmtId="3" fontId="230" fillId="0" borderId="0">
      <alignment horizontal="left"/>
    </xf>
    <xf numFmtId="184" fontId="15" fillId="0" borderId="0" applyFill="0" applyBorder="0" applyProtection="0"/>
    <xf numFmtId="352" fontId="24" fillId="0" borderId="0" applyFont="0" applyFill="0" applyBorder="0" applyAlignment="0" applyProtection="0"/>
    <xf numFmtId="0" fontId="231" fillId="0" borderId="3" applyNumberFormat="0">
      <alignment horizontal="left" vertical="top"/>
    </xf>
    <xf numFmtId="176" fontId="14" fillId="32" borderId="11">
      <alignment horizontal="right"/>
    </xf>
    <xf numFmtId="40" fontId="49" fillId="0" borderId="0">
      <alignment horizontal="left"/>
    </xf>
    <xf numFmtId="233" fontId="20" fillId="0" borderId="0" applyFill="0" applyBorder="0" applyAlignment="0" applyProtection="0"/>
    <xf numFmtId="0" fontId="15" fillId="0" borderId="0"/>
    <xf numFmtId="196" fontId="24" fillId="0" borderId="0"/>
    <xf numFmtId="188" fontId="15" fillId="0" borderId="0" applyFont="0" applyFill="0" applyBorder="0" applyAlignment="0"/>
    <xf numFmtId="353" fontId="24" fillId="0" borderId="0" applyFont="0" applyFill="0" applyBorder="0" applyAlignment="0" applyProtection="0"/>
    <xf numFmtId="354" fontId="24" fillId="0" borderId="0" applyFont="0" applyFill="0" applyBorder="0" applyAlignment="0" applyProtection="0"/>
    <xf numFmtId="37" fontId="232" fillId="0" borderId="0" applyNumberFormat="0" applyFont="0" applyFill="0" applyBorder="0" applyAlignment="0" applyProtection="0"/>
    <xf numFmtId="0" fontId="15" fillId="45" borderId="61" applyNumberFormat="0" applyFont="0" applyAlignment="0" applyProtection="0"/>
    <xf numFmtId="0" fontId="15" fillId="45" borderId="61" applyNumberFormat="0" applyFont="0" applyAlignment="0" applyProtection="0"/>
    <xf numFmtId="0" fontId="233" fillId="0" borderId="62"/>
    <xf numFmtId="355" fontId="24" fillId="0" borderId="0" applyFont="0" applyFill="0" applyBorder="0" applyAlignment="0" applyProtection="0"/>
    <xf numFmtId="0" fontId="24" fillId="0" borderId="0"/>
    <xf numFmtId="233" fontId="24" fillId="0" borderId="0" applyFill="0" applyBorder="0" applyProtection="0">
      <alignment horizontal="right" wrapText="1"/>
    </xf>
    <xf numFmtId="233" fontId="49" fillId="0" borderId="0" applyFill="0" applyBorder="0" applyProtection="0">
      <alignment horizontal="right" wrapText="1"/>
    </xf>
    <xf numFmtId="37" fontId="15" fillId="0" borderId="0" applyFill="0" applyBorder="0" applyProtection="0">
      <alignment horizontal="right" wrapText="1"/>
    </xf>
    <xf numFmtId="37" fontId="15" fillId="0" borderId="0" applyFill="0" applyBorder="0" applyProtection="0">
      <alignment horizontal="right" wrapText="1"/>
    </xf>
    <xf numFmtId="356" fontId="69" fillId="0" borderId="0" applyFont="0" applyFill="0" applyBorder="0" applyAlignment="0" applyProtection="0"/>
    <xf numFmtId="271" fontId="15" fillId="0" borderId="0" applyFont="0" applyFill="0" applyBorder="0" applyAlignment="0" applyProtection="0">
      <alignment vertical="center"/>
    </xf>
    <xf numFmtId="315" fontId="15" fillId="0" borderId="0" applyFont="0" applyFill="0" applyBorder="0" applyAlignment="0" applyProtection="0">
      <alignment vertical="center"/>
    </xf>
    <xf numFmtId="0" fontId="76" fillId="0" borderId="0" applyNumberFormat="0" applyFill="0" applyBorder="0" applyAlignment="0" applyProtection="0"/>
    <xf numFmtId="0" fontId="15" fillId="0" borderId="0" applyNumberFormat="0" applyFill="0" applyBorder="0" applyAlignment="0" applyProtection="0"/>
    <xf numFmtId="0" fontId="76" fillId="0" borderId="0" applyNumberFormat="0" applyFill="0" applyBorder="0" applyAlignment="0" applyProtection="0"/>
    <xf numFmtId="0" fontId="15" fillId="0" borderId="0" applyNumberFormat="0" applyFill="0" applyBorder="0" applyAlignment="0" applyProtection="0"/>
    <xf numFmtId="0" fontId="234" fillId="0" borderId="0" applyNumberFormat="0" applyFill="0" applyBorder="0" applyAlignment="0" applyProtection="0"/>
    <xf numFmtId="0" fontId="15" fillId="0" borderId="0" applyNumberFormat="0" applyFill="0" applyBorder="0" applyAlignment="0" applyProtection="0"/>
    <xf numFmtId="233" fontId="24" fillId="0" borderId="0" applyFill="0" applyBorder="0" applyProtection="0">
      <alignment horizontal="right" wrapText="1"/>
    </xf>
    <xf numFmtId="233" fontId="49" fillId="0" borderId="0" applyFill="0" applyBorder="0" applyProtection="0">
      <alignment horizontal="right" wrapText="1"/>
    </xf>
    <xf numFmtId="202" fontId="15" fillId="0" borderId="0" applyFill="0" applyBorder="0" applyProtection="0">
      <alignment horizontal="right" wrapText="1"/>
    </xf>
    <xf numFmtId="202" fontId="15" fillId="0" borderId="0" applyFill="0" applyBorder="0" applyProtection="0">
      <alignment horizontal="right" wrapText="1"/>
    </xf>
    <xf numFmtId="305" fontId="24"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16" fontId="154" fillId="27" borderId="15">
      <alignment horizontal="right"/>
      <protection locked="0"/>
    </xf>
    <xf numFmtId="2" fontId="235" fillId="27" borderId="0" applyNumberFormat="0">
      <alignment horizontal="right"/>
    </xf>
    <xf numFmtId="14" fontId="15" fillId="33" borderId="15" applyNumberFormat="0" applyAlignment="0" applyProtection="0">
      <alignment horizontal="left"/>
    </xf>
    <xf numFmtId="357" fontId="20" fillId="0" borderId="0" applyFont="0" applyBorder="0" applyAlignment="0"/>
    <xf numFmtId="0" fontId="15" fillId="0" borderId="15">
      <alignment vertical="center" wrapText="1"/>
    </xf>
    <xf numFmtId="0" fontId="50" fillId="28" borderId="0" applyNumberFormat="0" applyFont="0" applyBorder="0" applyAlignment="0" applyProtection="0"/>
    <xf numFmtId="0" fontId="20" fillId="0" borderId="0" applyProtection="0"/>
    <xf numFmtId="9" fontId="20" fillId="0" borderId="0" applyProtection="0">
      <alignment horizontal="right"/>
    </xf>
    <xf numFmtId="213" fontId="200" fillId="0" borderId="0"/>
    <xf numFmtId="290" fontId="15" fillId="0" borderId="0" applyProtection="0"/>
    <xf numFmtId="358" fontId="24" fillId="0" borderId="0" applyProtection="0"/>
    <xf numFmtId="209" fontId="24" fillId="0" borderId="0"/>
    <xf numFmtId="209" fontId="24" fillId="0" borderId="0"/>
    <xf numFmtId="209" fontId="24" fillId="0" borderId="0"/>
    <xf numFmtId="213" fontId="236" fillId="0" borderId="0" applyFont="0" applyFill="0" applyBorder="0" applyAlignment="0" applyProtection="0"/>
    <xf numFmtId="0" fontId="237" fillId="0" borderId="0" applyNumberFormat="0" applyFill="0" applyBorder="0">
      <alignment horizontal="left"/>
    </xf>
    <xf numFmtId="0" fontId="238" fillId="0" borderId="0" applyProtection="0">
      <alignment horizontal="left"/>
    </xf>
    <xf numFmtId="1" fontId="239" fillId="0" borderId="0" applyProtection="0">
      <alignment horizontal="right" vertical="center"/>
    </xf>
    <xf numFmtId="0" fontId="240" fillId="36" borderId="0"/>
    <xf numFmtId="0" fontId="241" fillId="36" borderId="23"/>
    <xf numFmtId="0" fontId="242" fillId="0" borderId="0" applyNumberFormat="0">
      <alignment horizontal="center" vertical="center"/>
    </xf>
    <xf numFmtId="209" fontId="24" fillId="0" borderId="0"/>
    <xf numFmtId="213" fontId="243" fillId="0" borderId="0" applyFill="0" applyBorder="0" applyProtection="0">
      <alignment vertical="top"/>
    </xf>
    <xf numFmtId="216" fontId="20" fillId="0" borderId="0" applyFont="0" applyFill="0" applyBorder="0" applyAlignment="0" applyProtection="0"/>
    <xf numFmtId="284" fontId="15" fillId="0" borderId="0" applyFont="0" applyFill="0" applyBorder="0" applyAlignment="0" applyProtection="0"/>
    <xf numFmtId="10"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30" fillId="0" borderId="0" applyFont="0" applyFill="0" applyBorder="0" applyAlignment="0" applyProtection="0"/>
    <xf numFmtId="9" fontId="5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5" fillId="0" borderId="0"/>
    <xf numFmtId="9" fontId="1" fillId="0" borderId="0" applyFont="0" applyFill="0" applyBorder="0" applyAlignment="0" applyProtection="0"/>
    <xf numFmtId="261" fontId="20" fillId="0" borderId="0" applyFill="0" applyBorder="0" applyAlignment="0"/>
    <xf numFmtId="262" fontId="20" fillId="0" borderId="0" applyFill="0" applyBorder="0" applyAlignment="0"/>
    <xf numFmtId="261" fontId="20" fillId="0" borderId="0" applyFill="0" applyBorder="0" applyAlignment="0"/>
    <xf numFmtId="0" fontId="59" fillId="0" borderId="0" applyFill="0" applyBorder="0" applyAlignment="0"/>
    <xf numFmtId="262" fontId="20"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115" fillId="0" borderId="23">
      <alignment horizontal="center"/>
    </xf>
    <xf numFmtId="3" fontId="36" fillId="0" borderId="0" applyFont="0" applyFill="0" applyBorder="0" applyAlignment="0" applyProtection="0"/>
    <xf numFmtId="0" fontId="36" fillId="99" borderId="0" applyNumberFormat="0" applyFont="0" applyBorder="0" applyAlignment="0" applyProtection="0"/>
    <xf numFmtId="3" fontId="15" fillId="0" borderId="0"/>
    <xf numFmtId="0" fontId="244" fillId="36" borderId="61" applyNumberFormat="0" applyFont="0" applyAlignment="0" applyProtection="0">
      <alignment horizontal="left"/>
    </xf>
    <xf numFmtId="0" fontId="142" fillId="52" borderId="36" applyNumberFormat="0" applyAlignment="0" applyProtection="0"/>
    <xf numFmtId="0" fontId="142" fillId="52" borderId="36" applyNumberFormat="0" applyAlignment="0" applyProtection="0"/>
    <xf numFmtId="0" fontId="245" fillId="100" borderId="0" applyAlignment="0"/>
    <xf numFmtId="0" fontId="246" fillId="101" borderId="0">
      <alignment horizontal="right" vertical="center" wrapText="1"/>
    </xf>
    <xf numFmtId="0" fontId="15" fillId="0" borderId="0" applyFont="0" applyFill="0" applyBorder="0" applyAlignment="0" applyProtection="0"/>
    <xf numFmtId="0" fontId="247" fillId="0" borderId="0" applyAlignment="0"/>
    <xf numFmtId="0" fontId="248" fillId="0" borderId="0" applyAlignment="0"/>
    <xf numFmtId="49" fontId="18" fillId="0" borderId="0" applyFill="0" applyBorder="0" applyAlignment="0"/>
    <xf numFmtId="0" fontId="18" fillId="0" borderId="0" applyFill="0" applyBorder="0" applyAlignment="0"/>
    <xf numFmtId="0" fontId="18" fillId="0" borderId="0" applyFill="0" applyBorder="0" applyAlignment="0"/>
    <xf numFmtId="0" fontId="249" fillId="0" borderId="0">
      <alignment horizontal="left"/>
    </xf>
    <xf numFmtId="0" fontId="147" fillId="0" borderId="0">
      <alignment horizontal="left"/>
    </xf>
    <xf numFmtId="0" fontId="250" fillId="0" borderId="0" applyAlignment="0"/>
    <xf numFmtId="0" fontId="251" fillId="0" borderId="0" applyAlignment="0"/>
    <xf numFmtId="0" fontId="195" fillId="0" borderId="0" applyAlignment="0"/>
    <xf numFmtId="0" fontId="252"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4" fillId="0" borderId="0" applyAlignment="0"/>
    <xf numFmtId="0" fontId="255" fillId="0" borderId="63" applyNumberFormat="0" applyFill="0" applyAlignment="0" applyProtection="0"/>
    <xf numFmtId="0" fontId="255" fillId="0" borderId="63" applyNumberFormat="0" applyFill="0" applyAlignment="0" applyProtection="0"/>
    <xf numFmtId="0" fontId="256" fillId="0" borderId="64" applyNumberFormat="0" applyFill="0" applyAlignment="0" applyProtection="0"/>
    <xf numFmtId="0" fontId="256" fillId="0" borderId="64" applyNumberFormat="0" applyFill="0" applyAlignment="0" applyProtection="0"/>
    <xf numFmtId="0" fontId="153" fillId="0" borderId="65" applyNumberFormat="0" applyFill="0" applyAlignment="0" applyProtection="0"/>
    <xf numFmtId="0" fontId="153" fillId="0" borderId="65" applyNumberFormat="0" applyFill="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8" fillId="0" borderId="66" applyNumberFormat="0" applyFill="0" applyAlignment="0" applyProtection="0"/>
    <xf numFmtId="0" fontId="258" fillId="0" borderId="66" applyNumberFormat="0" applyFill="0" applyAlignment="0" applyProtection="0"/>
    <xf numFmtId="348" fontId="259" fillId="0" borderId="2" applyNumberFormat="0" applyFill="0" applyAlignment="0" applyProtection="0"/>
    <xf numFmtId="350" fontId="32" fillId="0" borderId="0"/>
    <xf numFmtId="43" fontId="1" fillId="0" borderId="0" applyFont="0" applyFill="0" applyBorder="0" applyAlignment="0" applyProtection="0"/>
    <xf numFmtId="0" fontId="195" fillId="0" borderId="0" applyAlignment="0"/>
    <xf numFmtId="0" fontId="253" fillId="0" borderId="0" applyNumberFormat="0" applyFill="0" applyBorder="0" applyAlignment="0" applyProtection="0"/>
    <xf numFmtId="0" fontId="256" fillId="0" borderId="64" applyNumberFormat="0" applyFill="0" applyAlignment="0" applyProtection="0"/>
    <xf numFmtId="0" fontId="153" fillId="0" borderId="65" applyNumberFormat="0" applyFill="0" applyAlignment="0" applyProtection="0"/>
    <xf numFmtId="0" fontId="3" fillId="2" borderId="0" applyNumberFormat="0" applyBorder="0" applyAlignment="0" applyProtection="0"/>
    <xf numFmtId="0" fontId="219" fillId="35" borderId="0" applyNumberFormat="0" applyBorder="0" applyAlignment="0" applyProtection="0"/>
    <xf numFmtId="0" fontId="15" fillId="0" borderId="0"/>
    <xf numFmtId="0" fontId="1" fillId="0" borderId="0"/>
    <xf numFmtId="0" fontId="15" fillId="45" borderId="71" applyNumberFormat="0" applyFont="0" applyAlignment="0" applyProtection="0"/>
    <xf numFmtId="0" fontId="142" fillId="52" borderId="72" applyNumberFormat="0" applyAlignment="0" applyProtection="0"/>
    <xf numFmtId="0" fontId="291" fillId="5" borderId="70" applyNumberFormat="0" applyAlignment="0" applyProtection="0"/>
    <xf numFmtId="0" fontId="292" fillId="0" borderId="0" applyNumberFormat="0" applyFill="0" applyBorder="0" applyAlignment="0" applyProtection="0"/>
    <xf numFmtId="0" fontId="257" fillId="0" borderId="0" applyNumberFormat="0" applyFill="0" applyBorder="0" applyAlignment="0" applyProtection="0"/>
    <xf numFmtId="0" fontId="289" fillId="0" borderId="0" applyNumberFormat="0" applyFill="0" applyBorder="0" applyAlignment="0" applyProtection="0"/>
    <xf numFmtId="0" fontId="290" fillId="0" borderId="68" applyNumberFormat="0" applyFill="0" applyAlignment="0" applyProtection="0"/>
    <xf numFmtId="0" fontId="2" fillId="0" borderId="69" applyNumberFormat="0" applyFill="0" applyAlignment="0" applyProtection="0"/>
    <xf numFmtId="0" fontId="258" fillId="0" borderId="73" applyNumberFormat="0" applyFill="0" applyAlignment="0" applyProtection="0"/>
    <xf numFmtId="0" fontId="15" fillId="0" borderId="0"/>
    <xf numFmtId="174" fontId="16" fillId="0" borderId="3"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2" fontId="39" fillId="0" borderId="75" applyNumberFormat="0" applyFill="0" applyAlignment="0" applyProtection="0"/>
    <xf numFmtId="0" fontId="15" fillId="0" borderId="8" applyNumberFormat="0" applyFon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1" fontId="15" fillId="0" borderId="76" applyFont="0" applyFill="0" applyBorder="0" applyAlignment="0" applyProtection="0">
      <alignment horizontal="right"/>
    </xf>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5" fillId="0" borderId="0" applyFont="0" applyFill="0" applyBorder="0" applyAlignment="0" applyProtection="0"/>
    <xf numFmtId="0" fontId="306" fillId="0" borderId="0" applyFont="0" applyFill="0" applyBorder="0" applyAlignment="0" applyProtection="0"/>
    <xf numFmtId="0" fontId="70" fillId="0" borderId="77" applyNumberFormat="0" applyFill="0" applyBorder="0" applyAlignment="0" applyProtection="0"/>
    <xf numFmtId="0" fontId="49" fillId="0" borderId="77" applyNumberFormat="0" applyFill="0" applyBorder="0" applyAlignment="0" applyProtection="0"/>
    <xf numFmtId="0" fontId="71" fillId="0" borderId="77" applyNumberFormat="0" applyFill="0" applyBorder="0" applyAlignment="0" applyProtection="0"/>
    <xf numFmtId="0" fontId="24" fillId="0" borderId="77" applyNumberFormat="0" applyFill="0" applyAlignment="0" applyProtection="0"/>
    <xf numFmtId="0" fontId="65" fillId="0" borderId="76">
      <alignment horizontal="centerContinuous"/>
    </xf>
    <xf numFmtId="0" fontId="83" fillId="69" borderId="18" applyNumberFormat="0" applyAlignment="0" applyProtection="0"/>
    <xf numFmtId="37" fontId="228" fillId="0" borderId="0" applyFill="0" applyBorder="0" applyProtection="0"/>
    <xf numFmtId="252" fontId="15" fillId="0" borderId="20"/>
    <xf numFmtId="0" fontId="65" fillId="0" borderId="76" applyNumberFormat="0" applyFill="0" applyAlignment="0" applyProtection="0"/>
    <xf numFmtId="176" fontId="15" fillId="0" borderId="74" applyNumberFormat="0" applyFont="0" applyFill="0" applyAlignment="0" applyProtection="0"/>
    <xf numFmtId="253" fontId="87" fillId="0" borderId="24" applyNumberFormat="0" applyFont="0" applyFill="0" applyAlignment="0" applyProtection="0"/>
    <xf numFmtId="0" fontId="45" fillId="0" borderId="76" applyNumberFormat="0" applyFont="0" applyFill="0" applyAlignment="0" applyProtection="0"/>
    <xf numFmtId="253" fontId="87" fillId="0" borderId="74" applyNumberFormat="0" applyFont="0" applyFill="0" applyAlignment="0" applyProtection="0"/>
    <xf numFmtId="0" fontId="93" fillId="0" borderId="78" applyFill="0" applyProtection="0">
      <alignment horizontal="right"/>
    </xf>
    <xf numFmtId="247" fontId="77" fillId="0" borderId="74"/>
    <xf numFmtId="43" fontId="77" fillId="0" borderId="74"/>
    <xf numFmtId="0" fontId="107" fillId="52" borderId="79" applyNumberFormat="0" applyAlignment="0" applyProtection="0"/>
    <xf numFmtId="0" fontId="107" fillId="52" borderId="79" applyNumberFormat="0" applyAlignment="0" applyProtection="0"/>
    <xf numFmtId="0" fontId="107" fillId="44" borderId="79" applyNumberFormat="0" applyAlignment="0" applyProtection="0"/>
    <xf numFmtId="167" fontId="15" fillId="0" borderId="8" applyFont="0" applyFill="0" applyBorder="0" applyProtection="0">
      <alignment horizontal="right"/>
    </xf>
    <xf numFmtId="0" fontId="115" fillId="0" borderId="24">
      <alignment horizontal="left"/>
    </xf>
    <xf numFmtId="0" fontId="117" fillId="0" borderId="76" applyNumberFormat="0" applyFill="0" applyBorder="0" applyAlignment="0" applyProtection="0">
      <alignment horizontal="center"/>
    </xf>
    <xf numFmtId="0" fontId="119" fillId="0" borderId="76" applyNumberFormat="0" applyFill="0" applyBorder="0" applyProtection="0">
      <alignment horizontal="right" vertical="center"/>
    </xf>
    <xf numFmtId="176" fontId="123" fillId="0" borderId="76" applyBorder="0">
      <alignment horizontal="center"/>
    </xf>
    <xf numFmtId="0" fontId="16" fillId="0" borderId="76" applyNumberFormat="0" applyFont="0" applyFill="0" applyProtection="0">
      <alignment horizontal="centerContinuous"/>
    </xf>
    <xf numFmtId="169" fontId="1" fillId="0" borderId="0" applyFont="0" applyFill="0" applyBorder="0" applyAlignment="0" applyProtection="0"/>
    <xf numFmtId="0" fontId="144" fillId="60" borderId="38" applyFont="0" applyFill="0" applyBorder="0" applyAlignment="0">
      <alignment horizontal="center"/>
    </xf>
    <xf numFmtId="0" fontId="121" fillId="0" borderId="50" applyNumberFormat="0" applyAlignment="0" applyProtection="0">
      <alignment horizontal="left" vertical="center"/>
    </xf>
    <xf numFmtId="0" fontId="216" fillId="36" borderId="59">
      <alignment horizontal="left" vertical="top" indent="2"/>
    </xf>
    <xf numFmtId="0" fontId="15" fillId="0" borderId="0"/>
    <xf numFmtId="0" fontId="15" fillId="0" borderId="0"/>
    <xf numFmtId="0" fontId="1" fillId="0" borderId="0"/>
    <xf numFmtId="0" fontId="1" fillId="0" borderId="0"/>
    <xf numFmtId="9" fontId="15" fillId="0" borderId="0" applyFont="0" applyFill="0" applyBorder="0" applyAlignment="0" applyProtection="0"/>
    <xf numFmtId="0" fontId="141" fillId="43" borderId="79" applyNumberFormat="0" applyAlignment="0" applyProtection="0"/>
    <xf numFmtId="0" fontId="142" fillId="52" borderId="72" applyNumberFormat="0" applyAlignment="0" applyProtection="0"/>
    <xf numFmtId="297" fontId="49" fillId="0" borderId="76" applyFont="0" applyFill="0" applyBorder="0" applyAlignment="0" applyProtection="0"/>
    <xf numFmtId="0" fontId="141" fillId="43" borderId="79" applyNumberFormat="0" applyAlignment="0" applyProtection="0"/>
    <xf numFmtId="0" fontId="141" fillId="43" borderId="79" applyNumberFormat="0" applyAlignment="0" applyProtection="0"/>
    <xf numFmtId="313" fontId="45" fillId="89" borderId="74" applyNumberFormat="0" applyFont="0" applyBorder="0" applyAlignment="0" applyProtection="0">
      <alignment horizontal="right"/>
    </xf>
    <xf numFmtId="49" fontId="139" fillId="0" borderId="0" applyNumberFormat="0" applyFill="0" applyBorder="0" applyProtection="0">
      <alignment horizontal="center" vertical="top"/>
    </xf>
    <xf numFmtId="277" fontId="1" fillId="0" borderId="0" applyFont="0" applyFill="0" applyBorder="0" applyAlignment="0" applyProtection="0"/>
    <xf numFmtId="41" fontId="1" fillId="0" borderId="0" applyFont="0" applyFill="0" applyBorder="0" applyAlignment="0" applyProtection="0"/>
    <xf numFmtId="27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cellStyleXfs>
  <cellXfs count="1644">
    <xf numFmtId="0" fontId="0" fillId="0" borderId="0" xfId="0"/>
    <xf numFmtId="0" fontId="7" fillId="0" borderId="0" xfId="0" applyFont="1"/>
    <xf numFmtId="0" fontId="8" fillId="0" borderId="0" xfId="0" applyFont="1"/>
    <xf numFmtId="0" fontId="9" fillId="0" borderId="0" xfId="0" applyFont="1" applyAlignment="1">
      <alignment horizontal="center"/>
    </xf>
    <xf numFmtId="0" fontId="10" fillId="0" borderId="0" xfId="0" applyFont="1" applyAlignment="1">
      <alignment horizontal="left" indent="1"/>
    </xf>
    <xf numFmtId="0" fontId="11" fillId="0" borderId="0" xfId="0" applyFont="1" applyAlignment="1">
      <alignment horizontal="left" indent="1"/>
    </xf>
    <xf numFmtId="0" fontId="12" fillId="0" borderId="0" xfId="0" applyFont="1"/>
    <xf numFmtId="0" fontId="13" fillId="23" borderId="0" xfId="0" applyFont="1" applyFill="1"/>
    <xf numFmtId="0" fontId="13" fillId="24" borderId="0" xfId="0" applyFont="1" applyFill="1"/>
    <xf numFmtId="0" fontId="13" fillId="25" borderId="0" xfId="0" applyFont="1" applyFill="1"/>
    <xf numFmtId="0" fontId="13" fillId="26" borderId="0" xfId="0" applyFont="1" applyFill="1"/>
    <xf numFmtId="0" fontId="260" fillId="0" borderId="0" xfId="0" applyFont="1"/>
    <xf numFmtId="0" fontId="261" fillId="0" borderId="0" xfId="0" applyFont="1"/>
    <xf numFmtId="0" fontId="262" fillId="22" borderId="0" xfId="0" applyFont="1" applyFill="1"/>
    <xf numFmtId="0" fontId="13" fillId="22" borderId="0" xfId="0" applyFont="1" applyFill="1"/>
    <xf numFmtId="0" fontId="263" fillId="22" borderId="0" xfId="0" applyFont="1" applyFill="1" applyAlignment="1">
      <alignment horizontal="center"/>
    </xf>
    <xf numFmtId="37" fontId="147" fillId="0" borderId="0" xfId="0" applyNumberFormat="1" applyFont="1"/>
    <xf numFmtId="0" fontId="147" fillId="0" borderId="0" xfId="0" applyFont="1"/>
    <xf numFmtId="0" fontId="264" fillId="0" borderId="0" xfId="0" applyFont="1" applyAlignment="1">
      <alignment horizontal="center"/>
    </xf>
    <xf numFmtId="213" fontId="265" fillId="0" borderId="0" xfId="1" applyNumberFormat="1" applyFont="1" applyFill="1" applyBorder="1"/>
    <xf numFmtId="264" fontId="262" fillId="102" borderId="0" xfId="0" applyNumberFormat="1" applyFont="1" applyFill="1"/>
    <xf numFmtId="264" fontId="262" fillId="22" borderId="0" xfId="0" applyNumberFormat="1" applyFont="1" applyFill="1"/>
    <xf numFmtId="0" fontId="266" fillId="0" borderId="0" xfId="0" applyFont="1"/>
    <xf numFmtId="37" fontId="249" fillId="0" borderId="0" xfId="0" applyNumberFormat="1" applyFont="1"/>
    <xf numFmtId="0" fontId="268" fillId="0" borderId="0" xfId="0" applyFont="1" applyAlignment="1">
      <alignment horizontal="center"/>
    </xf>
    <xf numFmtId="0" fontId="249" fillId="0" borderId="0" xfId="0" applyFont="1"/>
    <xf numFmtId="0" fontId="270" fillId="0" borderId="0" xfId="0" applyFont="1" applyAlignment="1">
      <alignment horizontal="left" indent="2"/>
    </xf>
    <xf numFmtId="0" fontId="269" fillId="0" borderId="0" xfId="0" applyFont="1" applyAlignment="1">
      <alignment horizontal="left"/>
    </xf>
    <xf numFmtId="37" fontId="0" fillId="0" borderId="0" xfId="0" applyNumberFormat="1"/>
    <xf numFmtId="0" fontId="147" fillId="0" borderId="0" xfId="0" applyFont="1" applyAlignment="1">
      <alignment horizontal="left" indent="1"/>
    </xf>
    <xf numFmtId="0" fontId="272" fillId="0" borderId="0" xfId="0" applyFont="1"/>
    <xf numFmtId="0" fontId="147" fillId="0" borderId="0" xfId="0" applyFont="1" applyAlignment="1">
      <alignment horizontal="center"/>
    </xf>
    <xf numFmtId="213" fontId="147" fillId="0" borderId="0" xfId="1" applyNumberFormat="1" applyFont="1" applyBorder="1"/>
    <xf numFmtId="0" fontId="267" fillId="0" borderId="0" xfId="0" applyFont="1" applyAlignment="1">
      <alignment horizontal="center"/>
    </xf>
    <xf numFmtId="0" fontId="275" fillId="0" borderId="0" xfId="0" applyFont="1" applyAlignment="1">
      <alignment horizontal="center"/>
    </xf>
    <xf numFmtId="9" fontId="275" fillId="0" borderId="0" xfId="1" applyFont="1" applyBorder="1" applyAlignment="1">
      <alignment horizontal="center"/>
    </xf>
    <xf numFmtId="37" fontId="276" fillId="0" borderId="0" xfId="0" applyNumberFormat="1" applyFont="1"/>
    <xf numFmtId="17" fontId="262" fillId="0" borderId="0" xfId="0" applyNumberFormat="1" applyFont="1"/>
    <xf numFmtId="37" fontId="278" fillId="0" borderId="0" xfId="0" applyNumberFormat="1" applyFont="1"/>
    <xf numFmtId="37" fontId="147" fillId="104" borderId="0" xfId="0" applyNumberFormat="1" applyFont="1" applyFill="1"/>
    <xf numFmtId="0" fontId="147" fillId="0" borderId="0" xfId="0" applyFont="1" applyAlignment="1">
      <alignment horizontal="left" indent="2"/>
    </xf>
    <xf numFmtId="9" fontId="249" fillId="0" borderId="0" xfId="1" applyFont="1" applyFill="1" applyBorder="1"/>
    <xf numFmtId="213" fontId="147" fillId="0" borderId="0" xfId="1" applyNumberFormat="1" applyFont="1" applyFill="1" applyBorder="1"/>
    <xf numFmtId="37" fontId="265" fillId="0" borderId="0" xfId="0" applyNumberFormat="1" applyFont="1"/>
    <xf numFmtId="361" fontId="24" fillId="0" borderId="0" xfId="0" applyNumberFormat="1" applyFont="1" applyAlignment="1">
      <alignment horizontal="center" vertical="center"/>
    </xf>
    <xf numFmtId="0" fontId="147" fillId="106" borderId="0" xfId="0" applyFont="1" applyFill="1"/>
    <xf numFmtId="10" fontId="265" fillId="0" borderId="0" xfId="0" applyNumberFormat="1" applyFont="1"/>
    <xf numFmtId="0" fontId="147" fillId="0" borderId="67" xfId="0" applyFont="1" applyBorder="1"/>
    <xf numFmtId="37" fontId="147" fillId="0" borderId="67" xfId="0" applyNumberFormat="1" applyFont="1" applyBorder="1"/>
    <xf numFmtId="0" fontId="147" fillId="0" borderId="17" xfId="0" applyFont="1" applyBorder="1"/>
    <xf numFmtId="213" fontId="147" fillId="0" borderId="0" xfId="1" applyNumberFormat="1" applyFont="1"/>
    <xf numFmtId="0" fontId="264" fillId="0" borderId="67" xfId="0" applyFont="1" applyBorder="1" applyAlignment="1">
      <alignment horizontal="center"/>
    </xf>
    <xf numFmtId="37" fontId="249" fillId="0" borderId="67" xfId="0" applyNumberFormat="1" applyFont="1" applyBorder="1"/>
    <xf numFmtId="0" fontId="279" fillId="0" borderId="0" xfId="0" applyFont="1"/>
    <xf numFmtId="0" fontId="280" fillId="0" borderId="0" xfId="0" applyFont="1"/>
    <xf numFmtId="37" fontId="24" fillId="0" borderId="0" xfId="0" applyNumberFormat="1" applyFont="1"/>
    <xf numFmtId="10" fontId="24" fillId="0" borderId="0" xfId="1" applyNumberFormat="1" applyFont="1" applyBorder="1"/>
    <xf numFmtId="0" fontId="147" fillId="0" borderId="0" xfId="0" applyFont="1" applyAlignment="1">
      <alignment horizontal="left"/>
    </xf>
    <xf numFmtId="0" fontId="0" fillId="0" borderId="67" xfId="0" applyBorder="1"/>
    <xf numFmtId="213" fontId="147" fillId="0" borderId="67" xfId="0" applyNumberFormat="1" applyFont="1" applyBorder="1"/>
    <xf numFmtId="213" fontId="147" fillId="0" borderId="0" xfId="0" applyNumberFormat="1" applyFont="1"/>
    <xf numFmtId="0" fontId="264" fillId="106" borderId="0" xfId="0" applyFont="1" applyFill="1" applyAlignment="1">
      <alignment horizontal="center"/>
    </xf>
    <xf numFmtId="361" fontId="281" fillId="0" borderId="0" xfId="0" applyNumberFormat="1" applyFont="1" applyAlignment="1">
      <alignment horizontal="center" vertical="center"/>
    </xf>
    <xf numFmtId="37" fontId="265" fillId="0" borderId="67" xfId="0" applyNumberFormat="1" applyFont="1" applyBorder="1"/>
    <xf numFmtId="247" fontId="24" fillId="0" borderId="67" xfId="6485" applyNumberFormat="1" applyFont="1" applyFill="1" applyBorder="1"/>
    <xf numFmtId="0" fontId="0" fillId="0" borderId="9" xfId="0" applyBorder="1"/>
    <xf numFmtId="247" fontId="147" fillId="0" borderId="0" xfId="6485" applyNumberFormat="1" applyFont="1"/>
    <xf numFmtId="247" fontId="265" fillId="0" borderId="0" xfId="6485" applyNumberFormat="1" applyFont="1" applyBorder="1"/>
    <xf numFmtId="37" fontId="278" fillId="0" borderId="67" xfId="0" applyNumberFormat="1" applyFont="1" applyBorder="1"/>
    <xf numFmtId="213" fontId="24" fillId="0" borderId="0" xfId="1" applyNumberFormat="1" applyFont="1" applyBorder="1"/>
    <xf numFmtId="0" fontId="262" fillId="0" borderId="0" xfId="0" applyFont="1"/>
    <xf numFmtId="0" fontId="13" fillId="0" borderId="0" xfId="0" applyFont="1"/>
    <xf numFmtId="0" fontId="263" fillId="0" borderId="0" xfId="0" applyFont="1" applyAlignment="1">
      <alignment horizontal="center"/>
    </xf>
    <xf numFmtId="264" fontId="262" fillId="0" borderId="0" xfId="0" applyNumberFormat="1" applyFont="1"/>
    <xf numFmtId="9" fontId="24" fillId="0" borderId="0" xfId="1" applyFont="1" applyBorder="1"/>
    <xf numFmtId="37" fontId="24" fillId="0" borderId="67" xfId="0" applyNumberFormat="1" applyFont="1" applyBorder="1"/>
    <xf numFmtId="213" fontId="147" fillId="0" borderId="67" xfId="1" applyNumberFormat="1" applyFont="1" applyBorder="1"/>
    <xf numFmtId="247" fontId="147" fillId="0" borderId="0" xfId="0" applyNumberFormat="1" applyFont="1"/>
    <xf numFmtId="43" fontId="147" fillId="0" borderId="0" xfId="0" applyNumberFormat="1" applyFont="1"/>
    <xf numFmtId="213" fontId="265" fillId="0" borderId="67" xfId="1" applyNumberFormat="1" applyFont="1" applyFill="1" applyBorder="1"/>
    <xf numFmtId="0" fontId="147" fillId="0" borderId="67" xfId="0" applyFont="1" applyBorder="1" applyAlignment="1">
      <alignment horizontal="left" indent="1"/>
    </xf>
    <xf numFmtId="247" fontId="0" fillId="0" borderId="0" xfId="6485" applyNumberFormat="1" applyFont="1"/>
    <xf numFmtId="213" fontId="0" fillId="0" borderId="0" xfId="1" applyNumberFormat="1" applyFont="1" applyBorder="1"/>
    <xf numFmtId="0" fontId="147" fillId="0" borderId="67" xfId="0" applyFont="1" applyBorder="1" applyAlignment="1">
      <alignment horizontal="left"/>
    </xf>
    <xf numFmtId="213" fontId="24" fillId="0" borderId="67" xfId="1" applyNumberFormat="1" applyFont="1" applyFill="1" applyBorder="1"/>
    <xf numFmtId="213" fontId="24" fillId="0" borderId="0" xfId="1" applyNumberFormat="1" applyFont="1" applyFill="1" applyBorder="1"/>
    <xf numFmtId="9" fontId="147" fillId="0" borderId="67" xfId="0" applyNumberFormat="1" applyFont="1" applyBorder="1"/>
    <xf numFmtId="9" fontId="147" fillId="0" borderId="0" xfId="0" applyNumberFormat="1" applyFont="1"/>
    <xf numFmtId="247" fontId="147" fillId="0" borderId="0" xfId="6485" applyNumberFormat="1" applyFont="1" applyFill="1"/>
    <xf numFmtId="0" fontId="287" fillId="0" borderId="0" xfId="0" applyFont="1"/>
    <xf numFmtId="9" fontId="287" fillId="0" borderId="0" xfId="0" applyNumberFormat="1" applyFont="1"/>
    <xf numFmtId="213" fontId="288" fillId="0" borderId="0" xfId="1" applyNumberFormat="1" applyFont="1"/>
    <xf numFmtId="213" fontId="249" fillId="0" borderId="0" xfId="1" applyNumberFormat="1" applyFont="1" applyFill="1"/>
    <xf numFmtId="37" fontId="75" fillId="0" borderId="0" xfId="0" applyNumberFormat="1" applyFont="1"/>
    <xf numFmtId="37" fontId="282" fillId="0" borderId="0" xfId="0" applyNumberFormat="1" applyFont="1"/>
    <xf numFmtId="213" fontId="147" fillId="0" borderId="0" xfId="1" applyNumberFormat="1" applyFont="1" applyFill="1"/>
    <xf numFmtId="247" fontId="265" fillId="0" borderId="0" xfId="0" applyNumberFormat="1" applyFont="1"/>
    <xf numFmtId="247" fontId="249" fillId="0" borderId="0" xfId="0" applyNumberFormat="1" applyFont="1"/>
    <xf numFmtId="10" fontId="24" fillId="0" borderId="0" xfId="0" applyNumberFormat="1" applyFont="1" applyAlignment="1">
      <alignment horizontal="right"/>
    </xf>
    <xf numFmtId="0" fontId="267" fillId="109" borderId="0" xfId="0" applyFont="1" applyFill="1" applyAlignment="1">
      <alignment horizontal="center"/>
    </xf>
    <xf numFmtId="245" fontId="24" fillId="0" borderId="0" xfId="0" applyNumberFormat="1" applyFont="1"/>
    <xf numFmtId="247" fontId="276" fillId="0" borderId="0" xfId="0" applyNumberFormat="1" applyFont="1"/>
    <xf numFmtId="247" fontId="147" fillId="0" borderId="0" xfId="6485" applyNumberFormat="1" applyFont="1" applyBorder="1"/>
    <xf numFmtId="192" fontId="147" fillId="0" borderId="0" xfId="6485" applyNumberFormat="1" applyFont="1" applyBorder="1"/>
    <xf numFmtId="9" fontId="268" fillId="0" borderId="0" xfId="0" applyNumberFormat="1" applyFont="1" applyAlignment="1">
      <alignment horizontal="center"/>
    </xf>
    <xf numFmtId="213" fontId="278" fillId="0" borderId="0" xfId="1" applyNumberFormat="1" applyFont="1" applyBorder="1"/>
    <xf numFmtId="0" fontId="249" fillId="0" borderId="0" xfId="0" applyFont="1" applyAlignment="1">
      <alignment horizontal="left" indent="1"/>
    </xf>
    <xf numFmtId="247" fontId="249" fillId="0" borderId="0" xfId="6485" applyNumberFormat="1" applyFont="1" applyBorder="1" applyAlignment="1">
      <alignment horizontal="left" indent="1"/>
    </xf>
    <xf numFmtId="213" fontId="0" fillId="0" borderId="0" xfId="1" applyNumberFormat="1" applyFont="1"/>
    <xf numFmtId="10" fontId="24" fillId="0" borderId="0" xfId="1" applyNumberFormat="1" applyFont="1" applyFill="1" applyBorder="1"/>
    <xf numFmtId="10" fontId="147" fillId="0" borderId="0" xfId="1" applyNumberFormat="1" applyFont="1" applyBorder="1"/>
    <xf numFmtId="10" fontId="147" fillId="0" borderId="0" xfId="0" applyNumberFormat="1" applyFont="1"/>
    <xf numFmtId="192" fontId="278" fillId="0" borderId="0" xfId="6485" applyNumberFormat="1" applyFont="1" applyBorder="1"/>
    <xf numFmtId="43" fontId="147" fillId="0" borderId="0" xfId="6485" applyFont="1" applyBorder="1"/>
    <xf numFmtId="213" fontId="270" fillId="0" borderId="0" xfId="1" applyNumberFormat="1" applyFont="1" applyFill="1" applyBorder="1" applyAlignment="1">
      <alignment horizontal="left" indent="2"/>
    </xf>
    <xf numFmtId="0" fontId="293" fillId="0" borderId="0" xfId="0" applyFont="1"/>
    <xf numFmtId="247" fontId="249" fillId="0" borderId="0" xfId="6485" applyNumberFormat="1" applyFont="1"/>
    <xf numFmtId="0" fontId="284" fillId="0" borderId="0" xfId="0" applyFont="1"/>
    <xf numFmtId="10" fontId="249" fillId="0" borderId="0" xfId="1" applyNumberFormat="1" applyFont="1" applyBorder="1"/>
    <xf numFmtId="0" fontId="0" fillId="22" borderId="0" xfId="0" applyFill="1"/>
    <xf numFmtId="264" fontId="262" fillId="0" borderId="0" xfId="0" applyNumberFormat="1" applyFont="1" applyAlignment="1">
      <alignment wrapText="1"/>
    </xf>
    <xf numFmtId="213" fontId="249" fillId="0" borderId="0" xfId="1" applyNumberFormat="1" applyFont="1" applyFill="1" applyBorder="1"/>
    <xf numFmtId="213" fontId="0" fillId="0" borderId="0" xfId="1" applyNumberFormat="1" applyFont="1" applyFill="1"/>
    <xf numFmtId="213" fontId="249" fillId="0" borderId="0" xfId="1" applyNumberFormat="1" applyFont="1" applyBorder="1"/>
    <xf numFmtId="0" fontId="295" fillId="0" borderId="0" xfId="0" applyFont="1" applyAlignment="1">
      <alignment horizontal="center"/>
    </xf>
    <xf numFmtId="0" fontId="285" fillId="0" borderId="0" xfId="0" applyFont="1"/>
    <xf numFmtId="247" fontId="294" fillId="0" borderId="0" xfId="6485" applyNumberFormat="1" applyFont="1" applyBorder="1"/>
    <xf numFmtId="213" fontId="296" fillId="0" borderId="0" xfId="1" applyNumberFormat="1" applyFont="1" applyBorder="1"/>
    <xf numFmtId="2" fontId="265" fillId="0" borderId="0" xfId="6485" applyNumberFormat="1" applyFont="1" applyBorder="1"/>
    <xf numFmtId="0" fontId="282" fillId="0" borderId="0" xfId="0" applyFont="1"/>
    <xf numFmtId="0" fontId="0" fillId="0" borderId="0" xfId="0" applyAlignment="1">
      <alignment wrapText="1"/>
    </xf>
    <xf numFmtId="264" fontId="262" fillId="22" borderId="0" xfId="0" applyNumberFormat="1" applyFont="1" applyFill="1" applyAlignment="1">
      <alignment horizontal="center"/>
    </xf>
    <xf numFmtId="247" fontId="249" fillId="0" borderId="0" xfId="6485" applyNumberFormat="1" applyFont="1" applyFill="1"/>
    <xf numFmtId="0" fontId="249" fillId="0" borderId="0" xfId="0" applyFont="1" applyAlignment="1">
      <alignment horizontal="center"/>
    </xf>
    <xf numFmtId="0" fontId="0" fillId="104" borderId="0" xfId="0" applyFill="1"/>
    <xf numFmtId="10" fontId="147" fillId="0" borderId="67" xfId="0" applyNumberFormat="1" applyFont="1" applyBorder="1"/>
    <xf numFmtId="192" fontId="265" fillId="0" borderId="0" xfId="6485" applyNumberFormat="1" applyFont="1" applyBorder="1"/>
    <xf numFmtId="1" fontId="249" fillId="0" borderId="0" xfId="0" applyNumberFormat="1" applyFont="1"/>
    <xf numFmtId="2" fontId="24" fillId="0" borderId="0" xfId="6485" applyNumberFormat="1" applyFont="1" applyBorder="1"/>
    <xf numFmtId="213" fontId="49" fillId="0" borderId="0" xfId="1" applyNumberFormat="1" applyFont="1" applyFill="1" applyBorder="1"/>
    <xf numFmtId="192" fontId="24" fillId="0" borderId="0" xfId="6485" applyNumberFormat="1" applyFont="1" applyFill="1" applyBorder="1"/>
    <xf numFmtId="37" fontId="282" fillId="104" borderId="0" xfId="0" applyNumberFormat="1" applyFont="1" applyFill="1"/>
    <xf numFmtId="37" fontId="249" fillId="104" borderId="0" xfId="0" applyNumberFormat="1" applyFont="1" applyFill="1"/>
    <xf numFmtId="247" fontId="24" fillId="0" borderId="0" xfId="6485" applyNumberFormat="1" applyFont="1" applyBorder="1"/>
    <xf numFmtId="37" fontId="75" fillId="104" borderId="0" xfId="0" applyNumberFormat="1" applyFont="1" applyFill="1"/>
    <xf numFmtId="247" fontId="147" fillId="0" borderId="0" xfId="6485" applyNumberFormat="1" applyFont="1" applyFill="1" applyBorder="1"/>
    <xf numFmtId="247" fontId="249" fillId="0" borderId="0" xfId="6485" applyNumberFormat="1" applyFont="1" applyBorder="1"/>
    <xf numFmtId="10" fontId="249" fillId="0" borderId="0" xfId="0" applyNumberFormat="1" applyFont="1"/>
    <xf numFmtId="10" fontId="147" fillId="0" borderId="0" xfId="1" applyNumberFormat="1" applyFont="1" applyFill="1" applyBorder="1"/>
    <xf numFmtId="43" fontId="270" fillId="0" borderId="0" xfId="6485" applyFont="1" applyFill="1" applyBorder="1" applyAlignment="1">
      <alignment horizontal="left" indent="2"/>
    </xf>
    <xf numFmtId="0" fontId="249" fillId="105" borderId="0" xfId="0" applyFont="1" applyFill="1"/>
    <xf numFmtId="247" fontId="147" fillId="110" borderId="0" xfId="6485" applyNumberFormat="1" applyFont="1" applyFill="1" applyBorder="1"/>
    <xf numFmtId="0" fontId="0" fillId="110" borderId="0" xfId="0" applyFill="1"/>
    <xf numFmtId="0" fontId="249" fillId="0" borderId="67" xfId="0" applyFont="1" applyBorder="1"/>
    <xf numFmtId="0" fontId="267" fillId="0" borderId="67" xfId="0" applyFont="1" applyBorder="1" applyAlignment="1">
      <alignment horizontal="center"/>
    </xf>
    <xf numFmtId="178" fontId="49" fillId="0" borderId="67" xfId="6485" applyNumberFormat="1" applyFont="1" applyBorder="1"/>
    <xf numFmtId="178" fontId="49" fillId="0" borderId="67" xfId="6485" applyNumberFormat="1" applyFont="1" applyFill="1" applyBorder="1"/>
    <xf numFmtId="178" fontId="279" fillId="0" borderId="67" xfId="6485" applyNumberFormat="1" applyFont="1" applyBorder="1"/>
    <xf numFmtId="9" fontId="49" fillId="0" borderId="0" xfId="1" applyFont="1" applyBorder="1"/>
    <xf numFmtId="247" fontId="49" fillId="0" borderId="0" xfId="1" applyNumberFormat="1" applyFont="1" applyBorder="1"/>
    <xf numFmtId="10" fontId="279" fillId="0" borderId="0" xfId="1" applyNumberFormat="1" applyFont="1" applyBorder="1"/>
    <xf numFmtId="10" fontId="249" fillId="0" borderId="0" xfId="1" applyNumberFormat="1" applyFont="1" applyFill="1" applyBorder="1"/>
    <xf numFmtId="247" fontId="49" fillId="0" borderId="67" xfId="6485" applyNumberFormat="1" applyFont="1" applyFill="1" applyBorder="1"/>
    <xf numFmtId="9" fontId="24" fillId="0" borderId="0" xfId="1" applyFont="1" applyFill="1" applyBorder="1"/>
    <xf numFmtId="10" fontId="147" fillId="0" borderId="9" xfId="1" applyNumberFormat="1" applyFont="1" applyFill="1" applyBorder="1"/>
    <xf numFmtId="9" fontId="147" fillId="104" borderId="0" xfId="0" applyNumberFormat="1" applyFont="1" applyFill="1"/>
    <xf numFmtId="9" fontId="147" fillId="104" borderId="9" xfId="0" applyNumberFormat="1" applyFont="1" applyFill="1" applyBorder="1"/>
    <xf numFmtId="37" fontId="147" fillId="104" borderId="9" xfId="0" applyNumberFormat="1" applyFont="1" applyFill="1" applyBorder="1"/>
    <xf numFmtId="37" fontId="278" fillId="0" borderId="9" xfId="0" applyNumberFormat="1" applyFont="1" applyBorder="1"/>
    <xf numFmtId="37" fontId="24" fillId="0" borderId="9" xfId="0" applyNumberFormat="1" applyFont="1" applyBorder="1"/>
    <xf numFmtId="37" fontId="279" fillId="0" borderId="0" xfId="0" applyNumberFormat="1" applyFont="1"/>
    <xf numFmtId="247" fontId="249" fillId="0" borderId="67" xfId="0" applyNumberFormat="1" applyFont="1" applyBorder="1"/>
    <xf numFmtId="247" fontId="0" fillId="0" borderId="0" xfId="6485" applyNumberFormat="1" applyFont="1" applyFill="1"/>
    <xf numFmtId="247" fontId="282" fillId="0" borderId="67" xfId="6485" applyNumberFormat="1" applyFont="1" applyBorder="1"/>
    <xf numFmtId="43" fontId="147" fillId="0" borderId="0" xfId="6485" applyFont="1" applyFill="1" applyBorder="1"/>
    <xf numFmtId="37" fontId="49" fillId="0" borderId="67" xfId="0" applyNumberFormat="1" applyFont="1" applyBorder="1"/>
    <xf numFmtId="0" fontId="288" fillId="0" borderId="0" xfId="0" applyFont="1"/>
    <xf numFmtId="247" fontId="0" fillId="0" borderId="0" xfId="6485" applyNumberFormat="1" applyFont="1" applyBorder="1"/>
    <xf numFmtId="43" fontId="301" fillId="0" borderId="0" xfId="6485" applyFont="1" applyBorder="1"/>
    <xf numFmtId="43" fontId="301" fillId="0" borderId="0" xfId="6485" applyFont="1" applyFill="1" applyBorder="1"/>
    <xf numFmtId="43" fontId="276" fillId="0" borderId="0" xfId="6485" applyFont="1" applyBorder="1"/>
    <xf numFmtId="0" fontId="300" fillId="0" borderId="9" xfId="0" applyFont="1" applyBorder="1" applyAlignment="1">
      <alignment horizontal="center"/>
    </xf>
    <xf numFmtId="0" fontId="300" fillId="0" borderId="0" xfId="0" applyFont="1" applyAlignment="1">
      <alignment horizontal="center"/>
    </xf>
    <xf numFmtId="9" fontId="24" fillId="0" borderId="17" xfId="1" applyFont="1" applyBorder="1"/>
    <xf numFmtId="0" fontId="228" fillId="0" borderId="0" xfId="0" applyFont="1"/>
    <xf numFmtId="0" fontId="249" fillId="0" borderId="76" xfId="0" applyFont="1" applyBorder="1"/>
    <xf numFmtId="0" fontId="147" fillId="0" borderId="76" xfId="0" applyFont="1" applyBorder="1"/>
    <xf numFmtId="37" fontId="147" fillId="0" borderId="76" xfId="0" applyNumberFormat="1" applyFont="1" applyBorder="1"/>
    <xf numFmtId="0" fontId="249" fillId="104" borderId="76" xfId="0" applyFont="1" applyFill="1" applyBorder="1"/>
    <xf numFmtId="0" fontId="284" fillId="0" borderId="76" xfId="0" applyFont="1" applyBorder="1"/>
    <xf numFmtId="213" fontId="147" fillId="104" borderId="0" xfId="1" applyNumberFormat="1" applyFont="1" applyFill="1" applyBorder="1"/>
    <xf numFmtId="0" fontId="264" fillId="0" borderId="76" xfId="0" applyFont="1" applyBorder="1" applyAlignment="1">
      <alignment horizontal="center"/>
    </xf>
    <xf numFmtId="0" fontId="267" fillId="0" borderId="76" xfId="0" applyFont="1" applyBorder="1" applyAlignment="1">
      <alignment horizontal="center"/>
    </xf>
    <xf numFmtId="0" fontId="299" fillId="0" borderId="76" xfId="0" applyFont="1" applyBorder="1" applyAlignment="1">
      <alignment horizontal="center"/>
    </xf>
    <xf numFmtId="0" fontId="0" fillId="0" borderId="76" xfId="0" applyBorder="1"/>
    <xf numFmtId="0" fontId="0" fillId="104" borderId="76" xfId="0" applyFill="1" applyBorder="1"/>
    <xf numFmtId="10" fontId="284" fillId="0" borderId="0" xfId="1" applyNumberFormat="1" applyFont="1" applyBorder="1"/>
    <xf numFmtId="1" fontId="24" fillId="0" borderId="0" xfId="0" applyNumberFormat="1" applyFont="1"/>
    <xf numFmtId="0" fontId="303" fillId="0" borderId="0" xfId="0" applyFont="1"/>
    <xf numFmtId="10" fontId="303" fillId="0" borderId="0" xfId="1" applyNumberFormat="1" applyFont="1" applyBorder="1"/>
    <xf numFmtId="0" fontId="299" fillId="0" borderId="0" xfId="0" applyFont="1" applyAlignment="1">
      <alignment horizontal="center"/>
    </xf>
    <xf numFmtId="213" fontId="147" fillId="0" borderId="76" xfId="0" applyNumberFormat="1" applyFont="1" applyBorder="1"/>
    <xf numFmtId="247" fontId="284" fillId="0" borderId="0" xfId="6485" applyNumberFormat="1" applyFont="1" applyFill="1" applyBorder="1"/>
    <xf numFmtId="0" fontId="288" fillId="0" borderId="76" xfId="0" applyFont="1" applyBorder="1"/>
    <xf numFmtId="213" fontId="284" fillId="0" borderId="76" xfId="0" applyNumberFormat="1" applyFont="1" applyBorder="1"/>
    <xf numFmtId="247" fontId="284" fillId="0" borderId="76" xfId="6485" applyNumberFormat="1" applyFont="1" applyFill="1" applyBorder="1"/>
    <xf numFmtId="213" fontId="147" fillId="0" borderId="17" xfId="0" applyNumberFormat="1" applyFont="1" applyBorder="1"/>
    <xf numFmtId="247" fontId="284" fillId="0" borderId="17" xfId="6485" applyNumberFormat="1" applyFont="1" applyFill="1" applyBorder="1"/>
    <xf numFmtId="1" fontId="24" fillId="0" borderId="17" xfId="0" applyNumberFormat="1" applyFont="1" applyBorder="1"/>
    <xf numFmtId="247" fontId="284" fillId="0" borderId="9" xfId="6485" applyNumberFormat="1" applyFont="1" applyFill="1" applyBorder="1"/>
    <xf numFmtId="213" fontId="276" fillId="0" borderId="0" xfId="0" applyNumberFormat="1" applyFont="1"/>
    <xf numFmtId="0" fontId="265" fillId="105" borderId="0" xfId="0" applyFont="1" applyFill="1"/>
    <xf numFmtId="213" fontId="284" fillId="0" borderId="76" xfId="1" applyNumberFormat="1" applyFont="1" applyBorder="1"/>
    <xf numFmtId="0" fontId="282" fillId="105" borderId="0" xfId="0" applyFont="1" applyFill="1"/>
    <xf numFmtId="240" fontId="24" fillId="0" borderId="0" xfId="6485" applyNumberFormat="1" applyFont="1" applyBorder="1"/>
    <xf numFmtId="9" fontId="147" fillId="0" borderId="0" xfId="1" applyFont="1" applyBorder="1"/>
    <xf numFmtId="10" fontId="147" fillId="0" borderId="76" xfId="1" applyNumberFormat="1" applyFont="1" applyBorder="1"/>
    <xf numFmtId="0" fontId="284" fillId="0" borderId="0" xfId="0" applyFont="1" applyAlignment="1">
      <alignment horizontal="left" indent="1"/>
    </xf>
    <xf numFmtId="247" fontId="282" fillId="0" borderId="0" xfId="6485" applyNumberFormat="1" applyFont="1" applyBorder="1"/>
    <xf numFmtId="9" fontId="24" fillId="0" borderId="9" xfId="1" applyFont="1" applyBorder="1"/>
    <xf numFmtId="247" fontId="24" fillId="0" borderId="0" xfId="6485" applyNumberFormat="1" applyFont="1" applyFill="1" applyBorder="1"/>
    <xf numFmtId="37" fontId="249" fillId="0" borderId="76" xfId="0" applyNumberFormat="1" applyFont="1" applyBorder="1"/>
    <xf numFmtId="37" fontId="49" fillId="0" borderId="76" xfId="0" applyNumberFormat="1" applyFont="1" applyBorder="1"/>
    <xf numFmtId="0" fontId="311" fillId="0" borderId="0" xfId="0" applyFont="1"/>
    <xf numFmtId="0" fontId="312" fillId="0" borderId="0" xfId="0" applyFont="1" applyAlignment="1">
      <alignment vertical="center" wrapText="1"/>
    </xf>
    <xf numFmtId="0" fontId="228" fillId="0" borderId="0" xfId="0" applyFont="1" applyAlignment="1">
      <alignment vertical="center" wrapText="1"/>
    </xf>
    <xf numFmtId="0" fontId="228" fillId="0" borderId="0" xfId="0" applyFont="1" applyAlignment="1">
      <alignment horizontal="justify" wrapText="1" readingOrder="1"/>
    </xf>
    <xf numFmtId="0" fontId="228" fillId="0" borderId="0" xfId="0" applyFont="1" applyAlignment="1">
      <alignment horizontal="left" wrapText="1" readingOrder="1"/>
    </xf>
    <xf numFmtId="0" fontId="228" fillId="0" borderId="0" xfId="0" applyFont="1" applyAlignment="1">
      <alignment horizontal="left" readingOrder="1"/>
    </xf>
    <xf numFmtId="0" fontId="313" fillId="0" borderId="0" xfId="0" applyFont="1"/>
    <xf numFmtId="213" fontId="147" fillId="0" borderId="76" xfId="1" applyNumberFormat="1" applyFont="1" applyBorder="1"/>
    <xf numFmtId="213" fontId="24" fillId="0" borderId="76" xfId="1" applyNumberFormat="1" applyFont="1" applyBorder="1"/>
    <xf numFmtId="0" fontId="265" fillId="0" borderId="76" xfId="0" applyFont="1" applyBorder="1"/>
    <xf numFmtId="1" fontId="147" fillId="0" borderId="76" xfId="0" applyNumberFormat="1" applyFont="1" applyBorder="1"/>
    <xf numFmtId="10" fontId="147" fillId="0" borderId="76" xfId="1" applyNumberFormat="1" applyFont="1" applyFill="1" applyBorder="1"/>
    <xf numFmtId="0" fontId="295" fillId="0" borderId="76" xfId="0" applyFont="1" applyBorder="1" applyAlignment="1">
      <alignment horizontal="center"/>
    </xf>
    <xf numFmtId="43" fontId="147" fillId="0" borderId="76" xfId="6485" applyFont="1" applyBorder="1"/>
    <xf numFmtId="2" fontId="147" fillId="0" borderId="76" xfId="0" applyNumberFormat="1" applyFont="1" applyBorder="1"/>
    <xf numFmtId="9" fontId="24" fillId="0" borderId="76" xfId="1" applyFont="1" applyFill="1" applyBorder="1"/>
    <xf numFmtId="213" fontId="24" fillId="0" borderId="76" xfId="1" applyNumberFormat="1" applyFont="1" applyFill="1" applyBorder="1"/>
    <xf numFmtId="0" fontId="268" fillId="0" borderId="76" xfId="0" applyFont="1" applyBorder="1" applyAlignment="1">
      <alignment horizontal="center"/>
    </xf>
    <xf numFmtId="0" fontId="249" fillId="0" borderId="76" xfId="0" applyFont="1" applyBorder="1" applyAlignment="1">
      <alignment horizontal="left"/>
    </xf>
    <xf numFmtId="213" fontId="147" fillId="0" borderId="76" xfId="1" applyNumberFormat="1" applyFont="1" applyFill="1" applyBorder="1" applyAlignment="1">
      <alignment horizontal="right"/>
    </xf>
    <xf numFmtId="0" fontId="316" fillId="0" borderId="0" xfId="0" applyFont="1"/>
    <xf numFmtId="0" fontId="317" fillId="0" borderId="76" xfId="0" applyFont="1" applyBorder="1" applyAlignment="1">
      <alignment horizontal="center"/>
    </xf>
    <xf numFmtId="10" fontId="316" fillId="0" borderId="0" xfId="1" applyNumberFormat="1" applyFont="1" applyBorder="1"/>
    <xf numFmtId="0" fontId="319" fillId="0" borderId="0" xfId="0" applyFont="1" applyAlignment="1">
      <alignment horizontal="center"/>
    </xf>
    <xf numFmtId="0" fontId="318" fillId="0" borderId="76" xfId="0" applyFont="1" applyBorder="1"/>
    <xf numFmtId="0" fontId="319" fillId="0" borderId="76" xfId="0" applyFont="1" applyBorder="1" applyAlignment="1">
      <alignment horizontal="center"/>
    </xf>
    <xf numFmtId="10" fontId="318" fillId="0" borderId="76" xfId="1" applyNumberFormat="1" applyFont="1" applyBorder="1"/>
    <xf numFmtId="10" fontId="316" fillId="104" borderId="0" xfId="1" applyNumberFormat="1" applyFont="1" applyFill="1" applyBorder="1"/>
    <xf numFmtId="10" fontId="318" fillId="104" borderId="76" xfId="1" applyNumberFormat="1" applyFont="1" applyFill="1" applyBorder="1"/>
    <xf numFmtId="0" fontId="0" fillId="104" borderId="80" xfId="0" applyFill="1" applyBorder="1"/>
    <xf numFmtId="0" fontId="147" fillId="104" borderId="0" xfId="0" applyFont="1" applyFill="1"/>
    <xf numFmtId="10" fontId="147" fillId="104" borderId="0" xfId="0" applyNumberFormat="1" applyFont="1" applyFill="1"/>
    <xf numFmtId="10" fontId="249" fillId="104" borderId="76" xfId="1" applyNumberFormat="1" applyFont="1" applyFill="1" applyBorder="1"/>
    <xf numFmtId="213" fontId="147" fillId="0" borderId="76" xfId="1" applyNumberFormat="1" applyFont="1" applyFill="1" applyBorder="1"/>
    <xf numFmtId="173" fontId="320" fillId="0" borderId="0" xfId="0" applyNumberFormat="1" applyFont="1"/>
    <xf numFmtId="37" fontId="316" fillId="0" borderId="0" xfId="0" applyNumberFormat="1" applyFont="1"/>
    <xf numFmtId="37" fontId="318" fillId="0" borderId="76" xfId="0" applyNumberFormat="1" applyFont="1" applyBorder="1"/>
    <xf numFmtId="213" fontId="147" fillId="0" borderId="80" xfId="1" applyNumberFormat="1" applyFont="1" applyFill="1" applyBorder="1" applyAlignment="1">
      <alignment horizontal="right"/>
    </xf>
    <xf numFmtId="213" fontId="24" fillId="0" borderId="80" xfId="1" applyNumberFormat="1" applyFont="1" applyFill="1" applyBorder="1"/>
    <xf numFmtId="247" fontId="147" fillId="104" borderId="9" xfId="6485" applyNumberFormat="1" applyFont="1" applyFill="1" applyBorder="1"/>
    <xf numFmtId="359" fontId="31" fillId="0" borderId="0" xfId="5419" applyNumberFormat="1" applyFont="1" applyAlignment="1">
      <alignment horizontal="center"/>
    </xf>
    <xf numFmtId="43" fontId="49" fillId="0" borderId="0" xfId="6485" applyFont="1" applyFill="1"/>
    <xf numFmtId="37" fontId="278" fillId="0" borderId="76" xfId="0" applyNumberFormat="1" applyFont="1" applyBorder="1"/>
    <xf numFmtId="10" fontId="147" fillId="0" borderId="67" xfId="1" applyNumberFormat="1" applyFont="1" applyFill="1" applyBorder="1"/>
    <xf numFmtId="213" fontId="321" fillId="0" borderId="0" xfId="1" applyNumberFormat="1" applyFont="1"/>
    <xf numFmtId="0" fontId="249" fillId="115" borderId="0" xfId="0" applyFont="1" applyFill="1"/>
    <xf numFmtId="0" fontId="267" fillId="115" borderId="0" xfId="0" applyFont="1" applyFill="1" applyAlignment="1">
      <alignment horizontal="center"/>
    </xf>
    <xf numFmtId="43" fontId="147" fillId="104" borderId="0" xfId="0" applyNumberFormat="1" applyFont="1" applyFill="1"/>
    <xf numFmtId="37" fontId="147" fillId="104" borderId="76" xfId="0" applyNumberFormat="1" applyFont="1" applyFill="1" applyBorder="1"/>
    <xf numFmtId="37" fontId="282" fillId="104" borderId="76" xfId="0" applyNumberFormat="1" applyFont="1" applyFill="1" applyBorder="1"/>
    <xf numFmtId="10" fontId="265" fillId="104" borderId="67" xfId="0" applyNumberFormat="1" applyFont="1" applyFill="1" applyBorder="1" applyAlignment="1">
      <alignment horizontal="right"/>
    </xf>
    <xf numFmtId="10" fontId="24" fillId="104" borderId="0" xfId="0" applyNumberFormat="1" applyFont="1" applyFill="1" applyAlignment="1">
      <alignment horizontal="right"/>
    </xf>
    <xf numFmtId="247" fontId="249" fillId="104" borderId="0" xfId="0" applyNumberFormat="1" applyFont="1" applyFill="1"/>
    <xf numFmtId="247" fontId="147" fillId="104" borderId="0" xfId="0" applyNumberFormat="1" applyFont="1" applyFill="1"/>
    <xf numFmtId="247" fontId="265" fillId="104" borderId="0" xfId="0" applyNumberFormat="1" applyFont="1" applyFill="1"/>
    <xf numFmtId="213" fontId="24" fillId="104" borderId="0" xfId="0" applyNumberFormat="1" applyFont="1" applyFill="1" applyAlignment="1">
      <alignment horizontal="right"/>
    </xf>
    <xf numFmtId="247" fontId="0" fillId="0" borderId="0" xfId="0" applyNumberFormat="1"/>
    <xf numFmtId="10" fontId="249" fillId="0" borderId="76" xfId="1" applyNumberFormat="1" applyFont="1" applyFill="1" applyBorder="1"/>
    <xf numFmtId="0" fontId="315" fillId="0" borderId="0" xfId="0" applyFont="1" applyAlignment="1">
      <alignment horizontal="center"/>
    </xf>
    <xf numFmtId="0" fontId="315" fillId="0" borderId="0" xfId="0" applyFont="1" applyAlignment="1">
      <alignment horizontal="left"/>
    </xf>
    <xf numFmtId="247" fontId="296" fillId="0" borderId="0" xfId="6485" applyNumberFormat="1" applyFont="1" applyFill="1" applyBorder="1"/>
    <xf numFmtId="247" fontId="147" fillId="104" borderId="0" xfId="6485" applyNumberFormat="1" applyFont="1" applyFill="1" applyBorder="1"/>
    <xf numFmtId="213" fontId="321" fillId="0" borderId="76" xfId="1" applyNumberFormat="1" applyFont="1" applyBorder="1"/>
    <xf numFmtId="213" fontId="147" fillId="0" borderId="67" xfId="1" applyNumberFormat="1" applyFont="1" applyFill="1" applyBorder="1"/>
    <xf numFmtId="37" fontId="49" fillId="0" borderId="0" xfId="0" applyNumberFormat="1" applyFont="1"/>
    <xf numFmtId="213" fontId="147" fillId="0" borderId="67" xfId="1" applyNumberFormat="1" applyFont="1" applyFill="1" applyBorder="1" applyAlignment="1">
      <alignment horizontal="right" indent="1"/>
    </xf>
    <xf numFmtId="192" fontId="0" fillId="0" borderId="0" xfId="6485" applyNumberFormat="1" applyFont="1" applyFill="1"/>
    <xf numFmtId="0" fontId="265" fillId="0" borderId="67" xfId="0" applyFont="1" applyBorder="1"/>
    <xf numFmtId="0" fontId="249" fillId="0" borderId="0" xfId="0" applyFont="1" applyAlignment="1">
      <alignment horizontal="left"/>
    </xf>
    <xf numFmtId="2" fontId="249" fillId="0" borderId="0" xfId="0" applyNumberFormat="1" applyFont="1"/>
    <xf numFmtId="43" fontId="147" fillId="0" borderId="76" xfId="6485" applyFont="1" applyFill="1" applyBorder="1"/>
    <xf numFmtId="0" fontId="284" fillId="0" borderId="76" xfId="0" applyFont="1" applyBorder="1" applyAlignment="1">
      <alignment horizontal="left" indent="1"/>
    </xf>
    <xf numFmtId="213" fontId="284" fillId="0" borderId="0" xfId="1" applyNumberFormat="1" applyFont="1" applyBorder="1"/>
    <xf numFmtId="213" fontId="24" fillId="0" borderId="9" xfId="1" applyNumberFormat="1" applyFont="1" applyFill="1" applyBorder="1"/>
    <xf numFmtId="39" fontId="279" fillId="0" borderId="0" xfId="0" applyNumberFormat="1" applyFont="1"/>
    <xf numFmtId="37" fontId="278" fillId="0" borderId="80" xfId="0" applyNumberFormat="1" applyFont="1" applyBorder="1"/>
    <xf numFmtId="213" fontId="0" fillId="0" borderId="0" xfId="1" applyNumberFormat="1" applyFont="1" applyFill="1" applyBorder="1"/>
    <xf numFmtId="213" fontId="147" fillId="0" borderId="76" xfId="1" applyNumberFormat="1" applyFont="1" applyFill="1" applyBorder="1" applyAlignment="1">
      <alignment horizontal="right" indent="1"/>
    </xf>
    <xf numFmtId="9" fontId="147" fillId="104" borderId="76" xfId="0" applyNumberFormat="1" applyFont="1" applyFill="1" applyBorder="1"/>
    <xf numFmtId="9" fontId="147" fillId="104" borderId="80" xfId="0" applyNumberFormat="1" applyFont="1" applyFill="1" applyBorder="1"/>
    <xf numFmtId="37" fontId="249" fillId="104" borderId="76" xfId="0" applyNumberFormat="1" applyFont="1" applyFill="1" applyBorder="1"/>
    <xf numFmtId="37" fontId="249" fillId="104" borderId="80" xfId="0" applyNumberFormat="1" applyFont="1" applyFill="1" applyBorder="1"/>
    <xf numFmtId="37" fontId="147" fillId="104" borderId="80" xfId="0" applyNumberFormat="1" applyFont="1" applyFill="1" applyBorder="1"/>
    <xf numFmtId="0" fontId="0" fillId="104" borderId="9" xfId="0" applyFill="1" applyBorder="1"/>
    <xf numFmtId="0" fontId="147" fillId="0" borderId="76" xfId="0" applyFont="1" applyBorder="1" applyAlignment="1">
      <alignment horizontal="center"/>
    </xf>
    <xf numFmtId="0" fontId="249" fillId="0" borderId="81" xfId="0" applyFont="1" applyBorder="1"/>
    <xf numFmtId="37" fontId="283" fillId="0" borderId="76" xfId="0" applyNumberFormat="1" applyFont="1" applyBorder="1"/>
    <xf numFmtId="37" fontId="75" fillId="104" borderId="76" xfId="0" applyNumberFormat="1" applyFont="1" applyFill="1" applyBorder="1"/>
    <xf numFmtId="213" fontId="147" fillId="104" borderId="9" xfId="1" applyNumberFormat="1" applyFont="1" applyFill="1" applyBorder="1"/>
    <xf numFmtId="247" fontId="249" fillId="104" borderId="0" xfId="6485" applyNumberFormat="1" applyFont="1" applyFill="1" applyBorder="1"/>
    <xf numFmtId="247" fontId="249" fillId="104" borderId="9" xfId="6485" applyNumberFormat="1" applyFont="1" applyFill="1" applyBorder="1"/>
    <xf numFmtId="245" fontId="24" fillId="104" borderId="80" xfId="0" applyNumberFormat="1" applyFont="1" applyFill="1" applyBorder="1"/>
    <xf numFmtId="247" fontId="24" fillId="104" borderId="9" xfId="6485" applyNumberFormat="1" applyFont="1" applyFill="1" applyBorder="1"/>
    <xf numFmtId="37" fontId="265" fillId="104" borderId="9" xfId="0" applyNumberFormat="1" applyFont="1" applyFill="1" applyBorder="1"/>
    <xf numFmtId="37" fontId="249" fillId="104" borderId="9" xfId="0" applyNumberFormat="1" applyFont="1" applyFill="1" applyBorder="1"/>
    <xf numFmtId="247" fontId="249" fillId="104" borderId="67" xfId="0" applyNumberFormat="1" applyFont="1" applyFill="1" applyBorder="1"/>
    <xf numFmtId="247" fontId="147" fillId="104" borderId="9" xfId="0" applyNumberFormat="1" applyFont="1" applyFill="1" applyBorder="1"/>
    <xf numFmtId="247" fontId="249" fillId="104" borderId="9" xfId="0" applyNumberFormat="1" applyFont="1" applyFill="1" applyBorder="1"/>
    <xf numFmtId="10" fontId="24" fillId="104" borderId="9" xfId="0" applyNumberFormat="1" applyFont="1" applyFill="1" applyBorder="1" applyAlignment="1">
      <alignment horizontal="right"/>
    </xf>
    <xf numFmtId="247" fontId="265" fillId="104" borderId="9" xfId="0" applyNumberFormat="1" applyFont="1" applyFill="1" applyBorder="1"/>
    <xf numFmtId="37" fontId="304" fillId="0" borderId="0" xfId="0" applyNumberFormat="1" applyFont="1"/>
    <xf numFmtId="0" fontId="324" fillId="0" borderId="0" xfId="0" applyFont="1"/>
    <xf numFmtId="37" fontId="325" fillId="0" borderId="0" xfId="0" applyNumberFormat="1" applyFont="1"/>
    <xf numFmtId="247" fontId="249" fillId="0" borderId="76" xfId="0" applyNumberFormat="1" applyFont="1" applyBorder="1"/>
    <xf numFmtId="1" fontId="0" fillId="0" borderId="0" xfId="0" applyNumberFormat="1"/>
    <xf numFmtId="247" fontId="297" fillId="0" borderId="67" xfId="6485" applyNumberFormat="1" applyFont="1" applyFill="1" applyBorder="1"/>
    <xf numFmtId="0" fontId="147" fillId="0" borderId="85" xfId="0" applyFont="1" applyBorder="1"/>
    <xf numFmtId="0" fontId="264" fillId="0" borderId="85" xfId="0" applyFont="1" applyBorder="1" applyAlignment="1">
      <alignment horizontal="center"/>
    </xf>
    <xf numFmtId="10" fontId="24" fillId="0" borderId="85" xfId="1" applyNumberFormat="1" applyFont="1" applyFill="1" applyBorder="1"/>
    <xf numFmtId="37" fontId="278" fillId="0" borderId="85" xfId="0" applyNumberFormat="1" applyFont="1" applyBorder="1"/>
    <xf numFmtId="37" fontId="24" fillId="0" borderId="85" xfId="0" applyNumberFormat="1" applyFont="1" applyBorder="1"/>
    <xf numFmtId="43" fontId="0" fillId="0" borderId="0" xfId="6485" applyFont="1" applyBorder="1"/>
    <xf numFmtId="213" fontId="265" fillId="0" borderId="0" xfId="1" applyNumberFormat="1" applyFont="1" applyBorder="1"/>
    <xf numFmtId="362" fontId="276" fillId="0" borderId="0" xfId="0" applyNumberFormat="1" applyFont="1"/>
    <xf numFmtId="247" fontId="282" fillId="104" borderId="80" xfId="0" applyNumberFormat="1" applyFont="1" applyFill="1" applyBorder="1"/>
    <xf numFmtId="226" fontId="0" fillId="0" borderId="0" xfId="6485" applyNumberFormat="1" applyFont="1"/>
    <xf numFmtId="213" fontId="326" fillId="0" borderId="76" xfId="1" applyNumberFormat="1" applyFont="1" applyBorder="1"/>
    <xf numFmtId="213" fontId="326" fillId="0" borderId="0" xfId="1" applyNumberFormat="1" applyFont="1" applyBorder="1"/>
    <xf numFmtId="247" fontId="249" fillId="0" borderId="67" xfId="6485" applyNumberFormat="1" applyFont="1" applyFill="1" applyBorder="1"/>
    <xf numFmtId="213" fontId="284" fillId="0" borderId="67" xfId="1" applyNumberFormat="1" applyFont="1" applyFill="1" applyBorder="1"/>
    <xf numFmtId="213" fontId="284" fillId="0" borderId="76" xfId="1" applyNumberFormat="1" applyFont="1" applyFill="1" applyBorder="1"/>
    <xf numFmtId="10" fontId="49" fillId="0" borderId="0" xfId="1" applyNumberFormat="1" applyFont="1" applyBorder="1"/>
    <xf numFmtId="1" fontId="147" fillId="0" borderId="67" xfId="0" applyNumberFormat="1" applyFont="1" applyBorder="1"/>
    <xf numFmtId="43" fontId="265" fillId="0" borderId="67" xfId="6485" applyFont="1" applyBorder="1"/>
    <xf numFmtId="10" fontId="147" fillId="104" borderId="67" xfId="0" applyNumberFormat="1" applyFont="1" applyFill="1" applyBorder="1"/>
    <xf numFmtId="10" fontId="24" fillId="0" borderId="80" xfId="1" applyNumberFormat="1" applyFont="1" applyFill="1" applyBorder="1"/>
    <xf numFmtId="10" fontId="49" fillId="0" borderId="9" xfId="1" applyNumberFormat="1" applyFont="1" applyFill="1" applyBorder="1"/>
    <xf numFmtId="43" fontId="31" fillId="0" borderId="0" xfId="6485" applyFont="1" applyFill="1" applyBorder="1" applyAlignment="1">
      <alignment horizontal="center"/>
    </xf>
    <xf numFmtId="9" fontId="265" fillId="0" borderId="0" xfId="1" applyFont="1" applyBorder="1"/>
    <xf numFmtId="9" fontId="0" fillId="0" borderId="0" xfId="1" applyFont="1" applyFill="1"/>
    <xf numFmtId="10" fontId="265" fillId="0" borderId="0" xfId="1" applyNumberFormat="1" applyFont="1" applyFill="1" applyBorder="1"/>
    <xf numFmtId="361" fontId="281" fillId="0" borderId="76" xfId="0" applyNumberFormat="1" applyFont="1" applyBorder="1" applyAlignment="1">
      <alignment horizontal="center" vertical="center"/>
    </xf>
    <xf numFmtId="0" fontId="265" fillId="0" borderId="15" xfId="0" applyFont="1" applyBorder="1" applyAlignment="1">
      <alignment horizontal="center"/>
    </xf>
    <xf numFmtId="0" fontId="147" fillId="0" borderId="15" xfId="0" applyFont="1" applyBorder="1" applyAlignment="1">
      <alignment horizontal="centerContinuous"/>
    </xf>
    <xf numFmtId="0" fontId="0" fillId="0" borderId="15" xfId="0" applyBorder="1" applyAlignment="1">
      <alignment horizontal="centerContinuous"/>
    </xf>
    <xf numFmtId="9" fontId="265" fillId="0" borderId="0" xfId="0" applyNumberFormat="1" applyFont="1" applyAlignment="1">
      <alignment horizontal="center"/>
    </xf>
    <xf numFmtId="0" fontId="147" fillId="0" borderId="76" xfId="0" applyFont="1" applyBorder="1" applyAlignment="1">
      <alignment horizontal="centerContinuous"/>
    </xf>
    <xf numFmtId="10" fontId="265" fillId="0" borderId="76" xfId="1" applyNumberFormat="1" applyFont="1" applyFill="1" applyBorder="1"/>
    <xf numFmtId="2" fontId="249" fillId="0" borderId="76" xfId="0" applyNumberFormat="1" applyFont="1" applyBorder="1"/>
    <xf numFmtId="2" fontId="249" fillId="0" borderId="87" xfId="0" applyNumberFormat="1" applyFont="1" applyBorder="1"/>
    <xf numFmtId="2" fontId="24" fillId="0" borderId="0" xfId="6485" applyNumberFormat="1" applyFont="1" applyFill="1" applyBorder="1"/>
    <xf numFmtId="2" fontId="24" fillId="0" borderId="84" xfId="6485" applyNumberFormat="1" applyFont="1" applyFill="1" applyBorder="1"/>
    <xf numFmtId="0" fontId="0" fillId="0" borderId="87" xfId="0" applyBorder="1"/>
    <xf numFmtId="38" fontId="147" fillId="0" borderId="76" xfId="0" applyNumberFormat="1" applyFont="1" applyBorder="1"/>
    <xf numFmtId="213" fontId="147" fillId="0" borderId="87" xfId="1" applyNumberFormat="1" applyFont="1" applyFill="1" applyBorder="1"/>
    <xf numFmtId="2" fontId="249" fillId="0" borderId="88" xfId="0" applyNumberFormat="1" applyFont="1" applyBorder="1"/>
    <xf numFmtId="37" fontId="265" fillId="0" borderId="85" xfId="0" applyNumberFormat="1" applyFont="1" applyBorder="1"/>
    <xf numFmtId="213" fontId="265" fillId="0" borderId="76" xfId="1" applyNumberFormat="1" applyFont="1" applyFill="1" applyBorder="1" applyAlignment="1">
      <alignment horizontal="right" indent="1"/>
    </xf>
    <xf numFmtId="213" fontId="24" fillId="0" borderId="87" xfId="1" applyNumberFormat="1" applyFont="1" applyFill="1" applyBorder="1"/>
    <xf numFmtId="10" fontId="24" fillId="0" borderId="88" xfId="1" applyNumberFormat="1" applyFont="1" applyFill="1" applyBorder="1"/>
    <xf numFmtId="213" fontId="296" fillId="0" borderId="0" xfId="1" applyNumberFormat="1" applyFont="1" applyFill="1" applyBorder="1"/>
    <xf numFmtId="37" fontId="318" fillId="0" borderId="87" xfId="0" applyNumberFormat="1" applyFont="1" applyBorder="1"/>
    <xf numFmtId="37" fontId="24" fillId="0" borderId="76" xfId="0" applyNumberFormat="1" applyFont="1" applyBorder="1"/>
    <xf numFmtId="9" fontId="265" fillId="0" borderId="67" xfId="0" applyNumberFormat="1" applyFont="1" applyBorder="1"/>
    <xf numFmtId="9" fontId="265" fillId="0" borderId="0" xfId="0" applyNumberFormat="1" applyFont="1"/>
    <xf numFmtId="0" fontId="0" fillId="104" borderId="84" xfId="0" applyFill="1" applyBorder="1"/>
    <xf numFmtId="0" fontId="285" fillId="104" borderId="88" xfId="0" applyFont="1" applyFill="1" applyBorder="1"/>
    <xf numFmtId="247" fontId="249" fillId="104" borderId="76" xfId="0" applyNumberFormat="1" applyFont="1" applyFill="1" applyBorder="1"/>
    <xf numFmtId="247" fontId="282" fillId="104" borderId="76" xfId="0" applyNumberFormat="1" applyFont="1" applyFill="1" applyBorder="1"/>
    <xf numFmtId="0" fontId="328" fillId="104" borderId="76" xfId="0" applyFont="1" applyFill="1" applyBorder="1"/>
    <xf numFmtId="0" fontId="328" fillId="104" borderId="87" xfId="0" applyFont="1" applyFill="1" applyBorder="1"/>
    <xf numFmtId="245" fontId="24" fillId="104" borderId="76" xfId="0" applyNumberFormat="1" applyFont="1" applyFill="1" applyBorder="1"/>
    <xf numFmtId="247" fontId="282" fillId="104" borderId="87" xfId="0" applyNumberFormat="1" applyFont="1" applyFill="1" applyBorder="1"/>
    <xf numFmtId="10" fontId="325" fillId="104" borderId="0" xfId="0" applyNumberFormat="1" applyFont="1" applyFill="1" applyAlignment="1">
      <alignment horizontal="right"/>
    </xf>
    <xf numFmtId="10" fontId="24" fillId="104" borderId="84" xfId="0" applyNumberFormat="1" applyFont="1" applyFill="1" applyBorder="1" applyAlignment="1">
      <alignment horizontal="right"/>
    </xf>
    <xf numFmtId="247" fontId="249" fillId="104" borderId="84" xfId="0" applyNumberFormat="1" applyFont="1" applyFill="1" applyBorder="1"/>
    <xf numFmtId="247" fontId="147" fillId="104" borderId="84" xfId="0" applyNumberFormat="1" applyFont="1" applyFill="1" applyBorder="1"/>
    <xf numFmtId="9" fontId="265" fillId="104" borderId="84" xfId="1" applyFont="1" applyFill="1" applyBorder="1"/>
    <xf numFmtId="43" fontId="147" fillId="104" borderId="84" xfId="0" applyNumberFormat="1" applyFont="1" applyFill="1" applyBorder="1"/>
    <xf numFmtId="247" fontId="265" fillId="104" borderId="84" xfId="0" applyNumberFormat="1" applyFont="1" applyFill="1" applyBorder="1"/>
    <xf numFmtId="247" fontId="24" fillId="104" borderId="0" xfId="6485" applyNumberFormat="1" applyFont="1" applyFill="1" applyBorder="1"/>
    <xf numFmtId="37" fontId="265" fillId="104" borderId="0" xfId="0" applyNumberFormat="1" applyFont="1" applyFill="1"/>
    <xf numFmtId="0" fontId="264" fillId="0" borderId="82" xfId="0" applyFont="1" applyBorder="1" applyAlignment="1">
      <alignment horizontal="center"/>
    </xf>
    <xf numFmtId="37" fontId="147" fillId="104" borderId="82" xfId="0" applyNumberFormat="1" applyFont="1" applyFill="1" applyBorder="1"/>
    <xf numFmtId="37" fontId="147" fillId="0" borderId="85" xfId="0" applyNumberFormat="1" applyFont="1" applyBorder="1"/>
    <xf numFmtId="213" fontId="147" fillId="0" borderId="85" xfId="1" applyNumberFormat="1" applyFont="1" applyFill="1" applyBorder="1"/>
    <xf numFmtId="0" fontId="147" fillId="0" borderId="76" xfId="0" applyFont="1" applyBorder="1" applyAlignment="1">
      <alignment horizontal="left" indent="1"/>
    </xf>
    <xf numFmtId="43" fontId="147" fillId="0" borderId="87" xfId="6485" applyFont="1" applyFill="1" applyBorder="1"/>
    <xf numFmtId="0" fontId="329" fillId="0" borderId="0" xfId="0" applyFont="1" applyAlignment="1">
      <alignment vertical="center"/>
    </xf>
    <xf numFmtId="0" fontId="330" fillId="0" borderId="0" xfId="0" applyFont="1" applyAlignment="1">
      <alignment vertical="center" wrapText="1"/>
    </xf>
    <xf numFmtId="0" fontId="331" fillId="107" borderId="0" xfId="0" applyFont="1" applyFill="1"/>
    <xf numFmtId="0" fontId="332" fillId="116" borderId="89" xfId="0" applyFont="1" applyFill="1" applyBorder="1" applyAlignment="1">
      <alignment horizontal="center"/>
    </xf>
    <xf numFmtId="0" fontId="332" fillId="116" borderId="90" xfId="0" applyFont="1" applyFill="1" applyBorder="1" applyAlignment="1">
      <alignment horizontal="center"/>
    </xf>
    <xf numFmtId="0" fontId="333" fillId="0" borderId="0" xfId="0" applyFont="1"/>
    <xf numFmtId="0" fontId="334" fillId="104" borderId="90" xfId="0" applyFont="1" applyFill="1" applyBorder="1" applyAlignment="1">
      <alignment horizontal="left" vertical="center" indent="1"/>
    </xf>
    <xf numFmtId="0" fontId="337" fillId="0" borderId="0" xfId="0" applyFont="1"/>
    <xf numFmtId="0" fontId="287" fillId="0" borderId="90" xfId="0" applyFont="1" applyBorder="1" applyAlignment="1">
      <alignment horizontal="left" vertical="center" indent="2"/>
    </xf>
    <xf numFmtId="10" fontId="311" fillId="104" borderId="90" xfId="1" applyNumberFormat="1" applyFont="1" applyFill="1" applyBorder="1" applyAlignment="1">
      <alignment horizontal="center" vertical="center"/>
    </xf>
    <xf numFmtId="364" fontId="311" fillId="104" borderId="90" xfId="0" applyNumberFormat="1" applyFont="1" applyFill="1" applyBorder="1" applyAlignment="1">
      <alignment horizontal="center" vertical="center"/>
    </xf>
    <xf numFmtId="0" fontId="228" fillId="0" borderId="0" xfId="0" applyFont="1" applyAlignment="1">
      <alignment horizontal="justify"/>
    </xf>
    <xf numFmtId="0" fontId="228" fillId="0" borderId="0" xfId="0" applyFont="1" applyAlignment="1">
      <alignment horizontal="center"/>
    </xf>
    <xf numFmtId="0" fontId="334" fillId="118" borderId="90" xfId="0" applyFont="1" applyFill="1" applyBorder="1" applyAlignment="1">
      <alignment horizontal="left" vertical="center" indent="1"/>
    </xf>
    <xf numFmtId="364" fontId="311" fillId="0" borderId="93" xfId="0" applyNumberFormat="1" applyFont="1" applyBorder="1" applyAlignment="1">
      <alignment horizontal="center" vertical="center"/>
    </xf>
    <xf numFmtId="0" fontId="336" fillId="0" borderId="0" xfId="0" applyFont="1" applyAlignment="1">
      <alignment vertical="center" wrapText="1"/>
    </xf>
    <xf numFmtId="365" fontId="320" fillId="0" borderId="0" xfId="0" applyNumberFormat="1" applyFont="1"/>
    <xf numFmtId="0" fontId="287" fillId="0" borderId="90" xfId="0" applyFont="1" applyBorder="1" applyAlignment="1">
      <alignment horizontal="left" vertical="center" indent="1"/>
    </xf>
    <xf numFmtId="213" fontId="228" fillId="0" borderId="90" xfId="1" applyNumberFormat="1" applyFont="1" applyBorder="1" applyAlignment="1">
      <alignment horizontal="center" vertical="center"/>
    </xf>
    <xf numFmtId="364" fontId="228" fillId="117" borderId="90" xfId="0" applyNumberFormat="1" applyFont="1" applyFill="1" applyBorder="1" applyAlignment="1">
      <alignment horizontal="center" vertical="center"/>
    </xf>
    <xf numFmtId="0" fontId="341" fillId="0" borderId="0" xfId="0" applyFont="1"/>
    <xf numFmtId="0" fontId="337" fillId="108" borderId="90" xfId="0" applyFont="1" applyFill="1" applyBorder="1" applyAlignment="1">
      <alignment horizontal="left" vertical="center" indent="2"/>
    </xf>
    <xf numFmtId="213" fontId="342" fillId="117" borderId="90" xfId="1" applyNumberFormat="1" applyFont="1" applyFill="1" applyBorder="1" applyAlignment="1">
      <alignment horizontal="center" vertical="center"/>
    </xf>
    <xf numFmtId="364" fontId="343" fillId="108" borderId="90" xfId="0" applyNumberFormat="1" applyFont="1" applyFill="1" applyBorder="1" applyAlignment="1">
      <alignment horizontal="center" vertical="center"/>
    </xf>
    <xf numFmtId="0" fontId="337" fillId="0" borderId="0" xfId="0" applyFont="1" applyAlignment="1">
      <alignment horizontal="center"/>
    </xf>
    <xf numFmtId="364" fontId="337" fillId="108" borderId="90" xfId="0" applyNumberFormat="1" applyFont="1" applyFill="1" applyBorder="1" applyAlignment="1">
      <alignment horizontal="center" vertical="center"/>
    </xf>
    <xf numFmtId="10" fontId="311" fillId="118" borderId="90" xfId="1" applyNumberFormat="1" applyFont="1" applyFill="1" applyBorder="1" applyAlignment="1">
      <alignment horizontal="center" vertical="center"/>
    </xf>
    <xf numFmtId="213" fontId="344" fillId="117" borderId="90" xfId="1" applyNumberFormat="1" applyFont="1" applyFill="1" applyBorder="1" applyAlignment="1">
      <alignment horizontal="center" vertical="center"/>
    </xf>
    <xf numFmtId="2" fontId="228" fillId="0" borderId="90" xfId="1" applyNumberFormat="1" applyFont="1" applyBorder="1" applyAlignment="1">
      <alignment horizontal="center" vertical="center"/>
    </xf>
    <xf numFmtId="2" fontId="342" fillId="117" borderId="90" xfId="1" applyNumberFormat="1" applyFont="1" applyFill="1" applyBorder="1" applyAlignment="1">
      <alignment horizontal="center" vertical="center"/>
    </xf>
    <xf numFmtId="366" fontId="228" fillId="0" borderId="0" xfId="0" applyNumberFormat="1" applyFont="1"/>
    <xf numFmtId="0" fontId="287" fillId="0" borderId="94" xfId="0" applyFont="1" applyBorder="1" applyAlignment="1">
      <alignment horizontal="left" vertical="center" indent="1"/>
    </xf>
    <xf numFmtId="213" fontId="345" fillId="0" borderId="94" xfId="1" applyNumberFormat="1" applyFont="1" applyBorder="1" applyAlignment="1">
      <alignment horizontal="right" vertical="center" indent="1"/>
    </xf>
    <xf numFmtId="0" fontId="337" fillId="0" borderId="93" xfId="0" applyFont="1" applyBorder="1" applyAlignment="1">
      <alignment vertical="center" wrapText="1"/>
    </xf>
    <xf numFmtId="0" fontId="337" fillId="0" borderId="0" xfId="0" applyFont="1" applyAlignment="1">
      <alignment vertical="center" wrapText="1"/>
    </xf>
    <xf numFmtId="0" fontId="287" fillId="0" borderId="95" xfId="0" applyFont="1" applyBorder="1" applyAlignment="1">
      <alignment horizontal="left" vertical="center" indent="1"/>
    </xf>
    <xf numFmtId="213" fontId="345" fillId="0" borderId="95" xfId="1" applyNumberFormat="1" applyFont="1" applyBorder="1" applyAlignment="1">
      <alignment horizontal="right" vertical="center" indent="1"/>
    </xf>
    <xf numFmtId="0" fontId="228" fillId="0" borderId="0" xfId="0" applyFont="1" applyAlignment="1">
      <alignment horizontal="right"/>
    </xf>
    <xf numFmtId="0" fontId="334" fillId="118" borderId="90" xfId="0" applyFont="1" applyFill="1" applyBorder="1" applyAlignment="1">
      <alignment vertical="center"/>
    </xf>
    <xf numFmtId="10" fontId="311" fillId="118" borderId="90" xfId="1" applyNumberFormat="1" applyFont="1" applyFill="1" applyBorder="1" applyAlignment="1">
      <alignment horizontal="right" vertical="center" indent="1"/>
    </xf>
    <xf numFmtId="0" fontId="346" fillId="0" borderId="0" xfId="0" applyFont="1"/>
    <xf numFmtId="0" fontId="308" fillId="0" borderId="0" xfId="0" applyFont="1" applyAlignment="1">
      <alignment horizontal="centerContinuous"/>
    </xf>
    <xf numFmtId="0" fontId="7" fillId="0" borderId="0" xfId="0" applyFont="1" applyAlignment="1">
      <alignment horizontal="centerContinuous"/>
    </xf>
    <xf numFmtId="0" fontId="228" fillId="0" borderId="0" xfId="0" applyFont="1" applyAlignment="1">
      <alignment horizontal="centerContinuous"/>
    </xf>
    <xf numFmtId="0" fontId="228" fillId="0" borderId="0" xfId="0" applyFont="1" applyAlignment="1">
      <alignment horizontal="left"/>
    </xf>
    <xf numFmtId="0" fontId="228" fillId="119" borderId="0" xfId="0" applyFont="1" applyFill="1"/>
    <xf numFmtId="0" fontId="311" fillId="119" borderId="0" xfId="0" applyFont="1" applyFill="1"/>
    <xf numFmtId="0" fontId="338" fillId="0" borderId="96" xfId="0" applyFont="1" applyBorder="1" applyAlignment="1">
      <alignment horizontal="left"/>
    </xf>
    <xf numFmtId="0" fontId="312" fillId="0" borderId="82" xfId="0" applyFont="1" applyBorder="1" applyAlignment="1">
      <alignment horizontal="left"/>
    </xf>
    <xf numFmtId="0" fontId="228" fillId="0" borderId="83" xfId="0" applyFont="1" applyBorder="1"/>
    <xf numFmtId="0" fontId="348" fillId="0" borderId="97" xfId="0" applyFont="1" applyBorder="1" applyAlignment="1">
      <alignment horizontal="left"/>
    </xf>
    <xf numFmtId="0" fontId="349" fillId="0" borderId="85" xfId="0" applyFont="1" applyBorder="1" applyAlignment="1">
      <alignment horizontal="left"/>
    </xf>
    <xf numFmtId="0" fontId="228" fillId="0" borderId="98" xfId="0" applyFont="1" applyBorder="1"/>
    <xf numFmtId="0" fontId="311" fillId="116" borderId="99" xfId="0" applyFont="1" applyFill="1" applyBorder="1"/>
    <xf numFmtId="0" fontId="350" fillId="116" borderId="100" xfId="0" applyFont="1" applyFill="1" applyBorder="1"/>
    <xf numFmtId="0" fontId="311" fillId="116" borderId="100" xfId="0" applyFont="1" applyFill="1" applyBorder="1"/>
    <xf numFmtId="0" fontId="228" fillId="116" borderId="100" xfId="0" applyFont="1" applyFill="1" applyBorder="1"/>
    <xf numFmtId="0" fontId="311" fillId="116" borderId="101" xfId="0" applyFont="1" applyFill="1" applyBorder="1"/>
    <xf numFmtId="0" fontId="228" fillId="0" borderId="102" xfId="0" applyFont="1" applyBorder="1"/>
    <xf numFmtId="0" fontId="228" fillId="0" borderId="84" xfId="0" applyFont="1" applyBorder="1"/>
    <xf numFmtId="0" fontId="338" fillId="117" borderId="0" xfId="0" applyFont="1" applyFill="1" applyAlignment="1">
      <alignment horizontal="center"/>
    </xf>
    <xf numFmtId="0" fontId="351" fillId="0" borderId="0" xfId="0" applyFont="1"/>
    <xf numFmtId="0" fontId="320" fillId="0" borderId="0" xfId="0" applyFont="1" applyAlignment="1">
      <alignment horizontal="center"/>
    </xf>
    <xf numFmtId="9" fontId="338" fillId="117" borderId="0" xfId="1" applyFont="1" applyFill="1" applyBorder="1" applyAlignment="1">
      <alignment horizontal="center"/>
    </xf>
    <xf numFmtId="0" fontId="228" fillId="0" borderId="103" xfId="0" applyFont="1" applyBorder="1"/>
    <xf numFmtId="0" fontId="228" fillId="0" borderId="104" xfId="0" applyFont="1" applyBorder="1"/>
    <xf numFmtId="0" fontId="228" fillId="0" borderId="105" xfId="0" applyFont="1" applyBorder="1"/>
    <xf numFmtId="0" fontId="347" fillId="0" borderId="0" xfId="0" applyFont="1" applyAlignment="1">
      <alignment horizontal="left" vertical="center"/>
    </xf>
    <xf numFmtId="0" fontId="311" fillId="0" borderId="0" xfId="0" applyFont="1" applyAlignment="1">
      <alignment horizontal="left"/>
    </xf>
    <xf numFmtId="0" fontId="353" fillId="116" borderId="0" xfId="0" applyFont="1" applyFill="1"/>
    <xf numFmtId="0" fontId="353" fillId="119" borderId="0" xfId="0" applyFont="1" applyFill="1"/>
    <xf numFmtId="247" fontId="24" fillId="0" borderId="0" xfId="6485" applyNumberFormat="1" applyFont="1" applyFill="1"/>
    <xf numFmtId="213" fontId="278" fillId="0" borderId="0" xfId="1" applyNumberFormat="1" applyFont="1" applyFill="1" applyBorder="1"/>
    <xf numFmtId="213" fontId="338" fillId="117" borderId="0" xfId="1" applyNumberFormat="1" applyFont="1" applyFill="1" applyBorder="1" applyAlignment="1">
      <alignment horizontal="center"/>
    </xf>
    <xf numFmtId="0" fontId="249" fillId="0" borderId="85" xfId="0" applyFont="1" applyBorder="1"/>
    <xf numFmtId="0" fontId="267" fillId="0" borderId="85" xfId="0" applyFont="1" applyBorder="1" applyAlignment="1">
      <alignment horizontal="center"/>
    </xf>
    <xf numFmtId="37" fontId="75" fillId="0" borderId="85" xfId="0" applyNumberFormat="1" applyFont="1" applyBorder="1"/>
    <xf numFmtId="37" fontId="249" fillId="0" borderId="85" xfId="0" applyNumberFormat="1" applyFont="1" applyBorder="1"/>
    <xf numFmtId="37" fontId="147" fillId="104" borderId="85" xfId="0" applyNumberFormat="1" applyFont="1" applyFill="1" applyBorder="1"/>
    <xf numFmtId="37" fontId="75" fillId="104" borderId="85" xfId="0" applyNumberFormat="1" applyFont="1" applyFill="1" applyBorder="1"/>
    <xf numFmtId="213" fontId="147" fillId="104" borderId="85" xfId="1" applyNumberFormat="1" applyFont="1" applyFill="1" applyBorder="1"/>
    <xf numFmtId="213" fontId="147" fillId="104" borderId="86" xfId="1" applyNumberFormat="1" applyFont="1" applyFill="1" applyBorder="1"/>
    <xf numFmtId="213" fontId="340" fillId="117" borderId="90" xfId="1" applyNumberFormat="1" applyFont="1" applyFill="1" applyBorder="1" applyAlignment="1">
      <alignment horizontal="center" vertical="center"/>
    </xf>
    <xf numFmtId="1" fontId="228" fillId="117" borderId="90" xfId="6485" applyNumberFormat="1" applyFont="1" applyFill="1" applyBorder="1" applyAlignment="1">
      <alignment horizontal="center" vertical="center"/>
    </xf>
    <xf numFmtId="213" fontId="147" fillId="0" borderId="85" xfId="0" applyNumberFormat="1" applyFont="1" applyBorder="1"/>
    <xf numFmtId="176" fontId="147" fillId="0" borderId="0" xfId="0" applyNumberFormat="1" applyFont="1"/>
    <xf numFmtId="2" fontId="344" fillId="117" borderId="90" xfId="1" applyNumberFormat="1" applyFont="1" applyFill="1" applyBorder="1" applyAlignment="1">
      <alignment horizontal="center" vertical="center"/>
    </xf>
    <xf numFmtId="2" fontId="340" fillId="117" borderId="90" xfId="1" applyNumberFormat="1" applyFont="1" applyFill="1" applyBorder="1" applyAlignment="1">
      <alignment horizontal="center" vertical="center"/>
    </xf>
    <xf numFmtId="176" fontId="348" fillId="0" borderId="0" xfId="0" applyNumberFormat="1" applyFont="1"/>
    <xf numFmtId="0" fontId="345" fillId="0" borderId="0" xfId="0" applyFont="1"/>
    <xf numFmtId="0" fontId="354" fillId="0" borderId="0" xfId="0" applyFont="1"/>
    <xf numFmtId="0" fontId="355" fillId="119" borderId="0" xfId="0" applyFont="1" applyFill="1"/>
    <xf numFmtId="0" fontId="356" fillId="0" borderId="0" xfId="0" applyFont="1"/>
    <xf numFmtId="0" fontId="352" fillId="120" borderId="0" xfId="0" applyFont="1" applyFill="1"/>
    <xf numFmtId="0" fontId="357" fillId="120" borderId="0" xfId="0" applyFont="1" applyFill="1"/>
    <xf numFmtId="0" fontId="358" fillId="116" borderId="0" xfId="0" applyFont="1" applyFill="1"/>
    <xf numFmtId="0" fontId="228" fillId="0" borderId="96" xfId="0" applyFont="1" applyBorder="1"/>
    <xf numFmtId="213" fontId="348" fillId="0" borderId="83" xfId="0" applyNumberFormat="1" applyFont="1" applyBorder="1" applyAlignment="1">
      <alignment horizontal="center"/>
    </xf>
    <xf numFmtId="0" fontId="228" fillId="0" borderId="82" xfId="0" applyFont="1" applyBorder="1"/>
    <xf numFmtId="214" fontId="348" fillId="0" borderId="83" xfId="0" applyNumberFormat="1" applyFont="1" applyBorder="1" applyAlignment="1">
      <alignment horizontal="center"/>
    </xf>
    <xf numFmtId="0" fontId="359" fillId="0" borderId="0" xfId="0" applyFont="1" applyAlignment="1">
      <alignment horizontal="centerContinuous"/>
    </xf>
    <xf numFmtId="0" fontId="353" fillId="119" borderId="0" xfId="0" applyFont="1" applyFill="1" applyAlignment="1">
      <alignment horizontal="center"/>
    </xf>
    <xf numFmtId="0" fontId="353" fillId="116" borderId="0" xfId="0" applyFont="1" applyFill="1" applyAlignment="1">
      <alignment horizontal="center"/>
    </xf>
    <xf numFmtId="0" fontId="228" fillId="0" borderId="107" xfId="0" applyFont="1" applyBorder="1"/>
    <xf numFmtId="213" fontId="348" fillId="0" borderId="84" xfId="0" applyNumberFormat="1" applyFont="1" applyBorder="1" applyAlignment="1">
      <alignment horizontal="center"/>
    </xf>
    <xf numFmtId="214" fontId="348" fillId="0" borderId="84" xfId="0" applyNumberFormat="1" applyFont="1" applyBorder="1" applyAlignment="1">
      <alignment horizontal="center"/>
    </xf>
    <xf numFmtId="247" fontId="312" fillId="0" borderId="0" xfId="0" applyNumberFormat="1" applyFont="1" applyAlignment="1">
      <alignment horizontal="center"/>
    </xf>
    <xf numFmtId="213" fontId="353" fillId="116" borderId="0" xfId="1" applyNumberFormat="1" applyFont="1" applyFill="1" applyAlignment="1">
      <alignment horizontal="center"/>
    </xf>
    <xf numFmtId="3" fontId="228" fillId="0" borderId="82" xfId="0" applyNumberFormat="1" applyFont="1" applyBorder="1" applyAlignment="1">
      <alignment horizontal="center"/>
    </xf>
    <xf numFmtId="213" fontId="353" fillId="119" borderId="0" xfId="1" applyNumberFormat="1" applyFont="1" applyFill="1" applyAlignment="1">
      <alignment horizontal="center"/>
    </xf>
    <xf numFmtId="3" fontId="228" fillId="0" borderId="0" xfId="0" applyNumberFormat="1" applyFont="1" applyAlignment="1">
      <alignment horizontal="center"/>
    </xf>
    <xf numFmtId="213" fontId="348" fillId="0" borderId="84" xfId="1" applyNumberFormat="1" applyFont="1" applyFill="1" applyBorder="1" applyAlignment="1">
      <alignment horizontal="center"/>
    </xf>
    <xf numFmtId="3" fontId="228" fillId="0" borderId="96" xfId="0" applyNumberFormat="1" applyFont="1" applyBorder="1" applyAlignment="1">
      <alignment horizontal="center"/>
    </xf>
    <xf numFmtId="3" fontId="228" fillId="0" borderId="83" xfId="0" applyNumberFormat="1" applyFont="1" applyBorder="1" applyAlignment="1">
      <alignment horizontal="center"/>
    </xf>
    <xf numFmtId="3" fontId="228" fillId="0" borderId="107" xfId="0" applyNumberFormat="1" applyFont="1" applyBorder="1" applyAlignment="1">
      <alignment horizontal="center"/>
    </xf>
    <xf numFmtId="3" fontId="228" fillId="0" borderId="84" xfId="0" applyNumberFormat="1" applyFont="1" applyBorder="1" applyAlignment="1">
      <alignment horizontal="center"/>
    </xf>
    <xf numFmtId="0" fontId="228" fillId="0" borderId="108" xfId="0" applyFont="1" applyBorder="1"/>
    <xf numFmtId="213" fontId="338" fillId="117" borderId="109" xfId="0" applyNumberFormat="1" applyFont="1" applyFill="1" applyBorder="1" applyAlignment="1">
      <alignment horizontal="center"/>
    </xf>
    <xf numFmtId="213" fontId="355" fillId="0" borderId="109" xfId="1" applyNumberFormat="1" applyFont="1" applyFill="1" applyBorder="1" applyAlignment="1">
      <alignment horizontal="center" vertical="center"/>
    </xf>
    <xf numFmtId="3" fontId="228" fillId="0" borderId="97" xfId="0" applyNumberFormat="1" applyFont="1" applyBorder="1" applyAlignment="1">
      <alignment horizontal="center"/>
    </xf>
    <xf numFmtId="3" fontId="228" fillId="0" borderId="98" xfId="0" applyNumberFormat="1" applyFont="1" applyBorder="1" applyAlignment="1">
      <alignment horizontal="center"/>
    </xf>
    <xf numFmtId="213" fontId="228" fillId="0" borderId="0" xfId="0" applyNumberFormat="1" applyFont="1" applyAlignment="1">
      <alignment horizontal="center"/>
    </xf>
    <xf numFmtId="37" fontId="228" fillId="0" borderId="0" xfId="0" applyNumberFormat="1" applyFont="1"/>
    <xf numFmtId="0" fontId="228" fillId="0" borderId="85" xfId="0" applyFont="1" applyBorder="1"/>
    <xf numFmtId="213" fontId="228" fillId="0" borderId="85" xfId="0" applyNumberFormat="1" applyFont="1" applyBorder="1" applyAlignment="1">
      <alignment horizontal="center"/>
    </xf>
    <xf numFmtId="0" fontId="228" fillId="0" borderId="17" xfId="0" applyFont="1" applyBorder="1"/>
    <xf numFmtId="37" fontId="228" fillId="0" borderId="0" xfId="0" applyNumberFormat="1" applyFont="1" applyAlignment="1">
      <alignment horizontal="center"/>
    </xf>
    <xf numFmtId="213" fontId="228" fillId="0" borderId="9" xfId="1" applyNumberFormat="1" applyFont="1" applyBorder="1" applyAlignment="1">
      <alignment horizontal="center"/>
    </xf>
    <xf numFmtId="0" fontId="311" fillId="0" borderId="110" xfId="0" applyFont="1" applyBorder="1"/>
    <xf numFmtId="37" fontId="311" fillId="0" borderId="111" xfId="0" applyNumberFormat="1" applyFont="1" applyBorder="1" applyAlignment="1">
      <alignment horizontal="center"/>
    </xf>
    <xf numFmtId="213" fontId="311" fillId="0" borderId="112" xfId="1" applyNumberFormat="1" applyFont="1" applyFill="1" applyBorder="1" applyAlignment="1">
      <alignment horizontal="center"/>
    </xf>
    <xf numFmtId="0" fontId="311" fillId="0" borderId="85" xfId="0" applyFont="1" applyBorder="1"/>
    <xf numFmtId="0" fontId="353" fillId="119" borderId="85" xfId="0" applyFont="1" applyFill="1" applyBorder="1" applyAlignment="1">
      <alignment horizontal="center"/>
    </xf>
    <xf numFmtId="0" fontId="353" fillId="116" borderId="85" xfId="0" applyFont="1" applyFill="1" applyBorder="1" applyAlignment="1">
      <alignment horizontal="center"/>
    </xf>
    <xf numFmtId="37" fontId="348" fillId="0" borderId="0" xfId="0" applyNumberFormat="1" applyFont="1" applyAlignment="1">
      <alignment horizontal="center"/>
    </xf>
    <xf numFmtId="0" fontId="228" fillId="119" borderId="9" xfId="0" applyFont="1" applyFill="1" applyBorder="1" applyAlignment="1">
      <alignment horizontal="center"/>
    </xf>
    <xf numFmtId="3" fontId="348" fillId="0" borderId="0" xfId="0" applyNumberFormat="1" applyFont="1" applyAlignment="1">
      <alignment horizontal="center"/>
    </xf>
    <xf numFmtId="0" fontId="311" fillId="0" borderId="113" xfId="0" applyFont="1" applyBorder="1"/>
    <xf numFmtId="37" fontId="311" fillId="0" borderId="114" xfId="0" applyNumberFormat="1" applyFont="1" applyBorder="1" applyAlignment="1">
      <alignment horizontal="center"/>
    </xf>
    <xf numFmtId="0" fontId="228" fillId="119" borderId="115" xfId="0" applyFont="1" applyFill="1" applyBorder="1" applyAlignment="1">
      <alignment horizontal="center"/>
    </xf>
    <xf numFmtId="361" fontId="359" fillId="0" borderId="0" xfId="0" applyNumberFormat="1" applyFont="1" applyAlignment="1">
      <alignment horizontal="center"/>
    </xf>
    <xf numFmtId="0" fontId="228" fillId="0" borderId="116" xfId="0" applyFont="1" applyBorder="1"/>
    <xf numFmtId="331" fontId="228" fillId="0" borderId="0" xfId="0" applyNumberFormat="1" applyFont="1" applyAlignment="1">
      <alignment horizontal="center"/>
    </xf>
    <xf numFmtId="331" fontId="228" fillId="0" borderId="0" xfId="0" applyNumberFormat="1" applyFont="1"/>
    <xf numFmtId="247" fontId="228" fillId="0" borderId="0" xfId="0" applyNumberFormat="1" applyFont="1"/>
    <xf numFmtId="14" fontId="228" fillId="0" borderId="0" xfId="0" applyNumberFormat="1" applyFont="1"/>
    <xf numFmtId="0" fontId="352" fillId="0" borderId="85" xfId="0" applyFont="1" applyBorder="1"/>
    <xf numFmtId="0" fontId="350" fillId="0" borderId="85" xfId="0" applyFont="1" applyBorder="1" applyAlignment="1">
      <alignment horizontal="center"/>
    </xf>
    <xf numFmtId="0" fontId="353" fillId="119" borderId="85" xfId="0" applyFont="1" applyFill="1" applyBorder="1"/>
    <xf numFmtId="0" fontId="353" fillId="116" borderId="85" xfId="0" applyFont="1" applyFill="1" applyBorder="1"/>
    <xf numFmtId="0" fontId="350" fillId="0" borderId="0" xfId="0" applyFont="1"/>
    <xf numFmtId="0" fontId="350" fillId="0" borderId="0" xfId="0" applyFont="1" applyAlignment="1">
      <alignment horizontal="center"/>
    </xf>
    <xf numFmtId="361" fontId="350" fillId="0" borderId="0" xfId="0" applyNumberFormat="1" applyFont="1"/>
    <xf numFmtId="192" fontId="360" fillId="0" borderId="0" xfId="0" applyNumberFormat="1" applyFont="1"/>
    <xf numFmtId="348" fontId="360" fillId="0" borderId="0" xfId="0" applyNumberFormat="1" applyFont="1"/>
    <xf numFmtId="192" fontId="361" fillId="0" borderId="0" xfId="0" applyNumberFormat="1" applyFont="1"/>
    <xf numFmtId="192" fontId="362" fillId="0" borderId="0" xfId="0" applyNumberFormat="1" applyFont="1"/>
    <xf numFmtId="37" fontId="348" fillId="0" borderId="0" xfId="0" applyNumberFormat="1" applyFont="1"/>
    <xf numFmtId="37" fontId="228" fillId="0" borderId="84" xfId="0" applyNumberFormat="1" applyFont="1" applyBorder="1"/>
    <xf numFmtId="213" fontId="228" fillId="0" borderId="0" xfId="1" applyNumberFormat="1" applyFont="1"/>
    <xf numFmtId="0" fontId="359" fillId="0" borderId="76" xfId="0" applyFont="1" applyBorder="1"/>
    <xf numFmtId="0" fontId="311" fillId="0" borderId="76" xfId="0" applyFont="1" applyBorder="1" applyAlignment="1">
      <alignment horizontal="center"/>
    </xf>
    <xf numFmtId="37" fontId="311" fillId="119" borderId="76" xfId="0" applyNumberFormat="1" applyFont="1" applyFill="1" applyBorder="1"/>
    <xf numFmtId="37" fontId="311" fillId="119" borderId="87" xfId="0" applyNumberFormat="1" applyFont="1" applyFill="1" applyBorder="1"/>
    <xf numFmtId="37" fontId="311" fillId="0" borderId="76" xfId="0" applyNumberFormat="1" applyFont="1" applyBorder="1"/>
    <xf numFmtId="214" fontId="228" fillId="0" borderId="0" xfId="0" applyNumberFormat="1" applyFont="1"/>
    <xf numFmtId="0" fontId="320" fillId="0" borderId="0" xfId="0" applyFont="1"/>
    <xf numFmtId="0" fontId="320" fillId="0" borderId="0" xfId="0" applyFont="1" applyAlignment="1">
      <alignment horizontal="right"/>
    </xf>
    <xf numFmtId="2" fontId="320" fillId="0" borderId="0" xfId="0" applyNumberFormat="1" applyFont="1" applyAlignment="1">
      <alignment horizontal="right"/>
    </xf>
    <xf numFmtId="0" fontId="311" fillId="0" borderId="82" xfId="0" applyFont="1" applyBorder="1"/>
    <xf numFmtId="0" fontId="311" fillId="119" borderId="82" xfId="0" applyFont="1" applyFill="1" applyBorder="1"/>
    <xf numFmtId="0" fontId="311" fillId="119" borderId="83" xfId="0" applyFont="1" applyFill="1" applyBorder="1"/>
    <xf numFmtId="247" fontId="311" fillId="0" borderId="82" xfId="0" applyNumberFormat="1" applyFont="1" applyBorder="1"/>
    <xf numFmtId="247" fontId="311" fillId="0" borderId="0" xfId="0" applyNumberFormat="1" applyFont="1"/>
    <xf numFmtId="0" fontId="311" fillId="119" borderId="85" xfId="0" applyFont="1" applyFill="1" applyBorder="1"/>
    <xf numFmtId="247" fontId="311" fillId="119" borderId="85" xfId="0" applyNumberFormat="1" applyFont="1" applyFill="1" applyBorder="1"/>
    <xf numFmtId="247" fontId="311" fillId="0" borderId="85" xfId="0" applyNumberFormat="1" applyFont="1" applyBorder="1"/>
    <xf numFmtId="213" fontId="228" fillId="0" borderId="0" xfId="1" applyNumberFormat="1" applyFont="1" applyBorder="1"/>
    <xf numFmtId="3" fontId="228" fillId="0" borderId="0" xfId="0" applyNumberFormat="1" applyFont="1"/>
    <xf numFmtId="9" fontId="228" fillId="0" borderId="0" xfId="0" applyNumberFormat="1" applyFont="1"/>
    <xf numFmtId="4" fontId="228" fillId="0" borderId="0" xfId="0" applyNumberFormat="1" applyFont="1"/>
    <xf numFmtId="3" fontId="338" fillId="117" borderId="0" xfId="0" applyNumberFormat="1" applyFont="1" applyFill="1" applyAlignment="1">
      <alignment horizontal="center"/>
    </xf>
    <xf numFmtId="43" fontId="348" fillId="0" borderId="0" xfId="6485" applyFont="1" applyAlignment="1">
      <alignment horizontal="center"/>
    </xf>
    <xf numFmtId="190" fontId="228" fillId="0" borderId="0" xfId="6485" applyNumberFormat="1" applyFont="1" applyFill="1" applyBorder="1" applyAlignment="1">
      <alignment horizontal="center"/>
    </xf>
    <xf numFmtId="190" fontId="312" fillId="0" borderId="9" xfId="6485" applyNumberFormat="1" applyFont="1" applyBorder="1" applyAlignment="1">
      <alignment horizontal="center"/>
    </xf>
    <xf numFmtId="190" fontId="228" fillId="0" borderId="85" xfId="6485" applyNumberFormat="1" applyFont="1" applyFill="1" applyBorder="1" applyAlignment="1">
      <alignment horizontal="center"/>
    </xf>
    <xf numFmtId="190" fontId="228" fillId="0" borderId="86" xfId="6485" applyNumberFormat="1" applyFont="1" applyFill="1" applyBorder="1" applyAlignment="1">
      <alignment horizontal="center"/>
    </xf>
    <xf numFmtId="190" fontId="228" fillId="0" borderId="0" xfId="6485" applyNumberFormat="1" applyFont="1" applyFill="1" applyAlignment="1">
      <alignment horizontal="center"/>
    </xf>
    <xf numFmtId="190" fontId="228" fillId="0" borderId="96" xfId="6485" applyNumberFormat="1" applyFont="1" applyFill="1" applyBorder="1" applyAlignment="1">
      <alignment horizontal="center"/>
    </xf>
    <xf numFmtId="190" fontId="228" fillId="0" borderId="83" xfId="6485" applyNumberFormat="1" applyFont="1" applyFill="1" applyBorder="1" applyAlignment="1">
      <alignment horizontal="center"/>
    </xf>
    <xf numFmtId="190" fontId="228" fillId="0" borderId="107" xfId="6485" applyNumberFormat="1" applyFont="1" applyFill="1" applyBorder="1" applyAlignment="1">
      <alignment horizontal="center"/>
    </xf>
    <xf numFmtId="190" fontId="228" fillId="0" borderId="84" xfId="6485" applyNumberFormat="1" applyFont="1" applyFill="1" applyBorder="1" applyAlignment="1">
      <alignment horizontal="center"/>
    </xf>
    <xf numFmtId="190" fontId="228" fillId="0" borderId="97" xfId="6485" applyNumberFormat="1" applyFont="1" applyFill="1" applyBorder="1" applyAlignment="1">
      <alignment horizontal="center"/>
    </xf>
    <xf numFmtId="190" fontId="228" fillId="0" borderId="98" xfId="6485" applyNumberFormat="1" applyFont="1" applyFill="1" applyBorder="1" applyAlignment="1">
      <alignment horizontal="center"/>
    </xf>
    <xf numFmtId="1" fontId="265" fillId="0" borderId="76" xfId="0" applyNumberFormat="1" applyFont="1" applyBorder="1"/>
    <xf numFmtId="10" fontId="49" fillId="0" borderId="0" xfId="1" applyNumberFormat="1" applyFont="1" applyFill="1" applyBorder="1"/>
    <xf numFmtId="10" fontId="24" fillId="0" borderId="76" xfId="1" applyNumberFormat="1" applyFont="1" applyFill="1" applyBorder="1"/>
    <xf numFmtId="226" fontId="228" fillId="0" borderId="0" xfId="6485" applyNumberFormat="1" applyFont="1"/>
    <xf numFmtId="0" fontId="228" fillId="0" borderId="76" xfId="0" applyFont="1" applyBorder="1"/>
    <xf numFmtId="0" fontId="228" fillId="0" borderId="76" xfId="0" applyFont="1" applyBorder="1" applyAlignment="1">
      <alignment horizontal="center"/>
    </xf>
    <xf numFmtId="226" fontId="228" fillId="0" borderId="76" xfId="6485" applyNumberFormat="1" applyFont="1" applyBorder="1"/>
    <xf numFmtId="3" fontId="345" fillId="0" borderId="0" xfId="0" applyNumberFormat="1" applyFont="1" applyAlignment="1">
      <alignment horizontal="center"/>
    </xf>
    <xf numFmtId="37" fontId="147" fillId="105" borderId="0" xfId="0" applyNumberFormat="1" applyFont="1" applyFill="1"/>
    <xf numFmtId="3" fontId="338" fillId="0" borderId="0" xfId="0" applyNumberFormat="1" applyFont="1" applyAlignment="1">
      <alignment horizontal="center"/>
    </xf>
    <xf numFmtId="0" fontId="24" fillId="0" borderId="0" xfId="1" applyNumberFormat="1" applyFont="1" applyFill="1" applyBorder="1"/>
    <xf numFmtId="0" fontId="147" fillId="0" borderId="85" xfId="0" applyFont="1" applyBorder="1" applyAlignment="1">
      <alignment horizontal="left"/>
    </xf>
    <xf numFmtId="213" fontId="24" fillId="0" borderId="85" xfId="1" applyNumberFormat="1" applyFont="1" applyFill="1" applyBorder="1"/>
    <xf numFmtId="0" fontId="147" fillId="0" borderId="82" xfId="0" applyFont="1" applyBorder="1" applyAlignment="1">
      <alignment horizontal="left"/>
    </xf>
    <xf numFmtId="213" fontId="24" fillId="0" borderId="82" xfId="1" applyNumberFormat="1" applyFont="1" applyFill="1" applyBorder="1"/>
    <xf numFmtId="0" fontId="24" fillId="0" borderId="82" xfId="1" applyNumberFormat="1" applyFont="1" applyFill="1" applyBorder="1"/>
    <xf numFmtId="37" fontId="24" fillId="0" borderId="82" xfId="0" applyNumberFormat="1" applyFont="1" applyBorder="1"/>
    <xf numFmtId="192" fontId="24" fillId="0" borderId="76" xfId="6485" applyNumberFormat="1" applyFont="1" applyFill="1" applyBorder="1"/>
    <xf numFmtId="247" fontId="265" fillId="0" borderId="0" xfId="6485" applyNumberFormat="1" applyFont="1" applyFill="1" applyBorder="1"/>
    <xf numFmtId="247" fontId="265" fillId="0" borderId="76" xfId="6485" applyNumberFormat="1" applyFont="1" applyFill="1" applyBorder="1"/>
    <xf numFmtId="214" fontId="249" fillId="0" borderId="0" xfId="0" applyNumberFormat="1" applyFont="1"/>
    <xf numFmtId="213" fontId="284" fillId="0" borderId="0" xfId="1" applyNumberFormat="1" applyFont="1" applyFill="1" applyBorder="1"/>
    <xf numFmtId="213" fontId="284" fillId="0" borderId="84" xfId="1" applyNumberFormat="1" applyFont="1" applyFill="1" applyBorder="1"/>
    <xf numFmtId="226" fontId="228" fillId="0" borderId="0" xfId="0" applyNumberFormat="1" applyFont="1"/>
    <xf numFmtId="178" fontId="228" fillId="0" borderId="0" xfId="0" applyNumberFormat="1" applyFont="1"/>
    <xf numFmtId="213" fontId="71" fillId="0" borderId="0" xfId="1" applyNumberFormat="1" applyFont="1" applyBorder="1"/>
    <xf numFmtId="213" fontId="284" fillId="0" borderId="87" xfId="1" applyNumberFormat="1" applyFont="1" applyFill="1" applyBorder="1"/>
    <xf numFmtId="213" fontId="147" fillId="0" borderId="84" xfId="1" applyNumberFormat="1" applyFont="1" applyFill="1" applyBorder="1"/>
    <xf numFmtId="0" fontId="147" fillId="0" borderId="76" xfId="0" applyFont="1" applyBorder="1" applyAlignment="1">
      <alignment horizontal="left"/>
    </xf>
    <xf numFmtId="10" fontId="147" fillId="104" borderId="84" xfId="0" applyNumberFormat="1" applyFont="1" applyFill="1" applyBorder="1"/>
    <xf numFmtId="10" fontId="249" fillId="104" borderId="87" xfId="1" applyNumberFormat="1" applyFont="1" applyFill="1" applyBorder="1"/>
    <xf numFmtId="37" fontId="283" fillId="0" borderId="80" xfId="0" applyNumberFormat="1" applyFont="1" applyBorder="1"/>
    <xf numFmtId="192" fontId="363" fillId="0" borderId="0" xfId="0" applyNumberFormat="1" applyFont="1"/>
    <xf numFmtId="226" fontId="147" fillId="0" borderId="0" xfId="0" applyNumberFormat="1" applyFont="1"/>
    <xf numFmtId="43" fontId="0" fillId="0" borderId="0" xfId="6485" applyFont="1" applyFill="1" applyBorder="1"/>
    <xf numFmtId="2" fontId="265" fillId="0" borderId="76" xfId="6485" applyNumberFormat="1" applyFont="1" applyBorder="1"/>
    <xf numFmtId="43" fontId="49" fillId="0" borderId="0" xfId="6485" applyFont="1" applyFill="1" applyBorder="1"/>
    <xf numFmtId="247" fontId="49" fillId="0" borderId="76" xfId="6485" applyNumberFormat="1" applyFont="1" applyFill="1" applyBorder="1"/>
    <xf numFmtId="0" fontId="285" fillId="104" borderId="76" xfId="0" applyFont="1" applyFill="1" applyBorder="1"/>
    <xf numFmtId="43" fontId="0" fillId="0" borderId="85" xfId="6485" applyFont="1" applyFill="1" applyBorder="1"/>
    <xf numFmtId="2" fontId="282" fillId="0" borderId="82" xfId="0" applyNumberFormat="1" applyFont="1" applyBorder="1"/>
    <xf numFmtId="2" fontId="249" fillId="0" borderId="82" xfId="0" applyNumberFormat="1" applyFont="1" applyBorder="1"/>
    <xf numFmtId="2" fontId="265" fillId="0" borderId="82" xfId="6485" applyNumberFormat="1" applyFont="1" applyFill="1" applyBorder="1"/>
    <xf numFmtId="37" fontId="278" fillId="0" borderId="82" xfId="0" applyNumberFormat="1" applyFont="1" applyBorder="1"/>
    <xf numFmtId="0" fontId="268" fillId="0" borderId="82" xfId="0" applyFont="1" applyBorder="1" applyAlignment="1">
      <alignment horizontal="center"/>
    </xf>
    <xf numFmtId="10" fontId="147" fillId="0" borderId="82" xfId="1" applyNumberFormat="1" applyFont="1" applyFill="1" applyBorder="1"/>
    <xf numFmtId="213" fontId="147" fillId="0" borderId="82" xfId="1" applyNumberFormat="1" applyFont="1" applyFill="1" applyBorder="1"/>
    <xf numFmtId="213" fontId="147" fillId="0" borderId="82" xfId="1" applyNumberFormat="1" applyFont="1" applyFill="1" applyBorder="1" applyAlignment="1">
      <alignment horizontal="right" indent="1"/>
    </xf>
    <xf numFmtId="37" fontId="249" fillId="104" borderId="82" xfId="0" applyNumberFormat="1" applyFont="1" applyFill="1" applyBorder="1"/>
    <xf numFmtId="10" fontId="265" fillId="104" borderId="82" xfId="0" applyNumberFormat="1" applyFont="1" applyFill="1" applyBorder="1" applyAlignment="1">
      <alignment horizontal="right"/>
    </xf>
    <xf numFmtId="213" fontId="0" fillId="0" borderId="0" xfId="0" applyNumberFormat="1"/>
    <xf numFmtId="10" fontId="335" fillId="104" borderId="90" xfId="1" applyNumberFormat="1" applyFont="1" applyFill="1" applyBorder="1" applyAlignment="1">
      <alignment horizontal="center" vertical="center"/>
    </xf>
    <xf numFmtId="364" fontId="335" fillId="104" borderId="90" xfId="0" applyNumberFormat="1" applyFont="1" applyFill="1" applyBorder="1" applyAlignment="1">
      <alignment horizontal="center" vertical="center"/>
    </xf>
    <xf numFmtId="10" fontId="338" fillId="0" borderId="90" xfId="1" applyNumberFormat="1" applyFont="1" applyBorder="1" applyAlignment="1">
      <alignment horizontal="center" vertical="center"/>
    </xf>
    <xf numFmtId="364" fontId="338" fillId="0" borderId="90" xfId="0" applyNumberFormat="1" applyFont="1" applyBorder="1" applyAlignment="1">
      <alignment horizontal="center" vertical="center"/>
    </xf>
    <xf numFmtId="9" fontId="327" fillId="0" borderId="0" xfId="1" applyFont="1"/>
    <xf numFmtId="37" fontId="265" fillId="0" borderId="76" xfId="0" applyNumberFormat="1" applyFont="1" applyBorder="1"/>
    <xf numFmtId="360" fontId="265" fillId="0" borderId="76" xfId="0" applyNumberFormat="1" applyFont="1" applyBorder="1"/>
    <xf numFmtId="37" fontId="71" fillId="0" borderId="0" xfId="0" applyNumberFormat="1" applyFont="1"/>
    <xf numFmtId="0" fontId="364" fillId="0" borderId="0" xfId="0" applyFont="1"/>
    <xf numFmtId="0" fontId="71" fillId="0" borderId="0" xfId="0" applyFont="1" applyAlignment="1">
      <alignment horizontal="left" indent="1"/>
    </xf>
    <xf numFmtId="0" fontId="365" fillId="0" borderId="0" xfId="0" applyFont="1" applyAlignment="1">
      <alignment horizontal="center"/>
    </xf>
    <xf numFmtId="0" fontId="24" fillId="0" borderId="0" xfId="0" applyFont="1"/>
    <xf numFmtId="0" fontId="281" fillId="0" borderId="0" xfId="0" applyFont="1" applyAlignment="1">
      <alignment horizontal="center"/>
    </xf>
    <xf numFmtId="213" fontId="147" fillId="0" borderId="80" xfId="1" applyNumberFormat="1" applyFont="1" applyFill="1" applyBorder="1"/>
    <xf numFmtId="238" fontId="0" fillId="0" borderId="0" xfId="0" applyNumberFormat="1"/>
    <xf numFmtId="9" fontId="265" fillId="104" borderId="0" xfId="1" applyFont="1" applyFill="1" applyBorder="1"/>
    <xf numFmtId="226" fontId="24" fillId="0" borderId="0" xfId="6485" applyNumberFormat="1" applyFont="1" applyFill="1" applyBorder="1"/>
    <xf numFmtId="247" fontId="311" fillId="119" borderId="98" xfId="0" applyNumberFormat="1" applyFont="1" applyFill="1" applyBorder="1"/>
    <xf numFmtId="1" fontId="282" fillId="0" borderId="84" xfId="0" applyNumberFormat="1" applyFont="1" applyBorder="1"/>
    <xf numFmtId="1" fontId="282" fillId="0" borderId="0" xfId="0" applyNumberFormat="1" applyFont="1"/>
    <xf numFmtId="1" fontId="147" fillId="0" borderId="87" xfId="0" applyNumberFormat="1" applyFont="1" applyBorder="1"/>
    <xf numFmtId="213" fontId="71" fillId="0" borderId="84" xfId="1" applyNumberFormat="1" applyFont="1" applyFill="1" applyBorder="1"/>
    <xf numFmtId="213" fontId="71" fillId="0" borderId="98" xfId="1" applyNumberFormat="1" applyFont="1" applyFill="1" applyBorder="1"/>
    <xf numFmtId="213" fontId="71" fillId="0" borderId="76" xfId="1" applyNumberFormat="1" applyFont="1" applyBorder="1"/>
    <xf numFmtId="10" fontId="338" fillId="104" borderId="90" xfId="1" applyNumberFormat="1" applyFont="1" applyFill="1" applyBorder="1" applyAlignment="1">
      <alignment horizontal="center" vertical="center"/>
    </xf>
    <xf numFmtId="364" fontId="338" fillId="104" borderId="90" xfId="0" applyNumberFormat="1" applyFont="1" applyFill="1" applyBorder="1" applyAlignment="1">
      <alignment horizontal="center" vertical="center"/>
    </xf>
    <xf numFmtId="10" fontId="338" fillId="0" borderId="90" xfId="1" applyNumberFormat="1" applyFont="1" applyFill="1" applyBorder="1" applyAlignment="1">
      <alignment horizontal="center" vertical="center"/>
    </xf>
    <xf numFmtId="14" fontId="370" fillId="0" borderId="0" xfId="0" applyNumberFormat="1" applyFont="1" applyAlignment="1">
      <alignment horizontal="center"/>
    </xf>
    <xf numFmtId="0" fontId="370" fillId="0" borderId="0" xfId="0" applyFont="1" applyAlignment="1">
      <alignment horizontal="center"/>
    </xf>
    <xf numFmtId="0" fontId="312" fillId="0" borderId="117" xfId="0" applyFont="1" applyBorder="1" applyAlignment="1">
      <alignment horizontal="left" indent="1" readingOrder="1"/>
    </xf>
    <xf numFmtId="37" fontId="345" fillId="123" borderId="0" xfId="0" applyNumberFormat="1" applyFont="1" applyFill="1" applyAlignment="1" applyProtection="1">
      <alignment horizontal="right" indent="1"/>
      <protection locked="0"/>
    </xf>
    <xf numFmtId="37" fontId="312" fillId="117" borderId="62" xfId="0" applyNumberFormat="1" applyFont="1" applyFill="1" applyBorder="1" applyAlignment="1">
      <alignment horizontal="center"/>
    </xf>
    <xf numFmtId="37" fontId="312" fillId="117" borderId="118" xfId="0" applyNumberFormat="1" applyFont="1" applyFill="1" applyBorder="1" applyAlignment="1">
      <alignment horizontal="center"/>
    </xf>
    <xf numFmtId="38" fontId="228" fillId="0" borderId="0" xfId="0" applyNumberFormat="1" applyFont="1"/>
    <xf numFmtId="37" fontId="345" fillId="0" borderId="107" xfId="1" applyNumberFormat="1" applyFont="1" applyFill="1" applyBorder="1" applyAlignment="1" applyProtection="1">
      <alignment horizontal="right" indent="1"/>
      <protection locked="0"/>
    </xf>
    <xf numFmtId="37" fontId="345" fillId="0" borderId="0" xfId="1" applyNumberFormat="1" applyFont="1" applyFill="1" applyBorder="1" applyAlignment="1" applyProtection="1">
      <alignment horizontal="right" indent="1"/>
      <protection locked="0"/>
    </xf>
    <xf numFmtId="37" fontId="345" fillId="123" borderId="0" xfId="1" applyNumberFormat="1" applyFont="1" applyFill="1" applyBorder="1" applyAlignment="1" applyProtection="1">
      <alignment horizontal="right" indent="1"/>
      <protection locked="0"/>
    </xf>
    <xf numFmtId="37" fontId="312" fillId="117" borderId="62" xfId="1" applyNumberFormat="1" applyFont="1" applyFill="1" applyBorder="1" applyAlignment="1">
      <alignment horizontal="center"/>
    </xf>
    <xf numFmtId="37" fontId="312" fillId="117" borderId="118" xfId="1" applyNumberFormat="1" applyFont="1" applyFill="1" applyBorder="1" applyAlignment="1">
      <alignment horizontal="center"/>
    </xf>
    <xf numFmtId="277" fontId="228" fillId="0" borderId="0" xfId="6629" applyFont="1" applyProtection="1"/>
    <xf numFmtId="37" fontId="345" fillId="0" borderId="107" xfId="0" applyNumberFormat="1" applyFont="1" applyBorder="1" applyAlignment="1" applyProtection="1">
      <alignment horizontal="right" indent="1"/>
      <protection locked="0"/>
    </xf>
    <xf numFmtId="37" fontId="345" fillId="0" borderId="0" xfId="0" applyNumberFormat="1" applyFont="1" applyAlignment="1" applyProtection="1">
      <alignment horizontal="right" indent="1"/>
      <protection locked="0"/>
    </xf>
    <xf numFmtId="0" fontId="312" fillId="0" borderId="119" xfId="0" applyFont="1" applyBorder="1" applyAlignment="1">
      <alignment horizontal="left" indent="1" readingOrder="1"/>
    </xf>
    <xf numFmtId="37" fontId="345" fillId="0" borderId="120" xfId="0" applyNumberFormat="1" applyFont="1" applyBorder="1" applyAlignment="1" applyProtection="1">
      <alignment horizontal="right" indent="1"/>
      <protection locked="0"/>
    </xf>
    <xf numFmtId="37" fontId="312" fillId="117" borderId="121" xfId="0" applyNumberFormat="1" applyFont="1" applyFill="1" applyBorder="1" applyAlignment="1">
      <alignment horizontal="center"/>
    </xf>
    <xf numFmtId="37" fontId="312" fillId="117" borderId="122" xfId="0" applyNumberFormat="1" applyFont="1" applyFill="1" applyBorder="1" applyAlignment="1">
      <alignment horizontal="center"/>
    </xf>
    <xf numFmtId="0" fontId="368" fillId="106" borderId="0" xfId="0" applyFont="1" applyFill="1" applyAlignment="1">
      <alignment horizontal="center"/>
    </xf>
    <xf numFmtId="0" fontId="0" fillId="0" borderId="0" xfId="0" applyAlignment="1">
      <alignment horizontal="center"/>
    </xf>
    <xf numFmtId="0" fontId="369" fillId="0" borderId="0" xfId="6257" applyFont="1" applyAlignment="1">
      <alignment horizontal="center"/>
    </xf>
    <xf numFmtId="38" fontId="312" fillId="0" borderId="0" xfId="0" applyNumberFormat="1" applyFont="1" applyAlignment="1" applyProtection="1">
      <alignment horizontal="right" indent="1"/>
      <protection locked="0"/>
    </xf>
    <xf numFmtId="38" fontId="312" fillId="0" borderId="62" xfId="0" applyNumberFormat="1" applyFont="1" applyBorder="1" applyAlignment="1">
      <alignment horizontal="center"/>
    </xf>
    <xf numFmtId="38" fontId="312" fillId="0" borderId="118" xfId="0" applyNumberFormat="1" applyFont="1" applyBorder="1" applyAlignment="1">
      <alignment horizontal="center"/>
    </xf>
    <xf numFmtId="38" fontId="312" fillId="0" borderId="107" xfId="0" applyNumberFormat="1" applyFont="1" applyBorder="1" applyAlignment="1" applyProtection="1">
      <alignment horizontal="right" indent="1"/>
      <protection locked="0"/>
    </xf>
    <xf numFmtId="0" fontId="352" fillId="0" borderId="123" xfId="0" applyFont="1" applyBorder="1" applyAlignment="1">
      <alignment horizontal="left" indent="1" readingOrder="1"/>
    </xf>
    <xf numFmtId="38" fontId="352" fillId="0" borderId="97" xfId="0" applyNumberFormat="1" applyFont="1" applyBorder="1" applyAlignment="1" applyProtection="1">
      <alignment horizontal="right" indent="1"/>
      <protection locked="0"/>
    </xf>
    <xf numFmtId="38" fontId="352" fillId="0" borderId="85" xfId="0" applyNumberFormat="1" applyFont="1" applyBorder="1" applyAlignment="1" applyProtection="1">
      <alignment horizontal="right" indent="1"/>
      <protection locked="0"/>
    </xf>
    <xf numFmtId="38" fontId="352" fillId="123" borderId="85" xfId="0" applyNumberFormat="1" applyFont="1" applyFill="1" applyBorder="1" applyAlignment="1" applyProtection="1">
      <alignment horizontal="right" indent="1"/>
      <protection locked="0"/>
    </xf>
    <xf numFmtId="38" fontId="352" fillId="117" borderId="124" xfId="0" applyNumberFormat="1" applyFont="1" applyFill="1" applyBorder="1" applyAlignment="1">
      <alignment horizontal="center"/>
    </xf>
    <xf numFmtId="38" fontId="352" fillId="117" borderId="125" xfId="0" applyNumberFormat="1" applyFont="1" applyFill="1" applyBorder="1" applyAlignment="1">
      <alignment horizontal="center"/>
    </xf>
    <xf numFmtId="9" fontId="228" fillId="0" borderId="0" xfId="1" applyFont="1"/>
    <xf numFmtId="0" fontId="312" fillId="124" borderId="126" xfId="0" applyFont="1" applyFill="1" applyBorder="1" applyAlignment="1">
      <alignment horizontal="left" indent="1" readingOrder="1"/>
    </xf>
    <xf numFmtId="37" fontId="312" fillId="124" borderId="96" xfId="0" applyNumberFormat="1" applyFont="1" applyFill="1" applyBorder="1" applyAlignment="1" applyProtection="1">
      <alignment horizontal="right" indent="1"/>
      <protection locked="0"/>
    </xf>
    <xf numFmtId="37" fontId="312" fillId="124" borderId="82" xfId="0" applyNumberFormat="1" applyFont="1" applyFill="1" applyBorder="1" applyAlignment="1" applyProtection="1">
      <alignment horizontal="right" indent="1"/>
      <protection locked="0"/>
    </xf>
    <xf numFmtId="38" fontId="312" fillId="123" borderId="82" xfId="0" applyNumberFormat="1" applyFont="1" applyFill="1" applyBorder="1" applyAlignment="1" applyProtection="1">
      <alignment horizontal="right" indent="1"/>
      <protection locked="0"/>
    </xf>
    <xf numFmtId="38" fontId="312" fillId="117" borderId="127" xfId="0" applyNumberFormat="1" applyFont="1" applyFill="1" applyBorder="1" applyAlignment="1">
      <alignment horizontal="center"/>
    </xf>
    <xf numFmtId="38" fontId="312" fillId="117" borderId="128" xfId="0" applyNumberFormat="1" applyFont="1" applyFill="1" applyBorder="1" applyAlignment="1">
      <alignment horizontal="center"/>
    </xf>
    <xf numFmtId="0" fontId="312" fillId="124" borderId="123" xfId="0" applyFont="1" applyFill="1" applyBorder="1" applyAlignment="1">
      <alignment horizontal="left" indent="1" readingOrder="1"/>
    </xf>
    <xf numFmtId="9" fontId="312" fillId="124" borderId="97" xfId="0" applyNumberFormat="1" applyFont="1" applyFill="1" applyBorder="1" applyAlignment="1">
      <alignment horizontal="right" indent="1"/>
    </xf>
    <xf numFmtId="9" fontId="312" fillId="124" borderId="85" xfId="0" applyNumberFormat="1" applyFont="1" applyFill="1" applyBorder="1" applyAlignment="1">
      <alignment horizontal="right" indent="1"/>
    </xf>
    <xf numFmtId="9" fontId="312" fillId="123" borderId="85" xfId="0" applyNumberFormat="1" applyFont="1" applyFill="1" applyBorder="1" applyAlignment="1">
      <alignment horizontal="right" indent="1"/>
    </xf>
    <xf numFmtId="9" fontId="312" fillId="117" borderId="124" xfId="0" applyNumberFormat="1" applyFont="1" applyFill="1" applyBorder="1" applyAlignment="1">
      <alignment horizontal="center"/>
    </xf>
    <xf numFmtId="9" fontId="312" fillId="117" borderId="129" xfId="0" applyNumberFormat="1" applyFont="1" applyFill="1" applyBorder="1" applyAlignment="1">
      <alignment horizontal="center"/>
    </xf>
    <xf numFmtId="0" fontId="312" fillId="0" borderId="126" xfId="0" applyFont="1" applyBorder="1" applyAlignment="1">
      <alignment horizontal="left" indent="1" readingOrder="1"/>
    </xf>
    <xf numFmtId="9" fontId="312" fillId="0" borderId="107" xfId="0" applyNumberFormat="1" applyFont="1" applyBorder="1" applyAlignment="1">
      <alignment horizontal="right" indent="1"/>
    </xf>
    <xf numFmtId="9" fontId="312" fillId="0" borderId="0" xfId="0" applyNumberFormat="1" applyFont="1" applyAlignment="1">
      <alignment horizontal="right" indent="1"/>
    </xf>
    <xf numFmtId="9" fontId="312" fillId="0" borderId="127" xfId="0" applyNumberFormat="1" applyFont="1" applyBorder="1" applyAlignment="1">
      <alignment horizontal="center"/>
    </xf>
    <xf numFmtId="9" fontId="312" fillId="0" borderId="130" xfId="0" applyNumberFormat="1" applyFont="1" applyBorder="1" applyAlignment="1">
      <alignment horizontal="center"/>
    </xf>
    <xf numFmtId="0" fontId="352" fillId="0" borderId="119" xfId="0" applyFont="1" applyBorder="1" applyAlignment="1">
      <alignment horizontal="left" indent="1" readingOrder="1"/>
    </xf>
    <xf numFmtId="9" fontId="312" fillId="0" borderId="131" xfId="0" applyNumberFormat="1" applyFont="1" applyBorder="1" applyAlignment="1">
      <alignment horizontal="right" indent="1"/>
    </xf>
    <xf numFmtId="9" fontId="312" fillId="0" borderId="104" xfId="0" applyNumberFormat="1" applyFont="1" applyBorder="1" applyAlignment="1">
      <alignment horizontal="right" indent="1"/>
    </xf>
    <xf numFmtId="9" fontId="312" fillId="123" borderId="104" xfId="0" applyNumberFormat="1" applyFont="1" applyFill="1" applyBorder="1" applyAlignment="1">
      <alignment horizontal="right" indent="1"/>
    </xf>
    <xf numFmtId="9" fontId="352" fillId="117" borderId="121" xfId="0" applyNumberFormat="1" applyFont="1" applyFill="1" applyBorder="1" applyAlignment="1">
      <alignment horizontal="center"/>
    </xf>
    <xf numFmtId="9" fontId="352" fillId="117" borderId="41" xfId="0" applyNumberFormat="1" applyFont="1" applyFill="1" applyBorder="1" applyAlignment="1">
      <alignment horizontal="center"/>
    </xf>
    <xf numFmtId="0" fontId="368" fillId="106" borderId="0" xfId="0" applyFont="1" applyFill="1" applyAlignment="1">
      <alignment horizontal="right" indent="1"/>
    </xf>
    <xf numFmtId="0" fontId="0" fillId="0" borderId="0" xfId="0" applyAlignment="1">
      <alignment horizontal="right" indent="1"/>
    </xf>
    <xf numFmtId="9" fontId="312" fillId="0" borderId="62" xfId="0" applyNumberFormat="1" applyFont="1" applyBorder="1" applyAlignment="1">
      <alignment horizontal="center"/>
    </xf>
    <xf numFmtId="9" fontId="312" fillId="0" borderId="132" xfId="0" applyNumberFormat="1" applyFont="1" applyBorder="1" applyAlignment="1">
      <alignment horizontal="center"/>
    </xf>
    <xf numFmtId="0" fontId="352" fillId="0" borderId="133" xfId="0" applyFont="1" applyBorder="1" applyAlignment="1">
      <alignment horizontal="left" indent="1" readingOrder="1"/>
    </xf>
    <xf numFmtId="9" fontId="352" fillId="0" borderId="134" xfId="0" applyNumberFormat="1" applyFont="1" applyBorder="1" applyAlignment="1">
      <alignment horizontal="right" indent="1"/>
    </xf>
    <xf numFmtId="9" fontId="352" fillId="0" borderId="76" xfId="0" applyNumberFormat="1" applyFont="1" applyBorder="1" applyAlignment="1">
      <alignment horizontal="right" indent="1"/>
    </xf>
    <xf numFmtId="9" fontId="352" fillId="123" borderId="76" xfId="0" applyNumberFormat="1" applyFont="1" applyFill="1" applyBorder="1" applyAlignment="1">
      <alignment horizontal="right" indent="1"/>
    </xf>
    <xf numFmtId="9" fontId="352" fillId="117" borderId="135" xfId="0" applyNumberFormat="1" applyFont="1" applyFill="1" applyBorder="1" applyAlignment="1">
      <alignment horizontal="center"/>
    </xf>
    <xf numFmtId="0" fontId="312" fillId="124" borderId="136" xfId="0" applyFont="1" applyFill="1" applyBorder="1" applyAlignment="1">
      <alignment horizontal="left" indent="1" readingOrder="1"/>
    </xf>
    <xf numFmtId="9" fontId="312" fillId="124" borderId="137" xfId="0" applyNumberFormat="1" applyFont="1" applyFill="1" applyBorder="1" applyAlignment="1">
      <alignment horizontal="right" indent="1"/>
    </xf>
    <xf numFmtId="9" fontId="312" fillId="124" borderId="138" xfId="0" applyNumberFormat="1" applyFont="1" applyFill="1" applyBorder="1" applyAlignment="1">
      <alignment horizontal="right" indent="1"/>
    </xf>
    <xf numFmtId="9" fontId="312" fillId="123" borderId="138" xfId="0" applyNumberFormat="1" applyFont="1" applyFill="1" applyBorder="1" applyAlignment="1">
      <alignment horizontal="right" indent="1"/>
    </xf>
    <xf numFmtId="9" fontId="312" fillId="117" borderId="139" xfId="0" applyNumberFormat="1" applyFont="1" applyFill="1" applyBorder="1" applyAlignment="1">
      <alignment horizontal="center"/>
    </xf>
    <xf numFmtId="9" fontId="312" fillId="117" borderId="140" xfId="0" applyNumberFormat="1" applyFont="1" applyFill="1" applyBorder="1" applyAlignment="1">
      <alignment horizontal="center"/>
    </xf>
    <xf numFmtId="37" fontId="312" fillId="0" borderId="96" xfId="0" applyNumberFormat="1" applyFont="1" applyBorder="1" applyAlignment="1" applyProtection="1">
      <alignment horizontal="right" indent="1"/>
      <protection locked="0"/>
    </xf>
    <xf numFmtId="37" fontId="312" fillId="0" borderId="82" xfId="0" applyNumberFormat="1" applyFont="1" applyBorder="1" applyAlignment="1" applyProtection="1">
      <alignment horizontal="right" indent="1"/>
      <protection locked="0"/>
    </xf>
    <xf numFmtId="37" fontId="312" fillId="0" borderId="62" xfId="0" applyNumberFormat="1" applyFont="1" applyBorder="1" applyAlignment="1">
      <alignment horizontal="center"/>
    </xf>
    <xf numFmtId="37" fontId="312" fillId="0" borderId="118" xfId="0" applyNumberFormat="1" applyFont="1" applyBorder="1" applyAlignment="1">
      <alignment horizontal="center"/>
    </xf>
    <xf numFmtId="37" fontId="312" fillId="0" borderId="107" xfId="0" applyNumberFormat="1" applyFont="1" applyBorder="1" applyAlignment="1" applyProtection="1">
      <alignment horizontal="right" indent="1"/>
      <protection locked="0"/>
    </xf>
    <xf numFmtId="37" fontId="312" fillId="0" borderId="0" xfId="0" applyNumberFormat="1" applyFont="1" applyAlignment="1" applyProtection="1">
      <alignment horizontal="right" indent="1"/>
      <protection locked="0"/>
    </xf>
    <xf numFmtId="37" fontId="352" fillId="0" borderId="97" xfId="0" applyNumberFormat="1" applyFont="1" applyBorder="1" applyAlignment="1" applyProtection="1">
      <alignment horizontal="right" indent="1"/>
      <protection locked="0"/>
    </xf>
    <xf numFmtId="37" fontId="352" fillId="0" borderId="85" xfId="0" applyNumberFormat="1" applyFont="1" applyBorder="1" applyAlignment="1" applyProtection="1">
      <alignment horizontal="right" indent="1"/>
      <protection locked="0"/>
    </xf>
    <xf numFmtId="37" fontId="352" fillId="123" borderId="85" xfId="0" applyNumberFormat="1" applyFont="1" applyFill="1" applyBorder="1" applyAlignment="1" applyProtection="1">
      <alignment horizontal="right" indent="1"/>
      <protection locked="0"/>
    </xf>
    <xf numFmtId="37" fontId="352" fillId="117" borderId="124" xfId="0" applyNumberFormat="1" applyFont="1" applyFill="1" applyBorder="1" applyAlignment="1">
      <alignment horizontal="center"/>
    </xf>
    <xf numFmtId="37" fontId="352" fillId="117" borderId="125" xfId="0" applyNumberFormat="1" applyFont="1" applyFill="1" applyBorder="1" applyAlignment="1">
      <alignment horizontal="center"/>
    </xf>
    <xf numFmtId="37" fontId="312" fillId="123" borderId="82" xfId="0" applyNumberFormat="1" applyFont="1" applyFill="1" applyBorder="1" applyAlignment="1" applyProtection="1">
      <alignment horizontal="right" indent="1"/>
      <protection locked="0"/>
    </xf>
    <xf numFmtId="37" fontId="312" fillId="117" borderId="127" xfId="0" applyNumberFormat="1" applyFont="1" applyFill="1" applyBorder="1" applyAlignment="1">
      <alignment horizontal="center"/>
    </xf>
    <xf numFmtId="37" fontId="312" fillId="117" borderId="128" xfId="0" applyNumberFormat="1" applyFont="1" applyFill="1" applyBorder="1" applyAlignment="1">
      <alignment horizontal="center"/>
    </xf>
    <xf numFmtId="43" fontId="368" fillId="106" borderId="0" xfId="6630" applyFont="1" applyFill="1" applyBorder="1" applyAlignment="1">
      <alignment horizontal="right" indent="1"/>
    </xf>
    <xf numFmtId="43" fontId="368" fillId="106" borderId="0" xfId="6630" applyFont="1" applyFill="1" applyAlignment="1">
      <alignment horizontal="right" indent="1"/>
    </xf>
    <xf numFmtId="9" fontId="352" fillId="117" borderId="141" xfId="0" applyNumberFormat="1" applyFont="1" applyFill="1" applyBorder="1" applyAlignment="1">
      <alignment horizontal="center"/>
    </xf>
    <xf numFmtId="0" fontId="228" fillId="0" borderId="0" xfId="6629" applyNumberFormat="1" applyFont="1"/>
    <xf numFmtId="277" fontId="228" fillId="0" borderId="0" xfId="6629" applyFont="1"/>
    <xf numFmtId="0" fontId="345" fillId="0" borderId="0" xfId="0" applyFont="1" applyAlignment="1">
      <alignment horizontal="center" readingOrder="1"/>
    </xf>
    <xf numFmtId="0" fontId="345" fillId="0" borderId="0" xfId="0" applyFont="1" applyAlignment="1">
      <alignment horizontal="right" indent="1"/>
    </xf>
    <xf numFmtId="0" fontId="345" fillId="0" borderId="0" xfId="0" applyFont="1" applyAlignment="1">
      <alignment horizontal="center"/>
    </xf>
    <xf numFmtId="0" fontId="312" fillId="0" borderId="142" xfId="0" applyFont="1" applyBorder="1" applyAlignment="1">
      <alignment horizontal="left" indent="1" readingOrder="1"/>
    </xf>
    <xf numFmtId="9" fontId="312" fillId="0" borderId="143" xfId="0" applyNumberFormat="1" applyFont="1" applyBorder="1" applyAlignment="1">
      <alignment horizontal="right" indent="1"/>
    </xf>
    <xf numFmtId="9" fontId="312" fillId="0" borderId="100" xfId="0" applyNumberFormat="1" applyFont="1" applyBorder="1" applyAlignment="1">
      <alignment horizontal="right" indent="1"/>
    </xf>
    <xf numFmtId="9" fontId="312" fillId="0" borderId="144" xfId="0" applyNumberFormat="1" applyFont="1" applyBorder="1" applyAlignment="1">
      <alignment horizontal="center"/>
    </xf>
    <xf numFmtId="9" fontId="312" fillId="0" borderId="145" xfId="0" applyNumberFormat="1" applyFont="1" applyBorder="1" applyAlignment="1">
      <alignment horizontal="center"/>
    </xf>
    <xf numFmtId="37" fontId="312" fillId="0" borderId="107" xfId="0" applyNumberFormat="1" applyFont="1" applyBorder="1" applyAlignment="1" applyProtection="1">
      <alignment horizontal="center"/>
      <protection locked="0"/>
    </xf>
    <xf numFmtId="37" fontId="312" fillId="0" borderId="0" xfId="0" applyNumberFormat="1" applyFont="1" applyAlignment="1" applyProtection="1">
      <alignment horizontal="center"/>
      <protection locked="0"/>
    </xf>
    <xf numFmtId="37" fontId="312" fillId="0" borderId="128" xfId="0" applyNumberFormat="1" applyFont="1" applyBorder="1" applyAlignment="1">
      <alignment horizontal="center"/>
    </xf>
    <xf numFmtId="37" fontId="359" fillId="0" borderId="97" xfId="0" applyNumberFormat="1" applyFont="1" applyBorder="1" applyAlignment="1" applyProtection="1">
      <alignment horizontal="center"/>
      <protection locked="0"/>
    </xf>
    <xf numFmtId="37" fontId="359" fillId="0" borderId="85" xfId="0" applyNumberFormat="1" applyFont="1" applyBorder="1" applyAlignment="1" applyProtection="1">
      <alignment horizontal="center"/>
      <protection locked="0"/>
    </xf>
    <xf numFmtId="37" fontId="352" fillId="123" borderId="85" xfId="0" applyNumberFormat="1" applyFont="1" applyFill="1" applyBorder="1" applyAlignment="1" applyProtection="1">
      <alignment horizontal="center"/>
      <protection locked="0"/>
    </xf>
    <xf numFmtId="37" fontId="312" fillId="123" borderId="82" xfId="0" applyNumberFormat="1" applyFont="1" applyFill="1" applyBorder="1" applyAlignment="1" applyProtection="1">
      <alignment horizontal="center"/>
      <protection locked="0"/>
    </xf>
    <xf numFmtId="0" fontId="312" fillId="123" borderId="85" xfId="0" applyFont="1" applyFill="1" applyBorder="1" applyAlignment="1">
      <alignment horizontal="center"/>
    </xf>
    <xf numFmtId="0" fontId="312" fillId="117" borderId="124" xfId="0" applyFont="1" applyFill="1" applyBorder="1" applyAlignment="1">
      <alignment horizontal="center"/>
    </xf>
    <xf numFmtId="0" fontId="312" fillId="117" borderId="125" xfId="0" applyFont="1" applyFill="1" applyBorder="1" applyAlignment="1">
      <alignment horizontal="center"/>
    </xf>
    <xf numFmtId="0" fontId="345" fillId="0" borderId="107" xfId="0" applyFont="1" applyBorder="1" applyAlignment="1">
      <alignment horizontal="center"/>
    </xf>
    <xf numFmtId="0" fontId="312" fillId="0" borderId="0" xfId="0" applyFont="1" applyAlignment="1">
      <alignment horizontal="center"/>
    </xf>
    <xf numFmtId="0" fontId="312" fillId="0" borderId="127" xfId="0" applyFont="1" applyBorder="1" applyAlignment="1">
      <alignment horizontal="center"/>
    </xf>
    <xf numFmtId="0" fontId="312" fillId="0" borderId="128" xfId="0" applyFont="1" applyBorder="1" applyAlignment="1">
      <alignment horizontal="center"/>
    </xf>
    <xf numFmtId="0" fontId="312" fillId="0" borderId="131" xfId="0" applyFont="1" applyBorder="1" applyAlignment="1">
      <alignment horizontal="center"/>
    </xf>
    <xf numFmtId="0" fontId="312" fillId="0" borderId="104" xfId="0" applyFont="1" applyBorder="1" applyAlignment="1">
      <alignment horizontal="center"/>
    </xf>
    <xf numFmtId="0" fontId="312" fillId="123" borderId="104" xfId="0" applyFont="1" applyFill="1" applyBorder="1" applyAlignment="1">
      <alignment horizontal="center"/>
    </xf>
    <xf numFmtId="0" fontId="352" fillId="117" borderId="121" xfId="0" applyFont="1" applyFill="1" applyBorder="1" applyAlignment="1">
      <alignment horizontal="center"/>
    </xf>
    <xf numFmtId="0" fontId="352" fillId="117" borderId="122" xfId="0" applyFont="1" applyFill="1" applyBorder="1" applyAlignment="1">
      <alignment horizontal="center"/>
    </xf>
    <xf numFmtId="0" fontId="228" fillId="0" borderId="146" xfId="0" applyFont="1" applyBorder="1" applyAlignment="1">
      <alignment horizontal="left" indent="1"/>
    </xf>
    <xf numFmtId="0" fontId="228" fillId="0" borderId="0" xfId="0" applyFont="1" applyAlignment="1">
      <alignment horizontal="right" indent="1"/>
    </xf>
    <xf numFmtId="0" fontId="228" fillId="123" borderId="0" xfId="0" applyFont="1" applyFill="1" applyAlignment="1">
      <alignment horizontal="right" indent="1"/>
    </xf>
    <xf numFmtId="0" fontId="228" fillId="104" borderId="62" xfId="0" applyFont="1" applyFill="1" applyBorder="1" applyAlignment="1">
      <alignment horizontal="center"/>
    </xf>
    <xf numFmtId="0" fontId="228" fillId="117" borderId="132" xfId="0" applyFont="1" applyFill="1" applyBorder="1" applyAlignment="1">
      <alignment horizontal="center"/>
    </xf>
    <xf numFmtId="0" fontId="228" fillId="0" borderId="147" xfId="0" applyFont="1" applyBorder="1" applyAlignment="1">
      <alignment horizontal="left" indent="1"/>
    </xf>
    <xf numFmtId="37" fontId="228" fillId="104" borderId="121" xfId="0" applyNumberFormat="1" applyFont="1" applyFill="1" applyBorder="1" applyAlignment="1">
      <alignment horizontal="center"/>
    </xf>
    <xf numFmtId="37" fontId="228" fillId="117" borderId="41" xfId="0" applyNumberFormat="1" applyFont="1" applyFill="1" applyBorder="1" applyAlignment="1" applyProtection="1">
      <alignment horizontal="center"/>
      <protection locked="0"/>
    </xf>
    <xf numFmtId="277" fontId="228" fillId="0" borderId="0" xfId="6629" applyFont="1" applyAlignment="1">
      <alignment horizontal="center"/>
    </xf>
    <xf numFmtId="38" fontId="345" fillId="0" borderId="50" xfId="6257" applyNumberFormat="1" applyFont="1" applyBorder="1" applyAlignment="1">
      <alignment horizontal="center"/>
    </xf>
    <xf numFmtId="38" fontId="345" fillId="123" borderId="50" xfId="6257" applyNumberFormat="1" applyFont="1" applyFill="1" applyBorder="1" applyAlignment="1">
      <alignment horizontal="center"/>
    </xf>
    <xf numFmtId="38" fontId="345" fillId="117" borderId="148" xfId="6257" applyNumberFormat="1" applyFont="1" applyFill="1" applyBorder="1" applyAlignment="1">
      <alignment horizontal="center"/>
    </xf>
    <xf numFmtId="38" fontId="345" fillId="117" borderId="149" xfId="6257" applyNumberFormat="1" applyFont="1" applyFill="1" applyBorder="1" applyAlignment="1">
      <alignment horizontal="center"/>
    </xf>
    <xf numFmtId="41" fontId="228" fillId="0" borderId="0" xfId="6628" applyFont="1" applyAlignment="1">
      <alignment horizontal="center"/>
    </xf>
    <xf numFmtId="0" fontId="369" fillId="0" borderId="0" xfId="0" applyFont="1" applyAlignment="1">
      <alignment horizontal="center" vertical="center"/>
    </xf>
    <xf numFmtId="213" fontId="369" fillId="0" borderId="0" xfId="1" applyNumberFormat="1" applyFont="1" applyFill="1" applyBorder="1" applyAlignment="1">
      <alignment horizontal="center" vertical="center"/>
    </xf>
    <xf numFmtId="0" fontId="0" fillId="0" borderId="0" xfId="6627" applyNumberFormat="1" applyFont="1" applyAlignment="1">
      <alignment horizontal="center"/>
    </xf>
    <xf numFmtId="0" fontId="330" fillId="0" borderId="9" xfId="0" applyFont="1" applyBorder="1" applyAlignment="1">
      <alignment vertical="center"/>
    </xf>
    <xf numFmtId="17" fontId="228" fillId="0" borderId="0" xfId="0" applyNumberFormat="1" applyFont="1"/>
    <xf numFmtId="0" fontId="350" fillId="122" borderId="152" xfId="0" applyFont="1" applyFill="1" applyBorder="1" applyAlignment="1">
      <alignment horizontal="center" vertical="center" readingOrder="1"/>
    </xf>
    <xf numFmtId="0" fontId="350" fillId="122" borderId="153" xfId="0" applyFont="1" applyFill="1" applyBorder="1" applyAlignment="1">
      <alignment horizontal="center" vertical="center" readingOrder="1"/>
    </xf>
    <xf numFmtId="0" fontId="350" fillId="26" borderId="53" xfId="0" applyFont="1" applyFill="1" applyBorder="1" applyAlignment="1">
      <alignment horizontal="center" vertical="center" readingOrder="1"/>
    </xf>
    <xf numFmtId="37" fontId="228" fillId="0" borderId="0" xfId="0" applyNumberFormat="1" applyFont="1" applyAlignment="1" applyProtection="1">
      <alignment horizontal="right" indent="1"/>
      <protection locked="0"/>
    </xf>
    <xf numFmtId="37" fontId="228" fillId="123" borderId="0" xfId="0" applyNumberFormat="1" applyFont="1" applyFill="1" applyAlignment="1" applyProtection="1">
      <alignment horizontal="right" indent="1"/>
      <protection locked="0"/>
    </xf>
    <xf numFmtId="37" fontId="228" fillId="117" borderId="118" xfId="0" applyNumberFormat="1" applyFont="1" applyFill="1" applyBorder="1" applyAlignment="1">
      <alignment horizontal="right" indent="1"/>
    </xf>
    <xf numFmtId="0" fontId="311" fillId="0" borderId="154" xfId="0" applyFont="1" applyBorder="1"/>
    <xf numFmtId="37" fontId="311" fillId="117" borderId="155" xfId="0" applyNumberFormat="1" applyFont="1" applyFill="1" applyBorder="1" applyAlignment="1">
      <alignment horizontal="right" indent="1"/>
    </xf>
    <xf numFmtId="0" fontId="311" fillId="0" borderId="156" xfId="0" applyFont="1" applyBorder="1"/>
    <xf numFmtId="37" fontId="311" fillId="0" borderId="49" xfId="0" applyNumberFormat="1" applyFont="1" applyBorder="1" applyAlignment="1">
      <alignment horizontal="right" indent="1"/>
    </xf>
    <xf numFmtId="37" fontId="311" fillId="123" borderId="49" xfId="0" applyNumberFormat="1" applyFont="1" applyFill="1" applyBorder="1" applyAlignment="1">
      <alignment horizontal="right" indent="1"/>
    </xf>
    <xf numFmtId="37" fontId="311" fillId="117" borderId="157" xfId="0" applyNumberFormat="1" applyFont="1" applyFill="1" applyBorder="1" applyAlignment="1">
      <alignment horizontal="right" indent="1"/>
    </xf>
    <xf numFmtId="37" fontId="228" fillId="0" borderId="0" xfId="0" applyNumberFormat="1" applyFont="1" applyAlignment="1">
      <alignment horizontal="right" indent="1"/>
    </xf>
    <xf numFmtId="37" fontId="228" fillId="123" borderId="0" xfId="0" applyNumberFormat="1" applyFont="1" applyFill="1" applyAlignment="1">
      <alignment horizontal="right" indent="1"/>
    </xf>
    <xf numFmtId="0" fontId="311" fillId="0" borderId="158" xfId="0" applyFont="1" applyBorder="1"/>
    <xf numFmtId="37" fontId="311" fillId="0" borderId="138" xfId="0" applyNumberFormat="1" applyFont="1" applyBorder="1" applyAlignment="1">
      <alignment horizontal="right" indent="1"/>
    </xf>
    <xf numFmtId="37" fontId="311" fillId="123" borderId="138" xfId="0" applyNumberFormat="1" applyFont="1" applyFill="1" applyBorder="1" applyAlignment="1">
      <alignment horizontal="right" indent="1"/>
    </xf>
    <xf numFmtId="37" fontId="311" fillId="117" borderId="159" xfId="0" applyNumberFormat="1" applyFont="1" applyFill="1" applyBorder="1" applyAlignment="1">
      <alignment horizontal="right" indent="1"/>
    </xf>
    <xf numFmtId="43" fontId="228" fillId="0" borderId="0" xfId="6631" applyFont="1" applyBorder="1"/>
    <xf numFmtId="277" fontId="228" fillId="0" borderId="0" xfId="6629" applyFont="1" applyBorder="1"/>
    <xf numFmtId="0" fontId="371" fillId="26" borderId="160" xfId="0" applyFont="1" applyFill="1" applyBorder="1" applyAlignment="1">
      <alignment horizontal="center" vertical="center" readingOrder="1"/>
    </xf>
    <xf numFmtId="0" fontId="350" fillId="26" borderId="161" xfId="0" applyFont="1" applyFill="1" applyBorder="1" applyAlignment="1">
      <alignment horizontal="center" vertical="center" readingOrder="1"/>
    </xf>
    <xf numFmtId="0" fontId="312" fillId="0" borderId="146" xfId="0" applyFont="1" applyBorder="1" applyAlignment="1">
      <alignment horizontal="left" indent="1" readingOrder="1"/>
    </xf>
    <xf numFmtId="37" fontId="312" fillId="0" borderId="0" xfId="0" applyNumberFormat="1" applyFont="1" applyAlignment="1">
      <alignment horizontal="right" indent="1" readingOrder="1"/>
    </xf>
    <xf numFmtId="37" fontId="312" fillId="123" borderId="0" xfId="0" applyNumberFormat="1" applyFont="1" applyFill="1" applyAlignment="1">
      <alignment horizontal="right" indent="1" readingOrder="1"/>
    </xf>
    <xf numFmtId="37" fontId="312" fillId="117" borderId="118" xfId="0" applyNumberFormat="1" applyFont="1" applyFill="1" applyBorder="1" applyAlignment="1">
      <alignment horizontal="right" indent="1" readingOrder="1"/>
    </xf>
    <xf numFmtId="41" fontId="228" fillId="0" borderId="0" xfId="6628" applyFont="1"/>
    <xf numFmtId="0" fontId="352" fillId="0" borderId="154" xfId="0" applyFont="1" applyBorder="1" applyAlignment="1">
      <alignment horizontal="left" readingOrder="1"/>
    </xf>
    <xf numFmtId="37" fontId="352" fillId="117" borderId="155" xfId="0" applyNumberFormat="1" applyFont="1" applyFill="1" applyBorder="1" applyAlignment="1">
      <alignment horizontal="right" indent="1" readingOrder="1"/>
    </xf>
    <xf numFmtId="37" fontId="345" fillId="0" borderId="0" xfId="0" applyNumberFormat="1" applyFont="1" applyAlignment="1" applyProtection="1">
      <alignment horizontal="right" indent="1" readingOrder="1"/>
      <protection locked="0"/>
    </xf>
    <xf numFmtId="37" fontId="312" fillId="123" borderId="0" xfId="0" applyNumberFormat="1" applyFont="1" applyFill="1" applyAlignment="1" applyProtection="1">
      <alignment horizontal="right" indent="1" readingOrder="1"/>
      <protection locked="0"/>
    </xf>
    <xf numFmtId="0" fontId="352" fillId="0" borderId="156" xfId="0" applyFont="1" applyBorder="1" applyAlignment="1">
      <alignment horizontal="left" readingOrder="1"/>
    </xf>
    <xf numFmtId="37" fontId="352" fillId="0" borderId="49" xfId="0" applyNumberFormat="1" applyFont="1" applyBorder="1" applyAlignment="1">
      <alignment horizontal="right" indent="1" readingOrder="1"/>
    </xf>
    <xf numFmtId="37" fontId="352" fillId="123" borderId="49" xfId="0" applyNumberFormat="1" applyFont="1" applyFill="1" applyBorder="1" applyAlignment="1">
      <alignment horizontal="right" indent="1" readingOrder="1"/>
    </xf>
    <xf numFmtId="37" fontId="352" fillId="117" borderId="157" xfId="0" applyNumberFormat="1" applyFont="1" applyFill="1" applyBorder="1" applyAlignment="1">
      <alignment horizontal="right" indent="1" readingOrder="1"/>
    </xf>
    <xf numFmtId="37" fontId="345" fillId="0" borderId="0" xfId="0" applyNumberFormat="1" applyFont="1" applyAlignment="1">
      <alignment horizontal="right" indent="1" readingOrder="1"/>
    </xf>
    <xf numFmtId="0" fontId="312" fillId="0" borderId="146" xfId="0" applyFont="1" applyBorder="1" applyAlignment="1">
      <alignment horizontal="left" indent="2" readingOrder="1"/>
    </xf>
    <xf numFmtId="41" fontId="312" fillId="123" borderId="0" xfId="6628" applyFont="1" applyFill="1" applyBorder="1" applyAlignment="1" applyProtection="1">
      <alignment horizontal="right" indent="1" readingOrder="1"/>
      <protection locked="0"/>
    </xf>
    <xf numFmtId="0" fontId="312" fillId="0" borderId="162" xfId="0" applyFont="1" applyBorder="1" applyAlignment="1">
      <alignment horizontal="left" indent="1" readingOrder="1"/>
    </xf>
    <xf numFmtId="37" fontId="312" fillId="0" borderId="76" xfId="0" applyNumberFormat="1" applyFont="1" applyBorder="1" applyAlignment="1" applyProtection="1">
      <alignment horizontal="right" indent="1" readingOrder="1"/>
      <protection locked="0"/>
    </xf>
    <xf numFmtId="37" fontId="312" fillId="123" borderId="76" xfId="0" applyNumberFormat="1" applyFont="1" applyFill="1" applyBorder="1" applyAlignment="1" applyProtection="1">
      <alignment horizontal="right" indent="1" readingOrder="1"/>
      <protection locked="0"/>
    </xf>
    <xf numFmtId="37" fontId="312" fillId="117" borderId="163" xfId="0" applyNumberFormat="1" applyFont="1" applyFill="1" applyBorder="1" applyAlignment="1">
      <alignment horizontal="right" indent="1" readingOrder="1"/>
    </xf>
    <xf numFmtId="0" fontId="312" fillId="0" borderId="147" xfId="0" applyFont="1" applyBorder="1" applyAlignment="1">
      <alignment horizontal="left" indent="1" readingOrder="1"/>
    </xf>
    <xf numFmtId="37" fontId="312" fillId="117" borderId="122" xfId="0" applyNumberFormat="1" applyFont="1" applyFill="1" applyBorder="1" applyAlignment="1">
      <alignment horizontal="right" indent="1" readingOrder="1"/>
    </xf>
    <xf numFmtId="0" fontId="357" fillId="0" borderId="0" xfId="6629" applyNumberFormat="1" applyFont="1" applyFill="1"/>
    <xf numFmtId="226" fontId="228" fillId="0" borderId="0" xfId="6630" applyNumberFormat="1" applyFont="1" applyBorder="1"/>
    <xf numFmtId="0" fontId="228" fillId="0" borderId="0" xfId="6630" applyNumberFormat="1" applyFont="1" applyFill="1" applyBorder="1"/>
    <xf numFmtId="0" fontId="228" fillId="0" borderId="0" xfId="6627" applyNumberFormat="1" applyFont="1"/>
    <xf numFmtId="38" fontId="228" fillId="107" borderId="0" xfId="0" applyNumberFormat="1" applyFont="1" applyFill="1"/>
    <xf numFmtId="9" fontId="228" fillId="107" borderId="0" xfId="1" applyFont="1" applyFill="1" applyAlignment="1">
      <alignment horizontal="center"/>
    </xf>
    <xf numFmtId="0" fontId="228" fillId="127" borderId="0" xfId="0" applyFont="1" applyFill="1" applyAlignment="1">
      <alignment horizontal="center"/>
    </xf>
    <xf numFmtId="9" fontId="228" fillId="0" borderId="0" xfId="1" applyFont="1" applyAlignment="1">
      <alignment horizontal="center"/>
    </xf>
    <xf numFmtId="0" fontId="228" fillId="0" borderId="0" xfId="0" quotePrefix="1" applyFont="1" applyAlignment="1">
      <alignment wrapText="1"/>
    </xf>
    <xf numFmtId="38" fontId="0" fillId="0" borderId="0" xfId="0" applyNumberFormat="1"/>
    <xf numFmtId="247" fontId="228" fillId="107" borderId="0" xfId="0" applyNumberFormat="1" applyFont="1" applyFill="1"/>
    <xf numFmtId="37" fontId="228" fillId="107" borderId="0" xfId="0" applyNumberFormat="1" applyFont="1" applyFill="1"/>
    <xf numFmtId="0" fontId="228" fillId="107" borderId="0" xfId="0" applyFont="1" applyFill="1"/>
    <xf numFmtId="359" fontId="31" fillId="103" borderId="0" xfId="5419" applyNumberFormat="1" applyFont="1" applyFill="1" applyAlignment="1">
      <alignment horizontal="centerContinuous"/>
    </xf>
    <xf numFmtId="0" fontId="373" fillId="0" borderId="0" xfId="0" applyFont="1"/>
    <xf numFmtId="0" fontId="147" fillId="0" borderId="0" xfId="0" applyFont="1" applyAlignment="1">
      <alignment horizontal="right"/>
    </xf>
    <xf numFmtId="0" fontId="24" fillId="0" borderId="0" xfId="0" applyFont="1" applyAlignment="1">
      <alignment horizontal="right"/>
    </xf>
    <xf numFmtId="43" fontId="147" fillId="0" borderId="0" xfId="6485" applyFont="1" applyAlignment="1">
      <alignment horizontal="right"/>
    </xf>
    <xf numFmtId="0" fontId="279" fillId="0" borderId="0" xfId="0" applyFont="1" applyAlignment="1">
      <alignment horizontal="left"/>
    </xf>
    <xf numFmtId="49" fontId="249" fillId="0" borderId="0" xfId="0" applyNumberFormat="1" applyFont="1" applyAlignment="1">
      <alignment horizontal="left"/>
    </xf>
    <xf numFmtId="226" fontId="147" fillId="0" borderId="0" xfId="6485" applyNumberFormat="1" applyFont="1"/>
    <xf numFmtId="0" fontId="374" fillId="0" borderId="0" xfId="0" applyFont="1"/>
    <xf numFmtId="0" fontId="262" fillId="0" borderId="0" xfId="0" applyFont="1" applyAlignment="1">
      <alignment horizontal="center"/>
    </xf>
    <xf numFmtId="0" fontId="249" fillId="124" borderId="17" xfId="0" applyFont="1" applyFill="1" applyBorder="1"/>
    <xf numFmtId="0" fontId="249" fillId="124" borderId="0" xfId="0" applyFont="1" applyFill="1"/>
    <xf numFmtId="0" fontId="147" fillId="0" borderId="0" xfId="0" applyFont="1" applyAlignment="1">
      <alignment wrapText="1"/>
    </xf>
    <xf numFmtId="0" fontId="249" fillId="124" borderId="165" xfId="0" applyFont="1" applyFill="1" applyBorder="1"/>
    <xf numFmtId="0" fontId="249" fillId="124" borderId="88" xfId="0" applyFont="1" applyFill="1" applyBorder="1"/>
    <xf numFmtId="0" fontId="375" fillId="0" borderId="0" xfId="0" applyFont="1"/>
    <xf numFmtId="0" fontId="262" fillId="133" borderId="0" xfId="0" applyFont="1" applyFill="1"/>
    <xf numFmtId="1" fontId="262" fillId="133" borderId="0" xfId="0" applyNumberFormat="1" applyFont="1" applyFill="1"/>
    <xf numFmtId="0" fontId="376" fillId="0" borderId="0" xfId="0" applyFont="1"/>
    <xf numFmtId="0" fontId="262" fillId="102" borderId="164" xfId="0" applyFont="1" applyFill="1" applyBorder="1" applyAlignment="1">
      <alignment horizontal="center" vertical="center" wrapText="1"/>
    </xf>
    <xf numFmtId="0" fontId="262" fillId="102" borderId="50" xfId="0" applyFont="1" applyFill="1" applyBorder="1" applyAlignment="1">
      <alignment horizontal="center" vertical="center" wrapText="1"/>
    </xf>
    <xf numFmtId="0" fontId="262" fillId="102" borderId="149" xfId="0" applyFont="1" applyFill="1" applyBorder="1" applyAlignment="1">
      <alignment horizontal="center" vertical="center" wrapText="1"/>
    </xf>
    <xf numFmtId="0" fontId="262" fillId="129" borderId="164" xfId="0" applyFont="1" applyFill="1" applyBorder="1" applyAlignment="1">
      <alignment horizontal="center" vertical="center" wrapText="1"/>
    </xf>
    <xf numFmtId="0" fontId="262" fillId="129" borderId="50" xfId="0" applyFont="1" applyFill="1" applyBorder="1" applyAlignment="1">
      <alignment horizontal="center" vertical="center" wrapText="1"/>
    </xf>
    <xf numFmtId="0" fontId="262" fillId="129" borderId="149" xfId="0" applyFont="1" applyFill="1" applyBorder="1" applyAlignment="1">
      <alignment horizontal="center" vertical="center" wrapText="1"/>
    </xf>
    <xf numFmtId="0" fontId="262" fillId="130" borderId="164" xfId="0" applyFont="1" applyFill="1" applyBorder="1" applyAlignment="1">
      <alignment horizontal="center" vertical="center" wrapText="1"/>
    </xf>
    <xf numFmtId="0" fontId="262" fillId="130" borderId="50" xfId="0" applyFont="1" applyFill="1" applyBorder="1" applyAlignment="1">
      <alignment horizontal="center" vertical="center" wrapText="1"/>
    </xf>
    <xf numFmtId="0" fontId="262" fillId="130" borderId="149" xfId="0" applyFont="1" applyFill="1" applyBorder="1" applyAlignment="1">
      <alignment horizontal="center" vertical="center" wrapText="1"/>
    </xf>
    <xf numFmtId="0" fontId="262" fillId="0" borderId="0" xfId="0" applyFont="1" applyAlignment="1">
      <alignment horizontal="center" vertical="center" wrapText="1"/>
    </xf>
    <xf numFmtId="0" fontId="279" fillId="131" borderId="164" xfId="0" applyFont="1" applyFill="1" applyBorder="1" applyAlignment="1">
      <alignment horizontal="center" vertical="center" wrapText="1"/>
    </xf>
    <xf numFmtId="0" fontId="279" fillId="131" borderId="50" xfId="0" applyFont="1" applyFill="1" applyBorder="1" applyAlignment="1">
      <alignment horizontal="center" vertical="center" wrapText="1"/>
    </xf>
    <xf numFmtId="0" fontId="279" fillId="131" borderId="149" xfId="0" applyFont="1" applyFill="1" applyBorder="1" applyAlignment="1">
      <alignment horizontal="center" vertical="center" wrapText="1"/>
    </xf>
    <xf numFmtId="0" fontId="49" fillId="132" borderId="164" xfId="0" applyFont="1" applyFill="1" applyBorder="1" applyAlignment="1">
      <alignment horizontal="center" vertical="center" wrapText="1"/>
    </xf>
    <xf numFmtId="0" fontId="49" fillId="132" borderId="50" xfId="0" applyFont="1" applyFill="1" applyBorder="1" applyAlignment="1">
      <alignment horizontal="center" vertical="center" wrapText="1"/>
    </xf>
    <xf numFmtId="0" fontId="49" fillId="132" borderId="149" xfId="0" applyFont="1" applyFill="1" applyBorder="1" applyAlignment="1">
      <alignment horizontal="center" vertical="center" wrapText="1"/>
    </xf>
    <xf numFmtId="0" fontId="279" fillId="132" borderId="164" xfId="0" applyFont="1" applyFill="1" applyBorder="1" applyAlignment="1">
      <alignment horizontal="center" vertical="center" wrapText="1"/>
    </xf>
    <xf numFmtId="0" fontId="279" fillId="132" borderId="50" xfId="0" applyFont="1" applyFill="1" applyBorder="1" applyAlignment="1">
      <alignment horizontal="center" vertical="center" wrapText="1"/>
    </xf>
    <xf numFmtId="0" fontId="279" fillId="132" borderId="149" xfId="0" applyFont="1" applyFill="1" applyBorder="1" applyAlignment="1">
      <alignment horizontal="center" vertical="center" wrapText="1"/>
    </xf>
    <xf numFmtId="0" fontId="49" fillId="134" borderId="50" xfId="0" applyFont="1" applyFill="1" applyBorder="1" applyAlignment="1">
      <alignment horizontal="center" vertical="center" wrapText="1"/>
    </xf>
    <xf numFmtId="0" fontId="262" fillId="131" borderId="149" xfId="0" applyFont="1" applyFill="1" applyBorder="1" applyAlignment="1">
      <alignment horizontal="center" vertical="center" wrapText="1"/>
    </xf>
    <xf numFmtId="0" fontId="147" fillId="0" borderId="0" xfId="0" applyFont="1" applyAlignment="1">
      <alignment vertical="center" wrapText="1"/>
    </xf>
    <xf numFmtId="0" fontId="262" fillId="135" borderId="50" xfId="0" applyFont="1" applyFill="1" applyBorder="1" applyAlignment="1">
      <alignment horizontal="center" vertical="center" wrapText="1"/>
    </xf>
    <xf numFmtId="313" fontId="262" fillId="129" borderId="50" xfId="0" applyNumberFormat="1" applyFont="1" applyFill="1" applyBorder="1" applyAlignment="1">
      <alignment horizontal="center" vertical="center" wrapText="1"/>
    </xf>
    <xf numFmtId="213" fontId="147" fillId="0" borderId="0" xfId="1" applyNumberFormat="1" applyFont="1" applyAlignment="1">
      <alignment vertical="center"/>
    </xf>
    <xf numFmtId="0" fontId="262" fillId="133" borderId="164" xfId="0" applyFont="1" applyFill="1" applyBorder="1" applyAlignment="1">
      <alignment horizontal="center" vertical="center" wrapText="1"/>
    </xf>
    <xf numFmtId="0" fontId="49" fillId="134" borderId="149" xfId="0" applyFont="1" applyFill="1" applyBorder="1" applyAlignment="1">
      <alignment horizontal="center" vertical="center" wrapText="1"/>
    </xf>
    <xf numFmtId="10" fontId="262" fillId="102" borderId="50" xfId="1" applyNumberFormat="1" applyFont="1" applyFill="1" applyBorder="1" applyAlignment="1">
      <alignment horizontal="center" vertical="center" wrapText="1"/>
    </xf>
    <xf numFmtId="10" fontId="262" fillId="135" borderId="50" xfId="1" applyNumberFormat="1" applyFont="1" applyFill="1" applyBorder="1" applyAlignment="1">
      <alignment horizontal="center" vertical="center" wrapText="1"/>
    </xf>
    <xf numFmtId="0" fontId="147" fillId="0" borderId="0" xfId="0" applyFont="1" applyAlignment="1">
      <alignment vertical="center"/>
    </xf>
    <xf numFmtId="0" fontId="262" fillId="0" borderId="0" xfId="0" applyFont="1" applyAlignment="1">
      <alignment horizontal="left"/>
    </xf>
    <xf numFmtId="43" fontId="147" fillId="0" borderId="0" xfId="6485" applyFont="1" applyFill="1"/>
    <xf numFmtId="49" fontId="373" fillId="0" borderId="0" xfId="0" applyNumberFormat="1" applyFont="1"/>
    <xf numFmtId="0" fontId="49" fillId="0" borderId="0" xfId="0" applyFont="1"/>
    <xf numFmtId="173" fontId="24" fillId="0" borderId="0" xfId="0" applyNumberFormat="1" applyFont="1"/>
    <xf numFmtId="226" fontId="147" fillId="0" borderId="0" xfId="6485" applyNumberFormat="1" applyFont="1" applyFill="1"/>
    <xf numFmtId="247" fontId="249" fillId="124" borderId="47" xfId="0" applyNumberFormat="1" applyFont="1" applyFill="1" applyBorder="1"/>
    <xf numFmtId="213" fontId="147" fillId="0" borderId="0" xfId="1" applyNumberFormat="1" applyFont="1" applyAlignment="1">
      <alignment horizontal="right"/>
    </xf>
    <xf numFmtId="0" fontId="147" fillId="0" borderId="67" xfId="0" applyFont="1" applyBorder="1" applyAlignment="1">
      <alignment horizontal="center"/>
    </xf>
    <xf numFmtId="247" fontId="147" fillId="0" borderId="67" xfId="6485" applyNumberFormat="1" applyFont="1" applyBorder="1"/>
    <xf numFmtId="247" fontId="147" fillId="0" borderId="67" xfId="6485" applyNumberFormat="1" applyFont="1" applyFill="1" applyBorder="1"/>
    <xf numFmtId="247" fontId="24" fillId="0" borderId="67" xfId="6485" applyNumberFormat="1" applyFont="1" applyBorder="1"/>
    <xf numFmtId="213" fontId="147" fillId="0" borderId="67" xfId="1" applyNumberFormat="1" applyFont="1" applyBorder="1" applyAlignment="1">
      <alignment horizontal="right"/>
    </xf>
    <xf numFmtId="247" fontId="147" fillId="0" borderId="67" xfId="6485" applyNumberFormat="1" applyFont="1" applyBorder="1" applyAlignment="1">
      <alignment horizontal="right"/>
    </xf>
    <xf numFmtId="213" fontId="147" fillId="0" borderId="0" xfId="1" applyNumberFormat="1" applyFont="1" applyBorder="1" applyAlignment="1">
      <alignment horizontal="right"/>
    </xf>
    <xf numFmtId="247" fontId="147" fillId="0" borderId="0" xfId="6485" applyNumberFormat="1" applyFont="1" applyBorder="1" applyAlignment="1">
      <alignment horizontal="right"/>
    </xf>
    <xf numFmtId="247" fontId="147" fillId="0" borderId="76" xfId="6485" applyNumberFormat="1" applyFont="1" applyBorder="1"/>
    <xf numFmtId="247" fontId="147" fillId="0" borderId="76" xfId="6485" applyNumberFormat="1" applyFont="1" applyFill="1" applyBorder="1"/>
    <xf numFmtId="247" fontId="249" fillId="0" borderId="76" xfId="6485" applyNumberFormat="1" applyFont="1" applyBorder="1"/>
    <xf numFmtId="213" fontId="147" fillId="0" borderId="76" xfId="1" applyNumberFormat="1" applyFont="1" applyBorder="1" applyAlignment="1">
      <alignment horizontal="right"/>
    </xf>
    <xf numFmtId="247" fontId="147" fillId="0" borderId="76" xfId="6485" applyNumberFormat="1" applyFont="1" applyBorder="1" applyAlignment="1">
      <alignment horizontal="right"/>
    </xf>
    <xf numFmtId="247" fontId="24" fillId="0" borderId="76" xfId="6485" applyNumberFormat="1" applyFont="1" applyBorder="1"/>
    <xf numFmtId="38" fontId="312" fillId="0" borderId="0" xfId="0" applyNumberFormat="1" applyFont="1" applyAlignment="1" applyProtection="1">
      <alignment readingOrder="1"/>
      <protection locked="0"/>
    </xf>
    <xf numFmtId="247" fontId="13" fillId="0" borderId="0" xfId="6485" applyNumberFormat="1" applyFont="1" applyFill="1"/>
    <xf numFmtId="247" fontId="249" fillId="0" borderId="0" xfId="6485" applyNumberFormat="1" applyFont="1" applyFill="1" applyBorder="1"/>
    <xf numFmtId="226" fontId="147" fillId="0" borderId="0" xfId="6485" applyNumberFormat="1" applyFont="1" applyBorder="1"/>
    <xf numFmtId="226" fontId="147" fillId="0" borderId="76" xfId="6485" applyNumberFormat="1" applyFont="1" applyBorder="1"/>
    <xf numFmtId="247" fontId="24" fillId="0" borderId="0" xfId="6485" applyNumberFormat="1" applyFont="1"/>
    <xf numFmtId="0" fontId="377" fillId="0" borderId="0" xfId="0" applyFont="1" applyAlignment="1">
      <alignment horizontal="left" indent="1"/>
    </xf>
    <xf numFmtId="0" fontId="377" fillId="0" borderId="0" xfId="0" applyFont="1" applyAlignment="1">
      <alignment horizontal="center"/>
    </xf>
    <xf numFmtId="213" fontId="377" fillId="0" borderId="0" xfId="1" applyNumberFormat="1" applyFont="1" applyBorder="1"/>
    <xf numFmtId="213" fontId="377" fillId="0" borderId="0" xfId="1" applyNumberFormat="1" applyFont="1" applyFill="1" applyBorder="1"/>
    <xf numFmtId="213" fontId="377" fillId="0" borderId="0" xfId="1" applyNumberFormat="1" applyFont="1" applyBorder="1" applyAlignment="1">
      <alignment horizontal="right"/>
    </xf>
    <xf numFmtId="247" fontId="262" fillId="0" borderId="0" xfId="6485" applyNumberFormat="1" applyFont="1" applyFill="1" applyBorder="1"/>
    <xf numFmtId="0" fontId="147" fillId="0" borderId="0" xfId="6485" applyNumberFormat="1" applyFont="1" applyFill="1" applyBorder="1"/>
    <xf numFmtId="49" fontId="376" fillId="0" borderId="0" xfId="0" applyNumberFormat="1" applyFont="1" applyAlignment="1">
      <alignment horizontal="right"/>
    </xf>
    <xf numFmtId="247" fontId="24" fillId="0" borderId="76" xfId="6485" applyNumberFormat="1" applyFont="1" applyFill="1" applyBorder="1"/>
    <xf numFmtId="9" fontId="147" fillId="0" borderId="0" xfId="1" applyFont="1"/>
    <xf numFmtId="0" fontId="249" fillId="0" borderId="76" xfId="0" applyFont="1" applyBorder="1" applyAlignment="1">
      <alignment horizontal="center"/>
    </xf>
    <xf numFmtId="213" fontId="249" fillId="0" borderId="0" xfId="1" applyNumberFormat="1" applyFont="1" applyAlignment="1">
      <alignment horizontal="right"/>
    </xf>
    <xf numFmtId="213" fontId="249" fillId="0" borderId="0" xfId="1" applyNumberFormat="1" applyFont="1"/>
    <xf numFmtId="247" fontId="249" fillId="0" borderId="0" xfId="6485" applyNumberFormat="1" applyFont="1" applyAlignment="1">
      <alignment horizontal="right"/>
    </xf>
    <xf numFmtId="247" fontId="276" fillId="0" borderId="0" xfId="6485" applyNumberFormat="1" applyFont="1" applyBorder="1"/>
    <xf numFmtId="247" fontId="13" fillId="0" borderId="0" xfId="6485" applyNumberFormat="1" applyFont="1"/>
    <xf numFmtId="247" fontId="375" fillId="0" borderId="0" xfId="6485" applyNumberFormat="1" applyFont="1"/>
    <xf numFmtId="226" fontId="147" fillId="0" borderId="67" xfId="6485" applyNumberFormat="1" applyFont="1" applyBorder="1"/>
    <xf numFmtId="226" fontId="147" fillId="0" borderId="67" xfId="6485" applyNumberFormat="1" applyFont="1" applyFill="1" applyBorder="1"/>
    <xf numFmtId="226" fontId="24" fillId="0" borderId="0" xfId="6485" applyNumberFormat="1" applyFont="1" applyBorder="1"/>
    <xf numFmtId="226" fontId="147" fillId="0" borderId="0" xfId="6485" applyNumberFormat="1" applyFont="1" applyFill="1" applyBorder="1"/>
    <xf numFmtId="247" fontId="147" fillId="0" borderId="0" xfId="6485" applyNumberFormat="1" applyFont="1" applyAlignment="1">
      <alignment horizontal="right"/>
    </xf>
    <xf numFmtId="0" fontId="147" fillId="0" borderId="76" xfId="0" applyFont="1" applyBorder="1" applyAlignment="1">
      <alignment horizontal="left" indent="2"/>
    </xf>
    <xf numFmtId="213" fontId="147" fillId="0" borderId="85" xfId="1" applyNumberFormat="1" applyFont="1" applyFill="1" applyBorder="1" applyAlignment="1">
      <alignment horizontal="right"/>
    </xf>
    <xf numFmtId="49" fontId="376" fillId="0" borderId="0" xfId="0" applyNumberFormat="1" applyFont="1"/>
    <xf numFmtId="0" fontId="24" fillId="0" borderId="0" xfId="0" applyFont="1" applyAlignment="1">
      <alignment horizontal="left" indent="1"/>
    </xf>
    <xf numFmtId="0" fontId="24" fillId="0" borderId="0" xfId="0" applyFont="1" applyAlignment="1">
      <alignment horizontal="center"/>
    </xf>
    <xf numFmtId="213" fontId="24" fillId="0" borderId="0" xfId="1" applyNumberFormat="1" applyFont="1" applyBorder="1" applyAlignment="1">
      <alignment horizontal="right"/>
    </xf>
    <xf numFmtId="0" fontId="147" fillId="0" borderId="0" xfId="6485" applyNumberFormat="1" applyFont="1"/>
    <xf numFmtId="43" fontId="147" fillId="0" borderId="0" xfId="6485" applyFont="1"/>
    <xf numFmtId="0" fontId="147" fillId="124" borderId="0" xfId="0" applyFont="1" applyFill="1"/>
    <xf numFmtId="247" fontId="147" fillId="106" borderId="0" xfId="6485" applyNumberFormat="1" applyFont="1" applyFill="1" applyBorder="1"/>
    <xf numFmtId="247" fontId="49" fillId="0" borderId="0" xfId="6485" applyNumberFormat="1" applyFont="1" applyBorder="1"/>
    <xf numFmtId="247" fontId="49" fillId="0" borderId="0" xfId="6485" applyNumberFormat="1" applyFont="1" applyFill="1" applyBorder="1"/>
    <xf numFmtId="247" fontId="147" fillId="136" borderId="76" xfId="6485" applyNumberFormat="1" applyFont="1" applyFill="1" applyBorder="1"/>
    <xf numFmtId="0" fontId="147" fillId="124" borderId="76" xfId="0" applyFont="1" applyFill="1" applyBorder="1"/>
    <xf numFmtId="247" fontId="24" fillId="137" borderId="0" xfId="6485" applyNumberFormat="1" applyFont="1" applyFill="1" applyBorder="1"/>
    <xf numFmtId="0" fontId="284" fillId="0" borderId="0" xfId="0" applyFont="1" applyAlignment="1">
      <alignment horizontal="left" indent="3"/>
    </xf>
    <xf numFmtId="247" fontId="147" fillId="137" borderId="0" xfId="6485" applyNumberFormat="1" applyFont="1" applyFill="1" applyBorder="1"/>
    <xf numFmtId="178" fontId="147" fillId="0" borderId="0" xfId="6485" applyNumberFormat="1" applyFont="1" applyBorder="1"/>
    <xf numFmtId="178" fontId="147" fillId="0" borderId="0" xfId="6485" applyNumberFormat="1" applyFont="1"/>
    <xf numFmtId="164" fontId="147" fillId="0" borderId="0" xfId="6485" applyNumberFormat="1" applyFont="1" applyBorder="1"/>
    <xf numFmtId="178" fontId="147" fillId="0" borderId="0" xfId="0" applyNumberFormat="1" applyFont="1"/>
    <xf numFmtId="0" fontId="147" fillId="124" borderId="67" xfId="0" applyFont="1" applyFill="1" applyBorder="1"/>
    <xf numFmtId="9" fontId="147" fillId="0" borderId="0" xfId="1" applyFont="1" applyBorder="1" applyAlignment="1">
      <alignment horizontal="right"/>
    </xf>
    <xf numFmtId="247" fontId="49" fillId="0" borderId="76" xfId="6485" applyNumberFormat="1" applyFont="1" applyBorder="1"/>
    <xf numFmtId="213" fontId="147" fillId="0" borderId="0" xfId="1" applyNumberFormat="1" applyFont="1" applyFill="1" applyBorder="1" applyAlignment="1">
      <alignment horizontal="right"/>
    </xf>
    <xf numFmtId="247" fontId="147" fillId="0" borderId="0" xfId="6485" applyNumberFormat="1" applyFont="1" applyFill="1" applyBorder="1" applyAlignment="1">
      <alignment horizontal="right"/>
    </xf>
    <xf numFmtId="213" fontId="24" fillId="0" borderId="0" xfId="1" applyNumberFormat="1" applyFont="1" applyFill="1" applyBorder="1" applyAlignment="1">
      <alignment horizontal="right"/>
    </xf>
    <xf numFmtId="213" fontId="24" fillId="0" borderId="0" xfId="1" applyNumberFormat="1" applyFont="1" applyFill="1"/>
    <xf numFmtId="240" fontId="147" fillId="0" borderId="0" xfId="6485" applyNumberFormat="1" applyFont="1" applyFill="1" applyBorder="1"/>
    <xf numFmtId="41" fontId="147" fillId="0" borderId="0" xfId="6628" applyFont="1" applyFill="1" applyBorder="1"/>
    <xf numFmtId="247" fontId="279" fillId="0" borderId="0" xfId="6485" applyNumberFormat="1" applyFont="1"/>
    <xf numFmtId="0" fontId="279" fillId="0" borderId="0" xfId="6485" applyNumberFormat="1" applyFont="1"/>
    <xf numFmtId="226" fontId="279" fillId="0" borderId="0" xfId="6485" applyNumberFormat="1" applyFont="1"/>
    <xf numFmtId="41" fontId="279" fillId="0" borderId="0" xfId="6628" applyFont="1"/>
    <xf numFmtId="247" fontId="279" fillId="0" borderId="0" xfId="6485" applyNumberFormat="1" applyFont="1" applyFill="1" applyBorder="1"/>
    <xf numFmtId="247" fontId="279" fillId="0" borderId="0" xfId="6485" applyNumberFormat="1" applyFont="1" applyBorder="1"/>
    <xf numFmtId="226" fontId="279" fillId="0" borderId="0" xfId="6485" applyNumberFormat="1" applyFont="1" applyBorder="1"/>
    <xf numFmtId="213" fontId="279" fillId="0" borderId="0" xfId="1" applyNumberFormat="1" applyFont="1" applyBorder="1"/>
    <xf numFmtId="0" fontId="49" fillId="0" borderId="0" xfId="0" applyFont="1" applyAlignment="1">
      <alignment horizontal="center"/>
    </xf>
    <xf numFmtId="226" fontId="49" fillId="0" borderId="49" xfId="6485" applyNumberFormat="1" applyFont="1" applyBorder="1"/>
    <xf numFmtId="226" fontId="24" fillId="138" borderId="49" xfId="6485" applyNumberFormat="1" applyFont="1" applyFill="1" applyBorder="1"/>
    <xf numFmtId="226" fontId="147" fillId="0" borderId="49" xfId="6485" applyNumberFormat="1" applyFont="1" applyBorder="1"/>
    <xf numFmtId="38" fontId="147" fillId="0" borderId="49" xfId="6485" applyNumberFormat="1" applyFont="1" applyBorder="1"/>
    <xf numFmtId="226" fontId="24" fillId="0" borderId="49" xfId="6485" applyNumberFormat="1" applyFont="1" applyBorder="1"/>
    <xf numFmtId="226" fontId="147" fillId="107" borderId="49" xfId="6485" applyNumberFormat="1" applyFont="1" applyFill="1" applyBorder="1"/>
    <xf numFmtId="226" fontId="24" fillId="0" borderId="0" xfId="6485" applyNumberFormat="1" applyFont="1"/>
    <xf numFmtId="226" fontId="24" fillId="138" borderId="0" xfId="6485" applyNumberFormat="1" applyFont="1" applyFill="1"/>
    <xf numFmtId="38" fontId="147" fillId="0" borderId="0" xfId="6485" applyNumberFormat="1" applyFont="1"/>
    <xf numFmtId="226" fontId="147" fillId="107" borderId="0" xfId="6485" applyNumberFormat="1" applyFont="1" applyFill="1"/>
    <xf numFmtId="226" fontId="24" fillId="0" borderId="0" xfId="6485" applyNumberFormat="1" applyFont="1" applyAlignment="1">
      <alignment horizontal="left" indent="2"/>
    </xf>
    <xf numFmtId="226" fontId="49" fillId="0" borderId="0" xfId="6485" applyNumberFormat="1" applyFont="1" applyFill="1" applyBorder="1"/>
    <xf numFmtId="226" fontId="49" fillId="138" borderId="49" xfId="6485" applyNumberFormat="1" applyFont="1" applyFill="1" applyBorder="1"/>
    <xf numFmtId="226" fontId="249" fillId="0" borderId="49" xfId="6485" applyNumberFormat="1" applyFont="1" applyBorder="1"/>
    <xf numFmtId="226" fontId="249" fillId="0" borderId="49" xfId="6485" applyNumberFormat="1" applyFont="1" applyFill="1" applyBorder="1"/>
    <xf numFmtId="38" fontId="249" fillId="0" borderId="49" xfId="6485" applyNumberFormat="1" applyFont="1" applyBorder="1"/>
    <xf numFmtId="226" fontId="24" fillId="108" borderId="0" xfId="6485" applyNumberFormat="1" applyFont="1" applyFill="1"/>
    <xf numFmtId="226" fontId="147" fillId="108" borderId="0" xfId="6485" applyNumberFormat="1" applyFont="1" applyFill="1"/>
    <xf numFmtId="38" fontId="147" fillId="108" borderId="0" xfId="6485" applyNumberFormat="1" applyFont="1" applyFill="1"/>
    <xf numFmtId="226" fontId="147" fillId="0" borderId="49" xfId="6485" applyNumberFormat="1" applyFont="1" applyFill="1" applyBorder="1"/>
    <xf numFmtId="0" fontId="147" fillId="0" borderId="0" xfId="6485" applyNumberFormat="1" applyFont="1" applyFill="1"/>
    <xf numFmtId="41" fontId="147" fillId="0" borderId="0" xfId="6628" applyFont="1"/>
    <xf numFmtId="0" fontId="49" fillId="0" borderId="76" xfId="0" applyFont="1" applyBorder="1" applyAlignment="1">
      <alignment horizontal="center"/>
    </xf>
    <xf numFmtId="0" fontId="24" fillId="0" borderId="76" xfId="0" applyFont="1" applyBorder="1"/>
    <xf numFmtId="0" fontId="24" fillId="0" borderId="0" xfId="0" applyFont="1" applyAlignment="1">
      <alignment horizontal="left"/>
    </xf>
    <xf numFmtId="1" fontId="147" fillId="0" borderId="0" xfId="0" applyNumberFormat="1" applyFont="1"/>
    <xf numFmtId="0" fontId="147" fillId="107" borderId="67" xfId="0" applyFont="1" applyFill="1" applyBorder="1"/>
    <xf numFmtId="226" fontId="147" fillId="107" borderId="67" xfId="6485" applyNumberFormat="1" applyFont="1" applyFill="1" applyBorder="1"/>
    <xf numFmtId="0" fontId="147" fillId="107" borderId="0" xfId="0" applyFont="1" applyFill="1"/>
    <xf numFmtId="226" fontId="147" fillId="107" borderId="0" xfId="0" applyNumberFormat="1" applyFont="1" applyFill="1"/>
    <xf numFmtId="0" fontId="49" fillId="0" borderId="49" xfId="0" applyFont="1" applyBorder="1" applyAlignment="1">
      <alignment horizontal="center"/>
    </xf>
    <xf numFmtId="226" fontId="49" fillId="138" borderId="49" xfId="0" applyNumberFormat="1" applyFont="1" applyFill="1" applyBorder="1"/>
    <xf numFmtId="1" fontId="249" fillId="0" borderId="49" xfId="0" applyNumberFormat="1" applyFont="1" applyBorder="1"/>
    <xf numFmtId="0" fontId="249" fillId="107" borderId="49" xfId="0" applyFont="1" applyFill="1" applyBorder="1"/>
    <xf numFmtId="226" fontId="249" fillId="107" borderId="49" xfId="6485" applyNumberFormat="1" applyFont="1" applyFill="1" applyBorder="1"/>
    <xf numFmtId="0" fontId="249" fillId="0" borderId="49" xfId="0" applyFont="1" applyBorder="1"/>
    <xf numFmtId="226" fontId="24" fillId="0" borderId="76" xfId="6485" applyNumberFormat="1" applyFont="1" applyBorder="1"/>
    <xf numFmtId="43" fontId="147" fillId="0" borderId="76" xfId="0" applyNumberFormat="1" applyFont="1" applyBorder="1"/>
    <xf numFmtId="0" fontId="147" fillId="107" borderId="76" xfId="0" applyFont="1" applyFill="1" applyBorder="1"/>
    <xf numFmtId="226" fontId="147" fillId="0" borderId="76" xfId="6485" applyNumberFormat="1" applyFont="1" applyFill="1" applyBorder="1"/>
    <xf numFmtId="226" fontId="49" fillId="0" borderId="49" xfId="6485" applyNumberFormat="1" applyFont="1" applyFill="1" applyBorder="1"/>
    <xf numFmtId="226" fontId="49" fillId="107" borderId="49" xfId="6485" applyNumberFormat="1" applyFont="1" applyFill="1" applyBorder="1"/>
    <xf numFmtId="0" fontId="116" fillId="0" borderId="0" xfId="0" applyFont="1" applyAlignment="1">
      <alignment horizontal="left" wrapText="1" indent="1"/>
    </xf>
    <xf numFmtId="0" fontId="325" fillId="0" borderId="67" xfId="0" applyFont="1" applyBorder="1"/>
    <xf numFmtId="0" fontId="147" fillId="138" borderId="67" xfId="0" applyFont="1" applyFill="1" applyBorder="1"/>
    <xf numFmtId="0" fontId="325" fillId="0" borderId="0" xfId="0" applyFont="1"/>
    <xf numFmtId="0" fontId="147" fillId="138" borderId="0" xfId="0" applyFont="1" applyFill="1"/>
    <xf numFmtId="0" fontId="325" fillId="0" borderId="76" xfId="0" applyFont="1" applyBorder="1"/>
    <xf numFmtId="0" fontId="147" fillId="138" borderId="76" xfId="0" applyFont="1" applyFill="1" applyBorder="1"/>
    <xf numFmtId="247" fontId="147" fillId="0" borderId="67" xfId="0" applyNumberFormat="1" applyFont="1" applyBorder="1"/>
    <xf numFmtId="226" fontId="147" fillId="107" borderId="0" xfId="6485" applyNumberFormat="1" applyFont="1" applyFill="1" applyBorder="1"/>
    <xf numFmtId="226" fontId="147" fillId="107" borderId="76" xfId="6485" applyNumberFormat="1" applyFont="1" applyFill="1" applyBorder="1"/>
    <xf numFmtId="43" fontId="147" fillId="0" borderId="67" xfId="6485" applyFont="1" applyBorder="1"/>
    <xf numFmtId="9" fontId="147" fillId="0" borderId="0" xfId="1" applyFont="1" applyFill="1" applyBorder="1"/>
    <xf numFmtId="0" fontId="0" fillId="0" borderId="166" xfId="0" applyBorder="1"/>
    <xf numFmtId="0" fontId="371" fillId="26" borderId="168" xfId="0" applyFont="1" applyFill="1" applyBorder="1" applyAlignment="1">
      <alignment horizontal="center" vertical="center" readingOrder="1"/>
    </xf>
    <xf numFmtId="0" fontId="371" fillId="122" borderId="169" xfId="0" applyFont="1" applyFill="1" applyBorder="1" applyAlignment="1">
      <alignment horizontal="center" vertical="center"/>
    </xf>
    <xf numFmtId="0" fontId="371" fillId="122" borderId="170" xfId="0" applyFont="1" applyFill="1" applyBorder="1" applyAlignment="1">
      <alignment horizontal="center" vertical="center"/>
    </xf>
    <xf numFmtId="0" fontId="372" fillId="26" borderId="171" xfId="0" applyFont="1" applyFill="1" applyBorder="1" applyAlignment="1">
      <alignment horizontal="center" vertical="center"/>
    </xf>
    <xf numFmtId="0" fontId="371" fillId="26" borderId="172" xfId="0" applyFont="1" applyFill="1" applyBorder="1" applyAlignment="1">
      <alignment horizontal="center" vertical="center"/>
    </xf>
    <xf numFmtId="37" fontId="345" fillId="0" borderId="167" xfId="0" applyNumberFormat="1" applyFont="1" applyBorder="1" applyAlignment="1" applyProtection="1">
      <alignment horizontal="right" indent="1"/>
      <protection locked="0"/>
    </xf>
    <xf numFmtId="38" fontId="352" fillId="106" borderId="0" xfId="0" applyNumberFormat="1" applyFont="1" applyFill="1" applyAlignment="1" applyProtection="1">
      <alignment horizontal="right" indent="1"/>
      <protection locked="0"/>
    </xf>
    <xf numFmtId="9" fontId="312" fillId="106" borderId="104" xfId="0" applyNumberFormat="1" applyFont="1" applyFill="1" applyBorder="1" applyAlignment="1">
      <alignment horizontal="right" indent="1"/>
    </xf>
    <xf numFmtId="38" fontId="352" fillId="106" borderId="85" xfId="0" applyNumberFormat="1" applyFont="1" applyFill="1" applyBorder="1" applyAlignment="1" applyProtection="1">
      <alignment horizontal="right" indent="1"/>
      <protection locked="0"/>
    </xf>
    <xf numFmtId="0" fontId="0" fillId="106" borderId="0" xfId="0" applyFill="1" applyAlignment="1">
      <alignment horizontal="right" indent="1"/>
    </xf>
    <xf numFmtId="0" fontId="312" fillId="0" borderId="173" xfId="0" applyFont="1" applyBorder="1" applyAlignment="1">
      <alignment horizontal="left" indent="1" readingOrder="1"/>
    </xf>
    <xf numFmtId="9" fontId="312" fillId="0" borderId="174" xfId="0" applyNumberFormat="1" applyFont="1" applyBorder="1" applyAlignment="1">
      <alignment horizontal="right" indent="1"/>
    </xf>
    <xf numFmtId="9" fontId="312" fillId="0" borderId="175" xfId="0" applyNumberFormat="1" applyFont="1" applyBorder="1" applyAlignment="1">
      <alignment horizontal="right" indent="1"/>
    </xf>
    <xf numFmtId="9" fontId="312" fillId="0" borderId="176" xfId="0" applyNumberFormat="1" applyFont="1" applyBorder="1" applyAlignment="1">
      <alignment horizontal="center"/>
    </xf>
    <xf numFmtId="9" fontId="312" fillId="0" borderId="177" xfId="0" applyNumberFormat="1" applyFont="1" applyBorder="1" applyAlignment="1">
      <alignment horizontal="center"/>
    </xf>
    <xf numFmtId="9" fontId="352" fillId="106" borderId="76" xfId="0" applyNumberFormat="1" applyFont="1" applyFill="1" applyBorder="1" applyAlignment="1">
      <alignment horizontal="right" indent="1"/>
    </xf>
    <xf numFmtId="0" fontId="372" fillId="26" borderId="178" xfId="0" applyFont="1" applyFill="1" applyBorder="1" applyAlignment="1">
      <alignment horizontal="center" vertical="center"/>
    </xf>
    <xf numFmtId="0" fontId="371" fillId="26" borderId="179" xfId="0" applyFont="1" applyFill="1" applyBorder="1" applyAlignment="1">
      <alignment horizontal="center" vertical="center"/>
    </xf>
    <xf numFmtId="0" fontId="228" fillId="106" borderId="0" xfId="0" applyFont="1" applyFill="1" applyAlignment="1">
      <alignment horizontal="right" indent="1"/>
    </xf>
    <xf numFmtId="0" fontId="228" fillId="0" borderId="67" xfId="0" applyFont="1" applyBorder="1" applyAlignment="1">
      <alignment horizontal="right" indent="1"/>
    </xf>
    <xf numFmtId="0" fontId="228" fillId="106" borderId="67" xfId="0" applyFont="1" applyFill="1" applyBorder="1" applyAlignment="1">
      <alignment horizontal="right" indent="1"/>
    </xf>
    <xf numFmtId="37" fontId="228" fillId="0" borderId="67" xfId="0" applyNumberFormat="1" applyFont="1" applyBorder="1" applyAlignment="1" applyProtection="1">
      <alignment horizontal="right" indent="1"/>
      <protection locked="0"/>
    </xf>
    <xf numFmtId="0" fontId="262" fillId="0" borderId="175" xfId="0" applyFont="1" applyBorder="1" applyAlignment="1">
      <alignment horizontal="left"/>
    </xf>
    <xf numFmtId="247" fontId="147" fillId="139" borderId="67" xfId="6485" applyNumberFormat="1" applyFont="1" applyFill="1" applyBorder="1"/>
    <xf numFmtId="247" fontId="147" fillId="139" borderId="0" xfId="6485" applyNumberFormat="1" applyFont="1" applyFill="1" applyBorder="1"/>
    <xf numFmtId="247" fontId="147" fillId="139" borderId="76" xfId="6485" applyNumberFormat="1" applyFont="1" applyFill="1" applyBorder="1"/>
    <xf numFmtId="41" fontId="279" fillId="0" borderId="0" xfId="6628" applyFont="1" applyBorder="1"/>
    <xf numFmtId="226" fontId="249" fillId="0" borderId="0" xfId="6485" applyNumberFormat="1" applyFont="1" applyFill="1" applyBorder="1"/>
    <xf numFmtId="226" fontId="49" fillId="0" borderId="0" xfId="6485" applyNumberFormat="1" applyFont="1" applyBorder="1"/>
    <xf numFmtId="43" fontId="147" fillId="121" borderId="15" xfId="6485" applyFont="1" applyFill="1" applyBorder="1"/>
    <xf numFmtId="213" fontId="326" fillId="121" borderId="15" xfId="1" applyNumberFormat="1" applyFont="1" applyFill="1" applyBorder="1"/>
    <xf numFmtId="1" fontId="249" fillId="124" borderId="0" xfId="0" applyNumberFormat="1" applyFont="1" applyFill="1"/>
    <xf numFmtId="38" fontId="24" fillId="0" borderId="76" xfId="0" applyNumberFormat="1" applyFont="1" applyBorder="1"/>
    <xf numFmtId="37" fontId="249" fillId="124" borderId="67" xfId="0" applyNumberFormat="1" applyFont="1" applyFill="1" applyBorder="1"/>
    <xf numFmtId="37" fontId="282" fillId="0" borderId="67" xfId="0" applyNumberFormat="1" applyFont="1" applyBorder="1"/>
    <xf numFmtId="164" fontId="0" fillId="0" borderId="0" xfId="0" applyNumberFormat="1"/>
    <xf numFmtId="37" fontId="147" fillId="0" borderId="9" xfId="0" applyNumberFormat="1" applyFont="1" applyBorder="1"/>
    <xf numFmtId="37" fontId="265" fillId="0" borderId="9" xfId="0" applyNumberFormat="1" applyFont="1" applyBorder="1"/>
    <xf numFmtId="37" fontId="49" fillId="0" borderId="80" xfId="0" applyNumberFormat="1" applyFont="1" applyBorder="1"/>
    <xf numFmtId="37" fontId="278" fillId="124" borderId="67" xfId="0" applyNumberFormat="1" applyFont="1" applyFill="1" applyBorder="1"/>
    <xf numFmtId="37" fontId="265" fillId="0" borderId="106" xfId="0" applyNumberFormat="1" applyFont="1" applyBorder="1"/>
    <xf numFmtId="37" fontId="265" fillId="0" borderId="86" xfId="0" applyNumberFormat="1" applyFont="1" applyBorder="1"/>
    <xf numFmtId="0" fontId="265" fillId="0" borderId="9" xfId="1" applyNumberFormat="1" applyFont="1" applyFill="1" applyBorder="1"/>
    <xf numFmtId="37" fontId="278" fillId="0" borderId="106" xfId="0" applyNumberFormat="1" applyFont="1" applyBorder="1"/>
    <xf numFmtId="37" fontId="24" fillId="0" borderId="86" xfId="0" applyNumberFormat="1" applyFont="1" applyBorder="1"/>
    <xf numFmtId="1" fontId="249" fillId="0" borderId="76" xfId="0" applyNumberFormat="1" applyFont="1" applyBorder="1"/>
    <xf numFmtId="1" fontId="249" fillId="0" borderId="9" xfId="0" applyNumberFormat="1" applyFont="1" applyBorder="1"/>
    <xf numFmtId="192" fontId="24" fillId="0" borderId="9" xfId="6485" applyNumberFormat="1" applyFont="1" applyFill="1" applyBorder="1"/>
    <xf numFmtId="192" fontId="24" fillId="0" borderId="80" xfId="6485" applyNumberFormat="1" applyFont="1" applyFill="1" applyBorder="1"/>
    <xf numFmtId="37" fontId="147" fillId="0" borderId="80" xfId="0" applyNumberFormat="1" applyFont="1" applyBorder="1"/>
    <xf numFmtId="10" fontId="278" fillId="0" borderId="0" xfId="1" applyNumberFormat="1" applyFont="1" applyBorder="1"/>
    <xf numFmtId="10" fontId="278" fillId="0" borderId="0" xfId="1" applyNumberFormat="1" applyFont="1" applyFill="1" applyBorder="1"/>
    <xf numFmtId="10" fontId="278" fillId="0" borderId="85" xfId="1" applyNumberFormat="1" applyFont="1" applyFill="1" applyBorder="1"/>
    <xf numFmtId="213" fontId="278" fillId="0" borderId="76" xfId="1" applyNumberFormat="1" applyFont="1" applyBorder="1"/>
    <xf numFmtId="213" fontId="278" fillId="0" borderId="76" xfId="1" applyNumberFormat="1" applyFont="1" applyFill="1" applyBorder="1"/>
    <xf numFmtId="213" fontId="278" fillId="0" borderId="80" xfId="1" applyNumberFormat="1" applyFont="1" applyFill="1" applyBorder="1"/>
    <xf numFmtId="247" fontId="147" fillId="121" borderId="0" xfId="6485" applyNumberFormat="1" applyFont="1" applyFill="1" applyBorder="1"/>
    <xf numFmtId="38" fontId="265" fillId="0" borderId="0" xfId="0" applyNumberFormat="1" applyFont="1"/>
    <xf numFmtId="0" fontId="379" fillId="140" borderId="15" xfId="0" applyFont="1" applyFill="1" applyBorder="1" applyAlignment="1">
      <alignment horizontal="center" vertical="center"/>
    </xf>
    <xf numFmtId="213" fontId="379" fillId="140" borderId="15" xfId="0" applyNumberFormat="1" applyFont="1" applyFill="1" applyBorder="1" applyAlignment="1">
      <alignment horizontal="center" vertical="center"/>
    </xf>
    <xf numFmtId="226" fontId="379" fillId="140" borderId="15" xfId="6485" applyNumberFormat="1" applyFont="1" applyFill="1" applyBorder="1" applyAlignment="1">
      <alignment horizontal="center" vertical="center"/>
    </xf>
    <xf numFmtId="0" fontId="380" fillId="0" borderId="0" xfId="0" applyFont="1"/>
    <xf numFmtId="226" fontId="379" fillId="140" borderId="0" xfId="6485" applyNumberFormat="1" applyFont="1" applyFill="1" applyBorder="1" applyAlignment="1">
      <alignment horizontal="center" vertical="center" wrapText="1"/>
    </xf>
    <xf numFmtId="0" fontId="381" fillId="0" borderId="15" xfId="0" applyFont="1" applyBorder="1"/>
    <xf numFmtId="0" fontId="382" fillId="0" borderId="15" xfId="0" applyFont="1" applyBorder="1"/>
    <xf numFmtId="0" fontId="382" fillId="0" borderId="15" xfId="0" applyFont="1" applyBorder="1" applyAlignment="1">
      <alignment horizontal="center"/>
    </xf>
    <xf numFmtId="14" fontId="382" fillId="0" borderId="15" xfId="0" applyNumberFormat="1" applyFont="1" applyBorder="1"/>
    <xf numFmtId="213" fontId="382" fillId="0" borderId="15" xfId="1" applyNumberFormat="1" applyFont="1" applyFill="1" applyBorder="1"/>
    <xf numFmtId="226" fontId="382" fillId="0" borderId="15" xfId="6485" applyNumberFormat="1" applyFont="1" applyFill="1" applyBorder="1"/>
    <xf numFmtId="226" fontId="382" fillId="0" borderId="0" xfId="6485" applyNumberFormat="1" applyFont="1" applyFill="1" applyBorder="1"/>
    <xf numFmtId="226" fontId="381" fillId="0" borderId="15" xfId="6485" applyNumberFormat="1" applyFont="1" applyFill="1" applyBorder="1"/>
    <xf numFmtId="0" fontId="381" fillId="141" borderId="15" xfId="0" applyFont="1" applyFill="1" applyBorder="1"/>
    <xf numFmtId="0" fontId="382" fillId="141" borderId="15" xfId="0" applyFont="1" applyFill="1" applyBorder="1"/>
    <xf numFmtId="0" fontId="382" fillId="141" borderId="15" xfId="0" applyFont="1" applyFill="1" applyBorder="1" applyAlignment="1">
      <alignment horizontal="center"/>
    </xf>
    <xf numFmtId="14" fontId="382" fillId="141" borderId="15" xfId="0" applyNumberFormat="1" applyFont="1" applyFill="1" applyBorder="1"/>
    <xf numFmtId="213" fontId="382" fillId="141" borderId="15" xfId="1" applyNumberFormat="1" applyFont="1" applyFill="1" applyBorder="1"/>
    <xf numFmtId="226" fontId="382" fillId="141" borderId="15" xfId="6485" applyNumberFormat="1" applyFont="1" applyFill="1" applyBorder="1"/>
    <xf numFmtId="0" fontId="0" fillId="0" borderId="15" xfId="0" applyBorder="1"/>
    <xf numFmtId="41" fontId="0" fillId="0" borderId="15" xfId="6628" applyFont="1" applyBorder="1" applyAlignment="1">
      <alignment horizontal="center"/>
    </xf>
    <xf numFmtId="0" fontId="0" fillId="0" borderId="15" xfId="0" applyBorder="1" applyAlignment="1">
      <alignment horizontal="center"/>
    </xf>
    <xf numFmtId="17" fontId="0" fillId="0" borderId="15" xfId="0" applyNumberFormat="1" applyBorder="1" applyAlignment="1">
      <alignment horizontal="center"/>
    </xf>
    <xf numFmtId="247" fontId="249" fillId="121" borderId="76" xfId="0" applyNumberFormat="1" applyFont="1" applyFill="1" applyBorder="1"/>
    <xf numFmtId="247" fontId="278" fillId="0" borderId="0" xfId="0" applyNumberFormat="1" applyFont="1"/>
    <xf numFmtId="213" fontId="278" fillId="121" borderId="15" xfId="1" applyNumberFormat="1" applyFont="1" applyFill="1" applyBorder="1"/>
    <xf numFmtId="37" fontId="278" fillId="121" borderId="15" xfId="0" applyNumberFormat="1" applyFont="1" applyFill="1" applyBorder="1"/>
    <xf numFmtId="247" fontId="278" fillId="0" borderId="0" xfId="6485" applyNumberFormat="1" applyFont="1" applyBorder="1"/>
    <xf numFmtId="9" fontId="228" fillId="0" borderId="0" xfId="6485" applyNumberFormat="1" applyFont="1"/>
    <xf numFmtId="0" fontId="265" fillId="121" borderId="15" xfId="1" applyNumberFormat="1" applyFont="1" applyFill="1" applyBorder="1"/>
    <xf numFmtId="2" fontId="338" fillId="121" borderId="90" xfId="1" applyNumberFormat="1" applyFont="1" applyFill="1" applyBorder="1" applyAlignment="1">
      <alignment horizontal="center" vertical="center"/>
    </xf>
    <xf numFmtId="37" fontId="345" fillId="0" borderId="0" xfId="0" applyNumberFormat="1" applyFont="1"/>
    <xf numFmtId="9" fontId="24" fillId="0" borderId="67" xfId="0" applyNumberFormat="1" applyFont="1" applyBorder="1"/>
    <xf numFmtId="9" fontId="24" fillId="0" borderId="0" xfId="0" applyNumberFormat="1" applyFont="1"/>
    <xf numFmtId="1" fontId="359" fillId="0" borderId="0" xfId="0" applyNumberFormat="1" applyFont="1" applyAlignment="1">
      <alignment horizontal="center"/>
    </xf>
    <xf numFmtId="364" fontId="345" fillId="0" borderId="0" xfId="0" applyNumberFormat="1" applyFont="1" applyAlignment="1">
      <alignment vertical="center"/>
    </xf>
    <xf numFmtId="37" fontId="338" fillId="0" borderId="0" xfId="0" applyNumberFormat="1" applyFont="1"/>
    <xf numFmtId="213" fontId="228" fillId="0" borderId="0" xfId="0" applyNumberFormat="1" applyFont="1" applyAlignment="1">
      <alignment horizontal="centerContinuous"/>
    </xf>
    <xf numFmtId="37" fontId="228" fillId="0" borderId="0" xfId="0" applyNumberFormat="1" applyFont="1" applyAlignment="1">
      <alignment horizontal="centerContinuous"/>
    </xf>
    <xf numFmtId="37" fontId="311" fillId="0" borderId="0" xfId="0" applyNumberFormat="1" applyFont="1"/>
    <xf numFmtId="213" fontId="338" fillId="0" borderId="0" xfId="1" applyNumberFormat="1" applyFont="1" applyBorder="1" applyAlignment="1"/>
    <xf numFmtId="0" fontId="311" fillId="0" borderId="0" xfId="0" applyFont="1" applyAlignment="1">
      <alignment horizontal="center"/>
    </xf>
    <xf numFmtId="226" fontId="338" fillId="0" borderId="0" xfId="6485" applyNumberFormat="1" applyFont="1"/>
    <xf numFmtId="4" fontId="0" fillId="0" borderId="0" xfId="1" applyNumberFormat="1" applyFont="1"/>
    <xf numFmtId="213" fontId="228" fillId="0" borderId="0" xfId="0" applyNumberFormat="1" applyFont="1"/>
    <xf numFmtId="41" fontId="279" fillId="0" borderId="0" xfId="6633" applyFont="1"/>
    <xf numFmtId="41" fontId="147" fillId="0" borderId="0" xfId="6633" applyFont="1"/>
    <xf numFmtId="0" fontId="262" fillId="142" borderId="164" xfId="0" applyFont="1" applyFill="1" applyBorder="1" applyAlignment="1">
      <alignment horizontal="centerContinuous" vertical="center"/>
    </xf>
    <xf numFmtId="0" fontId="262" fillId="142" borderId="50" xfId="0" applyFont="1" applyFill="1" applyBorder="1" applyAlignment="1">
      <alignment horizontal="centerContinuous" vertical="center"/>
    </xf>
    <xf numFmtId="0" fontId="262" fillId="142" borderId="164" xfId="0" applyFont="1" applyFill="1" applyBorder="1" applyAlignment="1">
      <alignment horizontal="center" vertical="center" wrapText="1"/>
    </xf>
    <xf numFmtId="0" fontId="262" fillId="142" borderId="50" xfId="0" applyFont="1" applyFill="1" applyBorder="1" applyAlignment="1">
      <alignment horizontal="center" vertical="center" wrapText="1"/>
    </xf>
    <xf numFmtId="247" fontId="383" fillId="0" borderId="67" xfId="6485" applyNumberFormat="1" applyFont="1" applyBorder="1"/>
    <xf numFmtId="247" fontId="383" fillId="0" borderId="0" xfId="6485" applyNumberFormat="1" applyFont="1" applyBorder="1"/>
    <xf numFmtId="247" fontId="383" fillId="0" borderId="76" xfId="6485" applyNumberFormat="1" applyFont="1" applyBorder="1"/>
    <xf numFmtId="0" fontId="383" fillId="0" borderId="0" xfId="0" applyFont="1"/>
    <xf numFmtId="247" fontId="147" fillId="107" borderId="0" xfId="0" applyNumberFormat="1" applyFont="1" applyFill="1"/>
    <xf numFmtId="247" fontId="0" fillId="107" borderId="0" xfId="0" applyNumberFormat="1" applyFill="1"/>
    <xf numFmtId="0" fontId="24" fillId="107" borderId="0" xfId="0" applyFont="1" applyFill="1"/>
    <xf numFmtId="247" fontId="147" fillId="0" borderId="76" xfId="0" applyNumberFormat="1" applyFont="1" applyBorder="1"/>
    <xf numFmtId="247" fontId="0" fillId="0" borderId="67" xfId="0" applyNumberFormat="1" applyBorder="1"/>
    <xf numFmtId="0" fontId="24" fillId="0" borderId="67" xfId="0" applyFont="1" applyBorder="1"/>
    <xf numFmtId="226" fontId="325" fillId="0" borderId="76" xfId="6485" applyNumberFormat="1" applyFont="1" applyFill="1" applyBorder="1" applyAlignment="1"/>
    <xf numFmtId="226" fontId="325" fillId="0" borderId="0" xfId="6485" applyNumberFormat="1" applyFont="1" applyFill="1" applyBorder="1" applyAlignment="1"/>
    <xf numFmtId="226" fontId="325" fillId="0" borderId="67" xfId="6485" applyNumberFormat="1" applyFont="1" applyFill="1" applyBorder="1" applyAlignment="1"/>
    <xf numFmtId="41" fontId="279" fillId="0" borderId="0" xfId="6633" applyFont="1" applyBorder="1"/>
    <xf numFmtId="0" fontId="279" fillId="0" borderId="0" xfId="6633" applyNumberFormat="1" applyFont="1"/>
    <xf numFmtId="41" fontId="147" fillId="0" borderId="0" xfId="6633" applyFont="1" applyFill="1" applyBorder="1"/>
    <xf numFmtId="0" fontId="147" fillId="0" borderId="0" xfId="1" applyNumberFormat="1" applyFont="1"/>
    <xf numFmtId="0" fontId="147" fillId="0" borderId="0" xfId="6633" applyNumberFormat="1" applyFont="1" applyBorder="1"/>
    <xf numFmtId="226" fontId="249" fillId="0" borderId="0" xfId="6485" applyNumberFormat="1" applyFont="1"/>
    <xf numFmtId="10" fontId="147" fillId="0" borderId="0" xfId="1" applyNumberFormat="1" applyFont="1"/>
    <xf numFmtId="0" fontId="147" fillId="0" borderId="0" xfId="1" applyNumberFormat="1" applyFont="1" applyAlignment="1">
      <alignment horizontal="right"/>
    </xf>
    <xf numFmtId="226" fontId="249" fillId="0" borderId="0" xfId="6485" applyNumberFormat="1" applyFont="1" applyFill="1" applyBorder="1" applyAlignment="1">
      <alignment horizontal="center"/>
    </xf>
    <xf numFmtId="0" fontId="262" fillId="130" borderId="149" xfId="0" applyFont="1" applyFill="1" applyBorder="1" applyAlignment="1">
      <alignment horizontal="centerContinuous" vertical="center"/>
    </xf>
    <xf numFmtId="0" fontId="262" fillId="130" borderId="50" xfId="0" applyFont="1" applyFill="1" applyBorder="1" applyAlignment="1">
      <alignment horizontal="centerContinuous" vertical="center"/>
    </xf>
    <xf numFmtId="0" fontId="262" fillId="130" borderId="164" xfId="0" applyFont="1" applyFill="1" applyBorder="1" applyAlignment="1">
      <alignment horizontal="centerContinuous" vertical="center"/>
    </xf>
    <xf numFmtId="226" fontId="147" fillId="0" borderId="0" xfId="6485" applyNumberFormat="1" applyFont="1" applyAlignment="1">
      <alignment horizontal="right"/>
    </xf>
    <xf numFmtId="38" fontId="147" fillId="0" borderId="80" xfId="0" applyNumberFormat="1" applyFont="1" applyBorder="1"/>
    <xf numFmtId="43" fontId="147" fillId="0" borderId="9" xfId="6485" applyFont="1" applyFill="1" applyBorder="1"/>
    <xf numFmtId="213" fontId="284" fillId="0" borderId="80" xfId="1" applyNumberFormat="1" applyFont="1" applyBorder="1"/>
    <xf numFmtId="213" fontId="284" fillId="0" borderId="80" xfId="1" applyNumberFormat="1" applyFont="1" applyFill="1" applyBorder="1"/>
    <xf numFmtId="37" fontId="311" fillId="0" borderId="87" xfId="0" applyNumberFormat="1" applyFont="1" applyBorder="1"/>
    <xf numFmtId="37" fontId="348" fillId="0" borderId="76" xfId="0" applyNumberFormat="1" applyFont="1" applyBorder="1"/>
    <xf numFmtId="37" fontId="348" fillId="0" borderId="67" xfId="0" applyNumberFormat="1" applyFont="1" applyBorder="1"/>
    <xf numFmtId="37" fontId="348" fillId="0" borderId="9" xfId="0" applyNumberFormat="1" applyFont="1" applyBorder="1"/>
    <xf numFmtId="37" fontId="348" fillId="0" borderId="80" xfId="0" applyNumberFormat="1" applyFont="1" applyBorder="1"/>
    <xf numFmtId="37" fontId="345" fillId="0" borderId="76" xfId="0" applyNumberFormat="1" applyFont="1" applyBorder="1"/>
    <xf numFmtId="37" fontId="345" fillId="0" borderId="80" xfId="0" applyNumberFormat="1" applyFont="1" applyBorder="1"/>
    <xf numFmtId="37" fontId="283" fillId="0" borderId="67" xfId="0" applyNumberFormat="1" applyFont="1" applyBorder="1"/>
    <xf numFmtId="37" fontId="265" fillId="124" borderId="67" xfId="0" applyNumberFormat="1" applyFont="1" applyFill="1" applyBorder="1"/>
    <xf numFmtId="37" fontId="71" fillId="0" borderId="9" xfId="0" applyNumberFormat="1" applyFont="1" applyBorder="1"/>
    <xf numFmtId="37" fontId="249" fillId="0" borderId="80" xfId="0" applyNumberFormat="1" applyFont="1" applyBorder="1"/>
    <xf numFmtId="10" fontId="278" fillId="0" borderId="76" xfId="1" applyNumberFormat="1" applyFont="1" applyFill="1" applyBorder="1"/>
    <xf numFmtId="10" fontId="278" fillId="0" borderId="9" xfId="1" applyNumberFormat="1" applyFont="1" applyFill="1" applyBorder="1"/>
    <xf numFmtId="10" fontId="24" fillId="0" borderId="9" xfId="1" applyNumberFormat="1" applyFont="1" applyFill="1" applyBorder="1"/>
    <xf numFmtId="10" fontId="278" fillId="0" borderId="80" xfId="1" applyNumberFormat="1" applyFont="1" applyFill="1" applyBorder="1"/>
    <xf numFmtId="213" fontId="265" fillId="0" borderId="9" xfId="1" applyNumberFormat="1" applyFont="1" applyFill="1" applyBorder="1"/>
    <xf numFmtId="213" fontId="265" fillId="121" borderId="9" xfId="1" applyNumberFormat="1" applyFont="1" applyFill="1" applyBorder="1"/>
    <xf numFmtId="213" fontId="265" fillId="0" borderId="80" xfId="1" applyNumberFormat="1" applyFont="1" applyFill="1" applyBorder="1" applyAlignment="1">
      <alignment horizontal="right" indent="1"/>
    </xf>
    <xf numFmtId="247" fontId="278" fillId="121" borderId="15" xfId="6485" applyNumberFormat="1" applyFont="1" applyFill="1" applyBorder="1"/>
    <xf numFmtId="247" fontId="147" fillId="0" borderId="9" xfId="6485" applyNumberFormat="1" applyFont="1" applyFill="1" applyBorder="1"/>
    <xf numFmtId="37" fontId="147" fillId="0" borderId="0" xfId="0" applyNumberFormat="1" applyFont="1" applyAlignment="1">
      <alignment horizontal="center"/>
    </xf>
    <xf numFmtId="226" fontId="49" fillId="0" borderId="0" xfId="0" applyNumberFormat="1" applyFont="1"/>
    <xf numFmtId="43" fontId="0" fillId="0" borderId="0" xfId="0" applyNumberFormat="1"/>
    <xf numFmtId="37" fontId="383" fillId="0" borderId="0" xfId="0" applyNumberFormat="1" applyFont="1"/>
    <xf numFmtId="226" fontId="262" fillId="142" borderId="50" xfId="6485" applyNumberFormat="1" applyFont="1" applyFill="1" applyBorder="1" applyAlignment="1">
      <alignment horizontal="centerContinuous" vertical="center"/>
    </xf>
    <xf numFmtId="226" fontId="262" fillId="142" borderId="149" xfId="6485" applyNumberFormat="1" applyFont="1" applyFill="1" applyBorder="1" applyAlignment="1">
      <alignment horizontal="centerContinuous" vertical="center"/>
    </xf>
    <xf numFmtId="226" fontId="262" fillId="143" borderId="164" xfId="6485" applyNumberFormat="1" applyFont="1" applyFill="1" applyBorder="1" applyAlignment="1">
      <alignment horizontal="centerContinuous" vertical="center"/>
    </xf>
    <xf numFmtId="0" fontId="262" fillId="143" borderId="50" xfId="0" applyFont="1" applyFill="1" applyBorder="1" applyAlignment="1">
      <alignment horizontal="centerContinuous" vertical="center"/>
    </xf>
    <xf numFmtId="0" fontId="262" fillId="143" borderId="149" xfId="0" applyFont="1" applyFill="1" applyBorder="1" applyAlignment="1">
      <alignment horizontal="centerContinuous" vertical="center"/>
    </xf>
    <xf numFmtId="226" fontId="375" fillId="0" borderId="0" xfId="6485" applyNumberFormat="1" applyFont="1"/>
    <xf numFmtId="0" fontId="262" fillId="143" borderId="50" xfId="0" applyFont="1" applyFill="1" applyBorder="1" applyAlignment="1">
      <alignment horizontal="center" vertical="center" wrapText="1"/>
    </xf>
    <xf numFmtId="0" fontId="262" fillId="143" borderId="149" xfId="0" applyFont="1" applyFill="1" applyBorder="1" applyAlignment="1">
      <alignment horizontal="center" vertical="center" wrapText="1"/>
    </xf>
    <xf numFmtId="226" fontId="249" fillId="0" borderId="76" xfId="6485" applyNumberFormat="1" applyFont="1" applyBorder="1"/>
    <xf numFmtId="226" fontId="249" fillId="0" borderId="0" xfId="6485" applyNumberFormat="1" applyFont="1" applyBorder="1"/>
    <xf numFmtId="43" fontId="279" fillId="0" borderId="0" xfId="6485" applyFont="1"/>
    <xf numFmtId="226" fontId="276" fillId="0" borderId="67" xfId="6485" applyNumberFormat="1" applyFont="1" applyBorder="1"/>
    <xf numFmtId="10" fontId="265" fillId="0" borderId="9" xfId="1" applyNumberFormat="1" applyFont="1" applyFill="1" applyBorder="1"/>
    <xf numFmtId="10" fontId="265" fillId="0" borderId="80" xfId="1" applyNumberFormat="1" applyFont="1" applyFill="1" applyBorder="1"/>
    <xf numFmtId="10" fontId="265" fillId="0" borderId="9" xfId="0" applyNumberFormat="1" applyFont="1" applyBorder="1"/>
    <xf numFmtId="10" fontId="265" fillId="0" borderId="151" xfId="1" applyNumberFormat="1" applyFont="1" applyFill="1" applyBorder="1"/>
    <xf numFmtId="7" fontId="265" fillId="0" borderId="0" xfId="6634" applyNumberFormat="1" applyFont="1" applyFill="1" applyBorder="1"/>
    <xf numFmtId="7" fontId="265" fillId="0" borderId="9" xfId="6634" applyNumberFormat="1" applyFont="1" applyFill="1" applyBorder="1"/>
    <xf numFmtId="213" fontId="24" fillId="0" borderId="80" xfId="1" applyNumberFormat="1" applyFont="1" applyBorder="1"/>
    <xf numFmtId="213" fontId="296" fillId="0" borderId="9" xfId="1" applyNumberFormat="1" applyFont="1" applyFill="1" applyBorder="1"/>
    <xf numFmtId="2" fontId="265" fillId="0" borderId="76" xfId="0" applyNumberFormat="1" applyFont="1" applyBorder="1"/>
    <xf numFmtId="2" fontId="265" fillId="0" borderId="80" xfId="0" applyNumberFormat="1" applyFont="1" applyBorder="1"/>
    <xf numFmtId="37" fontId="278" fillId="0" borderId="151" xfId="0" applyNumberFormat="1" applyFont="1" applyBorder="1"/>
    <xf numFmtId="10" fontId="276" fillId="0" borderId="0" xfId="1" applyNumberFormat="1" applyFont="1" applyFill="1" applyBorder="1"/>
    <xf numFmtId="10" fontId="276" fillId="0" borderId="67" xfId="1" applyNumberFormat="1" applyFont="1" applyFill="1" applyBorder="1"/>
    <xf numFmtId="213" fontId="147" fillId="0" borderId="151" xfId="1" applyNumberFormat="1" applyFont="1" applyFill="1" applyBorder="1"/>
    <xf numFmtId="213" fontId="265" fillId="104" borderId="0" xfId="1" applyNumberFormat="1" applyFont="1" applyFill="1" applyBorder="1"/>
    <xf numFmtId="37" fontId="24" fillId="104" borderId="0" xfId="0" applyNumberFormat="1" applyFont="1" applyFill="1"/>
    <xf numFmtId="213" fontId="276" fillId="0" borderId="0" xfId="1" applyNumberFormat="1" applyFont="1" applyFill="1" applyBorder="1"/>
    <xf numFmtId="213" fontId="49" fillId="0" borderId="76" xfId="1" applyNumberFormat="1" applyFont="1" applyFill="1" applyBorder="1"/>
    <xf numFmtId="213" fontId="24" fillId="104" borderId="0" xfId="1" applyNumberFormat="1" applyFont="1" applyFill="1" applyBorder="1"/>
    <xf numFmtId="37" fontId="24" fillId="104" borderId="9" xfId="0" applyNumberFormat="1" applyFont="1" applyFill="1" applyBorder="1"/>
    <xf numFmtId="247" fontId="265" fillId="104" borderId="0" xfId="6485" applyNumberFormat="1" applyFont="1" applyFill="1" applyBorder="1"/>
    <xf numFmtId="247" fontId="286" fillId="104" borderId="0" xfId="6485" applyNumberFormat="1" applyFont="1" applyFill="1" applyBorder="1"/>
    <xf numFmtId="213" fontId="24" fillId="104" borderId="76" xfId="1" applyNumberFormat="1" applyFont="1" applyFill="1" applyBorder="1"/>
    <xf numFmtId="37" fontId="265" fillId="144" borderId="15" xfId="0" applyNumberFormat="1" applyFont="1" applyFill="1" applyBorder="1"/>
    <xf numFmtId="37" fontId="24" fillId="0" borderId="17" xfId="0" applyNumberFormat="1" applyFont="1" applyBorder="1"/>
    <xf numFmtId="213" fontId="147" fillId="0" borderId="0" xfId="1" applyNumberFormat="1" applyFont="1" applyFill="1" applyBorder="1" applyAlignment="1">
      <alignment horizontal="right" indent="1"/>
    </xf>
    <xf numFmtId="213" fontId="147" fillId="0" borderId="9" xfId="1" applyNumberFormat="1" applyFont="1" applyFill="1" applyBorder="1" applyAlignment="1">
      <alignment horizontal="right" indent="1"/>
    </xf>
    <xf numFmtId="213" fontId="265" fillId="0" borderId="0" xfId="1" applyNumberFormat="1" applyFont="1" applyFill="1" applyBorder="1" applyAlignment="1">
      <alignment horizontal="right" indent="1"/>
    </xf>
    <xf numFmtId="9" fontId="278" fillId="0" borderId="76" xfId="1" applyFont="1" applyBorder="1"/>
    <xf numFmtId="9" fontId="278" fillId="0" borderId="80" xfId="1" applyFont="1" applyBorder="1"/>
    <xf numFmtId="9" fontId="24" fillId="0" borderId="76" xfId="1" applyFont="1" applyBorder="1"/>
    <xf numFmtId="9" fontId="276" fillId="0" borderId="76" xfId="1" applyFont="1" applyBorder="1"/>
    <xf numFmtId="247" fontId="265" fillId="144" borderId="15" xfId="6485" applyNumberFormat="1" applyFont="1" applyFill="1" applyBorder="1"/>
    <xf numFmtId="287" fontId="265" fillId="144" borderId="15" xfId="0" applyNumberFormat="1" applyFont="1" applyFill="1" applyBorder="1"/>
    <xf numFmtId="37" fontId="249" fillId="0" borderId="181" xfId="0" applyNumberFormat="1" applyFont="1" applyBorder="1"/>
    <xf numFmtId="37" fontId="276" fillId="0" borderId="17" xfId="0" applyNumberFormat="1" applyFont="1" applyBorder="1"/>
    <xf numFmtId="37" fontId="0" fillId="104" borderId="67" xfId="0" applyNumberFormat="1" applyFill="1" applyBorder="1"/>
    <xf numFmtId="37" fontId="147" fillId="104" borderId="67" xfId="0" applyNumberFormat="1" applyFont="1" applyFill="1" applyBorder="1"/>
    <xf numFmtId="37" fontId="278" fillId="104" borderId="0" xfId="0" applyNumberFormat="1" applyFont="1" applyFill="1"/>
    <xf numFmtId="37" fontId="278" fillId="104" borderId="9" xfId="0" applyNumberFormat="1" applyFont="1" applyFill="1" applyBorder="1"/>
    <xf numFmtId="0" fontId="0" fillId="104" borderId="67" xfId="0" applyFill="1" applyBorder="1"/>
    <xf numFmtId="37" fontId="24" fillId="0" borderId="151" xfId="0" applyNumberFormat="1" applyFont="1" applyBorder="1"/>
    <xf numFmtId="0" fontId="249" fillId="0" borderId="151" xfId="0" applyFont="1" applyBorder="1"/>
    <xf numFmtId="0" fontId="0" fillId="0" borderId="80" xfId="0" applyBorder="1"/>
    <xf numFmtId="213" fontId="249" fillId="0" borderId="76" xfId="1" applyNumberFormat="1" applyFont="1" applyFill="1" applyBorder="1"/>
    <xf numFmtId="213" fontId="249" fillId="0" borderId="76" xfId="1" applyNumberFormat="1" applyFont="1" applyBorder="1"/>
    <xf numFmtId="0" fontId="378" fillId="0" borderId="76" xfId="0" applyFont="1" applyBorder="1" applyAlignment="1">
      <alignment horizontal="center"/>
    </xf>
    <xf numFmtId="38" fontId="265" fillId="0" borderId="76" xfId="0" applyNumberFormat="1" applyFont="1" applyBorder="1"/>
    <xf numFmtId="0" fontId="249" fillId="124" borderId="67" xfId="0" applyFont="1" applyFill="1" applyBorder="1" applyAlignment="1">
      <alignment horizontal="left" indent="1"/>
    </xf>
    <xf numFmtId="0" fontId="271" fillId="124" borderId="67" xfId="0" applyFont="1" applyFill="1" applyBorder="1" applyAlignment="1">
      <alignment horizontal="center"/>
    </xf>
    <xf numFmtId="213" fontId="249" fillId="0" borderId="67" xfId="1" applyNumberFormat="1" applyFont="1" applyFill="1" applyBorder="1"/>
    <xf numFmtId="213" fontId="249" fillId="0" borderId="67" xfId="1" applyNumberFormat="1" applyFont="1" applyBorder="1"/>
    <xf numFmtId="0" fontId="284" fillId="0" borderId="76" xfId="0" applyFont="1" applyBorder="1" applyAlignment="1">
      <alignment horizontal="center"/>
    </xf>
    <xf numFmtId="0" fontId="271" fillId="0" borderId="76" xfId="0" applyFont="1" applyBorder="1" applyAlignment="1">
      <alignment horizontal="center"/>
    </xf>
    <xf numFmtId="0" fontId="249" fillId="124" borderId="67" xfId="0" applyFont="1" applyFill="1" applyBorder="1"/>
    <xf numFmtId="0" fontId="267" fillId="124" borderId="67" xfId="0" applyFont="1" applyFill="1" applyBorder="1" applyAlignment="1">
      <alignment horizontal="center"/>
    </xf>
    <xf numFmtId="9" fontId="249" fillId="0" borderId="76" xfId="1" applyFont="1" applyFill="1" applyBorder="1"/>
    <xf numFmtId="9" fontId="275" fillId="0" borderId="76" xfId="1" applyFont="1" applyBorder="1" applyAlignment="1">
      <alignment horizontal="center"/>
    </xf>
    <xf numFmtId="0" fontId="49" fillId="0" borderId="76" xfId="0" applyFont="1" applyBorder="1" applyAlignment="1">
      <alignment horizontal="left"/>
    </xf>
    <xf numFmtId="0" fontId="70" fillId="0" borderId="76" xfId="0" applyFont="1" applyBorder="1" applyAlignment="1">
      <alignment horizontal="center"/>
    </xf>
    <xf numFmtId="0" fontId="147" fillId="106" borderId="67" xfId="0" applyFont="1" applyFill="1" applyBorder="1"/>
    <xf numFmtId="0" fontId="264" fillId="106" borderId="67" xfId="0" applyFont="1" applyFill="1" applyBorder="1" applyAlignment="1">
      <alignment horizontal="center"/>
    </xf>
    <xf numFmtId="10" fontId="265" fillId="0" borderId="67" xfId="1" applyNumberFormat="1" applyFont="1" applyFill="1" applyBorder="1"/>
    <xf numFmtId="2" fontId="249" fillId="0" borderId="67" xfId="0" applyNumberFormat="1" applyFont="1" applyBorder="1"/>
    <xf numFmtId="2" fontId="278" fillId="0" borderId="67" xfId="6485" applyNumberFormat="1" applyFont="1" applyFill="1" applyBorder="1"/>
    <xf numFmtId="2" fontId="278" fillId="0" borderId="67" xfId="6485" applyNumberFormat="1" applyFont="1" applyBorder="1"/>
    <xf numFmtId="10" fontId="147" fillId="0" borderId="67" xfId="1" applyNumberFormat="1" applyFont="1" applyBorder="1"/>
    <xf numFmtId="37" fontId="24" fillId="104" borderId="76" xfId="0" applyNumberFormat="1" applyFont="1" applyFill="1" applyBorder="1"/>
    <xf numFmtId="213" fontId="147" fillId="104" borderId="76" xfId="1" applyNumberFormat="1" applyFont="1" applyFill="1" applyBorder="1"/>
    <xf numFmtId="10" fontId="265" fillId="0" borderId="67" xfId="0" applyNumberFormat="1" applyFont="1" applyBorder="1" applyAlignment="1">
      <alignment horizontal="right"/>
    </xf>
    <xf numFmtId="247" fontId="283" fillId="0" borderId="76" xfId="0" applyNumberFormat="1" applyFont="1" applyBorder="1"/>
    <xf numFmtId="37" fontId="282" fillId="0" borderId="151" xfId="0" applyNumberFormat="1" applyFont="1" applyBorder="1"/>
    <xf numFmtId="37" fontId="282" fillId="0" borderId="80" xfId="0" applyNumberFormat="1" applyFont="1" applyBorder="1"/>
    <xf numFmtId="245" fontId="24" fillId="0" borderId="76" xfId="0" applyNumberFormat="1" applyFont="1" applyBorder="1"/>
    <xf numFmtId="37" fontId="249" fillId="104" borderId="67" xfId="0" applyNumberFormat="1" applyFont="1" applyFill="1" applyBorder="1"/>
    <xf numFmtId="245" fontId="24" fillId="104" borderId="67" xfId="0" applyNumberFormat="1" applyFont="1" applyFill="1" applyBorder="1"/>
    <xf numFmtId="287" fontId="278" fillId="0" borderId="67" xfId="0" applyNumberFormat="1" applyFont="1" applyBorder="1"/>
    <xf numFmtId="287" fontId="24" fillId="0" borderId="67" xfId="0" applyNumberFormat="1" applyFont="1" applyBorder="1"/>
    <xf numFmtId="287" fontId="24" fillId="0" borderId="76" xfId="0" applyNumberFormat="1" applyFont="1" applyBorder="1"/>
    <xf numFmtId="247" fontId="147" fillId="104" borderId="67" xfId="6485" applyNumberFormat="1" applyFont="1" applyFill="1" applyBorder="1"/>
    <xf numFmtId="39" fontId="147" fillId="0" borderId="67" xfId="0" applyNumberFormat="1" applyFont="1" applyBorder="1"/>
    <xf numFmtId="0" fontId="277" fillId="0" borderId="76" xfId="0" applyFont="1" applyBorder="1"/>
    <xf numFmtId="37" fontId="0" fillId="107" borderId="67" xfId="0" applyNumberFormat="1" applyFill="1" applyBorder="1"/>
    <xf numFmtId="0" fontId="0" fillId="107" borderId="67" xfId="0" applyFill="1" applyBorder="1"/>
    <xf numFmtId="37" fontId="276" fillId="0" borderId="76" xfId="0" applyNumberFormat="1" applyFont="1" applyBorder="1"/>
    <xf numFmtId="37" fontId="276" fillId="0" borderId="67" xfId="0" applyNumberFormat="1" applyFont="1" applyBorder="1"/>
    <xf numFmtId="213" fontId="276" fillId="0" borderId="76" xfId="1" applyNumberFormat="1" applyFont="1" applyFill="1" applyBorder="1"/>
    <xf numFmtId="192" fontId="24" fillId="0" borderId="67" xfId="6485" applyNumberFormat="1" applyFont="1" applyFill="1" applyBorder="1"/>
    <xf numFmtId="213" fontId="24" fillId="104" borderId="67" xfId="1" applyNumberFormat="1" applyFont="1" applyFill="1" applyBorder="1"/>
    <xf numFmtId="37" fontId="14" fillId="104" borderId="67" xfId="0" applyNumberFormat="1" applyFont="1" applyFill="1" applyBorder="1"/>
    <xf numFmtId="37" fontId="265" fillId="104" borderId="67" xfId="0" applyNumberFormat="1" applyFont="1" applyFill="1" applyBorder="1"/>
    <xf numFmtId="0" fontId="264" fillId="0" borderId="76" xfId="0" applyFont="1" applyBorder="1"/>
    <xf numFmtId="9" fontId="147" fillId="104" borderId="67" xfId="0" applyNumberFormat="1" applyFont="1" applyFill="1" applyBorder="1"/>
    <xf numFmtId="9" fontId="265" fillId="0" borderId="76" xfId="0" applyNumberFormat="1" applyFont="1" applyBorder="1"/>
    <xf numFmtId="9" fontId="147" fillId="0" borderId="76" xfId="0" applyNumberFormat="1" applyFont="1" applyBorder="1"/>
    <xf numFmtId="9" fontId="24" fillId="0" borderId="76" xfId="0" applyNumberFormat="1" applyFont="1" applyBorder="1"/>
    <xf numFmtId="0" fontId="147" fillId="104" borderId="67" xfId="0" applyFont="1" applyFill="1" applyBorder="1"/>
    <xf numFmtId="363" fontId="24" fillId="0" borderId="67" xfId="6485" applyNumberFormat="1" applyFont="1" applyFill="1" applyBorder="1"/>
    <xf numFmtId="43" fontId="24" fillId="0" borderId="67" xfId="6485" applyFont="1" applyFill="1" applyBorder="1"/>
    <xf numFmtId="43" fontId="24" fillId="0" borderId="67" xfId="6485" applyFont="1" applyBorder="1"/>
    <xf numFmtId="247" fontId="249" fillId="0" borderId="67" xfId="6485" applyNumberFormat="1" applyFont="1" applyBorder="1"/>
    <xf numFmtId="247" fontId="249" fillId="128" borderId="67" xfId="6485" applyNumberFormat="1" applyFont="1" applyFill="1" applyBorder="1"/>
    <xf numFmtId="1" fontId="265" fillId="0" borderId="67" xfId="0" applyNumberFormat="1" applyFont="1" applyBorder="1"/>
    <xf numFmtId="1" fontId="24" fillId="0" borderId="67" xfId="0" applyNumberFormat="1" applyFont="1" applyBorder="1"/>
    <xf numFmtId="0" fontId="318" fillId="0" borderId="67" xfId="0" applyFont="1" applyBorder="1"/>
    <xf numFmtId="10" fontId="318" fillId="0" borderId="67" xfId="1" applyNumberFormat="1" applyFont="1" applyBorder="1"/>
    <xf numFmtId="10" fontId="318" fillId="104" borderId="67" xfId="1" applyNumberFormat="1" applyFont="1" applyFill="1" applyBorder="1"/>
    <xf numFmtId="10" fontId="318" fillId="0" borderId="151" xfId="1" applyNumberFormat="1" applyFont="1" applyBorder="1"/>
    <xf numFmtId="0" fontId="284" fillId="0" borderId="67" xfId="0" applyFont="1" applyBorder="1" applyAlignment="1">
      <alignment horizontal="left" indent="1"/>
    </xf>
    <xf numFmtId="213" fontId="284" fillId="0" borderId="67" xfId="1" applyNumberFormat="1" applyFont="1" applyBorder="1"/>
    <xf numFmtId="0" fontId="284" fillId="0" borderId="67" xfId="0" applyFont="1" applyBorder="1"/>
    <xf numFmtId="0" fontId="299" fillId="0" borderId="67" xfId="0" applyFont="1" applyBorder="1" applyAlignment="1">
      <alignment horizontal="center"/>
    </xf>
    <xf numFmtId="0" fontId="288" fillId="0" borderId="67" xfId="0" applyFont="1" applyBorder="1"/>
    <xf numFmtId="10" fontId="24" fillId="0" borderId="67" xfId="1" applyNumberFormat="1" applyFont="1" applyFill="1" applyBorder="1"/>
    <xf numFmtId="1" fontId="276" fillId="124" borderId="67" xfId="0" applyNumberFormat="1" applyFont="1" applyFill="1" applyBorder="1"/>
    <xf numFmtId="0" fontId="275" fillId="0" borderId="67" xfId="0" applyFont="1" applyBorder="1" applyAlignment="1">
      <alignment horizontal="center"/>
    </xf>
    <xf numFmtId="247" fontId="297" fillId="0" borderId="67" xfId="6485" applyNumberFormat="1" applyFont="1" applyBorder="1"/>
    <xf numFmtId="247" fontId="298" fillId="0" borderId="67" xfId="6485" applyNumberFormat="1" applyFont="1" applyBorder="1"/>
    <xf numFmtId="0" fontId="295" fillId="0" borderId="67" xfId="0" applyFont="1" applyBorder="1" applyAlignment="1">
      <alignment horizontal="center"/>
    </xf>
    <xf numFmtId="43" fontId="265" fillId="0" borderId="67" xfId="6485" applyFont="1" applyFill="1" applyBorder="1"/>
    <xf numFmtId="37" fontId="283" fillId="124" borderId="67" xfId="0" applyNumberFormat="1" applyFont="1" applyFill="1" applyBorder="1"/>
    <xf numFmtId="0" fontId="271" fillId="0" borderId="67" xfId="0" applyFont="1" applyBorder="1" applyAlignment="1">
      <alignment horizontal="center"/>
    </xf>
    <xf numFmtId="0" fontId="249" fillId="0" borderId="67" xfId="0" applyFont="1" applyBorder="1" applyAlignment="1">
      <alignment horizontal="left"/>
    </xf>
    <xf numFmtId="247" fontId="249" fillId="0" borderId="67" xfId="6485" applyNumberFormat="1" applyFont="1" applyFill="1" applyBorder="1" applyAlignment="1">
      <alignment horizontal="left" indent="1"/>
    </xf>
    <xf numFmtId="0" fontId="319" fillId="0" borderId="67" xfId="0" applyFont="1" applyBorder="1" applyAlignment="1">
      <alignment horizontal="center"/>
    </xf>
    <xf numFmtId="37" fontId="318" fillId="0" borderId="67" xfId="0" applyNumberFormat="1" applyFont="1" applyBorder="1"/>
    <xf numFmtId="247" fontId="265" fillId="0" borderId="67" xfId="6485" applyNumberFormat="1" applyFont="1" applyBorder="1"/>
    <xf numFmtId="10" fontId="284" fillId="0" borderId="76" xfId="1" applyNumberFormat="1" applyFont="1" applyBorder="1"/>
    <xf numFmtId="213" fontId="296" fillId="0" borderId="76" xfId="1" applyNumberFormat="1" applyFont="1" applyBorder="1"/>
    <xf numFmtId="192" fontId="147" fillId="0" borderId="76" xfId="6485" applyNumberFormat="1" applyFont="1" applyBorder="1"/>
    <xf numFmtId="192" fontId="265" fillId="0" borderId="76" xfId="6485" applyNumberFormat="1" applyFont="1" applyBorder="1"/>
    <xf numFmtId="247" fontId="147" fillId="110" borderId="67" xfId="6485" applyNumberFormat="1" applyFont="1" applyFill="1" applyBorder="1"/>
    <xf numFmtId="213" fontId="0" fillId="110" borderId="67" xfId="1" applyNumberFormat="1" applyFont="1" applyFill="1" applyBorder="1"/>
    <xf numFmtId="247" fontId="265" fillId="0" borderId="76" xfId="6485" applyNumberFormat="1" applyFont="1" applyBorder="1"/>
    <xf numFmtId="247" fontId="147" fillId="110" borderId="76" xfId="6485" applyNumberFormat="1" applyFont="1" applyFill="1" applyBorder="1"/>
    <xf numFmtId="0" fontId="0" fillId="110" borderId="76" xfId="0" applyFill="1" applyBorder="1"/>
    <xf numFmtId="10" fontId="249" fillId="0" borderId="76" xfId="1" applyNumberFormat="1" applyFont="1" applyBorder="1"/>
    <xf numFmtId="213" fontId="24" fillId="0" borderId="67" xfId="1" applyNumberFormat="1" applyFont="1" applyBorder="1"/>
    <xf numFmtId="213" fontId="249" fillId="0" borderId="151" xfId="1" applyNumberFormat="1" applyFont="1" applyFill="1" applyBorder="1"/>
    <xf numFmtId="213" fontId="284" fillId="0" borderId="67" xfId="0" applyNumberFormat="1" applyFont="1" applyBorder="1"/>
    <xf numFmtId="247" fontId="284" fillId="0" borderId="67" xfId="6485" applyNumberFormat="1" applyFont="1" applyFill="1" applyBorder="1"/>
    <xf numFmtId="247" fontId="284" fillId="0" borderId="151" xfId="6485" applyNumberFormat="1" applyFont="1" applyFill="1" applyBorder="1"/>
    <xf numFmtId="213" fontId="249" fillId="0" borderId="151" xfId="1" applyNumberFormat="1" applyFont="1" applyBorder="1"/>
    <xf numFmtId="1" fontId="276" fillId="0" borderId="67" xfId="0" applyNumberFormat="1" applyFont="1" applyBorder="1"/>
    <xf numFmtId="1" fontId="24" fillId="0" borderId="76" xfId="0" applyNumberFormat="1" applyFont="1" applyBorder="1"/>
    <xf numFmtId="213" fontId="147" fillId="0" borderId="151" xfId="1" applyNumberFormat="1" applyFont="1" applyBorder="1"/>
    <xf numFmtId="0" fontId="307" fillId="0" borderId="76" xfId="0" applyFont="1" applyBorder="1" applyAlignment="1">
      <alignment horizontal="center"/>
    </xf>
    <xf numFmtId="10" fontId="284" fillId="0" borderId="67" xfId="1" applyNumberFormat="1" applyFont="1" applyBorder="1"/>
    <xf numFmtId="0" fontId="265" fillId="105" borderId="67" xfId="0" applyFont="1" applyFill="1" applyBorder="1"/>
    <xf numFmtId="10" fontId="276" fillId="0" borderId="67" xfId="1" applyNumberFormat="1" applyFont="1" applyBorder="1"/>
    <xf numFmtId="10" fontId="276" fillId="0" borderId="76" xfId="1" applyNumberFormat="1" applyFont="1" applyBorder="1"/>
    <xf numFmtId="214" fontId="147" fillId="0" borderId="67" xfId="0" applyNumberFormat="1" applyFont="1" applyBorder="1"/>
    <xf numFmtId="214" fontId="147" fillId="0" borderId="76" xfId="0" applyNumberFormat="1" applyFont="1" applyBorder="1"/>
    <xf numFmtId="0" fontId="285" fillId="0" borderId="67" xfId="0" applyFont="1" applyBorder="1"/>
    <xf numFmtId="0" fontId="285" fillId="0" borderId="76" xfId="0" applyFont="1" applyBorder="1"/>
    <xf numFmtId="247" fontId="294" fillId="0" borderId="76" xfId="6485" applyNumberFormat="1" applyFont="1" applyBorder="1"/>
    <xf numFmtId="2" fontId="276" fillId="0" borderId="76" xfId="0" applyNumberFormat="1" applyFont="1" applyBorder="1"/>
    <xf numFmtId="9" fontId="24" fillId="0" borderId="80" xfId="1" applyFont="1" applyBorder="1"/>
    <xf numFmtId="9" fontId="24" fillId="0" borderId="80" xfId="1" applyFont="1" applyFill="1" applyBorder="1"/>
    <xf numFmtId="247" fontId="282" fillId="0" borderId="76" xfId="6485" applyNumberFormat="1" applyFont="1" applyBorder="1"/>
    <xf numFmtId="9" fontId="24" fillId="0" borderId="67" xfId="1" applyFont="1" applyBorder="1"/>
    <xf numFmtId="192" fontId="265" fillId="0" borderId="67" xfId="6485" applyNumberFormat="1" applyFont="1" applyBorder="1"/>
    <xf numFmtId="43" fontId="301" fillId="0" borderId="67" xfId="6485" applyFont="1" applyBorder="1"/>
    <xf numFmtId="0" fontId="147" fillId="0" borderId="151" xfId="0" applyFont="1" applyBorder="1"/>
    <xf numFmtId="0" fontId="300" fillId="0" borderId="80" xfId="0" applyFont="1" applyBorder="1" applyAlignment="1">
      <alignment horizontal="center"/>
    </xf>
    <xf numFmtId="9" fontId="24" fillId="0" borderId="151" xfId="1" applyFont="1" applyBorder="1"/>
    <xf numFmtId="43" fontId="301" fillId="0" borderId="76" xfId="6485" applyFont="1" applyBorder="1"/>
    <xf numFmtId="247" fontId="249" fillId="0" borderId="76" xfId="6485" applyNumberFormat="1" applyFont="1" applyFill="1" applyBorder="1" applyAlignment="1">
      <alignment horizontal="left" indent="1"/>
    </xf>
    <xf numFmtId="9" fontId="49" fillId="0" borderId="67" xfId="1" applyFont="1" applyBorder="1"/>
    <xf numFmtId="247" fontId="49" fillId="0" borderId="67" xfId="1" applyNumberFormat="1" applyFont="1" applyBorder="1"/>
    <xf numFmtId="37" fontId="228" fillId="0" borderId="67" xfId="0" applyNumberFormat="1" applyFont="1" applyBorder="1" applyAlignment="1">
      <alignment horizontal="center"/>
    </xf>
    <xf numFmtId="0" fontId="345" fillId="0" borderId="67" xfId="0" applyFont="1" applyBorder="1"/>
    <xf numFmtId="0" fontId="228" fillId="0" borderId="67" xfId="0" applyFont="1" applyBorder="1" applyAlignment="1">
      <alignment horizontal="center"/>
    </xf>
    <xf numFmtId="37" fontId="228" fillId="119" borderId="67" xfId="0" applyNumberFormat="1" applyFont="1" applyFill="1" applyBorder="1"/>
    <xf numFmtId="37" fontId="228" fillId="0" borderId="67" xfId="0" applyNumberFormat="1" applyFont="1" applyBorder="1"/>
    <xf numFmtId="37" fontId="345" fillId="0" borderId="67" xfId="0" applyNumberFormat="1" applyFont="1" applyBorder="1" applyAlignment="1" applyProtection="1">
      <alignment horizontal="right" indent="1"/>
      <protection locked="0"/>
    </xf>
    <xf numFmtId="37" fontId="345" fillId="0" borderId="167" xfId="0" applyNumberFormat="1" applyFont="1" applyBorder="1" applyAlignment="1">
      <alignment horizontal="right" indent="1"/>
    </xf>
    <xf numFmtId="37" fontId="345" fillId="123" borderId="167" xfId="0" applyNumberFormat="1" applyFont="1" applyFill="1" applyBorder="1" applyAlignment="1" applyProtection="1">
      <alignment horizontal="right" indent="1"/>
      <protection locked="0"/>
    </xf>
    <xf numFmtId="0" fontId="228" fillId="123" borderId="67" xfId="0" applyFont="1" applyFill="1" applyBorder="1" applyAlignment="1">
      <alignment horizontal="right" indent="1"/>
    </xf>
    <xf numFmtId="37" fontId="228" fillId="123" borderId="67" xfId="0" applyNumberFormat="1" applyFont="1" applyFill="1" applyBorder="1" applyAlignment="1" applyProtection="1">
      <alignment horizontal="right" indent="1"/>
      <protection locked="0"/>
    </xf>
    <xf numFmtId="0" fontId="350" fillId="122" borderId="170" xfId="0" applyFont="1" applyFill="1" applyBorder="1" applyAlignment="1">
      <alignment horizontal="center" vertical="center" readingOrder="1"/>
    </xf>
    <xf numFmtId="0" fontId="147" fillId="0" borderId="182" xfId="0" applyFont="1" applyBorder="1"/>
    <xf numFmtId="0" fontId="0" fillId="0" borderId="183" xfId="0" applyBorder="1"/>
    <xf numFmtId="213" fontId="284" fillId="0" borderId="184" xfId="1" applyNumberFormat="1" applyFont="1" applyBorder="1"/>
    <xf numFmtId="213" fontId="284" fillId="0" borderId="184" xfId="1" applyNumberFormat="1" applyFont="1" applyFill="1" applyBorder="1"/>
    <xf numFmtId="213" fontId="284" fillId="0" borderId="185" xfId="1" applyNumberFormat="1" applyFont="1" applyBorder="1"/>
    <xf numFmtId="37" fontId="278" fillId="0" borderId="183" xfId="0" applyNumberFormat="1" applyFont="1" applyBorder="1"/>
    <xf numFmtId="37" fontId="249" fillId="124" borderId="183" xfId="0" applyNumberFormat="1" applyFont="1" applyFill="1" applyBorder="1"/>
    <xf numFmtId="37" fontId="283" fillId="0" borderId="183" xfId="0" applyNumberFormat="1" applyFont="1" applyBorder="1"/>
    <xf numFmtId="37" fontId="249" fillId="0" borderId="182" xfId="0" applyNumberFormat="1" applyFont="1" applyBorder="1"/>
    <xf numFmtId="37" fontId="147" fillId="0" borderId="183" xfId="0" applyNumberFormat="1" applyFont="1" applyBorder="1"/>
    <xf numFmtId="37" fontId="265" fillId="124" borderId="183" xfId="0" applyNumberFormat="1" applyFont="1" applyFill="1" applyBorder="1"/>
    <xf numFmtId="37" fontId="278" fillId="124" borderId="183" xfId="0" applyNumberFormat="1" applyFont="1" applyFill="1" applyBorder="1"/>
    <xf numFmtId="37" fontId="24" fillId="0" borderId="183" xfId="0" applyNumberFormat="1" applyFont="1" applyBorder="1"/>
    <xf numFmtId="10" fontId="265" fillId="0" borderId="183" xfId="1" applyNumberFormat="1" applyFont="1" applyFill="1" applyBorder="1"/>
    <xf numFmtId="2" fontId="249" fillId="0" borderId="186" xfId="0" applyNumberFormat="1" applyFont="1" applyBorder="1"/>
    <xf numFmtId="2" fontId="278" fillId="0" borderId="186" xfId="6485" applyNumberFormat="1" applyFont="1" applyFill="1" applyBorder="1"/>
    <xf numFmtId="0" fontId="249" fillId="0" borderId="184" xfId="0" applyFont="1" applyBorder="1"/>
    <xf numFmtId="0" fontId="285" fillId="0" borderId="184" xfId="0" applyFont="1" applyBorder="1"/>
    <xf numFmtId="2" fontId="249" fillId="0" borderId="184" xfId="0" applyNumberFormat="1" applyFont="1" applyBorder="1"/>
    <xf numFmtId="10" fontId="147" fillId="0" borderId="183" xfId="1" applyNumberFormat="1" applyFont="1" applyFill="1" applyBorder="1"/>
    <xf numFmtId="213" fontId="24" fillId="0" borderId="183" xfId="1" applyNumberFormat="1" applyFont="1" applyFill="1" applyBorder="1"/>
    <xf numFmtId="213" fontId="147" fillId="0" borderId="183" xfId="1" applyNumberFormat="1" applyFont="1" applyFill="1" applyBorder="1" applyAlignment="1">
      <alignment horizontal="right" indent="1"/>
    </xf>
    <xf numFmtId="10" fontId="265" fillId="104" borderId="183" xfId="0" applyNumberFormat="1" applyFont="1" applyFill="1" applyBorder="1" applyAlignment="1">
      <alignment horizontal="right"/>
    </xf>
    <xf numFmtId="10" fontId="265" fillId="104" borderId="186" xfId="0" applyNumberFormat="1" applyFont="1" applyFill="1" applyBorder="1" applyAlignment="1">
      <alignment horizontal="right"/>
    </xf>
    <xf numFmtId="247" fontId="249" fillId="104" borderId="183" xfId="0" applyNumberFormat="1" applyFont="1" applyFill="1" applyBorder="1"/>
    <xf numFmtId="245" fontId="24" fillId="104" borderId="183" xfId="0" applyNumberFormat="1" applyFont="1" applyFill="1" applyBorder="1"/>
    <xf numFmtId="247" fontId="147" fillId="104" borderId="183" xfId="6485" applyNumberFormat="1" applyFont="1" applyFill="1" applyBorder="1"/>
    <xf numFmtId="0" fontId="249" fillId="0" borderId="184" xfId="0" applyFont="1" applyBorder="1" applyAlignment="1">
      <alignment horizontal="left"/>
    </xf>
    <xf numFmtId="0" fontId="264" fillId="0" borderId="184" xfId="0" applyFont="1" applyBorder="1" applyAlignment="1">
      <alignment horizontal="center"/>
    </xf>
    <xf numFmtId="1" fontId="249" fillId="0" borderId="185" xfId="0" applyNumberFormat="1" applyFont="1" applyBorder="1"/>
    <xf numFmtId="1" fontId="249" fillId="0" borderId="184" xfId="0" applyNumberFormat="1" applyFont="1" applyBorder="1"/>
    <xf numFmtId="192" fontId="24" fillId="0" borderId="183" xfId="6485" applyNumberFormat="1" applyFont="1" applyFill="1" applyBorder="1"/>
    <xf numFmtId="37" fontId="265" fillId="104" borderId="183" xfId="0" applyNumberFormat="1" applyFont="1" applyFill="1" applyBorder="1"/>
    <xf numFmtId="37" fontId="265" fillId="0" borderId="183" xfId="0" applyNumberFormat="1" applyFont="1" applyBorder="1"/>
    <xf numFmtId="0" fontId="265" fillId="0" borderId="183" xfId="0" applyFont="1" applyBorder="1"/>
    <xf numFmtId="0" fontId="147" fillId="0" borderId="184" xfId="0" applyFont="1" applyBorder="1"/>
    <xf numFmtId="37" fontId="278" fillId="0" borderId="184" xfId="0" applyNumberFormat="1" applyFont="1" applyBorder="1"/>
    <xf numFmtId="37" fontId="24" fillId="0" borderId="184" xfId="0" applyNumberFormat="1" applyFont="1" applyBorder="1"/>
    <xf numFmtId="37" fontId="24" fillId="0" borderId="185" xfId="0" applyNumberFormat="1" applyFont="1" applyBorder="1"/>
    <xf numFmtId="37" fontId="147" fillId="104" borderId="183" xfId="0" applyNumberFormat="1" applyFont="1" applyFill="1" applyBorder="1"/>
    <xf numFmtId="9" fontId="147" fillId="104" borderId="183" xfId="0" applyNumberFormat="1" applyFont="1" applyFill="1" applyBorder="1"/>
    <xf numFmtId="37" fontId="147" fillId="104" borderId="186" xfId="0" applyNumberFormat="1" applyFont="1" applyFill="1" applyBorder="1"/>
    <xf numFmtId="0" fontId="267" fillId="0" borderId="184" xfId="0" applyFont="1" applyBorder="1" applyAlignment="1">
      <alignment horizontal="center"/>
    </xf>
    <xf numFmtId="0" fontId="285" fillId="104" borderId="184" xfId="0" applyFont="1" applyFill="1" applyBorder="1"/>
    <xf numFmtId="37" fontId="249" fillId="0" borderId="184" xfId="0" applyNumberFormat="1" applyFont="1" applyBorder="1"/>
    <xf numFmtId="0" fontId="0" fillId="104" borderId="183" xfId="0" applyFill="1" applyBorder="1"/>
    <xf numFmtId="37" fontId="249" fillId="104" borderId="184" xfId="0" applyNumberFormat="1" applyFont="1" applyFill="1" applyBorder="1"/>
    <xf numFmtId="37" fontId="249" fillId="104" borderId="185" xfId="0" applyNumberFormat="1" applyFont="1" applyFill="1" applyBorder="1"/>
    <xf numFmtId="10" fontId="147" fillId="104" borderId="186" xfId="0" applyNumberFormat="1" applyFont="1" applyFill="1" applyBorder="1"/>
    <xf numFmtId="363" fontId="24" fillId="0" borderId="186" xfId="6485" applyNumberFormat="1" applyFont="1" applyFill="1" applyBorder="1"/>
    <xf numFmtId="43" fontId="265" fillId="121" borderId="185" xfId="6485" applyFont="1" applyFill="1" applyBorder="1"/>
    <xf numFmtId="43" fontId="24" fillId="0" borderId="183" xfId="6485" applyFont="1" applyFill="1" applyBorder="1"/>
    <xf numFmtId="247" fontId="249" fillId="0" borderId="186" xfId="6485" applyNumberFormat="1" applyFont="1" applyFill="1" applyBorder="1"/>
    <xf numFmtId="1" fontId="265" fillId="0" borderId="186" xfId="0" applyNumberFormat="1" applyFont="1" applyBorder="1"/>
    <xf numFmtId="10" fontId="318" fillId="0" borderId="182" xfId="1" applyNumberFormat="1" applyFont="1" applyBorder="1"/>
    <xf numFmtId="213" fontId="284" fillId="0" borderId="186" xfId="1" applyNumberFormat="1" applyFont="1" applyFill="1" applyBorder="1"/>
    <xf numFmtId="1" fontId="147" fillId="0" borderId="186" xfId="0" applyNumberFormat="1" applyFont="1" applyBorder="1"/>
    <xf numFmtId="10" fontId="24" fillId="0" borderId="183" xfId="1" applyNumberFormat="1" applyFont="1" applyFill="1" applyBorder="1"/>
    <xf numFmtId="247" fontId="297" fillId="0" borderId="183" xfId="6485" applyNumberFormat="1" applyFont="1" applyFill="1" applyBorder="1"/>
    <xf numFmtId="0" fontId="284" fillId="0" borderId="184" xfId="0" applyFont="1" applyBorder="1"/>
    <xf numFmtId="0" fontId="322" fillId="0" borderId="184" xfId="0" applyFont="1" applyBorder="1" applyAlignment="1">
      <alignment horizontal="center"/>
    </xf>
    <xf numFmtId="247" fontId="323" fillId="0" borderId="184" xfId="6485" applyNumberFormat="1" applyFont="1" applyBorder="1"/>
    <xf numFmtId="247" fontId="323" fillId="0" borderId="184" xfId="6485" applyNumberFormat="1" applyFont="1" applyFill="1" applyBorder="1"/>
    <xf numFmtId="247" fontId="323" fillId="0" borderId="185" xfId="6485" applyNumberFormat="1" applyFont="1" applyFill="1" applyBorder="1"/>
    <xf numFmtId="43" fontId="24" fillId="0" borderId="183" xfId="6485" applyFont="1" applyBorder="1"/>
    <xf numFmtId="37" fontId="283" fillId="124" borderId="183" xfId="0" applyNumberFormat="1" applyFont="1" applyFill="1" applyBorder="1"/>
    <xf numFmtId="10" fontId="24" fillId="0" borderId="184" xfId="1" applyNumberFormat="1" applyFont="1" applyFill="1" applyBorder="1"/>
    <xf numFmtId="10" fontId="24" fillId="124" borderId="184" xfId="1" applyNumberFormat="1" applyFont="1" applyFill="1" applyBorder="1"/>
    <xf numFmtId="10" fontId="24" fillId="124" borderId="185" xfId="1" applyNumberFormat="1" applyFont="1" applyFill="1" applyBorder="1"/>
    <xf numFmtId="10" fontId="265" fillId="121" borderId="184" xfId="1" applyNumberFormat="1" applyFont="1" applyFill="1" applyBorder="1"/>
    <xf numFmtId="37" fontId="49" fillId="0" borderId="183" xfId="0" applyNumberFormat="1" applyFont="1" applyBorder="1"/>
    <xf numFmtId="247" fontId="249" fillId="0" borderId="183" xfId="6485" applyNumberFormat="1" applyFont="1" applyFill="1" applyBorder="1" applyAlignment="1">
      <alignment horizontal="left" indent="1"/>
    </xf>
    <xf numFmtId="37" fontId="318" fillId="0" borderId="186" xfId="0" applyNumberFormat="1" applyFont="1" applyBorder="1"/>
    <xf numFmtId="10" fontId="147" fillId="0" borderId="182" xfId="0" applyNumberFormat="1" applyFont="1" applyBorder="1"/>
    <xf numFmtId="247" fontId="284" fillId="0" borderId="182" xfId="6485" applyNumberFormat="1" applyFont="1" applyFill="1" applyBorder="1"/>
    <xf numFmtId="213" fontId="147" fillId="0" borderId="182" xfId="0" applyNumberFormat="1" applyFont="1" applyBorder="1"/>
    <xf numFmtId="1" fontId="24" fillId="0" borderId="182" xfId="0" applyNumberFormat="1" applyFont="1" applyBorder="1"/>
    <xf numFmtId="213" fontId="147" fillId="0" borderId="182" xfId="1" applyNumberFormat="1" applyFont="1" applyBorder="1"/>
    <xf numFmtId="10" fontId="24" fillId="0" borderId="185" xfId="1" applyNumberFormat="1" applyFont="1" applyFill="1" applyBorder="1"/>
    <xf numFmtId="9" fontId="24" fillId="0" borderId="183" xfId="1" applyFont="1" applyBorder="1"/>
    <xf numFmtId="0" fontId="300" fillId="0" borderId="183" xfId="0" applyFont="1" applyBorder="1" applyAlignment="1">
      <alignment horizontal="center"/>
    </xf>
    <xf numFmtId="9" fontId="24" fillId="0" borderId="182" xfId="1" applyFont="1" applyBorder="1"/>
    <xf numFmtId="0" fontId="300" fillId="0" borderId="184" xfId="0" applyFont="1" applyBorder="1" applyAlignment="1">
      <alignment horizontal="center"/>
    </xf>
    <xf numFmtId="9" fontId="24" fillId="0" borderId="184" xfId="1" applyFont="1" applyBorder="1"/>
    <xf numFmtId="43" fontId="301" fillId="0" borderId="184" xfId="6485" applyFont="1" applyBorder="1"/>
    <xf numFmtId="247" fontId="0" fillId="0" borderId="184" xfId="6485" applyNumberFormat="1" applyFont="1" applyBorder="1"/>
    <xf numFmtId="9" fontId="302" fillId="0" borderId="184" xfId="1" applyFont="1" applyBorder="1"/>
    <xf numFmtId="247" fontId="49" fillId="107" borderId="184" xfId="6485" applyNumberFormat="1" applyFont="1" applyFill="1" applyBorder="1"/>
    <xf numFmtId="247" fontId="49" fillId="0" borderId="184" xfId="6485" applyNumberFormat="1" applyFont="1" applyBorder="1"/>
    <xf numFmtId="0" fontId="228" fillId="0" borderId="182" xfId="0" applyFont="1" applyBorder="1"/>
    <xf numFmtId="213" fontId="228" fillId="0" borderId="183" xfId="1" applyNumberFormat="1" applyFont="1" applyBorder="1" applyAlignment="1">
      <alignment horizontal="center"/>
    </xf>
    <xf numFmtId="0" fontId="359" fillId="0" borderId="183" xfId="0" applyFont="1" applyBorder="1" applyAlignment="1">
      <alignment horizontal="center"/>
    </xf>
    <xf numFmtId="37" fontId="348" fillId="0" borderId="183" xfId="0" applyNumberFormat="1" applyFont="1" applyBorder="1"/>
    <xf numFmtId="0" fontId="359" fillId="0" borderId="184" xfId="0" applyFont="1" applyBorder="1"/>
    <xf numFmtId="0" fontId="311" fillId="0" borderId="184" xfId="0" applyFont="1" applyBorder="1" applyAlignment="1">
      <alignment horizontal="center"/>
    </xf>
    <xf numFmtId="37" fontId="311" fillId="0" borderId="184" xfId="0" applyNumberFormat="1" applyFont="1" applyBorder="1"/>
    <xf numFmtId="37" fontId="228" fillId="119" borderId="186" xfId="0" applyNumberFormat="1" applyFont="1" applyFill="1" applyBorder="1"/>
    <xf numFmtId="0" fontId="249" fillId="124" borderId="184" xfId="0" applyFont="1" applyFill="1" applyBorder="1" applyAlignment="1">
      <alignment horizontal="center"/>
    </xf>
    <xf numFmtId="0" fontId="249" fillId="124" borderId="184" xfId="0" applyFont="1" applyFill="1" applyBorder="1"/>
    <xf numFmtId="247" fontId="49" fillId="124" borderId="184" xfId="0" applyNumberFormat="1" applyFont="1" applyFill="1" applyBorder="1"/>
    <xf numFmtId="247" fontId="249" fillId="124" borderId="184" xfId="6485" applyNumberFormat="1" applyFont="1" applyFill="1" applyBorder="1"/>
    <xf numFmtId="226" fontId="249" fillId="124" borderId="184" xfId="6485" applyNumberFormat="1" applyFont="1" applyFill="1" applyBorder="1"/>
    <xf numFmtId="247" fontId="249" fillId="124" borderId="184" xfId="0" applyNumberFormat="1" applyFont="1" applyFill="1" applyBorder="1"/>
    <xf numFmtId="247" fontId="249" fillId="124" borderId="185" xfId="0" applyNumberFormat="1" applyFont="1" applyFill="1" applyBorder="1"/>
    <xf numFmtId="213" fontId="249" fillId="124" borderId="184" xfId="1" applyNumberFormat="1" applyFont="1" applyFill="1" applyBorder="1" applyAlignment="1">
      <alignment horizontal="right"/>
    </xf>
    <xf numFmtId="213" fontId="249" fillId="124" borderId="184" xfId="1" applyNumberFormat="1" applyFont="1" applyFill="1" applyBorder="1"/>
    <xf numFmtId="247" fontId="249" fillId="124" borderId="184" xfId="0" applyNumberFormat="1" applyFont="1" applyFill="1" applyBorder="1" applyAlignment="1">
      <alignment horizontal="right"/>
    </xf>
    <xf numFmtId="247" fontId="147" fillId="0" borderId="184" xfId="6485" applyNumberFormat="1" applyFont="1" applyBorder="1"/>
    <xf numFmtId="247" fontId="249" fillId="124" borderId="184" xfId="6485" applyNumberFormat="1" applyFont="1" applyFill="1" applyBorder="1" applyAlignment="1">
      <alignment horizontal="right"/>
    </xf>
    <xf numFmtId="0" fontId="249" fillId="123" borderId="184" xfId="0" applyFont="1" applyFill="1" applyBorder="1" applyAlignment="1">
      <alignment horizontal="left" indent="1"/>
    </xf>
    <xf numFmtId="0" fontId="249" fillId="123" borderId="184" xfId="0" applyFont="1" applyFill="1" applyBorder="1" applyAlignment="1">
      <alignment horizontal="center"/>
    </xf>
    <xf numFmtId="247" fontId="249" fillId="123" borderId="184" xfId="6485" applyNumberFormat="1" applyFont="1" applyFill="1" applyBorder="1"/>
    <xf numFmtId="226" fontId="249" fillId="123" borderId="184" xfId="6485" applyNumberFormat="1" applyFont="1" applyFill="1" applyBorder="1"/>
    <xf numFmtId="213" fontId="249" fillId="123" borderId="184" xfId="1" applyNumberFormat="1" applyFont="1" applyFill="1" applyBorder="1" applyAlignment="1">
      <alignment horizontal="right"/>
    </xf>
    <xf numFmtId="213" fontId="249" fillId="123" borderId="184" xfId="1" applyNumberFormat="1" applyFont="1" applyFill="1" applyBorder="1"/>
    <xf numFmtId="247" fontId="249" fillId="123" borderId="184" xfId="6485" applyNumberFormat="1" applyFont="1" applyFill="1" applyBorder="1" applyAlignment="1">
      <alignment horizontal="right"/>
    </xf>
    <xf numFmtId="0" fontId="249" fillId="0" borderId="184" xfId="0" applyFont="1" applyBorder="1" applyAlignment="1">
      <alignment horizontal="center"/>
    </xf>
    <xf numFmtId="247" fontId="249" fillId="0" borderId="184" xfId="6485" applyNumberFormat="1" applyFont="1" applyFill="1" applyBorder="1"/>
    <xf numFmtId="247" fontId="249" fillId="106" borderId="184" xfId="6485" applyNumberFormat="1" applyFont="1" applyFill="1" applyBorder="1"/>
    <xf numFmtId="247" fontId="249" fillId="0" borderId="184" xfId="6485" applyNumberFormat="1" applyFont="1" applyBorder="1"/>
    <xf numFmtId="226" fontId="249" fillId="0" borderId="184" xfId="6485" applyNumberFormat="1" applyFont="1" applyBorder="1"/>
    <xf numFmtId="213" fontId="249" fillId="0" borderId="184" xfId="1" applyNumberFormat="1" applyFont="1" applyBorder="1" applyAlignment="1">
      <alignment horizontal="right"/>
    </xf>
    <xf numFmtId="213" fontId="249" fillId="0" borderId="184" xfId="1" applyNumberFormat="1" applyFont="1" applyBorder="1"/>
    <xf numFmtId="247" fontId="249" fillId="0" borderId="184" xfId="6485" applyNumberFormat="1" applyFont="1" applyBorder="1" applyAlignment="1">
      <alignment horizontal="right"/>
    </xf>
    <xf numFmtId="41" fontId="147" fillId="0" borderId="184" xfId="6633" applyFont="1" applyBorder="1"/>
    <xf numFmtId="226" fontId="147" fillId="0" borderId="184" xfId="6485" applyNumberFormat="1" applyFont="1" applyBorder="1"/>
    <xf numFmtId="226" fontId="249" fillId="0" borderId="184" xfId="6485" applyNumberFormat="1" applyFont="1" applyFill="1" applyBorder="1"/>
    <xf numFmtId="226" fontId="279" fillId="0" borderId="184" xfId="6485" applyNumberFormat="1" applyFont="1" applyFill="1" applyBorder="1"/>
    <xf numFmtId="213" fontId="249" fillId="0" borderId="184" xfId="1" applyNumberFormat="1" applyFont="1" applyFill="1" applyBorder="1" applyAlignment="1">
      <alignment horizontal="right"/>
    </xf>
    <xf numFmtId="213" fontId="249" fillId="0" borderId="184" xfId="1" applyNumberFormat="1" applyFont="1" applyFill="1" applyBorder="1"/>
    <xf numFmtId="247" fontId="249" fillId="0" borderId="184" xfId="6485" applyNumberFormat="1" applyFont="1" applyFill="1" applyBorder="1" applyAlignment="1">
      <alignment horizontal="right"/>
    </xf>
    <xf numFmtId="0" fontId="249" fillId="123" borderId="184" xfId="6485" applyNumberFormat="1" applyFont="1" applyFill="1" applyBorder="1"/>
    <xf numFmtId="43" fontId="249" fillId="123" borderId="184" xfId="6485" applyFont="1" applyFill="1" applyBorder="1"/>
    <xf numFmtId="0" fontId="147" fillId="124" borderId="184" xfId="0" applyFont="1" applyFill="1" applyBorder="1"/>
    <xf numFmtId="9" fontId="249" fillId="124" borderId="184" xfId="1" applyFont="1" applyFill="1" applyBorder="1"/>
    <xf numFmtId="9" fontId="249" fillId="124" borderId="184" xfId="1" applyFont="1" applyFill="1" applyBorder="1" applyAlignment="1">
      <alignment horizontal="center"/>
    </xf>
    <xf numFmtId="178" fontId="249" fillId="123" borderId="184" xfId="6485" applyNumberFormat="1" applyFont="1" applyFill="1" applyBorder="1"/>
    <xf numFmtId="0" fontId="49" fillId="123" borderId="184" xfId="0" applyFont="1" applyFill="1" applyBorder="1"/>
    <xf numFmtId="0" fontId="147" fillId="123" borderId="184" xfId="0" applyFont="1" applyFill="1" applyBorder="1"/>
    <xf numFmtId="247" fontId="24" fillId="0" borderId="184" xfId="6485" applyNumberFormat="1" applyFont="1" applyFill="1" applyBorder="1"/>
    <xf numFmtId="0" fontId="249" fillId="102" borderId="184" xfId="0" applyFont="1" applyFill="1" applyBorder="1"/>
    <xf numFmtId="0" fontId="249" fillId="102" borderId="184" xfId="0" applyFont="1" applyFill="1" applyBorder="1" applyAlignment="1">
      <alignment horizontal="center"/>
    </xf>
    <xf numFmtId="247" fontId="249" fillId="102" borderId="184" xfId="6485" applyNumberFormat="1" applyFont="1" applyFill="1" applyBorder="1"/>
    <xf numFmtId="226" fontId="249" fillId="102" borderId="184" xfId="6485" applyNumberFormat="1" applyFont="1" applyFill="1" applyBorder="1"/>
    <xf numFmtId="213" fontId="249" fillId="102" borderId="184" xfId="1" applyNumberFormat="1" applyFont="1" applyFill="1" applyBorder="1" applyAlignment="1">
      <alignment horizontal="right"/>
    </xf>
    <xf numFmtId="247" fontId="249" fillId="102" borderId="184" xfId="6485" applyNumberFormat="1" applyFont="1" applyFill="1" applyBorder="1" applyAlignment="1">
      <alignment horizontal="right"/>
    </xf>
    <xf numFmtId="213" fontId="249" fillId="102" borderId="184" xfId="1" applyNumberFormat="1" applyFont="1" applyFill="1" applyBorder="1"/>
    <xf numFmtId="0" fontId="311" fillId="107" borderId="184" xfId="0" applyFont="1" applyFill="1" applyBorder="1" applyAlignment="1">
      <alignment horizontal="center"/>
    </xf>
    <xf numFmtId="37" fontId="345" fillId="0" borderId="187" xfId="0" applyNumberFormat="1" applyFont="1" applyBorder="1" applyAlignment="1" applyProtection="1">
      <alignment horizontal="right" indent="1"/>
      <protection locked="0"/>
    </xf>
    <xf numFmtId="38" fontId="312" fillId="0" borderId="187" xfId="0" applyNumberFormat="1" applyFont="1" applyBorder="1" applyAlignment="1" applyProtection="1">
      <alignment horizontal="right" indent="1"/>
      <protection locked="0"/>
    </xf>
    <xf numFmtId="0" fontId="228" fillId="0" borderId="188" xfId="0" applyFont="1" applyBorder="1" applyAlignment="1">
      <alignment horizontal="left" indent="1"/>
    </xf>
    <xf numFmtId="0" fontId="228" fillId="104" borderId="189" xfId="0" applyFont="1" applyFill="1" applyBorder="1" applyAlignment="1">
      <alignment horizontal="center"/>
    </xf>
    <xf numFmtId="0" fontId="228" fillId="117" borderId="190" xfId="0" applyFont="1" applyFill="1" applyBorder="1" applyAlignment="1">
      <alignment horizontal="center"/>
    </xf>
    <xf numFmtId="37" fontId="228" fillId="104" borderId="189" xfId="0" applyNumberFormat="1" applyFont="1" applyFill="1" applyBorder="1" applyAlignment="1">
      <alignment horizontal="center"/>
    </xf>
    <xf numFmtId="37" fontId="228" fillId="117" borderId="190" xfId="0" applyNumberFormat="1" applyFont="1" applyFill="1" applyBorder="1" applyAlignment="1" applyProtection="1">
      <alignment horizontal="center"/>
      <protection locked="0"/>
    </xf>
    <xf numFmtId="37" fontId="228" fillId="0" borderId="167" xfId="0" applyNumberFormat="1" applyFont="1" applyBorder="1" applyAlignment="1" applyProtection="1">
      <alignment horizontal="right" indent="1"/>
      <protection locked="0"/>
    </xf>
    <xf numFmtId="37" fontId="228" fillId="123" borderId="167" xfId="0" applyNumberFormat="1" applyFont="1" applyFill="1" applyBorder="1" applyAlignment="1" applyProtection="1">
      <alignment horizontal="right" indent="1"/>
      <protection locked="0"/>
    </xf>
    <xf numFmtId="0" fontId="368" fillId="0" borderId="167" xfId="0" applyFont="1" applyBorder="1"/>
    <xf numFmtId="37" fontId="311" fillId="0" borderId="184" xfId="0" applyNumberFormat="1" applyFont="1" applyBorder="1" applyAlignment="1">
      <alignment horizontal="right" indent="1"/>
    </xf>
    <xf numFmtId="37" fontId="311" fillId="123" borderId="184" xfId="0" applyNumberFormat="1" applyFont="1" applyFill="1" applyBorder="1" applyAlignment="1">
      <alignment horizontal="right" indent="1"/>
    </xf>
    <xf numFmtId="37" fontId="352" fillId="0" borderId="184" xfId="0" applyNumberFormat="1" applyFont="1" applyBorder="1" applyAlignment="1">
      <alignment horizontal="right" indent="1" readingOrder="1"/>
    </xf>
    <xf numFmtId="37" fontId="352" fillId="123" borderId="184" xfId="0" applyNumberFormat="1" applyFont="1" applyFill="1" applyBorder="1" applyAlignment="1">
      <alignment horizontal="right" indent="1" readingOrder="1"/>
    </xf>
    <xf numFmtId="37" fontId="312" fillId="0" borderId="167" xfId="0" applyNumberFormat="1" applyFont="1" applyBorder="1" applyAlignment="1">
      <alignment horizontal="right" indent="1" readingOrder="1"/>
    </xf>
    <xf numFmtId="37" fontId="312" fillId="123" borderId="167" xfId="0" applyNumberFormat="1" applyFont="1" applyFill="1" applyBorder="1" applyAlignment="1">
      <alignment horizontal="right" indent="1" readingOrder="1"/>
    </xf>
    <xf numFmtId="0" fontId="311" fillId="125" borderId="184" xfId="0" applyFont="1" applyFill="1" applyBorder="1" applyAlignment="1">
      <alignment horizontal="center"/>
    </xf>
    <xf numFmtId="0" fontId="311" fillId="126" borderId="184" xfId="0" applyFont="1" applyFill="1" applyBorder="1" applyAlignment="1">
      <alignment horizontal="center"/>
    </xf>
    <xf numFmtId="17" fontId="309" fillId="0" borderId="0" xfId="0" quotePrefix="1" applyNumberFormat="1" applyFont="1" applyAlignment="1">
      <alignment horizontal="center"/>
    </xf>
    <xf numFmtId="0" fontId="314" fillId="0" borderId="0" xfId="0" applyFont="1" applyAlignment="1">
      <alignment horizontal="center"/>
    </xf>
    <xf numFmtId="0" fontId="310" fillId="0" borderId="0" xfId="0" applyFont="1" applyAlignment="1">
      <alignment horizontal="center"/>
    </xf>
    <xf numFmtId="359" fontId="31" fillId="103" borderId="0" xfId="5419" applyNumberFormat="1" applyFont="1" applyFill="1" applyAlignment="1">
      <alignment horizontal="center"/>
    </xf>
    <xf numFmtId="359" fontId="31" fillId="0" borderId="0" xfId="5419" applyNumberFormat="1" applyFont="1" applyAlignment="1">
      <alignment horizontal="center"/>
    </xf>
    <xf numFmtId="0" fontId="337" fillId="0" borderId="91" xfId="0" applyFont="1" applyBorder="1" applyAlignment="1">
      <alignment horizontal="left" vertical="center" wrapText="1"/>
    </xf>
    <xf numFmtId="0" fontId="337" fillId="0" borderId="92" xfId="0" applyFont="1" applyBorder="1" applyAlignment="1">
      <alignment horizontal="left" vertical="center" wrapText="1"/>
    </xf>
    <xf numFmtId="0" fontId="337" fillId="0" borderId="89" xfId="0" applyFont="1" applyBorder="1" applyAlignment="1">
      <alignment horizontal="left" vertical="center" wrapText="1"/>
    </xf>
    <xf numFmtId="0" fontId="337" fillId="108" borderId="91" xfId="0" applyFont="1" applyFill="1" applyBorder="1" applyAlignment="1">
      <alignment horizontal="left" vertical="center" wrapText="1"/>
    </xf>
    <xf numFmtId="0" fontId="337" fillId="108" borderId="92" xfId="0" applyFont="1" applyFill="1" applyBorder="1" applyAlignment="1">
      <alignment horizontal="left" vertical="center" wrapText="1"/>
    </xf>
    <xf numFmtId="0" fontId="337" fillId="108" borderId="89" xfId="0" applyFont="1" applyFill="1" applyBorder="1" applyAlignment="1">
      <alignment horizontal="left" vertical="center" wrapText="1"/>
    </xf>
    <xf numFmtId="0" fontId="332" fillId="116" borderId="90" xfId="0" applyFont="1" applyFill="1" applyBorder="1" applyAlignment="1">
      <alignment horizontal="center"/>
    </xf>
    <xf numFmtId="0" fontId="332" fillId="116" borderId="91" xfId="0" applyFont="1" applyFill="1" applyBorder="1" applyAlignment="1">
      <alignment horizontal="center"/>
    </xf>
    <xf numFmtId="0" fontId="337" fillId="0" borderId="91" xfId="0" applyFont="1" applyBorder="1" applyAlignment="1">
      <alignment horizontal="justify" vertical="center" wrapText="1"/>
    </xf>
    <xf numFmtId="0" fontId="337" fillId="0" borderId="92" xfId="0" applyFont="1" applyBorder="1" applyAlignment="1">
      <alignment horizontal="justify" vertical="center" wrapText="1"/>
    </xf>
    <xf numFmtId="0" fontId="337" fillId="0" borderId="89" xfId="0" applyFont="1" applyBorder="1" applyAlignment="1">
      <alignment horizontal="justify" vertical="center" wrapText="1"/>
    </xf>
    <xf numFmtId="0" fontId="336" fillId="104" borderId="91" xfId="0" applyFont="1" applyFill="1" applyBorder="1" applyAlignment="1">
      <alignment horizontal="justify" vertical="center" wrapText="1"/>
    </xf>
    <xf numFmtId="0" fontId="336" fillId="104" borderId="92" xfId="0" applyFont="1" applyFill="1" applyBorder="1" applyAlignment="1">
      <alignment horizontal="justify" vertical="center" wrapText="1"/>
    </xf>
    <xf numFmtId="0" fontId="336" fillId="104" borderId="89" xfId="0" applyFont="1" applyFill="1" applyBorder="1" applyAlignment="1">
      <alignment horizontal="justify" vertical="center" wrapText="1"/>
    </xf>
    <xf numFmtId="0" fontId="329" fillId="0" borderId="0" xfId="0" applyFont="1" applyAlignment="1">
      <alignment horizontal="center"/>
    </xf>
    <xf numFmtId="0" fontId="330" fillId="0" borderId="0" xfId="0" applyFont="1" applyAlignment="1">
      <alignment horizontal="center" vertical="center" wrapText="1"/>
    </xf>
    <xf numFmtId="0" fontId="336" fillId="104" borderId="91" xfId="0" applyFont="1" applyFill="1" applyBorder="1" applyAlignment="1">
      <alignment horizontal="left" vertical="center" wrapText="1"/>
    </xf>
    <xf numFmtId="0" fontId="336" fillId="104" borderId="92" xfId="0" applyFont="1" applyFill="1" applyBorder="1" applyAlignment="1">
      <alignment horizontal="left" vertical="center" wrapText="1"/>
    </xf>
    <xf numFmtId="0" fontId="336" fillId="104" borderId="89" xfId="0" applyFont="1" applyFill="1" applyBorder="1" applyAlignment="1">
      <alignment horizontal="left" vertical="center" wrapText="1"/>
    </xf>
    <xf numFmtId="0" fontId="262" fillId="133" borderId="67" xfId="0" applyFont="1" applyFill="1" applyBorder="1" applyAlignment="1">
      <alignment horizontal="center"/>
    </xf>
    <xf numFmtId="0" fontId="249" fillId="124" borderId="184" xfId="0" applyFont="1" applyFill="1" applyBorder="1" applyAlignment="1">
      <alignment horizontal="center"/>
    </xf>
    <xf numFmtId="0" fontId="262" fillId="129" borderId="164" xfId="0" applyFont="1" applyFill="1" applyBorder="1" applyAlignment="1">
      <alignment horizontal="center" vertical="center"/>
    </xf>
    <xf numFmtId="0" fontId="262" fillId="129" borderId="50" xfId="0" applyFont="1" applyFill="1" applyBorder="1" applyAlignment="1">
      <alignment horizontal="center" vertical="center"/>
    </xf>
    <xf numFmtId="0" fontId="262" fillId="129" borderId="149" xfId="0" applyFont="1" applyFill="1" applyBorder="1" applyAlignment="1">
      <alignment horizontal="center" vertical="center"/>
    </xf>
    <xf numFmtId="0" fontId="49" fillId="132" borderId="164" xfId="0" applyFont="1" applyFill="1" applyBorder="1" applyAlignment="1">
      <alignment horizontal="center"/>
    </xf>
    <xf numFmtId="0" fontId="49" fillId="132" borderId="50" xfId="0" applyFont="1" applyFill="1" applyBorder="1" applyAlignment="1">
      <alignment horizontal="center"/>
    </xf>
    <xf numFmtId="0" fontId="49" fillId="132" borderId="149" xfId="0" applyFont="1" applyFill="1" applyBorder="1" applyAlignment="1">
      <alignment horizontal="center"/>
    </xf>
    <xf numFmtId="0" fontId="262" fillId="131" borderId="164" xfId="0" applyFont="1" applyFill="1" applyBorder="1" applyAlignment="1">
      <alignment horizontal="center"/>
    </xf>
    <xf numFmtId="0" fontId="262" fillId="131" borderId="50" xfId="0" applyFont="1" applyFill="1" applyBorder="1" applyAlignment="1">
      <alignment horizontal="center"/>
    </xf>
    <xf numFmtId="0" fontId="262" fillId="131" borderId="149" xfId="0" applyFont="1" applyFill="1" applyBorder="1" applyAlignment="1">
      <alignment horizontal="center"/>
    </xf>
    <xf numFmtId="0" fontId="249" fillId="124" borderId="165" xfId="0" applyFont="1" applyFill="1" applyBorder="1" applyAlignment="1">
      <alignment horizontal="center"/>
    </xf>
    <xf numFmtId="0" fontId="249" fillId="124" borderId="47" xfId="0" applyFont="1" applyFill="1" applyBorder="1" applyAlignment="1">
      <alignment horizontal="center"/>
    </xf>
    <xf numFmtId="0" fontId="249" fillId="124" borderId="185" xfId="0" applyFont="1" applyFill="1" applyBorder="1" applyAlignment="1">
      <alignment horizontal="center"/>
    </xf>
    <xf numFmtId="0" fontId="249" fillId="102" borderId="164" xfId="0" applyFont="1" applyFill="1" applyBorder="1" applyAlignment="1">
      <alignment horizontal="center"/>
    </xf>
    <xf numFmtId="0" fontId="249" fillId="102" borderId="50" xfId="0" applyFont="1" applyFill="1" applyBorder="1" applyAlignment="1">
      <alignment horizontal="center"/>
    </xf>
    <xf numFmtId="0" fontId="249" fillId="102" borderId="149" xfId="0" applyFont="1" applyFill="1" applyBorder="1" applyAlignment="1">
      <alignment horizontal="center"/>
    </xf>
    <xf numFmtId="0" fontId="262" fillId="130" borderId="51" xfId="0" applyFont="1" applyFill="1" applyBorder="1" applyAlignment="1">
      <alignment horizontal="center" vertical="center"/>
    </xf>
    <xf numFmtId="0" fontId="262" fillId="130" borderId="0" xfId="0" applyFont="1" applyFill="1" applyAlignment="1">
      <alignment horizontal="center" vertical="center"/>
    </xf>
    <xf numFmtId="0" fontId="330" fillId="0" borderId="0" xfId="0" applyFont="1" applyAlignment="1">
      <alignment horizontal="center" vertical="center"/>
    </xf>
    <xf numFmtId="0" fontId="330" fillId="0" borderId="9" xfId="0" applyFont="1" applyBorder="1" applyAlignment="1">
      <alignment horizontal="center" vertical="center"/>
    </xf>
    <xf numFmtId="17" fontId="367" fillId="122" borderId="15" xfId="0" quotePrefix="1" applyNumberFormat="1" applyFont="1" applyFill="1" applyBorder="1" applyAlignment="1">
      <alignment horizontal="center" vertical="center"/>
    </xf>
    <xf numFmtId="0" fontId="368" fillId="0" borderId="167" xfId="0" applyFont="1" applyBorder="1" applyAlignment="1">
      <alignment horizontal="center" vertical="top"/>
    </xf>
    <xf numFmtId="0" fontId="369" fillId="0" borderId="0" xfId="6257" applyFont="1" applyAlignment="1">
      <alignment horizontal="center"/>
    </xf>
    <xf numFmtId="0" fontId="345" fillId="123" borderId="180" xfId="6257" quotePrefix="1" applyFont="1" applyFill="1" applyBorder="1" applyAlignment="1" applyProtection="1">
      <alignment horizontal="left" vertical="top" wrapText="1"/>
      <protection locked="0"/>
    </xf>
    <xf numFmtId="0" fontId="345" fillId="123" borderId="175" xfId="6257" quotePrefix="1" applyFont="1" applyFill="1" applyBorder="1" applyAlignment="1" applyProtection="1">
      <alignment horizontal="left" vertical="top" wrapText="1"/>
      <protection locked="0"/>
    </xf>
    <xf numFmtId="0" fontId="345" fillId="123" borderId="177" xfId="6257" quotePrefix="1" applyFont="1" applyFill="1" applyBorder="1" applyAlignment="1" applyProtection="1">
      <alignment horizontal="left" vertical="top" wrapText="1"/>
      <protection locked="0"/>
    </xf>
    <xf numFmtId="0" fontId="345" fillId="123" borderId="51" xfId="6257" quotePrefix="1" applyFont="1" applyFill="1" applyBorder="1" applyAlignment="1" applyProtection="1">
      <alignment horizontal="left" vertical="top" wrapText="1"/>
      <protection locked="0"/>
    </xf>
    <xf numFmtId="0" fontId="345" fillId="123" borderId="0" xfId="6257" quotePrefix="1" applyFont="1" applyFill="1" applyAlignment="1" applyProtection="1">
      <alignment horizontal="left" vertical="top" wrapText="1"/>
      <protection locked="0"/>
    </xf>
    <xf numFmtId="0" fontId="345" fillId="123" borderId="132" xfId="6257" quotePrefix="1" applyFont="1" applyFill="1" applyBorder="1" applyAlignment="1" applyProtection="1">
      <alignment horizontal="left" vertical="top" wrapText="1"/>
      <protection locked="0"/>
    </xf>
    <xf numFmtId="0" fontId="345" fillId="123" borderId="150" xfId="6257" quotePrefix="1" applyFont="1" applyFill="1" applyBorder="1" applyAlignment="1" applyProtection="1">
      <alignment horizontal="left" vertical="top" wrapText="1"/>
      <protection locked="0"/>
    </xf>
    <xf numFmtId="0" fontId="345" fillId="123" borderId="167" xfId="6257" quotePrefix="1" applyFont="1" applyFill="1" applyBorder="1" applyAlignment="1" applyProtection="1">
      <alignment horizontal="left" vertical="top" wrapText="1"/>
      <protection locked="0"/>
    </xf>
    <xf numFmtId="0" fontId="345" fillId="123" borderId="41" xfId="6257" quotePrefix="1" applyFont="1" applyFill="1" applyBorder="1" applyAlignment="1" applyProtection="1">
      <alignment horizontal="left" vertical="top" wrapText="1"/>
      <protection locked="0"/>
    </xf>
    <xf numFmtId="17" fontId="367" fillId="122" borderId="182" xfId="0" quotePrefix="1" applyNumberFormat="1" applyFont="1" applyFill="1" applyBorder="1" applyAlignment="1">
      <alignment horizontal="center" vertical="center"/>
    </xf>
    <xf numFmtId="17" fontId="367" fillId="122" borderId="183" xfId="0" quotePrefix="1" applyNumberFormat="1" applyFont="1" applyFill="1" applyBorder="1" applyAlignment="1">
      <alignment horizontal="center" vertical="center"/>
    </xf>
    <xf numFmtId="17" fontId="367" fillId="122" borderId="151" xfId="0" quotePrefix="1" applyNumberFormat="1" applyFont="1" applyFill="1" applyBorder="1" applyAlignment="1">
      <alignment horizontal="center" vertical="center"/>
    </xf>
    <xf numFmtId="17" fontId="367" fillId="122" borderId="80" xfId="0" quotePrefix="1" applyNumberFormat="1" applyFont="1" applyFill="1" applyBorder="1" applyAlignment="1">
      <alignment horizontal="center" vertical="center"/>
    </xf>
    <xf numFmtId="0" fontId="369" fillId="0" borderId="138" xfId="6257" applyFont="1" applyBorder="1" applyAlignment="1">
      <alignment horizontal="center"/>
    </xf>
    <xf numFmtId="0" fontId="228" fillId="0" borderId="0" xfId="0" applyFont="1" applyAlignment="1">
      <alignment horizontal="center"/>
    </xf>
  </cellXfs>
  <cellStyles count="6635">
    <cellStyle name="-" xfId="2" xr:uid="{00000000-0005-0000-0000-000000000000}"/>
    <cellStyle name="_x000a_386grabber=M" xfId="6503" xr:uid="{00000000-0005-0000-0000-000001000000}"/>
    <cellStyle name="%" xfId="3" xr:uid="{00000000-0005-0000-0000-000002000000}"/>
    <cellStyle name="% 2" xfId="4" xr:uid="{00000000-0005-0000-0000-000003000000}"/>
    <cellStyle name="%_(2008-07-23) Project Cosacol-Financial Model v46 DEBT CASE" xfId="5" xr:uid="{00000000-0005-0000-0000-000004000000}"/>
    <cellStyle name="%_(2008-07-23) Project Cosacol-Financial Model v46 DEBT CASE 2" xfId="6" xr:uid="{00000000-0005-0000-0000-000005000000}"/>
    <cellStyle name="%_(2008-07-23) Project Cosacol-Financial Model v46 DEBT CASE 2_(2009-06-08) Project Air Wolf Financial Model71(1)" xfId="7" xr:uid="{00000000-0005-0000-0000-000006000000}"/>
    <cellStyle name="%_(2008-07-23) Project Cosacol-Financial Model v46 DEBT CASE_(2008-11-18) Tekkne-Financial Model v26" xfId="8" xr:uid="{00000000-0005-0000-0000-000007000000}"/>
    <cellStyle name="%_(2008-07-23) Project Cosacol-Financial Model v46 DEBT CASE_(2008-11-18) Tekkne-Financial Model v26_(2009-06-08) Project Air Wolf Financial Model71(1)" xfId="9" xr:uid="{00000000-0005-0000-0000-000008000000}"/>
    <cellStyle name="%_(2008-07-23) Project Cosacol-Financial Model v46 DEBT CASE_(2009-05-25) Tekkne-Financial Model MX02" xfId="10" xr:uid="{00000000-0005-0000-0000-000009000000}"/>
    <cellStyle name="%_(2008-07-23) Project Cosacol-Financial Model v46 DEBT CASE_(2009-06-08) Project Air Wolf Financial Model71(1)" xfId="11" xr:uid="{00000000-0005-0000-0000-00000A000000}"/>
    <cellStyle name="%_(2008-07-23) Project Cosacol-Financial Model v46 PE CASE" xfId="12" xr:uid="{00000000-0005-0000-0000-00000B000000}"/>
    <cellStyle name="%_(2008-07-23) Project Cosacol-Financial Model v46 PE CASE 2" xfId="13" xr:uid="{00000000-0005-0000-0000-00000C000000}"/>
    <cellStyle name="%_(2008-07-23) Project Cosacol-Financial Model v46 PE CASE 2_(2009-06-08) Project Air Wolf Financial Model71(1)" xfId="14" xr:uid="{00000000-0005-0000-0000-00000D000000}"/>
    <cellStyle name="%_(2008-07-23) Project Cosacol-Financial Model v46 PE CASE_(2008-11-18) Tekkne-Financial Model v26" xfId="15" xr:uid="{00000000-0005-0000-0000-00000E000000}"/>
    <cellStyle name="%_(2008-07-23) Project Cosacol-Financial Model v46 PE CASE_(2008-11-18) Tekkne-Financial Model v26_(2009-06-08) Project Air Wolf Financial Model71(1)" xfId="16" xr:uid="{00000000-0005-0000-0000-00000F000000}"/>
    <cellStyle name="%_(2008-07-23) Project Cosacol-Financial Model v46 PE CASE_(2009-05-25) Tekkne-Financial Model MX02" xfId="17" xr:uid="{00000000-0005-0000-0000-000010000000}"/>
    <cellStyle name="%_(2008-07-23) Project Cosacol-Financial Model v46 PE CASE_(2009-06-08) Project Air Wolf Financial Model71(1)" xfId="18" xr:uid="{00000000-0005-0000-0000-000011000000}"/>
    <cellStyle name="%_(2008-09-15) Cosacol-Financial Model v52 DEBT UPDATED" xfId="19" xr:uid="{00000000-0005-0000-0000-000012000000}"/>
    <cellStyle name="%_(2008-09-15) Cosacol-Financial Model v52 DEBT UPDATED_(2009-06-08) Project Air Wolf Financial Model71(1)" xfId="20" xr:uid="{00000000-0005-0000-0000-000013000000}"/>
    <cellStyle name="%_(2008-10-27) Financial Model EZF - fx FINAL" xfId="21" xr:uid="{00000000-0005-0000-0000-000014000000}"/>
    <cellStyle name="%_(2008-10-27) Financial Model EZF - fx FINAL_(2009-06-08) Project Air Wolf Financial Model71(1)" xfId="22" xr:uid="{00000000-0005-0000-0000-000015000000}"/>
    <cellStyle name="%_(2008-11-18) Tekkne-Financial Model v26" xfId="23" xr:uid="{00000000-0005-0000-0000-000016000000}"/>
    <cellStyle name="%_(2008-11-18) Tekkne-Financial Model v26_(2009-06-08) Project Air Wolf Financial Model71(1)" xfId="24" xr:uid="{00000000-0005-0000-0000-000017000000}"/>
    <cellStyle name="%_(2009-05-25) Tekkne-Financial Model MX02" xfId="25" xr:uid="{00000000-0005-0000-0000-000018000000}"/>
    <cellStyle name="%_BWGF - HTB - June 2010" xfId="26" xr:uid="{00000000-0005-0000-0000-000019000000}"/>
    <cellStyle name="%_BWGF - VietSoft - June 2010" xfId="27" xr:uid="{00000000-0005-0000-0000-00001A000000}"/>
    <cellStyle name="%_GRDF_Bazi_063010_unlinked" xfId="28" xr:uid="{00000000-0005-0000-0000-00001B000000}"/>
    <cellStyle name="%_Portfolio Template" xfId="29" xr:uid="{00000000-0005-0000-0000-00001C000000}"/>
    <cellStyle name="%_SEAF Macedonia - Login - June 2010" xfId="30" xr:uid="{00000000-0005-0000-0000-00001D000000}"/>
    <cellStyle name="." xfId="31" xr:uid="{00000000-0005-0000-0000-00001E000000}"/>
    <cellStyle name=". 2" xfId="6504" xr:uid="{00000000-0005-0000-0000-00001F000000}"/>
    <cellStyle name="_% по кредитам" xfId="32" xr:uid="{00000000-0005-0000-0000-000020000000}"/>
    <cellStyle name="_(2008-07-23) Project Cosacol-Financial Model v46 PE CASE" xfId="33" xr:uid="{00000000-0005-0000-0000-000021000000}"/>
    <cellStyle name="__handbook" xfId="34" xr:uid="{00000000-0005-0000-0000-000022000000}"/>
    <cellStyle name="__OFS" xfId="35" xr:uid="{00000000-0005-0000-0000-000023000000}"/>
    <cellStyle name="__oilpe" xfId="36" xr:uid="{00000000-0005-0000-0000-000024000000}"/>
    <cellStyle name="_2007 contracted volume" xfId="37" xr:uid="{00000000-0005-0000-0000-000025000000}"/>
    <cellStyle name="_ajuste capita mes de mayo_COSTO DE MEDICAMENTOS " xfId="38" xr:uid="{00000000-0005-0000-0000-000026000000}"/>
    <cellStyle name="_ajuste capita mes de mayo_EJECUCION PRESUPUESTAL A NOVIEMBRE  09 EJERCICIO AJUSTE INGRESOS " xfId="39" xr:uid="{00000000-0005-0000-0000-000027000000}"/>
    <cellStyle name="_ajuste capita mes de mayo_EJECUCION PRESUPUESTAL A NOVIEMBRE  09 EJERCICIO AJUSTE INGRESOS _Consolidado PPTO Ingresos 2010 Ajuste Medicamentos" xfId="40" xr:uid="{00000000-0005-0000-0000-000028000000}"/>
    <cellStyle name="_ajuste capita mes de mayo_EJECUCION PRESUPUESTAL A SEPTIEMBRE  09 EJERCICIO AJUSTE INGRESOS_Consolidado PPTO Ingresos 2010 Ajuste Medicamentos" xfId="41" xr:uid="{00000000-0005-0000-0000-000029000000}"/>
    <cellStyle name="_ajuste capita mes de mayo_EJECUCION PRESUPUESTAL A SEPTIEMBRE  09 EJERCICIO AJUSTE INGRESOS_Consolidado PPTO Ingresos 2010 Ajuste Reuniones" xfId="42" xr:uid="{00000000-0005-0000-0000-00002A000000}"/>
    <cellStyle name="_ajuste capita mes de mayo_EJECUCION_CONSOLIDADA_AGO_2008(1)" xfId="43" xr:uid="{00000000-0005-0000-0000-00002B000000}"/>
    <cellStyle name="_ajuste capita mes de mayo_EJECUCION_CONSOLIDADA_AGO_2008(1)_Consolidado 1000 Proyecciones" xfId="44" xr:uid="{00000000-0005-0000-0000-00002C000000}"/>
    <cellStyle name="_ajuste capita mes de mayo_EJECUCION_CONSOLIDADA_AGO_2008(1)_FORMATOPresupuesto 2010-TRABAJO.C1" xfId="45" xr:uid="{00000000-0005-0000-0000-00002D000000}"/>
    <cellStyle name="_ajuste capita mes de mayo_EJECUCION_CONSOLIDADA_AGO_2008(1)_FORMATOPresupuesto 2010-TRABAJO.C1." xfId="46" xr:uid="{00000000-0005-0000-0000-00002E000000}"/>
    <cellStyle name="_ajuste capita mes de mayo_Libro2" xfId="47" xr:uid="{00000000-0005-0000-0000-00002F000000}"/>
    <cellStyle name="_ajuste capita mes de mayo_medicamentos sep-2009" xfId="48" xr:uid="{00000000-0005-0000-0000-000030000000}"/>
    <cellStyle name="_Alice split v2" xfId="49" xr:uid="{00000000-0005-0000-0000-000031000000}"/>
    <cellStyle name="_Amadeus Assumptions Aug12" xfId="50" xr:uid="{00000000-0005-0000-0000-000032000000}"/>
    <cellStyle name="_Amena LBO Jul22" xfId="51" xr:uid="{00000000-0005-0000-0000-000033000000}"/>
    <cellStyle name="_Analisis de Inversion $ 2MM SEAF" xfId="52" xr:uid="{00000000-0005-0000-0000-000034000000}"/>
    <cellStyle name="_Analisis de Inversion $ 2MM SEAF_BWGF - HTB - June 2010" xfId="53" xr:uid="{00000000-0005-0000-0000-000035000000}"/>
    <cellStyle name="_Analisis de Inversion $ 2MM SEAF_BWGF - VietSoft - June 2010" xfId="54" xr:uid="{00000000-0005-0000-0000-000036000000}"/>
    <cellStyle name="_Analisis de Inversion $ 2MM SEAF_GRDF_Bazi_063010_unlinked" xfId="55" xr:uid="{00000000-0005-0000-0000-000037000000}"/>
    <cellStyle name="_Analisis de Inversion $ 2MM SEAF_Portfolio Template" xfId="56" xr:uid="{00000000-0005-0000-0000-000038000000}"/>
    <cellStyle name="_Analisis de Inversion $ 2MM SEAF_SEAF Macedonia - Login - June 2010" xfId="57" xr:uid="{00000000-0005-0000-0000-000039000000}"/>
    <cellStyle name="_Analisis de Inversion SEAF" xfId="58" xr:uid="{00000000-0005-0000-0000-00003A000000}"/>
    <cellStyle name="_Analisis de Inversion SEAF_BWGF - HTB - June 2010" xfId="59" xr:uid="{00000000-0005-0000-0000-00003B000000}"/>
    <cellStyle name="_Analisis de Inversion SEAF_BWGF - VietSoft - June 2010" xfId="60" xr:uid="{00000000-0005-0000-0000-00003C000000}"/>
    <cellStyle name="_Analisis de Inversion SEAF_GRDF_Bazi_063010_unlinked" xfId="61" xr:uid="{00000000-0005-0000-0000-00003D000000}"/>
    <cellStyle name="_Analisis de Inversion SEAF_Portfolio Template" xfId="62" xr:uid="{00000000-0005-0000-0000-00003E000000}"/>
    <cellStyle name="_Analisis de Inversion SEAF_SEAF Macedonia - Login - June 2010" xfId="63" xr:uid="{00000000-0005-0000-0000-00003F000000}"/>
    <cellStyle name="_Arg Cost Comparison ver 7.0" xfId="64" xr:uid="{00000000-0005-0000-0000-000040000000}"/>
    <cellStyle name="_base oncologia" xfId="65" xr:uid="{00000000-0005-0000-0000-000041000000}"/>
    <cellStyle name="_base oncologia_COSTO DE MEDICAMENTOS " xfId="66" xr:uid="{00000000-0005-0000-0000-000042000000}"/>
    <cellStyle name="_base oncologia_COSTO DE MEDICAMENTOS _Consolidado PPTO Ingresos 2010 Ajuste Medicamentos" xfId="67" xr:uid="{00000000-0005-0000-0000-000043000000}"/>
    <cellStyle name="_base oncologia_COSTO DE MEDICAMENTOS _Consolidado PPTO Ingresos 2010 Ajuste Reuniones" xfId="68" xr:uid="{00000000-0005-0000-0000-000044000000}"/>
    <cellStyle name="_base oncologia_COSTO DE MEDICAMENTOS _Consolidado PPTO Ingresos 2010 Ejerc Reduccion % Ocupacional Vs 3 Centro" xfId="69" xr:uid="{00000000-0005-0000-0000-000045000000}"/>
    <cellStyle name="_base oncologia_EJECUCION CONSOLIDADA A OCTUBRE GENERAL.CONSOLIDADO" xfId="70" xr:uid="{00000000-0005-0000-0000-000046000000}"/>
    <cellStyle name="_base oncologia_EJECUCION PRESUPUESTAL A AGOSTO  09 EJERCICIO AJUSTE INGRESOS" xfId="71" xr:uid="{00000000-0005-0000-0000-000047000000}"/>
    <cellStyle name="_base oncologia_EJECUCION PRESUPUESTAL A AGOSTO 09" xfId="72" xr:uid="{00000000-0005-0000-0000-000048000000}"/>
    <cellStyle name="_base oncologia_EJECUCION PRESUPUESTAL A NOVIEMBRE  09 EJERCICIO AJUSTE INGRESOS " xfId="73" xr:uid="{00000000-0005-0000-0000-000049000000}"/>
    <cellStyle name="_Broker consensus Mobile division" xfId="74" xr:uid="{00000000-0005-0000-0000-00004A000000}"/>
    <cellStyle name="_Broker consensus Mobile division_Nuela Financial Summary Projections_06-26-09_v2" xfId="75" xr:uid="{00000000-0005-0000-0000-00004B000000}"/>
    <cellStyle name="_Buy in analysis" xfId="76" xr:uid="{00000000-0005-0000-0000-00004C000000}"/>
    <cellStyle name="_C Vtas" xfId="77" xr:uid="{00000000-0005-0000-0000-00004D000000}"/>
    <cellStyle name="_C Vtas_CENTRO DE COSTOS PLANTILLA" xfId="78" xr:uid="{00000000-0005-0000-0000-00004E000000}"/>
    <cellStyle name="_C Vtas_Consolidado Ingresos" xfId="79" xr:uid="{00000000-0005-0000-0000-00004F000000}"/>
    <cellStyle name="_C Vtas_Construccion Ingresos 2010" xfId="80" xr:uid="{00000000-0005-0000-0000-000050000000}"/>
    <cellStyle name="_C Vtas_Copia de seguridad de Construccion Ingresos 2010" xfId="81" xr:uid="{00000000-0005-0000-0000-000051000000}"/>
    <cellStyle name="_C Vtas_COSTO DE MEDICAMENTOS " xfId="82" xr:uid="{00000000-0005-0000-0000-000052000000}"/>
    <cellStyle name="_C Vtas_COSTO DE MEDICAMENTOS." xfId="83" xr:uid="{00000000-0005-0000-0000-000053000000}"/>
    <cellStyle name="_C Vtas_DIVERSOS.CONS" xfId="84" xr:uid="{00000000-0005-0000-0000-000054000000}"/>
    <cellStyle name="_C Vtas_EJECUCION PRESUPUESTAL A SEPTIEMBRE  09 EJERCICIO AJUSTE INGRESOS" xfId="85" xr:uid="{00000000-0005-0000-0000-000055000000}"/>
    <cellStyle name="_C Vtas_EJECUCION PRESUPUESTAL A SEPTIEMBRE  09 EJERCICIO AJUSTE INGRESOS_comparativo 2010-2009" xfId="86" xr:uid="{00000000-0005-0000-0000-000056000000}"/>
    <cellStyle name="_C Vtas_EJECUCION PRESUPUESTAL A SEPTIEMBRE  09 EJERCICIO AJUSTE INGRESOS_Consolidado 1000 Proyecciones" xfId="87" xr:uid="{00000000-0005-0000-0000-000057000000}"/>
    <cellStyle name="_C Vtas_EJECUCION PRESUPUESTAL A SEPTIEMBRE  09 EJERCICIO AJUSTE INGRESOS_Copia de seguridad de Construccion Ingresos 2010" xfId="88" xr:uid="{00000000-0005-0000-0000-000058000000}"/>
    <cellStyle name="_C Vtas_EJECUCION PRESUPUESTAL A SEPTIEMBRE  09 EJERCICIO AJUSTE INGRESOS_-FORMATOPresupuesto 2010" xfId="89" xr:uid="{00000000-0005-0000-0000-000059000000}"/>
    <cellStyle name="_C Vtas_EJECUCION PRESUPUESTAL A SEPTIEMBRE  09 EJERCICIO AJUSTE INGRESOS_FORMATOPresupuesto 2010-TRABAJO" xfId="90" xr:uid="{00000000-0005-0000-0000-00005A000000}"/>
    <cellStyle name="_C Vtas_EJECUCION PRESUPUESTAL A SEPTIEMBRE  09 EJERCICIO AJUSTE INGRESOS_FORMATOPresupuesto 2010-TRABAJO." xfId="91" xr:uid="{00000000-0005-0000-0000-00005B000000}"/>
    <cellStyle name="_C Vtas_EJECUCION PRESUPUESTAL A SEPTIEMBRE  09 EJERCICIO AJUSTE INGRESOS_FORMATOPresupuesto 2010-TRABAJO.C1" xfId="92" xr:uid="{00000000-0005-0000-0000-00005C000000}"/>
    <cellStyle name="_C Vtas_EJECUCION PRESUPUESTAL A SEPTIEMBRE  09 EJERCICIO AJUSTE INGRESOS_FORMATOPresupuesto 2010-TRABAJO.C1." xfId="93" xr:uid="{00000000-0005-0000-0000-00005D000000}"/>
    <cellStyle name="_C Vtas_presupuesto de mantenimiento (2)" xfId="94" xr:uid="{00000000-0005-0000-0000-00005E000000}"/>
    <cellStyle name="_C Vtas_SUMINISTROS LOGISTICA ULTIMO NOV 20" xfId="95" xr:uid="{00000000-0005-0000-0000-00005F000000}"/>
    <cellStyle name="_Capex 2005 19 07 05 ПК" xfId="96" xr:uid="{00000000-0005-0000-0000-000060000000}"/>
    <cellStyle name="_Capex 2005-2006 workover" xfId="97" xr:uid="{00000000-0005-0000-0000-000061000000}"/>
    <cellStyle name="_Capita Resumido mes de septiembre 2005" xfId="98" xr:uid="{00000000-0005-0000-0000-000062000000}"/>
    <cellStyle name="_Capita Resumido mes de septiembre 2005_Arriendo alcatel 2008 presup" xfId="99" xr:uid="{00000000-0005-0000-0000-000063000000}"/>
    <cellStyle name="_Capita Resumido mes de septiembre 2005_Arriendo alcatel 2008 presup (2)" xfId="100" xr:uid="{00000000-0005-0000-0000-000064000000}"/>
    <cellStyle name="_Capita Resumido mes de septiembre 2005_CENTRO DE COSTOS PLANTILLA" xfId="101" xr:uid="{00000000-0005-0000-0000-000065000000}"/>
    <cellStyle name="_Capita Resumido mes de septiembre 2005_CENTROS DE GESTION 2010" xfId="102" xr:uid="{00000000-0005-0000-0000-000066000000}"/>
    <cellStyle name="_Capita Resumido mes de septiembre 2005_CENTROS DE GESTION 2010_Consolidado PPTO Ingresos 2010 Ajuste Medicamentos" xfId="103" xr:uid="{00000000-0005-0000-0000-000067000000}"/>
    <cellStyle name="_Capita Resumido mes de septiembre 2005_CENTROS DE GESTION 2010_Consolidado PPTO Ingresos 2010 Ajuste Reuniones" xfId="104" xr:uid="{00000000-0005-0000-0000-000068000000}"/>
    <cellStyle name="_Capita Resumido mes de septiembre 2005_CENTROS DE GESTION 2010_Consolidado PPTO Ingresos 2010 Ejerc Reduccion % Ocupacional Vs 3 Centro" xfId="105" xr:uid="{00000000-0005-0000-0000-000069000000}"/>
    <cellStyle name="_Capita Resumido mes de septiembre 2005_Consolidado Ingresos" xfId="106" xr:uid="{00000000-0005-0000-0000-00006A000000}"/>
    <cellStyle name="_Capita Resumido mes de septiembre 2005_Consolidado Ingresos_Consolidado PPTO Ingresos 2010 Ajuste Medicamentos" xfId="107" xr:uid="{00000000-0005-0000-0000-00006B000000}"/>
    <cellStyle name="_Capita Resumido mes de septiembre 2005_Consolidado Ingresos_Consolidado PPTO Ingresos 2010 Ajuste Reuniones" xfId="108" xr:uid="{00000000-0005-0000-0000-00006C000000}"/>
    <cellStyle name="_Capita Resumido mes de septiembre 2005_Consolidado Ingresos_Consolidado PPTO Ingresos 2010 Ejerc" xfId="109" xr:uid="{00000000-0005-0000-0000-00006D000000}"/>
    <cellStyle name="_Capita Resumido mes de septiembre 2005_Consolidado Ingresos_Consolidado PPTO Ingresos 2010 Ejerc Reduccion % Ocupacional" xfId="110" xr:uid="{00000000-0005-0000-0000-00006E000000}"/>
    <cellStyle name="_Capita Resumido mes de septiembre 2005_Consolidado Ingresos_Consolidado PPTO Ingresos 2010 Ejerc Reduccion % Ocupacional Vs 3 Centro" xfId="111" xr:uid="{00000000-0005-0000-0000-00006F000000}"/>
    <cellStyle name="_Capita Resumido mes de septiembre 2005_CONSOLIDADOS DE RUBROS CONTABLES" xfId="112" xr:uid="{00000000-0005-0000-0000-000070000000}"/>
    <cellStyle name="_Capita Resumido mes de septiembre 2005_CONSOLIDADOS DE RUBROS CONTABLES_DIVERSOS.CONS" xfId="113" xr:uid="{00000000-0005-0000-0000-000071000000}"/>
    <cellStyle name="_Capita Resumido mes de septiembre 2005_Copia de PRESUPUESTOSISTEMAS2009formato2003" xfId="114" xr:uid="{00000000-0005-0000-0000-000072000000}"/>
    <cellStyle name="_Capita Resumido mes de septiembre 2005_Copia de PRESUPUESTOSISTEMAS2009formato2003_Consolidado 1000 Proyecciones" xfId="115" xr:uid="{00000000-0005-0000-0000-000073000000}"/>
    <cellStyle name="_Capita Resumido mes de septiembre 2005_Copia de PRESUPUESTOSISTEMAS2009formato2003_Consolidado PPTO Ingresos 2010 Ajuste Medicamentos" xfId="116" xr:uid="{00000000-0005-0000-0000-000074000000}"/>
    <cellStyle name="_Capita Resumido mes de septiembre 2005_Copia de PRESUPUESTOSISTEMAS2009formato2003_Consolidado PPTO Ingresos 2010 Ajuste Reuniones" xfId="117" xr:uid="{00000000-0005-0000-0000-000075000000}"/>
    <cellStyle name="_Capita Resumido mes de septiembre 2005_Copia de PRESUPUESTOSISTEMAS2009formato2003_Consolidado PPTO Ingresos 2010 Ejerc" xfId="118" xr:uid="{00000000-0005-0000-0000-000076000000}"/>
    <cellStyle name="_Capita Resumido mes de septiembre 2005_Copia de PRESUPUESTOSISTEMAS2009formato2003_Consolidado PPTO Ingresos 2010 Ejerc Reduccion % Ocupacional" xfId="119" xr:uid="{00000000-0005-0000-0000-000077000000}"/>
    <cellStyle name="_Capita Resumido mes de septiembre 2005_Copia de PRESUPUESTOSISTEMAS2009formato2003_Consolidado PPTO Ingresos 2010 Ejerc Reduccion % Ocupacional Vs 3 Centro" xfId="120" xr:uid="{00000000-0005-0000-0000-000078000000}"/>
    <cellStyle name="_Capita Resumido mes de septiembre 2005_Copia de PRESUPUESTOSISTEMAS2009formato2003_FORMATOPresupuesto 2010-TRABAJO.C1" xfId="121" xr:uid="{00000000-0005-0000-0000-000079000000}"/>
    <cellStyle name="_Capita Resumido mes de septiembre 2005_Copia de PRESUPUESTOSISTEMAS2009formato2003_FORMATOPresupuesto 2010-TRABAJO.C1." xfId="122" xr:uid="{00000000-0005-0000-0000-00007A000000}"/>
    <cellStyle name="_Capita Resumido mes de septiembre 2005_COSTO DE MEDICAMENTOS." xfId="123" xr:uid="{00000000-0005-0000-0000-00007B000000}"/>
    <cellStyle name="_Capita Resumido mes de septiembre 2005_COSTO DE MEDICAMENTOS._Consolidado 1000 Proyecciones" xfId="124" xr:uid="{00000000-0005-0000-0000-00007C000000}"/>
    <cellStyle name="_Capita Resumido mes de septiembre 2005_COSTO DE MEDICAMENTOS._FORMATOPresupuesto 2010-TRABAJO.C1" xfId="125" xr:uid="{00000000-0005-0000-0000-00007D000000}"/>
    <cellStyle name="_Capita Resumido mes de septiembre 2005_COSTO DE MEDICAMENTOS._FORMATOPresupuesto 2010-TRABAJO.C1." xfId="126" xr:uid="{00000000-0005-0000-0000-00007E000000}"/>
    <cellStyle name="_Capita Resumido mes de septiembre 2005_DIVERSOS.CONS" xfId="127" xr:uid="{00000000-0005-0000-0000-00007F000000}"/>
    <cellStyle name="_Capita Resumido mes de septiembre 2005_EJECUCION CONSOLIDADA A OCTUBRE GENERAL.CONSOLIDADO" xfId="128" xr:uid="{00000000-0005-0000-0000-000080000000}"/>
    <cellStyle name="_Capita Resumido mes de septiembre 2005_EJECUCION PRESUPUESTAL A AGOSTO 09" xfId="129" xr:uid="{00000000-0005-0000-0000-000081000000}"/>
    <cellStyle name="_Capita Resumido mes de septiembre 2005_EJECUCION PRESUPUESTAL A NOVIEMBRE  09 EJERCICIO AJUSTE INGRESOS " xfId="130" xr:uid="{00000000-0005-0000-0000-000082000000}"/>
    <cellStyle name="_Capita Resumido mes de septiembre 2005_EJECUCION PRESUPUESTAL A NOVIEMBRE  09 EJERCICIO AJUSTE INGRESOS _Consolidado PPTO Ingresos 2010 Ajuste Medicamentos" xfId="131" xr:uid="{00000000-0005-0000-0000-000083000000}"/>
    <cellStyle name="_Capita Resumido mes de septiembre 2005_EJECUCION PRESUPUESTAL A SEPTIEMBRE  09 EJERCICIO AJUSTE INGRESOS" xfId="132" xr:uid="{00000000-0005-0000-0000-000084000000}"/>
    <cellStyle name="_Capita Resumido mes de septiembre 2005_EJECUCION PRESUPUESTAL A SEPTIEMBRE  09 EJERCICIO AJUSTE INGRESOS_Consolidado PPTO Ingresos 2010 Ajuste Medicamentos" xfId="133" xr:uid="{00000000-0005-0000-0000-000085000000}"/>
    <cellStyle name="_Capita Resumido mes de septiembre 2005_EJECUCION PRESUPUESTAL A SEPTIEMBRE  09 EJERCICIO AJUSTE INGRESOS_Consolidado PPTO Ingresos 2010 Ajuste Reuniones" xfId="134" xr:uid="{00000000-0005-0000-0000-000086000000}"/>
    <cellStyle name="_Capita Resumido mes de septiembre 2005_EJECUCION PRESUPUESTAL A SEPTIEMBRE  09 EJERCICIO AJUSTE INGRESOS_Consolidado PPTO Ingresos 2010 Ejerc Reduccion % Ocupacional Vs 3 Centro" xfId="135" xr:uid="{00000000-0005-0000-0000-000087000000}"/>
    <cellStyle name="_Capita Resumido mes de septiembre 2005_EJECUCION_CONSOLIDADA_AGO_2008(1)" xfId="136" xr:uid="{00000000-0005-0000-0000-000088000000}"/>
    <cellStyle name="_Capita Resumido mes de septiembre 2005_EJECUCION_CONSOLIDADA_AGO_2008(1)_Consolidado 1000 Proyecciones" xfId="137" xr:uid="{00000000-0005-0000-0000-000089000000}"/>
    <cellStyle name="_Capita Resumido mes de septiembre 2005_EJECUCION_CONSOLIDADA_AGO_2008(1)_FORMATOPresupuesto 2010-TRABAJO.C1" xfId="138" xr:uid="{00000000-0005-0000-0000-00008A000000}"/>
    <cellStyle name="_Capita Resumido mes de septiembre 2005_EJECUCION_CONSOLIDADA_AGO_2008(1)_FORMATOPresupuesto 2010-TRABAJO.C1." xfId="139" xr:uid="{00000000-0005-0000-0000-00008B000000}"/>
    <cellStyle name="_Capita Resumido mes de septiembre 2005_FINANCIEROS-CONS" xfId="140" xr:uid="{00000000-0005-0000-0000-00008C000000}"/>
    <cellStyle name="_Capita Resumido mes de septiembre 2005_GASTOS 2010" xfId="141" xr:uid="{00000000-0005-0000-0000-00008D000000}"/>
    <cellStyle name="_Capita Resumido mes de septiembre 2005_IMPRESION1" xfId="142" xr:uid="{00000000-0005-0000-0000-00008E000000}"/>
    <cellStyle name="_Capita Resumido mes de septiembre 2005_IMPRESION1_Consolidado 1000 Proyecciones" xfId="143" xr:uid="{00000000-0005-0000-0000-00008F000000}"/>
    <cellStyle name="_Capita Resumido mes de septiembre 2005_IMPRESION1_FORMATOPresupuesto 2010-TRABAJO.C1" xfId="144" xr:uid="{00000000-0005-0000-0000-000090000000}"/>
    <cellStyle name="_Capita Resumido mes de septiembre 2005_IMPRESION1_FORMATOPresupuesto 2010-TRABAJO.C1." xfId="145" xr:uid="{00000000-0005-0000-0000-000091000000}"/>
    <cellStyle name="_Capita Resumido mes de septiembre 2005_Ingresos Presupuesto 2008" xfId="146" xr:uid="{00000000-0005-0000-0000-000092000000}"/>
    <cellStyle name="_Capita Resumido mes de septiembre 2005_Ingresos Presupuesto 2008_Consolidado PPTO Ingresos 2010 Ajuste Medicamentos" xfId="147" xr:uid="{00000000-0005-0000-0000-000093000000}"/>
    <cellStyle name="_Capita Resumido mes de septiembre 2005_Ingresos Presupuesto 2008_Consolidado PPTO Ingresos 2010 Ajuste Reuniones" xfId="148" xr:uid="{00000000-0005-0000-0000-000094000000}"/>
    <cellStyle name="_Capita Resumido mes de septiembre 2005_Ingresos Presupuesto 2008_Consolidado PPTO Ingresos 2010 Ejerc" xfId="149" xr:uid="{00000000-0005-0000-0000-000095000000}"/>
    <cellStyle name="_Capita Resumido mes de septiembre 2005_Ingresos Presupuesto 2008_Consolidado PPTO Ingresos 2010 Ejerc Reduccion % Ocupacional" xfId="150" xr:uid="{00000000-0005-0000-0000-000096000000}"/>
    <cellStyle name="_Capita Resumido mes de septiembre 2005_Ingresos Presupuesto 2008_Consolidado PPTO Ingresos 2010 Ejerc Reduccion % Ocupacional Vs 3 Centro" xfId="151" xr:uid="{00000000-0005-0000-0000-000097000000}"/>
    <cellStyle name="_Capita Resumido mes de septiembre 2005_mantenimiento infraestrucruta" xfId="152" xr:uid="{00000000-0005-0000-0000-000098000000}"/>
    <cellStyle name="_Capita Resumido mes de septiembre 2005_mantenimiento infraestrucruta (2)" xfId="153" xr:uid="{00000000-0005-0000-0000-000099000000}"/>
    <cellStyle name="_Capita Resumido mes de septiembre 2005_mantenimiento infraestrucruta (2)_PRESUPUESTO 2010 06-11-09 430 p m " xfId="154" xr:uid="{00000000-0005-0000-0000-00009A000000}"/>
    <cellStyle name="_Capita Resumido mes de septiembre 2005_mantenimiento infraestrucruta (2)_PRESUPUESTO 2010 06-11-09 430 p m _DIVERSOS.CONS" xfId="155" xr:uid="{00000000-0005-0000-0000-00009B000000}"/>
    <cellStyle name="_Capita Resumido mes de septiembre 2005_mantenimiento infraestrucruta (2)_SERVICIOS" xfId="156" xr:uid="{00000000-0005-0000-0000-00009C000000}"/>
    <cellStyle name="_Capita Resumido mes de septiembre 2005_mantenimiento infraestrucruta (2)_SERVICIOS_DIVERSOS.CONS" xfId="157" xr:uid="{00000000-0005-0000-0000-00009D000000}"/>
    <cellStyle name="_Capita Resumido mes de septiembre 2005_mantenimiento infraestrucruta_PRESUPUESTO 2010 06-11-09 430 p m " xfId="158" xr:uid="{00000000-0005-0000-0000-00009E000000}"/>
    <cellStyle name="_Capita Resumido mes de septiembre 2005_mantenimiento infraestrucruta_PRESUPUESTO 2010 06-11-09 430 p m _DIVERSOS.CONS" xfId="159" xr:uid="{00000000-0005-0000-0000-00009F000000}"/>
    <cellStyle name="_Capita Resumido mes de septiembre 2005_mantenimiento infraestrucruta_SERVICIOS" xfId="160" xr:uid="{00000000-0005-0000-0000-0000A0000000}"/>
    <cellStyle name="_Capita Resumido mes de septiembre 2005_mantenimiento infraestrucruta_SERVICIOS_DIVERSOS.CONS" xfId="161" xr:uid="{00000000-0005-0000-0000-0000A1000000}"/>
    <cellStyle name="_Capita Resumido mes de septiembre 2005_MANTENIMIENTO2010" xfId="162" xr:uid="{00000000-0005-0000-0000-0000A2000000}"/>
    <cellStyle name="_Capita Resumido mes de septiembre 2005_P Y G LABORATORIO-IMAGENES  cjc" xfId="163" xr:uid="{00000000-0005-0000-0000-0000A3000000}"/>
    <cellStyle name="_Capita Resumido mes de septiembre 2005_PLANTILLAS LEASING Y SERVICIOS" xfId="164" xr:uid="{00000000-0005-0000-0000-0000A4000000}"/>
    <cellStyle name="_Capita Resumido mes de septiembre 2005_ppto ucis ac is" xfId="165" xr:uid="{00000000-0005-0000-0000-0000A5000000}"/>
    <cellStyle name="_Capita Resumido mes de septiembre 2005_ppto ucis ac is_COSTO DE MEDICAMENTOS " xfId="166" xr:uid="{00000000-0005-0000-0000-0000A6000000}"/>
    <cellStyle name="_Capita Resumido mes de septiembre 2005_ppto ucis ac is_COSTO DE MEDICAMENTOS _Consolidado PPTO Ingresos 2010 Ajuste Medicamentos" xfId="167" xr:uid="{00000000-0005-0000-0000-0000A7000000}"/>
    <cellStyle name="_Capita Resumido mes de septiembre 2005_ppto ucis ac is_COSTO DE MEDICAMENTOS _Consolidado PPTO Ingresos 2010 Ajuste Reuniones" xfId="168" xr:uid="{00000000-0005-0000-0000-0000A8000000}"/>
    <cellStyle name="_Capita Resumido mes de septiembre 2005_ppto ucis ac is_COSTO DE MEDICAMENTOS _Consolidado PPTO Ingresos 2010 Ejerc Reduccion % Ocupacional Vs 3 Centro" xfId="169" xr:uid="{00000000-0005-0000-0000-0000A9000000}"/>
    <cellStyle name="_Capita Resumido mes de septiembre 2005_ppto ucis ac is_EJECUCION PRESUPUESTAL A NOVIEMBRE  09 EJERCICIO AJUSTE INGRESOS " xfId="170" xr:uid="{00000000-0005-0000-0000-0000AA000000}"/>
    <cellStyle name="_Capita Resumido mes de septiembre 2005_ppto ucis ac is_EJECUCION PRESUPUESTAL A NOVIEMBRE  09 EJERCICIO AJUSTE INGRESOS _Consolidado PPTO Ingresos 2010 Ajuste Medicamentos" xfId="171" xr:uid="{00000000-0005-0000-0000-0000AB000000}"/>
    <cellStyle name="_Capita Resumido mes de septiembre 2005_PRESUPUESTO  CONSUMOS CAFETERIA 2010" xfId="172" xr:uid="{00000000-0005-0000-0000-0000AC000000}"/>
    <cellStyle name="_Capita Resumido mes de septiembre 2005_PRESUPUESTO  CONSUMOS JARRAS DE AGUA  2010" xfId="173" xr:uid="{00000000-0005-0000-0000-0000AD000000}"/>
    <cellStyle name="_Capita Resumido mes de septiembre 2005_PRESUPUESTO  CONSUMOS JARRAS DE AGUA  2010_DIVERSOS.CONS" xfId="174" xr:uid="{00000000-0005-0000-0000-0000AE000000}"/>
    <cellStyle name="_Capita Resumido mes de septiembre 2005_PRESUPUESTO  CONSUMOS VASOS  2010" xfId="175" xr:uid="{00000000-0005-0000-0000-0000AF000000}"/>
    <cellStyle name="_Capita Resumido mes de septiembre 2005_PRESUPUESTO  CONSUMOS VASOS  2010_DIVERSOS.CONS" xfId="176" xr:uid="{00000000-0005-0000-0000-0000B0000000}"/>
    <cellStyle name="_Capita Resumido mes de septiembre 2005_PRESUPUESTO  TINTOS 2010" xfId="177" xr:uid="{00000000-0005-0000-0000-0000B1000000}"/>
    <cellStyle name="_Capita Resumido mes de septiembre 2005_PRESUPUESTO 2010 06-11-09 430 p m " xfId="178" xr:uid="{00000000-0005-0000-0000-0000B2000000}"/>
    <cellStyle name="_Capita Resumido mes de septiembre 2005_PRESUPUESTO 2010 06-11-09 430 p m _Consolidado 1000 Proyecciones" xfId="179" xr:uid="{00000000-0005-0000-0000-0000B3000000}"/>
    <cellStyle name="_Capita Resumido mes de septiembre 2005_PRESUPUESTO 2010 06-11-09 430 p m _FORMATOPresupuesto 2010-TRABAJO.C1" xfId="180" xr:uid="{00000000-0005-0000-0000-0000B4000000}"/>
    <cellStyle name="_Capita Resumido mes de septiembre 2005_PRESUPUESTO 2010 06-11-09 430 p m _FORMATOPresupuesto 2010-TRABAJO.C1." xfId="181" xr:uid="{00000000-0005-0000-0000-0000B5000000}"/>
    <cellStyle name="_Capita Resumido mes de septiembre 2005_PRESUPUESTO BOTELLONES  AGUA 2010" xfId="182" xr:uid="{00000000-0005-0000-0000-0000B6000000}"/>
    <cellStyle name="_Capita Resumido mes de septiembre 2005_presupuesto de mantenimiento" xfId="183" xr:uid="{00000000-0005-0000-0000-0000B7000000}"/>
    <cellStyle name="_Capita Resumido mes de septiembre 2005_presupuesto de mantenimiento (2)" xfId="184" xr:uid="{00000000-0005-0000-0000-0000B8000000}"/>
    <cellStyle name="_Capita Resumido mes de septiembre 2005_presupuesto de mantenimiento (2)_Consolidado 1000 Proyecciones" xfId="185" xr:uid="{00000000-0005-0000-0000-0000B9000000}"/>
    <cellStyle name="_Capita Resumido mes de septiembre 2005_presupuesto de mantenimiento (2)_FORMATOPresupuesto 2010-TRABAJO.C1" xfId="186" xr:uid="{00000000-0005-0000-0000-0000BA000000}"/>
    <cellStyle name="_Capita Resumido mes de septiembre 2005_presupuesto de mantenimiento (2)_FORMATOPresupuesto 2010-TRABAJO.C1." xfId="187" xr:uid="{00000000-0005-0000-0000-0000BB000000}"/>
    <cellStyle name="_Capita Resumido mes de septiembre 2005_presupuesto de mantenimiento_Consolidado 1000 Proyecciones" xfId="188" xr:uid="{00000000-0005-0000-0000-0000BC000000}"/>
    <cellStyle name="_Capita Resumido mes de septiembre 2005_presupuesto de mantenimiento_FORMATOPresupuesto 2010-TRABAJO.C1" xfId="189" xr:uid="{00000000-0005-0000-0000-0000BD000000}"/>
    <cellStyle name="_Capita Resumido mes de septiembre 2005_presupuesto de mantenimiento_FORMATOPresupuesto 2010-TRABAJO.C1." xfId="190" xr:uid="{00000000-0005-0000-0000-0000BE000000}"/>
    <cellStyle name="_Capita Resumido mes de septiembre 2005_PRESUPUESTO LEASING_FINAL_Oct25" xfId="191" xr:uid="{00000000-0005-0000-0000-0000BF000000}"/>
    <cellStyle name="_Capita Resumido mes de septiembre 2005_PRESUPUESTO LEASING_FINAL_Oct25_Consolidado 1000 Proyecciones" xfId="192" xr:uid="{00000000-0005-0000-0000-0000C0000000}"/>
    <cellStyle name="_Capita Resumido mes de septiembre 2005_PRESUPUESTO LEASING_FINAL_Oct25_Consolidado PPTO Ingresos 2010 Ajuste Medicamentos" xfId="193" xr:uid="{00000000-0005-0000-0000-0000C1000000}"/>
    <cellStyle name="_Capita Resumido mes de septiembre 2005_PRESUPUESTO LEASING_FINAL_Oct25_Consolidado PPTO Ingresos 2010 Ajuste Reuniones" xfId="194" xr:uid="{00000000-0005-0000-0000-0000C2000000}"/>
    <cellStyle name="_Capita Resumido mes de septiembre 2005_PRESUPUESTO LEASING_FINAL_Oct25_Consolidado PPTO Ingresos 2010 Ejerc" xfId="195" xr:uid="{00000000-0005-0000-0000-0000C3000000}"/>
    <cellStyle name="_Capita Resumido mes de septiembre 2005_PRESUPUESTO LEASING_FINAL_Oct25_Consolidado PPTO Ingresos 2010 Ejerc Reduccion % Ocupacional" xfId="196" xr:uid="{00000000-0005-0000-0000-0000C4000000}"/>
    <cellStyle name="_Capita Resumido mes de septiembre 2005_PRESUPUESTO LEASING_FINAL_Oct25_Consolidado PPTO Ingresos 2010 Ejerc Reduccion % Ocupacional Vs 3 Centro" xfId="197" xr:uid="{00000000-0005-0000-0000-0000C5000000}"/>
    <cellStyle name="_Capita Resumido mes de septiembre 2005_PRESUPUESTO LEASING_FINAL_Oct25_FORMATOPresupuesto 2010-TRABAJO.C1" xfId="198" xr:uid="{00000000-0005-0000-0000-0000C6000000}"/>
    <cellStyle name="_Capita Resumido mes de septiembre 2005_PRESUPUESTO LEASING_FINAL_Oct25_FORMATOPresupuesto 2010-TRABAJO.C1." xfId="199" xr:uid="{00000000-0005-0000-0000-0000C7000000}"/>
    <cellStyle name="_Capita Resumido mes de septiembre 2005_PRESUPUESTO POR CENTROS DE GESTION 2010 (3)" xfId="200" xr:uid="{00000000-0005-0000-0000-0000C8000000}"/>
    <cellStyle name="_Capita Resumido mes de septiembre 2005_PRESUPUESTO POR CENTROS DE GESTION 2010 (3)_PRESUPUESTO 2010 06-11-09 430 p m " xfId="201" xr:uid="{00000000-0005-0000-0000-0000C9000000}"/>
    <cellStyle name="_Capita Resumido mes de septiembre 2005_PRESUPUESTO POR CENTROS DE GESTION 2010 (3)_PRESUPUESTO 2010 06-11-09 430 p m _DIVERSOS.CONS" xfId="202" xr:uid="{00000000-0005-0000-0000-0000CA000000}"/>
    <cellStyle name="_Capita Resumido mes de septiembre 2005_PRESUPUESTO POR CENTROS DE GESTION 2010 (3)_SERVICIOS" xfId="203" xr:uid="{00000000-0005-0000-0000-0000CB000000}"/>
    <cellStyle name="_Capita Resumido mes de septiembre 2005_PRESUPUESTO POR CENTROS DE GESTION 2010 (3)_SERVICIOS_DIVERSOS.CONS" xfId="204" xr:uid="{00000000-0005-0000-0000-0000CC000000}"/>
    <cellStyle name="_Capita Resumido mes de septiembre 2005_Presupuesto sistemas 2008" xfId="205" xr:uid="{00000000-0005-0000-0000-0000CD000000}"/>
    <cellStyle name="_Capita Resumido mes de septiembre 2005_Presupuesto sistemas 2008_Consolidado 1000 Proyecciones" xfId="206" xr:uid="{00000000-0005-0000-0000-0000CE000000}"/>
    <cellStyle name="_Capita Resumido mes de septiembre 2005_Presupuesto sistemas 2008_Consolidado PPTO Ingresos 2010 Ajuste Medicamentos" xfId="207" xr:uid="{00000000-0005-0000-0000-0000CF000000}"/>
    <cellStyle name="_Capita Resumido mes de septiembre 2005_Presupuesto sistemas 2008_Consolidado PPTO Ingresos 2010 Ajuste Reuniones" xfId="208" xr:uid="{00000000-0005-0000-0000-0000D0000000}"/>
    <cellStyle name="_Capita Resumido mes de septiembre 2005_Presupuesto sistemas 2008_Consolidado PPTO Ingresos 2010 Ejerc" xfId="209" xr:uid="{00000000-0005-0000-0000-0000D1000000}"/>
    <cellStyle name="_Capita Resumido mes de septiembre 2005_Presupuesto sistemas 2008_Consolidado PPTO Ingresos 2010 Ejerc Reduccion % Ocupacional" xfId="210" xr:uid="{00000000-0005-0000-0000-0000D2000000}"/>
    <cellStyle name="_Capita Resumido mes de septiembre 2005_Presupuesto sistemas 2008_Consolidado PPTO Ingresos 2010 Ejerc Reduccion % Ocupacional Vs 3 Centro" xfId="211" xr:uid="{00000000-0005-0000-0000-0000D3000000}"/>
    <cellStyle name="_Capita Resumido mes de septiembre 2005_Presupuesto sistemas 2008_FORMATOPresupuesto 2010-TRABAJO.C1" xfId="212" xr:uid="{00000000-0005-0000-0000-0000D4000000}"/>
    <cellStyle name="_Capita Resumido mes de septiembre 2005_Presupuesto sistemas 2008_FORMATOPresupuesto 2010-TRABAJO.C1." xfId="213" xr:uid="{00000000-0005-0000-0000-0000D5000000}"/>
    <cellStyle name="_Capita Resumido mes de septiembre 2005_PRESUPUESTO_DIETAS_2010___FINAL(1 1)" xfId="214" xr:uid="{00000000-0005-0000-0000-0000D6000000}"/>
    <cellStyle name="_Capita Resumido mes de septiembre 2005_PRESUPUESTO_DIETAS_2010___FINAL(1 1)_DIVERSOS.CONS" xfId="215" xr:uid="{00000000-0005-0000-0000-0000D7000000}"/>
    <cellStyle name="_Capita Resumido mes de septiembre 2005_presupuestocamaras" xfId="216" xr:uid="{00000000-0005-0000-0000-0000D8000000}"/>
    <cellStyle name="_Capita Resumido mes de septiembre 2005_PresupuestoFacturacionelectonica" xfId="217" xr:uid="{00000000-0005-0000-0000-0000D9000000}"/>
    <cellStyle name="_Capita Resumido mes de septiembre 2005_PRESUPUESTOTECNOLOGIACAMBIO" xfId="218" xr:uid="{00000000-0005-0000-0000-0000DA000000}"/>
    <cellStyle name="_Capita Resumido mes de septiembre 2005_PRESUPUESTOTECNOLOGIACAMBIO_Consolidado 1000 Proyecciones" xfId="219" xr:uid="{00000000-0005-0000-0000-0000DB000000}"/>
    <cellStyle name="_Capita Resumido mes de septiembre 2005_PRESUPUESTOTECNOLOGIACAMBIO_FORMATOPresupuesto 2010-TRABAJO.C1" xfId="220" xr:uid="{00000000-0005-0000-0000-0000DC000000}"/>
    <cellStyle name="_Capita Resumido mes de septiembre 2005_PRESUPUESTOTECNOLOGIACAMBIO_FORMATOPresupuesto 2010-TRABAJO.C1." xfId="221" xr:uid="{00000000-0005-0000-0000-0000DD000000}"/>
    <cellStyle name="_Capita Resumido mes de septiembre 2005_PRESUPUESTOTECNOLOGIAINFORMATICA2010_vers2003" xfId="222" xr:uid="{00000000-0005-0000-0000-0000DE000000}"/>
    <cellStyle name="_Capita Resumido mes de septiembre 2005_PRESUPUESTOTECNOLOGIAINFORMATICA2010_vers2003_Consolidado 1000 Proyecciones" xfId="223" xr:uid="{00000000-0005-0000-0000-0000DF000000}"/>
    <cellStyle name="_Capita Resumido mes de septiembre 2005_PRESUPUESTOTECNOLOGIAINFORMATICA2010_vers2003_FORMATOPresupuesto 2010-TRABAJO.C1" xfId="224" xr:uid="{00000000-0005-0000-0000-0000E0000000}"/>
    <cellStyle name="_Capita Resumido mes de septiembre 2005_PRESUPUESTOTECNOLOGIAINFORMATICA2010_vers2003_FORMATOPresupuesto 2010-TRABAJO.C1." xfId="225" xr:uid="{00000000-0005-0000-0000-0000E1000000}"/>
    <cellStyle name="_Capita Resumido mes de septiembre 2005_provision contingencias-CONS" xfId="226" xr:uid="{00000000-0005-0000-0000-0000E2000000}"/>
    <cellStyle name="_Capita Resumido mes de septiembre 2005_provision de cartera-CONS" xfId="227" xr:uid="{00000000-0005-0000-0000-0000E3000000}"/>
    <cellStyle name="_Capita Resumido mes de septiembre 2005_PUBLICIDAD" xfId="228" xr:uid="{00000000-0005-0000-0000-0000E4000000}"/>
    <cellStyle name="_Capita Resumido mes de septiembre 2005_PUBLICIDAD_DIVERSOS.CONS" xfId="229" xr:uid="{00000000-0005-0000-0000-0000E5000000}"/>
    <cellStyle name="_Capita Resumido mes de septiembre 2005_SERVICIOS" xfId="230" xr:uid="{00000000-0005-0000-0000-0000E6000000}"/>
    <cellStyle name="_Capita Resumido mes de septiembre 2005_SERVICIOS." xfId="231" xr:uid="{00000000-0005-0000-0000-0000E7000000}"/>
    <cellStyle name="_Capita Resumido mes de septiembre 2005_SERVICIOS_DIVERSOS.CONS" xfId="232" xr:uid="{00000000-0005-0000-0000-0000E8000000}"/>
    <cellStyle name="_Capita Resumido mes de septiembre 2005_SUMINISTROS LOGISTICA ULTIMO NOV 20" xfId="233" xr:uid="{00000000-0005-0000-0000-0000E9000000}"/>
    <cellStyle name="_Capita Resumido mes de septiembre 2005_SUMINISTROS LOGISTICA ULTIMO NOV 20_Consolidado 1000 Proyecciones" xfId="234" xr:uid="{00000000-0005-0000-0000-0000EA000000}"/>
    <cellStyle name="_Capita Resumido mes de septiembre 2005_SUMINISTROS LOGISTICA ULTIMO NOV 20_FORMATOPresupuesto 2010-TRABAJO.C1" xfId="235" xr:uid="{00000000-0005-0000-0000-0000EB000000}"/>
    <cellStyle name="_Capita Resumido mes de septiembre 2005_SUMINISTROS LOGISTICA ULTIMO NOV 20_FORMATOPresupuesto 2010-TRABAJO.C1." xfId="236" xr:uid="{00000000-0005-0000-0000-0000EC000000}"/>
    <cellStyle name="_Capita Resumido mes de septiembre 2005_TECNOLOGIA E INFORMATICA" xfId="237" xr:uid="{00000000-0005-0000-0000-0000ED000000}"/>
    <cellStyle name="_Capita Resumido mes de septiembre 2005_TECNOLOGIA E INFORMATICA_Consolidado 1000 Proyecciones" xfId="238" xr:uid="{00000000-0005-0000-0000-0000EE000000}"/>
    <cellStyle name="_Capita Resumido mes de septiembre 2005_TECNOLOGIA E INFORMATICA_FORMATOPresupuesto 2010-TRABAJO.C1" xfId="239" xr:uid="{00000000-0005-0000-0000-0000EF000000}"/>
    <cellStyle name="_Capita Resumido mes de septiembre 2005_TECNOLOGIA E INFORMATICA_FORMATOPresupuesto 2010-TRABAJO.C1." xfId="240" xr:uid="{00000000-0005-0000-0000-0000F0000000}"/>
    <cellStyle name="_Capita Resumido mes de septiembre 2005_xerox" xfId="241" xr:uid="{00000000-0005-0000-0000-0000F1000000}"/>
    <cellStyle name="_Capita Resumido mes de septiembre 2005_xerox_Consolidado 1000 Proyecciones" xfId="242" xr:uid="{00000000-0005-0000-0000-0000F2000000}"/>
    <cellStyle name="_Capita Resumido mes de septiembre 2005_xerox_Consolidado PPTO Ingresos 2010 Ajuste Medicamentos" xfId="243" xr:uid="{00000000-0005-0000-0000-0000F3000000}"/>
    <cellStyle name="_Capita Resumido mes de septiembre 2005_xerox_Consolidado PPTO Ingresos 2010 Ajuste Reuniones" xfId="244" xr:uid="{00000000-0005-0000-0000-0000F4000000}"/>
    <cellStyle name="_Capita Resumido mes de septiembre 2005_xerox_Consolidado PPTO Ingresos 2010 Ejerc" xfId="245" xr:uid="{00000000-0005-0000-0000-0000F5000000}"/>
    <cellStyle name="_Capita Resumido mes de septiembre 2005_xerox_Consolidado PPTO Ingresos 2010 Ejerc Reduccion % Ocupacional" xfId="246" xr:uid="{00000000-0005-0000-0000-0000F6000000}"/>
    <cellStyle name="_Capita Resumido mes de septiembre 2005_xerox_Consolidado PPTO Ingresos 2010 Ejerc Reduccion % Ocupacional Vs 3 Centro" xfId="247" xr:uid="{00000000-0005-0000-0000-0000F7000000}"/>
    <cellStyle name="_Capita Resumido mes de septiembre 2005_xerox_FORMATOPresupuesto 2010-TRABAJO.C1" xfId="248" xr:uid="{00000000-0005-0000-0000-0000F8000000}"/>
    <cellStyle name="_Capita Resumido mes de septiembre 2005_xerox_FORMATOPresupuesto 2010-TRABAJO.C1." xfId="249" xr:uid="{00000000-0005-0000-0000-0000F9000000}"/>
    <cellStyle name="_Cartera  Diciembre" xfId="250" xr:uid="{00000000-0005-0000-0000-0000FA000000}"/>
    <cellStyle name="_Cartera a Diciembre" xfId="251" xr:uid="{00000000-0005-0000-0000-0000FB000000}"/>
    <cellStyle name="_Cartera a Diciembre_1" xfId="252" xr:uid="{00000000-0005-0000-0000-0000FC000000}"/>
    <cellStyle name="_Cartera a Diciembre_Cartera de Agosto de 2009" xfId="253" xr:uid="{00000000-0005-0000-0000-0000FD000000}"/>
    <cellStyle name="_Cartera a Diciembre_Cartera de Julio de 2009" xfId="254" xr:uid="{00000000-0005-0000-0000-0000FE000000}"/>
    <cellStyle name="_Cartera a Diciembre_Desgloce de Cartera Mayo 2009 modificado" xfId="255" xr:uid="{00000000-0005-0000-0000-0000FF000000}"/>
    <cellStyle name="_Cartera a Diciembre_Desgloce de Cartera Mayo 2009 y resumen" xfId="256" xr:uid="{00000000-0005-0000-0000-000000010000}"/>
    <cellStyle name="_Cartera a Diciembre_Indicador dias ponderado  PB cartera" xfId="257" xr:uid="{00000000-0005-0000-0000-000001010000}"/>
    <cellStyle name="_Cartera a Diciembre_Indicador dias ponderado  PB cartera1" xfId="258" xr:uid="{00000000-0005-0000-0000-000002010000}"/>
    <cellStyle name="_cartera a mayo 31 2008 base (junio 3 2008)" xfId="259" xr:uid="{00000000-0005-0000-0000-000003010000}"/>
    <cellStyle name="_cartera a mayo 31 2008 base (junio 3 2008)_Cartera de Agosto de 2009" xfId="260" xr:uid="{00000000-0005-0000-0000-000004010000}"/>
    <cellStyle name="_cartera a mayo 31 2008 base (junio 3 2008)_Cartera de Julio de 2009" xfId="261" xr:uid="{00000000-0005-0000-0000-000005010000}"/>
    <cellStyle name="_cartera a mayo 31 2008 base (junio 3 2008)_Desgloce de Cartera Mayo 2009 modificado" xfId="262" xr:uid="{00000000-0005-0000-0000-000006010000}"/>
    <cellStyle name="_cartera a mayo 31 2008 base (junio 3 2008)_Desgloce de Cartera Mayo 2009 y resumen" xfId="263" xr:uid="{00000000-0005-0000-0000-000007010000}"/>
    <cellStyle name="_cartera a mayo 31 2008 base (junio 3 2008)_Indicador dias ponderado  PB cartera" xfId="264" xr:uid="{00000000-0005-0000-0000-000008010000}"/>
    <cellStyle name="_cartera a mayo 31 2008 base (junio 3 2008)_Indicador dias ponderado  PB cartera1" xfId="265" xr:uid="{00000000-0005-0000-0000-000009010000}"/>
    <cellStyle name="_CARTERA A SEPTIEMBRE 2008" xfId="266" xr:uid="{00000000-0005-0000-0000-00000A010000}"/>
    <cellStyle name="_CARTERA A SEPTIEMBRE 2008_Cartera de Agosto de 2009" xfId="267" xr:uid="{00000000-0005-0000-0000-00000B010000}"/>
    <cellStyle name="_CARTERA A SEPTIEMBRE 2008_Cartera de Julio de 2009" xfId="268" xr:uid="{00000000-0005-0000-0000-00000C010000}"/>
    <cellStyle name="_CARTERA A SEPTIEMBRE 2008_Desgloce de Cartera Mayo 2009 modificado" xfId="269" xr:uid="{00000000-0005-0000-0000-00000D010000}"/>
    <cellStyle name="_CARTERA A SEPTIEMBRE 2008_Desgloce de Cartera Mayo 2009 y resumen" xfId="270" xr:uid="{00000000-0005-0000-0000-00000E010000}"/>
    <cellStyle name="_CARTERA A SEPTIEMBRE 2008_Indicador dias ponderado  PB cartera" xfId="271" xr:uid="{00000000-0005-0000-0000-00000F010000}"/>
    <cellStyle name="_Cartera de Diciembre 2009" xfId="272" xr:uid="{00000000-0005-0000-0000-000010010000}"/>
    <cellStyle name="_Cartera de Julio de 2009" xfId="273" xr:uid="{00000000-0005-0000-0000-000011010000}"/>
    <cellStyle name="_Cartera de Noviembre" xfId="274" xr:uid="{00000000-0005-0000-0000-000012010000}"/>
    <cellStyle name="_Cartera de Noviembre de 2009" xfId="275" xr:uid="{00000000-0005-0000-0000-000013010000}"/>
    <cellStyle name="_Cartera de Noviembre_Cartera de Agosto de 2009" xfId="276" xr:uid="{00000000-0005-0000-0000-000014010000}"/>
    <cellStyle name="_Cartera de Noviembre_Cartera de Julio de 2009" xfId="277" xr:uid="{00000000-0005-0000-0000-000015010000}"/>
    <cellStyle name="_Cartera de Noviembre_Desgloce de Cartera Mayo 2009 modificado" xfId="278" xr:uid="{00000000-0005-0000-0000-000016010000}"/>
    <cellStyle name="_Cartera de Noviembre_Desgloce de Cartera Mayo 2009 y resumen" xfId="279" xr:uid="{00000000-0005-0000-0000-000017010000}"/>
    <cellStyle name="_Cartera de Noviembre_Indicador dias ponderado  PB cartera" xfId="280" xr:uid="{00000000-0005-0000-0000-000018010000}"/>
    <cellStyle name="_Cartera de Noviembre_Indicador dias ponderado  PB cartera1" xfId="281" xr:uid="{00000000-0005-0000-0000-000019010000}"/>
    <cellStyle name="_Cartera de Octubre 2008" xfId="282" xr:uid="{00000000-0005-0000-0000-00001A010000}"/>
    <cellStyle name="_Cartera de Octubre 2008_1" xfId="283" xr:uid="{00000000-0005-0000-0000-00001B010000}"/>
    <cellStyle name="_Cartera de Octubre 2008_Cartera a Abril" xfId="284" xr:uid="{00000000-0005-0000-0000-00001C010000}"/>
    <cellStyle name="_Cartera de Octubre 2008_Cartera de Abril de 2009" xfId="285" xr:uid="{00000000-0005-0000-0000-00001D010000}"/>
    <cellStyle name="_Cartera de Octubre 2008_Cartera de Agosto de 2009" xfId="286" xr:uid="{00000000-0005-0000-0000-00001E010000}"/>
    <cellStyle name="_Cartera de Octubre 2008_Cartera de Julio de 2009" xfId="287" xr:uid="{00000000-0005-0000-0000-00001F010000}"/>
    <cellStyle name="_Cartera de Octubre 2008_Indicador dias ponderado  PB cartera" xfId="288" xr:uid="{00000000-0005-0000-0000-000020010000}"/>
    <cellStyle name="_Cartera de Octubre 2008_Informe a Diciembre" xfId="289" xr:uid="{00000000-0005-0000-0000-000021010000}"/>
    <cellStyle name="_Cartera de Octubre 2008_Informe a Diciembre1" xfId="290" xr:uid="{00000000-0005-0000-0000-000022010000}"/>
    <cellStyle name="_Cartera de Octubre 2008_Informe a Diciembre2" xfId="291" xr:uid="{00000000-0005-0000-0000-000023010000}"/>
    <cellStyle name="_Cartera de Octubre 2008_Informe a Diciembre4" xfId="292" xr:uid="{00000000-0005-0000-0000-000024010000}"/>
    <cellStyle name="_Cartera de Octubre 2009" xfId="293" xr:uid="{00000000-0005-0000-0000-000025010000}"/>
    <cellStyle name="_Cartera de Septiembre de 2009" xfId="294" xr:uid="{00000000-0005-0000-0000-000026010000}"/>
    <cellStyle name="_Cartera Enero de 2009" xfId="295" xr:uid="{00000000-0005-0000-0000-000027010000}"/>
    <cellStyle name="_Cartera Enero de 2009_Cartera de Agosto de 2009" xfId="296" xr:uid="{00000000-0005-0000-0000-000028010000}"/>
    <cellStyle name="_Cartera Enero de 2009_Cartera de Julio de 2009" xfId="297" xr:uid="{00000000-0005-0000-0000-000029010000}"/>
    <cellStyle name="_Cartera Enero de 2009_Desgloce de Cartera Mayo 2009 modificado" xfId="298" xr:uid="{00000000-0005-0000-0000-00002A010000}"/>
    <cellStyle name="_Cartera Enero de 2009_Desgloce de Cartera Mayo 2009 y resumen" xfId="299" xr:uid="{00000000-0005-0000-0000-00002B010000}"/>
    <cellStyle name="_Cartera Enero de 2009_Indicador dias ponderado  PB cartera" xfId="300" xr:uid="{00000000-0005-0000-0000-00002C010000}"/>
    <cellStyle name="_Cartera Enero de 2009_Indicador dias ponderado  PB cartera1" xfId="301" xr:uid="{00000000-0005-0000-0000-00002D010000}"/>
    <cellStyle name="_Cartera Febrero de 2009" xfId="302" xr:uid="{00000000-0005-0000-0000-00002E010000}"/>
    <cellStyle name="_Cartera Febrero de 2009_Cartera a Abril" xfId="303" xr:uid="{00000000-0005-0000-0000-00002F010000}"/>
    <cellStyle name="_Cartera Febrero de 2009_Cartera de  Junio de 2009" xfId="304" xr:uid="{00000000-0005-0000-0000-000030010000}"/>
    <cellStyle name="_Cartera Febrero de 2009_Cartera de Abril de 2009" xfId="305" xr:uid="{00000000-0005-0000-0000-000031010000}"/>
    <cellStyle name="_Cartera Febrero de 2009_Cartera de Agosto de 2009" xfId="306" xr:uid="{00000000-0005-0000-0000-000032010000}"/>
    <cellStyle name="_Cartera Febrero de 2009_Cartera de Julio de 2009" xfId="307" xr:uid="{00000000-0005-0000-0000-000033010000}"/>
    <cellStyle name="_Cartera Febrero de 2009_Cartera de Noviembre de 2009" xfId="308" xr:uid="{00000000-0005-0000-0000-000034010000}"/>
    <cellStyle name="_Cartera Febrero de 2009_Cartera de Octubre 2009" xfId="309" xr:uid="{00000000-0005-0000-0000-000035010000}"/>
    <cellStyle name="_Cartera Febrero de 2009_Cartera de Septiembre de 2009.." xfId="310" xr:uid="{00000000-0005-0000-0000-000036010000}"/>
    <cellStyle name="_Cartera Febrero de 2009_Cartera Mayo 2009" xfId="311" xr:uid="{00000000-0005-0000-0000-000037010000}"/>
    <cellStyle name="_Cartera Febrero de 2009_Desgloce de Cartera Mayo 2009 modificado" xfId="312" xr:uid="{00000000-0005-0000-0000-000038010000}"/>
    <cellStyle name="_Cartera Febrero de 2009_Desgloce de Cartera Mayo 2009 y resumen" xfId="313" xr:uid="{00000000-0005-0000-0000-000039010000}"/>
    <cellStyle name="_Cartera Febrero de 2009_Indicador dias ponderado  PB cartera" xfId="314" xr:uid="{00000000-0005-0000-0000-00003A010000}"/>
    <cellStyle name="_Cartera Febrero de 2009_Indicador dias ponderado  PB cartera1" xfId="315" xr:uid="{00000000-0005-0000-0000-00003B010000}"/>
    <cellStyle name="_Cartera Febrero de 2009_Tendencia de  Cartera a Abril 2009" xfId="316" xr:uid="{00000000-0005-0000-0000-00003C010000}"/>
    <cellStyle name="_Cartera Febrero de 2009_Tendencia de  Cartera a Agosto 2009" xfId="317" xr:uid="{00000000-0005-0000-0000-00003D010000}"/>
    <cellStyle name="_Cartera Febrero de 2009_Tendencia de  Cartera a julio 2009" xfId="318" xr:uid="{00000000-0005-0000-0000-00003E010000}"/>
    <cellStyle name="_Cartera Febrero de 2009_Tendencia de  Cartera a junio 2009" xfId="319" xr:uid="{00000000-0005-0000-0000-00003F010000}"/>
    <cellStyle name="_Cartera Febrero de 2009_Tendencia de  Cartera a Marzo 2009" xfId="320" xr:uid="{00000000-0005-0000-0000-000040010000}"/>
    <cellStyle name="_Cartera Febrero de 2009_Tendencia de  Cartera a Mayo 2009" xfId="321" xr:uid="{00000000-0005-0000-0000-000041010000}"/>
    <cellStyle name="_Cartera Febrero de 2009_Tendencia de  Cartera a Octubre  2009" xfId="322" xr:uid="{00000000-0005-0000-0000-000042010000}"/>
    <cellStyle name="_Cartera Febrero de 2009_Tendencia de  Cartera a Septiembre  2009" xfId="323" xr:uid="{00000000-0005-0000-0000-000043010000}"/>
    <cellStyle name="_CARTERA JORGE - JULIO 31" xfId="324" xr:uid="{00000000-0005-0000-0000-000044010000}"/>
    <cellStyle name="_Cartera Marzo de 2009" xfId="325" xr:uid="{00000000-0005-0000-0000-000045010000}"/>
    <cellStyle name="_Cartera Marzo de 2009_Desgloce de Cartera Mayo 2009 modificado" xfId="326" xr:uid="{00000000-0005-0000-0000-000046010000}"/>
    <cellStyle name="_Cartera Marzo de 2009_Desgloce de Cartera Mayo 2009 y resumen" xfId="327" xr:uid="{00000000-0005-0000-0000-000047010000}"/>
    <cellStyle name="_Cartera Mayo 2009" xfId="328" xr:uid="{00000000-0005-0000-0000-000048010000}"/>
    <cellStyle name="_CHIA - DICIEMBRE 31" xfId="329" xr:uid="{00000000-0005-0000-0000-000049010000}"/>
    <cellStyle name="_CIR Strutture v27" xfId="330" xr:uid="{00000000-0005-0000-0000-00004A010000}"/>
    <cellStyle name="_Column1" xfId="331" xr:uid="{00000000-0005-0000-0000-00004B010000}"/>
    <cellStyle name="_Column1_Bank case Viking (sent to JPM 10 Nov 05)" xfId="332" xr:uid="{00000000-0005-0000-0000-00004C010000}"/>
    <cellStyle name="_Column1_Banks (2)" xfId="333" xr:uid="{00000000-0005-0000-0000-00004D010000}"/>
    <cellStyle name="_Column1_EBITDA-Recon P&amp;L OPSP04-08_GX" xfId="334" xr:uid="{00000000-0005-0000-0000-00004E010000}"/>
    <cellStyle name="_Column1_Eramet valuation_14.02.07_v12" xfId="335" xr:uid="{00000000-0005-0000-0000-00004F010000}"/>
    <cellStyle name="_Column1_Financial ratios_Euroland" xfId="336" xr:uid="{00000000-0005-0000-0000-000050010000}"/>
    <cellStyle name="_Column1_GX evaluation without pensions" xfId="337" xr:uid="{00000000-0005-0000-0000-000051010000}"/>
    <cellStyle name="_Column1_GX model_JPM_310107_FINAL" xfId="338" xr:uid="{00000000-0005-0000-0000-000052010000}"/>
    <cellStyle name="_Column1_GX OPSP0509 incl. Zurückdrehen Subsidies NVM" xfId="339" xr:uid="{00000000-0005-0000-0000-000053010000}"/>
    <cellStyle name="_Column1_GX Plan" xfId="340" xr:uid="{00000000-0005-0000-0000-000054010000}"/>
    <cellStyle name="_Column1_Gx_analysis_240306 v1" xfId="341" xr:uid="{00000000-0005-0000-0000-000055010000}"/>
    <cellStyle name="_Column1_Headcount" xfId="342" xr:uid="{00000000-0005-0000-0000-000056010000}"/>
    <cellStyle name="_Column1_Headcount_Monthly report" xfId="343" xr:uid="{00000000-0005-0000-0000-000057010000}"/>
    <cellStyle name="_Column1_LTMJUN02" xfId="344" xr:uid="{00000000-0005-0000-0000-000058010000}"/>
    <cellStyle name="_Column1_MIS Reporting_Budget_JD" xfId="345" xr:uid="{00000000-0005-0000-0000-000059010000}"/>
    <cellStyle name="_Column1_New Gerresheimer bank plan (sent to JPM 26 Nov 05)" xfId="346" xr:uid="{00000000-0005-0000-0000-00005A010000}"/>
    <cellStyle name="_Column1_P&amp;L bank model - received from Gerresheimer 1 12 05" xfId="347" xr:uid="{00000000-0005-0000-0000-00005B010000}"/>
    <cellStyle name="_Column1_Plan model" xfId="348" xr:uid="{00000000-0005-0000-0000-00005C010000}"/>
    <cellStyle name="_Column1_Quarterly" xfId="349" xr:uid="{00000000-0005-0000-0000-00005D010000}"/>
    <cellStyle name="_Column1_Tabelle1" xfId="350" xr:uid="{00000000-0005-0000-0000-00005E010000}"/>
    <cellStyle name="_Column1_TSG2" xfId="351" xr:uid="{00000000-0005-0000-0000-00005F010000}"/>
    <cellStyle name="_Column1_Update 2004 Figures v2 (sent to banks)" xfId="352" xr:uid="{00000000-0005-0000-0000-000060010000}"/>
    <cellStyle name="_Column1_Volvo Cars model 011006 v7" xfId="353" xr:uid="{00000000-0005-0000-0000-000061010000}"/>
    <cellStyle name="_Column1_WC benchmark Calc" xfId="354" xr:uid="{00000000-0005-0000-0000-000062010000}"/>
    <cellStyle name="_Column1_Zins und Bankschuldenberechnung_03_07" xfId="355" xr:uid="{00000000-0005-0000-0000-000063010000}"/>
    <cellStyle name="_Column2" xfId="356" xr:uid="{00000000-0005-0000-0000-000064010000}"/>
    <cellStyle name="_Column2_051003 Viking Business plan" xfId="357" xr:uid="{00000000-0005-0000-0000-000065010000}"/>
    <cellStyle name="_Column2_051004 Viking Business plan10" xfId="358" xr:uid="{00000000-0005-0000-0000-000066010000}"/>
    <cellStyle name="_Column2_Bank case Viking (sent to JPM 10 Nov 05)" xfId="359" xr:uid="{00000000-0005-0000-0000-000067010000}"/>
    <cellStyle name="_Column2_Cost Price Assumptions OPSP0509 vs OPSP0610" xfId="360" xr:uid="{00000000-0005-0000-0000-000068010000}"/>
    <cellStyle name="_Column2_Eramet valuation_14.02.07_v12" xfId="361" xr:uid="{00000000-0005-0000-0000-000069010000}"/>
    <cellStyle name="_Column2_FY 2005-2009 OP-SP Update (11-Oct-04)" xfId="362" xr:uid="{00000000-0005-0000-0000-00006A010000}"/>
    <cellStyle name="_Column2_GX model_JPM_310107_FINAL" xfId="363" xr:uid="{00000000-0005-0000-0000-00006B010000}"/>
    <cellStyle name="_Column2_Gx_analysis_240306 v1" xfId="364" xr:uid="{00000000-0005-0000-0000-00006C010000}"/>
    <cellStyle name="_Column2_Key assumptions GX companies" xfId="365" xr:uid="{00000000-0005-0000-0000-00006D010000}"/>
    <cellStyle name="_Column2_Mappe2" xfId="366" xr:uid="{00000000-0005-0000-0000-00006E010000}"/>
    <cellStyle name="_Column2_MIS Reporting_Budget_OPSP 06-10" xfId="367" xr:uid="{00000000-0005-0000-0000-00006F010000}"/>
    <cellStyle name="_Column2_TSG2" xfId="368" xr:uid="{00000000-0005-0000-0000-000070010000}"/>
    <cellStyle name="_Column2_Volvo Cars model 011006 v7" xfId="369" xr:uid="{00000000-0005-0000-0000-000071010000}"/>
    <cellStyle name="_Column3" xfId="370" xr:uid="{00000000-0005-0000-0000-000072010000}"/>
    <cellStyle name="_Column3_051003 Viking Business plan" xfId="371" xr:uid="{00000000-0005-0000-0000-000073010000}"/>
    <cellStyle name="_Column3_051004 Viking Business plan10" xfId="372" xr:uid="{00000000-0005-0000-0000-000074010000}"/>
    <cellStyle name="_Column3_Bank case Viking (sent to JPM 10 Nov 05)" xfId="373" xr:uid="{00000000-0005-0000-0000-000075010000}"/>
    <cellStyle name="_Column3_Cost Price Assumptions OPSP0509 vs OPSP0610" xfId="374" xr:uid="{00000000-0005-0000-0000-000076010000}"/>
    <cellStyle name="_Column3_Eramet valuation_14.02.07_v12" xfId="375" xr:uid="{00000000-0005-0000-0000-000077010000}"/>
    <cellStyle name="_Column3_FY 2005-2009 OP-SP Update (11-Oct-04)" xfId="376" xr:uid="{00000000-0005-0000-0000-000078010000}"/>
    <cellStyle name="_Column3_GX model_JPM_310107_FINAL" xfId="377" xr:uid="{00000000-0005-0000-0000-000079010000}"/>
    <cellStyle name="_Column3_Gx_analysis_240306 v1" xfId="378" xr:uid="{00000000-0005-0000-0000-00007A010000}"/>
    <cellStyle name="_Column3_Key assumptions GX companies" xfId="379" xr:uid="{00000000-0005-0000-0000-00007B010000}"/>
    <cellStyle name="_Column3_Mappe2" xfId="380" xr:uid="{00000000-0005-0000-0000-00007C010000}"/>
    <cellStyle name="_Column3_MIS Reporting_Budget_OPSP 06-10" xfId="381" xr:uid="{00000000-0005-0000-0000-00007D010000}"/>
    <cellStyle name="_Column3_TSG2" xfId="382" xr:uid="{00000000-0005-0000-0000-00007E010000}"/>
    <cellStyle name="_Column3_Volvo Cars model 011006 v7" xfId="383" xr:uid="{00000000-0005-0000-0000-00007F010000}"/>
    <cellStyle name="_Column4" xfId="384" xr:uid="{00000000-0005-0000-0000-000080010000}"/>
    <cellStyle name="_Column4_051003 Viking Business plan" xfId="385" xr:uid="{00000000-0005-0000-0000-000081010000}"/>
    <cellStyle name="_Column4_051004 Viking Business plan10" xfId="386" xr:uid="{00000000-0005-0000-0000-000082010000}"/>
    <cellStyle name="_Column4_Bank case Viking (sent to JPM 10 Nov 05)" xfId="387" xr:uid="{00000000-0005-0000-0000-000083010000}"/>
    <cellStyle name="_Column4_Cost Price Assumptions OPSP0509 vs OPSP0610" xfId="388" xr:uid="{00000000-0005-0000-0000-000084010000}"/>
    <cellStyle name="_Column4_Eramet valuation_14.02.07_v12" xfId="389" xr:uid="{00000000-0005-0000-0000-000085010000}"/>
    <cellStyle name="_Column4_FY 2005-2009 OP-SP Update (11-Oct-04)" xfId="390" xr:uid="{00000000-0005-0000-0000-000086010000}"/>
    <cellStyle name="_Column4_GX model_JPM_310107_FINAL" xfId="391" xr:uid="{00000000-0005-0000-0000-000087010000}"/>
    <cellStyle name="_Column4_Gx_analysis_240306 v1" xfId="392" xr:uid="{00000000-0005-0000-0000-000088010000}"/>
    <cellStyle name="_Column4_Key assumptions GX companies" xfId="393" xr:uid="{00000000-0005-0000-0000-000089010000}"/>
    <cellStyle name="_Column4_Mappe2" xfId="394" xr:uid="{00000000-0005-0000-0000-00008A010000}"/>
    <cellStyle name="_Column4_MIS Reporting_Budget_OPSP 06-10" xfId="395" xr:uid="{00000000-0005-0000-0000-00008B010000}"/>
    <cellStyle name="_Column4_TSG2" xfId="396" xr:uid="{00000000-0005-0000-0000-00008C010000}"/>
    <cellStyle name="_Column4_Volvo Cars model 011006 v7" xfId="397" xr:uid="{00000000-0005-0000-0000-00008D010000}"/>
    <cellStyle name="_Column5" xfId="398" xr:uid="{00000000-0005-0000-0000-00008E010000}"/>
    <cellStyle name="_Column5_051003 Viking Business plan" xfId="399" xr:uid="{00000000-0005-0000-0000-00008F010000}"/>
    <cellStyle name="_Column5_051004 Viking Business plan10" xfId="400" xr:uid="{00000000-0005-0000-0000-000090010000}"/>
    <cellStyle name="_Column5_Bank case Viking (sent to JPM 10 Nov 05)" xfId="401" xr:uid="{00000000-0005-0000-0000-000091010000}"/>
    <cellStyle name="_Column5_Cost Price Assumptions OPSP0509 vs OPSP0610" xfId="402" xr:uid="{00000000-0005-0000-0000-000092010000}"/>
    <cellStyle name="_Column5_Eramet valuation_14.02.07_v12" xfId="403" xr:uid="{00000000-0005-0000-0000-000093010000}"/>
    <cellStyle name="_Column5_FY 2005-2009 OP-SP Update (11-Oct-04)" xfId="404" xr:uid="{00000000-0005-0000-0000-000094010000}"/>
    <cellStyle name="_Column5_GX model_JPM_310107_FINAL" xfId="405" xr:uid="{00000000-0005-0000-0000-000095010000}"/>
    <cellStyle name="_Column5_Gx_analysis_240306 v1" xfId="406" xr:uid="{00000000-0005-0000-0000-000096010000}"/>
    <cellStyle name="_Column5_Key assumptions GX companies" xfId="407" xr:uid="{00000000-0005-0000-0000-000097010000}"/>
    <cellStyle name="_Column5_Mappe2" xfId="408" xr:uid="{00000000-0005-0000-0000-000098010000}"/>
    <cellStyle name="_Column5_MIS Reporting_Budget_OPSP 06-10" xfId="409" xr:uid="{00000000-0005-0000-0000-000099010000}"/>
    <cellStyle name="_Column5_TSG2" xfId="410" xr:uid="{00000000-0005-0000-0000-00009A010000}"/>
    <cellStyle name="_Column5_Volvo Cars model 011006 v7" xfId="411" xr:uid="{00000000-0005-0000-0000-00009B010000}"/>
    <cellStyle name="_Column6" xfId="412" xr:uid="{00000000-0005-0000-0000-00009C010000}"/>
    <cellStyle name="_Column6_051004 Viking Business plan10" xfId="413" xr:uid="{00000000-0005-0000-0000-00009D010000}"/>
    <cellStyle name="_Column6_Bank case Viking (sent to JPM 10 Nov 05)" xfId="414" xr:uid="{00000000-0005-0000-0000-00009E010000}"/>
    <cellStyle name="_Column6_Cost Price Assumptions OPSP0509 vs OPSP0610" xfId="415" xr:uid="{00000000-0005-0000-0000-00009F010000}"/>
    <cellStyle name="_Column6_Eramet valuation_14.02.07_v12" xfId="416" xr:uid="{00000000-0005-0000-0000-0000A0010000}"/>
    <cellStyle name="_Column6_FY 2005-2009 OP-SP Update (11-Oct-04)" xfId="417" xr:uid="{00000000-0005-0000-0000-0000A1010000}"/>
    <cellStyle name="_Column6_GX model_JPM_310107_FINAL" xfId="418" xr:uid="{00000000-0005-0000-0000-0000A2010000}"/>
    <cellStyle name="_Column6_Gx_analysis_240306 v1" xfId="419" xr:uid="{00000000-0005-0000-0000-0000A3010000}"/>
    <cellStyle name="_Column6_Key assumptions GX companies" xfId="420" xr:uid="{00000000-0005-0000-0000-0000A4010000}"/>
    <cellStyle name="_Column6_Mappe2" xfId="421" xr:uid="{00000000-0005-0000-0000-0000A5010000}"/>
    <cellStyle name="_Column6_MIS Reporting_Budget_OPSP 06-10" xfId="422" xr:uid="{00000000-0005-0000-0000-0000A6010000}"/>
    <cellStyle name="_Column6_TSG2" xfId="423" xr:uid="{00000000-0005-0000-0000-0000A7010000}"/>
    <cellStyle name="_Column6_Volvo Cars model 011006 v7" xfId="424" xr:uid="{00000000-0005-0000-0000-0000A8010000}"/>
    <cellStyle name="_Column7" xfId="425" xr:uid="{00000000-0005-0000-0000-0000A9010000}"/>
    <cellStyle name="_Column7_051003 Viking Business plan" xfId="426" xr:uid="{00000000-0005-0000-0000-0000AA010000}"/>
    <cellStyle name="_Column7_051004 Viking Business plan10" xfId="427" xr:uid="{00000000-0005-0000-0000-0000AB010000}"/>
    <cellStyle name="_Column7_Bank case Viking (sent to JPM 10 Nov 05)" xfId="428" xr:uid="{00000000-0005-0000-0000-0000AC010000}"/>
    <cellStyle name="_Column7_Cost Price Assumptions OPSP0509 vs OPSP0610" xfId="429" xr:uid="{00000000-0005-0000-0000-0000AD010000}"/>
    <cellStyle name="_Column7_Eramet valuation_14.02.07_v12" xfId="430" xr:uid="{00000000-0005-0000-0000-0000AE010000}"/>
    <cellStyle name="_Column7_FY 2005-2009 OP-SP Update (11-Oct-04)" xfId="431" xr:uid="{00000000-0005-0000-0000-0000AF010000}"/>
    <cellStyle name="_Column7_GX model_JPM_310107_FINAL" xfId="432" xr:uid="{00000000-0005-0000-0000-0000B0010000}"/>
    <cellStyle name="_Column7_Gx_analysis_240306 v1" xfId="433" xr:uid="{00000000-0005-0000-0000-0000B1010000}"/>
    <cellStyle name="_Column7_Key assumptions GX companies" xfId="434" xr:uid="{00000000-0005-0000-0000-0000B2010000}"/>
    <cellStyle name="_Column7_Mappe2" xfId="435" xr:uid="{00000000-0005-0000-0000-0000B3010000}"/>
    <cellStyle name="_Column7_MIS Reporting_Budget_OPSP 06-10" xfId="436" xr:uid="{00000000-0005-0000-0000-0000B4010000}"/>
    <cellStyle name="_Column7_TSG2" xfId="437" xr:uid="{00000000-0005-0000-0000-0000B5010000}"/>
    <cellStyle name="_Column7_Volvo Cars model 011006 v7" xfId="438" xr:uid="{00000000-0005-0000-0000-0000B6010000}"/>
    <cellStyle name="_Com Hem model v07" xfId="439" xr:uid="{00000000-0005-0000-0000-0000B7010000}"/>
    <cellStyle name="_Comma" xfId="440" xr:uid="{00000000-0005-0000-0000-0000B8010000}"/>
    <cellStyle name="_Comma_10yr Summary" xfId="441" xr:uid="{00000000-0005-0000-0000-0000B9010000}"/>
    <cellStyle name="_Comma_Ariba profile" xfId="442" xr:uid="{00000000-0005-0000-0000-0000BA010000}"/>
    <cellStyle name="_Comma_AVP" xfId="443" xr:uid="{00000000-0005-0000-0000-0000BB010000}"/>
    <cellStyle name="_Comma_Base Model new IBP April 18" xfId="444" xr:uid="{00000000-0005-0000-0000-0000BC010000}"/>
    <cellStyle name="_Comma_Blue Merger Model Synergy 22-Nov-2002" xfId="445" xr:uid="{00000000-0005-0000-0000-0000BD010000}"/>
    <cellStyle name="_Comma_Book1" xfId="446" xr:uid="{00000000-0005-0000-0000-0000BE010000}"/>
    <cellStyle name="_Comma_Charlie Indicative LBO Model 24-Mar-2002" xfId="447" xr:uid="{00000000-0005-0000-0000-0000BF010000}"/>
    <cellStyle name="_Comma_diluted share - cirrus &amp; nimbus" xfId="448" xr:uid="{00000000-0005-0000-0000-0000C0010000}"/>
    <cellStyle name="_Comma_Eramet valuation_14.02.07_v12" xfId="449" xr:uid="{00000000-0005-0000-0000-0000C1010000}"/>
    <cellStyle name="_Comma_EXCEL SHEETS" xfId="450" xr:uid="{00000000-0005-0000-0000-0000C2010000}"/>
    <cellStyle name="_Comma_Hermes Merger Model KPMG No.s 21-Nov-2002" xfId="451" xr:uid="{00000000-0005-0000-0000-0000C3010000}"/>
    <cellStyle name="_Comma_Indicative LBO model" xfId="452" xr:uid="{00000000-0005-0000-0000-0000C4010000}"/>
    <cellStyle name="_Comma_integrated_standalone" xfId="453" xr:uid="{00000000-0005-0000-0000-0000C5010000}"/>
    <cellStyle name="_Comma_JPM Summary model Feb 2006" xfId="454" xr:uid="{00000000-0005-0000-0000-0000C6010000}"/>
    <cellStyle name="_Comma_key stats2" xfId="455" xr:uid="{00000000-0005-0000-0000-0000C7010000}"/>
    <cellStyle name="_Comma_LBO Disposal" xfId="456" xr:uid="{00000000-0005-0000-0000-0000C8010000}"/>
    <cellStyle name="_Comma_Lightning Model October 2001" xfId="457" xr:uid="{00000000-0005-0000-0000-0000C9010000}"/>
    <cellStyle name="_Comma_merger_plans" xfId="458" xr:uid="{00000000-0005-0000-0000-0000CA010000}"/>
    <cellStyle name="_Comma_Nimbus - Historical Financials" xfId="459" xr:uid="{00000000-0005-0000-0000-0000CB010000}"/>
    <cellStyle name="_Comma_Nimbus P&amp;L Model" xfId="460" xr:uid="{00000000-0005-0000-0000-0000CC010000}"/>
    <cellStyle name="_Comma_Pterodactyl Returns Model (1-14-03)" xfId="461" xr:uid="{00000000-0005-0000-0000-0000CD010000}"/>
    <cellStyle name="_Comma_sop-nimbus" xfId="462" xr:uid="{00000000-0005-0000-0000-0000CE010000}"/>
    <cellStyle name="_Comma_Volvo Cars model 011006 v7" xfId="463" xr:uid="{00000000-0005-0000-0000-0000CF010000}"/>
    <cellStyle name="_CONDENSADO GLOSAS 2009" xfId="464" xr:uid="{00000000-0005-0000-0000-0000D0010000}"/>
    <cellStyle name="_Consolidado C Vtas Farmacia" xfId="465" xr:uid="{00000000-0005-0000-0000-0000D1010000}"/>
    <cellStyle name="_Consolidado C Vtas Farmacia 2" xfId="466" xr:uid="{00000000-0005-0000-0000-0000D2010000}"/>
    <cellStyle name="_Consolidado C Vtas Farmacia 3" xfId="467" xr:uid="{00000000-0005-0000-0000-0000D3010000}"/>
    <cellStyle name="_Consolidado C Vtas Farmacia 4" xfId="468" xr:uid="{00000000-0005-0000-0000-0000D4010000}"/>
    <cellStyle name="_Consolidado C Vtas Farmacia 5" xfId="469" xr:uid="{00000000-0005-0000-0000-0000D5010000}"/>
    <cellStyle name="_Consolidado C Vtas Farmacia 6" xfId="470" xr:uid="{00000000-0005-0000-0000-0000D6010000}"/>
    <cellStyle name="_Consolidado C Vtas Farmacia 7" xfId="471" xr:uid="{00000000-0005-0000-0000-0000D7010000}"/>
    <cellStyle name="_Consolidado C Vtas Farmacia 8" xfId="472" xr:uid="{00000000-0005-0000-0000-0000D8010000}"/>
    <cellStyle name="_Consolidado C Vtas Farmacia Hemodinamia" xfId="473" xr:uid="{00000000-0005-0000-0000-0000D9010000}"/>
    <cellStyle name="_Consolidado C Vtas Farmacia Hemodinamia_Arriendo alcatel 2008 presup" xfId="474" xr:uid="{00000000-0005-0000-0000-0000DA010000}"/>
    <cellStyle name="_Consolidado C Vtas Farmacia Hemodinamia_Arriendo alcatel 2008 presup (2)" xfId="475" xr:uid="{00000000-0005-0000-0000-0000DB010000}"/>
    <cellStyle name="_Consolidado C Vtas Farmacia Hemodinamia_CENTRO DE COSTOS PLANTILLA" xfId="476" xr:uid="{00000000-0005-0000-0000-0000DC010000}"/>
    <cellStyle name="_Consolidado C Vtas Farmacia Hemodinamia_CENTROS DE GESTION 2010" xfId="477" xr:uid="{00000000-0005-0000-0000-0000DD010000}"/>
    <cellStyle name="_Consolidado C Vtas Farmacia Hemodinamia_CENTROS DE GESTION 2010_Consolidado PPTO Ingresos 2010 Ajuste Medicamentos" xfId="478" xr:uid="{00000000-0005-0000-0000-0000DE010000}"/>
    <cellStyle name="_Consolidado C Vtas Farmacia Hemodinamia_CENTROS DE GESTION 2010_Consolidado PPTO Ingresos 2010 Ajuste Reuniones" xfId="479" xr:uid="{00000000-0005-0000-0000-0000DF010000}"/>
    <cellStyle name="_Consolidado C Vtas Farmacia Hemodinamia_CENTROS DE GESTION 2010_Consolidado PPTO Ingresos 2010 Ejerc Reduccion % Ocupacional Vs 3 Centro" xfId="480" xr:uid="{00000000-0005-0000-0000-0000E0010000}"/>
    <cellStyle name="_Consolidado C Vtas Farmacia Hemodinamia_Consolidado Ingresos" xfId="481" xr:uid="{00000000-0005-0000-0000-0000E1010000}"/>
    <cellStyle name="_Consolidado C Vtas Farmacia Hemodinamia_Consolidado Ingresos_Consolidado PPTO Ingresos 2010 Ajuste Medicamentos" xfId="482" xr:uid="{00000000-0005-0000-0000-0000E2010000}"/>
    <cellStyle name="_Consolidado C Vtas Farmacia Hemodinamia_Consolidado Ingresos_Consolidado PPTO Ingresos 2010 Ajuste Reuniones" xfId="483" xr:uid="{00000000-0005-0000-0000-0000E3010000}"/>
    <cellStyle name="_Consolidado C Vtas Farmacia Hemodinamia_Consolidado Ingresos_Consolidado PPTO Ingresos 2010 Ejerc" xfId="484" xr:uid="{00000000-0005-0000-0000-0000E4010000}"/>
    <cellStyle name="_Consolidado C Vtas Farmacia Hemodinamia_Consolidado Ingresos_Consolidado PPTO Ingresos 2010 Ejerc Reduccion % Ocupacional" xfId="485" xr:uid="{00000000-0005-0000-0000-0000E5010000}"/>
    <cellStyle name="_Consolidado C Vtas Farmacia Hemodinamia_Consolidado Ingresos_Consolidado PPTO Ingresos 2010 Ejerc Reduccion % Ocupacional Vs 3 Centro" xfId="486" xr:uid="{00000000-0005-0000-0000-0000E6010000}"/>
    <cellStyle name="_Consolidado C Vtas Farmacia Hemodinamia_CONSOLIDADOS DE RUBROS CONTABLES" xfId="487" xr:uid="{00000000-0005-0000-0000-0000E7010000}"/>
    <cellStyle name="_Consolidado C Vtas Farmacia Hemodinamia_CONSOLIDADOS DE RUBROS CONTABLES_DIVERSOS.CONS" xfId="488" xr:uid="{00000000-0005-0000-0000-0000E8010000}"/>
    <cellStyle name="_Consolidado C Vtas Farmacia Hemodinamia_Copia de PRESUPUESTOSISTEMAS2009formato2003" xfId="489" xr:uid="{00000000-0005-0000-0000-0000E9010000}"/>
    <cellStyle name="_Consolidado C Vtas Farmacia Hemodinamia_Copia de PRESUPUESTOSISTEMAS2009formato2003_Consolidado 1000 Proyecciones" xfId="490" xr:uid="{00000000-0005-0000-0000-0000EA010000}"/>
    <cellStyle name="_Consolidado C Vtas Farmacia Hemodinamia_Copia de PRESUPUESTOSISTEMAS2009formato2003_Consolidado PPTO Ingresos 2010 Ajuste Medicamentos" xfId="491" xr:uid="{00000000-0005-0000-0000-0000EB010000}"/>
    <cellStyle name="_Consolidado C Vtas Farmacia Hemodinamia_Copia de PRESUPUESTOSISTEMAS2009formato2003_Consolidado PPTO Ingresos 2010 Ajuste Reuniones" xfId="492" xr:uid="{00000000-0005-0000-0000-0000EC010000}"/>
    <cellStyle name="_Consolidado C Vtas Farmacia Hemodinamia_Copia de PRESUPUESTOSISTEMAS2009formato2003_Consolidado PPTO Ingresos 2010 Ejerc" xfId="493" xr:uid="{00000000-0005-0000-0000-0000ED010000}"/>
    <cellStyle name="_Consolidado C Vtas Farmacia Hemodinamia_Copia de PRESUPUESTOSISTEMAS2009formato2003_Consolidado PPTO Ingresos 2010 Ejerc Reduccion % Ocupacional" xfId="494" xr:uid="{00000000-0005-0000-0000-0000EE010000}"/>
    <cellStyle name="_Consolidado C Vtas Farmacia Hemodinamia_Copia de PRESUPUESTOSISTEMAS2009formato2003_Consolidado PPTO Ingresos 2010 Ejerc Reduccion % Ocupacional Vs 3 Centro" xfId="495" xr:uid="{00000000-0005-0000-0000-0000EF010000}"/>
    <cellStyle name="_Consolidado C Vtas Farmacia Hemodinamia_Copia de PRESUPUESTOSISTEMAS2009formato2003_FORMATOPresupuesto 2010-TRABAJO.C1" xfId="496" xr:uid="{00000000-0005-0000-0000-0000F0010000}"/>
    <cellStyle name="_Consolidado C Vtas Farmacia Hemodinamia_Copia de PRESUPUESTOSISTEMAS2009formato2003_FORMATOPresupuesto 2010-TRABAJO.C1." xfId="497" xr:uid="{00000000-0005-0000-0000-0000F1010000}"/>
    <cellStyle name="_Consolidado C Vtas Farmacia Hemodinamia_COSTO DE MEDICAMENTOS." xfId="498" xr:uid="{00000000-0005-0000-0000-0000F2010000}"/>
    <cellStyle name="_Consolidado C Vtas Farmacia Hemodinamia_COSTO DE MEDICAMENTOS._Consolidado 1000 Proyecciones" xfId="499" xr:uid="{00000000-0005-0000-0000-0000F3010000}"/>
    <cellStyle name="_Consolidado C Vtas Farmacia Hemodinamia_COSTO DE MEDICAMENTOS._FORMATOPresupuesto 2010-TRABAJO.C1" xfId="500" xr:uid="{00000000-0005-0000-0000-0000F4010000}"/>
    <cellStyle name="_Consolidado C Vtas Farmacia Hemodinamia_COSTO DE MEDICAMENTOS._FORMATOPresupuesto 2010-TRABAJO.C1." xfId="501" xr:uid="{00000000-0005-0000-0000-0000F5010000}"/>
    <cellStyle name="_Consolidado C Vtas Farmacia Hemodinamia_DIVERSOS.CONS" xfId="502" xr:uid="{00000000-0005-0000-0000-0000F6010000}"/>
    <cellStyle name="_Consolidado C Vtas Farmacia Hemodinamia_EJECUCION CONSOLIDADA A OCTUBRE GENERAL.CONSOLIDADO" xfId="503" xr:uid="{00000000-0005-0000-0000-0000F7010000}"/>
    <cellStyle name="_Consolidado C Vtas Farmacia Hemodinamia_EJECUCION PRESUPUESTAL A AGOSTO 09" xfId="504" xr:uid="{00000000-0005-0000-0000-0000F8010000}"/>
    <cellStyle name="_Consolidado C Vtas Farmacia Hemodinamia_EJECUCION PRESUPUESTAL A NOVIEMBRE  09 EJERCICIO AJUSTE INGRESOS " xfId="505" xr:uid="{00000000-0005-0000-0000-0000F9010000}"/>
    <cellStyle name="_Consolidado C Vtas Farmacia Hemodinamia_EJECUCION PRESUPUESTAL A NOVIEMBRE  09 EJERCICIO AJUSTE INGRESOS _Consolidado PPTO Ingresos 2010 Ajuste Medicamentos" xfId="506" xr:uid="{00000000-0005-0000-0000-0000FA010000}"/>
    <cellStyle name="_Consolidado C Vtas Farmacia Hemodinamia_EJECUCION PRESUPUESTAL A SEPTIEMBRE  09 EJERCICIO AJUSTE INGRESOS" xfId="507" xr:uid="{00000000-0005-0000-0000-0000FB010000}"/>
    <cellStyle name="_Consolidado C Vtas Farmacia Hemodinamia_EJECUCION PRESUPUESTAL A SEPTIEMBRE  09 EJERCICIO AJUSTE INGRESOS_Consolidado PPTO Ingresos 2010 Ajuste Medicamentos" xfId="508" xr:uid="{00000000-0005-0000-0000-0000FC010000}"/>
    <cellStyle name="_Consolidado C Vtas Farmacia Hemodinamia_EJECUCION PRESUPUESTAL A SEPTIEMBRE  09 EJERCICIO AJUSTE INGRESOS_Consolidado PPTO Ingresos 2010 Ajuste Reuniones" xfId="509" xr:uid="{00000000-0005-0000-0000-0000FD010000}"/>
    <cellStyle name="_Consolidado C Vtas Farmacia Hemodinamia_EJECUCION PRESUPUESTAL A SEPTIEMBRE  09 EJERCICIO AJUSTE INGRESOS_Consolidado PPTO Ingresos 2010 Ejerc Reduccion % Ocupacional Vs 3 Centro" xfId="510" xr:uid="{00000000-0005-0000-0000-0000FE010000}"/>
    <cellStyle name="_Consolidado C Vtas Farmacia Hemodinamia_EJECUCION_CONSOLIDADA_AGO_2008(1)" xfId="511" xr:uid="{00000000-0005-0000-0000-0000FF010000}"/>
    <cellStyle name="_Consolidado C Vtas Farmacia Hemodinamia_EJECUCION_CONSOLIDADA_AGO_2008(1)_Consolidado 1000 Proyecciones" xfId="512" xr:uid="{00000000-0005-0000-0000-000000020000}"/>
    <cellStyle name="_Consolidado C Vtas Farmacia Hemodinamia_EJECUCION_CONSOLIDADA_AGO_2008(1)_FORMATOPresupuesto 2010-TRABAJO.C1" xfId="513" xr:uid="{00000000-0005-0000-0000-000001020000}"/>
    <cellStyle name="_Consolidado C Vtas Farmacia Hemodinamia_EJECUCION_CONSOLIDADA_AGO_2008(1)_FORMATOPresupuesto 2010-TRABAJO.C1." xfId="514" xr:uid="{00000000-0005-0000-0000-000002020000}"/>
    <cellStyle name="_Consolidado C Vtas Farmacia Hemodinamia_FINANCIEROS-CONS" xfId="515" xr:uid="{00000000-0005-0000-0000-000003020000}"/>
    <cellStyle name="_Consolidado C Vtas Farmacia Hemodinamia_GASTOS 2010" xfId="516" xr:uid="{00000000-0005-0000-0000-000004020000}"/>
    <cellStyle name="_Consolidado C Vtas Farmacia Hemodinamia_IMPRESION1" xfId="517" xr:uid="{00000000-0005-0000-0000-000005020000}"/>
    <cellStyle name="_Consolidado C Vtas Farmacia Hemodinamia_IMPRESION1_Consolidado 1000 Proyecciones" xfId="518" xr:uid="{00000000-0005-0000-0000-000006020000}"/>
    <cellStyle name="_Consolidado C Vtas Farmacia Hemodinamia_IMPRESION1_FORMATOPresupuesto 2010-TRABAJO.C1" xfId="519" xr:uid="{00000000-0005-0000-0000-000007020000}"/>
    <cellStyle name="_Consolidado C Vtas Farmacia Hemodinamia_IMPRESION1_FORMATOPresupuesto 2010-TRABAJO.C1." xfId="520" xr:uid="{00000000-0005-0000-0000-000008020000}"/>
    <cellStyle name="_Consolidado C Vtas Farmacia Hemodinamia_Ingresos Presupuesto 2008" xfId="521" xr:uid="{00000000-0005-0000-0000-000009020000}"/>
    <cellStyle name="_Consolidado C Vtas Farmacia Hemodinamia_Ingresos Presupuesto 2008_Consolidado PPTO Ingresos 2010 Ajuste Medicamentos" xfId="522" xr:uid="{00000000-0005-0000-0000-00000A020000}"/>
    <cellStyle name="_Consolidado C Vtas Farmacia Hemodinamia_Ingresos Presupuesto 2008_Consolidado PPTO Ingresos 2010 Ajuste Reuniones" xfId="523" xr:uid="{00000000-0005-0000-0000-00000B020000}"/>
    <cellStyle name="_Consolidado C Vtas Farmacia Hemodinamia_Ingresos Presupuesto 2008_Consolidado PPTO Ingresos 2010 Ejerc" xfId="524" xr:uid="{00000000-0005-0000-0000-00000C020000}"/>
    <cellStyle name="_Consolidado C Vtas Farmacia Hemodinamia_Ingresos Presupuesto 2008_Consolidado PPTO Ingresos 2010 Ejerc Reduccion % Ocupacional" xfId="525" xr:uid="{00000000-0005-0000-0000-00000D020000}"/>
    <cellStyle name="_Consolidado C Vtas Farmacia Hemodinamia_Ingresos Presupuesto 2008_Consolidado PPTO Ingresos 2010 Ejerc Reduccion % Ocupacional Vs 3 Centro" xfId="526" xr:uid="{00000000-0005-0000-0000-00000E020000}"/>
    <cellStyle name="_Consolidado C Vtas Farmacia Hemodinamia_mantenimiento infraestrucruta" xfId="527" xr:uid="{00000000-0005-0000-0000-00000F020000}"/>
    <cellStyle name="_Consolidado C Vtas Farmacia Hemodinamia_mantenimiento infraestrucruta (2)" xfId="528" xr:uid="{00000000-0005-0000-0000-000010020000}"/>
    <cellStyle name="_Consolidado C Vtas Farmacia Hemodinamia_mantenimiento infraestrucruta (2)_PRESUPUESTO 2010 06-11-09 430 p m " xfId="529" xr:uid="{00000000-0005-0000-0000-000011020000}"/>
    <cellStyle name="_Consolidado C Vtas Farmacia Hemodinamia_mantenimiento infraestrucruta (2)_PRESUPUESTO 2010 06-11-09 430 p m _DIVERSOS.CONS" xfId="530" xr:uid="{00000000-0005-0000-0000-000012020000}"/>
    <cellStyle name="_Consolidado C Vtas Farmacia Hemodinamia_mantenimiento infraestrucruta (2)_SERVICIOS" xfId="531" xr:uid="{00000000-0005-0000-0000-000013020000}"/>
    <cellStyle name="_Consolidado C Vtas Farmacia Hemodinamia_mantenimiento infraestrucruta (2)_SERVICIOS_DIVERSOS.CONS" xfId="532" xr:uid="{00000000-0005-0000-0000-000014020000}"/>
    <cellStyle name="_Consolidado C Vtas Farmacia Hemodinamia_mantenimiento infraestrucruta_PRESUPUESTO 2010 06-11-09 430 p m " xfId="533" xr:uid="{00000000-0005-0000-0000-000015020000}"/>
    <cellStyle name="_Consolidado C Vtas Farmacia Hemodinamia_mantenimiento infraestrucruta_PRESUPUESTO 2010 06-11-09 430 p m _DIVERSOS.CONS" xfId="534" xr:uid="{00000000-0005-0000-0000-000016020000}"/>
    <cellStyle name="_Consolidado C Vtas Farmacia Hemodinamia_mantenimiento infraestrucruta_SERVICIOS" xfId="535" xr:uid="{00000000-0005-0000-0000-000017020000}"/>
    <cellStyle name="_Consolidado C Vtas Farmacia Hemodinamia_mantenimiento infraestrucruta_SERVICIOS_DIVERSOS.CONS" xfId="536" xr:uid="{00000000-0005-0000-0000-000018020000}"/>
    <cellStyle name="_Consolidado C Vtas Farmacia Hemodinamia_MANTENIMIENTO2010" xfId="537" xr:uid="{00000000-0005-0000-0000-000019020000}"/>
    <cellStyle name="_Consolidado C Vtas Farmacia Hemodinamia_P Y G LABORATORIO-IMAGENES  cjc" xfId="538" xr:uid="{00000000-0005-0000-0000-00001A020000}"/>
    <cellStyle name="_Consolidado C Vtas Farmacia Hemodinamia_PLANTILLAS LEASING Y SERVICIOS" xfId="539" xr:uid="{00000000-0005-0000-0000-00001B020000}"/>
    <cellStyle name="_Consolidado C Vtas Farmacia Hemodinamia_ppto ucis ac is" xfId="540" xr:uid="{00000000-0005-0000-0000-00001C020000}"/>
    <cellStyle name="_Consolidado C Vtas Farmacia Hemodinamia_ppto ucis ac is_COSTO DE MEDICAMENTOS " xfId="541" xr:uid="{00000000-0005-0000-0000-00001D020000}"/>
    <cellStyle name="_Consolidado C Vtas Farmacia Hemodinamia_ppto ucis ac is_COSTO DE MEDICAMENTOS _Consolidado PPTO Ingresos 2010 Ajuste Medicamentos" xfId="542" xr:uid="{00000000-0005-0000-0000-00001E020000}"/>
    <cellStyle name="_Consolidado C Vtas Farmacia Hemodinamia_ppto ucis ac is_COSTO DE MEDICAMENTOS _Consolidado PPTO Ingresos 2010 Ajuste Reuniones" xfId="543" xr:uid="{00000000-0005-0000-0000-00001F020000}"/>
    <cellStyle name="_Consolidado C Vtas Farmacia Hemodinamia_ppto ucis ac is_COSTO DE MEDICAMENTOS _Consolidado PPTO Ingresos 2010 Ejerc Reduccion % Ocupacional Vs 3 Centro" xfId="544" xr:uid="{00000000-0005-0000-0000-000020020000}"/>
    <cellStyle name="_Consolidado C Vtas Farmacia Hemodinamia_ppto ucis ac is_EJECUCION PRESUPUESTAL A NOVIEMBRE  09 EJERCICIO AJUSTE INGRESOS " xfId="545" xr:uid="{00000000-0005-0000-0000-000021020000}"/>
    <cellStyle name="_Consolidado C Vtas Farmacia Hemodinamia_ppto ucis ac is_EJECUCION PRESUPUESTAL A NOVIEMBRE  09 EJERCICIO AJUSTE INGRESOS _Consolidado PPTO Ingresos 2010 Ajuste Medicamentos" xfId="546" xr:uid="{00000000-0005-0000-0000-000022020000}"/>
    <cellStyle name="_Consolidado C Vtas Farmacia Hemodinamia_PRESUPUESTO  CONSUMOS CAFETERIA 2010" xfId="547" xr:uid="{00000000-0005-0000-0000-000023020000}"/>
    <cellStyle name="_Consolidado C Vtas Farmacia Hemodinamia_PRESUPUESTO  CONSUMOS JARRAS DE AGUA  2010" xfId="548" xr:uid="{00000000-0005-0000-0000-000024020000}"/>
    <cellStyle name="_Consolidado C Vtas Farmacia Hemodinamia_PRESUPUESTO  CONSUMOS JARRAS DE AGUA  2010_DIVERSOS.CONS" xfId="549" xr:uid="{00000000-0005-0000-0000-000025020000}"/>
    <cellStyle name="_Consolidado C Vtas Farmacia Hemodinamia_PRESUPUESTO  CONSUMOS VASOS  2010" xfId="550" xr:uid="{00000000-0005-0000-0000-000026020000}"/>
    <cellStyle name="_Consolidado C Vtas Farmacia Hemodinamia_PRESUPUESTO  CONSUMOS VASOS  2010_DIVERSOS.CONS" xfId="551" xr:uid="{00000000-0005-0000-0000-000027020000}"/>
    <cellStyle name="_Consolidado C Vtas Farmacia Hemodinamia_PRESUPUESTO  TINTOS 2010" xfId="552" xr:uid="{00000000-0005-0000-0000-000028020000}"/>
    <cellStyle name="_Consolidado C Vtas Farmacia Hemodinamia_PRESUPUESTO 2010 06-11-09 430 p m " xfId="553" xr:uid="{00000000-0005-0000-0000-000029020000}"/>
    <cellStyle name="_Consolidado C Vtas Farmacia Hemodinamia_PRESUPUESTO 2010 06-11-09 430 p m _Consolidado 1000 Proyecciones" xfId="554" xr:uid="{00000000-0005-0000-0000-00002A020000}"/>
    <cellStyle name="_Consolidado C Vtas Farmacia Hemodinamia_PRESUPUESTO 2010 06-11-09 430 p m _FORMATOPresupuesto 2010-TRABAJO.C1" xfId="555" xr:uid="{00000000-0005-0000-0000-00002B020000}"/>
    <cellStyle name="_Consolidado C Vtas Farmacia Hemodinamia_PRESUPUESTO 2010 06-11-09 430 p m _FORMATOPresupuesto 2010-TRABAJO.C1." xfId="556" xr:uid="{00000000-0005-0000-0000-00002C020000}"/>
    <cellStyle name="_Consolidado C Vtas Farmacia Hemodinamia_PRESUPUESTO BOTELLONES  AGUA 2010" xfId="557" xr:uid="{00000000-0005-0000-0000-00002D020000}"/>
    <cellStyle name="_Consolidado C Vtas Farmacia Hemodinamia_presupuesto de mantenimiento" xfId="558" xr:uid="{00000000-0005-0000-0000-00002E020000}"/>
    <cellStyle name="_Consolidado C Vtas Farmacia Hemodinamia_presupuesto de mantenimiento (2)" xfId="559" xr:uid="{00000000-0005-0000-0000-00002F020000}"/>
    <cellStyle name="_Consolidado C Vtas Farmacia Hemodinamia_presupuesto de mantenimiento (2)_Consolidado 1000 Proyecciones" xfId="560" xr:uid="{00000000-0005-0000-0000-000030020000}"/>
    <cellStyle name="_Consolidado C Vtas Farmacia Hemodinamia_presupuesto de mantenimiento (2)_FORMATOPresupuesto 2010-TRABAJO.C1" xfId="561" xr:uid="{00000000-0005-0000-0000-000031020000}"/>
    <cellStyle name="_Consolidado C Vtas Farmacia Hemodinamia_presupuesto de mantenimiento (2)_FORMATOPresupuesto 2010-TRABAJO.C1." xfId="562" xr:uid="{00000000-0005-0000-0000-000032020000}"/>
    <cellStyle name="_Consolidado C Vtas Farmacia Hemodinamia_presupuesto de mantenimiento_Consolidado 1000 Proyecciones" xfId="563" xr:uid="{00000000-0005-0000-0000-000033020000}"/>
    <cellStyle name="_Consolidado C Vtas Farmacia Hemodinamia_presupuesto de mantenimiento_FORMATOPresupuesto 2010-TRABAJO.C1" xfId="564" xr:uid="{00000000-0005-0000-0000-000034020000}"/>
    <cellStyle name="_Consolidado C Vtas Farmacia Hemodinamia_presupuesto de mantenimiento_FORMATOPresupuesto 2010-TRABAJO.C1." xfId="565" xr:uid="{00000000-0005-0000-0000-000035020000}"/>
    <cellStyle name="_Consolidado C Vtas Farmacia Hemodinamia_PRESUPUESTO LEASING_FINAL_Oct25" xfId="566" xr:uid="{00000000-0005-0000-0000-000036020000}"/>
    <cellStyle name="_Consolidado C Vtas Farmacia Hemodinamia_PRESUPUESTO LEASING_FINAL_Oct25_Consolidado 1000 Proyecciones" xfId="567" xr:uid="{00000000-0005-0000-0000-000037020000}"/>
    <cellStyle name="_Consolidado C Vtas Farmacia Hemodinamia_PRESUPUESTO LEASING_FINAL_Oct25_Consolidado PPTO Ingresos 2010 Ajuste Medicamentos" xfId="568" xr:uid="{00000000-0005-0000-0000-000038020000}"/>
    <cellStyle name="_Consolidado C Vtas Farmacia Hemodinamia_PRESUPUESTO LEASING_FINAL_Oct25_Consolidado PPTO Ingresos 2010 Ajuste Reuniones" xfId="569" xr:uid="{00000000-0005-0000-0000-000039020000}"/>
    <cellStyle name="_Consolidado C Vtas Farmacia Hemodinamia_PRESUPUESTO LEASING_FINAL_Oct25_Consolidado PPTO Ingresos 2010 Ejerc" xfId="570" xr:uid="{00000000-0005-0000-0000-00003A020000}"/>
    <cellStyle name="_Consolidado C Vtas Farmacia Hemodinamia_PRESUPUESTO LEASING_FINAL_Oct25_Consolidado PPTO Ingresos 2010 Ejerc Reduccion % Ocupacional" xfId="571" xr:uid="{00000000-0005-0000-0000-00003B020000}"/>
    <cellStyle name="_Consolidado C Vtas Farmacia Hemodinamia_PRESUPUESTO LEASING_FINAL_Oct25_Consolidado PPTO Ingresos 2010 Ejerc Reduccion % Ocupacional Vs 3 Centro" xfId="572" xr:uid="{00000000-0005-0000-0000-00003C020000}"/>
    <cellStyle name="_Consolidado C Vtas Farmacia Hemodinamia_PRESUPUESTO LEASING_FINAL_Oct25_FORMATOPresupuesto 2010-TRABAJO.C1" xfId="573" xr:uid="{00000000-0005-0000-0000-00003D020000}"/>
    <cellStyle name="_Consolidado C Vtas Farmacia Hemodinamia_PRESUPUESTO LEASING_FINAL_Oct25_FORMATOPresupuesto 2010-TRABAJO.C1." xfId="574" xr:uid="{00000000-0005-0000-0000-00003E020000}"/>
    <cellStyle name="_Consolidado C Vtas Farmacia Hemodinamia_PRESUPUESTO POR CENTROS DE GESTION 2010 (3)" xfId="575" xr:uid="{00000000-0005-0000-0000-00003F020000}"/>
    <cellStyle name="_Consolidado C Vtas Farmacia Hemodinamia_PRESUPUESTO POR CENTROS DE GESTION 2010 (3)_PRESUPUESTO 2010 06-11-09 430 p m " xfId="576" xr:uid="{00000000-0005-0000-0000-000040020000}"/>
    <cellStyle name="_Consolidado C Vtas Farmacia Hemodinamia_PRESUPUESTO POR CENTROS DE GESTION 2010 (3)_PRESUPUESTO 2010 06-11-09 430 p m _DIVERSOS.CONS" xfId="577" xr:uid="{00000000-0005-0000-0000-000041020000}"/>
    <cellStyle name="_Consolidado C Vtas Farmacia Hemodinamia_PRESUPUESTO POR CENTROS DE GESTION 2010 (3)_SERVICIOS" xfId="578" xr:uid="{00000000-0005-0000-0000-000042020000}"/>
    <cellStyle name="_Consolidado C Vtas Farmacia Hemodinamia_PRESUPUESTO POR CENTROS DE GESTION 2010 (3)_SERVICIOS_DIVERSOS.CONS" xfId="579" xr:uid="{00000000-0005-0000-0000-000043020000}"/>
    <cellStyle name="_Consolidado C Vtas Farmacia Hemodinamia_Presupuesto sistemas 2008" xfId="580" xr:uid="{00000000-0005-0000-0000-000044020000}"/>
    <cellStyle name="_Consolidado C Vtas Farmacia Hemodinamia_Presupuesto sistemas 2008_Consolidado 1000 Proyecciones" xfId="581" xr:uid="{00000000-0005-0000-0000-000045020000}"/>
    <cellStyle name="_Consolidado C Vtas Farmacia Hemodinamia_Presupuesto sistemas 2008_Consolidado PPTO Ingresos 2010 Ajuste Medicamentos" xfId="582" xr:uid="{00000000-0005-0000-0000-000046020000}"/>
    <cellStyle name="_Consolidado C Vtas Farmacia Hemodinamia_Presupuesto sistemas 2008_Consolidado PPTO Ingresos 2010 Ajuste Reuniones" xfId="583" xr:uid="{00000000-0005-0000-0000-000047020000}"/>
    <cellStyle name="_Consolidado C Vtas Farmacia Hemodinamia_Presupuesto sistemas 2008_Consolidado PPTO Ingresos 2010 Ejerc" xfId="584" xr:uid="{00000000-0005-0000-0000-000048020000}"/>
    <cellStyle name="_Consolidado C Vtas Farmacia Hemodinamia_Presupuesto sistemas 2008_Consolidado PPTO Ingresos 2010 Ejerc Reduccion % Ocupacional" xfId="585" xr:uid="{00000000-0005-0000-0000-000049020000}"/>
    <cellStyle name="_Consolidado C Vtas Farmacia Hemodinamia_Presupuesto sistemas 2008_Consolidado PPTO Ingresos 2010 Ejerc Reduccion % Ocupacional Vs 3 Centro" xfId="586" xr:uid="{00000000-0005-0000-0000-00004A020000}"/>
    <cellStyle name="_Consolidado C Vtas Farmacia Hemodinamia_Presupuesto sistemas 2008_FORMATOPresupuesto 2010-TRABAJO.C1" xfId="587" xr:uid="{00000000-0005-0000-0000-00004B020000}"/>
    <cellStyle name="_Consolidado C Vtas Farmacia Hemodinamia_Presupuesto sistemas 2008_FORMATOPresupuesto 2010-TRABAJO.C1." xfId="588" xr:uid="{00000000-0005-0000-0000-00004C020000}"/>
    <cellStyle name="_Consolidado C Vtas Farmacia Hemodinamia_PRESUPUESTO_DIETAS_2010___FINAL(1 1)" xfId="589" xr:uid="{00000000-0005-0000-0000-00004D020000}"/>
    <cellStyle name="_Consolidado C Vtas Farmacia Hemodinamia_PRESUPUESTO_DIETAS_2010___FINAL(1 1)_DIVERSOS.CONS" xfId="590" xr:uid="{00000000-0005-0000-0000-00004E020000}"/>
    <cellStyle name="_Consolidado C Vtas Farmacia Hemodinamia_presupuestocamaras" xfId="591" xr:uid="{00000000-0005-0000-0000-00004F020000}"/>
    <cellStyle name="_Consolidado C Vtas Farmacia Hemodinamia_PresupuestoFacturacionelectonica" xfId="592" xr:uid="{00000000-0005-0000-0000-000050020000}"/>
    <cellStyle name="_Consolidado C Vtas Farmacia Hemodinamia_PRESUPUESTOTECNOLOGIACAMBIO" xfId="593" xr:uid="{00000000-0005-0000-0000-000051020000}"/>
    <cellStyle name="_Consolidado C Vtas Farmacia Hemodinamia_PRESUPUESTOTECNOLOGIACAMBIO_Consolidado 1000 Proyecciones" xfId="594" xr:uid="{00000000-0005-0000-0000-000052020000}"/>
    <cellStyle name="_Consolidado C Vtas Farmacia Hemodinamia_PRESUPUESTOTECNOLOGIACAMBIO_FORMATOPresupuesto 2010-TRABAJO.C1" xfId="595" xr:uid="{00000000-0005-0000-0000-000053020000}"/>
    <cellStyle name="_Consolidado C Vtas Farmacia Hemodinamia_PRESUPUESTOTECNOLOGIACAMBIO_FORMATOPresupuesto 2010-TRABAJO.C1." xfId="596" xr:uid="{00000000-0005-0000-0000-000054020000}"/>
    <cellStyle name="_Consolidado C Vtas Farmacia Hemodinamia_PRESUPUESTOTECNOLOGIAINFORMATICA2010_vers2003" xfId="597" xr:uid="{00000000-0005-0000-0000-000055020000}"/>
    <cellStyle name="_Consolidado C Vtas Farmacia Hemodinamia_PRESUPUESTOTECNOLOGIAINFORMATICA2010_vers2003_Consolidado 1000 Proyecciones" xfId="598" xr:uid="{00000000-0005-0000-0000-000056020000}"/>
    <cellStyle name="_Consolidado C Vtas Farmacia Hemodinamia_PRESUPUESTOTECNOLOGIAINFORMATICA2010_vers2003_FORMATOPresupuesto 2010-TRABAJO.C1" xfId="599" xr:uid="{00000000-0005-0000-0000-000057020000}"/>
    <cellStyle name="_Consolidado C Vtas Farmacia Hemodinamia_PRESUPUESTOTECNOLOGIAINFORMATICA2010_vers2003_FORMATOPresupuesto 2010-TRABAJO.C1." xfId="600" xr:uid="{00000000-0005-0000-0000-000058020000}"/>
    <cellStyle name="_Consolidado C Vtas Farmacia Hemodinamia_provision contingencias-CONS" xfId="601" xr:uid="{00000000-0005-0000-0000-000059020000}"/>
    <cellStyle name="_Consolidado C Vtas Farmacia Hemodinamia_provision de cartera-CONS" xfId="602" xr:uid="{00000000-0005-0000-0000-00005A020000}"/>
    <cellStyle name="_Consolidado C Vtas Farmacia Hemodinamia_PUBLICIDAD" xfId="603" xr:uid="{00000000-0005-0000-0000-00005B020000}"/>
    <cellStyle name="_Consolidado C Vtas Farmacia Hemodinamia_PUBLICIDAD_DIVERSOS.CONS" xfId="604" xr:uid="{00000000-0005-0000-0000-00005C020000}"/>
    <cellStyle name="_Consolidado C Vtas Farmacia Hemodinamia_SERVICIOS" xfId="605" xr:uid="{00000000-0005-0000-0000-00005D020000}"/>
    <cellStyle name="_Consolidado C Vtas Farmacia Hemodinamia_SERVICIOS." xfId="606" xr:uid="{00000000-0005-0000-0000-00005E020000}"/>
    <cellStyle name="_Consolidado C Vtas Farmacia Hemodinamia_SERVICIOS_DIVERSOS.CONS" xfId="607" xr:uid="{00000000-0005-0000-0000-00005F020000}"/>
    <cellStyle name="_Consolidado C Vtas Farmacia Hemodinamia_SUMINISTROS LOGISTICA ULTIMO NOV 20" xfId="608" xr:uid="{00000000-0005-0000-0000-000060020000}"/>
    <cellStyle name="_Consolidado C Vtas Farmacia Hemodinamia_SUMINISTROS LOGISTICA ULTIMO NOV 20_Consolidado 1000 Proyecciones" xfId="609" xr:uid="{00000000-0005-0000-0000-000061020000}"/>
    <cellStyle name="_Consolidado C Vtas Farmacia Hemodinamia_SUMINISTROS LOGISTICA ULTIMO NOV 20_FORMATOPresupuesto 2010-TRABAJO.C1" xfId="610" xr:uid="{00000000-0005-0000-0000-000062020000}"/>
    <cellStyle name="_Consolidado C Vtas Farmacia Hemodinamia_SUMINISTROS LOGISTICA ULTIMO NOV 20_FORMATOPresupuesto 2010-TRABAJO.C1." xfId="611" xr:uid="{00000000-0005-0000-0000-000063020000}"/>
    <cellStyle name="_Consolidado C Vtas Farmacia Hemodinamia_TECNOLOGIA E INFORMATICA" xfId="612" xr:uid="{00000000-0005-0000-0000-000064020000}"/>
    <cellStyle name="_Consolidado C Vtas Farmacia Hemodinamia_TECNOLOGIA E INFORMATICA_Consolidado 1000 Proyecciones" xfId="613" xr:uid="{00000000-0005-0000-0000-000065020000}"/>
    <cellStyle name="_Consolidado C Vtas Farmacia Hemodinamia_TECNOLOGIA E INFORMATICA_FORMATOPresupuesto 2010-TRABAJO.C1" xfId="614" xr:uid="{00000000-0005-0000-0000-000066020000}"/>
    <cellStyle name="_Consolidado C Vtas Farmacia Hemodinamia_TECNOLOGIA E INFORMATICA_FORMATOPresupuesto 2010-TRABAJO.C1." xfId="615" xr:uid="{00000000-0005-0000-0000-000067020000}"/>
    <cellStyle name="_Consolidado C Vtas Farmacia Hemodinamia_xerox" xfId="616" xr:uid="{00000000-0005-0000-0000-000068020000}"/>
    <cellStyle name="_Consolidado C Vtas Farmacia Hemodinamia_xerox_Consolidado 1000 Proyecciones" xfId="617" xr:uid="{00000000-0005-0000-0000-000069020000}"/>
    <cellStyle name="_Consolidado C Vtas Farmacia Hemodinamia_xerox_Consolidado PPTO Ingresos 2010 Ajuste Medicamentos" xfId="618" xr:uid="{00000000-0005-0000-0000-00006A020000}"/>
    <cellStyle name="_Consolidado C Vtas Farmacia Hemodinamia_xerox_Consolidado PPTO Ingresos 2010 Ajuste Reuniones" xfId="619" xr:uid="{00000000-0005-0000-0000-00006B020000}"/>
    <cellStyle name="_Consolidado C Vtas Farmacia Hemodinamia_xerox_Consolidado PPTO Ingresos 2010 Ejerc" xfId="620" xr:uid="{00000000-0005-0000-0000-00006C020000}"/>
    <cellStyle name="_Consolidado C Vtas Farmacia Hemodinamia_xerox_Consolidado PPTO Ingresos 2010 Ejerc Reduccion % Ocupacional" xfId="621" xr:uid="{00000000-0005-0000-0000-00006D020000}"/>
    <cellStyle name="_Consolidado C Vtas Farmacia Hemodinamia_xerox_Consolidado PPTO Ingresos 2010 Ejerc Reduccion % Ocupacional Vs 3 Centro" xfId="622" xr:uid="{00000000-0005-0000-0000-00006E020000}"/>
    <cellStyle name="_Consolidado C Vtas Farmacia Hemodinamia_xerox_FORMATOPresupuesto 2010-TRABAJO.C1" xfId="623" xr:uid="{00000000-0005-0000-0000-00006F020000}"/>
    <cellStyle name="_Consolidado C Vtas Farmacia Hemodinamia_xerox_FORMATOPresupuesto 2010-TRABAJO.C1." xfId="624" xr:uid="{00000000-0005-0000-0000-000070020000}"/>
    <cellStyle name="_Consolidado C Vtas Farmacia_CENTRO DE COSTOS PLANTILLA" xfId="625" xr:uid="{00000000-0005-0000-0000-000071020000}"/>
    <cellStyle name="_Consolidado C Vtas Farmacia_CENTRO DE COSTOS PLANTILLA_comparativo 2010-2009" xfId="626" xr:uid="{00000000-0005-0000-0000-000072020000}"/>
    <cellStyle name="_Consolidado C Vtas Farmacia_CENTRO DE COSTOS PLANTILLA_Consolidado 1000 Proyecciones" xfId="627" xr:uid="{00000000-0005-0000-0000-000073020000}"/>
    <cellStyle name="_Consolidado C Vtas Farmacia_CENTRO DE COSTOS PLANTILLA_-FORMATOPresupuesto 2010" xfId="628" xr:uid="{00000000-0005-0000-0000-000074020000}"/>
    <cellStyle name="_Consolidado C Vtas Farmacia_CENTRO DE COSTOS PLANTILLA_FORMATOPresupuesto 2010-TRABAJO" xfId="629" xr:uid="{00000000-0005-0000-0000-000075020000}"/>
    <cellStyle name="_Consolidado C Vtas Farmacia_CENTRO DE COSTOS PLANTILLA_FORMATOPresupuesto 2010-TRABAJO." xfId="630" xr:uid="{00000000-0005-0000-0000-000076020000}"/>
    <cellStyle name="_Consolidado C Vtas Farmacia_CENTRO DE COSTOS PLANTILLA_FORMATOPresupuesto 2010-TRABAJO.C1" xfId="631" xr:uid="{00000000-0005-0000-0000-000077020000}"/>
    <cellStyle name="_Consolidado C Vtas Farmacia_CENTRO DE COSTOS PLANTILLA_FORMATOPresupuesto 2010-TRABAJO.C1." xfId="632" xr:uid="{00000000-0005-0000-0000-000078020000}"/>
    <cellStyle name="_Consolidado C Vtas Farmacia_CENTROS DE GESTION 2010" xfId="633" xr:uid="{00000000-0005-0000-0000-000079020000}"/>
    <cellStyle name="_Consolidado C Vtas Farmacia_CENTROS DE GESTION 2010_comparativo 2010-2009" xfId="634" xr:uid="{00000000-0005-0000-0000-00007A020000}"/>
    <cellStyle name="_Consolidado C Vtas Farmacia_CENTROS DE GESTION 2010_Consolidado 1000 Proyecciones" xfId="635" xr:uid="{00000000-0005-0000-0000-00007B020000}"/>
    <cellStyle name="_Consolidado C Vtas Farmacia_CENTROS DE GESTION 2010_Construccion Ingresos 2010" xfId="636" xr:uid="{00000000-0005-0000-0000-00007C020000}"/>
    <cellStyle name="_Consolidado C Vtas Farmacia_CENTROS DE GESTION 2010_Copia de seguridad de Construccion Ingresos 2010" xfId="637" xr:uid="{00000000-0005-0000-0000-00007D020000}"/>
    <cellStyle name="_Consolidado C Vtas Farmacia_CENTROS DE GESTION 2010_-FORMATOPresupuesto 2010" xfId="638" xr:uid="{00000000-0005-0000-0000-00007E020000}"/>
    <cellStyle name="_Consolidado C Vtas Farmacia_CENTROS DE GESTION 2010_FORMATOPresupuesto 2010-TRABAJO" xfId="639" xr:uid="{00000000-0005-0000-0000-00007F020000}"/>
    <cellStyle name="_Consolidado C Vtas Farmacia_CENTROS DE GESTION 2010_FORMATOPresupuesto 2010-TRABAJO." xfId="640" xr:uid="{00000000-0005-0000-0000-000080020000}"/>
    <cellStyle name="_Consolidado C Vtas Farmacia_CENTROS DE GESTION 2010_FORMATOPresupuesto 2010-TRABAJO.C1" xfId="641" xr:uid="{00000000-0005-0000-0000-000081020000}"/>
    <cellStyle name="_Consolidado C Vtas Farmacia_CENTROS DE GESTION 2010_FORMATOPresupuesto 2010-TRABAJO.C1." xfId="642" xr:uid="{00000000-0005-0000-0000-000082020000}"/>
    <cellStyle name="_Consolidado C Vtas Farmacia_Consolidado Ingresos" xfId="643" xr:uid="{00000000-0005-0000-0000-000083020000}"/>
    <cellStyle name="_Consolidado C Vtas Farmacia_Construccion Ingresos 2010" xfId="644" xr:uid="{00000000-0005-0000-0000-000084020000}"/>
    <cellStyle name="_Consolidado C Vtas Farmacia_Copia de PRESUPUESTOSISTEMAS2009formato2003" xfId="645" xr:uid="{00000000-0005-0000-0000-000085020000}"/>
    <cellStyle name="_Consolidado C Vtas Farmacia_Copia de seguridad de Construccion Ingresos 2010" xfId="646" xr:uid="{00000000-0005-0000-0000-000086020000}"/>
    <cellStyle name="_Consolidado C Vtas Farmacia_COSTO DE MEDICAMENTOS " xfId="647" xr:uid="{00000000-0005-0000-0000-000087020000}"/>
    <cellStyle name="_Consolidado C Vtas Farmacia_COSTO DE MEDICAMENTOS." xfId="648" xr:uid="{00000000-0005-0000-0000-000088020000}"/>
    <cellStyle name="_Consolidado C Vtas Farmacia_EJECUCION PRESUPUESTAL A SEPTIEMBRE  09 EJERCICIO AJUSTE INGRESOS" xfId="649" xr:uid="{00000000-0005-0000-0000-000089020000}"/>
    <cellStyle name="_Consolidado C Vtas Farmacia_EJECUCION PRESUPUESTAL A SEPTIEMBRE  09 EJERCICIO AJUSTE INGRESOS_comparativo 2010-2009" xfId="650" xr:uid="{00000000-0005-0000-0000-00008A020000}"/>
    <cellStyle name="_Consolidado C Vtas Farmacia_EJECUCION PRESUPUESTAL A SEPTIEMBRE  09 EJERCICIO AJUSTE INGRESOS_Consolidado 1000 Proyecciones" xfId="651" xr:uid="{00000000-0005-0000-0000-00008B020000}"/>
    <cellStyle name="_Consolidado C Vtas Farmacia_EJECUCION PRESUPUESTAL A SEPTIEMBRE  09 EJERCICIO AJUSTE INGRESOS_Construccion Ingresos 2010" xfId="652" xr:uid="{00000000-0005-0000-0000-00008C020000}"/>
    <cellStyle name="_Consolidado C Vtas Farmacia_EJECUCION PRESUPUESTAL A SEPTIEMBRE  09 EJERCICIO AJUSTE INGRESOS_Copia de seguridad de Construccion Ingresos 2010" xfId="653" xr:uid="{00000000-0005-0000-0000-00008D020000}"/>
    <cellStyle name="_Consolidado C Vtas Farmacia_EJECUCION PRESUPUESTAL A SEPTIEMBRE  09 EJERCICIO AJUSTE INGRESOS_-FORMATOPresupuesto 2010" xfId="654" xr:uid="{00000000-0005-0000-0000-00008E020000}"/>
    <cellStyle name="_Consolidado C Vtas Farmacia_EJECUCION PRESUPUESTAL A SEPTIEMBRE  09 EJERCICIO AJUSTE INGRESOS_FORMATOPresupuesto 2010-TRABAJO" xfId="655" xr:uid="{00000000-0005-0000-0000-00008F020000}"/>
    <cellStyle name="_Consolidado C Vtas Farmacia_EJECUCION PRESUPUESTAL A SEPTIEMBRE  09 EJERCICIO AJUSTE INGRESOS_FORMATOPresupuesto 2010-TRABAJO." xfId="656" xr:uid="{00000000-0005-0000-0000-000090020000}"/>
    <cellStyle name="_Consolidado C Vtas Farmacia_EJECUCION PRESUPUESTAL A SEPTIEMBRE  09 EJERCICIO AJUSTE INGRESOS_FORMATOPresupuesto 2010-TRABAJO.C1" xfId="657" xr:uid="{00000000-0005-0000-0000-000091020000}"/>
    <cellStyle name="_Consolidado C Vtas Farmacia_EJECUCION PRESUPUESTAL A SEPTIEMBRE  09 EJERCICIO AJUSTE INGRESOS_FORMATOPresupuesto 2010-TRABAJO.C1." xfId="658" xr:uid="{00000000-0005-0000-0000-000092020000}"/>
    <cellStyle name="_Consolidado C Vtas Farmacia_Ingresos Presupuesto 2008" xfId="659" xr:uid="{00000000-0005-0000-0000-000093020000}"/>
    <cellStyle name="_Consolidado C Vtas Farmacia_mantenimiento infraestrucruta" xfId="660" xr:uid="{00000000-0005-0000-0000-000094020000}"/>
    <cellStyle name="_Consolidado C Vtas Farmacia_mantenimiento infraestrucruta (2)" xfId="661" xr:uid="{00000000-0005-0000-0000-000095020000}"/>
    <cellStyle name="_Consolidado C Vtas Farmacia_mantenimiento infraestrucruta (2)_CENTRO DE COSTOS PLANTILLA" xfId="662" xr:uid="{00000000-0005-0000-0000-000096020000}"/>
    <cellStyle name="_Consolidado C Vtas Farmacia_mantenimiento infraestrucruta (2)_CENTRO DE COSTOS PLANTILLA_comparativo 2010-2009" xfId="663" xr:uid="{00000000-0005-0000-0000-000097020000}"/>
    <cellStyle name="_Consolidado C Vtas Farmacia_mantenimiento infraestrucruta (2)_CENTRO DE COSTOS PLANTILLA_Consolidado 1000 Proyecciones" xfId="664" xr:uid="{00000000-0005-0000-0000-000098020000}"/>
    <cellStyle name="_Consolidado C Vtas Farmacia_mantenimiento infraestrucruta (2)_CENTRO DE COSTOS PLANTILLA_DIVERSOS.CONS" xfId="665" xr:uid="{00000000-0005-0000-0000-000099020000}"/>
    <cellStyle name="_Consolidado C Vtas Farmacia_mantenimiento infraestrucruta (2)_CENTRO DE COSTOS PLANTILLA_-FORMATOPresupuesto 2010" xfId="666" xr:uid="{00000000-0005-0000-0000-00009A020000}"/>
    <cellStyle name="_Consolidado C Vtas Farmacia_mantenimiento infraestrucruta (2)_CENTRO DE COSTOS PLANTILLA_FORMATOPresupuesto 2010-TRABAJO" xfId="667" xr:uid="{00000000-0005-0000-0000-00009B020000}"/>
    <cellStyle name="_Consolidado C Vtas Farmacia_mantenimiento infraestrucruta (2)_CENTRO DE COSTOS PLANTILLA_FORMATOPresupuesto 2010-TRABAJO." xfId="668" xr:uid="{00000000-0005-0000-0000-00009C020000}"/>
    <cellStyle name="_Consolidado C Vtas Farmacia_mantenimiento infraestrucruta (2)_CENTRO DE COSTOS PLANTILLA_FORMATOPresupuesto 2010-TRABAJO.C1" xfId="669" xr:uid="{00000000-0005-0000-0000-00009D020000}"/>
    <cellStyle name="_Consolidado C Vtas Farmacia_mantenimiento infraestrucruta (2)_CENTRO DE COSTOS PLANTILLA_FORMATOPresupuesto 2010-TRABAJO.C1." xfId="670" xr:uid="{00000000-0005-0000-0000-00009E020000}"/>
    <cellStyle name="_Consolidado C Vtas Farmacia_mantenimiento infraestrucruta (2)_comparativo 2010-2009" xfId="671" xr:uid="{00000000-0005-0000-0000-00009F020000}"/>
    <cellStyle name="_Consolidado C Vtas Farmacia_mantenimiento infraestrucruta (2)_Consolidado 1000 Proyecciones" xfId="672" xr:uid="{00000000-0005-0000-0000-0000A0020000}"/>
    <cellStyle name="_Consolidado C Vtas Farmacia_mantenimiento infraestrucruta (2)_DIVERSOS.CONS" xfId="673" xr:uid="{00000000-0005-0000-0000-0000A1020000}"/>
    <cellStyle name="_Consolidado C Vtas Farmacia_mantenimiento infraestrucruta (2)_-FORMATOPresupuesto 2010" xfId="674" xr:uid="{00000000-0005-0000-0000-0000A2020000}"/>
    <cellStyle name="_Consolidado C Vtas Farmacia_mantenimiento infraestrucruta (2)_FORMATOPresupuesto 2010-TRABAJO" xfId="675" xr:uid="{00000000-0005-0000-0000-0000A3020000}"/>
    <cellStyle name="_Consolidado C Vtas Farmacia_mantenimiento infraestrucruta (2)_FORMATOPresupuesto 2010-TRABAJO." xfId="676" xr:uid="{00000000-0005-0000-0000-0000A4020000}"/>
    <cellStyle name="_Consolidado C Vtas Farmacia_mantenimiento infraestrucruta (2)_FORMATOPresupuesto 2010-TRABAJO.C1" xfId="677" xr:uid="{00000000-0005-0000-0000-0000A5020000}"/>
    <cellStyle name="_Consolidado C Vtas Farmacia_mantenimiento infraestrucruta (2)_FORMATOPresupuesto 2010-TRABAJO.C1." xfId="678" xr:uid="{00000000-0005-0000-0000-0000A6020000}"/>
    <cellStyle name="_Consolidado C Vtas Farmacia_mantenimiento infraestrucruta (2)_PRESUPUESTO 2010 06-11-09 430 p m " xfId="679" xr:uid="{00000000-0005-0000-0000-0000A7020000}"/>
    <cellStyle name="_Consolidado C Vtas Farmacia_mantenimiento infraestrucruta (2)_PRESUPUESTO 2010 06-11-09 430 p m _comparativo 2010-2009" xfId="680" xr:uid="{00000000-0005-0000-0000-0000A8020000}"/>
    <cellStyle name="_Consolidado C Vtas Farmacia_mantenimiento infraestrucruta (2)_PRESUPUESTO 2010 06-11-09 430 p m _Consolidado 1000 Proyecciones" xfId="681" xr:uid="{00000000-0005-0000-0000-0000A9020000}"/>
    <cellStyle name="_Consolidado C Vtas Farmacia_mantenimiento infraestrucruta (2)_PRESUPUESTO 2010 06-11-09 430 p m _DIVERSOS.CONS" xfId="682" xr:uid="{00000000-0005-0000-0000-0000AA020000}"/>
    <cellStyle name="_Consolidado C Vtas Farmacia_mantenimiento infraestrucruta (2)_PRESUPUESTO 2010 06-11-09 430 p m _-FORMATOPresupuesto 2010" xfId="683" xr:uid="{00000000-0005-0000-0000-0000AB020000}"/>
    <cellStyle name="_Consolidado C Vtas Farmacia_mantenimiento infraestrucruta (2)_PRESUPUESTO 2010 06-11-09 430 p m _FORMATOPresupuesto 2010-TRABAJO" xfId="684" xr:uid="{00000000-0005-0000-0000-0000AC020000}"/>
    <cellStyle name="_Consolidado C Vtas Farmacia_mantenimiento infraestrucruta (2)_PRESUPUESTO 2010 06-11-09 430 p m _FORMATOPresupuesto 2010-TRABAJO." xfId="685" xr:uid="{00000000-0005-0000-0000-0000AD020000}"/>
    <cellStyle name="_Consolidado C Vtas Farmacia_mantenimiento infraestrucruta (2)_PRESUPUESTO 2010 06-11-09 430 p m _FORMATOPresupuesto 2010-TRABAJO.C1" xfId="686" xr:uid="{00000000-0005-0000-0000-0000AE020000}"/>
    <cellStyle name="_Consolidado C Vtas Farmacia_mantenimiento infraestrucruta (2)_PRESUPUESTO 2010 06-11-09 430 p m _FORMATOPresupuesto 2010-TRABAJO.C1." xfId="687" xr:uid="{00000000-0005-0000-0000-0000AF020000}"/>
    <cellStyle name="_Consolidado C Vtas Farmacia_mantenimiento infraestrucruta (2)_presupuesto de mantenimiento" xfId="688" xr:uid="{00000000-0005-0000-0000-0000B0020000}"/>
    <cellStyle name="_Consolidado C Vtas Farmacia_mantenimiento infraestrucruta (2)_presupuesto de mantenimiento_comparativo 2010-2009" xfId="689" xr:uid="{00000000-0005-0000-0000-0000B1020000}"/>
    <cellStyle name="_Consolidado C Vtas Farmacia_mantenimiento infraestrucruta (2)_presupuesto de mantenimiento_Consolidado 1000 Proyecciones" xfId="690" xr:uid="{00000000-0005-0000-0000-0000B2020000}"/>
    <cellStyle name="_Consolidado C Vtas Farmacia_mantenimiento infraestrucruta (2)_presupuesto de mantenimiento_DIVERSOS.CONS" xfId="691" xr:uid="{00000000-0005-0000-0000-0000B3020000}"/>
    <cellStyle name="_Consolidado C Vtas Farmacia_mantenimiento infraestrucruta (2)_presupuesto de mantenimiento_-FORMATOPresupuesto 2010" xfId="692" xr:uid="{00000000-0005-0000-0000-0000B4020000}"/>
    <cellStyle name="_Consolidado C Vtas Farmacia_mantenimiento infraestrucruta (2)_presupuesto de mantenimiento_FORMATOPresupuesto 2010-TRABAJO" xfId="693" xr:uid="{00000000-0005-0000-0000-0000B5020000}"/>
    <cellStyle name="_Consolidado C Vtas Farmacia_mantenimiento infraestrucruta (2)_presupuesto de mantenimiento_FORMATOPresupuesto 2010-TRABAJO." xfId="694" xr:uid="{00000000-0005-0000-0000-0000B6020000}"/>
    <cellStyle name="_Consolidado C Vtas Farmacia_mantenimiento infraestrucruta (2)_presupuesto de mantenimiento_FORMATOPresupuesto 2010-TRABAJO.C1" xfId="695" xr:uid="{00000000-0005-0000-0000-0000B7020000}"/>
    <cellStyle name="_Consolidado C Vtas Farmacia_mantenimiento infraestrucruta (2)_presupuesto de mantenimiento_FORMATOPresupuesto 2010-TRABAJO.C1." xfId="696" xr:uid="{00000000-0005-0000-0000-0000B8020000}"/>
    <cellStyle name="_Consolidado C Vtas Farmacia_mantenimiento infraestrucruta (2)_servicio" xfId="697" xr:uid="{00000000-0005-0000-0000-0000B9020000}"/>
    <cellStyle name="_Consolidado C Vtas Farmacia_mantenimiento infraestrucruta (2)_servicio_comparativo 2010-2009" xfId="698" xr:uid="{00000000-0005-0000-0000-0000BA020000}"/>
    <cellStyle name="_Consolidado C Vtas Farmacia_mantenimiento infraestrucruta (2)_servicio_Consolidado 1000 Proyecciones" xfId="699" xr:uid="{00000000-0005-0000-0000-0000BB020000}"/>
    <cellStyle name="_Consolidado C Vtas Farmacia_mantenimiento infraestrucruta (2)_servicio_DIVERSOS.CONS" xfId="700" xr:uid="{00000000-0005-0000-0000-0000BC020000}"/>
    <cellStyle name="_Consolidado C Vtas Farmacia_mantenimiento infraestrucruta (2)_servicio_-FORMATOPresupuesto 2010" xfId="701" xr:uid="{00000000-0005-0000-0000-0000BD020000}"/>
    <cellStyle name="_Consolidado C Vtas Farmacia_mantenimiento infraestrucruta (2)_servicio_FORMATOPresupuesto 2010-TRABAJO" xfId="702" xr:uid="{00000000-0005-0000-0000-0000BE020000}"/>
    <cellStyle name="_Consolidado C Vtas Farmacia_mantenimiento infraestrucruta (2)_servicio_FORMATOPresupuesto 2010-TRABAJO." xfId="703" xr:uid="{00000000-0005-0000-0000-0000BF020000}"/>
    <cellStyle name="_Consolidado C Vtas Farmacia_mantenimiento infraestrucruta (2)_servicio_FORMATOPresupuesto 2010-TRABAJO.C1" xfId="704" xr:uid="{00000000-0005-0000-0000-0000C0020000}"/>
    <cellStyle name="_Consolidado C Vtas Farmacia_mantenimiento infraestrucruta (2)_servicio_FORMATOPresupuesto 2010-TRABAJO.C1." xfId="705" xr:uid="{00000000-0005-0000-0000-0000C1020000}"/>
    <cellStyle name="_Consolidado C Vtas Farmacia_mantenimiento infraestrucruta (2)_SERVICIOS" xfId="706" xr:uid="{00000000-0005-0000-0000-0000C2020000}"/>
    <cellStyle name="_Consolidado C Vtas Farmacia_mantenimiento infraestrucruta (2)_SERVICIOS." xfId="707" xr:uid="{00000000-0005-0000-0000-0000C3020000}"/>
    <cellStyle name="_Consolidado C Vtas Farmacia_mantenimiento infraestrucruta (2)_SERVICIOS._comparativo 2010-2009" xfId="708" xr:uid="{00000000-0005-0000-0000-0000C4020000}"/>
    <cellStyle name="_Consolidado C Vtas Farmacia_mantenimiento infraestrucruta (2)_SERVICIOS._Consolidado 1000 Proyecciones" xfId="709" xr:uid="{00000000-0005-0000-0000-0000C5020000}"/>
    <cellStyle name="_Consolidado C Vtas Farmacia_mantenimiento infraestrucruta (2)_SERVICIOS._DIVERSOS.CONS" xfId="710" xr:uid="{00000000-0005-0000-0000-0000C6020000}"/>
    <cellStyle name="_Consolidado C Vtas Farmacia_mantenimiento infraestrucruta (2)_SERVICIOS._-FORMATOPresupuesto 2010" xfId="711" xr:uid="{00000000-0005-0000-0000-0000C7020000}"/>
    <cellStyle name="_Consolidado C Vtas Farmacia_mantenimiento infraestrucruta (2)_SERVICIOS._FORMATOPresupuesto 2010-TRABAJO" xfId="712" xr:uid="{00000000-0005-0000-0000-0000C8020000}"/>
    <cellStyle name="_Consolidado C Vtas Farmacia_mantenimiento infraestrucruta (2)_SERVICIOS._FORMATOPresupuesto 2010-TRABAJO." xfId="713" xr:uid="{00000000-0005-0000-0000-0000C9020000}"/>
    <cellStyle name="_Consolidado C Vtas Farmacia_mantenimiento infraestrucruta (2)_SERVICIOS._FORMATOPresupuesto 2010-TRABAJO.C1" xfId="714" xr:uid="{00000000-0005-0000-0000-0000CA020000}"/>
    <cellStyle name="_Consolidado C Vtas Farmacia_mantenimiento infraestrucruta (2)_SERVICIOS._FORMATOPresupuesto 2010-TRABAJO.C1." xfId="715" xr:uid="{00000000-0005-0000-0000-0000CB020000}"/>
    <cellStyle name="_Consolidado C Vtas Farmacia_mantenimiento infraestrucruta (2)_SERVICIOS_comparativo 2010-2009" xfId="716" xr:uid="{00000000-0005-0000-0000-0000CC020000}"/>
    <cellStyle name="_Consolidado C Vtas Farmacia_mantenimiento infraestrucruta (2)_SERVICIOS_Consolidado 1000 Proyecciones" xfId="717" xr:uid="{00000000-0005-0000-0000-0000CD020000}"/>
    <cellStyle name="_Consolidado C Vtas Farmacia_mantenimiento infraestrucruta (2)_SERVICIOS_DIVERSOS.CONS" xfId="718" xr:uid="{00000000-0005-0000-0000-0000CE020000}"/>
    <cellStyle name="_Consolidado C Vtas Farmacia_mantenimiento infraestrucruta (2)_SERVICIOS_-FORMATOPresupuesto 2010" xfId="719" xr:uid="{00000000-0005-0000-0000-0000CF020000}"/>
    <cellStyle name="_Consolidado C Vtas Farmacia_mantenimiento infraestrucruta (2)_SERVICIOS_FORMATOPresupuesto 2010-TRABAJO" xfId="720" xr:uid="{00000000-0005-0000-0000-0000D0020000}"/>
    <cellStyle name="_Consolidado C Vtas Farmacia_mantenimiento infraestrucruta (2)_SERVICIOS_FORMATOPresupuesto 2010-TRABAJO." xfId="721" xr:uid="{00000000-0005-0000-0000-0000D1020000}"/>
    <cellStyle name="_Consolidado C Vtas Farmacia_mantenimiento infraestrucruta (2)_SERVICIOS_FORMATOPresupuesto 2010-TRABAJO.C1" xfId="722" xr:uid="{00000000-0005-0000-0000-0000D2020000}"/>
    <cellStyle name="_Consolidado C Vtas Farmacia_mantenimiento infraestrucruta (2)_SERVICIOS_FORMATOPresupuesto 2010-TRABAJO.C1." xfId="723" xr:uid="{00000000-0005-0000-0000-0000D3020000}"/>
    <cellStyle name="_Consolidado C Vtas Farmacia_mantenimiento infraestrucruta (2)_SERVICIOS1" xfId="724" xr:uid="{00000000-0005-0000-0000-0000D4020000}"/>
    <cellStyle name="_Consolidado C Vtas Farmacia_mantenimiento infraestrucruta (2)_SERVICIOS1_comparativo 2010-2009" xfId="725" xr:uid="{00000000-0005-0000-0000-0000D5020000}"/>
    <cellStyle name="_Consolidado C Vtas Farmacia_mantenimiento infraestrucruta (2)_SERVICIOS1_Consolidado 1000 Proyecciones" xfId="726" xr:uid="{00000000-0005-0000-0000-0000D6020000}"/>
    <cellStyle name="_Consolidado C Vtas Farmacia_mantenimiento infraestrucruta (2)_SERVICIOS1_DIVERSOS.CONS" xfId="727" xr:uid="{00000000-0005-0000-0000-0000D7020000}"/>
    <cellStyle name="_Consolidado C Vtas Farmacia_mantenimiento infraestrucruta (2)_SERVICIOS1_-FORMATOPresupuesto 2010" xfId="728" xr:uid="{00000000-0005-0000-0000-0000D8020000}"/>
    <cellStyle name="_Consolidado C Vtas Farmacia_mantenimiento infraestrucruta (2)_SERVICIOS1_FORMATOPresupuesto 2010-TRABAJO" xfId="729" xr:uid="{00000000-0005-0000-0000-0000D9020000}"/>
    <cellStyle name="_Consolidado C Vtas Farmacia_mantenimiento infraestrucruta (2)_SERVICIOS1_FORMATOPresupuesto 2010-TRABAJO." xfId="730" xr:uid="{00000000-0005-0000-0000-0000DA020000}"/>
    <cellStyle name="_Consolidado C Vtas Farmacia_mantenimiento infraestrucruta (2)_SERVICIOS1_FORMATOPresupuesto 2010-TRABAJO.C1" xfId="731" xr:uid="{00000000-0005-0000-0000-0000DB020000}"/>
    <cellStyle name="_Consolidado C Vtas Farmacia_mantenimiento infraestrucruta (2)_SERVICIOS1_FORMATOPresupuesto 2010-TRABAJO.C1." xfId="732" xr:uid="{00000000-0005-0000-0000-0000DC020000}"/>
    <cellStyle name="_Consolidado C Vtas Farmacia_mantenimiento infraestrucruta (2)_SUMINISTROS" xfId="733" xr:uid="{00000000-0005-0000-0000-0000DD020000}"/>
    <cellStyle name="_Consolidado C Vtas Farmacia_mantenimiento infraestrucruta (2)_SUMINISTROS_comparativo 2010-2009" xfId="734" xr:uid="{00000000-0005-0000-0000-0000DE020000}"/>
    <cellStyle name="_Consolidado C Vtas Farmacia_mantenimiento infraestrucruta (2)_SUMINISTROS_Consolidado 1000 Proyecciones" xfId="735" xr:uid="{00000000-0005-0000-0000-0000DF020000}"/>
    <cellStyle name="_Consolidado C Vtas Farmacia_mantenimiento infraestrucruta (2)_SUMINISTROS_-FORMATOPresupuesto 2010" xfId="736" xr:uid="{00000000-0005-0000-0000-0000E0020000}"/>
    <cellStyle name="_Consolidado C Vtas Farmacia_mantenimiento infraestrucruta (2)_SUMINISTROS_FORMATOPresupuesto 2010-TRABAJO" xfId="737" xr:uid="{00000000-0005-0000-0000-0000E1020000}"/>
    <cellStyle name="_Consolidado C Vtas Farmacia_mantenimiento infraestrucruta (2)_SUMINISTROS_FORMATOPresupuesto 2010-TRABAJO." xfId="738" xr:uid="{00000000-0005-0000-0000-0000E2020000}"/>
    <cellStyle name="_Consolidado C Vtas Farmacia_mantenimiento infraestrucruta (2)_SUMINISTROS_FORMATOPresupuesto 2010-TRABAJO.C1" xfId="739" xr:uid="{00000000-0005-0000-0000-0000E3020000}"/>
    <cellStyle name="_Consolidado C Vtas Farmacia_mantenimiento infraestrucruta (2)_SUMINISTROS_FORMATOPresupuesto 2010-TRABAJO.C1." xfId="740" xr:uid="{00000000-0005-0000-0000-0000E4020000}"/>
    <cellStyle name="_Consolidado C Vtas Farmacia_mantenimiento infraestrucruta_CENTRO DE COSTOS PLANTILLA" xfId="741" xr:uid="{00000000-0005-0000-0000-0000E5020000}"/>
    <cellStyle name="_Consolidado C Vtas Farmacia_mantenimiento infraestrucruta_CENTRO DE COSTOS PLANTILLA_comparativo 2010-2009" xfId="742" xr:uid="{00000000-0005-0000-0000-0000E6020000}"/>
    <cellStyle name="_Consolidado C Vtas Farmacia_mantenimiento infraestrucruta_CENTRO DE COSTOS PLANTILLA_Consolidado 1000 Proyecciones" xfId="743" xr:uid="{00000000-0005-0000-0000-0000E7020000}"/>
    <cellStyle name="_Consolidado C Vtas Farmacia_mantenimiento infraestrucruta_CENTRO DE COSTOS PLANTILLA_DIVERSOS.CONS" xfId="744" xr:uid="{00000000-0005-0000-0000-0000E8020000}"/>
    <cellStyle name="_Consolidado C Vtas Farmacia_mantenimiento infraestrucruta_CENTRO DE COSTOS PLANTILLA_-FORMATOPresupuesto 2010" xfId="745" xr:uid="{00000000-0005-0000-0000-0000E9020000}"/>
    <cellStyle name="_Consolidado C Vtas Farmacia_mantenimiento infraestrucruta_CENTRO DE COSTOS PLANTILLA_FORMATOPresupuesto 2010-TRABAJO" xfId="746" xr:uid="{00000000-0005-0000-0000-0000EA020000}"/>
    <cellStyle name="_Consolidado C Vtas Farmacia_mantenimiento infraestrucruta_CENTRO DE COSTOS PLANTILLA_FORMATOPresupuesto 2010-TRABAJO." xfId="747" xr:uid="{00000000-0005-0000-0000-0000EB020000}"/>
    <cellStyle name="_Consolidado C Vtas Farmacia_mantenimiento infraestrucruta_CENTRO DE COSTOS PLANTILLA_FORMATOPresupuesto 2010-TRABAJO.C1" xfId="748" xr:uid="{00000000-0005-0000-0000-0000EC020000}"/>
    <cellStyle name="_Consolidado C Vtas Farmacia_mantenimiento infraestrucruta_CENTRO DE COSTOS PLANTILLA_FORMATOPresupuesto 2010-TRABAJO.C1." xfId="749" xr:uid="{00000000-0005-0000-0000-0000ED020000}"/>
    <cellStyle name="_Consolidado C Vtas Farmacia_mantenimiento infraestrucruta_comparativo 2010-2009" xfId="750" xr:uid="{00000000-0005-0000-0000-0000EE020000}"/>
    <cellStyle name="_Consolidado C Vtas Farmacia_mantenimiento infraestrucruta_Consolidado 1000 Proyecciones" xfId="751" xr:uid="{00000000-0005-0000-0000-0000EF020000}"/>
    <cellStyle name="_Consolidado C Vtas Farmacia_mantenimiento infraestrucruta_DIVERSOS.CONS" xfId="752" xr:uid="{00000000-0005-0000-0000-0000F0020000}"/>
    <cellStyle name="_Consolidado C Vtas Farmacia_mantenimiento infraestrucruta_-FORMATOPresupuesto 2010" xfId="753" xr:uid="{00000000-0005-0000-0000-0000F1020000}"/>
    <cellStyle name="_Consolidado C Vtas Farmacia_mantenimiento infraestrucruta_FORMATOPresupuesto 2010-TRABAJO" xfId="754" xr:uid="{00000000-0005-0000-0000-0000F2020000}"/>
    <cellStyle name="_Consolidado C Vtas Farmacia_mantenimiento infraestrucruta_FORMATOPresupuesto 2010-TRABAJO." xfId="755" xr:uid="{00000000-0005-0000-0000-0000F3020000}"/>
    <cellStyle name="_Consolidado C Vtas Farmacia_mantenimiento infraestrucruta_FORMATOPresupuesto 2010-TRABAJO.C1" xfId="756" xr:uid="{00000000-0005-0000-0000-0000F4020000}"/>
    <cellStyle name="_Consolidado C Vtas Farmacia_mantenimiento infraestrucruta_FORMATOPresupuesto 2010-TRABAJO.C1." xfId="757" xr:uid="{00000000-0005-0000-0000-0000F5020000}"/>
    <cellStyle name="_Consolidado C Vtas Farmacia_mantenimiento infraestrucruta_PRESUPUESTO 2010 06-11-09 430 p m " xfId="758" xr:uid="{00000000-0005-0000-0000-0000F6020000}"/>
    <cellStyle name="_Consolidado C Vtas Farmacia_mantenimiento infraestrucruta_PRESUPUESTO 2010 06-11-09 430 p m _comparativo 2010-2009" xfId="759" xr:uid="{00000000-0005-0000-0000-0000F7020000}"/>
    <cellStyle name="_Consolidado C Vtas Farmacia_mantenimiento infraestrucruta_PRESUPUESTO 2010 06-11-09 430 p m _Consolidado 1000 Proyecciones" xfId="760" xr:uid="{00000000-0005-0000-0000-0000F8020000}"/>
    <cellStyle name="_Consolidado C Vtas Farmacia_mantenimiento infraestrucruta_PRESUPUESTO 2010 06-11-09 430 p m _DIVERSOS.CONS" xfId="761" xr:uid="{00000000-0005-0000-0000-0000F9020000}"/>
    <cellStyle name="_Consolidado C Vtas Farmacia_mantenimiento infraestrucruta_PRESUPUESTO 2010 06-11-09 430 p m _-FORMATOPresupuesto 2010" xfId="762" xr:uid="{00000000-0005-0000-0000-0000FA020000}"/>
    <cellStyle name="_Consolidado C Vtas Farmacia_mantenimiento infraestrucruta_PRESUPUESTO 2010 06-11-09 430 p m _FORMATOPresupuesto 2010-TRABAJO" xfId="763" xr:uid="{00000000-0005-0000-0000-0000FB020000}"/>
    <cellStyle name="_Consolidado C Vtas Farmacia_mantenimiento infraestrucruta_PRESUPUESTO 2010 06-11-09 430 p m _FORMATOPresupuesto 2010-TRABAJO." xfId="764" xr:uid="{00000000-0005-0000-0000-0000FC020000}"/>
    <cellStyle name="_Consolidado C Vtas Farmacia_mantenimiento infraestrucruta_PRESUPUESTO 2010 06-11-09 430 p m _FORMATOPresupuesto 2010-TRABAJO.C1" xfId="765" xr:uid="{00000000-0005-0000-0000-0000FD020000}"/>
    <cellStyle name="_Consolidado C Vtas Farmacia_mantenimiento infraestrucruta_PRESUPUESTO 2010 06-11-09 430 p m _FORMATOPresupuesto 2010-TRABAJO.C1." xfId="766" xr:uid="{00000000-0005-0000-0000-0000FE020000}"/>
    <cellStyle name="_Consolidado C Vtas Farmacia_mantenimiento infraestrucruta_presupuesto de mantenimiento" xfId="767" xr:uid="{00000000-0005-0000-0000-0000FF020000}"/>
    <cellStyle name="_Consolidado C Vtas Farmacia_mantenimiento infraestrucruta_presupuesto de mantenimiento_comparativo 2010-2009" xfId="768" xr:uid="{00000000-0005-0000-0000-000000030000}"/>
    <cellStyle name="_Consolidado C Vtas Farmacia_mantenimiento infraestrucruta_presupuesto de mantenimiento_Consolidado 1000 Proyecciones" xfId="769" xr:uid="{00000000-0005-0000-0000-000001030000}"/>
    <cellStyle name="_Consolidado C Vtas Farmacia_mantenimiento infraestrucruta_presupuesto de mantenimiento_DIVERSOS.CONS" xfId="770" xr:uid="{00000000-0005-0000-0000-000002030000}"/>
    <cellStyle name="_Consolidado C Vtas Farmacia_mantenimiento infraestrucruta_presupuesto de mantenimiento_-FORMATOPresupuesto 2010" xfId="771" xr:uid="{00000000-0005-0000-0000-000003030000}"/>
    <cellStyle name="_Consolidado C Vtas Farmacia_mantenimiento infraestrucruta_presupuesto de mantenimiento_FORMATOPresupuesto 2010-TRABAJO" xfId="772" xr:uid="{00000000-0005-0000-0000-000004030000}"/>
    <cellStyle name="_Consolidado C Vtas Farmacia_mantenimiento infraestrucruta_presupuesto de mantenimiento_FORMATOPresupuesto 2010-TRABAJO." xfId="773" xr:uid="{00000000-0005-0000-0000-000005030000}"/>
    <cellStyle name="_Consolidado C Vtas Farmacia_mantenimiento infraestrucruta_presupuesto de mantenimiento_FORMATOPresupuesto 2010-TRABAJO.C1" xfId="774" xr:uid="{00000000-0005-0000-0000-000006030000}"/>
    <cellStyle name="_Consolidado C Vtas Farmacia_mantenimiento infraestrucruta_presupuesto de mantenimiento_FORMATOPresupuesto 2010-TRABAJO.C1." xfId="775" xr:uid="{00000000-0005-0000-0000-000007030000}"/>
    <cellStyle name="_Consolidado C Vtas Farmacia_mantenimiento infraestrucruta_servicio" xfId="776" xr:uid="{00000000-0005-0000-0000-000008030000}"/>
    <cellStyle name="_Consolidado C Vtas Farmacia_mantenimiento infraestrucruta_servicio_comparativo 2010-2009" xfId="777" xr:uid="{00000000-0005-0000-0000-000009030000}"/>
    <cellStyle name="_Consolidado C Vtas Farmacia_mantenimiento infraestrucruta_servicio_Consolidado 1000 Proyecciones" xfId="778" xr:uid="{00000000-0005-0000-0000-00000A030000}"/>
    <cellStyle name="_Consolidado C Vtas Farmacia_mantenimiento infraestrucruta_servicio_DIVERSOS.CONS" xfId="779" xr:uid="{00000000-0005-0000-0000-00000B030000}"/>
    <cellStyle name="_Consolidado C Vtas Farmacia_mantenimiento infraestrucruta_servicio_-FORMATOPresupuesto 2010" xfId="780" xr:uid="{00000000-0005-0000-0000-00000C030000}"/>
    <cellStyle name="_Consolidado C Vtas Farmacia_mantenimiento infraestrucruta_servicio_FORMATOPresupuesto 2010-TRABAJO" xfId="781" xr:uid="{00000000-0005-0000-0000-00000D030000}"/>
    <cellStyle name="_Consolidado C Vtas Farmacia_mantenimiento infraestrucruta_servicio_FORMATOPresupuesto 2010-TRABAJO." xfId="782" xr:uid="{00000000-0005-0000-0000-00000E030000}"/>
    <cellStyle name="_Consolidado C Vtas Farmacia_mantenimiento infraestrucruta_servicio_FORMATOPresupuesto 2010-TRABAJO.C1" xfId="783" xr:uid="{00000000-0005-0000-0000-00000F030000}"/>
    <cellStyle name="_Consolidado C Vtas Farmacia_mantenimiento infraestrucruta_servicio_FORMATOPresupuesto 2010-TRABAJO.C1." xfId="784" xr:uid="{00000000-0005-0000-0000-000010030000}"/>
    <cellStyle name="_Consolidado C Vtas Farmacia_mantenimiento infraestrucruta_SERVICIOS" xfId="785" xr:uid="{00000000-0005-0000-0000-000011030000}"/>
    <cellStyle name="_Consolidado C Vtas Farmacia_mantenimiento infraestrucruta_SERVICIOS." xfId="786" xr:uid="{00000000-0005-0000-0000-000012030000}"/>
    <cellStyle name="_Consolidado C Vtas Farmacia_mantenimiento infraestrucruta_SERVICIOS._comparativo 2010-2009" xfId="787" xr:uid="{00000000-0005-0000-0000-000013030000}"/>
    <cellStyle name="_Consolidado C Vtas Farmacia_mantenimiento infraestrucruta_SERVICIOS._Consolidado 1000 Proyecciones" xfId="788" xr:uid="{00000000-0005-0000-0000-000014030000}"/>
    <cellStyle name="_Consolidado C Vtas Farmacia_mantenimiento infraestrucruta_SERVICIOS._DIVERSOS.CONS" xfId="789" xr:uid="{00000000-0005-0000-0000-000015030000}"/>
    <cellStyle name="_Consolidado C Vtas Farmacia_mantenimiento infraestrucruta_SERVICIOS._-FORMATOPresupuesto 2010" xfId="790" xr:uid="{00000000-0005-0000-0000-000016030000}"/>
    <cellStyle name="_Consolidado C Vtas Farmacia_mantenimiento infraestrucruta_SERVICIOS._FORMATOPresupuesto 2010-TRABAJO" xfId="791" xr:uid="{00000000-0005-0000-0000-000017030000}"/>
    <cellStyle name="_Consolidado C Vtas Farmacia_mantenimiento infraestrucruta_SERVICIOS._FORMATOPresupuesto 2010-TRABAJO." xfId="792" xr:uid="{00000000-0005-0000-0000-000018030000}"/>
    <cellStyle name="_Consolidado C Vtas Farmacia_mantenimiento infraestrucruta_SERVICIOS._FORMATOPresupuesto 2010-TRABAJO.C1" xfId="793" xr:uid="{00000000-0005-0000-0000-000019030000}"/>
    <cellStyle name="_Consolidado C Vtas Farmacia_mantenimiento infraestrucruta_SERVICIOS._FORMATOPresupuesto 2010-TRABAJO.C1." xfId="794" xr:uid="{00000000-0005-0000-0000-00001A030000}"/>
    <cellStyle name="_Consolidado C Vtas Farmacia_mantenimiento infraestrucruta_SERVICIOS_comparativo 2010-2009" xfId="795" xr:uid="{00000000-0005-0000-0000-00001B030000}"/>
    <cellStyle name="_Consolidado C Vtas Farmacia_mantenimiento infraestrucruta_SERVICIOS_Consolidado 1000 Proyecciones" xfId="796" xr:uid="{00000000-0005-0000-0000-00001C030000}"/>
    <cellStyle name="_Consolidado C Vtas Farmacia_mantenimiento infraestrucruta_SERVICIOS_DIVERSOS.CONS" xfId="797" xr:uid="{00000000-0005-0000-0000-00001D030000}"/>
    <cellStyle name="_Consolidado C Vtas Farmacia_mantenimiento infraestrucruta_SERVICIOS_-FORMATOPresupuesto 2010" xfId="798" xr:uid="{00000000-0005-0000-0000-00001E030000}"/>
    <cellStyle name="_Consolidado C Vtas Farmacia_mantenimiento infraestrucruta_SERVICIOS_FORMATOPresupuesto 2010-TRABAJO" xfId="799" xr:uid="{00000000-0005-0000-0000-00001F030000}"/>
    <cellStyle name="_Consolidado C Vtas Farmacia_mantenimiento infraestrucruta_SERVICIOS_FORMATOPresupuesto 2010-TRABAJO." xfId="800" xr:uid="{00000000-0005-0000-0000-000020030000}"/>
    <cellStyle name="_Consolidado C Vtas Farmacia_mantenimiento infraestrucruta_SERVICIOS_FORMATOPresupuesto 2010-TRABAJO.C1" xfId="801" xr:uid="{00000000-0005-0000-0000-000021030000}"/>
    <cellStyle name="_Consolidado C Vtas Farmacia_mantenimiento infraestrucruta_SERVICIOS_FORMATOPresupuesto 2010-TRABAJO.C1." xfId="802" xr:uid="{00000000-0005-0000-0000-000022030000}"/>
    <cellStyle name="_Consolidado C Vtas Farmacia_mantenimiento infraestrucruta_SERVICIOS1" xfId="803" xr:uid="{00000000-0005-0000-0000-000023030000}"/>
    <cellStyle name="_Consolidado C Vtas Farmacia_mantenimiento infraestrucruta_SERVICIOS1_comparativo 2010-2009" xfId="804" xr:uid="{00000000-0005-0000-0000-000024030000}"/>
    <cellStyle name="_Consolidado C Vtas Farmacia_mantenimiento infraestrucruta_SERVICIOS1_Consolidado 1000 Proyecciones" xfId="805" xr:uid="{00000000-0005-0000-0000-000025030000}"/>
    <cellStyle name="_Consolidado C Vtas Farmacia_mantenimiento infraestrucruta_SERVICIOS1_DIVERSOS.CONS" xfId="806" xr:uid="{00000000-0005-0000-0000-000026030000}"/>
    <cellStyle name="_Consolidado C Vtas Farmacia_mantenimiento infraestrucruta_SERVICIOS1_-FORMATOPresupuesto 2010" xfId="807" xr:uid="{00000000-0005-0000-0000-000027030000}"/>
    <cellStyle name="_Consolidado C Vtas Farmacia_mantenimiento infraestrucruta_SERVICIOS1_FORMATOPresupuesto 2010-TRABAJO" xfId="808" xr:uid="{00000000-0005-0000-0000-000028030000}"/>
    <cellStyle name="_Consolidado C Vtas Farmacia_mantenimiento infraestrucruta_SERVICIOS1_FORMATOPresupuesto 2010-TRABAJO." xfId="809" xr:uid="{00000000-0005-0000-0000-000029030000}"/>
    <cellStyle name="_Consolidado C Vtas Farmacia_mantenimiento infraestrucruta_SERVICIOS1_FORMATOPresupuesto 2010-TRABAJO.C1" xfId="810" xr:uid="{00000000-0005-0000-0000-00002A030000}"/>
    <cellStyle name="_Consolidado C Vtas Farmacia_mantenimiento infraestrucruta_SERVICIOS1_FORMATOPresupuesto 2010-TRABAJO.C1." xfId="811" xr:uid="{00000000-0005-0000-0000-00002B030000}"/>
    <cellStyle name="_Consolidado C Vtas Farmacia_mantenimiento infraestrucruta_SUMINISTROS" xfId="812" xr:uid="{00000000-0005-0000-0000-00002C030000}"/>
    <cellStyle name="_Consolidado C Vtas Farmacia_mantenimiento infraestrucruta_SUMINISTROS_comparativo 2010-2009" xfId="813" xr:uid="{00000000-0005-0000-0000-00002D030000}"/>
    <cellStyle name="_Consolidado C Vtas Farmacia_mantenimiento infraestrucruta_SUMINISTROS_Consolidado 1000 Proyecciones" xfId="814" xr:uid="{00000000-0005-0000-0000-00002E030000}"/>
    <cellStyle name="_Consolidado C Vtas Farmacia_mantenimiento infraestrucruta_SUMINISTROS_-FORMATOPresupuesto 2010" xfId="815" xr:uid="{00000000-0005-0000-0000-00002F030000}"/>
    <cellStyle name="_Consolidado C Vtas Farmacia_mantenimiento infraestrucruta_SUMINISTROS_FORMATOPresupuesto 2010-TRABAJO" xfId="816" xr:uid="{00000000-0005-0000-0000-000030030000}"/>
    <cellStyle name="_Consolidado C Vtas Farmacia_mantenimiento infraestrucruta_SUMINISTROS_FORMATOPresupuesto 2010-TRABAJO." xfId="817" xr:uid="{00000000-0005-0000-0000-000031030000}"/>
    <cellStyle name="_Consolidado C Vtas Farmacia_mantenimiento infraestrucruta_SUMINISTROS_FORMATOPresupuesto 2010-TRABAJO.C1" xfId="818" xr:uid="{00000000-0005-0000-0000-000032030000}"/>
    <cellStyle name="_Consolidado C Vtas Farmacia_mantenimiento infraestrucruta_SUMINISTROS_FORMATOPresupuesto 2010-TRABAJO.C1." xfId="819" xr:uid="{00000000-0005-0000-0000-000033030000}"/>
    <cellStyle name="_Consolidado C Vtas Farmacia_PRESUPUESTO 2010 06-11-09 430 p m " xfId="820" xr:uid="{00000000-0005-0000-0000-000034030000}"/>
    <cellStyle name="_Consolidado C Vtas Farmacia_presupuesto de mantenimiento" xfId="821" xr:uid="{00000000-0005-0000-0000-000035030000}"/>
    <cellStyle name="_Consolidado C Vtas Farmacia_presupuesto de mantenimiento (2)" xfId="822" xr:uid="{00000000-0005-0000-0000-000036030000}"/>
    <cellStyle name="_Consolidado C Vtas Farmacia_PRESUPUESTO POR CENTROS DE GESTION 2010 (3)" xfId="823" xr:uid="{00000000-0005-0000-0000-000037030000}"/>
    <cellStyle name="_Consolidado C Vtas Farmacia_PRESUPUESTO POR CENTROS DE GESTION 2010 (3)_CENTRO DE COSTOS PLANTILLA" xfId="824" xr:uid="{00000000-0005-0000-0000-000038030000}"/>
    <cellStyle name="_Consolidado C Vtas Farmacia_PRESUPUESTO POR CENTROS DE GESTION 2010 (3)_CENTRO DE COSTOS PLANTILLA_comparativo 2010-2009" xfId="825" xr:uid="{00000000-0005-0000-0000-000039030000}"/>
    <cellStyle name="_Consolidado C Vtas Farmacia_PRESUPUESTO POR CENTROS DE GESTION 2010 (3)_CENTRO DE COSTOS PLANTILLA_Consolidado 1000 Proyecciones" xfId="826" xr:uid="{00000000-0005-0000-0000-00003A030000}"/>
    <cellStyle name="_Consolidado C Vtas Farmacia_PRESUPUESTO POR CENTROS DE GESTION 2010 (3)_CENTRO DE COSTOS PLANTILLA_DIVERSOS.CONS" xfId="827" xr:uid="{00000000-0005-0000-0000-00003B030000}"/>
    <cellStyle name="_Consolidado C Vtas Farmacia_PRESUPUESTO POR CENTROS DE GESTION 2010 (3)_CENTRO DE COSTOS PLANTILLA_-FORMATOPresupuesto 2010" xfId="828" xr:uid="{00000000-0005-0000-0000-00003C030000}"/>
    <cellStyle name="_Consolidado C Vtas Farmacia_PRESUPUESTO POR CENTROS DE GESTION 2010 (3)_CENTRO DE COSTOS PLANTILLA_FORMATOPresupuesto 2010-TRABAJO" xfId="829" xr:uid="{00000000-0005-0000-0000-00003D030000}"/>
    <cellStyle name="_Consolidado C Vtas Farmacia_PRESUPUESTO POR CENTROS DE GESTION 2010 (3)_CENTRO DE COSTOS PLANTILLA_FORMATOPresupuesto 2010-TRABAJO." xfId="830" xr:uid="{00000000-0005-0000-0000-00003E030000}"/>
    <cellStyle name="_Consolidado C Vtas Farmacia_PRESUPUESTO POR CENTROS DE GESTION 2010 (3)_CENTRO DE COSTOS PLANTILLA_FORMATOPresupuesto 2010-TRABAJO.C1" xfId="831" xr:uid="{00000000-0005-0000-0000-00003F030000}"/>
    <cellStyle name="_Consolidado C Vtas Farmacia_PRESUPUESTO POR CENTROS DE GESTION 2010 (3)_CENTRO DE COSTOS PLANTILLA_FORMATOPresupuesto 2010-TRABAJO.C1." xfId="832" xr:uid="{00000000-0005-0000-0000-000040030000}"/>
    <cellStyle name="_Consolidado C Vtas Farmacia_PRESUPUESTO POR CENTROS DE GESTION 2010 (3)_comparativo 2010-2009" xfId="833" xr:uid="{00000000-0005-0000-0000-000041030000}"/>
    <cellStyle name="_Consolidado C Vtas Farmacia_PRESUPUESTO POR CENTROS DE GESTION 2010 (3)_Consolidado 1000 Proyecciones" xfId="834" xr:uid="{00000000-0005-0000-0000-000042030000}"/>
    <cellStyle name="_Consolidado C Vtas Farmacia_PRESUPUESTO POR CENTROS DE GESTION 2010 (3)_DIVERSOS.CONS" xfId="835" xr:uid="{00000000-0005-0000-0000-000043030000}"/>
    <cellStyle name="_Consolidado C Vtas Farmacia_PRESUPUESTO POR CENTROS DE GESTION 2010 (3)_-FORMATOPresupuesto 2010" xfId="836" xr:uid="{00000000-0005-0000-0000-000044030000}"/>
    <cellStyle name="_Consolidado C Vtas Farmacia_PRESUPUESTO POR CENTROS DE GESTION 2010 (3)_FORMATOPresupuesto 2010-TRABAJO" xfId="837" xr:uid="{00000000-0005-0000-0000-000045030000}"/>
    <cellStyle name="_Consolidado C Vtas Farmacia_PRESUPUESTO POR CENTROS DE GESTION 2010 (3)_FORMATOPresupuesto 2010-TRABAJO." xfId="838" xr:uid="{00000000-0005-0000-0000-000046030000}"/>
    <cellStyle name="_Consolidado C Vtas Farmacia_PRESUPUESTO POR CENTROS DE GESTION 2010 (3)_FORMATOPresupuesto 2010-TRABAJO.C1" xfId="839" xr:uid="{00000000-0005-0000-0000-000047030000}"/>
    <cellStyle name="_Consolidado C Vtas Farmacia_PRESUPUESTO POR CENTROS DE GESTION 2010 (3)_FORMATOPresupuesto 2010-TRABAJO.C1." xfId="840" xr:uid="{00000000-0005-0000-0000-000048030000}"/>
    <cellStyle name="_Consolidado C Vtas Farmacia_PRESUPUESTO POR CENTROS DE GESTION 2010 (3)_PRESUPUESTO 2010 06-11-09 430 p m " xfId="841" xr:uid="{00000000-0005-0000-0000-000049030000}"/>
    <cellStyle name="_Consolidado C Vtas Farmacia_PRESUPUESTO POR CENTROS DE GESTION 2010 (3)_PRESUPUESTO 2010 06-11-09 430 p m _comparativo 2010-2009" xfId="842" xr:uid="{00000000-0005-0000-0000-00004A030000}"/>
    <cellStyle name="_Consolidado C Vtas Farmacia_PRESUPUESTO POR CENTROS DE GESTION 2010 (3)_PRESUPUESTO 2010 06-11-09 430 p m _Consolidado 1000 Proyecciones" xfId="843" xr:uid="{00000000-0005-0000-0000-00004B030000}"/>
    <cellStyle name="_Consolidado C Vtas Farmacia_PRESUPUESTO POR CENTROS DE GESTION 2010 (3)_PRESUPUESTO 2010 06-11-09 430 p m _DIVERSOS.CONS" xfId="844" xr:uid="{00000000-0005-0000-0000-00004C030000}"/>
    <cellStyle name="_Consolidado C Vtas Farmacia_PRESUPUESTO POR CENTROS DE GESTION 2010 (3)_PRESUPUESTO 2010 06-11-09 430 p m _-FORMATOPresupuesto 2010" xfId="845" xr:uid="{00000000-0005-0000-0000-00004D030000}"/>
    <cellStyle name="_Consolidado C Vtas Farmacia_PRESUPUESTO POR CENTROS DE GESTION 2010 (3)_PRESUPUESTO 2010 06-11-09 430 p m _FORMATOPresupuesto 2010-TRABAJO" xfId="846" xr:uid="{00000000-0005-0000-0000-00004E030000}"/>
    <cellStyle name="_Consolidado C Vtas Farmacia_PRESUPUESTO POR CENTROS DE GESTION 2010 (3)_PRESUPUESTO 2010 06-11-09 430 p m _FORMATOPresupuesto 2010-TRABAJO." xfId="847" xr:uid="{00000000-0005-0000-0000-00004F030000}"/>
    <cellStyle name="_Consolidado C Vtas Farmacia_PRESUPUESTO POR CENTROS DE GESTION 2010 (3)_PRESUPUESTO 2010 06-11-09 430 p m _FORMATOPresupuesto 2010-TRABAJO.C1" xfId="848" xr:uid="{00000000-0005-0000-0000-000050030000}"/>
    <cellStyle name="_Consolidado C Vtas Farmacia_PRESUPUESTO POR CENTROS DE GESTION 2010 (3)_PRESUPUESTO 2010 06-11-09 430 p m _FORMATOPresupuesto 2010-TRABAJO.C1." xfId="849" xr:uid="{00000000-0005-0000-0000-000051030000}"/>
    <cellStyle name="_Consolidado C Vtas Farmacia_PRESUPUESTO POR CENTROS DE GESTION 2010 (3)_presupuesto de mantenimiento" xfId="850" xr:uid="{00000000-0005-0000-0000-000052030000}"/>
    <cellStyle name="_Consolidado C Vtas Farmacia_PRESUPUESTO POR CENTROS DE GESTION 2010 (3)_presupuesto de mantenimiento_comparativo 2010-2009" xfId="851" xr:uid="{00000000-0005-0000-0000-000053030000}"/>
    <cellStyle name="_Consolidado C Vtas Farmacia_PRESUPUESTO POR CENTROS DE GESTION 2010 (3)_presupuesto de mantenimiento_Consolidado 1000 Proyecciones" xfId="852" xr:uid="{00000000-0005-0000-0000-000054030000}"/>
    <cellStyle name="_Consolidado C Vtas Farmacia_PRESUPUESTO POR CENTROS DE GESTION 2010 (3)_presupuesto de mantenimiento_DIVERSOS.CONS" xfId="853" xr:uid="{00000000-0005-0000-0000-000055030000}"/>
    <cellStyle name="_Consolidado C Vtas Farmacia_PRESUPUESTO POR CENTROS DE GESTION 2010 (3)_presupuesto de mantenimiento_-FORMATOPresupuesto 2010" xfId="854" xr:uid="{00000000-0005-0000-0000-000056030000}"/>
    <cellStyle name="_Consolidado C Vtas Farmacia_PRESUPUESTO POR CENTROS DE GESTION 2010 (3)_presupuesto de mantenimiento_FORMATOPresupuesto 2010-TRABAJO" xfId="855" xr:uid="{00000000-0005-0000-0000-000057030000}"/>
    <cellStyle name="_Consolidado C Vtas Farmacia_PRESUPUESTO POR CENTROS DE GESTION 2010 (3)_presupuesto de mantenimiento_FORMATOPresupuesto 2010-TRABAJO." xfId="856" xr:uid="{00000000-0005-0000-0000-000058030000}"/>
    <cellStyle name="_Consolidado C Vtas Farmacia_PRESUPUESTO POR CENTROS DE GESTION 2010 (3)_presupuesto de mantenimiento_FORMATOPresupuesto 2010-TRABAJO.C1" xfId="857" xr:uid="{00000000-0005-0000-0000-000059030000}"/>
    <cellStyle name="_Consolidado C Vtas Farmacia_PRESUPUESTO POR CENTROS DE GESTION 2010 (3)_presupuesto de mantenimiento_FORMATOPresupuesto 2010-TRABAJO.C1." xfId="858" xr:uid="{00000000-0005-0000-0000-00005A030000}"/>
    <cellStyle name="_Consolidado C Vtas Farmacia_PRESUPUESTO POR CENTROS DE GESTION 2010 (3)_servicio" xfId="859" xr:uid="{00000000-0005-0000-0000-00005B030000}"/>
    <cellStyle name="_Consolidado C Vtas Farmacia_PRESUPUESTO POR CENTROS DE GESTION 2010 (3)_servicio_comparativo 2010-2009" xfId="860" xr:uid="{00000000-0005-0000-0000-00005C030000}"/>
    <cellStyle name="_Consolidado C Vtas Farmacia_PRESUPUESTO POR CENTROS DE GESTION 2010 (3)_servicio_Consolidado 1000 Proyecciones" xfId="861" xr:uid="{00000000-0005-0000-0000-00005D030000}"/>
    <cellStyle name="_Consolidado C Vtas Farmacia_PRESUPUESTO POR CENTROS DE GESTION 2010 (3)_servicio_DIVERSOS.CONS" xfId="862" xr:uid="{00000000-0005-0000-0000-00005E030000}"/>
    <cellStyle name="_Consolidado C Vtas Farmacia_PRESUPUESTO POR CENTROS DE GESTION 2010 (3)_servicio_-FORMATOPresupuesto 2010" xfId="863" xr:uid="{00000000-0005-0000-0000-00005F030000}"/>
    <cellStyle name="_Consolidado C Vtas Farmacia_PRESUPUESTO POR CENTROS DE GESTION 2010 (3)_servicio_FORMATOPresupuesto 2010-TRABAJO" xfId="864" xr:uid="{00000000-0005-0000-0000-000060030000}"/>
    <cellStyle name="_Consolidado C Vtas Farmacia_PRESUPUESTO POR CENTROS DE GESTION 2010 (3)_servicio_FORMATOPresupuesto 2010-TRABAJO." xfId="865" xr:uid="{00000000-0005-0000-0000-000061030000}"/>
    <cellStyle name="_Consolidado C Vtas Farmacia_PRESUPUESTO POR CENTROS DE GESTION 2010 (3)_servicio_FORMATOPresupuesto 2010-TRABAJO.C1" xfId="866" xr:uid="{00000000-0005-0000-0000-000062030000}"/>
    <cellStyle name="_Consolidado C Vtas Farmacia_PRESUPUESTO POR CENTROS DE GESTION 2010 (3)_servicio_FORMATOPresupuesto 2010-TRABAJO.C1." xfId="867" xr:uid="{00000000-0005-0000-0000-000063030000}"/>
    <cellStyle name="_Consolidado C Vtas Farmacia_PRESUPUESTO POR CENTROS DE GESTION 2010 (3)_SERVICIOS" xfId="868" xr:uid="{00000000-0005-0000-0000-000064030000}"/>
    <cellStyle name="_Consolidado C Vtas Farmacia_PRESUPUESTO POR CENTROS DE GESTION 2010 (3)_SERVICIOS." xfId="869" xr:uid="{00000000-0005-0000-0000-000065030000}"/>
    <cellStyle name="_Consolidado C Vtas Farmacia_PRESUPUESTO POR CENTROS DE GESTION 2010 (3)_SERVICIOS._comparativo 2010-2009" xfId="870" xr:uid="{00000000-0005-0000-0000-000066030000}"/>
    <cellStyle name="_Consolidado C Vtas Farmacia_PRESUPUESTO POR CENTROS DE GESTION 2010 (3)_SERVICIOS._Consolidado 1000 Proyecciones" xfId="871" xr:uid="{00000000-0005-0000-0000-000067030000}"/>
    <cellStyle name="_Consolidado C Vtas Farmacia_PRESUPUESTO POR CENTROS DE GESTION 2010 (3)_SERVICIOS._DIVERSOS.CONS" xfId="872" xr:uid="{00000000-0005-0000-0000-000068030000}"/>
    <cellStyle name="_Consolidado C Vtas Farmacia_PRESUPUESTO POR CENTROS DE GESTION 2010 (3)_SERVICIOS._-FORMATOPresupuesto 2010" xfId="873" xr:uid="{00000000-0005-0000-0000-000069030000}"/>
    <cellStyle name="_Consolidado C Vtas Farmacia_PRESUPUESTO POR CENTROS DE GESTION 2010 (3)_SERVICIOS._FORMATOPresupuesto 2010-TRABAJO" xfId="874" xr:uid="{00000000-0005-0000-0000-00006A030000}"/>
    <cellStyle name="_Consolidado C Vtas Farmacia_PRESUPUESTO POR CENTROS DE GESTION 2010 (3)_SERVICIOS._FORMATOPresupuesto 2010-TRABAJO." xfId="875" xr:uid="{00000000-0005-0000-0000-00006B030000}"/>
    <cellStyle name="_Consolidado C Vtas Farmacia_PRESUPUESTO POR CENTROS DE GESTION 2010 (3)_SERVICIOS._FORMATOPresupuesto 2010-TRABAJO.C1" xfId="876" xr:uid="{00000000-0005-0000-0000-00006C030000}"/>
    <cellStyle name="_Consolidado C Vtas Farmacia_PRESUPUESTO POR CENTROS DE GESTION 2010 (3)_SERVICIOS._FORMATOPresupuesto 2010-TRABAJO.C1." xfId="877" xr:uid="{00000000-0005-0000-0000-00006D030000}"/>
    <cellStyle name="_Consolidado C Vtas Farmacia_PRESUPUESTO POR CENTROS DE GESTION 2010 (3)_SERVICIOS_comparativo 2010-2009" xfId="878" xr:uid="{00000000-0005-0000-0000-00006E030000}"/>
    <cellStyle name="_Consolidado C Vtas Farmacia_PRESUPUESTO POR CENTROS DE GESTION 2010 (3)_SERVICIOS_Consolidado 1000 Proyecciones" xfId="879" xr:uid="{00000000-0005-0000-0000-00006F030000}"/>
    <cellStyle name="_Consolidado C Vtas Farmacia_PRESUPUESTO POR CENTROS DE GESTION 2010 (3)_SERVICIOS_DIVERSOS.CONS" xfId="880" xr:uid="{00000000-0005-0000-0000-000070030000}"/>
    <cellStyle name="_Consolidado C Vtas Farmacia_PRESUPUESTO POR CENTROS DE GESTION 2010 (3)_SERVICIOS_-FORMATOPresupuesto 2010" xfId="881" xr:uid="{00000000-0005-0000-0000-000071030000}"/>
    <cellStyle name="_Consolidado C Vtas Farmacia_PRESUPUESTO POR CENTROS DE GESTION 2010 (3)_SERVICIOS_FORMATOPresupuesto 2010-TRABAJO" xfId="882" xr:uid="{00000000-0005-0000-0000-000072030000}"/>
    <cellStyle name="_Consolidado C Vtas Farmacia_PRESUPUESTO POR CENTROS DE GESTION 2010 (3)_SERVICIOS_FORMATOPresupuesto 2010-TRABAJO." xfId="883" xr:uid="{00000000-0005-0000-0000-000073030000}"/>
    <cellStyle name="_Consolidado C Vtas Farmacia_PRESUPUESTO POR CENTROS DE GESTION 2010 (3)_SERVICIOS_FORMATOPresupuesto 2010-TRABAJO.C1" xfId="884" xr:uid="{00000000-0005-0000-0000-000074030000}"/>
    <cellStyle name="_Consolidado C Vtas Farmacia_PRESUPUESTO POR CENTROS DE GESTION 2010 (3)_SERVICIOS_FORMATOPresupuesto 2010-TRABAJO.C1." xfId="885" xr:uid="{00000000-0005-0000-0000-000075030000}"/>
    <cellStyle name="_Consolidado C Vtas Farmacia_PRESUPUESTO POR CENTROS DE GESTION 2010 (3)_SERVICIOS1" xfId="886" xr:uid="{00000000-0005-0000-0000-000076030000}"/>
    <cellStyle name="_Consolidado C Vtas Farmacia_PRESUPUESTO POR CENTROS DE GESTION 2010 (3)_SERVICIOS1_comparativo 2010-2009" xfId="887" xr:uid="{00000000-0005-0000-0000-000077030000}"/>
    <cellStyle name="_Consolidado C Vtas Farmacia_PRESUPUESTO POR CENTROS DE GESTION 2010 (3)_SERVICIOS1_Consolidado 1000 Proyecciones" xfId="888" xr:uid="{00000000-0005-0000-0000-000078030000}"/>
    <cellStyle name="_Consolidado C Vtas Farmacia_PRESUPUESTO POR CENTROS DE GESTION 2010 (3)_SERVICIOS1_DIVERSOS.CONS" xfId="889" xr:uid="{00000000-0005-0000-0000-000079030000}"/>
    <cellStyle name="_Consolidado C Vtas Farmacia_PRESUPUESTO POR CENTROS DE GESTION 2010 (3)_SERVICIOS1_-FORMATOPresupuesto 2010" xfId="890" xr:uid="{00000000-0005-0000-0000-00007A030000}"/>
    <cellStyle name="_Consolidado C Vtas Farmacia_PRESUPUESTO POR CENTROS DE GESTION 2010 (3)_SERVICIOS1_FORMATOPresupuesto 2010-TRABAJO" xfId="891" xr:uid="{00000000-0005-0000-0000-00007B030000}"/>
    <cellStyle name="_Consolidado C Vtas Farmacia_PRESUPUESTO POR CENTROS DE GESTION 2010 (3)_SERVICIOS1_FORMATOPresupuesto 2010-TRABAJO." xfId="892" xr:uid="{00000000-0005-0000-0000-00007C030000}"/>
    <cellStyle name="_Consolidado C Vtas Farmacia_PRESUPUESTO POR CENTROS DE GESTION 2010 (3)_SERVICIOS1_FORMATOPresupuesto 2010-TRABAJO.C1" xfId="893" xr:uid="{00000000-0005-0000-0000-00007D030000}"/>
    <cellStyle name="_Consolidado C Vtas Farmacia_PRESUPUESTO POR CENTROS DE GESTION 2010 (3)_SERVICIOS1_FORMATOPresupuesto 2010-TRABAJO.C1." xfId="894" xr:uid="{00000000-0005-0000-0000-00007E030000}"/>
    <cellStyle name="_Consolidado C Vtas Farmacia_PRESUPUESTO POR CENTROS DE GESTION 2010 (3)_SUMINISTROS" xfId="895" xr:uid="{00000000-0005-0000-0000-00007F030000}"/>
    <cellStyle name="_Consolidado C Vtas Farmacia_PRESUPUESTO POR CENTROS DE GESTION 2010 (3)_SUMINISTROS_comparativo 2010-2009" xfId="896" xr:uid="{00000000-0005-0000-0000-000080030000}"/>
    <cellStyle name="_Consolidado C Vtas Farmacia_PRESUPUESTO POR CENTROS DE GESTION 2010 (3)_SUMINISTROS_Consolidado 1000 Proyecciones" xfId="897" xr:uid="{00000000-0005-0000-0000-000081030000}"/>
    <cellStyle name="_Consolidado C Vtas Farmacia_PRESUPUESTO POR CENTROS DE GESTION 2010 (3)_SUMINISTROS_-FORMATOPresupuesto 2010" xfId="898" xr:uid="{00000000-0005-0000-0000-000082030000}"/>
    <cellStyle name="_Consolidado C Vtas Farmacia_PRESUPUESTO POR CENTROS DE GESTION 2010 (3)_SUMINISTROS_FORMATOPresupuesto 2010-TRABAJO" xfId="899" xr:uid="{00000000-0005-0000-0000-000083030000}"/>
    <cellStyle name="_Consolidado C Vtas Farmacia_PRESUPUESTO POR CENTROS DE GESTION 2010 (3)_SUMINISTROS_FORMATOPresupuesto 2010-TRABAJO." xfId="900" xr:uid="{00000000-0005-0000-0000-000084030000}"/>
    <cellStyle name="_Consolidado C Vtas Farmacia_PRESUPUESTO POR CENTROS DE GESTION 2010 (3)_SUMINISTROS_FORMATOPresupuesto 2010-TRABAJO.C1" xfId="901" xr:uid="{00000000-0005-0000-0000-000085030000}"/>
    <cellStyle name="_Consolidado C Vtas Farmacia_PRESUPUESTO POR CENTROS DE GESTION 2010 (3)_SUMINISTROS_FORMATOPresupuesto 2010-TRABAJO.C1." xfId="902" xr:uid="{00000000-0005-0000-0000-000086030000}"/>
    <cellStyle name="_Consolidado C Vtas Farmacia_PRESUPUESTOTECNOLOGIACAMBIO" xfId="903" xr:uid="{00000000-0005-0000-0000-000087030000}"/>
    <cellStyle name="_Consolidado C Vtas Farmacia_PRESUPUESTOTECNOLOGIAINFORMATICA2010_vers2003" xfId="904" xr:uid="{00000000-0005-0000-0000-000088030000}"/>
    <cellStyle name="_Consolidado C Vtas Farmacia_SUMINISTROS LOGISTICA ULTIMO NOV 20" xfId="905" xr:uid="{00000000-0005-0000-0000-000089030000}"/>
    <cellStyle name="_Consolidado C Vtas Farmacia_TECNOLOGIA E INFORMATICA" xfId="906" xr:uid="{00000000-0005-0000-0000-00008A030000}"/>
    <cellStyle name="_CONSOLIDADO FACTURACION SEPTIEMBRE-06" xfId="907" xr:uid="{00000000-0005-0000-0000-00008B030000}"/>
    <cellStyle name="_CONSOLIDADO FACTURACION SEPTIEMBRE-06_Consolidado 1000 Proyecciones" xfId="908" xr:uid="{00000000-0005-0000-0000-00008C030000}"/>
    <cellStyle name="_CONSOLIDADO FACTURACION SEPTIEMBRE-06_EJECUCION_CONSOLIDADA_AGO_2008(1)" xfId="909" xr:uid="{00000000-0005-0000-0000-00008D030000}"/>
    <cellStyle name="_CONSOLIDADO FACTURACION SEPTIEMBRE-06_EJECUCION_CONSOLIDADA_AGO_2008(1)_Consolidado 1000 Proyecciones" xfId="910" xr:uid="{00000000-0005-0000-0000-00008E030000}"/>
    <cellStyle name="_CONSOLIDADO FACTURACION SEPTIEMBRE-06_EJECUCION_CONSOLIDADA_AGO_2008(1)_FORMATOPresupuesto 2010-TRABAJO.C1" xfId="911" xr:uid="{00000000-0005-0000-0000-00008F030000}"/>
    <cellStyle name="_CONSOLIDADO FACTURACION SEPTIEMBRE-06_EJECUCION_CONSOLIDADA_AGO_2008(1)_FORMATOPresupuesto 2010-TRABAJO.C1." xfId="912" xr:uid="{00000000-0005-0000-0000-000090030000}"/>
    <cellStyle name="_CONSOLIDADO FACTURACION SEPTIEMBRE-06_FORMATOPresupuesto 2010-TRABAJO.C1" xfId="913" xr:uid="{00000000-0005-0000-0000-000091030000}"/>
    <cellStyle name="_CONSOLIDADO FACTURACION SEPTIEMBRE-06_FORMATOPresupuesto 2010-TRABAJO.C1." xfId="914" xr:uid="{00000000-0005-0000-0000-000092030000}"/>
    <cellStyle name="_Consolidado Trimestre Ajuste Farmacia Capita" xfId="915" xr:uid="{00000000-0005-0000-0000-000093030000}"/>
    <cellStyle name="_Consolidado Trimestre Ajuste Farmacia Capita_Arriendo alcatel 2008 presup" xfId="916" xr:uid="{00000000-0005-0000-0000-000094030000}"/>
    <cellStyle name="_Consolidado Trimestre Ajuste Farmacia Capita_Arriendo alcatel 2008 presup (2)" xfId="917" xr:uid="{00000000-0005-0000-0000-000095030000}"/>
    <cellStyle name="_Consolidado Trimestre Ajuste Farmacia Capita_CENTRO DE COSTOS PLANTILLA" xfId="918" xr:uid="{00000000-0005-0000-0000-000096030000}"/>
    <cellStyle name="_Consolidado Trimestre Ajuste Farmacia Capita_CENTROS DE GESTION 2010" xfId="919" xr:uid="{00000000-0005-0000-0000-000097030000}"/>
    <cellStyle name="_Consolidado Trimestre Ajuste Farmacia Capita_CENTROS DE GESTION 2010_Consolidado PPTO Ingresos 2010 Ajuste Medicamentos" xfId="920" xr:uid="{00000000-0005-0000-0000-000098030000}"/>
    <cellStyle name="_Consolidado Trimestre Ajuste Farmacia Capita_CENTROS DE GESTION 2010_Consolidado PPTO Ingresos 2010 Ajuste Reuniones" xfId="921" xr:uid="{00000000-0005-0000-0000-000099030000}"/>
    <cellStyle name="_Consolidado Trimestre Ajuste Farmacia Capita_CENTROS DE GESTION 2010_Consolidado PPTO Ingresos 2010 Ejerc Reduccion % Ocupacional Vs 3 Centro" xfId="922" xr:uid="{00000000-0005-0000-0000-00009A030000}"/>
    <cellStyle name="_Consolidado Trimestre Ajuste Farmacia Capita_Consolidado Ingresos" xfId="923" xr:uid="{00000000-0005-0000-0000-00009B030000}"/>
    <cellStyle name="_Consolidado Trimestre Ajuste Farmacia Capita_Consolidado Ingresos_Consolidado PPTO Ingresos 2010 Ajuste Medicamentos" xfId="924" xr:uid="{00000000-0005-0000-0000-00009C030000}"/>
    <cellStyle name="_Consolidado Trimestre Ajuste Farmacia Capita_Consolidado Ingresos_Consolidado PPTO Ingresos 2010 Ajuste Reuniones" xfId="925" xr:uid="{00000000-0005-0000-0000-00009D030000}"/>
    <cellStyle name="_Consolidado Trimestre Ajuste Farmacia Capita_Consolidado Ingresos_Consolidado PPTO Ingresos 2010 Ejerc" xfId="926" xr:uid="{00000000-0005-0000-0000-00009E030000}"/>
    <cellStyle name="_Consolidado Trimestre Ajuste Farmacia Capita_Consolidado Ingresos_Consolidado PPTO Ingresos 2010 Ejerc Reduccion % Ocupacional" xfId="927" xr:uid="{00000000-0005-0000-0000-00009F030000}"/>
    <cellStyle name="_Consolidado Trimestre Ajuste Farmacia Capita_Consolidado Ingresos_Consolidado PPTO Ingresos 2010 Ejerc Reduccion % Ocupacional Vs 3 Centro" xfId="928" xr:uid="{00000000-0005-0000-0000-0000A0030000}"/>
    <cellStyle name="_Consolidado Trimestre Ajuste Farmacia Capita_CONSOLIDADOS DE RUBROS CONTABLES" xfId="929" xr:uid="{00000000-0005-0000-0000-0000A1030000}"/>
    <cellStyle name="_Consolidado Trimestre Ajuste Farmacia Capita_CONSOLIDADOS DE RUBROS CONTABLES_DIVERSOS.CONS" xfId="930" xr:uid="{00000000-0005-0000-0000-0000A2030000}"/>
    <cellStyle name="_Consolidado Trimestre Ajuste Farmacia Capita_Copia de PRESUPUESTOSISTEMAS2009formato2003" xfId="931" xr:uid="{00000000-0005-0000-0000-0000A3030000}"/>
    <cellStyle name="_Consolidado Trimestre Ajuste Farmacia Capita_Copia de PRESUPUESTOSISTEMAS2009formato2003_Consolidado 1000 Proyecciones" xfId="932" xr:uid="{00000000-0005-0000-0000-0000A4030000}"/>
    <cellStyle name="_Consolidado Trimestre Ajuste Farmacia Capita_Copia de PRESUPUESTOSISTEMAS2009formato2003_Consolidado PPTO Ingresos 2010 Ajuste Medicamentos" xfId="933" xr:uid="{00000000-0005-0000-0000-0000A5030000}"/>
    <cellStyle name="_Consolidado Trimestre Ajuste Farmacia Capita_Copia de PRESUPUESTOSISTEMAS2009formato2003_Consolidado PPTO Ingresos 2010 Ajuste Reuniones" xfId="934" xr:uid="{00000000-0005-0000-0000-0000A6030000}"/>
    <cellStyle name="_Consolidado Trimestre Ajuste Farmacia Capita_Copia de PRESUPUESTOSISTEMAS2009formato2003_Consolidado PPTO Ingresos 2010 Ejerc" xfId="935" xr:uid="{00000000-0005-0000-0000-0000A7030000}"/>
    <cellStyle name="_Consolidado Trimestre Ajuste Farmacia Capita_Copia de PRESUPUESTOSISTEMAS2009formato2003_Consolidado PPTO Ingresos 2010 Ejerc Reduccion % Ocupacional" xfId="936" xr:uid="{00000000-0005-0000-0000-0000A8030000}"/>
    <cellStyle name="_Consolidado Trimestre Ajuste Farmacia Capita_Copia de PRESUPUESTOSISTEMAS2009formato2003_Consolidado PPTO Ingresos 2010 Ejerc Reduccion % Ocupacional Vs 3 Centro" xfId="937" xr:uid="{00000000-0005-0000-0000-0000A9030000}"/>
    <cellStyle name="_Consolidado Trimestre Ajuste Farmacia Capita_Copia de PRESUPUESTOSISTEMAS2009formato2003_FORMATOPresupuesto 2010-TRABAJO.C1" xfId="938" xr:uid="{00000000-0005-0000-0000-0000AA030000}"/>
    <cellStyle name="_Consolidado Trimestre Ajuste Farmacia Capita_Copia de PRESUPUESTOSISTEMAS2009formato2003_FORMATOPresupuesto 2010-TRABAJO.C1." xfId="939" xr:uid="{00000000-0005-0000-0000-0000AB030000}"/>
    <cellStyle name="_Consolidado Trimestre Ajuste Farmacia Capita_COSTO DE MEDICAMENTOS." xfId="940" xr:uid="{00000000-0005-0000-0000-0000AC030000}"/>
    <cellStyle name="_Consolidado Trimestre Ajuste Farmacia Capita_COSTO DE MEDICAMENTOS._Consolidado 1000 Proyecciones" xfId="941" xr:uid="{00000000-0005-0000-0000-0000AD030000}"/>
    <cellStyle name="_Consolidado Trimestre Ajuste Farmacia Capita_COSTO DE MEDICAMENTOS._FORMATOPresupuesto 2010-TRABAJO.C1" xfId="942" xr:uid="{00000000-0005-0000-0000-0000AE030000}"/>
    <cellStyle name="_Consolidado Trimestre Ajuste Farmacia Capita_COSTO DE MEDICAMENTOS._FORMATOPresupuesto 2010-TRABAJO.C1." xfId="943" xr:uid="{00000000-0005-0000-0000-0000AF030000}"/>
    <cellStyle name="_Consolidado Trimestre Ajuste Farmacia Capita_DIVERSOS.CONS" xfId="944" xr:uid="{00000000-0005-0000-0000-0000B0030000}"/>
    <cellStyle name="_Consolidado Trimestre Ajuste Farmacia Capita_EJECUCION CONSOLIDADA A OCTUBRE GENERAL.CONSOLIDADO" xfId="945" xr:uid="{00000000-0005-0000-0000-0000B1030000}"/>
    <cellStyle name="_Consolidado Trimestre Ajuste Farmacia Capita_EJECUCION PRESUPUESTAL A AGOSTO 09" xfId="946" xr:uid="{00000000-0005-0000-0000-0000B2030000}"/>
    <cellStyle name="_Consolidado Trimestre Ajuste Farmacia Capita_EJECUCION PRESUPUESTAL A NOVIEMBRE  09 EJERCICIO AJUSTE INGRESOS " xfId="947" xr:uid="{00000000-0005-0000-0000-0000B3030000}"/>
    <cellStyle name="_Consolidado Trimestre Ajuste Farmacia Capita_EJECUCION PRESUPUESTAL A NOVIEMBRE  09 EJERCICIO AJUSTE INGRESOS _Consolidado PPTO Ingresos 2010 Ajuste Medicamentos" xfId="948" xr:uid="{00000000-0005-0000-0000-0000B4030000}"/>
    <cellStyle name="_Consolidado Trimestre Ajuste Farmacia Capita_EJECUCION PRESUPUESTAL A SEPTIEMBRE  09 EJERCICIO AJUSTE INGRESOS" xfId="949" xr:uid="{00000000-0005-0000-0000-0000B5030000}"/>
    <cellStyle name="_Consolidado Trimestre Ajuste Farmacia Capita_EJECUCION PRESUPUESTAL A SEPTIEMBRE  09 EJERCICIO AJUSTE INGRESOS_Consolidado PPTO Ingresos 2010 Ajuste Medicamentos" xfId="950" xr:uid="{00000000-0005-0000-0000-0000B6030000}"/>
    <cellStyle name="_Consolidado Trimestre Ajuste Farmacia Capita_EJECUCION PRESUPUESTAL A SEPTIEMBRE  09 EJERCICIO AJUSTE INGRESOS_Consolidado PPTO Ingresos 2010 Ajuste Reuniones" xfId="951" xr:uid="{00000000-0005-0000-0000-0000B7030000}"/>
    <cellStyle name="_Consolidado Trimestre Ajuste Farmacia Capita_EJECUCION PRESUPUESTAL A SEPTIEMBRE  09 EJERCICIO AJUSTE INGRESOS_Consolidado PPTO Ingresos 2010 Ejerc Reduccion % Ocupacional Vs 3 Centro" xfId="952" xr:uid="{00000000-0005-0000-0000-0000B8030000}"/>
    <cellStyle name="_Consolidado Trimestre Ajuste Farmacia Capita_EJECUCION_CONSOLIDADA_AGO_2008(1)" xfId="953" xr:uid="{00000000-0005-0000-0000-0000B9030000}"/>
    <cellStyle name="_Consolidado Trimestre Ajuste Farmacia Capita_EJECUCION_CONSOLIDADA_AGO_2008(1)_Consolidado 1000 Proyecciones" xfId="954" xr:uid="{00000000-0005-0000-0000-0000BA030000}"/>
    <cellStyle name="_Consolidado Trimestre Ajuste Farmacia Capita_EJECUCION_CONSOLIDADA_AGO_2008(1)_FORMATOPresupuesto 2010-TRABAJO.C1" xfId="955" xr:uid="{00000000-0005-0000-0000-0000BB030000}"/>
    <cellStyle name="_Consolidado Trimestre Ajuste Farmacia Capita_EJECUCION_CONSOLIDADA_AGO_2008(1)_FORMATOPresupuesto 2010-TRABAJO.C1." xfId="956" xr:uid="{00000000-0005-0000-0000-0000BC030000}"/>
    <cellStyle name="_Consolidado Trimestre Ajuste Farmacia Capita_FINANCIEROS-CONS" xfId="957" xr:uid="{00000000-0005-0000-0000-0000BD030000}"/>
    <cellStyle name="_Consolidado Trimestre Ajuste Farmacia Capita_GASTOS 2010" xfId="958" xr:uid="{00000000-0005-0000-0000-0000BE030000}"/>
    <cellStyle name="_Consolidado Trimestre Ajuste Farmacia Capita_IMPRESION1" xfId="959" xr:uid="{00000000-0005-0000-0000-0000BF030000}"/>
    <cellStyle name="_Consolidado Trimestre Ajuste Farmacia Capita_IMPRESION1_Consolidado 1000 Proyecciones" xfId="960" xr:uid="{00000000-0005-0000-0000-0000C0030000}"/>
    <cellStyle name="_Consolidado Trimestre Ajuste Farmacia Capita_IMPRESION1_FORMATOPresupuesto 2010-TRABAJO.C1" xfId="961" xr:uid="{00000000-0005-0000-0000-0000C1030000}"/>
    <cellStyle name="_Consolidado Trimestre Ajuste Farmacia Capita_IMPRESION1_FORMATOPresupuesto 2010-TRABAJO.C1." xfId="962" xr:uid="{00000000-0005-0000-0000-0000C2030000}"/>
    <cellStyle name="_Consolidado Trimestre Ajuste Farmacia Capita_mantenimiento infraestrucruta" xfId="963" xr:uid="{00000000-0005-0000-0000-0000C3030000}"/>
    <cellStyle name="_Consolidado Trimestre Ajuste Farmacia Capita_mantenimiento infraestrucruta (2)" xfId="964" xr:uid="{00000000-0005-0000-0000-0000C4030000}"/>
    <cellStyle name="_Consolidado Trimestre Ajuste Farmacia Capita_mantenimiento infraestrucruta (2)_PRESUPUESTO 2010 06-11-09 430 p m " xfId="965" xr:uid="{00000000-0005-0000-0000-0000C5030000}"/>
    <cellStyle name="_Consolidado Trimestre Ajuste Farmacia Capita_mantenimiento infraestrucruta (2)_PRESUPUESTO 2010 06-11-09 430 p m _DIVERSOS.CONS" xfId="966" xr:uid="{00000000-0005-0000-0000-0000C6030000}"/>
    <cellStyle name="_Consolidado Trimestre Ajuste Farmacia Capita_mantenimiento infraestrucruta (2)_SERVICIOS" xfId="967" xr:uid="{00000000-0005-0000-0000-0000C7030000}"/>
    <cellStyle name="_Consolidado Trimestre Ajuste Farmacia Capita_mantenimiento infraestrucruta (2)_SERVICIOS_DIVERSOS.CONS" xfId="968" xr:uid="{00000000-0005-0000-0000-0000C8030000}"/>
    <cellStyle name="_Consolidado Trimestre Ajuste Farmacia Capita_mantenimiento infraestrucruta_PRESUPUESTO 2010 06-11-09 430 p m " xfId="969" xr:uid="{00000000-0005-0000-0000-0000C9030000}"/>
    <cellStyle name="_Consolidado Trimestre Ajuste Farmacia Capita_mantenimiento infraestrucruta_PRESUPUESTO 2010 06-11-09 430 p m _DIVERSOS.CONS" xfId="970" xr:uid="{00000000-0005-0000-0000-0000CA030000}"/>
    <cellStyle name="_Consolidado Trimestre Ajuste Farmacia Capita_mantenimiento infraestrucruta_SERVICIOS" xfId="971" xr:uid="{00000000-0005-0000-0000-0000CB030000}"/>
    <cellStyle name="_Consolidado Trimestre Ajuste Farmacia Capita_mantenimiento infraestrucruta_SERVICIOS_DIVERSOS.CONS" xfId="972" xr:uid="{00000000-0005-0000-0000-0000CC030000}"/>
    <cellStyle name="_Consolidado Trimestre Ajuste Farmacia Capita_MANTENIMIENTO2010" xfId="973" xr:uid="{00000000-0005-0000-0000-0000CD030000}"/>
    <cellStyle name="_Consolidado Trimestre Ajuste Farmacia Capita_MEDICAMENTOS" xfId="974" xr:uid="{00000000-0005-0000-0000-0000CE030000}"/>
    <cellStyle name="_Consolidado Trimestre Ajuste Farmacia Capita_MEDICAMENTOS_Consolidado PPTO Ingresos 2010 Ajuste Medicamentos" xfId="975" xr:uid="{00000000-0005-0000-0000-0000CF030000}"/>
    <cellStyle name="_Consolidado Trimestre Ajuste Farmacia Capita_MEDICAMENTOS_Consolidado PPTO Ingresos 2010 Ajuste Reuniones" xfId="976" xr:uid="{00000000-0005-0000-0000-0000D0030000}"/>
    <cellStyle name="_Consolidado Trimestre Ajuste Farmacia Capita_MEDICAMENTOS_Consolidado PPTO Ingresos 2010 Ejerc" xfId="977" xr:uid="{00000000-0005-0000-0000-0000D1030000}"/>
    <cellStyle name="_Consolidado Trimestre Ajuste Farmacia Capita_MEDICAMENTOS_Consolidado PPTO Ingresos 2010 Ejerc Reduccion % Ocupacional" xfId="978" xr:uid="{00000000-0005-0000-0000-0000D2030000}"/>
    <cellStyle name="_Consolidado Trimestre Ajuste Farmacia Capita_MEDICAMENTOS_Consolidado PPTO Ingresos 2010 Ejerc Reduccion % Ocupacional Vs 3 Centro" xfId="979" xr:uid="{00000000-0005-0000-0000-0000D3030000}"/>
    <cellStyle name="_Consolidado Trimestre Ajuste Farmacia Capita_Modelo Desbloqueado anexo 8 v3 Ultimo" xfId="980" xr:uid="{00000000-0005-0000-0000-0000D4030000}"/>
    <cellStyle name="_Consolidado Trimestre Ajuste Farmacia Capita_Modelo Desbloqueado anexo 8 v3 Ultimo_Consolidado PPTO Ingresos 2010 Ajuste Medicamentos" xfId="981" xr:uid="{00000000-0005-0000-0000-0000D5030000}"/>
    <cellStyle name="_Consolidado Trimestre Ajuste Farmacia Capita_Modelo Desbloqueado anexo 8 v3 Ultimo_Consolidado PPTO Ingresos 2010 Ajuste Reuniones" xfId="982" xr:uid="{00000000-0005-0000-0000-0000D6030000}"/>
    <cellStyle name="_Consolidado Trimestre Ajuste Farmacia Capita_Modelo Desbloqueado anexo 8 v3 Ultimo_Consolidado PPTO Ingresos 2010 Ejerc" xfId="983" xr:uid="{00000000-0005-0000-0000-0000D7030000}"/>
    <cellStyle name="_Consolidado Trimestre Ajuste Farmacia Capita_Modelo Desbloqueado anexo 8 v3 Ultimo_Consolidado PPTO Ingresos 2010 Ejerc Reduccion % Ocupacional" xfId="984" xr:uid="{00000000-0005-0000-0000-0000D8030000}"/>
    <cellStyle name="_Consolidado Trimestre Ajuste Farmacia Capita_Modelo Desbloqueado anexo 8 v3 Ultimo_Consolidado PPTO Ingresos 2010 Ejerc Reduccion % Ocupacional Vs 3 Centro" xfId="985" xr:uid="{00000000-0005-0000-0000-0000D9030000}"/>
    <cellStyle name="_Consolidado Trimestre Ajuste Farmacia Capita_P Y G LABORATORIO-IMAGENES  cjc" xfId="986" xr:uid="{00000000-0005-0000-0000-0000DA030000}"/>
    <cellStyle name="_Consolidado Trimestre Ajuste Farmacia Capita_PLANTILLAS LEASING Y SERVICIOS" xfId="987" xr:uid="{00000000-0005-0000-0000-0000DB030000}"/>
    <cellStyle name="_Consolidado Trimestre Ajuste Farmacia Capita_ppto ucis ac is" xfId="988" xr:uid="{00000000-0005-0000-0000-0000DC030000}"/>
    <cellStyle name="_Consolidado Trimestre Ajuste Farmacia Capita_ppto ucis ac is_COSTO DE MEDICAMENTOS " xfId="989" xr:uid="{00000000-0005-0000-0000-0000DD030000}"/>
    <cellStyle name="_Consolidado Trimestre Ajuste Farmacia Capita_ppto ucis ac is_COSTO DE MEDICAMENTOS _Consolidado PPTO Ingresos 2010 Ajuste Medicamentos" xfId="990" xr:uid="{00000000-0005-0000-0000-0000DE030000}"/>
    <cellStyle name="_Consolidado Trimestre Ajuste Farmacia Capita_ppto ucis ac is_COSTO DE MEDICAMENTOS _Consolidado PPTO Ingresos 2010 Ajuste Reuniones" xfId="991" xr:uid="{00000000-0005-0000-0000-0000DF030000}"/>
    <cellStyle name="_Consolidado Trimestre Ajuste Farmacia Capita_ppto ucis ac is_COSTO DE MEDICAMENTOS _Consolidado PPTO Ingresos 2010 Ejerc Reduccion % Ocupacional Vs 3 Centro" xfId="992" xr:uid="{00000000-0005-0000-0000-0000E0030000}"/>
    <cellStyle name="_Consolidado Trimestre Ajuste Farmacia Capita_ppto ucis ac is_EJECUCION PRESUPUESTAL A NOVIEMBRE  09 EJERCICIO AJUSTE INGRESOS " xfId="993" xr:uid="{00000000-0005-0000-0000-0000E1030000}"/>
    <cellStyle name="_Consolidado Trimestre Ajuste Farmacia Capita_ppto ucis ac is_EJECUCION PRESUPUESTAL A NOVIEMBRE  09 EJERCICIO AJUSTE INGRESOS _Consolidado PPTO Ingresos 2010 Ajuste Medicamentos" xfId="994" xr:uid="{00000000-0005-0000-0000-0000E2030000}"/>
    <cellStyle name="_Consolidado Trimestre Ajuste Farmacia Capita_PRESUPUESTO  CONSUMOS CAFETERIA 2010" xfId="995" xr:uid="{00000000-0005-0000-0000-0000E3030000}"/>
    <cellStyle name="_Consolidado Trimestre Ajuste Farmacia Capita_PRESUPUESTO  CONSUMOS JARRAS DE AGUA  2010" xfId="996" xr:uid="{00000000-0005-0000-0000-0000E4030000}"/>
    <cellStyle name="_Consolidado Trimestre Ajuste Farmacia Capita_PRESUPUESTO  CONSUMOS JARRAS DE AGUA  2010_DIVERSOS.CONS" xfId="997" xr:uid="{00000000-0005-0000-0000-0000E5030000}"/>
    <cellStyle name="_Consolidado Trimestre Ajuste Farmacia Capita_PRESUPUESTO  CONSUMOS VASOS  2010" xfId="998" xr:uid="{00000000-0005-0000-0000-0000E6030000}"/>
    <cellStyle name="_Consolidado Trimestre Ajuste Farmacia Capita_PRESUPUESTO  CONSUMOS VASOS  2010_DIVERSOS.CONS" xfId="999" xr:uid="{00000000-0005-0000-0000-0000E7030000}"/>
    <cellStyle name="_Consolidado Trimestre Ajuste Farmacia Capita_PRESUPUESTO  TINTOS 2010" xfId="1000" xr:uid="{00000000-0005-0000-0000-0000E8030000}"/>
    <cellStyle name="_Consolidado Trimestre Ajuste Farmacia Capita_PRESUPUESTO 2010 06-11-09 430 p m " xfId="1001" xr:uid="{00000000-0005-0000-0000-0000E9030000}"/>
    <cellStyle name="_Consolidado Trimestre Ajuste Farmacia Capita_PRESUPUESTO 2010 06-11-09 430 p m _Consolidado 1000 Proyecciones" xfId="1002" xr:uid="{00000000-0005-0000-0000-0000EA030000}"/>
    <cellStyle name="_Consolidado Trimestre Ajuste Farmacia Capita_PRESUPUESTO 2010 06-11-09 430 p m _FORMATOPresupuesto 2010-TRABAJO.C1" xfId="1003" xr:uid="{00000000-0005-0000-0000-0000EB030000}"/>
    <cellStyle name="_Consolidado Trimestre Ajuste Farmacia Capita_PRESUPUESTO 2010 06-11-09 430 p m _FORMATOPresupuesto 2010-TRABAJO.C1." xfId="1004" xr:uid="{00000000-0005-0000-0000-0000EC030000}"/>
    <cellStyle name="_Consolidado Trimestre Ajuste Farmacia Capita_PRESUPUESTO BOTELLONES  AGUA 2010" xfId="1005" xr:uid="{00000000-0005-0000-0000-0000ED030000}"/>
    <cellStyle name="_Consolidado Trimestre Ajuste Farmacia Capita_presupuesto de mantenimiento" xfId="1006" xr:uid="{00000000-0005-0000-0000-0000EE030000}"/>
    <cellStyle name="_Consolidado Trimestre Ajuste Farmacia Capita_presupuesto de mantenimiento (2)" xfId="1007" xr:uid="{00000000-0005-0000-0000-0000EF030000}"/>
    <cellStyle name="_Consolidado Trimestre Ajuste Farmacia Capita_presupuesto de mantenimiento (2)_Consolidado 1000 Proyecciones" xfId="1008" xr:uid="{00000000-0005-0000-0000-0000F0030000}"/>
    <cellStyle name="_Consolidado Trimestre Ajuste Farmacia Capita_presupuesto de mantenimiento (2)_FORMATOPresupuesto 2010-TRABAJO.C1" xfId="1009" xr:uid="{00000000-0005-0000-0000-0000F1030000}"/>
    <cellStyle name="_Consolidado Trimestre Ajuste Farmacia Capita_presupuesto de mantenimiento (2)_FORMATOPresupuesto 2010-TRABAJO.C1." xfId="1010" xr:uid="{00000000-0005-0000-0000-0000F2030000}"/>
    <cellStyle name="_Consolidado Trimestre Ajuste Farmacia Capita_presupuesto de mantenimiento_Consolidado 1000 Proyecciones" xfId="1011" xr:uid="{00000000-0005-0000-0000-0000F3030000}"/>
    <cellStyle name="_Consolidado Trimestre Ajuste Farmacia Capita_presupuesto de mantenimiento_FORMATOPresupuesto 2010-TRABAJO.C1" xfId="1012" xr:uid="{00000000-0005-0000-0000-0000F4030000}"/>
    <cellStyle name="_Consolidado Trimestre Ajuste Farmacia Capita_presupuesto de mantenimiento_FORMATOPresupuesto 2010-TRABAJO.C1." xfId="1013" xr:uid="{00000000-0005-0000-0000-0000F5030000}"/>
    <cellStyle name="_Consolidado Trimestre Ajuste Farmacia Capita_PRESUPUESTO LEASING_FINAL_Oct25" xfId="1014" xr:uid="{00000000-0005-0000-0000-0000F6030000}"/>
    <cellStyle name="_Consolidado Trimestre Ajuste Farmacia Capita_PRESUPUESTO LEASING_FINAL_Oct25_Consolidado 1000 Proyecciones" xfId="1015" xr:uid="{00000000-0005-0000-0000-0000F7030000}"/>
    <cellStyle name="_Consolidado Trimestre Ajuste Farmacia Capita_PRESUPUESTO LEASING_FINAL_Oct25_Consolidado PPTO Ingresos 2010 Ajuste Medicamentos" xfId="1016" xr:uid="{00000000-0005-0000-0000-0000F8030000}"/>
    <cellStyle name="_Consolidado Trimestre Ajuste Farmacia Capita_PRESUPUESTO LEASING_FINAL_Oct25_Consolidado PPTO Ingresos 2010 Ajuste Reuniones" xfId="1017" xr:uid="{00000000-0005-0000-0000-0000F9030000}"/>
    <cellStyle name="_Consolidado Trimestre Ajuste Farmacia Capita_PRESUPUESTO LEASING_FINAL_Oct25_Consolidado PPTO Ingresos 2010 Ejerc" xfId="1018" xr:uid="{00000000-0005-0000-0000-0000FA030000}"/>
    <cellStyle name="_Consolidado Trimestre Ajuste Farmacia Capita_PRESUPUESTO LEASING_FINAL_Oct25_Consolidado PPTO Ingresos 2010 Ejerc Reduccion % Ocupacional" xfId="1019" xr:uid="{00000000-0005-0000-0000-0000FB030000}"/>
    <cellStyle name="_Consolidado Trimestre Ajuste Farmacia Capita_PRESUPUESTO LEASING_FINAL_Oct25_Consolidado PPTO Ingresos 2010 Ejerc Reduccion % Ocupacional Vs 3 Centro" xfId="1020" xr:uid="{00000000-0005-0000-0000-0000FC030000}"/>
    <cellStyle name="_Consolidado Trimestre Ajuste Farmacia Capita_PRESUPUESTO LEASING_FINAL_Oct25_FORMATOPresupuesto 2010-TRABAJO.C1" xfId="1021" xr:uid="{00000000-0005-0000-0000-0000FD030000}"/>
    <cellStyle name="_Consolidado Trimestre Ajuste Farmacia Capita_PRESUPUESTO LEASING_FINAL_Oct25_FORMATOPresupuesto 2010-TRABAJO.C1." xfId="1022" xr:uid="{00000000-0005-0000-0000-0000FE030000}"/>
    <cellStyle name="_Consolidado Trimestre Ajuste Farmacia Capita_PRESUPUESTO POR CENTROS DE GESTION 2010 (3)_PRESUPUESTO 2010 06-11-09 430 p m " xfId="1023" xr:uid="{00000000-0005-0000-0000-0000FF030000}"/>
    <cellStyle name="_Consolidado Trimestre Ajuste Farmacia Capita_Presupuesto sistemas 2008" xfId="1024" xr:uid="{00000000-0005-0000-0000-000000040000}"/>
    <cellStyle name="_Consolidado Trimestre Ajuste Farmacia Capita_Presupuesto sistemas 2008_Consolidado 1000 Proyecciones" xfId="1025" xr:uid="{00000000-0005-0000-0000-000001040000}"/>
    <cellStyle name="_Consolidado Trimestre Ajuste Farmacia Capita_Presupuesto sistemas 2008_Consolidado PPTO Ingresos 2010 Ajuste Medicamentos" xfId="1026" xr:uid="{00000000-0005-0000-0000-000002040000}"/>
    <cellStyle name="_Consolidado Trimestre Ajuste Farmacia Capita_Presupuesto sistemas 2008_Consolidado PPTO Ingresos 2010 Ajuste Reuniones" xfId="1027" xr:uid="{00000000-0005-0000-0000-000003040000}"/>
    <cellStyle name="_Consolidado Trimestre Ajuste Farmacia Capita_Presupuesto sistemas 2008_Consolidado PPTO Ingresos 2010 Ejerc" xfId="1028" xr:uid="{00000000-0005-0000-0000-000004040000}"/>
    <cellStyle name="_Consolidado Trimestre Ajuste Farmacia Capita_provision contingencias-CONS" xfId="1029" xr:uid="{00000000-0005-0000-0000-000005040000}"/>
    <cellStyle name="_Consolidado Trimestre Ajuste Farmacia Capita_provision de cartera-CONS" xfId="1030" xr:uid="{00000000-0005-0000-0000-000006040000}"/>
    <cellStyle name="_Consolidado Trimestre Ajuste Farmacia Capita_PUBLICIDAD" xfId="1031" xr:uid="{00000000-0005-0000-0000-000007040000}"/>
    <cellStyle name="_Consolidado Trimestre Ajuste Farmacia Capita_PUBLICIDAD_DIVERSOS.CONS" xfId="1032" xr:uid="{00000000-0005-0000-0000-000008040000}"/>
    <cellStyle name="_Consolidado Trimestre Ajuste Farmacia Capita_SERVICIOS" xfId="1033" xr:uid="{00000000-0005-0000-0000-000009040000}"/>
    <cellStyle name="_Consolidado Trimestre Ajuste Farmacia Capita_SERVICIOS." xfId="1034" xr:uid="{00000000-0005-0000-0000-00000A040000}"/>
    <cellStyle name="_Consolidado Trimestre Ajuste Farmacia Capita_SERVICIOS_DIVERSOS.CONS" xfId="1035" xr:uid="{00000000-0005-0000-0000-00000B040000}"/>
    <cellStyle name="_Consolidado Trimestre Ajuste Farmacia Capita_SUMINISTROS LOGISTICA ULTIMO NOV 20" xfId="1036" xr:uid="{00000000-0005-0000-0000-00000C040000}"/>
    <cellStyle name="_Consolidado Trimestre Ajuste Farmacia Capita_SUMINISTROS LOGISTICA ULTIMO NOV 20_Consolidado 1000 Proyecciones" xfId="1037" xr:uid="{00000000-0005-0000-0000-00000D040000}"/>
    <cellStyle name="_Consolidado Trimestre Ajuste Farmacia Capita_SUMINISTROS LOGISTICA ULTIMO NOV 20_FORMATOPresupuesto 2010-TRABAJO.C1" xfId="1038" xr:uid="{00000000-0005-0000-0000-00000E040000}"/>
    <cellStyle name="_Consolidado Trimestre Ajuste Farmacia Capita_SUMINISTROS LOGISTICA ULTIMO NOV 20_FORMATOPresupuesto 2010-TRABAJO.C1." xfId="1039" xr:uid="{00000000-0005-0000-0000-00000F040000}"/>
    <cellStyle name="_Consolidado Trimestre Ajuste Farmacia Capita_TECNOLOGIA E INFORMATICA" xfId="1040" xr:uid="{00000000-0005-0000-0000-000010040000}"/>
    <cellStyle name="_Consolidado Trimestre Ajuste Farmacia Capita_TECNOLOGIA E INFORMATICA_Consolidado 1000 Proyecciones" xfId="1041" xr:uid="{00000000-0005-0000-0000-000011040000}"/>
    <cellStyle name="_Consolidado Trimestre Ajuste Farmacia Capita_TECNOLOGIA E INFORMATICA_FORMATOPresupuesto 2010-TRABAJO.C1" xfId="1042" xr:uid="{00000000-0005-0000-0000-000012040000}"/>
    <cellStyle name="_Consolidado Trimestre Ajuste Farmacia Capita_TECNOLOGIA E INFORMATICA_FORMATOPresupuesto 2010-TRABAJO.C1." xfId="1043" xr:uid="{00000000-0005-0000-0000-000013040000}"/>
    <cellStyle name="_Consolidado Trimestre Ajuste Farmacia Capita_Urg Adultooks" xfId="1044" xr:uid="{00000000-0005-0000-0000-000014040000}"/>
    <cellStyle name="_Consolidado Trimestre Ajuste Farmacia Capita_Urg Adultooks_Consolidado PPTO Ingresos 2010 Ajuste Medicamentos" xfId="1045" xr:uid="{00000000-0005-0000-0000-000015040000}"/>
    <cellStyle name="_Consolidado Trimestre Ajuste Farmacia Capita_Urg Adultooks_Consolidado PPTO Ingresos 2010 Ajuste Reuniones" xfId="1046" xr:uid="{00000000-0005-0000-0000-000016040000}"/>
    <cellStyle name="_Consolidado Trimestre Ajuste Farmacia Capita_Urg Adultooks_Consolidado PPTO Ingresos 2010 Ejerc Reduccion % Ocupacional Vs 3 Centro" xfId="1047" xr:uid="{00000000-0005-0000-0000-000017040000}"/>
    <cellStyle name="_Consolidado Trimestre Ajuste Farmacia Capita_xerox" xfId="1048" xr:uid="{00000000-0005-0000-0000-000018040000}"/>
    <cellStyle name="_Consolidado Trimestre Ajuste Farmacia Capita_xerox_Consolidado 1000 Proyecciones" xfId="1049" xr:uid="{00000000-0005-0000-0000-000019040000}"/>
    <cellStyle name="_Consolidado Trimestre Ajuste Farmacia Capita_xerox_Consolidado PPTO Ingresos 2010 Ajuste Reuniones" xfId="1050" xr:uid="{00000000-0005-0000-0000-00001A040000}"/>
    <cellStyle name="_Consolidado Trimestre Ajuste Farmacia Capita_xerox_Consolidado PPTO Ingresos 2010 Ejerc" xfId="1051" xr:uid="{00000000-0005-0000-0000-00001B040000}"/>
    <cellStyle name="_Consolidado Trimestre Ajuste Farmacia Capita_xerox_Consolidado PPTO Ingresos 2010 Ejerc Reduccion % Ocupacional" xfId="1052" xr:uid="{00000000-0005-0000-0000-00001C040000}"/>
    <cellStyle name="_Consolidado Trimestre Ajuste Farmacia Capita_xerox_Consolidado PPTO Ingresos 2010 Ejerc Reduccion % Ocupacional Vs 3 Centro" xfId="1053" xr:uid="{00000000-0005-0000-0000-00001D040000}"/>
    <cellStyle name="_Consolidado Trimestre Ajuste Farmacia Capita_xerox_FORMATOPresupuesto 2010-TRABAJO.C1" xfId="1054" xr:uid="{00000000-0005-0000-0000-00001E040000}"/>
    <cellStyle name="_Consolidado Trimestre Ajuste Farmacia Capita_xerox_FORMATOPresupuesto 2010-TRABAJO.C1." xfId="1055" xr:uid="{00000000-0005-0000-0000-00001F040000}"/>
    <cellStyle name="_CONSUMOS HEMATOLOGIA-ONCOLOGIA" xfId="1056" xr:uid="{00000000-0005-0000-0000-000020040000}"/>
    <cellStyle name="_CONSUMOS HEMATOLOGIA-ONCOLOGIA_COSTO DE MEDICAMENTOS " xfId="1057" xr:uid="{00000000-0005-0000-0000-000021040000}"/>
    <cellStyle name="_CONSUMOS HEMATOLOGIA-ONCOLOGIA_COSTO DE MEDICAMENTOS _Consolidado PPTO Ingresos 2010 Ajuste Medicamentos" xfId="1058" xr:uid="{00000000-0005-0000-0000-000022040000}"/>
    <cellStyle name="_CONSUMOS HEMATOLOGIA-ONCOLOGIA_COSTO DE MEDICAMENTOS _Consolidado PPTO Ingresos 2010 Ajuste Reuniones" xfId="1059" xr:uid="{00000000-0005-0000-0000-000023040000}"/>
    <cellStyle name="_CONSUMOS HEMATOLOGIA-ONCOLOGIA_COSTO DE MEDICAMENTOS _Consolidado PPTO Ingresos 2010 Ejerc Reduccion % Ocupacional Vs 3 Centro" xfId="1060" xr:uid="{00000000-0005-0000-0000-000024040000}"/>
    <cellStyle name="_CONSUMOS HEMATOLOGIA-ONCOLOGIA_EJECUCION CONSOLIDADA A OCTUBRE GENERAL.CONSOLIDADO" xfId="1061" xr:uid="{00000000-0005-0000-0000-000025040000}"/>
    <cellStyle name="_CONSUMOS HEMATOLOGIA-ONCOLOGIA_EJECUCION PRESUPUESTAL A AGOSTO  09 EJERCICIO AJUSTE INGRESOS" xfId="1062" xr:uid="{00000000-0005-0000-0000-000026040000}"/>
    <cellStyle name="_CONSUMOS HEMATOLOGIA-ONCOLOGIA_EJECUCION PRESUPUESTAL A AGOSTO 09" xfId="1063" xr:uid="{00000000-0005-0000-0000-000027040000}"/>
    <cellStyle name="_CONSUMOS HEMATOLOGIA-ONCOLOGIA_EJECUCION PRESUPUESTAL A NOVIEMBRE  09 EJERCICIO AJUSTE INGRESOS " xfId="1064" xr:uid="{00000000-0005-0000-0000-000028040000}"/>
    <cellStyle name="_CONSUMOS HEMATOLOGIA-ONCOLOGIA_EJECUCION PRESUPUESTAL A NOVIEMBRE  09 EJERCICIO AJUSTE INGRESOS _Consolidado PPTO Ingresos 2010 Ajuste Medicamentos" xfId="1065" xr:uid="{00000000-0005-0000-0000-000029040000}"/>
    <cellStyle name="_CONTRIBUCIONES Y AFILIACIONES" xfId="1066" xr:uid="{00000000-0005-0000-0000-00002A040000}"/>
    <cellStyle name="_Copy of Copy of SNGSNEW" xfId="1067" xr:uid="{00000000-0005-0000-0000-00002B040000}"/>
    <cellStyle name="_Copy of Valuation 23112005" xfId="1068" xr:uid="{00000000-0005-0000-0000-00002C040000}"/>
    <cellStyle name="_Costo y Tarifa 1 Nivel" xfId="1069" xr:uid="{00000000-0005-0000-0000-00002D040000}"/>
    <cellStyle name="_CTA CTE ABRIL 2006" xfId="1070" xr:uid="{00000000-0005-0000-0000-00002E040000}"/>
    <cellStyle name="_CTA CTE ABRIL 2006_CENTRO DE COSTOS PLANTILLA" xfId="1071" xr:uid="{00000000-0005-0000-0000-00002F040000}"/>
    <cellStyle name="_CTA CTE ABRIL 2006_CENTRO DE COSTOS PLANTILLA_Consolidado 1000 Proyecciones" xfId="1072" xr:uid="{00000000-0005-0000-0000-000030040000}"/>
    <cellStyle name="_CTA CTE ABRIL 2006_CENTRO DE COSTOS PLANTILLA_FORMATOPresupuesto 2010-TRABAJO.C1" xfId="1073" xr:uid="{00000000-0005-0000-0000-000031040000}"/>
    <cellStyle name="_CTA CTE ABRIL 2006_CENTRO DE COSTOS PLANTILLA_FORMATOPresupuesto 2010-TRABAJO.C1." xfId="1074" xr:uid="{00000000-0005-0000-0000-000032040000}"/>
    <cellStyle name="_CTA CTE ABRIL 2006_Consolidado Ingresos" xfId="1075" xr:uid="{00000000-0005-0000-0000-000033040000}"/>
    <cellStyle name="_CTA CTE ABRIL 2006_Consolidado Ingresos_Consolidado PPTO Ingresos 2010 Ajuste Medicamentos" xfId="1076" xr:uid="{00000000-0005-0000-0000-000034040000}"/>
    <cellStyle name="_CTA CTE ABRIL 2006_Consolidado Ingresos_Consolidado PPTO Ingresos 2010 Ajuste Reuniones" xfId="1077" xr:uid="{00000000-0005-0000-0000-000035040000}"/>
    <cellStyle name="_CTA CTE ABRIL 2006_Consolidado Ingresos_Consolidado PPTO Ingresos 2010 Ejerc" xfId="1078" xr:uid="{00000000-0005-0000-0000-000036040000}"/>
    <cellStyle name="_CTA CTE ABRIL 2006_Consolidado Ingresos_Consolidado PPTO Ingresos 2010 Ejerc Reduccion % Ocupacional" xfId="1079" xr:uid="{00000000-0005-0000-0000-000037040000}"/>
    <cellStyle name="_CTA CTE ABRIL 2006_Consolidado Ingresos_Consolidado PPTO Ingresos 2010 Ejerc Reduccion % Ocupacional Vs 3 Centro" xfId="1080" xr:uid="{00000000-0005-0000-0000-000038040000}"/>
    <cellStyle name="_CTA CTE ABRIL 2006_COSTO DE MEDICAMENTOS." xfId="1081" xr:uid="{00000000-0005-0000-0000-000039040000}"/>
    <cellStyle name="_CTA CTE ABRIL 2006_COSTO DE MEDICAMENTOS._Consolidado 1000 Proyecciones" xfId="1082" xr:uid="{00000000-0005-0000-0000-00003A040000}"/>
    <cellStyle name="_CTA CTE ABRIL 2006_COSTO DE MEDICAMENTOS._FORMATOPresupuesto 2010-TRABAJO.C1" xfId="1083" xr:uid="{00000000-0005-0000-0000-00003B040000}"/>
    <cellStyle name="_CTA CTE ABRIL 2006_COSTO DE MEDICAMENTOS._FORMATOPresupuesto 2010-TRABAJO.C1." xfId="1084" xr:uid="{00000000-0005-0000-0000-00003C040000}"/>
    <cellStyle name="_CTA CTE ABRIL 2006_DIVERSOS.CONS" xfId="1085" xr:uid="{00000000-0005-0000-0000-00003D040000}"/>
    <cellStyle name="_CTA CTE ABRIL 2006_DIVERSOS.CONS_Consolidado 1000 Proyecciones" xfId="1086" xr:uid="{00000000-0005-0000-0000-00003E040000}"/>
    <cellStyle name="_CTA CTE ABRIL 2006_DIVERSOS.CONS_FORMATOPresupuesto 2010-TRABAJO.C1" xfId="1087" xr:uid="{00000000-0005-0000-0000-00003F040000}"/>
    <cellStyle name="_CTA CTE ABRIL 2006_DIVERSOS.CONS_FORMATOPresupuesto 2010-TRABAJO.C1." xfId="1088" xr:uid="{00000000-0005-0000-0000-000040040000}"/>
    <cellStyle name="_CTA CTE ABRIL 2006_EJECUCION CONSOLIDADA A OCTUBRE GENERAL.CONSOLIDADO" xfId="1089" xr:uid="{00000000-0005-0000-0000-000041040000}"/>
    <cellStyle name="_CTA CTE ABRIL 2006_EJECUCION PRESUPUESTAL A AGOSTO 09" xfId="1090" xr:uid="{00000000-0005-0000-0000-000042040000}"/>
    <cellStyle name="_CTA CTE ABRIL 2006_EJECUCION PRESUPUESTAL A NOVIEMBRE  09 EJERCICIO AJUSTE INGRESOS " xfId="1091" xr:uid="{00000000-0005-0000-0000-000043040000}"/>
    <cellStyle name="_CTA CTE ABRIL 2006_EJECUCION PRESUPUESTAL A NOVIEMBRE  09 EJERCICIO AJUSTE INGRESOS _Consolidado PPTO Ingresos 2010 Ajuste Medicamentos" xfId="1092" xr:uid="{00000000-0005-0000-0000-000044040000}"/>
    <cellStyle name="_CTA CTE ABRIL 2006_EJECUCION PRESUPUESTAL A SEPTIEMBRE  09 EJERCICIO AJUSTE INGRESOS" xfId="1093" xr:uid="{00000000-0005-0000-0000-000045040000}"/>
    <cellStyle name="_CTA CTE ABRIL 2006_EJECUCION PRESUPUESTAL A SEPTIEMBRE  09 EJERCICIO AJUSTE INGRESOS_Consolidado PPTO Ingresos 2010 Ajuste Medicamentos" xfId="1094" xr:uid="{00000000-0005-0000-0000-000046040000}"/>
    <cellStyle name="_CTA CTE ABRIL 2006_EJECUCION PRESUPUESTAL A SEPTIEMBRE  09 EJERCICIO AJUSTE INGRESOS_Consolidado PPTO Ingresos 2010 Ajuste Reuniones" xfId="1095" xr:uid="{00000000-0005-0000-0000-000047040000}"/>
    <cellStyle name="_CTA CTE ABRIL 2006_EJECUCION PRESUPUESTAL A SEPTIEMBRE  09 EJERCICIO AJUSTE INGRESOS_Consolidado PPTO Ingresos 2010 Ejerc Reduccion % Ocupacional Vs 3 Centro" xfId="1096" xr:uid="{00000000-0005-0000-0000-000048040000}"/>
    <cellStyle name="_CTA CTE ABRIL 2006_EJECUCION_CONSOLIDADA_AGO_2008(1)" xfId="1097" xr:uid="{00000000-0005-0000-0000-000049040000}"/>
    <cellStyle name="_CTA CTE ABRIL 2006_EJECUCION_CONSOLIDADA_AGO_2008(1)_Consolidado 1000 Proyecciones" xfId="1098" xr:uid="{00000000-0005-0000-0000-00004A040000}"/>
    <cellStyle name="_CTA CTE ABRIL 2006_EJECUCION_CONSOLIDADA_AGO_2008(1)_FORMATOPresupuesto 2010-TRABAJO.C1" xfId="1099" xr:uid="{00000000-0005-0000-0000-00004B040000}"/>
    <cellStyle name="_CTA CTE ABRIL 2006_EJECUCION_CONSOLIDADA_AGO_2008(1)_FORMATOPresupuesto 2010-TRABAJO.C1." xfId="1100" xr:uid="{00000000-0005-0000-0000-00004C040000}"/>
    <cellStyle name="_CTA CTE ABRIL 2006_FINANCIEROS-CONS" xfId="1101" xr:uid="{00000000-0005-0000-0000-00004D040000}"/>
    <cellStyle name="_CTA CTE ABRIL 2006_P Y G LABORATORIO-IMAGENES  cjc" xfId="1102" xr:uid="{00000000-0005-0000-0000-00004E040000}"/>
    <cellStyle name="_CTA CTE ABRIL 2006_ppto ucis ac is" xfId="1103" xr:uid="{00000000-0005-0000-0000-00004F040000}"/>
    <cellStyle name="_CTA CTE ABRIL 2006_ppto ucis ac is_COSTO DE MEDICAMENTOS " xfId="1104" xr:uid="{00000000-0005-0000-0000-000050040000}"/>
    <cellStyle name="_CTA CTE ABRIL 2006_ppto ucis ac is_COSTO DE MEDICAMENTOS _Consolidado PPTO Ingresos 2010 Ajuste Medicamentos" xfId="1105" xr:uid="{00000000-0005-0000-0000-000051040000}"/>
    <cellStyle name="_CTA CTE ABRIL 2006_ppto ucis ac is_COSTO DE MEDICAMENTOS _Consolidado PPTO Ingresos 2010 Ajuste Reuniones" xfId="1106" xr:uid="{00000000-0005-0000-0000-000052040000}"/>
    <cellStyle name="_CTA CTE ABRIL 2006_ppto ucis ac is_COSTO DE MEDICAMENTOS _Consolidado PPTO Ingresos 2010 Ejerc Reduccion % Ocupacional Vs 3 Centro" xfId="1107" xr:uid="{00000000-0005-0000-0000-000053040000}"/>
    <cellStyle name="_CTA CTE ABRIL 2006_ppto ucis ac is_EJECUCION PRESUPUESTAL A NOVIEMBRE  09 EJERCICIO AJUSTE INGRESOS " xfId="1108" xr:uid="{00000000-0005-0000-0000-000054040000}"/>
    <cellStyle name="_CTA CTE ABRIL 2006_ppto ucis ac is_EJECUCION PRESUPUESTAL A NOVIEMBRE  09 EJERCICIO AJUSTE INGRESOS _Consolidado PPTO Ingresos 2010 Ajuste Medicamentos" xfId="1109" xr:uid="{00000000-0005-0000-0000-000055040000}"/>
    <cellStyle name="_CTA CTE ABRIL 2006_presupuesto de mantenimiento (2)" xfId="1110" xr:uid="{00000000-0005-0000-0000-000056040000}"/>
    <cellStyle name="_CTA CTE ABRIL 2006_presupuesto de mantenimiento (2)_Consolidado 1000 Proyecciones" xfId="1111" xr:uid="{00000000-0005-0000-0000-000057040000}"/>
    <cellStyle name="_CTA CTE ABRIL 2006_presupuesto de mantenimiento (2)_FORMATOPresupuesto 2010-TRABAJO.C1" xfId="1112" xr:uid="{00000000-0005-0000-0000-000058040000}"/>
    <cellStyle name="_CTA CTE ABRIL 2006_presupuesto de mantenimiento (2)_FORMATOPresupuesto 2010-TRABAJO.C1." xfId="1113" xr:uid="{00000000-0005-0000-0000-000059040000}"/>
    <cellStyle name="_CTA CTE ABRIL 2006_provision contingencias-CONS" xfId="1114" xr:uid="{00000000-0005-0000-0000-00005A040000}"/>
    <cellStyle name="_CTA CTE ABRIL 2006_provision de cartera-CONS" xfId="1115" xr:uid="{00000000-0005-0000-0000-00005B040000}"/>
    <cellStyle name="_CTA CTE ABRIL 2006_SUMINISTROS LOGISTICA ULTIMO NOV 20" xfId="1116" xr:uid="{00000000-0005-0000-0000-00005C040000}"/>
    <cellStyle name="_CTA CTE ABRIL 2006_SUMINISTROS LOGISTICA ULTIMO NOV 20_Consolidado 1000 Proyecciones" xfId="1117" xr:uid="{00000000-0005-0000-0000-00005D040000}"/>
    <cellStyle name="_CTA CTE ABRIL 2006_SUMINISTROS LOGISTICA ULTIMO NOV 20_FORMATOPresupuesto 2010-TRABAJO.C1" xfId="1118" xr:uid="{00000000-0005-0000-0000-00005E040000}"/>
    <cellStyle name="_CTA CTE ABRIL 2006_SUMINISTROS LOGISTICA ULTIMO NOV 20_FORMATOPresupuesto 2010-TRABAJO.C1." xfId="1119" xr:uid="{00000000-0005-0000-0000-00005F040000}"/>
    <cellStyle name="_Cta Cte agosto-08" xfId="1120" xr:uid="{00000000-0005-0000-0000-000060040000}"/>
    <cellStyle name="_Cta Cte agosto-08_COSTO DE MEDICAMENTOS " xfId="1121" xr:uid="{00000000-0005-0000-0000-000061040000}"/>
    <cellStyle name="_Cta Cte agosto-08_COSTO DE MEDICAMENTOS _Consolidado PPTO Ingresos 2010 Ajuste Medicamentos" xfId="1122" xr:uid="{00000000-0005-0000-0000-000062040000}"/>
    <cellStyle name="_Cta Cte agosto-08_COSTO DE MEDICAMENTOS _Consolidado PPTO Ingresos 2010 Ajuste Reuniones" xfId="1123" xr:uid="{00000000-0005-0000-0000-000063040000}"/>
    <cellStyle name="_Cta Cte agosto-08_COSTO DE MEDICAMENTOS _Consolidado PPTO Ingresos 2010 Ejerc Reduccion % Ocupacional Vs 3 Centro" xfId="1124" xr:uid="{00000000-0005-0000-0000-000064040000}"/>
    <cellStyle name="_Cta Cte agosto-08_EJECUCION CONSOLIDADA A OCTUBRE GENERAL.CONSOLIDADO" xfId="1125" xr:uid="{00000000-0005-0000-0000-000065040000}"/>
    <cellStyle name="_Cta Cte agosto-08_EJECUCION PRESUPUESTAL A AGOSTO 09" xfId="1126" xr:uid="{00000000-0005-0000-0000-000066040000}"/>
    <cellStyle name="_Cta Cte agosto-08_EJECUCION PRESUPUESTAL A NOVIEMBRE  09 EJERCICIO AJUSTE INGRESOS " xfId="1127" xr:uid="{00000000-0005-0000-0000-000067040000}"/>
    <cellStyle name="_Cta Cte agosto-08_EJECUCION PRESUPUESTAL A NOVIEMBRE  09 EJERCICIO AJUSTE INGRESOS _Consolidado PPTO Ingresos 2010 Ajuste Medicamentos" xfId="1128" xr:uid="{00000000-0005-0000-0000-000068040000}"/>
    <cellStyle name="_cta cte diciembre 2005" xfId="1129" xr:uid="{00000000-0005-0000-0000-000069040000}"/>
    <cellStyle name="_cta cte diciembre 2005_CENTRO DE COSTOS PLANTILLA" xfId="1130" xr:uid="{00000000-0005-0000-0000-00006A040000}"/>
    <cellStyle name="_cta cte diciembre 2005_CENTRO DE COSTOS PLANTILLA_Consolidado 1000 Proyecciones" xfId="1131" xr:uid="{00000000-0005-0000-0000-00006B040000}"/>
    <cellStyle name="_cta cte diciembre 2005_CENTRO DE COSTOS PLANTILLA_FORMATOPresupuesto 2010-TRABAJO.C1" xfId="1132" xr:uid="{00000000-0005-0000-0000-00006C040000}"/>
    <cellStyle name="_cta cte diciembre 2005_CENTRO DE COSTOS PLANTILLA_FORMATOPresupuesto 2010-TRABAJO.C1." xfId="1133" xr:uid="{00000000-0005-0000-0000-00006D040000}"/>
    <cellStyle name="_cta cte diciembre 2005_Consolidado Ingresos" xfId="1134" xr:uid="{00000000-0005-0000-0000-00006E040000}"/>
    <cellStyle name="_cta cte diciembre 2005_Consolidado Ingresos_Consolidado PPTO Ingresos 2010 Ajuste Medicamentos" xfId="1135" xr:uid="{00000000-0005-0000-0000-00006F040000}"/>
    <cellStyle name="_cta cte diciembre 2005_Consolidado Ingresos_Consolidado PPTO Ingresos 2010 Ajuste Reuniones" xfId="1136" xr:uid="{00000000-0005-0000-0000-000070040000}"/>
    <cellStyle name="_cta cte diciembre 2005_Consolidado Ingresos_Consolidado PPTO Ingresos 2010 Ejerc" xfId="1137" xr:uid="{00000000-0005-0000-0000-000071040000}"/>
    <cellStyle name="_cta cte diciembre 2005_Consolidado Ingresos_Consolidado PPTO Ingresos 2010 Ejerc Reduccion % Ocupacional" xfId="1138" xr:uid="{00000000-0005-0000-0000-000072040000}"/>
    <cellStyle name="_cta cte diciembre 2005_Consolidado Ingresos_Consolidado PPTO Ingresos 2010 Ejerc Reduccion % Ocupacional Vs 3 Centro" xfId="1139" xr:uid="{00000000-0005-0000-0000-000073040000}"/>
    <cellStyle name="_cta cte diciembre 2005_COSTO DE MEDICAMENTOS." xfId="1140" xr:uid="{00000000-0005-0000-0000-000074040000}"/>
    <cellStyle name="_cta cte diciembre 2005_COSTO DE MEDICAMENTOS._Consolidado 1000 Proyecciones" xfId="1141" xr:uid="{00000000-0005-0000-0000-000075040000}"/>
    <cellStyle name="_cta cte diciembre 2005_COSTO DE MEDICAMENTOS._FORMATOPresupuesto 2010-TRABAJO.C1" xfId="1142" xr:uid="{00000000-0005-0000-0000-000076040000}"/>
    <cellStyle name="_cta cte diciembre 2005_COSTO DE MEDICAMENTOS._FORMATOPresupuesto 2010-TRABAJO.C1." xfId="1143" xr:uid="{00000000-0005-0000-0000-000077040000}"/>
    <cellStyle name="_cta cte diciembre 2005_DIVERSOS.CONS" xfId="1144" xr:uid="{00000000-0005-0000-0000-000078040000}"/>
    <cellStyle name="_cta cte diciembre 2005_DIVERSOS.CONS_Consolidado 1000 Proyecciones" xfId="1145" xr:uid="{00000000-0005-0000-0000-000079040000}"/>
    <cellStyle name="_cta cte diciembre 2005_DIVERSOS.CONS_FORMATOPresupuesto 2010-TRABAJO.C1" xfId="1146" xr:uid="{00000000-0005-0000-0000-00007A040000}"/>
    <cellStyle name="_cta cte diciembre 2005_DIVERSOS.CONS_FORMATOPresupuesto 2010-TRABAJO.C1." xfId="1147" xr:uid="{00000000-0005-0000-0000-00007B040000}"/>
    <cellStyle name="_cta cte diciembre 2005_EJECUCION CONSOLIDADA A OCTUBRE GENERAL.CONSOLIDADO" xfId="1148" xr:uid="{00000000-0005-0000-0000-00007C040000}"/>
    <cellStyle name="_cta cte diciembre 2005_EJECUCION PRESUPUESTAL A AGOSTO 09" xfId="1149" xr:uid="{00000000-0005-0000-0000-00007D040000}"/>
    <cellStyle name="_cta cte diciembre 2005_EJECUCION PRESUPUESTAL A NOVIEMBRE  09 EJERCICIO AJUSTE INGRESOS " xfId="1150" xr:uid="{00000000-0005-0000-0000-00007E040000}"/>
    <cellStyle name="_cta cte diciembre 2005_EJECUCION PRESUPUESTAL A NOVIEMBRE  09 EJERCICIO AJUSTE INGRESOS _Consolidado PPTO Ingresos 2010 Ajuste Medicamentos" xfId="1151" xr:uid="{00000000-0005-0000-0000-00007F040000}"/>
    <cellStyle name="_cta cte diciembre 2005_EJECUCION PRESUPUESTAL A SEPTIEMBRE  09 EJERCICIO AJUSTE INGRESOS" xfId="1152" xr:uid="{00000000-0005-0000-0000-000080040000}"/>
    <cellStyle name="_cta cte diciembre 2005_EJECUCION PRESUPUESTAL A SEPTIEMBRE  09 EJERCICIO AJUSTE INGRESOS_Consolidado PPTO Ingresos 2010 Ajuste Medicamentos" xfId="1153" xr:uid="{00000000-0005-0000-0000-000081040000}"/>
    <cellStyle name="_cta cte diciembre 2005_EJECUCION PRESUPUESTAL A SEPTIEMBRE  09 EJERCICIO AJUSTE INGRESOS_Consolidado PPTO Ingresos 2010 Ajuste Reuniones" xfId="1154" xr:uid="{00000000-0005-0000-0000-000082040000}"/>
    <cellStyle name="_cta cte diciembre 2005_EJECUCION PRESUPUESTAL A SEPTIEMBRE  09 EJERCICIO AJUSTE INGRESOS_Consolidado PPTO Ingresos 2010 Ejerc Reduccion % Ocupacional Vs 3 Centro" xfId="1155" xr:uid="{00000000-0005-0000-0000-000083040000}"/>
    <cellStyle name="_cta cte diciembre 2005_EJECUCION_CONSOLIDADA_AGO_2008(1)" xfId="1156" xr:uid="{00000000-0005-0000-0000-000084040000}"/>
    <cellStyle name="_cta cte diciembre 2005_EJECUCION_CONSOLIDADA_AGO_2008(1)_Consolidado 1000 Proyecciones" xfId="1157" xr:uid="{00000000-0005-0000-0000-000085040000}"/>
    <cellStyle name="_cta cte diciembre 2005_EJECUCION_CONSOLIDADA_AGO_2008(1)_FORMATOPresupuesto 2010-TRABAJO.C1" xfId="1158" xr:uid="{00000000-0005-0000-0000-000086040000}"/>
    <cellStyle name="_cta cte diciembre 2005_EJECUCION_CONSOLIDADA_AGO_2008(1)_FORMATOPresupuesto 2010-TRABAJO.C1." xfId="1159" xr:uid="{00000000-0005-0000-0000-000087040000}"/>
    <cellStyle name="_cta cte diciembre 2005_FINANCIEROS-CONS" xfId="1160" xr:uid="{00000000-0005-0000-0000-000088040000}"/>
    <cellStyle name="_cta cte diciembre 2005_P Y G LABORATORIO-IMAGENES  cjc" xfId="1161" xr:uid="{00000000-0005-0000-0000-000089040000}"/>
    <cellStyle name="_cta cte diciembre 2005_ppto ucis ac is" xfId="1162" xr:uid="{00000000-0005-0000-0000-00008A040000}"/>
    <cellStyle name="_cta cte diciembre 2005_ppto ucis ac is_COSTO DE MEDICAMENTOS " xfId="1163" xr:uid="{00000000-0005-0000-0000-00008B040000}"/>
    <cellStyle name="_cta cte diciembre 2005_ppto ucis ac is_COSTO DE MEDICAMENTOS _Consolidado PPTO Ingresos 2010 Ajuste Medicamentos" xfId="1164" xr:uid="{00000000-0005-0000-0000-00008C040000}"/>
    <cellStyle name="_cta cte diciembre 2005_ppto ucis ac is_COSTO DE MEDICAMENTOS _Consolidado PPTO Ingresos 2010 Ajuste Reuniones" xfId="1165" xr:uid="{00000000-0005-0000-0000-00008D040000}"/>
    <cellStyle name="_cta cte diciembre 2005_ppto ucis ac is_COSTO DE MEDICAMENTOS _Consolidado PPTO Ingresos 2010 Ejerc Reduccion % Ocupacional Vs 3 Centro" xfId="1166" xr:uid="{00000000-0005-0000-0000-00008E040000}"/>
    <cellStyle name="_cta cte diciembre 2005_ppto ucis ac is_EJECUCION PRESUPUESTAL A NOVIEMBRE  09 EJERCICIO AJUSTE INGRESOS " xfId="1167" xr:uid="{00000000-0005-0000-0000-00008F040000}"/>
    <cellStyle name="_cta cte diciembre 2005_ppto ucis ac is_EJECUCION PRESUPUESTAL A NOVIEMBRE  09 EJERCICIO AJUSTE INGRESOS _Consolidado PPTO Ingresos 2010 Ajuste Medicamentos" xfId="1168" xr:uid="{00000000-0005-0000-0000-000090040000}"/>
    <cellStyle name="_cta cte diciembre 2005_presupuesto de mantenimiento (2)" xfId="1169" xr:uid="{00000000-0005-0000-0000-000091040000}"/>
    <cellStyle name="_cta cte diciembre 2005_presupuesto de mantenimiento (2)_Consolidado 1000 Proyecciones" xfId="1170" xr:uid="{00000000-0005-0000-0000-000092040000}"/>
    <cellStyle name="_cta cte diciembre 2005_presupuesto de mantenimiento (2)_FORMATOPresupuesto 2010-TRABAJO.C1" xfId="1171" xr:uid="{00000000-0005-0000-0000-000093040000}"/>
    <cellStyle name="_cta cte diciembre 2005_presupuesto de mantenimiento (2)_FORMATOPresupuesto 2010-TRABAJO.C1." xfId="1172" xr:uid="{00000000-0005-0000-0000-000094040000}"/>
    <cellStyle name="_cta cte diciembre 2005_provision contingencias-CONS" xfId="1173" xr:uid="{00000000-0005-0000-0000-000095040000}"/>
    <cellStyle name="_cta cte diciembre 2005_provision de cartera-CONS" xfId="1174" xr:uid="{00000000-0005-0000-0000-000096040000}"/>
    <cellStyle name="_cta cte diciembre 2005_SUMINISTROS LOGISTICA ULTIMO NOV 20" xfId="1175" xr:uid="{00000000-0005-0000-0000-000097040000}"/>
    <cellStyle name="_cta cte diciembre 2005_SUMINISTROS LOGISTICA ULTIMO NOV 20_Consolidado 1000 Proyecciones" xfId="1176" xr:uid="{00000000-0005-0000-0000-000098040000}"/>
    <cellStyle name="_cta cte diciembre 2005_SUMINISTROS LOGISTICA ULTIMO NOV 20_FORMATOPresupuesto 2010-TRABAJO.C1" xfId="1177" xr:uid="{00000000-0005-0000-0000-000099040000}"/>
    <cellStyle name="_cta cte diciembre 2005_SUMINISTROS LOGISTICA ULTIMO NOV 20_FORMATOPresupuesto 2010-TRABAJO.C1." xfId="1178" xr:uid="{00000000-0005-0000-0000-00009A040000}"/>
    <cellStyle name="_CTA CTE DICIEMBRE -modificado" xfId="1179" xr:uid="{00000000-0005-0000-0000-00009B040000}"/>
    <cellStyle name="_CTA CTE DICIEMBRE -modificado_Consolidado Ingresos" xfId="1180" xr:uid="{00000000-0005-0000-0000-00009C040000}"/>
    <cellStyle name="_CTA CTE DICIEMBRE -modificado_Consolidado Ingresos_Consolidado PPTO Ingresos 2010 Ajuste Medicamentos" xfId="1181" xr:uid="{00000000-0005-0000-0000-00009D040000}"/>
    <cellStyle name="_CTA CTE DICIEMBRE -modificado_Consolidado Ingresos_Consolidado PPTO Ingresos 2010 Ajuste Reuniones" xfId="1182" xr:uid="{00000000-0005-0000-0000-00009E040000}"/>
    <cellStyle name="_CTA CTE DICIEMBRE -modificado_Consolidado Ingresos_Consolidado PPTO Ingresos 2010 Ejerc" xfId="1183" xr:uid="{00000000-0005-0000-0000-00009F040000}"/>
    <cellStyle name="_CTA CTE DICIEMBRE -modificado_Consolidado Ingresos_Consolidado PPTO Ingresos 2010 Ejerc Reduccion % Ocupacional" xfId="1184" xr:uid="{00000000-0005-0000-0000-0000A0040000}"/>
    <cellStyle name="_CTA CTE DICIEMBRE -modificado_Consolidado Ingresos_Consolidado PPTO Ingresos 2010 Ejerc Reduccion % Ocupacional Vs 3 Centro" xfId="1185" xr:uid="{00000000-0005-0000-0000-0000A1040000}"/>
    <cellStyle name="_CTA CTE DICIEMBRE -modificado_COSTO DE MEDICAMENTOS." xfId="1186" xr:uid="{00000000-0005-0000-0000-0000A2040000}"/>
    <cellStyle name="_CTA CTE DICIEMBRE -modificado_COSTO DE MEDICAMENTOS._Consolidado 1000 Proyecciones" xfId="1187" xr:uid="{00000000-0005-0000-0000-0000A3040000}"/>
    <cellStyle name="_CTA CTE DICIEMBRE -modificado_COSTO DE MEDICAMENTOS._FORMATOPresupuesto 2010-TRABAJO.C1" xfId="1188" xr:uid="{00000000-0005-0000-0000-0000A4040000}"/>
    <cellStyle name="_CTA CTE DICIEMBRE -modificado_COSTO DE MEDICAMENTOS._FORMATOPresupuesto 2010-TRABAJO.C1." xfId="1189" xr:uid="{00000000-0005-0000-0000-0000A5040000}"/>
    <cellStyle name="_CTA CTE DICIEMBRE -modificado_EJECUCION CONSOLIDADA A OCTUBRE GENERAL.CONSOLIDADO" xfId="1190" xr:uid="{00000000-0005-0000-0000-0000A6040000}"/>
    <cellStyle name="_CTA CTE DICIEMBRE -modificado_EJECUCION PRESUPUESTAL A AGOSTO 09" xfId="1191" xr:uid="{00000000-0005-0000-0000-0000A7040000}"/>
    <cellStyle name="_CTA CTE DICIEMBRE -modificado_EJECUCION PRESUPUESTAL A NOVIEMBRE  09 EJERCICIO AJUSTE INGRESOS " xfId="1192" xr:uid="{00000000-0005-0000-0000-0000A8040000}"/>
    <cellStyle name="_CTA CTE DICIEMBRE -modificado_EJECUCION PRESUPUESTAL A NOVIEMBRE  09 EJERCICIO AJUSTE INGRESOS _Consolidado PPTO Ingresos 2010 Ajuste Medicamentos" xfId="1193" xr:uid="{00000000-0005-0000-0000-0000A9040000}"/>
    <cellStyle name="_CTA CTE DICIEMBRE -modificado_EJECUCION PRESUPUESTAL A SEPTIEMBRE  09 EJERCICIO AJUSTE INGRESOS" xfId="1194" xr:uid="{00000000-0005-0000-0000-0000AA040000}"/>
    <cellStyle name="_CTA CTE DICIEMBRE -modificado_EJECUCION PRESUPUESTAL A SEPTIEMBRE  09 EJERCICIO AJUSTE INGRESOS_Consolidado PPTO Ingresos 2010 Ajuste Medicamentos" xfId="1195" xr:uid="{00000000-0005-0000-0000-0000AB040000}"/>
    <cellStyle name="_CTA CTE DICIEMBRE -modificado_EJECUCION PRESUPUESTAL A SEPTIEMBRE  09 EJERCICIO AJUSTE INGRESOS_Consolidado PPTO Ingresos 2010 Ajuste Reuniones" xfId="1196" xr:uid="{00000000-0005-0000-0000-0000AC040000}"/>
    <cellStyle name="_CTA CTE DICIEMBRE -modificado_EJECUCION PRESUPUESTAL A SEPTIEMBRE  09 EJERCICIO AJUSTE INGRESOS_Consolidado PPTO Ingresos 2010 Ejerc Reduccion % Ocupacional Vs 3 Centro" xfId="1197" xr:uid="{00000000-0005-0000-0000-0000AD040000}"/>
    <cellStyle name="_CTA CTE DICIEMBRE -modificado_EJECUCION_CONSOLIDADA_AGO_2008(1)" xfId="1198" xr:uid="{00000000-0005-0000-0000-0000AE040000}"/>
    <cellStyle name="_CTA CTE DICIEMBRE -modificado_EJECUCION_CONSOLIDADA_AGO_2008(1)_Consolidado 1000 Proyecciones" xfId="1199" xr:uid="{00000000-0005-0000-0000-0000AF040000}"/>
    <cellStyle name="_CTA CTE DICIEMBRE -modificado_EJECUCION_CONSOLIDADA_AGO_2008(1)_FORMATOPresupuesto 2010-TRABAJO.C1" xfId="1200" xr:uid="{00000000-0005-0000-0000-0000B0040000}"/>
    <cellStyle name="_CTA CTE DICIEMBRE -modificado_EJECUCION_CONSOLIDADA_AGO_2008(1)_FORMATOPresupuesto 2010-TRABAJO.C1." xfId="1201" xr:uid="{00000000-0005-0000-0000-0000B1040000}"/>
    <cellStyle name="_CTA CTE DICIEMBRE -modificado_FINANCIEROS-CONS" xfId="1202" xr:uid="{00000000-0005-0000-0000-0000B2040000}"/>
    <cellStyle name="_CTA CTE DICIEMBRE -modificado_provision contingencias-CONS" xfId="1203" xr:uid="{00000000-0005-0000-0000-0000B3040000}"/>
    <cellStyle name="_CTA CTE DICIEMBRE -modificado_provision de cartera-CONS" xfId="1204" xr:uid="{00000000-0005-0000-0000-0000B4040000}"/>
    <cellStyle name="_Cta Cte Diciembre-07" xfId="1205" xr:uid="{00000000-0005-0000-0000-0000B5040000}"/>
    <cellStyle name="_Cta Cte Diciembre-07_Consolidado Ingresos" xfId="1206" xr:uid="{00000000-0005-0000-0000-0000B6040000}"/>
    <cellStyle name="_Cta Cte Diciembre-07_Consolidado Ingresos_Consolidado PPTO Ingresos 2010 Ajuste Medicamentos" xfId="1207" xr:uid="{00000000-0005-0000-0000-0000B7040000}"/>
    <cellStyle name="_Cta Cte Diciembre-07_Consolidado Ingresos_Consolidado PPTO Ingresos 2010 Ajuste Reuniones" xfId="1208" xr:uid="{00000000-0005-0000-0000-0000B8040000}"/>
    <cellStyle name="_Cta Cte Diciembre-07_Consolidado Ingresos_Consolidado PPTO Ingresos 2010 Ejerc" xfId="1209" xr:uid="{00000000-0005-0000-0000-0000B9040000}"/>
    <cellStyle name="_Cta Cte Diciembre-07_Consolidado Ingresos_Consolidado PPTO Ingresos 2010 Ejerc Reduccion % Ocupacional" xfId="1210" xr:uid="{00000000-0005-0000-0000-0000BA040000}"/>
    <cellStyle name="_Cta Cte Diciembre-07_Consolidado Ingresos_Consolidado PPTO Ingresos 2010 Ejerc Reduccion % Ocupacional Vs 3 Centro" xfId="1211" xr:uid="{00000000-0005-0000-0000-0000BB040000}"/>
    <cellStyle name="_Cta Cte Diciembre-07_COSTO DE MEDICAMENTOS " xfId="1212" xr:uid="{00000000-0005-0000-0000-0000BC040000}"/>
    <cellStyle name="_Cta Cte Diciembre-07_COSTO DE MEDICAMENTOS _Consolidado PPTO Ingresos 2010 Ajuste Medicamentos" xfId="1213" xr:uid="{00000000-0005-0000-0000-0000BD040000}"/>
    <cellStyle name="_Cta Cte Diciembre-07_COSTO DE MEDICAMENTOS _Consolidado PPTO Ingresos 2010 Ajuste Reuniones" xfId="1214" xr:uid="{00000000-0005-0000-0000-0000BE040000}"/>
    <cellStyle name="_Cta Cte Diciembre-07_COSTO DE MEDICAMENTOS _Consolidado PPTO Ingresos 2010 Ejerc Reduccion % Ocupacional Vs 3 Centro" xfId="1215" xr:uid="{00000000-0005-0000-0000-0000BF040000}"/>
    <cellStyle name="_Cta Cte Diciembre-07_COSTO DE MEDICAMENTOS." xfId="1216" xr:uid="{00000000-0005-0000-0000-0000C0040000}"/>
    <cellStyle name="_Cta Cte Diciembre-07_EJECUCION CONSOLIDADA A OCTUBRE GENERAL.CONSOLIDADO" xfId="1217" xr:uid="{00000000-0005-0000-0000-0000C1040000}"/>
    <cellStyle name="_Cta Cte Diciembre-07_EJECUCION PRESUPUESTAL A AGOSTO 09" xfId="1218" xr:uid="{00000000-0005-0000-0000-0000C2040000}"/>
    <cellStyle name="_Cta Cte Diciembre-07_EJECUCION PRESUPUESTAL A NOVIEMBRE  09 EJERCICIO AJUSTE INGRESOS " xfId="1219" xr:uid="{00000000-0005-0000-0000-0000C3040000}"/>
    <cellStyle name="_Cta Cte Diciembre-07_EJECUCION PRESUPUESTAL A NOVIEMBRE  09 EJERCICIO AJUSTE INGRESOS _Consolidado PPTO Ingresos 2010 Ajuste Medicamentos" xfId="1220" xr:uid="{00000000-0005-0000-0000-0000C4040000}"/>
    <cellStyle name="_Cta Cte Diciembre-07_FINANCIEROS-CONS" xfId="1221" xr:uid="{00000000-0005-0000-0000-0000C5040000}"/>
    <cellStyle name="_Cta Cte Diciembre-07_provision contingencias-CONS" xfId="1222" xr:uid="{00000000-0005-0000-0000-0000C6040000}"/>
    <cellStyle name="_Cta Cte Diciembre-07_provision de cartera-CONS" xfId="1223" xr:uid="{00000000-0005-0000-0000-0000C7040000}"/>
    <cellStyle name="_Cta Cte Enero 2005 - 11 Abr 05" xfId="1224" xr:uid="{00000000-0005-0000-0000-0000C8040000}"/>
    <cellStyle name="_Cta Cte Enero 2005 - 11 Abr 05_Arriendo alcatel 2008 presup" xfId="1225" xr:uid="{00000000-0005-0000-0000-0000C9040000}"/>
    <cellStyle name="_Cta Cte Enero 2005 - 11 Abr 05_Arriendo alcatel 2008 presup (2)" xfId="1226" xr:uid="{00000000-0005-0000-0000-0000CA040000}"/>
    <cellStyle name="_Cta Cte Enero 2005 - 11 Abr 05_CENTRO DE COSTOS PLANTILLA" xfId="1227" xr:uid="{00000000-0005-0000-0000-0000CB040000}"/>
    <cellStyle name="_Cta Cte Enero 2005 - 11 Abr 05_CENTROS DE GESTION 2010" xfId="1228" xr:uid="{00000000-0005-0000-0000-0000CC040000}"/>
    <cellStyle name="_Cta Cte Enero 2005 - 11 Abr 05_CENTROS DE GESTION 2010_Consolidado PPTO Ingresos 2010 Ajuste Medicamentos" xfId="1229" xr:uid="{00000000-0005-0000-0000-0000CD040000}"/>
    <cellStyle name="_Cta Cte Enero 2005 - 11 Abr 05_CENTROS DE GESTION 2010_Consolidado PPTO Ingresos 2010 Ajuste Reuniones" xfId="1230" xr:uid="{00000000-0005-0000-0000-0000CE040000}"/>
    <cellStyle name="_Cta Cte Enero 2005 - 11 Abr 05_CENTROS DE GESTION 2010_Consolidado PPTO Ingresos 2010 Ejerc Reduccion % Ocupacional Vs 3 Centro" xfId="1231" xr:uid="{00000000-0005-0000-0000-0000CF040000}"/>
    <cellStyle name="_Cta Cte Enero 2005 - 11 Abr 05_Consolidado Ingresos" xfId="1232" xr:uid="{00000000-0005-0000-0000-0000D0040000}"/>
    <cellStyle name="_Cta Cte Enero 2005 - 11 Abr 05_Consolidado Ingresos_Consolidado PPTO Ingresos 2010 Ajuste Medicamentos" xfId="1233" xr:uid="{00000000-0005-0000-0000-0000D1040000}"/>
    <cellStyle name="_Cta Cte Enero 2005 - 11 Abr 05_Consolidado Ingresos_Consolidado PPTO Ingresos 2010 Ajuste Reuniones" xfId="1234" xr:uid="{00000000-0005-0000-0000-0000D2040000}"/>
    <cellStyle name="_Cta Cte Enero 2005 - 11 Abr 05_Consolidado Ingresos_Consolidado PPTO Ingresos 2010 Ejerc" xfId="1235" xr:uid="{00000000-0005-0000-0000-0000D3040000}"/>
    <cellStyle name="_Cta Cte Enero 2005 - 11 Abr 05_Consolidado Ingresos_Consolidado PPTO Ingresos 2010 Ejerc Reduccion % Ocupacional" xfId="1236" xr:uid="{00000000-0005-0000-0000-0000D4040000}"/>
    <cellStyle name="_Cta Cte Enero 2005 - 11 Abr 05_Consolidado Ingresos_Consolidado PPTO Ingresos 2010 Ejerc Reduccion % Ocupacional Vs 3 Centro" xfId="1237" xr:uid="{00000000-0005-0000-0000-0000D5040000}"/>
    <cellStyle name="_Cta Cte Enero 2005 - 11 Abr 05_CONSOLIDADOS DE RUBROS CONTABLES" xfId="1238" xr:uid="{00000000-0005-0000-0000-0000D6040000}"/>
    <cellStyle name="_Cta Cte Enero 2005 - 11 Abr 05_CONSOLIDADOS DE RUBROS CONTABLES_DIVERSOS.CONS" xfId="1239" xr:uid="{00000000-0005-0000-0000-0000D7040000}"/>
    <cellStyle name="_Cta Cte Enero 2005 - 11 Abr 05_Copia de PRESUPUESTOSISTEMAS2009formato2003" xfId="1240" xr:uid="{00000000-0005-0000-0000-0000D8040000}"/>
    <cellStyle name="_Cta Cte Enero 2005 - 11 Abr 05_Copia de PRESUPUESTOSISTEMAS2009formato2003_Consolidado 1000 Proyecciones" xfId="1241" xr:uid="{00000000-0005-0000-0000-0000D9040000}"/>
    <cellStyle name="_Cta Cte Enero 2005 - 11 Abr 05_Copia de PRESUPUESTOSISTEMAS2009formato2003_Consolidado PPTO Ingresos 2010 Ajuste Medicamentos" xfId="1242" xr:uid="{00000000-0005-0000-0000-0000DA040000}"/>
    <cellStyle name="_Cta Cte Enero 2005 - 11 Abr 05_Copia de PRESUPUESTOSISTEMAS2009formato2003_Consolidado PPTO Ingresos 2010 Ajuste Reuniones" xfId="1243" xr:uid="{00000000-0005-0000-0000-0000DB040000}"/>
    <cellStyle name="_Cta Cte Enero 2005 - 11 Abr 05_Copia de PRESUPUESTOSISTEMAS2009formato2003_Consolidado PPTO Ingresos 2010 Ejerc" xfId="1244" xr:uid="{00000000-0005-0000-0000-0000DC040000}"/>
    <cellStyle name="_Cta Cte Enero 2005 - 11 Abr 05_Copia de PRESUPUESTOSISTEMAS2009formato2003_Consolidado PPTO Ingresos 2010 Ejerc Reduccion % Ocupacional" xfId="1245" xr:uid="{00000000-0005-0000-0000-0000DD040000}"/>
    <cellStyle name="_Cta Cte Enero 2005 - 11 Abr 05_Copia de PRESUPUESTOSISTEMAS2009formato2003_Consolidado PPTO Ingresos 2010 Ejerc Reduccion % Ocupacional Vs 3 Centro" xfId="1246" xr:uid="{00000000-0005-0000-0000-0000DE040000}"/>
    <cellStyle name="_Cta Cte Enero 2005 - 11 Abr 05_Copia de PRESUPUESTOSISTEMAS2009formato2003_FORMATOPresupuesto 2010-TRABAJO.C1" xfId="1247" xr:uid="{00000000-0005-0000-0000-0000DF040000}"/>
    <cellStyle name="_Cta Cte Enero 2005 - 11 Abr 05_Copia de PRESUPUESTOSISTEMAS2009formato2003_FORMATOPresupuesto 2010-TRABAJO.C1." xfId="1248" xr:uid="{00000000-0005-0000-0000-0000E0040000}"/>
    <cellStyle name="_Cta Cte Enero 2005 - 11 Abr 05_COSTO DE MEDICAMENTOS." xfId="1249" xr:uid="{00000000-0005-0000-0000-0000E1040000}"/>
    <cellStyle name="_Cta Cte Enero 2005 - 11 Abr 05_COSTO DE MEDICAMENTOS._Consolidado 1000 Proyecciones" xfId="1250" xr:uid="{00000000-0005-0000-0000-0000E2040000}"/>
    <cellStyle name="_Cta Cte Enero 2005 - 11 Abr 05_COSTO DE MEDICAMENTOS._FORMATOPresupuesto 2010-TRABAJO.C1" xfId="1251" xr:uid="{00000000-0005-0000-0000-0000E3040000}"/>
    <cellStyle name="_Cta Cte Enero 2005 - 11 Abr 05_COSTO DE MEDICAMENTOS._FORMATOPresupuesto 2010-TRABAJO.C1." xfId="1252" xr:uid="{00000000-0005-0000-0000-0000E4040000}"/>
    <cellStyle name="_Cta Cte Enero 2005 - 11 Abr 05_DIVERSOS.CONS" xfId="1253" xr:uid="{00000000-0005-0000-0000-0000E5040000}"/>
    <cellStyle name="_Cta Cte Enero 2005 - 11 Abr 05_EJECUCION CONSOLIDADA A OCTUBRE GENERAL.CONSOLIDADO" xfId="1254" xr:uid="{00000000-0005-0000-0000-0000E6040000}"/>
    <cellStyle name="_Cta Cte Enero 2005 - 11 Abr 05_EJECUCION PRESUPUESTAL A AGOSTO 09" xfId="1255" xr:uid="{00000000-0005-0000-0000-0000E7040000}"/>
    <cellStyle name="_Cta Cte Enero 2005 - 11 Abr 05_EJECUCION PRESUPUESTAL A NOVIEMBRE  09 EJERCICIO AJUSTE INGRESOS " xfId="1256" xr:uid="{00000000-0005-0000-0000-0000E8040000}"/>
    <cellStyle name="_Cta Cte Enero 2005 - 11 Abr 05_EJECUCION PRESUPUESTAL A NOVIEMBRE  09 EJERCICIO AJUSTE INGRESOS _Consolidado PPTO Ingresos 2010 Ajuste Medicamentos" xfId="1257" xr:uid="{00000000-0005-0000-0000-0000E9040000}"/>
    <cellStyle name="_Cta Cte Enero 2005 - 11 Abr 05_EJECUCION PRESUPUESTAL A SEPTIEMBRE  09 EJERCICIO AJUSTE INGRESOS" xfId="1258" xr:uid="{00000000-0005-0000-0000-0000EA040000}"/>
    <cellStyle name="_Cta Cte Enero 2005 - 11 Abr 05_EJECUCION PRESUPUESTAL A SEPTIEMBRE  09 EJERCICIO AJUSTE INGRESOS_Consolidado PPTO Ingresos 2010 Ajuste Medicamentos" xfId="1259" xr:uid="{00000000-0005-0000-0000-0000EB040000}"/>
    <cellStyle name="_Cta Cte Enero 2005 - 11 Abr 05_EJECUCION PRESUPUESTAL A SEPTIEMBRE  09 EJERCICIO AJUSTE INGRESOS_Consolidado PPTO Ingresos 2010 Ajuste Reuniones" xfId="1260" xr:uid="{00000000-0005-0000-0000-0000EC040000}"/>
    <cellStyle name="_Cta Cte Enero 2005 - 11 Abr 05_EJECUCION PRESUPUESTAL A SEPTIEMBRE  09 EJERCICIO AJUSTE INGRESOS_Consolidado PPTO Ingresos 2010 Ejerc Reduccion % Ocupacional Vs 3 Centro" xfId="1261" xr:uid="{00000000-0005-0000-0000-0000ED040000}"/>
    <cellStyle name="_Cta Cte Enero 2005 - 11 Abr 05_EJECUCION_CONSOLIDADA_AGO_2008(1)" xfId="1262" xr:uid="{00000000-0005-0000-0000-0000EE040000}"/>
    <cellStyle name="_Cta Cte Enero 2005 - 11 Abr 05_EJECUCION_CONSOLIDADA_AGO_2008(1)_Consolidado 1000 Proyecciones" xfId="1263" xr:uid="{00000000-0005-0000-0000-0000EF040000}"/>
    <cellStyle name="_Cta Cte Enero 2005 - 11 Abr 05_EJECUCION_CONSOLIDADA_AGO_2008(1)_FORMATOPresupuesto 2010-TRABAJO.C1" xfId="1264" xr:uid="{00000000-0005-0000-0000-0000F0040000}"/>
    <cellStyle name="_Cta Cte Enero 2005 - 11 Abr 05_EJECUCION_CONSOLIDADA_AGO_2008(1)_FORMATOPresupuesto 2010-TRABAJO.C1." xfId="1265" xr:uid="{00000000-0005-0000-0000-0000F1040000}"/>
    <cellStyle name="_Cta Cte Enero 2005 - 11 Abr 05_FINANCIEROS-CONS" xfId="1266" xr:uid="{00000000-0005-0000-0000-0000F2040000}"/>
    <cellStyle name="_Cta Cte Enero 2005 - 11 Abr 05_GASTOS 2010" xfId="1267" xr:uid="{00000000-0005-0000-0000-0000F3040000}"/>
    <cellStyle name="_Cta Cte Enero 2005 - 11 Abr 05_IMPRESION1" xfId="1268" xr:uid="{00000000-0005-0000-0000-0000F4040000}"/>
    <cellStyle name="_Cta Cte Enero 2005 - 11 Abr 05_IMPRESION1_Consolidado 1000 Proyecciones" xfId="1269" xr:uid="{00000000-0005-0000-0000-0000F5040000}"/>
    <cellStyle name="_Cta Cte Enero 2005 - 11 Abr 05_IMPRESION1_FORMATOPresupuesto 2010-TRABAJO.C1" xfId="1270" xr:uid="{00000000-0005-0000-0000-0000F6040000}"/>
    <cellStyle name="_Cta Cte Enero 2005 - 11 Abr 05_IMPRESION1_FORMATOPresupuesto 2010-TRABAJO.C1." xfId="1271" xr:uid="{00000000-0005-0000-0000-0000F7040000}"/>
    <cellStyle name="_Cta Cte Enero 2005 - 11 Abr 05_Ingresos Presupuesto 2008" xfId="1272" xr:uid="{00000000-0005-0000-0000-0000F8040000}"/>
    <cellStyle name="_Cta Cte Enero 2005 - 11 Abr 05_Ingresos Presupuesto 2008_Consolidado PPTO Ingresos 2010 Ajuste Medicamentos" xfId="1273" xr:uid="{00000000-0005-0000-0000-0000F9040000}"/>
    <cellStyle name="_Cta Cte Enero 2005 - 11 Abr 05_Ingresos Presupuesto 2008_Consolidado PPTO Ingresos 2010 Ajuste Reuniones" xfId="1274" xr:uid="{00000000-0005-0000-0000-0000FA040000}"/>
    <cellStyle name="_Cta Cte Enero 2005 - 11 Abr 05_Ingresos Presupuesto 2008_Consolidado PPTO Ingresos 2010 Ejerc" xfId="1275" xr:uid="{00000000-0005-0000-0000-0000FB040000}"/>
    <cellStyle name="_Cta Cte Enero 2005 - 11 Abr 05_Ingresos Presupuesto 2008_Consolidado PPTO Ingresos 2010 Ejerc Reduccion % Ocupacional" xfId="1276" xr:uid="{00000000-0005-0000-0000-0000FC040000}"/>
    <cellStyle name="_Cta Cte Enero 2005 - 11 Abr 05_Ingresos Presupuesto 2008_Consolidado PPTO Ingresos 2010 Ejerc Reduccion % Ocupacional Vs 3 Centro" xfId="1277" xr:uid="{00000000-0005-0000-0000-0000FD040000}"/>
    <cellStyle name="_Cta Cte Enero 2005 - 11 Abr 05_mantenimiento infraestrucruta" xfId="1278" xr:uid="{00000000-0005-0000-0000-0000FE040000}"/>
    <cellStyle name="_Cta Cte Enero 2005 - 11 Abr 05_mantenimiento infraestrucruta (2)" xfId="1279" xr:uid="{00000000-0005-0000-0000-0000FF040000}"/>
    <cellStyle name="_Cta Cte Enero 2005 - 11 Abr 05_mantenimiento infraestrucruta (2)_PRESUPUESTO 2010 06-11-09 430 p m " xfId="1280" xr:uid="{00000000-0005-0000-0000-000000050000}"/>
    <cellStyle name="_Cta Cte Enero 2005 - 11 Abr 05_mantenimiento infraestrucruta (2)_PRESUPUESTO 2010 06-11-09 430 p m _DIVERSOS.CONS" xfId="1281" xr:uid="{00000000-0005-0000-0000-000001050000}"/>
    <cellStyle name="_Cta Cte Enero 2005 - 11 Abr 05_mantenimiento infraestrucruta (2)_SERVICIOS" xfId="1282" xr:uid="{00000000-0005-0000-0000-000002050000}"/>
    <cellStyle name="_Cta Cte Enero 2005 - 11 Abr 05_mantenimiento infraestrucruta (2)_SERVICIOS_DIVERSOS.CONS" xfId="1283" xr:uid="{00000000-0005-0000-0000-000003050000}"/>
    <cellStyle name="_Cta Cte Enero 2005 - 11 Abr 05_mantenimiento infraestrucruta_PRESUPUESTO 2010 06-11-09 430 p m " xfId="1284" xr:uid="{00000000-0005-0000-0000-000004050000}"/>
    <cellStyle name="_Cta Cte Enero 2005 - 11 Abr 05_mantenimiento infraestrucruta_PRESUPUESTO 2010 06-11-09 430 p m _DIVERSOS.CONS" xfId="1285" xr:uid="{00000000-0005-0000-0000-000005050000}"/>
    <cellStyle name="_Cta Cte Enero 2005 - 11 Abr 05_mantenimiento infraestrucruta_SERVICIOS" xfId="1286" xr:uid="{00000000-0005-0000-0000-000006050000}"/>
    <cellStyle name="_Cta Cte Enero 2005 - 11 Abr 05_mantenimiento infraestrucruta_SERVICIOS_DIVERSOS.CONS" xfId="1287" xr:uid="{00000000-0005-0000-0000-000007050000}"/>
    <cellStyle name="_Cta Cte Enero 2005 - 11 Abr 05_MANTENIMIENTO2010" xfId="1288" xr:uid="{00000000-0005-0000-0000-000008050000}"/>
    <cellStyle name="_Cta Cte Enero 2005 - 11 Abr 05_P Y G LABORATORIO-IMAGENES  cjc" xfId="1289" xr:uid="{00000000-0005-0000-0000-000009050000}"/>
    <cellStyle name="_Cta Cte Enero 2005 - 11 Abr 05_PLANTILLAS LEASING Y SERVICIOS" xfId="1290" xr:uid="{00000000-0005-0000-0000-00000A050000}"/>
    <cellStyle name="_Cta Cte Enero 2005 - 11 Abr 05_ppto ucis ac is" xfId="1291" xr:uid="{00000000-0005-0000-0000-00000B050000}"/>
    <cellStyle name="_Cta Cte Enero 2005 - 11 Abr 05_ppto ucis ac is_COSTO DE MEDICAMENTOS " xfId="1292" xr:uid="{00000000-0005-0000-0000-00000C050000}"/>
    <cellStyle name="_Cta Cte Enero 2005 - 11 Abr 05_ppto ucis ac is_COSTO DE MEDICAMENTOS _Consolidado PPTO Ingresos 2010 Ajuste Medicamentos" xfId="1293" xr:uid="{00000000-0005-0000-0000-00000D050000}"/>
    <cellStyle name="_Cta Cte Enero 2005 - 11 Abr 05_ppto ucis ac is_COSTO DE MEDICAMENTOS _Consolidado PPTO Ingresos 2010 Ajuste Reuniones" xfId="1294" xr:uid="{00000000-0005-0000-0000-00000E050000}"/>
    <cellStyle name="_Cta Cte Enero 2005 - 11 Abr 05_ppto ucis ac is_COSTO DE MEDICAMENTOS _Consolidado PPTO Ingresos 2010 Ejerc Reduccion % Ocupacional Vs 3 Centro" xfId="1295" xr:uid="{00000000-0005-0000-0000-00000F050000}"/>
    <cellStyle name="_Cta Cte Enero 2005 - 11 Abr 05_ppto ucis ac is_EJECUCION PRESUPUESTAL A NOVIEMBRE  09 EJERCICIO AJUSTE INGRESOS " xfId="1296" xr:uid="{00000000-0005-0000-0000-000010050000}"/>
    <cellStyle name="_Cta Cte Enero 2005 - 11 Abr 05_ppto ucis ac is_EJECUCION PRESUPUESTAL A NOVIEMBRE  09 EJERCICIO AJUSTE INGRESOS _Consolidado PPTO Ingresos 2010 Ajuste Medicamentos" xfId="1297" xr:uid="{00000000-0005-0000-0000-000011050000}"/>
    <cellStyle name="_Cta Cte Enero 2005 - 11 Abr 05_PRESUPUESTO  CONSUMOS CAFETERIA 2010" xfId="1298" xr:uid="{00000000-0005-0000-0000-000012050000}"/>
    <cellStyle name="_Cta Cte Enero 2005 - 11 Abr 05_PRESUPUESTO  CONSUMOS JARRAS DE AGUA  2010" xfId="1299" xr:uid="{00000000-0005-0000-0000-000013050000}"/>
    <cellStyle name="_Cta Cte Enero 2005 - 11 Abr 05_PRESUPUESTO  CONSUMOS JARRAS DE AGUA  2010_DIVERSOS.CONS" xfId="1300" xr:uid="{00000000-0005-0000-0000-000014050000}"/>
    <cellStyle name="_Cta Cte Enero 2005 - 11 Abr 05_PRESUPUESTO  CONSUMOS VASOS  2010" xfId="1301" xr:uid="{00000000-0005-0000-0000-000015050000}"/>
    <cellStyle name="_Cta Cte Enero 2005 - 11 Abr 05_PRESUPUESTO  CONSUMOS VASOS  2010_DIVERSOS.CONS" xfId="1302" xr:uid="{00000000-0005-0000-0000-000016050000}"/>
    <cellStyle name="_Cta Cte Enero 2005 - 11 Abr 05_PRESUPUESTO  TINTOS 2010" xfId="1303" xr:uid="{00000000-0005-0000-0000-000017050000}"/>
    <cellStyle name="_Cta Cte Enero 2005 - 11 Abr 05_PRESUPUESTO 2010 06-11-09 430 p m " xfId="1304" xr:uid="{00000000-0005-0000-0000-000018050000}"/>
    <cellStyle name="_Cta Cte Enero 2005 - 11 Abr 05_PRESUPUESTO 2010 06-11-09 430 p m _Consolidado 1000 Proyecciones" xfId="1305" xr:uid="{00000000-0005-0000-0000-000019050000}"/>
    <cellStyle name="_Cta Cte Enero 2005 - 11 Abr 05_PRESUPUESTO 2010 06-11-09 430 p m _FORMATOPresupuesto 2010-TRABAJO.C1" xfId="1306" xr:uid="{00000000-0005-0000-0000-00001A050000}"/>
    <cellStyle name="_Cta Cte Enero 2005 - 11 Abr 05_PRESUPUESTO 2010 06-11-09 430 p m _FORMATOPresupuesto 2010-TRABAJO.C1." xfId="1307" xr:uid="{00000000-0005-0000-0000-00001B050000}"/>
    <cellStyle name="_Cta Cte Enero 2005 - 11 Abr 05_PRESUPUESTO BOTELLONES  AGUA 2010" xfId="1308" xr:uid="{00000000-0005-0000-0000-00001C050000}"/>
    <cellStyle name="_Cta Cte Enero 2005 - 11 Abr 05_presupuesto de mantenimiento" xfId="1309" xr:uid="{00000000-0005-0000-0000-00001D050000}"/>
    <cellStyle name="_Cta Cte Enero 2005 - 11 Abr 05_presupuesto de mantenimiento (2)" xfId="1310" xr:uid="{00000000-0005-0000-0000-00001E050000}"/>
    <cellStyle name="_Cta Cte Enero 2005 - 11 Abr 05_presupuesto de mantenimiento (2)_Consolidado 1000 Proyecciones" xfId="1311" xr:uid="{00000000-0005-0000-0000-00001F050000}"/>
    <cellStyle name="_Cta Cte Enero 2005 - 11 Abr 05_presupuesto de mantenimiento (2)_FORMATOPresupuesto 2010-TRABAJO.C1" xfId="1312" xr:uid="{00000000-0005-0000-0000-000020050000}"/>
    <cellStyle name="_Cta Cte Enero 2005 - 11 Abr 05_presupuesto de mantenimiento (2)_FORMATOPresupuesto 2010-TRABAJO.C1." xfId="1313" xr:uid="{00000000-0005-0000-0000-000021050000}"/>
    <cellStyle name="_Cta Cte Enero 2005 - 11 Abr 05_presupuesto de mantenimiento_Consolidado 1000 Proyecciones" xfId="1314" xr:uid="{00000000-0005-0000-0000-000022050000}"/>
    <cellStyle name="_Cta Cte Enero 2005 - 11 Abr 05_presupuesto de mantenimiento_FORMATOPresupuesto 2010-TRABAJO.C1" xfId="1315" xr:uid="{00000000-0005-0000-0000-000023050000}"/>
    <cellStyle name="_Cta Cte Enero 2005 - 11 Abr 05_presupuesto de mantenimiento_FORMATOPresupuesto 2010-TRABAJO.C1." xfId="1316" xr:uid="{00000000-0005-0000-0000-000024050000}"/>
    <cellStyle name="_Cta Cte Enero 2005 - 11 Abr 05_PRESUPUESTO LEASING_FINAL_Oct25" xfId="1317" xr:uid="{00000000-0005-0000-0000-000025050000}"/>
    <cellStyle name="_Cta Cte Enero 2005 - 11 Abr 05_PRESUPUESTO LEASING_FINAL_Oct25_Consolidado 1000 Proyecciones" xfId="1318" xr:uid="{00000000-0005-0000-0000-000026050000}"/>
    <cellStyle name="_Cta Cte Enero 2005 - 11 Abr 05_PRESUPUESTO LEASING_FINAL_Oct25_Consolidado PPTO Ingresos 2010 Ajuste Medicamentos" xfId="1319" xr:uid="{00000000-0005-0000-0000-000027050000}"/>
    <cellStyle name="_Cta Cte Enero 2005 - 11 Abr 05_PRESUPUESTO LEASING_FINAL_Oct25_Consolidado PPTO Ingresos 2010 Ajuste Reuniones" xfId="1320" xr:uid="{00000000-0005-0000-0000-000028050000}"/>
    <cellStyle name="_Cta Cte Enero 2005 - 11 Abr 05_PRESUPUESTO LEASING_FINAL_Oct25_Consolidado PPTO Ingresos 2010 Ejerc" xfId="1321" xr:uid="{00000000-0005-0000-0000-000029050000}"/>
    <cellStyle name="_Cta Cte Enero 2005 - 11 Abr 05_PRESUPUESTO LEASING_FINAL_Oct25_Consolidado PPTO Ingresos 2010 Ejerc Reduccion % Ocupacional" xfId="1322" xr:uid="{00000000-0005-0000-0000-00002A050000}"/>
    <cellStyle name="_Cta Cte Enero 2005 - 11 Abr 05_PRESUPUESTO LEASING_FINAL_Oct25_Consolidado PPTO Ingresos 2010 Ejerc Reduccion % Ocupacional Vs 3 Centro" xfId="1323" xr:uid="{00000000-0005-0000-0000-00002B050000}"/>
    <cellStyle name="_Cta Cte Enero 2005 - 11 Abr 05_PRESUPUESTO LEASING_FINAL_Oct25_FORMATOPresupuesto 2010-TRABAJO.C1" xfId="1324" xr:uid="{00000000-0005-0000-0000-00002C050000}"/>
    <cellStyle name="_Cta Cte Enero 2005 - 11 Abr 05_PRESUPUESTO LEASING_FINAL_Oct25_FORMATOPresupuesto 2010-TRABAJO.C1." xfId="1325" xr:uid="{00000000-0005-0000-0000-00002D050000}"/>
    <cellStyle name="_Cta Cte Enero 2005 - 11 Abr 05_PRESUPUESTO POR CENTROS DE GESTION 2010 (3)" xfId="1326" xr:uid="{00000000-0005-0000-0000-00002E050000}"/>
    <cellStyle name="_Cta Cte Enero 2005 - 11 Abr 05_PRESUPUESTO POR CENTROS DE GESTION 2010 (3)_PRESUPUESTO 2010 06-11-09 430 p m " xfId="1327" xr:uid="{00000000-0005-0000-0000-00002F050000}"/>
    <cellStyle name="_Cta Cte Enero 2005 - 11 Abr 05_PRESUPUESTO POR CENTROS DE GESTION 2010 (3)_PRESUPUESTO 2010 06-11-09 430 p m _DIVERSOS.CONS" xfId="1328" xr:uid="{00000000-0005-0000-0000-000030050000}"/>
    <cellStyle name="_Cta Cte Enero 2005 - 11 Abr 05_PRESUPUESTO POR CENTROS DE GESTION 2010 (3)_SERVICIOS" xfId="1329" xr:uid="{00000000-0005-0000-0000-000031050000}"/>
    <cellStyle name="_Cta Cte Enero 2005 - 11 Abr 05_PRESUPUESTO POR CENTROS DE GESTION 2010 (3)_SERVICIOS_DIVERSOS.CONS" xfId="1330" xr:uid="{00000000-0005-0000-0000-000032050000}"/>
    <cellStyle name="_Cta Cte Enero 2005 - 11 Abr 05_Presupuesto sistemas 2008" xfId="1331" xr:uid="{00000000-0005-0000-0000-000033050000}"/>
    <cellStyle name="_Cta Cte Enero 2005 - 11 Abr 05_Presupuesto sistemas 2008_Consolidado 1000 Proyecciones" xfId="1332" xr:uid="{00000000-0005-0000-0000-000034050000}"/>
    <cellStyle name="_Cta Cte Enero 2005 - 11 Abr 05_Presupuesto sistemas 2008_Consolidado PPTO Ingresos 2010 Ajuste Medicamentos" xfId="1333" xr:uid="{00000000-0005-0000-0000-000035050000}"/>
    <cellStyle name="_Cta Cte Enero 2005 - 11 Abr 05_Presupuesto sistemas 2008_Consolidado PPTO Ingresos 2010 Ajuste Reuniones" xfId="1334" xr:uid="{00000000-0005-0000-0000-000036050000}"/>
    <cellStyle name="_Cta Cte Enero 2005 - 11 Abr 05_Presupuesto sistemas 2008_Consolidado PPTO Ingresos 2010 Ejerc" xfId="1335" xr:uid="{00000000-0005-0000-0000-000037050000}"/>
    <cellStyle name="_Cta Cte Enero 2005 - 11 Abr 05_Presupuesto sistemas 2008_Consolidado PPTO Ingresos 2010 Ejerc Reduccion % Ocupacional" xfId="1336" xr:uid="{00000000-0005-0000-0000-000038050000}"/>
    <cellStyle name="_Cta Cte Enero 2005 - 11 Abr 05_Presupuesto sistemas 2008_Consolidado PPTO Ingresos 2010 Ejerc Reduccion % Ocupacional Vs 3 Centro" xfId="1337" xr:uid="{00000000-0005-0000-0000-000039050000}"/>
    <cellStyle name="_Cta Cte Enero 2005 - 11 Abr 05_Presupuesto sistemas 2008_FORMATOPresupuesto 2010-TRABAJO.C1" xfId="1338" xr:uid="{00000000-0005-0000-0000-00003A050000}"/>
    <cellStyle name="_Cta Cte Enero 2005 - 11 Abr 05_Presupuesto sistemas 2008_FORMATOPresupuesto 2010-TRABAJO.C1." xfId="1339" xr:uid="{00000000-0005-0000-0000-00003B050000}"/>
    <cellStyle name="_Cta Cte Enero 2005 - 11 Abr 05_PRESUPUESTO_DIETAS_2010___FINAL(1 1)" xfId="1340" xr:uid="{00000000-0005-0000-0000-00003C050000}"/>
    <cellStyle name="_Cta Cte Enero 2005 - 11 Abr 05_PRESUPUESTO_DIETAS_2010___FINAL(1 1)_DIVERSOS.CONS" xfId="1341" xr:uid="{00000000-0005-0000-0000-00003D050000}"/>
    <cellStyle name="_Cta Cte Enero 2005 - 11 Abr 05_presupuestocamaras" xfId="1342" xr:uid="{00000000-0005-0000-0000-00003E050000}"/>
    <cellStyle name="_Cta Cte Enero 2005 - 11 Abr 05_PresupuestoFacturacionelectonica" xfId="1343" xr:uid="{00000000-0005-0000-0000-00003F050000}"/>
    <cellStyle name="_Cta Cte Enero 2005 - 11 Abr 05_PRESUPUESTOTECNOLOGIACAMBIO" xfId="1344" xr:uid="{00000000-0005-0000-0000-000040050000}"/>
    <cellStyle name="_Cta Cte Enero 2005 - 11 Abr 05_PRESUPUESTOTECNOLOGIACAMBIO_Consolidado 1000 Proyecciones" xfId="1345" xr:uid="{00000000-0005-0000-0000-000041050000}"/>
    <cellStyle name="_Cta Cte Enero 2005 - 11 Abr 05_PRESUPUESTOTECNOLOGIACAMBIO_FORMATOPresupuesto 2010-TRABAJO.C1" xfId="1346" xr:uid="{00000000-0005-0000-0000-000042050000}"/>
    <cellStyle name="_Cta Cte Enero 2005 - 11 Abr 05_PRESUPUESTOTECNOLOGIACAMBIO_FORMATOPresupuesto 2010-TRABAJO.C1." xfId="1347" xr:uid="{00000000-0005-0000-0000-000043050000}"/>
    <cellStyle name="_Cta Cte Enero 2005 - 11 Abr 05_PRESUPUESTOTECNOLOGIAINFORMATICA2010_vers2003" xfId="1348" xr:uid="{00000000-0005-0000-0000-000044050000}"/>
    <cellStyle name="_Cta Cte Enero 2005 - 11 Abr 05_PRESUPUESTOTECNOLOGIAINFORMATICA2010_vers2003_Consolidado 1000 Proyecciones" xfId="1349" xr:uid="{00000000-0005-0000-0000-000045050000}"/>
    <cellStyle name="_Cta Cte Enero 2005 - 11 Abr 05_PRESUPUESTOTECNOLOGIAINFORMATICA2010_vers2003_FORMATOPresupuesto 2010-TRABAJO.C1" xfId="1350" xr:uid="{00000000-0005-0000-0000-000046050000}"/>
    <cellStyle name="_Cta Cte Enero 2005 - 11 Abr 05_PRESUPUESTOTECNOLOGIAINFORMATICA2010_vers2003_FORMATOPresupuesto 2010-TRABAJO.C1." xfId="1351" xr:uid="{00000000-0005-0000-0000-000047050000}"/>
    <cellStyle name="_Cta Cte Enero 2005 - 11 Abr 05_provision contingencias-CONS" xfId="1352" xr:uid="{00000000-0005-0000-0000-000048050000}"/>
    <cellStyle name="_Cta Cte Enero 2005 - 11 Abr 05_provision de cartera-CONS" xfId="1353" xr:uid="{00000000-0005-0000-0000-000049050000}"/>
    <cellStyle name="_Cta Cte Enero 2005 - 11 Abr 05_PUBLICIDAD" xfId="1354" xr:uid="{00000000-0005-0000-0000-00004A050000}"/>
    <cellStyle name="_Cta Cte Enero 2005 - 11 Abr 05_PUBLICIDAD_DIVERSOS.CONS" xfId="1355" xr:uid="{00000000-0005-0000-0000-00004B050000}"/>
    <cellStyle name="_Cta Cte Enero 2005 - 11 Abr 05_SERVICIOS" xfId="1356" xr:uid="{00000000-0005-0000-0000-00004C050000}"/>
    <cellStyle name="_Cta Cte Enero 2005 - 11 Abr 05_SERVICIOS." xfId="1357" xr:uid="{00000000-0005-0000-0000-00004D050000}"/>
    <cellStyle name="_Cta Cte Enero 2005 - 11 Abr 05_SERVICIOS_DIVERSOS.CONS" xfId="1358" xr:uid="{00000000-0005-0000-0000-00004E050000}"/>
    <cellStyle name="_Cta Cte Enero 2005 - 11 Abr 05_SUMINISTROS LOGISTICA ULTIMO NOV 20" xfId="1359" xr:uid="{00000000-0005-0000-0000-00004F050000}"/>
    <cellStyle name="_Cta Cte Enero 2005 - 11 Abr 05_SUMINISTROS LOGISTICA ULTIMO NOV 20_Consolidado 1000 Proyecciones" xfId="1360" xr:uid="{00000000-0005-0000-0000-000050050000}"/>
    <cellStyle name="_Cta Cte Enero 2005 - 11 Abr 05_SUMINISTROS LOGISTICA ULTIMO NOV 20_FORMATOPresupuesto 2010-TRABAJO.C1" xfId="1361" xr:uid="{00000000-0005-0000-0000-000051050000}"/>
    <cellStyle name="_Cta Cte Enero 2005 - 11 Abr 05_SUMINISTROS LOGISTICA ULTIMO NOV 20_FORMATOPresupuesto 2010-TRABAJO.C1." xfId="1362" xr:uid="{00000000-0005-0000-0000-000052050000}"/>
    <cellStyle name="_Cta Cte Enero 2005 - 11 Abr 05_TECNOLOGIA E INFORMATICA" xfId="1363" xr:uid="{00000000-0005-0000-0000-000053050000}"/>
    <cellStyle name="_Cta Cte Enero 2005 - 11 Abr 05_TECNOLOGIA E INFORMATICA_Consolidado 1000 Proyecciones" xfId="1364" xr:uid="{00000000-0005-0000-0000-000054050000}"/>
    <cellStyle name="_Cta Cte Enero 2005 - 11 Abr 05_TECNOLOGIA E INFORMATICA_FORMATOPresupuesto 2010-TRABAJO.C1" xfId="1365" xr:uid="{00000000-0005-0000-0000-000055050000}"/>
    <cellStyle name="_Cta Cte Enero 2005 - 11 Abr 05_TECNOLOGIA E INFORMATICA_FORMATOPresupuesto 2010-TRABAJO.C1." xfId="1366" xr:uid="{00000000-0005-0000-0000-000056050000}"/>
    <cellStyle name="_Cta Cte Enero 2005 - 11 Abr 05_xerox" xfId="1367" xr:uid="{00000000-0005-0000-0000-000057050000}"/>
    <cellStyle name="_Cta Cte Enero 2005 - 11 Abr 05_xerox_Consolidado 1000 Proyecciones" xfId="1368" xr:uid="{00000000-0005-0000-0000-000058050000}"/>
    <cellStyle name="_Cta Cte Enero 2005 - 11 Abr 05_xerox_Consolidado PPTO Ingresos 2010 Ajuste Medicamentos" xfId="1369" xr:uid="{00000000-0005-0000-0000-000059050000}"/>
    <cellStyle name="_Cta Cte Enero 2005 - 11 Abr 05_xerox_Consolidado PPTO Ingresos 2010 Ajuste Reuniones" xfId="1370" xr:uid="{00000000-0005-0000-0000-00005A050000}"/>
    <cellStyle name="_Cta Cte Enero 2005 - 11 Abr 05_xerox_Consolidado PPTO Ingresos 2010 Ejerc" xfId="1371" xr:uid="{00000000-0005-0000-0000-00005B050000}"/>
    <cellStyle name="_Cta Cte Enero 2005 - 11 Abr 05_xerox_Consolidado PPTO Ingresos 2010 Ejerc Reduccion % Ocupacional" xfId="1372" xr:uid="{00000000-0005-0000-0000-00005C050000}"/>
    <cellStyle name="_Cta Cte Enero 2005 - 11 Abr 05_xerox_Consolidado PPTO Ingresos 2010 Ejerc Reduccion % Ocupacional Vs 3 Centro" xfId="1373" xr:uid="{00000000-0005-0000-0000-00005D050000}"/>
    <cellStyle name="_Cta Cte Enero 2005 - 11 Abr 05_xerox_FORMATOPresupuesto 2010-TRABAJO.C1" xfId="1374" xr:uid="{00000000-0005-0000-0000-00005E050000}"/>
    <cellStyle name="_Cta Cte Enero 2005 - 11 Abr 05_xerox_FORMATOPresupuesto 2010-TRABAJO.C1." xfId="1375" xr:uid="{00000000-0005-0000-0000-00005F050000}"/>
    <cellStyle name="_Cta Cte Enero-08" xfId="1376" xr:uid="{00000000-0005-0000-0000-000060050000}"/>
    <cellStyle name="_Cta Cte Enero-08_COSTO DE MEDICAMENTOS " xfId="1377" xr:uid="{00000000-0005-0000-0000-000061050000}"/>
    <cellStyle name="_Cta Cte Enero-08_COSTO DE MEDICAMENTOS _Consolidado PPTO Ingresos 2010 Ajuste Medicamentos" xfId="1378" xr:uid="{00000000-0005-0000-0000-000062050000}"/>
    <cellStyle name="_Cta Cte Enero-08_COSTO DE MEDICAMENTOS _Consolidado PPTO Ingresos 2010 Ajuste Reuniones" xfId="1379" xr:uid="{00000000-0005-0000-0000-000063050000}"/>
    <cellStyle name="_Cta Cte Enero-08_COSTO DE MEDICAMENTOS _Consolidado PPTO Ingresos 2010 Ejerc Reduccion % Ocupacional Vs 3 Centro" xfId="1380" xr:uid="{00000000-0005-0000-0000-000064050000}"/>
    <cellStyle name="_Cta Cte Enero-08_COSTO DE MEDICAMENTOS." xfId="1381" xr:uid="{00000000-0005-0000-0000-000065050000}"/>
    <cellStyle name="_Cta Cte Enero-08_EJECUCION CONSOLIDADA A OCTUBRE GENERAL.CONSOLIDADO" xfId="1382" xr:uid="{00000000-0005-0000-0000-000066050000}"/>
    <cellStyle name="_Cta Cte Enero-08_EJECUCION PRESUPUESTAL A AGOSTO 09" xfId="1383" xr:uid="{00000000-0005-0000-0000-000067050000}"/>
    <cellStyle name="_Cta Cte Enero-08_EJECUCION PRESUPUESTAL A NOVIEMBRE  09 EJERCICIO AJUSTE INGRESOS " xfId="1384" xr:uid="{00000000-0005-0000-0000-000068050000}"/>
    <cellStyle name="_Cta Cte Enero-08_EJECUCION PRESUPUESTAL A NOVIEMBRE  09 EJERCICIO AJUSTE INGRESOS _Consolidado PPTO Ingresos 2010 Ajuste Medicamentos" xfId="1385" xr:uid="{00000000-0005-0000-0000-000069050000}"/>
    <cellStyle name="_Cta Cte Enero-08_FINANCIEROS-CONS" xfId="1386" xr:uid="{00000000-0005-0000-0000-00006A050000}"/>
    <cellStyle name="_Cta Cte Enero-08_provision contingencias-CONS" xfId="1387" xr:uid="{00000000-0005-0000-0000-00006B050000}"/>
    <cellStyle name="_Cta Cte Enero-08_provision de cartera-CONS" xfId="1388" xr:uid="{00000000-0005-0000-0000-00006C050000}"/>
    <cellStyle name="_Cta Cte Feb 2005 ( 5 Abr 2005 )" xfId="1389" xr:uid="{00000000-0005-0000-0000-00006D050000}"/>
    <cellStyle name="_Cta Cte Feb 2005 ( 5 Abr 2005 )_Arriendo alcatel 2008 presup" xfId="1390" xr:uid="{00000000-0005-0000-0000-00006E050000}"/>
    <cellStyle name="_Cta Cte Feb 2005 ( 5 Abr 2005 )_Arriendo alcatel 2008 presup (2)" xfId="1391" xr:uid="{00000000-0005-0000-0000-00006F050000}"/>
    <cellStyle name="_Cta Cte Feb 2005 ( 5 Abr 2005 )_CENTRO DE COSTOS PLANTILLA" xfId="1392" xr:uid="{00000000-0005-0000-0000-000070050000}"/>
    <cellStyle name="_Cta Cte Feb 2005 ( 5 Abr 2005 )_CENTROS DE GESTION 2010" xfId="1393" xr:uid="{00000000-0005-0000-0000-000071050000}"/>
    <cellStyle name="_Cta Cte Feb 2005 ( 5 Abr 2005 )_CENTROS DE GESTION 2010_Consolidado PPTO Ingresos 2010 Ajuste Medicamentos" xfId="1394" xr:uid="{00000000-0005-0000-0000-000072050000}"/>
    <cellStyle name="_Cta Cte Feb 2005 ( 5 Abr 2005 )_CENTROS DE GESTION 2010_Consolidado PPTO Ingresos 2010 Ajuste Reuniones" xfId="1395" xr:uid="{00000000-0005-0000-0000-000073050000}"/>
    <cellStyle name="_Cta Cte Feb 2005 ( 5 Abr 2005 )_CENTROS DE GESTION 2010_Consolidado PPTO Ingresos 2010 Ejerc Reduccion % Ocupacional Vs 3 Centro" xfId="1396" xr:uid="{00000000-0005-0000-0000-000074050000}"/>
    <cellStyle name="_Cta Cte Feb 2005 ( 5 Abr 2005 )_Consolidado Ingresos" xfId="1397" xr:uid="{00000000-0005-0000-0000-000075050000}"/>
    <cellStyle name="_Cta Cte Feb 2005 ( 5 Abr 2005 )_Consolidado Ingresos_Consolidado PPTO Ingresos 2010 Ajuste Medicamentos" xfId="1398" xr:uid="{00000000-0005-0000-0000-000076050000}"/>
    <cellStyle name="_Cta Cte Feb 2005 ( 5 Abr 2005 )_Consolidado Ingresos_Consolidado PPTO Ingresos 2010 Ajuste Reuniones" xfId="1399" xr:uid="{00000000-0005-0000-0000-000077050000}"/>
    <cellStyle name="_Cta Cte Feb 2005 ( 5 Abr 2005 )_Consolidado Ingresos_Consolidado PPTO Ingresos 2010 Ejerc" xfId="1400" xr:uid="{00000000-0005-0000-0000-000078050000}"/>
    <cellStyle name="_Cta Cte Feb 2005 ( 5 Abr 2005 )_Consolidado Ingresos_Consolidado PPTO Ingresos 2010 Ejerc Reduccion % Ocupacional" xfId="1401" xr:uid="{00000000-0005-0000-0000-000079050000}"/>
    <cellStyle name="_Cta Cte Feb 2005 ( 5 Abr 2005 )_Consolidado Ingresos_Consolidado PPTO Ingresos 2010 Ejerc Reduccion % Ocupacional Vs 3 Centro" xfId="1402" xr:uid="{00000000-0005-0000-0000-00007A050000}"/>
    <cellStyle name="_Cta Cte Feb 2005 ( 5 Abr 2005 )_CONSOLIDADOS DE RUBROS CONTABLES" xfId="1403" xr:uid="{00000000-0005-0000-0000-00007B050000}"/>
    <cellStyle name="_Cta Cte Feb 2005 ( 5 Abr 2005 )_CONSOLIDADOS DE RUBROS CONTABLES_DIVERSOS.CONS" xfId="1404" xr:uid="{00000000-0005-0000-0000-00007C050000}"/>
    <cellStyle name="_Cta Cte Feb 2005 ( 5 Abr 2005 )_Copia de PRESUPUESTOSISTEMAS2009formato2003" xfId="1405" xr:uid="{00000000-0005-0000-0000-00007D050000}"/>
    <cellStyle name="_Cta Cte Feb 2005 ( 5 Abr 2005 )_Copia de PRESUPUESTOSISTEMAS2009formato2003_Consolidado 1000 Proyecciones" xfId="1406" xr:uid="{00000000-0005-0000-0000-00007E050000}"/>
    <cellStyle name="_Cta Cte Feb 2005 ( 5 Abr 2005 )_Copia de PRESUPUESTOSISTEMAS2009formato2003_Consolidado PPTO Ingresos 2010 Ajuste Medicamentos" xfId="1407" xr:uid="{00000000-0005-0000-0000-00007F050000}"/>
    <cellStyle name="_Cta Cte Feb 2005 ( 5 Abr 2005 )_Copia de PRESUPUESTOSISTEMAS2009formato2003_Consolidado PPTO Ingresos 2010 Ajuste Reuniones" xfId="1408" xr:uid="{00000000-0005-0000-0000-000080050000}"/>
    <cellStyle name="_Cta Cte Feb 2005 ( 5 Abr 2005 )_Copia de PRESUPUESTOSISTEMAS2009formato2003_Consolidado PPTO Ingresos 2010 Ejerc" xfId="1409" xr:uid="{00000000-0005-0000-0000-000081050000}"/>
    <cellStyle name="_Cta Cte Feb 2005 ( 5 Abr 2005 )_Copia de PRESUPUESTOSISTEMAS2009formato2003_Consolidado PPTO Ingresos 2010 Ejerc Reduccion % Ocupacional" xfId="1410" xr:uid="{00000000-0005-0000-0000-000082050000}"/>
    <cellStyle name="_Cta Cte Feb 2005 ( 5 Abr 2005 )_Copia de PRESUPUESTOSISTEMAS2009formato2003_Consolidado PPTO Ingresos 2010 Ejerc Reduccion % Ocupacional Vs 3 Centro" xfId="1411" xr:uid="{00000000-0005-0000-0000-000083050000}"/>
    <cellStyle name="_Cta Cte Feb 2005 ( 5 Abr 2005 )_Copia de PRESUPUESTOSISTEMAS2009formato2003_FORMATOPresupuesto 2010-TRABAJO.C1" xfId="1412" xr:uid="{00000000-0005-0000-0000-000084050000}"/>
    <cellStyle name="_Cta Cte Feb 2005 ( 5 Abr 2005 )_Copia de PRESUPUESTOSISTEMAS2009formato2003_FORMATOPresupuesto 2010-TRABAJO.C1." xfId="1413" xr:uid="{00000000-0005-0000-0000-000085050000}"/>
    <cellStyle name="_Cta Cte Feb 2005 ( 5 Abr 2005 )_COSTO DE MEDICAMENTOS." xfId="1414" xr:uid="{00000000-0005-0000-0000-000086050000}"/>
    <cellStyle name="_Cta Cte Feb 2005 ( 5 Abr 2005 )_COSTO DE MEDICAMENTOS._Consolidado 1000 Proyecciones" xfId="1415" xr:uid="{00000000-0005-0000-0000-000087050000}"/>
    <cellStyle name="_Cta Cte Feb 2005 ( 5 Abr 2005 )_COSTO DE MEDICAMENTOS._FORMATOPresupuesto 2010-TRABAJO.C1" xfId="1416" xr:uid="{00000000-0005-0000-0000-000088050000}"/>
    <cellStyle name="_Cta Cte Feb 2005 ( 5 Abr 2005 )_COSTO DE MEDICAMENTOS._FORMATOPresupuesto 2010-TRABAJO.C1." xfId="1417" xr:uid="{00000000-0005-0000-0000-000089050000}"/>
    <cellStyle name="_Cta Cte Feb 2005 ( 5 Abr 2005 )_DIVERSOS.CONS" xfId="1418" xr:uid="{00000000-0005-0000-0000-00008A050000}"/>
    <cellStyle name="_Cta Cte Feb 2005 ( 5 Abr 2005 )_EJECUCION CONSOLIDADA A OCTUBRE GENERAL.CONSOLIDADO" xfId="1419" xr:uid="{00000000-0005-0000-0000-00008B050000}"/>
    <cellStyle name="_Cta Cte Feb 2005 ( 5 Abr 2005 )_EJECUCION PRESUPUESTAL A AGOSTO 09" xfId="1420" xr:uid="{00000000-0005-0000-0000-00008C050000}"/>
    <cellStyle name="_Cta Cte Feb 2005 ( 5 Abr 2005 )_EJECUCION PRESUPUESTAL A NOVIEMBRE  09 EJERCICIO AJUSTE INGRESOS " xfId="1421" xr:uid="{00000000-0005-0000-0000-00008D050000}"/>
    <cellStyle name="_Cta Cte Feb 2005 ( 5 Abr 2005 )_EJECUCION PRESUPUESTAL A NOVIEMBRE  09 EJERCICIO AJUSTE INGRESOS _Consolidado PPTO Ingresos 2010 Ajuste Medicamentos" xfId="1422" xr:uid="{00000000-0005-0000-0000-00008E050000}"/>
    <cellStyle name="_Cta Cte Feb 2005 ( 5 Abr 2005 )_EJECUCION PRESUPUESTAL A SEPTIEMBRE  09 EJERCICIO AJUSTE INGRESOS" xfId="1423" xr:uid="{00000000-0005-0000-0000-00008F050000}"/>
    <cellStyle name="_Cta Cte Feb 2005 ( 5 Abr 2005 )_EJECUCION PRESUPUESTAL A SEPTIEMBRE  09 EJERCICIO AJUSTE INGRESOS_Consolidado PPTO Ingresos 2010 Ajuste Medicamentos" xfId="1424" xr:uid="{00000000-0005-0000-0000-000090050000}"/>
    <cellStyle name="_Cta Cte Feb 2005 ( 5 Abr 2005 )_EJECUCION PRESUPUESTAL A SEPTIEMBRE  09 EJERCICIO AJUSTE INGRESOS_Consolidado PPTO Ingresos 2010 Ajuste Reuniones" xfId="1425" xr:uid="{00000000-0005-0000-0000-000091050000}"/>
    <cellStyle name="_Cta Cte Feb 2005 ( 5 Abr 2005 )_EJECUCION PRESUPUESTAL A SEPTIEMBRE  09 EJERCICIO AJUSTE INGRESOS_Consolidado PPTO Ingresos 2010 Ejerc Reduccion % Ocupacional Vs 3 Centro" xfId="1426" xr:uid="{00000000-0005-0000-0000-000092050000}"/>
    <cellStyle name="_Cta Cte Feb 2005 ( 5 Abr 2005 )_EJECUCION_CONSOLIDADA_AGO_2008(1)" xfId="1427" xr:uid="{00000000-0005-0000-0000-000093050000}"/>
    <cellStyle name="_Cta Cte Feb 2005 ( 5 Abr 2005 )_EJECUCION_CONSOLIDADA_AGO_2008(1)_Consolidado 1000 Proyecciones" xfId="1428" xr:uid="{00000000-0005-0000-0000-000094050000}"/>
    <cellStyle name="_Cta Cte Feb 2005 ( 5 Abr 2005 )_EJECUCION_CONSOLIDADA_AGO_2008(1)_FORMATOPresupuesto 2010-TRABAJO.C1" xfId="1429" xr:uid="{00000000-0005-0000-0000-000095050000}"/>
    <cellStyle name="_Cta Cte Feb 2005 ( 5 Abr 2005 )_EJECUCION_CONSOLIDADA_AGO_2008(1)_FORMATOPresupuesto 2010-TRABAJO.C1." xfId="1430" xr:uid="{00000000-0005-0000-0000-000096050000}"/>
    <cellStyle name="_Cta Cte Feb 2005 ( 5 Abr 2005 )_FINANCIEROS-CONS" xfId="1431" xr:uid="{00000000-0005-0000-0000-000097050000}"/>
    <cellStyle name="_Cta Cte Feb 2005 ( 5 Abr 2005 )_GASTOS 2010" xfId="1432" xr:uid="{00000000-0005-0000-0000-000098050000}"/>
    <cellStyle name="_Cta Cte Feb 2005 ( 5 Abr 2005 )_IMPRESION1" xfId="1433" xr:uid="{00000000-0005-0000-0000-000099050000}"/>
    <cellStyle name="_Cta Cte Feb 2005 ( 5 Abr 2005 )_IMPRESION1_Consolidado 1000 Proyecciones" xfId="1434" xr:uid="{00000000-0005-0000-0000-00009A050000}"/>
    <cellStyle name="_Cta Cte Feb 2005 ( 5 Abr 2005 )_IMPRESION1_FORMATOPresupuesto 2010-TRABAJO.C1" xfId="1435" xr:uid="{00000000-0005-0000-0000-00009B050000}"/>
    <cellStyle name="_Cta Cte Feb 2005 ( 5 Abr 2005 )_IMPRESION1_FORMATOPresupuesto 2010-TRABAJO.C1." xfId="1436" xr:uid="{00000000-0005-0000-0000-00009C050000}"/>
    <cellStyle name="_Cta Cte Feb 2005 ( 5 Abr 2005 )_Ingresos Presupuesto 2008" xfId="1437" xr:uid="{00000000-0005-0000-0000-00009D050000}"/>
    <cellStyle name="_Cta Cte Feb 2005 ( 5 Abr 2005 )_Ingresos Presupuesto 2008_Consolidado PPTO Ingresos 2010 Ajuste Medicamentos" xfId="1438" xr:uid="{00000000-0005-0000-0000-00009E050000}"/>
    <cellStyle name="_Cta Cte Feb 2005 ( 5 Abr 2005 )_Ingresos Presupuesto 2008_Consolidado PPTO Ingresos 2010 Ajuste Reuniones" xfId="1439" xr:uid="{00000000-0005-0000-0000-00009F050000}"/>
    <cellStyle name="_Cta Cte Feb 2005 ( 5 Abr 2005 )_Ingresos Presupuesto 2008_Consolidado PPTO Ingresos 2010 Ejerc" xfId="1440" xr:uid="{00000000-0005-0000-0000-0000A0050000}"/>
    <cellStyle name="_Cta Cte Feb 2005 ( 5 Abr 2005 )_Ingresos Presupuesto 2008_Consolidado PPTO Ingresos 2010 Ejerc Reduccion % Ocupacional" xfId="1441" xr:uid="{00000000-0005-0000-0000-0000A1050000}"/>
    <cellStyle name="_Cta Cte Feb 2005 ( 5 Abr 2005 )_Ingresos Presupuesto 2008_Consolidado PPTO Ingresos 2010 Ejerc Reduccion % Ocupacional Vs 3 Centro" xfId="1442" xr:uid="{00000000-0005-0000-0000-0000A2050000}"/>
    <cellStyle name="_Cta Cte Feb 2005 ( 5 Abr 2005 )_mantenimiento infraestrucruta" xfId="1443" xr:uid="{00000000-0005-0000-0000-0000A3050000}"/>
    <cellStyle name="_Cta Cte Feb 2005 ( 5 Abr 2005 )_mantenimiento infraestrucruta (2)" xfId="1444" xr:uid="{00000000-0005-0000-0000-0000A4050000}"/>
    <cellStyle name="_Cta Cte Feb 2005 ( 5 Abr 2005 )_mantenimiento infraestrucruta (2)_PRESUPUESTO 2010 06-11-09 430 p m " xfId="1445" xr:uid="{00000000-0005-0000-0000-0000A5050000}"/>
    <cellStyle name="_Cta Cte Feb 2005 ( 5 Abr 2005 )_mantenimiento infraestrucruta (2)_PRESUPUESTO 2010 06-11-09 430 p m _DIVERSOS.CONS" xfId="1446" xr:uid="{00000000-0005-0000-0000-0000A6050000}"/>
    <cellStyle name="_Cta Cte Feb 2005 ( 5 Abr 2005 )_mantenimiento infraestrucruta (2)_SERVICIOS" xfId="1447" xr:uid="{00000000-0005-0000-0000-0000A7050000}"/>
    <cellStyle name="_Cta Cte Feb 2005 ( 5 Abr 2005 )_mantenimiento infraestrucruta (2)_SERVICIOS_DIVERSOS.CONS" xfId="1448" xr:uid="{00000000-0005-0000-0000-0000A8050000}"/>
    <cellStyle name="_Cta Cte Feb 2005 ( 5 Abr 2005 )_mantenimiento infraestrucruta_PRESUPUESTO 2010 06-11-09 430 p m " xfId="1449" xr:uid="{00000000-0005-0000-0000-0000A9050000}"/>
    <cellStyle name="_Cta Cte Feb 2005 ( 5 Abr 2005 )_mantenimiento infraestrucruta_PRESUPUESTO 2010 06-11-09 430 p m _DIVERSOS.CONS" xfId="1450" xr:uid="{00000000-0005-0000-0000-0000AA050000}"/>
    <cellStyle name="_Cta Cte Feb 2005 ( 5 Abr 2005 )_mantenimiento infraestrucruta_SERVICIOS" xfId="1451" xr:uid="{00000000-0005-0000-0000-0000AB050000}"/>
    <cellStyle name="_Cta Cte Feb 2005 ( 5 Abr 2005 )_mantenimiento infraestrucruta_SERVICIOS_DIVERSOS.CONS" xfId="1452" xr:uid="{00000000-0005-0000-0000-0000AC050000}"/>
    <cellStyle name="_Cta Cte Feb 2005 ( 5 Abr 2005 )_MANTENIMIENTO2010" xfId="1453" xr:uid="{00000000-0005-0000-0000-0000AD050000}"/>
    <cellStyle name="_Cta Cte Feb 2005 ( 5 Abr 2005 )_P Y G LABORATORIO-IMAGENES  cjc" xfId="1454" xr:uid="{00000000-0005-0000-0000-0000AE050000}"/>
    <cellStyle name="_Cta Cte Feb 2005 ( 5 Abr 2005 )_PLANTILLAS LEASING Y SERVICIOS" xfId="1455" xr:uid="{00000000-0005-0000-0000-0000AF050000}"/>
    <cellStyle name="_Cta Cte Feb 2005 ( 5 Abr 2005 )_ppto ucis ac is" xfId="1456" xr:uid="{00000000-0005-0000-0000-0000B0050000}"/>
    <cellStyle name="_Cta Cte Feb 2005 ( 5 Abr 2005 )_ppto ucis ac is_COSTO DE MEDICAMENTOS " xfId="1457" xr:uid="{00000000-0005-0000-0000-0000B1050000}"/>
    <cellStyle name="_Cta Cte Feb 2005 ( 5 Abr 2005 )_ppto ucis ac is_COSTO DE MEDICAMENTOS _Consolidado PPTO Ingresos 2010 Ajuste Medicamentos" xfId="1458" xr:uid="{00000000-0005-0000-0000-0000B2050000}"/>
    <cellStyle name="_Cta Cte Feb 2005 ( 5 Abr 2005 )_ppto ucis ac is_COSTO DE MEDICAMENTOS _Consolidado PPTO Ingresos 2010 Ajuste Reuniones" xfId="1459" xr:uid="{00000000-0005-0000-0000-0000B3050000}"/>
    <cellStyle name="_Cta Cte Feb 2005 ( 5 Abr 2005 )_ppto ucis ac is_COSTO DE MEDICAMENTOS _Consolidado PPTO Ingresos 2010 Ejerc Reduccion % Ocupacional Vs 3 Centro" xfId="1460" xr:uid="{00000000-0005-0000-0000-0000B4050000}"/>
    <cellStyle name="_Cta Cte Feb 2005 ( 5 Abr 2005 )_ppto ucis ac is_EJECUCION PRESUPUESTAL A NOVIEMBRE  09 EJERCICIO AJUSTE INGRESOS " xfId="1461" xr:uid="{00000000-0005-0000-0000-0000B5050000}"/>
    <cellStyle name="_Cta Cte Feb 2005 ( 5 Abr 2005 )_ppto ucis ac is_EJECUCION PRESUPUESTAL A NOVIEMBRE  09 EJERCICIO AJUSTE INGRESOS _Consolidado PPTO Ingresos 2010 Ajuste Medicamentos" xfId="1462" xr:uid="{00000000-0005-0000-0000-0000B6050000}"/>
    <cellStyle name="_Cta Cte Feb 2005 ( 5 Abr 2005 )_PRESUPUESTO  CONSUMOS CAFETERIA 2010" xfId="1463" xr:uid="{00000000-0005-0000-0000-0000B7050000}"/>
    <cellStyle name="_Cta Cte Feb 2005 ( 5 Abr 2005 )_PRESUPUESTO  CONSUMOS JARRAS DE AGUA  2010" xfId="1464" xr:uid="{00000000-0005-0000-0000-0000B8050000}"/>
    <cellStyle name="_Cta Cte Feb 2005 ( 5 Abr 2005 )_PRESUPUESTO  CONSUMOS JARRAS DE AGUA  2010_DIVERSOS.CONS" xfId="1465" xr:uid="{00000000-0005-0000-0000-0000B9050000}"/>
    <cellStyle name="_Cta Cte Feb 2005 ( 5 Abr 2005 )_PRESUPUESTO  CONSUMOS VASOS  2010" xfId="1466" xr:uid="{00000000-0005-0000-0000-0000BA050000}"/>
    <cellStyle name="_Cta Cte Feb 2005 ( 5 Abr 2005 )_PRESUPUESTO  CONSUMOS VASOS  2010_DIVERSOS.CONS" xfId="1467" xr:uid="{00000000-0005-0000-0000-0000BB050000}"/>
    <cellStyle name="_Cta Cte Feb 2005 ( 5 Abr 2005 )_PRESUPUESTO  TINTOS 2010" xfId="1468" xr:uid="{00000000-0005-0000-0000-0000BC050000}"/>
    <cellStyle name="_Cta Cte Feb 2005 ( 5 Abr 2005 )_PRESUPUESTO 2010 06-11-09 430 p m " xfId="1469" xr:uid="{00000000-0005-0000-0000-0000BD050000}"/>
    <cellStyle name="_Cta Cte Feb 2005 ( 5 Abr 2005 )_PRESUPUESTO 2010 06-11-09 430 p m _Consolidado 1000 Proyecciones" xfId="1470" xr:uid="{00000000-0005-0000-0000-0000BE050000}"/>
    <cellStyle name="_Cta Cte Feb 2005 ( 5 Abr 2005 )_PRESUPUESTO 2010 06-11-09 430 p m _FORMATOPresupuesto 2010-TRABAJO.C1" xfId="1471" xr:uid="{00000000-0005-0000-0000-0000BF050000}"/>
    <cellStyle name="_Cta Cte Feb 2005 ( 5 Abr 2005 )_PRESUPUESTO 2010 06-11-09 430 p m _FORMATOPresupuesto 2010-TRABAJO.C1." xfId="1472" xr:uid="{00000000-0005-0000-0000-0000C0050000}"/>
    <cellStyle name="_Cta Cte Feb 2005 ( 5 Abr 2005 )_PRESUPUESTO BOTELLONES  AGUA 2010" xfId="1473" xr:uid="{00000000-0005-0000-0000-0000C1050000}"/>
    <cellStyle name="_Cta Cte Feb 2005 ( 5 Abr 2005 )_presupuesto de mantenimiento" xfId="1474" xr:uid="{00000000-0005-0000-0000-0000C2050000}"/>
    <cellStyle name="_Cta Cte Feb 2005 ( 5 Abr 2005 )_presupuesto de mantenimiento (2)" xfId="1475" xr:uid="{00000000-0005-0000-0000-0000C3050000}"/>
    <cellStyle name="_Cta Cte Feb 2005 ( 5 Abr 2005 )_presupuesto de mantenimiento (2)_Consolidado 1000 Proyecciones" xfId="1476" xr:uid="{00000000-0005-0000-0000-0000C4050000}"/>
    <cellStyle name="_Cta Cte Feb 2005 ( 5 Abr 2005 )_presupuesto de mantenimiento (2)_FORMATOPresupuesto 2010-TRABAJO.C1" xfId="1477" xr:uid="{00000000-0005-0000-0000-0000C5050000}"/>
    <cellStyle name="_Cta Cte Feb 2005 ( 5 Abr 2005 )_presupuesto de mantenimiento (2)_FORMATOPresupuesto 2010-TRABAJO.C1." xfId="1478" xr:uid="{00000000-0005-0000-0000-0000C6050000}"/>
    <cellStyle name="_Cta Cte Feb 2005 ( 5 Abr 2005 )_presupuesto de mantenimiento_Consolidado 1000 Proyecciones" xfId="1479" xr:uid="{00000000-0005-0000-0000-0000C7050000}"/>
    <cellStyle name="_Cta Cte Feb 2005 ( 5 Abr 2005 )_presupuesto de mantenimiento_FORMATOPresupuesto 2010-TRABAJO.C1" xfId="1480" xr:uid="{00000000-0005-0000-0000-0000C8050000}"/>
    <cellStyle name="_Cta Cte Feb 2005 ( 5 Abr 2005 )_presupuesto de mantenimiento_FORMATOPresupuesto 2010-TRABAJO.C1." xfId="1481" xr:uid="{00000000-0005-0000-0000-0000C9050000}"/>
    <cellStyle name="_Cta Cte Feb 2005 ( 5 Abr 2005 )_PRESUPUESTO LEASING_FINAL_Oct25" xfId="1482" xr:uid="{00000000-0005-0000-0000-0000CA050000}"/>
    <cellStyle name="_Cta Cte Feb 2005 ( 5 Abr 2005 )_PRESUPUESTO LEASING_FINAL_Oct25_Consolidado 1000 Proyecciones" xfId="1483" xr:uid="{00000000-0005-0000-0000-0000CB050000}"/>
    <cellStyle name="_Cta Cte Feb 2005 ( 5 Abr 2005 )_PRESUPUESTO LEASING_FINAL_Oct25_Consolidado PPTO Ingresos 2010 Ajuste Medicamentos" xfId="1484" xr:uid="{00000000-0005-0000-0000-0000CC050000}"/>
    <cellStyle name="_Cta Cte Feb 2005 ( 5 Abr 2005 )_PRESUPUESTO LEASING_FINAL_Oct25_Consolidado PPTO Ingresos 2010 Ajuste Reuniones" xfId="1485" xr:uid="{00000000-0005-0000-0000-0000CD050000}"/>
    <cellStyle name="_Cta Cte Feb 2005 ( 5 Abr 2005 )_PRESUPUESTO LEASING_FINAL_Oct25_Consolidado PPTO Ingresos 2010 Ejerc" xfId="1486" xr:uid="{00000000-0005-0000-0000-0000CE050000}"/>
    <cellStyle name="_Cta Cte Feb 2005 ( 5 Abr 2005 )_PRESUPUESTO LEASING_FINAL_Oct25_Consolidado PPTO Ingresos 2010 Ejerc Reduccion % Ocupacional" xfId="1487" xr:uid="{00000000-0005-0000-0000-0000CF050000}"/>
    <cellStyle name="_Cta Cte Feb 2005 ( 5 Abr 2005 )_PRESUPUESTO LEASING_FINAL_Oct25_Consolidado PPTO Ingresos 2010 Ejerc Reduccion % Ocupacional Vs 3 Centro" xfId="1488" xr:uid="{00000000-0005-0000-0000-0000D0050000}"/>
    <cellStyle name="_Cta Cte Feb 2005 ( 5 Abr 2005 )_PRESUPUESTO LEASING_FINAL_Oct25_FORMATOPresupuesto 2010-TRABAJO.C1" xfId="1489" xr:uid="{00000000-0005-0000-0000-0000D1050000}"/>
    <cellStyle name="_Cta Cte Feb 2005 ( 5 Abr 2005 )_PRESUPUESTO LEASING_FINAL_Oct25_FORMATOPresupuesto 2010-TRABAJO.C1." xfId="1490" xr:uid="{00000000-0005-0000-0000-0000D2050000}"/>
    <cellStyle name="_Cta Cte Feb 2005 ( 5 Abr 2005 )_PRESUPUESTO POR CENTROS DE GESTION 2010 (3)" xfId="1491" xr:uid="{00000000-0005-0000-0000-0000D3050000}"/>
    <cellStyle name="_Cta Cte Feb 2005 ( 5 Abr 2005 )_PRESUPUESTO POR CENTROS DE GESTION 2010 (3)_PRESUPUESTO 2010 06-11-09 430 p m " xfId="1492" xr:uid="{00000000-0005-0000-0000-0000D4050000}"/>
    <cellStyle name="_Cta Cte Feb 2005 ( 5 Abr 2005 )_PRESUPUESTO POR CENTROS DE GESTION 2010 (3)_PRESUPUESTO 2010 06-11-09 430 p m _DIVERSOS.CONS" xfId="1493" xr:uid="{00000000-0005-0000-0000-0000D5050000}"/>
    <cellStyle name="_Cta Cte Feb 2005 ( 5 Abr 2005 )_PRESUPUESTO POR CENTROS DE GESTION 2010 (3)_SERVICIOS" xfId="1494" xr:uid="{00000000-0005-0000-0000-0000D6050000}"/>
    <cellStyle name="_Cta Cte Feb 2005 ( 5 Abr 2005 )_PRESUPUESTO POR CENTROS DE GESTION 2010 (3)_SERVICIOS_DIVERSOS.CONS" xfId="1495" xr:uid="{00000000-0005-0000-0000-0000D7050000}"/>
    <cellStyle name="_Cta Cte Feb 2005 ( 5 Abr 2005 )_Presupuesto sistemas 2008" xfId="1496" xr:uid="{00000000-0005-0000-0000-0000D8050000}"/>
    <cellStyle name="_Cta Cte Feb 2005 ( 5 Abr 2005 )_Presupuesto sistemas 2008_Consolidado 1000 Proyecciones" xfId="1497" xr:uid="{00000000-0005-0000-0000-0000D9050000}"/>
    <cellStyle name="_Cta Cte Feb 2005 ( 5 Abr 2005 )_Presupuesto sistemas 2008_Consolidado PPTO Ingresos 2010 Ajuste Medicamentos" xfId="1498" xr:uid="{00000000-0005-0000-0000-0000DA050000}"/>
    <cellStyle name="_Cta Cte Feb 2005 ( 5 Abr 2005 )_Presupuesto sistemas 2008_Consolidado PPTO Ingresos 2010 Ajuste Reuniones" xfId="1499" xr:uid="{00000000-0005-0000-0000-0000DB050000}"/>
    <cellStyle name="_Cta Cte Feb 2005 ( 5 Abr 2005 )_Presupuesto sistemas 2008_Consolidado PPTO Ingresos 2010 Ejerc" xfId="1500" xr:uid="{00000000-0005-0000-0000-0000DC050000}"/>
    <cellStyle name="_Cta Cte Feb 2005 ( 5 Abr 2005 )_Presupuesto sistemas 2008_Consolidado PPTO Ingresos 2010 Ejerc Reduccion % Ocupacional" xfId="1501" xr:uid="{00000000-0005-0000-0000-0000DD050000}"/>
    <cellStyle name="_Cta Cte Feb 2005 ( 5 Abr 2005 )_Presupuesto sistemas 2008_Consolidado PPTO Ingresos 2010 Ejerc Reduccion % Ocupacional Vs 3 Centro" xfId="1502" xr:uid="{00000000-0005-0000-0000-0000DE050000}"/>
    <cellStyle name="_Cta Cte Feb 2005 ( 5 Abr 2005 )_Presupuesto sistemas 2008_FORMATOPresupuesto 2010-TRABAJO.C1" xfId="1503" xr:uid="{00000000-0005-0000-0000-0000DF050000}"/>
    <cellStyle name="_Cta Cte Feb 2005 ( 5 Abr 2005 )_Presupuesto sistemas 2008_FORMATOPresupuesto 2010-TRABAJO.C1." xfId="1504" xr:uid="{00000000-0005-0000-0000-0000E0050000}"/>
    <cellStyle name="_Cta Cte Feb 2005 ( 5 Abr 2005 )_PRESUPUESTO_DIETAS_2010___FINAL(1 1)" xfId="1505" xr:uid="{00000000-0005-0000-0000-0000E1050000}"/>
    <cellStyle name="_Cta Cte Feb 2005 ( 5 Abr 2005 )_PRESUPUESTO_DIETAS_2010___FINAL(1 1)_DIVERSOS.CONS" xfId="1506" xr:uid="{00000000-0005-0000-0000-0000E2050000}"/>
    <cellStyle name="_Cta Cte Feb 2005 ( 5 Abr 2005 )_presupuestocamaras" xfId="1507" xr:uid="{00000000-0005-0000-0000-0000E3050000}"/>
    <cellStyle name="_Cta Cte Feb 2005 ( 5 Abr 2005 )_PresupuestoFacturacionelectonica" xfId="1508" xr:uid="{00000000-0005-0000-0000-0000E4050000}"/>
    <cellStyle name="_Cta Cte Feb 2005 ( 5 Abr 2005 )_PRESUPUESTOTECNOLOGIACAMBIO" xfId="1509" xr:uid="{00000000-0005-0000-0000-0000E5050000}"/>
    <cellStyle name="_Cta Cte Feb 2005 ( 5 Abr 2005 )_PRESUPUESTOTECNOLOGIACAMBIO_Consolidado 1000 Proyecciones" xfId="1510" xr:uid="{00000000-0005-0000-0000-0000E6050000}"/>
    <cellStyle name="_Cta Cte Feb 2005 ( 5 Abr 2005 )_PRESUPUESTOTECNOLOGIACAMBIO_FORMATOPresupuesto 2010-TRABAJO.C1" xfId="1511" xr:uid="{00000000-0005-0000-0000-0000E7050000}"/>
    <cellStyle name="_Cta Cte Feb 2005 ( 5 Abr 2005 )_PRESUPUESTOTECNOLOGIACAMBIO_FORMATOPresupuesto 2010-TRABAJO.C1." xfId="1512" xr:uid="{00000000-0005-0000-0000-0000E8050000}"/>
    <cellStyle name="_Cta Cte Feb 2005 ( 5 Abr 2005 )_PRESUPUESTOTECNOLOGIAINFORMATICA2010_vers2003" xfId="1513" xr:uid="{00000000-0005-0000-0000-0000E9050000}"/>
    <cellStyle name="_Cta Cte Feb 2005 ( 5 Abr 2005 )_PRESUPUESTOTECNOLOGIAINFORMATICA2010_vers2003_Consolidado 1000 Proyecciones" xfId="1514" xr:uid="{00000000-0005-0000-0000-0000EA050000}"/>
    <cellStyle name="_Cta Cte Feb 2005 ( 5 Abr 2005 )_PRESUPUESTOTECNOLOGIAINFORMATICA2010_vers2003_FORMATOPresupuesto 2010-TRABAJO.C1" xfId="1515" xr:uid="{00000000-0005-0000-0000-0000EB050000}"/>
    <cellStyle name="_Cta Cte Feb 2005 ( 5 Abr 2005 )_PRESUPUESTOTECNOLOGIAINFORMATICA2010_vers2003_FORMATOPresupuesto 2010-TRABAJO.C1." xfId="1516" xr:uid="{00000000-0005-0000-0000-0000EC050000}"/>
    <cellStyle name="_Cta Cte Feb 2005 ( 5 Abr 2005 )_provision contingencias-CONS" xfId="1517" xr:uid="{00000000-0005-0000-0000-0000ED050000}"/>
    <cellStyle name="_Cta Cte Feb 2005 ( 5 Abr 2005 )_provision de cartera-CONS" xfId="1518" xr:uid="{00000000-0005-0000-0000-0000EE050000}"/>
    <cellStyle name="_Cta Cte Feb 2005 ( 5 Abr 2005 )_PUBLICIDAD" xfId="1519" xr:uid="{00000000-0005-0000-0000-0000EF050000}"/>
    <cellStyle name="_Cta Cte Feb 2005 ( 5 Abr 2005 )_PUBLICIDAD_DIVERSOS.CONS" xfId="1520" xr:uid="{00000000-0005-0000-0000-0000F0050000}"/>
    <cellStyle name="_Cta Cte Feb 2005 ( 5 Abr 2005 )_SERVICIOS" xfId="1521" xr:uid="{00000000-0005-0000-0000-0000F1050000}"/>
    <cellStyle name="_Cta Cte Feb 2005 ( 5 Abr 2005 )_SERVICIOS." xfId="1522" xr:uid="{00000000-0005-0000-0000-0000F2050000}"/>
    <cellStyle name="_Cta Cte Feb 2005 ( 5 Abr 2005 )_SERVICIOS_DIVERSOS.CONS" xfId="1523" xr:uid="{00000000-0005-0000-0000-0000F3050000}"/>
    <cellStyle name="_Cta Cte Feb 2005 ( 5 Abr 2005 )_SUMINISTROS LOGISTICA ULTIMO NOV 20" xfId="1524" xr:uid="{00000000-0005-0000-0000-0000F4050000}"/>
    <cellStyle name="_Cta Cte Feb 2005 ( 5 Abr 2005 )_SUMINISTROS LOGISTICA ULTIMO NOV 20_Consolidado 1000 Proyecciones" xfId="1525" xr:uid="{00000000-0005-0000-0000-0000F5050000}"/>
    <cellStyle name="_Cta Cte Feb 2005 ( 5 Abr 2005 )_SUMINISTROS LOGISTICA ULTIMO NOV 20_FORMATOPresupuesto 2010-TRABAJO.C1" xfId="1526" xr:uid="{00000000-0005-0000-0000-0000F6050000}"/>
    <cellStyle name="_Cta Cte Feb 2005 ( 5 Abr 2005 )_SUMINISTROS LOGISTICA ULTIMO NOV 20_FORMATOPresupuesto 2010-TRABAJO.C1." xfId="1527" xr:uid="{00000000-0005-0000-0000-0000F7050000}"/>
    <cellStyle name="_Cta Cte Feb 2005 ( 5 Abr 2005 )_TECNOLOGIA E INFORMATICA" xfId="1528" xr:uid="{00000000-0005-0000-0000-0000F8050000}"/>
    <cellStyle name="_Cta Cte Feb 2005 ( 5 Abr 2005 )_TECNOLOGIA E INFORMATICA_Consolidado 1000 Proyecciones" xfId="1529" xr:uid="{00000000-0005-0000-0000-0000F9050000}"/>
    <cellStyle name="_Cta Cte Feb 2005 ( 5 Abr 2005 )_TECNOLOGIA E INFORMATICA_FORMATOPresupuesto 2010-TRABAJO.C1" xfId="1530" xr:uid="{00000000-0005-0000-0000-0000FA050000}"/>
    <cellStyle name="_Cta Cte Feb 2005 ( 5 Abr 2005 )_TECNOLOGIA E INFORMATICA_FORMATOPresupuesto 2010-TRABAJO.C1." xfId="1531" xr:uid="{00000000-0005-0000-0000-0000FB050000}"/>
    <cellStyle name="_Cta Cte Feb 2005 ( 5 Abr 2005 )_xerox" xfId="1532" xr:uid="{00000000-0005-0000-0000-0000FC050000}"/>
    <cellStyle name="_Cta Cte Feb 2005 ( 5 Abr 2005 )_xerox_Consolidado 1000 Proyecciones" xfId="1533" xr:uid="{00000000-0005-0000-0000-0000FD050000}"/>
    <cellStyle name="_Cta Cte Feb 2005 ( 5 Abr 2005 )_xerox_Consolidado PPTO Ingresos 2010 Ajuste Medicamentos" xfId="1534" xr:uid="{00000000-0005-0000-0000-0000FE050000}"/>
    <cellStyle name="_Cta Cte Feb 2005 ( 5 Abr 2005 )_xerox_Consolidado PPTO Ingresos 2010 Ajuste Reuniones" xfId="1535" xr:uid="{00000000-0005-0000-0000-0000FF050000}"/>
    <cellStyle name="_Cta Cte Feb 2005 ( 5 Abr 2005 )_xerox_Consolidado PPTO Ingresos 2010 Ejerc" xfId="1536" xr:uid="{00000000-0005-0000-0000-000000060000}"/>
    <cellStyle name="_Cta Cte Feb 2005 ( 5 Abr 2005 )_xerox_Consolidado PPTO Ingresos 2010 Ejerc Reduccion % Ocupacional" xfId="1537" xr:uid="{00000000-0005-0000-0000-000001060000}"/>
    <cellStyle name="_Cta Cte Feb 2005 ( 5 Abr 2005 )_xerox_Consolidado PPTO Ingresos 2010 Ejerc Reduccion % Ocupacional Vs 3 Centro" xfId="1538" xr:uid="{00000000-0005-0000-0000-000002060000}"/>
    <cellStyle name="_Cta Cte Feb 2005 ( 5 Abr 2005 )_xerox_FORMATOPresupuesto 2010-TRABAJO.C1" xfId="1539" xr:uid="{00000000-0005-0000-0000-000003060000}"/>
    <cellStyle name="_Cta Cte Feb 2005 ( 5 Abr 2005 )_xerox_FORMATOPresupuesto 2010-TRABAJO.C1." xfId="1540" xr:uid="{00000000-0005-0000-0000-000004060000}"/>
    <cellStyle name="_CTA CTE FEBRERO-08" xfId="1541" xr:uid="{00000000-0005-0000-0000-000005060000}"/>
    <cellStyle name="_CTA CTE FEBRERO-08_COSTO DE MEDICAMENTOS " xfId="1542" xr:uid="{00000000-0005-0000-0000-000006060000}"/>
    <cellStyle name="_CTA CTE FEBRERO-08_COSTO DE MEDICAMENTOS _Consolidado PPTO Ingresos 2010 Ajuste Medicamentos" xfId="1543" xr:uid="{00000000-0005-0000-0000-000007060000}"/>
    <cellStyle name="_CTA CTE FEBRERO-08_COSTO DE MEDICAMENTOS _Consolidado PPTO Ingresos 2010 Ajuste Reuniones" xfId="1544" xr:uid="{00000000-0005-0000-0000-000008060000}"/>
    <cellStyle name="_CTA CTE FEBRERO-08_COSTO DE MEDICAMENTOS _Consolidado PPTO Ingresos 2010 Ejerc Reduccion % Ocupacional Vs 3 Centro" xfId="1545" xr:uid="{00000000-0005-0000-0000-000009060000}"/>
    <cellStyle name="_CTA CTE FEBRERO-08_COSTO DE MEDICAMENTOS." xfId="1546" xr:uid="{00000000-0005-0000-0000-00000A060000}"/>
    <cellStyle name="_CTA CTE FEBRERO-08_EJECUCION CONSOLIDADA A OCTUBRE GENERAL.CONSOLIDADO" xfId="1547" xr:uid="{00000000-0005-0000-0000-00000B060000}"/>
    <cellStyle name="_CTA CTE FEBRERO-08_EJECUCION PRESUPUESTAL A AGOSTO 09" xfId="1548" xr:uid="{00000000-0005-0000-0000-00000C060000}"/>
    <cellStyle name="_CTA CTE FEBRERO-08_EJECUCION PRESUPUESTAL A NOVIEMBRE  09 EJERCICIO AJUSTE INGRESOS " xfId="1549" xr:uid="{00000000-0005-0000-0000-00000D060000}"/>
    <cellStyle name="_CTA CTE FEBRERO-08_EJECUCION PRESUPUESTAL A NOVIEMBRE  09 EJERCICIO AJUSTE INGRESOS _Consolidado PPTO Ingresos 2010 Ajuste Medicamentos" xfId="1550" xr:uid="{00000000-0005-0000-0000-00000E060000}"/>
    <cellStyle name="_CTA CTE FEBRERO-08_FINANCIEROS-CONS" xfId="1551" xr:uid="{00000000-0005-0000-0000-00000F060000}"/>
    <cellStyle name="_CTA CTE FEBRERO-08_provision contingencias-CONS" xfId="1552" xr:uid="{00000000-0005-0000-0000-000010060000}"/>
    <cellStyle name="_CTA CTE FEBRERO-08_provision de cartera-CONS" xfId="1553" xr:uid="{00000000-0005-0000-0000-000011060000}"/>
    <cellStyle name="_Cta Cte Julio 08" xfId="1554" xr:uid="{00000000-0005-0000-0000-000012060000}"/>
    <cellStyle name="_Cta Cte Julio 08_COSTO DE MEDICAMENTOS " xfId="1555" xr:uid="{00000000-0005-0000-0000-000013060000}"/>
    <cellStyle name="_Cta Cte Julio 08_COSTO DE MEDICAMENTOS _Consolidado PPTO Ingresos 2010 Ajuste Medicamentos" xfId="1556" xr:uid="{00000000-0005-0000-0000-000014060000}"/>
    <cellStyle name="_Cta Cte Julio 08_COSTO DE MEDICAMENTOS _Consolidado PPTO Ingresos 2010 Ajuste Reuniones" xfId="1557" xr:uid="{00000000-0005-0000-0000-000015060000}"/>
    <cellStyle name="_Cta Cte Julio 08_COSTO DE MEDICAMENTOS _Consolidado PPTO Ingresos 2010 Ejerc Reduccion % Ocupacional Vs 3 Centro" xfId="1558" xr:uid="{00000000-0005-0000-0000-000016060000}"/>
    <cellStyle name="_Cta Cte Julio 08_EJECUCION CONSOLIDADA A OCTUBRE GENERAL.CONSOLIDADO" xfId="1559" xr:uid="{00000000-0005-0000-0000-000017060000}"/>
    <cellStyle name="_Cta Cte Julio 08_EJECUCION PRESUPUESTAL A AGOSTO 09" xfId="1560" xr:uid="{00000000-0005-0000-0000-000018060000}"/>
    <cellStyle name="_Cta Cte Julio 08_EJECUCION PRESUPUESTAL A NOVIEMBRE  09 EJERCICIO AJUSTE INGRESOS " xfId="1561" xr:uid="{00000000-0005-0000-0000-000019060000}"/>
    <cellStyle name="_Cta Cte Julio 08_EJECUCION PRESUPUESTAL A NOVIEMBRE  09 EJERCICIO AJUSTE INGRESOS _Consolidado PPTO Ingresos 2010 Ajuste Medicamentos" xfId="1562" xr:uid="{00000000-0005-0000-0000-00001A060000}"/>
    <cellStyle name="_CTA CTE JUNIO" xfId="1563" xr:uid="{00000000-0005-0000-0000-00001B060000}"/>
    <cellStyle name="_CTA CTE JUNIO_COSTO DE MEDICAMENTOS " xfId="1564" xr:uid="{00000000-0005-0000-0000-00001C060000}"/>
    <cellStyle name="_CTA CTE JUNIO_COSTO DE MEDICAMENTOS _Consolidado PPTO Ingresos 2010 Ajuste Medicamentos" xfId="1565" xr:uid="{00000000-0005-0000-0000-00001D060000}"/>
    <cellStyle name="_CTA CTE JUNIO_COSTO DE MEDICAMENTOS _Consolidado PPTO Ingresos 2010 Ajuste Reuniones" xfId="1566" xr:uid="{00000000-0005-0000-0000-00001E060000}"/>
    <cellStyle name="_CTA CTE JUNIO_COSTO DE MEDICAMENTOS _Consolidado PPTO Ingresos 2010 Ejerc Reduccion % Ocupacional Vs 3 Centro" xfId="1567" xr:uid="{00000000-0005-0000-0000-00001F060000}"/>
    <cellStyle name="_CTA CTE JUNIO_EJECUCION CONSOLIDADA A OCTUBRE GENERAL.CONSOLIDADO" xfId="1568" xr:uid="{00000000-0005-0000-0000-000020060000}"/>
    <cellStyle name="_CTA CTE JUNIO_EJECUCION PRESUPUESTAL A AGOSTO 09" xfId="1569" xr:uid="{00000000-0005-0000-0000-000021060000}"/>
    <cellStyle name="_CTA CTE JUNIO_EJECUCION PRESUPUESTAL A NOVIEMBRE  09 EJERCICIO AJUSTE INGRESOS " xfId="1570" xr:uid="{00000000-0005-0000-0000-000022060000}"/>
    <cellStyle name="_CTA CTE JUNIO_EJECUCION PRESUPUESTAL A NOVIEMBRE  09 EJERCICIO AJUSTE INGRESOS _Consolidado PPTO Ingresos 2010 Ajuste Medicamentos" xfId="1571" xr:uid="{00000000-0005-0000-0000-000023060000}"/>
    <cellStyle name="_cta cte marzo" xfId="1572" xr:uid="{00000000-0005-0000-0000-000024060000}"/>
    <cellStyle name="_cta cte marzo_CENTRO DE COSTOS PLANTILLA" xfId="1573" xr:uid="{00000000-0005-0000-0000-000025060000}"/>
    <cellStyle name="_cta cte marzo_CENTRO DE COSTOS PLANTILLA_Consolidado 1000 Proyecciones" xfId="1574" xr:uid="{00000000-0005-0000-0000-000026060000}"/>
    <cellStyle name="_cta cte marzo_CENTRO DE COSTOS PLANTILLA_FORMATOPresupuesto 2010-TRABAJO.C1" xfId="1575" xr:uid="{00000000-0005-0000-0000-000027060000}"/>
    <cellStyle name="_cta cte marzo_CENTRO DE COSTOS PLANTILLA_FORMATOPresupuesto 2010-TRABAJO.C1." xfId="1576" xr:uid="{00000000-0005-0000-0000-000028060000}"/>
    <cellStyle name="_cta cte marzo_Consolidado Ingresos" xfId="1577" xr:uid="{00000000-0005-0000-0000-000029060000}"/>
    <cellStyle name="_cta cte marzo_Consolidado Ingresos_Consolidado PPTO Ingresos 2010 Ajuste Medicamentos" xfId="1578" xr:uid="{00000000-0005-0000-0000-00002A060000}"/>
    <cellStyle name="_cta cte marzo_Consolidado Ingresos_Consolidado PPTO Ingresos 2010 Ajuste Reuniones" xfId="1579" xr:uid="{00000000-0005-0000-0000-00002B060000}"/>
    <cellStyle name="_cta cte marzo_Consolidado Ingresos_Consolidado PPTO Ingresos 2010 Ejerc" xfId="1580" xr:uid="{00000000-0005-0000-0000-00002C060000}"/>
    <cellStyle name="_cta cte marzo_Consolidado Ingresos_Consolidado PPTO Ingresos 2010 Ejerc Reduccion % Ocupacional" xfId="1581" xr:uid="{00000000-0005-0000-0000-00002D060000}"/>
    <cellStyle name="_cta cte marzo_Consolidado Ingresos_Consolidado PPTO Ingresos 2010 Ejerc Reduccion % Ocupacional Vs 3 Centro" xfId="1582" xr:uid="{00000000-0005-0000-0000-00002E060000}"/>
    <cellStyle name="_cta cte marzo_COSTO DE MEDICAMENTOS." xfId="1583" xr:uid="{00000000-0005-0000-0000-00002F060000}"/>
    <cellStyle name="_cta cte marzo_COSTO DE MEDICAMENTOS._Consolidado 1000 Proyecciones" xfId="1584" xr:uid="{00000000-0005-0000-0000-000030060000}"/>
    <cellStyle name="_cta cte marzo_COSTO DE MEDICAMENTOS._FORMATOPresupuesto 2010-TRABAJO.C1" xfId="1585" xr:uid="{00000000-0005-0000-0000-000031060000}"/>
    <cellStyle name="_cta cte marzo_COSTO DE MEDICAMENTOS._FORMATOPresupuesto 2010-TRABAJO.C1." xfId="1586" xr:uid="{00000000-0005-0000-0000-000032060000}"/>
    <cellStyle name="_cta cte marzo_DIVERSOS.CONS" xfId="1587" xr:uid="{00000000-0005-0000-0000-000033060000}"/>
    <cellStyle name="_cta cte marzo_DIVERSOS.CONS_Consolidado 1000 Proyecciones" xfId="1588" xr:uid="{00000000-0005-0000-0000-000034060000}"/>
    <cellStyle name="_cta cte marzo_DIVERSOS.CONS_FORMATOPresupuesto 2010-TRABAJO.C1" xfId="1589" xr:uid="{00000000-0005-0000-0000-000035060000}"/>
    <cellStyle name="_cta cte marzo_DIVERSOS.CONS_FORMATOPresupuesto 2010-TRABAJO.C1." xfId="1590" xr:uid="{00000000-0005-0000-0000-000036060000}"/>
    <cellStyle name="_cta cte marzo_EJECUCION CONSOLIDADA A OCTUBRE GENERAL.CONSOLIDADO" xfId="1591" xr:uid="{00000000-0005-0000-0000-000037060000}"/>
    <cellStyle name="_cta cte marzo_EJECUCION PRESUPUESTAL A AGOSTO 09" xfId="1592" xr:uid="{00000000-0005-0000-0000-000038060000}"/>
    <cellStyle name="_cta cte marzo_EJECUCION PRESUPUESTAL A NOVIEMBRE  09 EJERCICIO AJUSTE INGRESOS " xfId="1593" xr:uid="{00000000-0005-0000-0000-000039060000}"/>
    <cellStyle name="_cta cte marzo_EJECUCION PRESUPUESTAL A NOVIEMBRE  09 EJERCICIO AJUSTE INGRESOS _Consolidado PPTO Ingresos 2010 Ajuste Medicamentos" xfId="1594" xr:uid="{00000000-0005-0000-0000-00003A060000}"/>
    <cellStyle name="_cta cte marzo_EJECUCION PRESUPUESTAL A SEPTIEMBRE  09 EJERCICIO AJUSTE INGRESOS" xfId="1595" xr:uid="{00000000-0005-0000-0000-00003B060000}"/>
    <cellStyle name="_cta cte marzo_EJECUCION PRESUPUESTAL A SEPTIEMBRE  09 EJERCICIO AJUSTE INGRESOS_Consolidado PPTO Ingresos 2010 Ajuste Medicamentos" xfId="1596" xr:uid="{00000000-0005-0000-0000-00003C060000}"/>
    <cellStyle name="_cta cte marzo_EJECUCION PRESUPUESTAL A SEPTIEMBRE  09 EJERCICIO AJUSTE INGRESOS_Consolidado PPTO Ingresos 2010 Ajuste Reuniones" xfId="1597" xr:uid="{00000000-0005-0000-0000-00003D060000}"/>
    <cellStyle name="_cta cte marzo_EJECUCION PRESUPUESTAL A SEPTIEMBRE  09 EJERCICIO AJUSTE INGRESOS_Consolidado PPTO Ingresos 2010 Ejerc Reduccion % Ocupacional Vs 3 Centro" xfId="1598" xr:uid="{00000000-0005-0000-0000-00003E060000}"/>
    <cellStyle name="_cta cte marzo_EJECUCION_CONSOLIDADA_AGO_2008(1)" xfId="1599" xr:uid="{00000000-0005-0000-0000-00003F060000}"/>
    <cellStyle name="_cta cte marzo_EJECUCION_CONSOLIDADA_AGO_2008(1)_Consolidado 1000 Proyecciones" xfId="1600" xr:uid="{00000000-0005-0000-0000-000040060000}"/>
    <cellStyle name="_cta cte marzo_EJECUCION_CONSOLIDADA_AGO_2008(1)_FORMATOPresupuesto 2010-TRABAJO.C1" xfId="1601" xr:uid="{00000000-0005-0000-0000-000041060000}"/>
    <cellStyle name="_cta cte marzo_EJECUCION_CONSOLIDADA_AGO_2008(1)_FORMATOPresupuesto 2010-TRABAJO.C1." xfId="1602" xr:uid="{00000000-0005-0000-0000-000042060000}"/>
    <cellStyle name="_cta cte marzo_FINANCIEROS-CONS" xfId="1603" xr:uid="{00000000-0005-0000-0000-000043060000}"/>
    <cellStyle name="_cta cte marzo_P Y G LABORATORIO-IMAGENES  cjc" xfId="1604" xr:uid="{00000000-0005-0000-0000-000044060000}"/>
    <cellStyle name="_cta cte marzo_ppto ucis ac is" xfId="1605" xr:uid="{00000000-0005-0000-0000-000045060000}"/>
    <cellStyle name="_cta cte marzo_ppto ucis ac is_COSTO DE MEDICAMENTOS " xfId="1606" xr:uid="{00000000-0005-0000-0000-000046060000}"/>
    <cellStyle name="_cta cte marzo_ppto ucis ac is_COSTO DE MEDICAMENTOS _Consolidado PPTO Ingresos 2010 Ajuste Medicamentos" xfId="1607" xr:uid="{00000000-0005-0000-0000-000047060000}"/>
    <cellStyle name="_cta cte marzo_ppto ucis ac is_COSTO DE MEDICAMENTOS _Consolidado PPTO Ingresos 2010 Ajuste Reuniones" xfId="1608" xr:uid="{00000000-0005-0000-0000-000048060000}"/>
    <cellStyle name="_cta cte marzo_ppto ucis ac is_COSTO DE MEDICAMENTOS _Consolidado PPTO Ingresos 2010 Ejerc Reduccion % Ocupacional Vs 3 Centro" xfId="1609" xr:uid="{00000000-0005-0000-0000-000049060000}"/>
    <cellStyle name="_cta cte marzo_ppto ucis ac is_EJECUCION PRESUPUESTAL A NOVIEMBRE  09 EJERCICIO AJUSTE INGRESOS " xfId="1610" xr:uid="{00000000-0005-0000-0000-00004A060000}"/>
    <cellStyle name="_cta cte marzo_ppto ucis ac is_EJECUCION PRESUPUESTAL A NOVIEMBRE  09 EJERCICIO AJUSTE INGRESOS _Consolidado PPTO Ingresos 2010 Ajuste Medicamentos" xfId="1611" xr:uid="{00000000-0005-0000-0000-00004B060000}"/>
    <cellStyle name="_cta cte marzo_presupuesto de mantenimiento (2)" xfId="1612" xr:uid="{00000000-0005-0000-0000-00004C060000}"/>
    <cellStyle name="_cta cte marzo_presupuesto de mantenimiento (2)_Consolidado 1000 Proyecciones" xfId="1613" xr:uid="{00000000-0005-0000-0000-00004D060000}"/>
    <cellStyle name="_cta cte marzo_presupuesto de mantenimiento (2)_FORMATOPresupuesto 2010-TRABAJO.C1" xfId="1614" xr:uid="{00000000-0005-0000-0000-00004E060000}"/>
    <cellStyle name="_cta cte marzo_presupuesto de mantenimiento (2)_FORMATOPresupuesto 2010-TRABAJO.C1." xfId="1615" xr:uid="{00000000-0005-0000-0000-00004F060000}"/>
    <cellStyle name="_cta cte marzo_provision contingencias-CONS" xfId="1616" xr:uid="{00000000-0005-0000-0000-000050060000}"/>
    <cellStyle name="_cta cte marzo_provision de cartera-CONS" xfId="1617" xr:uid="{00000000-0005-0000-0000-000051060000}"/>
    <cellStyle name="_cta cte marzo_SUMINISTROS LOGISTICA ULTIMO NOV 20" xfId="1618" xr:uid="{00000000-0005-0000-0000-000052060000}"/>
    <cellStyle name="_cta cte marzo_SUMINISTROS LOGISTICA ULTIMO NOV 20_Consolidado 1000 Proyecciones" xfId="1619" xr:uid="{00000000-0005-0000-0000-000053060000}"/>
    <cellStyle name="_cta cte marzo_SUMINISTROS LOGISTICA ULTIMO NOV 20_FORMATOPresupuesto 2010-TRABAJO.C1" xfId="1620" xr:uid="{00000000-0005-0000-0000-000054060000}"/>
    <cellStyle name="_cta cte marzo_SUMINISTROS LOGISTICA ULTIMO NOV 20_FORMATOPresupuesto 2010-TRABAJO.C1." xfId="1621" xr:uid="{00000000-0005-0000-0000-000055060000}"/>
    <cellStyle name="_CTA CTE MARZO-08" xfId="1622" xr:uid="{00000000-0005-0000-0000-000056060000}"/>
    <cellStyle name="_CTA CTE MARZO-08_COSTO DE MEDICAMENTOS " xfId="1623" xr:uid="{00000000-0005-0000-0000-000057060000}"/>
    <cellStyle name="_CTA CTE MARZO-08_COSTO DE MEDICAMENTOS _Consolidado PPTO Ingresos 2010 Ajuste Medicamentos" xfId="1624" xr:uid="{00000000-0005-0000-0000-000058060000}"/>
    <cellStyle name="_CTA CTE MARZO-08_COSTO DE MEDICAMENTOS _Consolidado PPTO Ingresos 2010 Ajuste Reuniones" xfId="1625" xr:uid="{00000000-0005-0000-0000-000059060000}"/>
    <cellStyle name="_CTA CTE MARZO-08_COSTO DE MEDICAMENTOS _Consolidado PPTO Ingresos 2010 Ejerc Reduccion % Ocupacional Vs 3 Centro" xfId="1626" xr:uid="{00000000-0005-0000-0000-00005A060000}"/>
    <cellStyle name="_CTA CTE MARZO-08_COSTO DE MEDICAMENTOS." xfId="1627" xr:uid="{00000000-0005-0000-0000-00005B060000}"/>
    <cellStyle name="_CTA CTE MARZO-08_EJECUCION CONSOLIDADA A OCTUBRE GENERAL.CONSOLIDADO" xfId="1628" xr:uid="{00000000-0005-0000-0000-00005C060000}"/>
    <cellStyle name="_CTA CTE MARZO-08_EJECUCION PRESUPUESTAL A AGOSTO 09" xfId="1629" xr:uid="{00000000-0005-0000-0000-00005D060000}"/>
    <cellStyle name="_CTA CTE MARZO-08_EJECUCION PRESUPUESTAL A NOVIEMBRE  09 EJERCICIO AJUSTE INGRESOS " xfId="1630" xr:uid="{00000000-0005-0000-0000-00005E060000}"/>
    <cellStyle name="_CTA CTE MARZO-08_EJECUCION PRESUPUESTAL A NOVIEMBRE  09 EJERCICIO AJUSTE INGRESOS _Consolidado PPTO Ingresos 2010 Ajuste Medicamentos" xfId="1631" xr:uid="{00000000-0005-0000-0000-00005F060000}"/>
    <cellStyle name="_CTA CTE MARZO-08_FINANCIEROS-CONS" xfId="1632" xr:uid="{00000000-0005-0000-0000-000060060000}"/>
    <cellStyle name="_CTA CTE MARZO-08_provision contingencias-CONS" xfId="1633" xr:uid="{00000000-0005-0000-0000-000061060000}"/>
    <cellStyle name="_CTA CTE MARZO-08_provision de cartera-CONS" xfId="1634" xr:uid="{00000000-0005-0000-0000-000062060000}"/>
    <cellStyle name="_CTA CTE MAYO -06" xfId="1635" xr:uid="{00000000-0005-0000-0000-000063060000}"/>
    <cellStyle name="_CTA CTE MAYO -06_Consolidado 1000 Proyecciones" xfId="1636" xr:uid="{00000000-0005-0000-0000-000064060000}"/>
    <cellStyle name="_CTA CTE MAYO -06_EJECUCION_CONSOLIDADA_AGO_2008(1)" xfId="1637" xr:uid="{00000000-0005-0000-0000-000065060000}"/>
    <cellStyle name="_CTA CTE MAYO -06_EJECUCION_CONSOLIDADA_AGO_2008(1)_Consolidado 1000 Proyecciones" xfId="1638" xr:uid="{00000000-0005-0000-0000-000066060000}"/>
    <cellStyle name="_CTA CTE MAYO -06_EJECUCION_CONSOLIDADA_AGO_2008(1)_FORMATOPresupuesto 2010-TRABAJO.C1" xfId="1639" xr:uid="{00000000-0005-0000-0000-000067060000}"/>
    <cellStyle name="_CTA CTE MAYO -06_EJECUCION_CONSOLIDADA_AGO_2008(1)_FORMATOPresupuesto 2010-TRABAJO.C1." xfId="1640" xr:uid="{00000000-0005-0000-0000-000068060000}"/>
    <cellStyle name="_CTA CTE MAYO -06_FORMATOPresupuesto 2010-TRABAJO.C1" xfId="1641" xr:uid="{00000000-0005-0000-0000-000069060000}"/>
    <cellStyle name="_CTA CTE MAYO -06_FORMATOPresupuesto 2010-TRABAJO.C1." xfId="1642" xr:uid="{00000000-0005-0000-0000-00006A060000}"/>
    <cellStyle name="_CTA CTE MES DE ENERO-06" xfId="1643" xr:uid="{00000000-0005-0000-0000-00006B060000}"/>
    <cellStyle name="_CTA CTE MES DE ENERO-06_CENTRO DE COSTOS PLANTILLA" xfId="1644" xr:uid="{00000000-0005-0000-0000-00006C060000}"/>
    <cellStyle name="_CTA CTE MES DE ENERO-06_CENTRO DE COSTOS PLANTILLA_Consolidado 1000 Proyecciones" xfId="1645" xr:uid="{00000000-0005-0000-0000-00006D060000}"/>
    <cellStyle name="_CTA CTE MES DE ENERO-06_CENTRO DE COSTOS PLANTILLA_FORMATOPresupuesto 2010-TRABAJO.C1" xfId="1646" xr:uid="{00000000-0005-0000-0000-00006E060000}"/>
    <cellStyle name="_CTA CTE MES DE ENERO-06_CENTRO DE COSTOS PLANTILLA_FORMATOPresupuesto 2010-TRABAJO.C1." xfId="1647" xr:uid="{00000000-0005-0000-0000-00006F060000}"/>
    <cellStyle name="_CTA CTE MES DE ENERO-06_Consolidado Ingresos" xfId="1648" xr:uid="{00000000-0005-0000-0000-000070060000}"/>
    <cellStyle name="_CTA CTE MES DE ENERO-06_Consolidado Ingresos_Consolidado PPTO Ingresos 2010 Ajuste Medicamentos" xfId="1649" xr:uid="{00000000-0005-0000-0000-000071060000}"/>
    <cellStyle name="_CTA CTE MES DE ENERO-06_Consolidado Ingresos_Consolidado PPTO Ingresos 2010 Ajuste Reuniones" xfId="1650" xr:uid="{00000000-0005-0000-0000-000072060000}"/>
    <cellStyle name="_CTA CTE MES DE ENERO-06_Consolidado Ingresos_Consolidado PPTO Ingresos 2010 Ejerc" xfId="1651" xr:uid="{00000000-0005-0000-0000-000073060000}"/>
    <cellStyle name="_CTA CTE MES DE ENERO-06_Consolidado Ingresos_Consolidado PPTO Ingresos 2010 Ejerc Reduccion % Ocupacional" xfId="1652" xr:uid="{00000000-0005-0000-0000-000074060000}"/>
    <cellStyle name="_CTA CTE MES DE ENERO-06_Consolidado Ingresos_Consolidado PPTO Ingresos 2010 Ejerc Reduccion % Ocupacional Vs 3 Centro" xfId="1653" xr:uid="{00000000-0005-0000-0000-000075060000}"/>
    <cellStyle name="_CTA CTE MES DE ENERO-06_COSTO DE MEDICAMENTOS." xfId="1654" xr:uid="{00000000-0005-0000-0000-000076060000}"/>
    <cellStyle name="_CTA CTE MES DE ENERO-06_COSTO DE MEDICAMENTOS._Consolidado 1000 Proyecciones" xfId="1655" xr:uid="{00000000-0005-0000-0000-000077060000}"/>
    <cellStyle name="_CTA CTE MES DE ENERO-06_COSTO DE MEDICAMENTOS._FORMATOPresupuesto 2010-TRABAJO.C1" xfId="1656" xr:uid="{00000000-0005-0000-0000-000078060000}"/>
    <cellStyle name="_CTA CTE MES DE ENERO-06_COSTO DE MEDICAMENTOS._FORMATOPresupuesto 2010-TRABAJO.C1." xfId="1657" xr:uid="{00000000-0005-0000-0000-000079060000}"/>
    <cellStyle name="_CTA CTE MES DE ENERO-06_DIVERSOS.CONS" xfId="1658" xr:uid="{00000000-0005-0000-0000-00007A060000}"/>
    <cellStyle name="_CTA CTE MES DE ENERO-06_DIVERSOS.CONS_Consolidado 1000 Proyecciones" xfId="1659" xr:uid="{00000000-0005-0000-0000-00007B060000}"/>
    <cellStyle name="_CTA CTE MES DE ENERO-06_DIVERSOS.CONS_FORMATOPresupuesto 2010-TRABAJO.C1" xfId="1660" xr:uid="{00000000-0005-0000-0000-00007C060000}"/>
    <cellStyle name="_CTA CTE MES DE ENERO-06_DIVERSOS.CONS_FORMATOPresupuesto 2010-TRABAJO.C1." xfId="1661" xr:uid="{00000000-0005-0000-0000-00007D060000}"/>
    <cellStyle name="_CTA CTE MES DE ENERO-06_EJECUCION CONSOLIDADA A OCTUBRE GENERAL.CONSOLIDADO" xfId="1662" xr:uid="{00000000-0005-0000-0000-00007E060000}"/>
    <cellStyle name="_CTA CTE MES DE ENERO-06_EJECUCION PRESUPUESTAL A AGOSTO 09" xfId="1663" xr:uid="{00000000-0005-0000-0000-00007F060000}"/>
    <cellStyle name="_CTA CTE MES DE ENERO-06_EJECUCION PRESUPUESTAL A NOVIEMBRE  09 EJERCICIO AJUSTE INGRESOS " xfId="1664" xr:uid="{00000000-0005-0000-0000-000080060000}"/>
    <cellStyle name="_CTA CTE MES DE ENERO-06_EJECUCION PRESUPUESTAL A NOVIEMBRE  09 EJERCICIO AJUSTE INGRESOS _Consolidado PPTO Ingresos 2010 Ajuste Medicamentos" xfId="1665" xr:uid="{00000000-0005-0000-0000-000081060000}"/>
    <cellStyle name="_CTA CTE MES DE ENERO-06_EJECUCION PRESUPUESTAL A SEPTIEMBRE  09 EJERCICIO AJUSTE INGRESOS" xfId="1666" xr:uid="{00000000-0005-0000-0000-000082060000}"/>
    <cellStyle name="_CTA CTE MES DE ENERO-06_EJECUCION PRESUPUESTAL A SEPTIEMBRE  09 EJERCICIO AJUSTE INGRESOS_Consolidado PPTO Ingresos 2010 Ajuste Medicamentos" xfId="1667" xr:uid="{00000000-0005-0000-0000-000083060000}"/>
    <cellStyle name="_CTA CTE MES DE ENERO-06_EJECUCION PRESUPUESTAL A SEPTIEMBRE  09 EJERCICIO AJUSTE INGRESOS_Consolidado PPTO Ingresos 2010 Ajuste Reuniones" xfId="1668" xr:uid="{00000000-0005-0000-0000-000084060000}"/>
    <cellStyle name="_CTA CTE MES DE ENERO-06_EJECUCION PRESUPUESTAL A SEPTIEMBRE  09 EJERCICIO AJUSTE INGRESOS_Consolidado PPTO Ingresos 2010 Ejerc Reduccion % Ocupacional Vs 3 Centro" xfId="1669" xr:uid="{00000000-0005-0000-0000-000085060000}"/>
    <cellStyle name="_CTA CTE MES DE ENERO-06_EJECUCION_CONSOLIDADA_AGO_2008(1)" xfId="1670" xr:uid="{00000000-0005-0000-0000-000086060000}"/>
    <cellStyle name="_CTA CTE MES DE ENERO-06_EJECUCION_CONSOLIDADA_AGO_2008(1)_Consolidado 1000 Proyecciones" xfId="1671" xr:uid="{00000000-0005-0000-0000-000087060000}"/>
    <cellStyle name="_CTA CTE MES DE ENERO-06_EJECUCION_CONSOLIDADA_AGO_2008(1)_FORMATOPresupuesto 2010-TRABAJO.C1" xfId="1672" xr:uid="{00000000-0005-0000-0000-000088060000}"/>
    <cellStyle name="_CTA CTE MES DE ENERO-06_EJECUCION_CONSOLIDADA_AGO_2008(1)_FORMATOPresupuesto 2010-TRABAJO.C1." xfId="1673" xr:uid="{00000000-0005-0000-0000-000089060000}"/>
    <cellStyle name="_CTA CTE MES DE ENERO-06_FINANCIEROS-CONS" xfId="1674" xr:uid="{00000000-0005-0000-0000-00008A060000}"/>
    <cellStyle name="_CTA CTE MES DE ENERO-06_P Y G LABORATORIO-IMAGENES  cjc" xfId="1675" xr:uid="{00000000-0005-0000-0000-00008B060000}"/>
    <cellStyle name="_CTA CTE MES DE ENERO-06_ppto ucis ac is" xfId="1676" xr:uid="{00000000-0005-0000-0000-00008C060000}"/>
    <cellStyle name="_CTA CTE MES DE ENERO-06_ppto ucis ac is_COSTO DE MEDICAMENTOS " xfId="1677" xr:uid="{00000000-0005-0000-0000-00008D060000}"/>
    <cellStyle name="_CTA CTE MES DE ENERO-06_ppto ucis ac is_COSTO DE MEDICAMENTOS _Consolidado PPTO Ingresos 2010 Ajuste Medicamentos" xfId="1678" xr:uid="{00000000-0005-0000-0000-00008E060000}"/>
    <cellStyle name="_CTA CTE MES DE ENERO-06_ppto ucis ac is_COSTO DE MEDICAMENTOS _Consolidado PPTO Ingresos 2010 Ajuste Reuniones" xfId="1679" xr:uid="{00000000-0005-0000-0000-00008F060000}"/>
    <cellStyle name="_CTA CTE MES DE ENERO-06_ppto ucis ac is_COSTO DE MEDICAMENTOS _Consolidado PPTO Ingresos 2010 Ejerc Reduccion % Ocupacional Vs 3 Centro" xfId="1680" xr:uid="{00000000-0005-0000-0000-000090060000}"/>
    <cellStyle name="_CTA CTE MES DE ENERO-06_ppto ucis ac is_EJECUCION PRESUPUESTAL A NOVIEMBRE  09 EJERCICIO AJUSTE INGRESOS " xfId="1681" xr:uid="{00000000-0005-0000-0000-000091060000}"/>
    <cellStyle name="_CTA CTE MES DE ENERO-06_ppto ucis ac is_EJECUCION PRESUPUESTAL A NOVIEMBRE  09 EJERCICIO AJUSTE INGRESOS _Consolidado PPTO Ingresos 2010 Ajuste Medicamentos" xfId="1682" xr:uid="{00000000-0005-0000-0000-000092060000}"/>
    <cellStyle name="_CTA CTE MES DE ENERO-06_presupuesto de mantenimiento (2)" xfId="1683" xr:uid="{00000000-0005-0000-0000-000093060000}"/>
    <cellStyle name="_CTA CTE MES DE ENERO-06_presupuesto de mantenimiento (2)_Consolidado 1000 Proyecciones" xfId="1684" xr:uid="{00000000-0005-0000-0000-000094060000}"/>
    <cellStyle name="_CTA CTE MES DE ENERO-06_presupuesto de mantenimiento (2)_FORMATOPresupuesto 2010-TRABAJO.C1" xfId="1685" xr:uid="{00000000-0005-0000-0000-000095060000}"/>
    <cellStyle name="_CTA CTE MES DE ENERO-06_presupuesto de mantenimiento (2)_FORMATOPresupuesto 2010-TRABAJO.C1." xfId="1686" xr:uid="{00000000-0005-0000-0000-000096060000}"/>
    <cellStyle name="_CTA CTE MES DE ENERO-06_provision contingencias-CONS" xfId="1687" xr:uid="{00000000-0005-0000-0000-000097060000}"/>
    <cellStyle name="_CTA CTE MES DE ENERO-06_provision de cartera-CONS" xfId="1688" xr:uid="{00000000-0005-0000-0000-000098060000}"/>
    <cellStyle name="_CTA CTE MES DE ENERO-06_SUMINISTROS LOGISTICA ULTIMO NOV 20" xfId="1689" xr:uid="{00000000-0005-0000-0000-000099060000}"/>
    <cellStyle name="_CTA CTE MES DE ENERO-06_SUMINISTROS LOGISTICA ULTIMO NOV 20_Consolidado 1000 Proyecciones" xfId="1690" xr:uid="{00000000-0005-0000-0000-00009A060000}"/>
    <cellStyle name="_CTA CTE MES DE ENERO-06_SUMINISTROS LOGISTICA ULTIMO NOV 20_FORMATOPresupuesto 2010-TRABAJO.C1" xfId="1691" xr:uid="{00000000-0005-0000-0000-00009B060000}"/>
    <cellStyle name="_CTA CTE MES DE ENERO-06_SUMINISTROS LOGISTICA ULTIMO NOV 20_FORMATOPresupuesto 2010-TRABAJO.C1." xfId="1692" xr:uid="{00000000-0005-0000-0000-00009C060000}"/>
    <cellStyle name="_cta_corriente_contab_131207" xfId="1693" xr:uid="{00000000-0005-0000-0000-00009D060000}"/>
    <cellStyle name="_cta_corriente_contab_131207_Consolidado Ingresos" xfId="1694" xr:uid="{00000000-0005-0000-0000-00009E060000}"/>
    <cellStyle name="_cta_corriente_contab_131207_Consolidado Ingresos_Consolidado PPTO Ingresos 2010 Ajuste Medicamentos" xfId="1695" xr:uid="{00000000-0005-0000-0000-00009F060000}"/>
    <cellStyle name="_cta_corriente_contab_131207_Consolidado Ingresos_Consolidado PPTO Ingresos 2010 Ajuste Reuniones" xfId="1696" xr:uid="{00000000-0005-0000-0000-0000A0060000}"/>
    <cellStyle name="_cta_corriente_contab_131207_Consolidado Ingresos_Consolidado PPTO Ingresos 2010 Ejerc" xfId="1697" xr:uid="{00000000-0005-0000-0000-0000A1060000}"/>
    <cellStyle name="_cta_corriente_contab_131207_Consolidado Ingresos_Consolidado PPTO Ingresos 2010 Ejerc Reduccion % Ocupacional" xfId="1698" xr:uid="{00000000-0005-0000-0000-0000A2060000}"/>
    <cellStyle name="_cta_corriente_contab_131207_Consolidado Ingresos_Consolidado PPTO Ingresos 2010 Ejerc Reduccion % Ocupacional Vs 3 Centro" xfId="1699" xr:uid="{00000000-0005-0000-0000-0000A3060000}"/>
    <cellStyle name="_cta_corriente_contab_131207_COSTO DE MEDICAMENTOS " xfId="1700" xr:uid="{00000000-0005-0000-0000-0000A4060000}"/>
    <cellStyle name="_cta_corriente_contab_131207_COSTO DE MEDICAMENTOS _Consolidado PPTO Ingresos 2010 Ajuste Medicamentos" xfId="1701" xr:uid="{00000000-0005-0000-0000-0000A5060000}"/>
    <cellStyle name="_cta_corriente_contab_131207_COSTO DE MEDICAMENTOS _Consolidado PPTO Ingresos 2010 Ajuste Reuniones" xfId="1702" xr:uid="{00000000-0005-0000-0000-0000A6060000}"/>
    <cellStyle name="_cta_corriente_contab_131207_COSTO DE MEDICAMENTOS _Consolidado PPTO Ingresos 2010 Ejerc Reduccion % Ocupacional Vs 3 Centro" xfId="1703" xr:uid="{00000000-0005-0000-0000-0000A7060000}"/>
    <cellStyle name="_cta_corriente_contab_131207_COSTO DE MEDICAMENTOS." xfId="1704" xr:uid="{00000000-0005-0000-0000-0000A8060000}"/>
    <cellStyle name="_cta_corriente_contab_131207_EJECUCION CONSOLIDADA A OCTUBRE GENERAL.CONSOLIDADO" xfId="1705" xr:uid="{00000000-0005-0000-0000-0000A9060000}"/>
    <cellStyle name="_cta_corriente_contab_131207_EJECUCION PRESUPUESTAL A AGOSTO 09" xfId="1706" xr:uid="{00000000-0005-0000-0000-0000AA060000}"/>
    <cellStyle name="_cta_corriente_contab_131207_EJECUCION PRESUPUESTAL A NOVIEMBRE  09 EJERCICIO AJUSTE INGRESOS " xfId="1707" xr:uid="{00000000-0005-0000-0000-0000AB060000}"/>
    <cellStyle name="_cta_corriente_contab_131207_EJECUCION PRESUPUESTAL A NOVIEMBRE  09 EJERCICIO AJUSTE INGRESOS _Consolidado PPTO Ingresos 2010 Ajuste Medicamentos" xfId="1708" xr:uid="{00000000-0005-0000-0000-0000AC060000}"/>
    <cellStyle name="_cta_corriente_contab_131207_FINANCIEROS-CONS" xfId="1709" xr:uid="{00000000-0005-0000-0000-0000AD060000}"/>
    <cellStyle name="_cta_corriente_contab_131207_provision contingencias-CONS" xfId="1710" xr:uid="{00000000-0005-0000-0000-0000AE060000}"/>
    <cellStyle name="_cta_corriente_contab_131207_provision de cartera-CONS" xfId="1711" xr:uid="{00000000-0005-0000-0000-0000AF060000}"/>
    <cellStyle name="_Cuenta Corriente -08" xfId="1712" xr:uid="{00000000-0005-0000-0000-0000B0060000}"/>
    <cellStyle name="_Cuenta Corriente -08_COSTO DE MEDICAMENTOS " xfId="1713" xr:uid="{00000000-0005-0000-0000-0000B1060000}"/>
    <cellStyle name="_Cuenta Corriente -08_COSTO DE MEDICAMENTOS _Consolidado PPTO Ingresos 2010 Ajuste Medicamentos" xfId="1714" xr:uid="{00000000-0005-0000-0000-0000B2060000}"/>
    <cellStyle name="_Cuenta Corriente -08_COSTO DE MEDICAMENTOS _Consolidado PPTO Ingresos 2010 Ajuste Reuniones" xfId="1715" xr:uid="{00000000-0005-0000-0000-0000B3060000}"/>
    <cellStyle name="_Cuenta Corriente -08_COSTO DE MEDICAMENTOS _Consolidado PPTO Ingresos 2010 Ejerc Reduccion % Ocupacional Vs 3 Centro" xfId="1716" xr:uid="{00000000-0005-0000-0000-0000B4060000}"/>
    <cellStyle name="_Cuenta Corriente -08_COSTO DE MEDICAMENTOS." xfId="1717" xr:uid="{00000000-0005-0000-0000-0000B5060000}"/>
    <cellStyle name="_Cuenta Corriente -08_EJECUCION CONSOLIDADA A OCTUBRE GENERAL.CONSOLIDADO" xfId="1718" xr:uid="{00000000-0005-0000-0000-0000B6060000}"/>
    <cellStyle name="_Cuenta Corriente -08_EJECUCION PRESUPUESTAL A AGOSTO 09" xfId="1719" xr:uid="{00000000-0005-0000-0000-0000B7060000}"/>
    <cellStyle name="_Cuenta Corriente -08_EJECUCION PRESUPUESTAL A NOVIEMBRE  09 EJERCICIO AJUSTE INGRESOS " xfId="1720" xr:uid="{00000000-0005-0000-0000-0000B8060000}"/>
    <cellStyle name="_Cuenta Corriente -08_EJECUCION PRESUPUESTAL A NOVIEMBRE  09 EJERCICIO AJUSTE INGRESOS _Consolidado PPTO Ingresos 2010 Ajuste Medicamentos" xfId="1721" xr:uid="{00000000-0005-0000-0000-0000B9060000}"/>
    <cellStyle name="_Cuenta Corriente -08_FINANCIEROS-CONS" xfId="1722" xr:uid="{00000000-0005-0000-0000-0000BA060000}"/>
    <cellStyle name="_Cuenta Corriente -08_provision contingencias-CONS" xfId="1723" xr:uid="{00000000-0005-0000-0000-0000BB060000}"/>
    <cellStyle name="_Cuenta Corriente -08_provision de cartera-CONS" xfId="1724" xr:uid="{00000000-0005-0000-0000-0000BC060000}"/>
    <cellStyle name="_Cuenta Corriente abril-08" xfId="1725" xr:uid="{00000000-0005-0000-0000-0000BD060000}"/>
    <cellStyle name="_Cuenta Corriente abril-08_COSTO DE MEDICAMENTOS " xfId="1726" xr:uid="{00000000-0005-0000-0000-0000BE060000}"/>
    <cellStyle name="_Cuenta Corriente abril-08_COSTO DE MEDICAMENTOS _Consolidado PPTO Ingresos 2010 Ajuste Medicamentos" xfId="1727" xr:uid="{00000000-0005-0000-0000-0000BF060000}"/>
    <cellStyle name="_Cuenta Corriente abril-08_COSTO DE MEDICAMENTOS _Consolidado PPTO Ingresos 2010 Ajuste Reuniones" xfId="1728" xr:uid="{00000000-0005-0000-0000-0000C0060000}"/>
    <cellStyle name="_Cuenta Corriente abril-08_COSTO DE MEDICAMENTOS _Consolidado PPTO Ingresos 2010 Ejerc Reduccion % Ocupacional Vs 3 Centro" xfId="1729" xr:uid="{00000000-0005-0000-0000-0000C1060000}"/>
    <cellStyle name="_Cuenta Corriente abril-08_COSTO DE MEDICAMENTOS." xfId="1730" xr:uid="{00000000-0005-0000-0000-0000C2060000}"/>
    <cellStyle name="_Cuenta Corriente abril-08_EJECUCION CONSOLIDADA A OCTUBRE GENERAL.CONSOLIDADO" xfId="1731" xr:uid="{00000000-0005-0000-0000-0000C3060000}"/>
    <cellStyle name="_Cuenta Corriente abril-08_EJECUCION PRESUPUESTAL A AGOSTO 09" xfId="1732" xr:uid="{00000000-0005-0000-0000-0000C4060000}"/>
    <cellStyle name="_Cuenta Corriente abril-08_EJECUCION PRESUPUESTAL A NOVIEMBRE  09 EJERCICIO AJUSTE INGRESOS " xfId="1733" xr:uid="{00000000-0005-0000-0000-0000C5060000}"/>
    <cellStyle name="_Cuenta Corriente abril-08_EJECUCION PRESUPUESTAL A NOVIEMBRE  09 EJERCICIO AJUSTE INGRESOS _Consolidado PPTO Ingresos 2010 Ajuste Medicamentos" xfId="1734" xr:uid="{00000000-0005-0000-0000-0000C6060000}"/>
    <cellStyle name="_Cuenta Corriente abril-08_FINANCIEROS-CONS" xfId="1735" xr:uid="{00000000-0005-0000-0000-0000C7060000}"/>
    <cellStyle name="_Cuenta Corriente abril-08_provision contingencias-CONS" xfId="1736" xr:uid="{00000000-0005-0000-0000-0000C8060000}"/>
    <cellStyle name="_Cuenta Corriente abril-08_provision de cartera-CONS" xfId="1737" xr:uid="{00000000-0005-0000-0000-0000C9060000}"/>
    <cellStyle name="_CUENTA CORRIENTE ENERO - 07" xfId="1738" xr:uid="{00000000-0005-0000-0000-0000CA060000}"/>
    <cellStyle name="_CUENTA CORRIENTE ENERO - 07_Consolidado Ingresos" xfId="1739" xr:uid="{00000000-0005-0000-0000-0000CB060000}"/>
    <cellStyle name="_CUENTA CORRIENTE ENERO - 07_Consolidado Ingresos_Consolidado PPTO Ingresos 2010 Ajuste Medicamentos" xfId="1740" xr:uid="{00000000-0005-0000-0000-0000CC060000}"/>
    <cellStyle name="_CUENTA CORRIENTE ENERO - 07_Consolidado Ingresos_Consolidado PPTO Ingresos 2010 Ajuste Reuniones" xfId="1741" xr:uid="{00000000-0005-0000-0000-0000CD060000}"/>
    <cellStyle name="_CUENTA CORRIENTE ENERO - 07_Consolidado Ingresos_Consolidado PPTO Ingresos 2010 Ejerc" xfId="1742" xr:uid="{00000000-0005-0000-0000-0000CE060000}"/>
    <cellStyle name="_CUENTA CORRIENTE ENERO - 07_Consolidado Ingresos_Consolidado PPTO Ingresos 2010 Ejerc Reduccion % Ocupacional" xfId="1743" xr:uid="{00000000-0005-0000-0000-0000CF060000}"/>
    <cellStyle name="_CUENTA CORRIENTE ENERO - 07_Consolidado Ingresos_Consolidado PPTO Ingresos 2010 Ejerc Reduccion % Ocupacional Vs 3 Centro" xfId="1744" xr:uid="{00000000-0005-0000-0000-0000D0060000}"/>
    <cellStyle name="_CUENTA CORRIENTE ENERO - 07_COSTO DE MEDICAMENTOS." xfId="1745" xr:uid="{00000000-0005-0000-0000-0000D1060000}"/>
    <cellStyle name="_CUENTA CORRIENTE ENERO - 07_COSTO DE MEDICAMENTOS._Consolidado 1000 Proyecciones" xfId="1746" xr:uid="{00000000-0005-0000-0000-0000D2060000}"/>
    <cellStyle name="_CUENTA CORRIENTE ENERO - 07_COSTO DE MEDICAMENTOS._FORMATOPresupuesto 2010-TRABAJO.C1" xfId="1747" xr:uid="{00000000-0005-0000-0000-0000D3060000}"/>
    <cellStyle name="_CUENTA CORRIENTE ENERO - 07_COSTO DE MEDICAMENTOS._FORMATOPresupuesto 2010-TRABAJO.C1." xfId="1748" xr:uid="{00000000-0005-0000-0000-0000D4060000}"/>
    <cellStyle name="_CUENTA CORRIENTE ENERO - 07_EJECUCION CONSOLIDADA A OCTUBRE GENERAL.CONSOLIDADO" xfId="1749" xr:uid="{00000000-0005-0000-0000-0000D5060000}"/>
    <cellStyle name="_CUENTA CORRIENTE ENERO - 07_EJECUCION PRESUPUESTAL A AGOSTO 09" xfId="1750" xr:uid="{00000000-0005-0000-0000-0000D6060000}"/>
    <cellStyle name="_CUENTA CORRIENTE ENERO - 07_EJECUCION PRESUPUESTAL A NOVIEMBRE  09 EJERCICIO AJUSTE INGRESOS " xfId="1751" xr:uid="{00000000-0005-0000-0000-0000D7060000}"/>
    <cellStyle name="_CUENTA CORRIENTE ENERO - 07_EJECUCION PRESUPUESTAL A NOVIEMBRE  09 EJERCICIO AJUSTE INGRESOS _Consolidado PPTO Ingresos 2010 Ajuste Medicamentos" xfId="1752" xr:uid="{00000000-0005-0000-0000-0000D8060000}"/>
    <cellStyle name="_CUENTA CORRIENTE ENERO - 07_EJECUCION PRESUPUESTAL A SEPTIEMBRE  09 EJERCICIO AJUSTE INGRESOS" xfId="1753" xr:uid="{00000000-0005-0000-0000-0000D9060000}"/>
    <cellStyle name="_CUENTA CORRIENTE ENERO - 07_EJECUCION PRESUPUESTAL A SEPTIEMBRE  09 EJERCICIO AJUSTE INGRESOS_Consolidado PPTO Ingresos 2010 Ajuste Medicamentos" xfId="1754" xr:uid="{00000000-0005-0000-0000-0000DA060000}"/>
    <cellStyle name="_CUENTA CORRIENTE ENERO - 07_EJECUCION PRESUPUESTAL A SEPTIEMBRE  09 EJERCICIO AJUSTE INGRESOS_Consolidado PPTO Ingresos 2010 Ajuste Reuniones" xfId="1755" xr:uid="{00000000-0005-0000-0000-0000DB060000}"/>
    <cellStyle name="_CUENTA CORRIENTE ENERO - 07_EJECUCION PRESUPUESTAL A SEPTIEMBRE  09 EJERCICIO AJUSTE INGRESOS_Consolidado PPTO Ingresos 2010 Ejerc Reduccion % Ocupacional Vs 3 Centro" xfId="1756" xr:uid="{00000000-0005-0000-0000-0000DC060000}"/>
    <cellStyle name="_CUENTA CORRIENTE ENERO - 07_EJECUCION_CONSOLIDADA_AGO_2008(1)" xfId="1757" xr:uid="{00000000-0005-0000-0000-0000DD060000}"/>
    <cellStyle name="_CUENTA CORRIENTE ENERO - 07_EJECUCION_CONSOLIDADA_AGO_2008(1)_Consolidado 1000 Proyecciones" xfId="1758" xr:uid="{00000000-0005-0000-0000-0000DE060000}"/>
    <cellStyle name="_CUENTA CORRIENTE ENERO - 07_EJECUCION_CONSOLIDADA_AGO_2008(1)_FORMATOPresupuesto 2010-TRABAJO.C1" xfId="1759" xr:uid="{00000000-0005-0000-0000-0000DF060000}"/>
    <cellStyle name="_CUENTA CORRIENTE ENERO - 07_EJECUCION_CONSOLIDADA_AGO_2008(1)_FORMATOPresupuesto 2010-TRABAJO.C1." xfId="1760" xr:uid="{00000000-0005-0000-0000-0000E0060000}"/>
    <cellStyle name="_CUENTA CORRIENTE ENERO - 07_FINANCIEROS-CONS" xfId="1761" xr:uid="{00000000-0005-0000-0000-0000E1060000}"/>
    <cellStyle name="_CUENTA CORRIENTE ENERO - 07_provision contingencias-CONS" xfId="1762" xr:uid="{00000000-0005-0000-0000-0000E2060000}"/>
    <cellStyle name="_CUENTA CORRIENTE ENERO - 07_provision de cartera-CONS" xfId="1763" xr:uid="{00000000-0005-0000-0000-0000E3060000}"/>
    <cellStyle name="_Cuenta Corriente julio-07.xls VERSIO" xfId="1764" xr:uid="{00000000-0005-0000-0000-0000E4060000}"/>
    <cellStyle name="_Cuenta Corriente julio-07.xls VERSIO_Consolidado Ingresos" xfId="1765" xr:uid="{00000000-0005-0000-0000-0000E5060000}"/>
    <cellStyle name="_Cuenta Corriente julio-07.xls VERSIO_Consolidado Ingresos_Consolidado PPTO Ingresos 2010 Ajuste Medicamentos" xfId="1766" xr:uid="{00000000-0005-0000-0000-0000E6060000}"/>
    <cellStyle name="_Cuenta Corriente julio-07.xls VERSIO_Consolidado Ingresos_Consolidado PPTO Ingresos 2010 Ajuste Reuniones" xfId="1767" xr:uid="{00000000-0005-0000-0000-0000E7060000}"/>
    <cellStyle name="_Cuenta Corriente julio-07.xls VERSIO_Consolidado Ingresos_Consolidado PPTO Ingresos 2010 Ejerc" xfId="1768" xr:uid="{00000000-0005-0000-0000-0000E8060000}"/>
    <cellStyle name="_Cuenta Corriente julio-07.xls VERSIO_Consolidado Ingresos_Consolidado PPTO Ingresos 2010 Ejerc Reduccion % Ocupacional" xfId="1769" xr:uid="{00000000-0005-0000-0000-0000E9060000}"/>
    <cellStyle name="_Cuenta Corriente julio-07.xls VERSIO_Consolidado Ingresos_Consolidado PPTO Ingresos 2010 Ejerc Reduccion % Ocupacional Vs 3 Centro" xfId="1770" xr:uid="{00000000-0005-0000-0000-0000EA060000}"/>
    <cellStyle name="_Cuenta Corriente julio-07.xls VERSIO_COSTO DE MEDICAMENTOS " xfId="1771" xr:uid="{00000000-0005-0000-0000-0000EB060000}"/>
    <cellStyle name="_Cuenta Corriente julio-07.xls VERSIO_COSTO DE MEDICAMENTOS _Consolidado PPTO Ingresos 2010 Ajuste Medicamentos" xfId="1772" xr:uid="{00000000-0005-0000-0000-0000EC060000}"/>
    <cellStyle name="_Cuenta Corriente julio-07.xls VERSIO_COSTO DE MEDICAMENTOS _Consolidado PPTO Ingresos 2010 Ajuste Reuniones" xfId="1773" xr:uid="{00000000-0005-0000-0000-0000ED060000}"/>
    <cellStyle name="_Cuenta Corriente julio-07.xls VERSIO_COSTO DE MEDICAMENTOS _Consolidado PPTO Ingresos 2010 Ejerc Reduccion % Ocupacional Vs 3 Centro" xfId="1774" xr:uid="{00000000-0005-0000-0000-0000EE060000}"/>
    <cellStyle name="_Cuenta Corriente julio-07.xls VERSIO_COSTO DE MEDICAMENTOS." xfId="1775" xr:uid="{00000000-0005-0000-0000-0000EF060000}"/>
    <cellStyle name="_Cuenta Corriente julio-07.xls VERSIO_EJECUCION CONSOLIDADA A OCTUBRE GENERAL.CONSOLIDADO" xfId="1776" xr:uid="{00000000-0005-0000-0000-0000F0060000}"/>
    <cellStyle name="_Cuenta Corriente julio-07.xls VERSIO_EJECUCION PRESUPUESTAL A AGOSTO 09" xfId="1777" xr:uid="{00000000-0005-0000-0000-0000F1060000}"/>
    <cellStyle name="_Cuenta Corriente julio-07.xls VERSIO_EJECUCION PRESUPUESTAL A NOVIEMBRE  09 EJERCICIO AJUSTE INGRESOS " xfId="1778" xr:uid="{00000000-0005-0000-0000-0000F2060000}"/>
    <cellStyle name="_Cuenta Corriente julio-07.xls VERSIO_EJECUCION PRESUPUESTAL A NOVIEMBRE  09 EJERCICIO AJUSTE INGRESOS _Consolidado PPTO Ingresos 2010 Ajuste Medicamentos" xfId="1779" xr:uid="{00000000-0005-0000-0000-0000F3060000}"/>
    <cellStyle name="_Cuenta Corriente julio-07.xls VERSIO_FINANCIEROS-CONS" xfId="1780" xr:uid="{00000000-0005-0000-0000-0000F4060000}"/>
    <cellStyle name="_Cuenta Corriente julio-07.xls VERSIO_provision contingencias-CONS" xfId="1781" xr:uid="{00000000-0005-0000-0000-0000F5060000}"/>
    <cellStyle name="_Cuenta Corriente julio-07.xls VERSIO_provision de cartera-CONS" xfId="1782" xr:uid="{00000000-0005-0000-0000-0000F6060000}"/>
    <cellStyle name="_CUENTA CORRIENTE JUNIO-07.xls (version" xfId="1783" xr:uid="{00000000-0005-0000-0000-0000F7060000}"/>
    <cellStyle name="_CUENTA CORRIENTE JUNIO-07.xls (version_Consolidado Ingresos" xfId="1784" xr:uid="{00000000-0005-0000-0000-0000F8060000}"/>
    <cellStyle name="_CUENTA CORRIENTE JUNIO-07.xls (version_Consolidado Ingresos_Consolidado PPTO Ingresos 2010 Ajuste Medicamentos" xfId="1785" xr:uid="{00000000-0005-0000-0000-0000F9060000}"/>
    <cellStyle name="_CUENTA CORRIENTE JUNIO-07.xls (version_Consolidado Ingresos_Consolidado PPTO Ingresos 2010 Ajuste Reuniones" xfId="1786" xr:uid="{00000000-0005-0000-0000-0000FA060000}"/>
    <cellStyle name="_CUENTA CORRIENTE JUNIO-07.xls (version_Consolidado Ingresos_Consolidado PPTO Ingresos 2010 Ejerc" xfId="1787" xr:uid="{00000000-0005-0000-0000-0000FB060000}"/>
    <cellStyle name="_CUENTA CORRIENTE JUNIO-07.xls (version_Consolidado Ingresos_Consolidado PPTO Ingresos 2010 Ejerc Reduccion % Ocupacional" xfId="1788" xr:uid="{00000000-0005-0000-0000-0000FC060000}"/>
    <cellStyle name="_CUENTA CORRIENTE JUNIO-07.xls (version_Consolidado Ingresos_Consolidado PPTO Ingresos 2010 Ejerc Reduccion % Ocupacional Vs 3 Centro" xfId="1789" xr:uid="{00000000-0005-0000-0000-0000FD060000}"/>
    <cellStyle name="_CUENTA CORRIENTE JUNIO-07.xls (version_COSTO DE MEDICAMENTOS " xfId="1790" xr:uid="{00000000-0005-0000-0000-0000FE060000}"/>
    <cellStyle name="_CUENTA CORRIENTE JUNIO-07.xls (version_COSTO DE MEDICAMENTOS _Consolidado PPTO Ingresos 2010 Ajuste Medicamentos" xfId="1791" xr:uid="{00000000-0005-0000-0000-0000FF060000}"/>
    <cellStyle name="_CUENTA CORRIENTE JUNIO-07.xls (version_COSTO DE MEDICAMENTOS _Consolidado PPTO Ingresos 2010 Ajuste Reuniones" xfId="1792" xr:uid="{00000000-0005-0000-0000-000000070000}"/>
    <cellStyle name="_CUENTA CORRIENTE JUNIO-07.xls (version_COSTO DE MEDICAMENTOS _Consolidado PPTO Ingresos 2010 Ejerc Reduccion % Ocupacional Vs 3 Centro" xfId="1793" xr:uid="{00000000-0005-0000-0000-000001070000}"/>
    <cellStyle name="_CUENTA CORRIENTE JUNIO-07.xls (version_COSTO DE MEDICAMENTOS." xfId="1794" xr:uid="{00000000-0005-0000-0000-000002070000}"/>
    <cellStyle name="_CUENTA CORRIENTE JUNIO-07.xls (version_EJECUCION CONSOLIDADA A OCTUBRE GENERAL.CONSOLIDADO" xfId="1795" xr:uid="{00000000-0005-0000-0000-000003070000}"/>
    <cellStyle name="_CUENTA CORRIENTE JUNIO-07.xls (version_EJECUCION PRESUPUESTAL A AGOSTO 09" xfId="1796" xr:uid="{00000000-0005-0000-0000-000004070000}"/>
    <cellStyle name="_CUENTA CORRIENTE JUNIO-07.xls (version_EJECUCION PRESUPUESTAL A NOVIEMBRE  09 EJERCICIO AJUSTE INGRESOS " xfId="1797" xr:uid="{00000000-0005-0000-0000-000005070000}"/>
    <cellStyle name="_CUENTA CORRIENTE JUNIO-07.xls (version_EJECUCION PRESUPUESTAL A NOVIEMBRE  09 EJERCICIO AJUSTE INGRESOS _Consolidado PPTO Ingresos 2010 Ajuste Medicamentos" xfId="1798" xr:uid="{00000000-0005-0000-0000-000006070000}"/>
    <cellStyle name="_CUENTA CORRIENTE JUNIO-07.xls (version_FINANCIEROS-CONS" xfId="1799" xr:uid="{00000000-0005-0000-0000-000007070000}"/>
    <cellStyle name="_CUENTA CORRIENTE JUNIO-07.xls (version_provision contingencias-CONS" xfId="1800" xr:uid="{00000000-0005-0000-0000-000008070000}"/>
    <cellStyle name="_CUENTA CORRIENTE JUNIO-07.xls (version_provision de cartera-CONS" xfId="1801" xr:uid="{00000000-0005-0000-0000-000009070000}"/>
    <cellStyle name="_CUENTA CORRIENTE MAYO - 07" xfId="1802" xr:uid="{00000000-0005-0000-0000-00000A070000}"/>
    <cellStyle name="_CUENTA CORRIENTE MAYO - 07_Consolidado Ingresos" xfId="1803" xr:uid="{00000000-0005-0000-0000-00000B070000}"/>
    <cellStyle name="_CUENTA CORRIENTE MAYO - 07_Consolidado Ingresos_Consolidado PPTO Ingresos 2010 Ajuste Medicamentos" xfId="1804" xr:uid="{00000000-0005-0000-0000-00000C070000}"/>
    <cellStyle name="_CUENTA CORRIENTE MAYO - 07_Consolidado Ingresos_Consolidado PPTO Ingresos 2010 Ajuste Reuniones" xfId="1805" xr:uid="{00000000-0005-0000-0000-00000D070000}"/>
    <cellStyle name="_CUENTA CORRIENTE MAYO - 07_Consolidado Ingresos_Consolidado PPTO Ingresos 2010 Ejerc" xfId="1806" xr:uid="{00000000-0005-0000-0000-00000E070000}"/>
    <cellStyle name="_CUENTA CORRIENTE MAYO - 07_Consolidado Ingresos_Consolidado PPTO Ingresos 2010 Ejerc Reduccion % Ocupacional" xfId="1807" xr:uid="{00000000-0005-0000-0000-00000F070000}"/>
    <cellStyle name="_CUENTA CORRIENTE MAYO - 07_Consolidado Ingresos_Consolidado PPTO Ingresos 2010 Ejerc Reduccion % Ocupacional Vs 3 Centro" xfId="1808" xr:uid="{00000000-0005-0000-0000-000010070000}"/>
    <cellStyle name="_CUENTA CORRIENTE MAYO - 07_COSTO DE MEDICAMENTOS " xfId="1809" xr:uid="{00000000-0005-0000-0000-000011070000}"/>
    <cellStyle name="_CUENTA CORRIENTE MAYO - 07_COSTO DE MEDICAMENTOS _Consolidado PPTO Ingresos 2010 Ajuste Medicamentos" xfId="1810" xr:uid="{00000000-0005-0000-0000-000012070000}"/>
    <cellStyle name="_CUENTA CORRIENTE MAYO - 07_COSTO DE MEDICAMENTOS _Consolidado PPTO Ingresos 2010 Ajuste Reuniones" xfId="1811" xr:uid="{00000000-0005-0000-0000-000013070000}"/>
    <cellStyle name="_CUENTA CORRIENTE MAYO - 07_COSTO DE MEDICAMENTOS _Consolidado PPTO Ingresos 2010 Ejerc Reduccion % Ocupacional Vs 3 Centro" xfId="1812" xr:uid="{00000000-0005-0000-0000-000014070000}"/>
    <cellStyle name="_CUENTA CORRIENTE MAYO - 07_COSTO DE MEDICAMENTOS." xfId="1813" xr:uid="{00000000-0005-0000-0000-000015070000}"/>
    <cellStyle name="_CUENTA CORRIENTE MAYO - 07_EJECUCION CONSOLIDADA A OCTUBRE GENERAL.CONSOLIDADO" xfId="1814" xr:uid="{00000000-0005-0000-0000-000016070000}"/>
    <cellStyle name="_CUENTA CORRIENTE MAYO - 07_EJECUCION PRESUPUESTAL A AGOSTO 09" xfId="1815" xr:uid="{00000000-0005-0000-0000-000017070000}"/>
    <cellStyle name="_CUENTA CORRIENTE MAYO - 07_EJECUCION PRESUPUESTAL A NOVIEMBRE  09 EJERCICIO AJUSTE INGRESOS " xfId="1816" xr:uid="{00000000-0005-0000-0000-000018070000}"/>
    <cellStyle name="_CUENTA CORRIENTE MAYO - 07_EJECUCION PRESUPUESTAL A NOVIEMBRE  09 EJERCICIO AJUSTE INGRESOS _Consolidado PPTO Ingresos 2010 Ajuste Medicamentos" xfId="1817" xr:uid="{00000000-0005-0000-0000-000019070000}"/>
    <cellStyle name="_CUENTA CORRIENTE MAYO - 07_FINANCIEROS-CONS" xfId="1818" xr:uid="{00000000-0005-0000-0000-00001A070000}"/>
    <cellStyle name="_CUENTA CORRIENTE MAYO - 07_provision contingencias-CONS" xfId="1819" xr:uid="{00000000-0005-0000-0000-00001B070000}"/>
    <cellStyle name="_CUENTA CORRIENTE MAYO - 07_provision de cartera-CONS" xfId="1820" xr:uid="{00000000-0005-0000-0000-00001C070000}"/>
    <cellStyle name="_Cuenta Corriente mes de abril-07" xfId="1821" xr:uid="{00000000-0005-0000-0000-00001D070000}"/>
    <cellStyle name="_Cuenta Corriente mes de abril-07_Consolidado Ingresos" xfId="1822" xr:uid="{00000000-0005-0000-0000-00001E070000}"/>
    <cellStyle name="_Cuenta Corriente mes de abril-07_Consolidado Ingresos_Consolidado PPTO Ingresos 2010 Ajuste Medicamentos" xfId="1823" xr:uid="{00000000-0005-0000-0000-00001F070000}"/>
    <cellStyle name="_Cuenta Corriente mes de abril-07_Consolidado Ingresos_Consolidado PPTO Ingresos 2010 Ajuste Reuniones" xfId="1824" xr:uid="{00000000-0005-0000-0000-000020070000}"/>
    <cellStyle name="_Cuenta Corriente mes de abril-07_Consolidado Ingresos_Consolidado PPTO Ingresos 2010 Ejerc" xfId="1825" xr:uid="{00000000-0005-0000-0000-000021070000}"/>
    <cellStyle name="_Cuenta Corriente mes de abril-07_Consolidado Ingresos_Consolidado PPTO Ingresos 2010 Ejerc Reduccion % Ocupacional" xfId="1826" xr:uid="{00000000-0005-0000-0000-000022070000}"/>
    <cellStyle name="_Cuenta Corriente mes de abril-07_Consolidado Ingresos_Consolidado PPTO Ingresos 2010 Ejerc Reduccion % Ocupacional Vs 3 Centro" xfId="1827" xr:uid="{00000000-0005-0000-0000-000023070000}"/>
    <cellStyle name="_Cuenta Corriente mes de abril-07_COSTO DE MEDICAMENTOS " xfId="1828" xr:uid="{00000000-0005-0000-0000-000024070000}"/>
    <cellStyle name="_Cuenta Corriente mes de abril-07_COSTO DE MEDICAMENTOS _Consolidado PPTO Ingresos 2010 Ajuste Medicamentos" xfId="1829" xr:uid="{00000000-0005-0000-0000-000025070000}"/>
    <cellStyle name="_Cuenta Corriente mes de abril-07_COSTO DE MEDICAMENTOS _Consolidado PPTO Ingresos 2010 Ajuste Reuniones" xfId="1830" xr:uid="{00000000-0005-0000-0000-000026070000}"/>
    <cellStyle name="_Cuenta Corriente mes de abril-07_COSTO DE MEDICAMENTOS _Consolidado PPTO Ingresos 2010 Ejerc Reduccion % Ocupacional Vs 3 Centro" xfId="1831" xr:uid="{00000000-0005-0000-0000-000027070000}"/>
    <cellStyle name="_Cuenta Corriente mes de abril-07_COSTO DE MEDICAMENTOS." xfId="1832" xr:uid="{00000000-0005-0000-0000-000028070000}"/>
    <cellStyle name="_Cuenta Corriente mes de abril-07_EJECUCION CONSOLIDADA A OCTUBRE GENERAL.CONSOLIDADO" xfId="1833" xr:uid="{00000000-0005-0000-0000-000029070000}"/>
    <cellStyle name="_Cuenta Corriente mes de abril-07_EJECUCION PRESUPUESTAL A AGOSTO 09" xfId="1834" xr:uid="{00000000-0005-0000-0000-00002A070000}"/>
    <cellStyle name="_Cuenta Corriente mes de abril-07_EJECUCION PRESUPUESTAL A NOVIEMBRE  09 EJERCICIO AJUSTE INGRESOS " xfId="1835" xr:uid="{00000000-0005-0000-0000-00002B070000}"/>
    <cellStyle name="_Cuenta Corriente mes de abril-07_EJECUCION PRESUPUESTAL A NOVIEMBRE  09 EJERCICIO AJUSTE INGRESOS _Consolidado PPTO Ingresos 2010 Ajuste Medicamentos" xfId="1836" xr:uid="{00000000-0005-0000-0000-00002C070000}"/>
    <cellStyle name="_Cuenta Corriente mes de abril-07_FINANCIEROS-CONS" xfId="1837" xr:uid="{00000000-0005-0000-0000-00002D070000}"/>
    <cellStyle name="_Cuenta Corriente mes de abril-07_provision contingencias-CONS" xfId="1838" xr:uid="{00000000-0005-0000-0000-00002E070000}"/>
    <cellStyle name="_Cuenta Corriente mes de abril-07_provision de cartera-CONS" xfId="1839" xr:uid="{00000000-0005-0000-0000-00002F070000}"/>
    <cellStyle name="_Currency" xfId="1840" xr:uid="{00000000-0005-0000-0000-000030070000}"/>
    <cellStyle name="_Currency_10yr Summary" xfId="1841" xr:uid="{00000000-0005-0000-0000-000031070000}"/>
    <cellStyle name="_Currency_Ariba profile" xfId="1842" xr:uid="{00000000-0005-0000-0000-000032070000}"/>
    <cellStyle name="_Currency_AVP" xfId="1843" xr:uid="{00000000-0005-0000-0000-000033070000}"/>
    <cellStyle name="_Currency_Base Model new IBP April 18" xfId="1844" xr:uid="{00000000-0005-0000-0000-000034070000}"/>
    <cellStyle name="_Currency_Base Model new IBP August" xfId="1845" xr:uid="{00000000-0005-0000-0000-000035070000}"/>
    <cellStyle name="_Currency_Blue Merger Model Synergy 22-Nov-2002" xfId="1846" xr:uid="{00000000-0005-0000-0000-000036070000}"/>
    <cellStyle name="_Currency_Book1" xfId="1847" xr:uid="{00000000-0005-0000-0000-000037070000}"/>
    <cellStyle name="_Currency_Charlie Indicative LBO Model 24-Mar-2002" xfId="1848" xr:uid="{00000000-0005-0000-0000-000038070000}"/>
    <cellStyle name="_Currency_cirrus P&amp;L model" xfId="1849" xr:uid="{00000000-0005-0000-0000-000039070000}"/>
    <cellStyle name="_Currency_diluted share - cirrus &amp; nimbus" xfId="1850" xr:uid="{00000000-0005-0000-0000-00003A070000}"/>
    <cellStyle name="_Currency_Eramet valuation_14.02.07_v12" xfId="1851" xr:uid="{00000000-0005-0000-0000-00003B070000}"/>
    <cellStyle name="_Currency_EXCEL SHEETS" xfId="1852" xr:uid="{00000000-0005-0000-0000-00003C070000}"/>
    <cellStyle name="_Currency_Hermes Merger Model KPMG No.s 21-Nov-2002" xfId="1853" xr:uid="{00000000-0005-0000-0000-00003D070000}"/>
    <cellStyle name="_Currency_IM Latest combined Group PL (DC)" xfId="1854" xr:uid="{00000000-0005-0000-0000-00003E070000}"/>
    <cellStyle name="_Currency_Indicative LBO model" xfId="1855" xr:uid="{00000000-0005-0000-0000-00003F070000}"/>
    <cellStyle name="_Currency_integrated_standalone" xfId="1856" xr:uid="{00000000-0005-0000-0000-000040070000}"/>
    <cellStyle name="_Currency_JPM Summary model Feb 2006" xfId="1857" xr:uid="{00000000-0005-0000-0000-000041070000}"/>
    <cellStyle name="_Currency_key stats2" xfId="1858" xr:uid="{00000000-0005-0000-0000-000042070000}"/>
    <cellStyle name="_Currency_LBO Disposal" xfId="1859" xr:uid="{00000000-0005-0000-0000-000043070000}"/>
    <cellStyle name="_Currency_Lightning Model October 2001" xfId="1860" xr:uid="{00000000-0005-0000-0000-000044070000}"/>
    <cellStyle name="_Currency_merger_plans" xfId="1861" xr:uid="{00000000-0005-0000-0000-000045070000}"/>
    <cellStyle name="_Currency_Nimbus - Historical Financials" xfId="1862" xr:uid="{00000000-0005-0000-0000-000046070000}"/>
    <cellStyle name="_Currency_Nimbus P&amp;L Model" xfId="1863" xr:uid="{00000000-0005-0000-0000-000047070000}"/>
    <cellStyle name="_Currency_Pterodactyl Returns Model (1-14-03)" xfId="1864" xr:uid="{00000000-0005-0000-0000-000048070000}"/>
    <cellStyle name="_Currency_sop-nimbus" xfId="1865" xr:uid="{00000000-0005-0000-0000-000049070000}"/>
    <cellStyle name="_Currency_Volvo Cars model 011006 v7" xfId="1866" xr:uid="{00000000-0005-0000-0000-00004A070000}"/>
    <cellStyle name="_CurrencySpace" xfId="1867" xr:uid="{00000000-0005-0000-0000-00004B070000}"/>
    <cellStyle name="_CurrencySpace_10yr Summary" xfId="1868" xr:uid="{00000000-0005-0000-0000-00004C070000}"/>
    <cellStyle name="_CurrencySpace_Ariba profile" xfId="1869" xr:uid="{00000000-0005-0000-0000-00004D070000}"/>
    <cellStyle name="_CurrencySpace_AVP" xfId="1870" xr:uid="{00000000-0005-0000-0000-00004E070000}"/>
    <cellStyle name="_CurrencySpace_Base Model new IBP April 18" xfId="1871" xr:uid="{00000000-0005-0000-0000-00004F070000}"/>
    <cellStyle name="_CurrencySpace_Book1" xfId="1872" xr:uid="{00000000-0005-0000-0000-000050070000}"/>
    <cellStyle name="_CurrencySpace_Charlie Indicative LBO Model 24-Mar-2002" xfId="1873" xr:uid="{00000000-0005-0000-0000-000051070000}"/>
    <cellStyle name="_CurrencySpace_diluted share - cirrus &amp; nimbus" xfId="1874" xr:uid="{00000000-0005-0000-0000-000052070000}"/>
    <cellStyle name="_CurrencySpace_Eramet valuation_14.02.07_v12" xfId="1875" xr:uid="{00000000-0005-0000-0000-000053070000}"/>
    <cellStyle name="_CurrencySpace_EXCEL SHEETS" xfId="1876" xr:uid="{00000000-0005-0000-0000-000054070000}"/>
    <cellStyle name="_CurrencySpace_Indicative LBO model" xfId="1877" xr:uid="{00000000-0005-0000-0000-000055070000}"/>
    <cellStyle name="_CurrencySpace_integrated_standalone" xfId="1878" xr:uid="{00000000-0005-0000-0000-000056070000}"/>
    <cellStyle name="_CurrencySpace_JPM Summary model Feb 2006" xfId="1879" xr:uid="{00000000-0005-0000-0000-000057070000}"/>
    <cellStyle name="_CurrencySpace_key stats2" xfId="1880" xr:uid="{00000000-0005-0000-0000-000058070000}"/>
    <cellStyle name="_CurrencySpace_LBO Disposal" xfId="1881" xr:uid="{00000000-0005-0000-0000-000059070000}"/>
    <cellStyle name="_CurrencySpace_Lightning Model October 2001" xfId="1882" xr:uid="{00000000-0005-0000-0000-00005A070000}"/>
    <cellStyle name="_CurrencySpace_merger_plans" xfId="1883" xr:uid="{00000000-0005-0000-0000-00005B070000}"/>
    <cellStyle name="_CurrencySpace_Nimbus - Historical Financials" xfId="1884" xr:uid="{00000000-0005-0000-0000-00005C070000}"/>
    <cellStyle name="_CurrencySpace_Nimbus P&amp;L Model" xfId="1885" xr:uid="{00000000-0005-0000-0000-00005D070000}"/>
    <cellStyle name="_CurrencySpace_Pterodactyl Returns Model (1-14-03)" xfId="1886" xr:uid="{00000000-0005-0000-0000-00005E070000}"/>
    <cellStyle name="_CurrencySpace_sop-nimbus" xfId="1887" xr:uid="{00000000-0005-0000-0000-00005F070000}"/>
    <cellStyle name="_CurrencySpace_Volvo Cars model 011006 v7" xfId="1888" xr:uid="{00000000-0005-0000-0000-000060070000}"/>
    <cellStyle name="_Data" xfId="1889" xr:uid="{00000000-0005-0000-0000-000061070000}"/>
    <cellStyle name="_Data_Aurora LBO v25" xfId="1890" xr:uid="{00000000-0005-0000-0000-000062070000}"/>
    <cellStyle name="_Data_Bank case Viking (sent to JPM 10 Nov 05)" xfId="1891" xr:uid="{00000000-0005-0000-0000-000063070000}"/>
    <cellStyle name="_Data_Banks (2)" xfId="1892" xr:uid="{00000000-0005-0000-0000-000064070000}"/>
    <cellStyle name="_Data_Ebita -Ebitda (ITS)" xfId="1893" xr:uid="{00000000-0005-0000-0000-000065070000}"/>
    <cellStyle name="_Data_Ebita -Ebitda (ITS)_IM Latest combined Group PL (DC)" xfId="1894" xr:uid="{00000000-0005-0000-0000-000066070000}"/>
    <cellStyle name="_Data_Ebita -Ebitda (ITS)_IM Latest combined Group PL (DC)_1" xfId="1895" xr:uid="{00000000-0005-0000-0000-000067070000}"/>
    <cellStyle name="_Data_Ebita -Ebitda (ITS)_IM Latest combined Group PL (DC)_2" xfId="1896" xr:uid="{00000000-0005-0000-0000-000068070000}"/>
    <cellStyle name="_Data_EBITDA-Recon P&amp;L OPSP04-08_GX" xfId="1897" xr:uid="{00000000-0005-0000-0000-000069070000}"/>
    <cellStyle name="_Data_Eingabegabe-Sheet" xfId="1898" xr:uid="{00000000-0005-0000-0000-00006A070000}"/>
    <cellStyle name="_Data_Eingabegabe-Sheet_IM Latest combined Group PL (DC)" xfId="1899" xr:uid="{00000000-0005-0000-0000-00006B070000}"/>
    <cellStyle name="_Data_Eingabegabe-Sheet_IM Latest combined Group PL (DC)_1" xfId="1900" xr:uid="{00000000-0005-0000-0000-00006C070000}"/>
    <cellStyle name="_Data_Eingabegabe-Sheet_IM Latest combined Group PL (DC)_2" xfId="1901" xr:uid="{00000000-0005-0000-0000-00006D070000}"/>
    <cellStyle name="_Data_Eramet valuation_14.02.07_v12" xfId="1902" xr:uid="{00000000-0005-0000-0000-00006E070000}"/>
    <cellStyle name="_Data_Ereignisse die die TSI nicht zu vertreten hat 2002" xfId="1903" xr:uid="{00000000-0005-0000-0000-00006F070000}"/>
    <cellStyle name="_Data_Ereignisse die die TSI nicht zu vertreten hat 2002_IM Latest combined Group PL (DC)" xfId="1904" xr:uid="{00000000-0005-0000-0000-000070070000}"/>
    <cellStyle name="_Data_Ereignisse die die TSI nicht zu vertreten hat 2002_IM Latest combined Group PL (DC)_1" xfId="1905" xr:uid="{00000000-0005-0000-0000-000071070000}"/>
    <cellStyle name="_Data_Ereignisse die die TSI nicht zu vertreten hat 2002_IM Latest combined Group PL (DC)_2" xfId="1906" xr:uid="{00000000-0005-0000-0000-000072070000}"/>
    <cellStyle name="_Data_Financial ratios_Euroland" xfId="1907" xr:uid="{00000000-0005-0000-0000-000073070000}"/>
    <cellStyle name="_Data_Flash-Zahlen int Budget" xfId="1908" xr:uid="{00000000-0005-0000-0000-000074070000}"/>
    <cellStyle name="_Data_Flash-Zahlen int Budget_IM Latest combined Group PL (DC)" xfId="1909" xr:uid="{00000000-0005-0000-0000-000075070000}"/>
    <cellStyle name="_Data_Flash-Zahlen int Budget_IM Latest combined Group PL (DC)_1" xfId="1910" xr:uid="{00000000-0005-0000-0000-000076070000}"/>
    <cellStyle name="_Data_Flash-Zahlen int Budget_IM Latest combined Group PL (DC)_2" xfId="1911" xr:uid="{00000000-0005-0000-0000-000077070000}"/>
    <cellStyle name="_Data_FS_AE_Kunde_FULL_040318f" xfId="1912" xr:uid="{00000000-0005-0000-0000-000078070000}"/>
    <cellStyle name="_Data_FS_AE_Kunde_FULL_040318f_IM Latest combined Group PL (DC)" xfId="1913" xr:uid="{00000000-0005-0000-0000-000079070000}"/>
    <cellStyle name="_Data_FS_AE_Kunde_FULL_040318f_IM Latest combined Group PL (DC)_1" xfId="1914" xr:uid="{00000000-0005-0000-0000-00007A070000}"/>
    <cellStyle name="_Data_FS_AE_Kunde_FULL_040318f_IM Latest combined Group PL (DC)_2" xfId="1915" xr:uid="{00000000-0005-0000-0000-00007B070000}"/>
    <cellStyle name="_Data_GX evaluation without pensions" xfId="1916" xr:uid="{00000000-0005-0000-0000-00007C070000}"/>
    <cellStyle name="_Data_GX model_JPM_310107_FINAL" xfId="1917" xr:uid="{00000000-0005-0000-0000-00007D070000}"/>
    <cellStyle name="_Data_GX OPSP0509 incl. Zurückdrehen Subsidies NVM" xfId="1918" xr:uid="{00000000-0005-0000-0000-00007E070000}"/>
    <cellStyle name="_Data_GX Plan" xfId="1919" xr:uid="{00000000-0005-0000-0000-00007F070000}"/>
    <cellStyle name="_Data_Gx_analysis_240306 v1" xfId="1920" xr:uid="{00000000-0005-0000-0000-000080070000}"/>
    <cellStyle name="_Data_Headcount" xfId="1921" xr:uid="{00000000-0005-0000-0000-000081070000}"/>
    <cellStyle name="_Data_Headcount_Monthly report" xfId="1922" xr:uid="{00000000-0005-0000-0000-000082070000}"/>
    <cellStyle name="_Data_IM Latest combined Group PL (DC)" xfId="1923" xr:uid="{00000000-0005-0000-0000-000083070000}"/>
    <cellStyle name="_Data_IM Latest combined Group PL (DC)_1" xfId="1924" xr:uid="{00000000-0005-0000-0000-000084070000}"/>
    <cellStyle name="_Data_IM Latest combined Group PL (DC)_2" xfId="1925" xr:uid="{00000000-0005-0000-0000-000085070000}"/>
    <cellStyle name="_Data_Investitionen nach SL" xfId="1926" xr:uid="{00000000-0005-0000-0000-000086070000}"/>
    <cellStyle name="_Data_Investitionen nach SL_IM Latest combined Group PL (DC)" xfId="1927" xr:uid="{00000000-0005-0000-0000-000087070000}"/>
    <cellStyle name="_Data_Investitionen nach SL_IM Latest combined Group PL (DC)_1" xfId="1928" xr:uid="{00000000-0005-0000-0000-000088070000}"/>
    <cellStyle name="_Data_Investitionen nach SL_IM Latest combined Group PL (DC)_2" xfId="1929" xr:uid="{00000000-0005-0000-0000-000089070000}"/>
    <cellStyle name="_Data_KPI" xfId="1930" xr:uid="{00000000-0005-0000-0000-00008A070000}"/>
    <cellStyle name="_Data_KPI_IM Latest combined Group PL (DC)" xfId="1931" xr:uid="{00000000-0005-0000-0000-00008B070000}"/>
    <cellStyle name="_Data_KPI_IM Latest combined Group PL (DC)_1" xfId="1932" xr:uid="{00000000-0005-0000-0000-00008C070000}"/>
    <cellStyle name="_Data_KPI_IM Latest combined Group PL (DC)_2" xfId="1933" xr:uid="{00000000-0005-0000-0000-00008D070000}"/>
    <cellStyle name="_Data_LTMJUN02" xfId="1934" xr:uid="{00000000-0005-0000-0000-00008E070000}"/>
    <cellStyle name="_Data_MIS Reporting_Budget_JD" xfId="1935" xr:uid="{00000000-0005-0000-0000-00008F070000}"/>
    <cellStyle name="_Data_MMR-Report int Budget" xfId="1936" xr:uid="{00000000-0005-0000-0000-000090070000}"/>
    <cellStyle name="_Data_MMR-Report int Budget_IM Latest combined Group PL (DC)" xfId="1937" xr:uid="{00000000-0005-0000-0000-000091070000}"/>
    <cellStyle name="_Data_MMR-Report int Budget_IM Latest combined Group PL (DC)_1" xfId="1938" xr:uid="{00000000-0005-0000-0000-000092070000}"/>
    <cellStyle name="_Data_MMR-Report int Budget_IM Latest combined Group PL (DC)_2" xfId="1939" xr:uid="{00000000-0005-0000-0000-000093070000}"/>
    <cellStyle name="_Data_New Gerresheimer bank plan (sent to JPM 26 Nov 05)" xfId="1940" xr:uid="{00000000-0005-0000-0000-000094070000}"/>
    <cellStyle name="_Data_P&amp;L bank model - received from Gerresheimer 1 12 05" xfId="1941" xr:uid="{00000000-0005-0000-0000-000095070000}"/>
    <cellStyle name="_Data_Personal-Aufträge (ITS)" xfId="1942" xr:uid="{00000000-0005-0000-0000-000096070000}"/>
    <cellStyle name="_Data_Personal-Aufträge (ITS)_IM Latest combined Group PL (DC)" xfId="1943" xr:uid="{00000000-0005-0000-0000-000097070000}"/>
    <cellStyle name="_Data_Personal-Aufträge (ITS)_IM Latest combined Group PL (DC)_1" xfId="1944" xr:uid="{00000000-0005-0000-0000-000098070000}"/>
    <cellStyle name="_Data_Personal-Aufträge (ITS)_IM Latest combined Group PL (DC)_2" xfId="1945" xr:uid="{00000000-0005-0000-0000-000099070000}"/>
    <cellStyle name="_Data_Plan model" xfId="1946" xr:uid="{00000000-0005-0000-0000-00009A070000}"/>
    <cellStyle name="_Data_Quarterly" xfId="1947" xr:uid="{00000000-0005-0000-0000-00009B070000}"/>
    <cellStyle name="_Data_Retrieve Flash 2003 030505" xfId="1948" xr:uid="{00000000-0005-0000-0000-00009C070000}"/>
    <cellStyle name="_Data_Retrieve Flash 2003 030505_IM Latest combined Group PL (DC)" xfId="1949" xr:uid="{00000000-0005-0000-0000-00009D070000}"/>
    <cellStyle name="_Data_Retrieve Flash 2003 030505_IM Latest combined Group PL (DC)_1" xfId="1950" xr:uid="{00000000-0005-0000-0000-00009E070000}"/>
    <cellStyle name="_Data_Retrieve Flash 2003 030505_IM Latest combined Group PL (DC)_2" xfId="1951" xr:uid="{00000000-0005-0000-0000-00009F070000}"/>
    <cellStyle name="_Data_Tabelle1" xfId="1952" xr:uid="{00000000-0005-0000-0000-0000A0070000}"/>
    <cellStyle name="_Data_TSG2" xfId="1953" xr:uid="{00000000-0005-0000-0000-0000A1070000}"/>
    <cellStyle name="_Data_TSI Grafischer_Bericht_Template_TEC Herrn Heil mit Sternausrichtung" xfId="1954" xr:uid="{00000000-0005-0000-0000-0000A2070000}"/>
    <cellStyle name="_Data_TSI Grafischer_Bericht_Template_TEC Herrn Heil mit Sternausrichtung_IM Latest combined Group PL (DC)" xfId="1955" xr:uid="{00000000-0005-0000-0000-0000A3070000}"/>
    <cellStyle name="_Data_TSI Grafischer_Bericht_Template_TEC Herrn Heil mit Sternausrichtung_IM Latest combined Group PL (DC)_1" xfId="1956" xr:uid="{00000000-0005-0000-0000-0000A4070000}"/>
    <cellStyle name="_Data_TSI Grafischer_Bericht_Template_TEC Herrn Heil mit Sternausrichtung_IM Latest combined Group PL (DC)_2" xfId="1957" xr:uid="{00000000-0005-0000-0000-0000A5070000}"/>
    <cellStyle name="_Data_Umsatz -Aussenumsatz (TCS)" xfId="1958" xr:uid="{00000000-0005-0000-0000-0000A6070000}"/>
    <cellStyle name="_Data_Umsatz -Aussenumsatz (TCS)_IM Latest combined Group PL (DC)" xfId="1959" xr:uid="{00000000-0005-0000-0000-0000A7070000}"/>
    <cellStyle name="_Data_Umsatz -Aussenumsatz (TCS)_IM Latest combined Group PL (DC)_1" xfId="1960" xr:uid="{00000000-0005-0000-0000-0000A8070000}"/>
    <cellStyle name="_Data_Umsatz -Aussenumsatz (TCS)_IM Latest combined Group PL (DC)_2" xfId="1961" xr:uid="{00000000-0005-0000-0000-0000A9070000}"/>
    <cellStyle name="_Data_Umsatz extern-intern für MMR" xfId="1962" xr:uid="{00000000-0005-0000-0000-0000AA070000}"/>
    <cellStyle name="_Data_Umsatz extern-intern für MMR_IM Latest combined Group PL (DC)" xfId="1963" xr:uid="{00000000-0005-0000-0000-0000AB070000}"/>
    <cellStyle name="_Data_Umsatz extern-intern für MMR_IM Latest combined Group PL (DC)_1" xfId="1964" xr:uid="{00000000-0005-0000-0000-0000AC070000}"/>
    <cellStyle name="_Data_Umsatz extern-intern für MMR_IM Latest combined Group PL (DC)_2" xfId="1965" xr:uid="{00000000-0005-0000-0000-0000AD070000}"/>
    <cellStyle name="_Data_Update 2004 Figures v2 (sent to banks)" xfId="1966" xr:uid="{00000000-0005-0000-0000-0000AE070000}"/>
    <cellStyle name="_Data_Volvo Cars model 011006 v7" xfId="1967" xr:uid="{00000000-0005-0000-0000-0000AF070000}"/>
    <cellStyle name="_Data_WC benchmark Calc" xfId="1968" xr:uid="{00000000-0005-0000-0000-0000B0070000}"/>
    <cellStyle name="_Data_Zins und Bankschuldenberechnung_03_07" xfId="1969" xr:uid="{00000000-0005-0000-0000-0000B1070000}"/>
    <cellStyle name="_DCF Project Copernicus 17.Jan.2005v2" xfId="1970" xr:uid="{00000000-0005-0000-0000-0000B2070000}"/>
    <cellStyle name="_DCF template highlighted" xfId="1971" xr:uid="{00000000-0005-0000-0000-0000B3070000}"/>
    <cellStyle name="_Definitivo de Cartera" xfId="1972" xr:uid="{00000000-0005-0000-0000-0000B4070000}"/>
    <cellStyle name="_Definitivo de Cartera_Cartera de Agosto de 2009" xfId="1973" xr:uid="{00000000-0005-0000-0000-0000B5070000}"/>
    <cellStyle name="_Definitivo de Cartera_Cartera de Julio de 2009" xfId="1974" xr:uid="{00000000-0005-0000-0000-0000B6070000}"/>
    <cellStyle name="_Definitivo de Cartera_Indicador dias ponderado  PB cartera" xfId="1975" xr:uid="{00000000-0005-0000-0000-0000B7070000}"/>
    <cellStyle name="_Definitivo de Cartera_Indicador dias ponderado  PB cartera1" xfId="1976" xr:uid="{00000000-0005-0000-0000-0000B8070000}"/>
    <cellStyle name="_Detallad_facturacion febrero 06" xfId="1977" xr:uid="{00000000-0005-0000-0000-0000B9070000}"/>
    <cellStyle name="_Detallad_facturacion febrero 06_CENTRO DE COSTOS PLANTILLA" xfId="1978" xr:uid="{00000000-0005-0000-0000-0000BA070000}"/>
    <cellStyle name="_Detallad_facturacion febrero 06_CENTRO DE COSTOS PLANTILLA_Consolidado 1000 Proyecciones" xfId="1979" xr:uid="{00000000-0005-0000-0000-0000BB070000}"/>
    <cellStyle name="_Detallad_facturacion febrero 06_CENTRO DE COSTOS PLANTILLA_FORMATOPresupuesto 2010-TRABAJO.C1" xfId="1980" xr:uid="{00000000-0005-0000-0000-0000BC070000}"/>
    <cellStyle name="_Detallad_facturacion febrero 06_CENTRO DE COSTOS PLANTILLA_FORMATOPresupuesto 2010-TRABAJO.C1." xfId="1981" xr:uid="{00000000-0005-0000-0000-0000BD070000}"/>
    <cellStyle name="_Detallad_facturacion febrero 06_Consolidado Ingresos" xfId="1982" xr:uid="{00000000-0005-0000-0000-0000BE070000}"/>
    <cellStyle name="_Detallad_facturacion febrero 06_Consolidado Ingresos_Consolidado PPTO Ingresos 2010 Ajuste Medicamentos" xfId="1983" xr:uid="{00000000-0005-0000-0000-0000BF070000}"/>
    <cellStyle name="_Detallad_facturacion febrero 06_Consolidado Ingresos_Consolidado PPTO Ingresos 2010 Ajuste Reuniones" xfId="1984" xr:uid="{00000000-0005-0000-0000-0000C0070000}"/>
    <cellStyle name="_Detallad_facturacion febrero 06_Consolidado Ingresos_Consolidado PPTO Ingresos 2010 Ejerc" xfId="1985" xr:uid="{00000000-0005-0000-0000-0000C1070000}"/>
    <cellStyle name="_Detallad_facturacion febrero 06_Consolidado Ingresos_Consolidado PPTO Ingresos 2010 Ejerc Reduccion % Ocupacional" xfId="1986" xr:uid="{00000000-0005-0000-0000-0000C2070000}"/>
    <cellStyle name="_Detallad_facturacion febrero 06_Consolidado Ingresos_Consolidado PPTO Ingresos 2010 Ejerc Reduccion % Ocupacional Vs 3 Centro" xfId="1987" xr:uid="{00000000-0005-0000-0000-0000C3070000}"/>
    <cellStyle name="_Detallad_facturacion febrero 06_COSTO DE MEDICAMENTOS." xfId="1988" xr:uid="{00000000-0005-0000-0000-0000C4070000}"/>
    <cellStyle name="_Detallad_facturacion febrero 06_COSTO DE MEDICAMENTOS._Consolidado 1000 Proyecciones" xfId="1989" xr:uid="{00000000-0005-0000-0000-0000C5070000}"/>
    <cellStyle name="_Detallad_facturacion febrero 06_COSTO DE MEDICAMENTOS._FORMATOPresupuesto 2010-TRABAJO.C1" xfId="1990" xr:uid="{00000000-0005-0000-0000-0000C6070000}"/>
    <cellStyle name="_Detallad_facturacion febrero 06_COSTO DE MEDICAMENTOS._FORMATOPresupuesto 2010-TRABAJO.C1." xfId="1991" xr:uid="{00000000-0005-0000-0000-0000C7070000}"/>
    <cellStyle name="_Detallad_facturacion febrero 06_DIVERSOS.CONS" xfId="1992" xr:uid="{00000000-0005-0000-0000-0000C8070000}"/>
    <cellStyle name="_Detallad_facturacion febrero 06_DIVERSOS.CONS_Consolidado 1000 Proyecciones" xfId="1993" xr:uid="{00000000-0005-0000-0000-0000C9070000}"/>
    <cellStyle name="_Detallad_facturacion febrero 06_DIVERSOS.CONS_FORMATOPresupuesto 2010-TRABAJO.C1" xfId="1994" xr:uid="{00000000-0005-0000-0000-0000CA070000}"/>
    <cellStyle name="_Detallad_facturacion febrero 06_DIVERSOS.CONS_FORMATOPresupuesto 2010-TRABAJO.C1." xfId="1995" xr:uid="{00000000-0005-0000-0000-0000CB070000}"/>
    <cellStyle name="_Detallad_facturacion febrero 06_EJECUCION CONSOLIDADA A OCTUBRE GENERAL.CONSOLIDADO" xfId="1996" xr:uid="{00000000-0005-0000-0000-0000CC070000}"/>
    <cellStyle name="_Detallad_facturacion febrero 06_EJECUCION PRESUPUESTAL A AGOSTO 09" xfId="1997" xr:uid="{00000000-0005-0000-0000-0000CD070000}"/>
    <cellStyle name="_Detallad_facturacion febrero 06_EJECUCION PRESUPUESTAL A NOVIEMBRE  09 EJERCICIO AJUSTE INGRESOS " xfId="1998" xr:uid="{00000000-0005-0000-0000-0000CE070000}"/>
    <cellStyle name="_Detallad_facturacion febrero 06_EJECUCION PRESUPUESTAL A NOVIEMBRE  09 EJERCICIO AJUSTE INGRESOS _Consolidado PPTO Ingresos 2010 Ajuste Medicamentos" xfId="1999" xr:uid="{00000000-0005-0000-0000-0000CF070000}"/>
    <cellStyle name="_Detallad_facturacion febrero 06_EJECUCION PRESUPUESTAL A SEPTIEMBRE  09 EJERCICIO AJUSTE INGRESOS" xfId="2000" xr:uid="{00000000-0005-0000-0000-0000D0070000}"/>
    <cellStyle name="_Detallad_facturacion febrero 06_EJECUCION PRESUPUESTAL A SEPTIEMBRE  09 EJERCICIO AJUSTE INGRESOS_Consolidado PPTO Ingresos 2010 Ajuste Medicamentos" xfId="2001" xr:uid="{00000000-0005-0000-0000-0000D1070000}"/>
    <cellStyle name="_Detallad_facturacion febrero 06_EJECUCION PRESUPUESTAL A SEPTIEMBRE  09 EJERCICIO AJUSTE INGRESOS_Consolidado PPTO Ingresos 2010 Ajuste Reuniones" xfId="2002" xr:uid="{00000000-0005-0000-0000-0000D2070000}"/>
    <cellStyle name="_Detallad_facturacion febrero 06_EJECUCION PRESUPUESTAL A SEPTIEMBRE  09 EJERCICIO AJUSTE INGRESOS_Consolidado PPTO Ingresos 2010 Ejerc Reduccion % Ocupacional Vs 3 Centro" xfId="2003" xr:uid="{00000000-0005-0000-0000-0000D3070000}"/>
    <cellStyle name="_Detallad_facturacion febrero 06_EJECUCION_CONSOLIDADA_AGO_2008(1)" xfId="2004" xr:uid="{00000000-0005-0000-0000-0000D4070000}"/>
    <cellStyle name="_Detallad_facturacion febrero 06_EJECUCION_CONSOLIDADA_AGO_2008(1)_Consolidado 1000 Proyecciones" xfId="2005" xr:uid="{00000000-0005-0000-0000-0000D5070000}"/>
    <cellStyle name="_Detallad_facturacion febrero 06_EJECUCION_CONSOLIDADA_AGO_2008(1)_FORMATOPresupuesto 2010-TRABAJO.C1" xfId="2006" xr:uid="{00000000-0005-0000-0000-0000D6070000}"/>
    <cellStyle name="_Detallad_facturacion febrero 06_EJECUCION_CONSOLIDADA_AGO_2008(1)_FORMATOPresupuesto 2010-TRABAJO.C1." xfId="2007" xr:uid="{00000000-0005-0000-0000-0000D7070000}"/>
    <cellStyle name="_Detallad_facturacion febrero 06_FINANCIEROS-CONS" xfId="2008" xr:uid="{00000000-0005-0000-0000-0000D8070000}"/>
    <cellStyle name="_Detallad_facturacion febrero 06_P Y G LABORATORIO-IMAGENES  cjc" xfId="2009" xr:uid="{00000000-0005-0000-0000-0000D9070000}"/>
    <cellStyle name="_Detallad_facturacion febrero 06_ppto ucis ac is" xfId="2010" xr:uid="{00000000-0005-0000-0000-0000DA070000}"/>
    <cellStyle name="_Detallad_facturacion febrero 06_ppto ucis ac is_COSTO DE MEDICAMENTOS " xfId="2011" xr:uid="{00000000-0005-0000-0000-0000DB070000}"/>
    <cellStyle name="_Detallad_facturacion febrero 06_ppto ucis ac is_COSTO DE MEDICAMENTOS _Consolidado PPTO Ingresos 2010 Ajuste Medicamentos" xfId="2012" xr:uid="{00000000-0005-0000-0000-0000DC070000}"/>
    <cellStyle name="_Detallad_facturacion febrero 06_ppto ucis ac is_COSTO DE MEDICAMENTOS _Consolidado PPTO Ingresos 2010 Ajuste Reuniones" xfId="2013" xr:uid="{00000000-0005-0000-0000-0000DD070000}"/>
    <cellStyle name="_Detallad_facturacion febrero 06_ppto ucis ac is_COSTO DE MEDICAMENTOS _Consolidado PPTO Ingresos 2010 Ejerc Reduccion % Ocupacional Vs 3 Centro" xfId="2014" xr:uid="{00000000-0005-0000-0000-0000DE070000}"/>
    <cellStyle name="_Detallad_facturacion febrero 06_ppto ucis ac is_EJECUCION PRESUPUESTAL A NOVIEMBRE  09 EJERCICIO AJUSTE INGRESOS " xfId="2015" xr:uid="{00000000-0005-0000-0000-0000DF070000}"/>
    <cellStyle name="_Detallad_facturacion febrero 06_ppto ucis ac is_EJECUCION PRESUPUESTAL A NOVIEMBRE  09 EJERCICIO AJUSTE INGRESOS _Consolidado PPTO Ingresos 2010 Ajuste Medicamentos" xfId="2016" xr:uid="{00000000-0005-0000-0000-0000E0070000}"/>
    <cellStyle name="_Detallad_facturacion febrero 06_presupuesto de mantenimiento (2)" xfId="2017" xr:uid="{00000000-0005-0000-0000-0000E1070000}"/>
    <cellStyle name="_Detallad_facturacion febrero 06_presupuesto de mantenimiento (2)_Consolidado 1000 Proyecciones" xfId="2018" xr:uid="{00000000-0005-0000-0000-0000E2070000}"/>
    <cellStyle name="_Detallad_facturacion febrero 06_presupuesto de mantenimiento (2)_FORMATOPresupuesto 2010-TRABAJO.C1" xfId="2019" xr:uid="{00000000-0005-0000-0000-0000E3070000}"/>
    <cellStyle name="_Detallad_facturacion febrero 06_presupuesto de mantenimiento (2)_FORMATOPresupuesto 2010-TRABAJO.C1." xfId="2020" xr:uid="{00000000-0005-0000-0000-0000E4070000}"/>
    <cellStyle name="_Detallad_facturacion febrero 06_provision contingencias-CONS" xfId="2021" xr:uid="{00000000-0005-0000-0000-0000E5070000}"/>
    <cellStyle name="_Detallad_facturacion febrero 06_provision de cartera-CONS" xfId="2022" xr:uid="{00000000-0005-0000-0000-0000E6070000}"/>
    <cellStyle name="_Detallad_facturacion febrero 06_SUMINISTROS LOGISTICA ULTIMO NOV 20" xfId="2023" xr:uid="{00000000-0005-0000-0000-0000E7070000}"/>
    <cellStyle name="_Detallad_facturacion febrero 06_SUMINISTROS LOGISTICA ULTIMO NOV 20_Consolidado 1000 Proyecciones" xfId="2024" xr:uid="{00000000-0005-0000-0000-0000E8070000}"/>
    <cellStyle name="_Detallad_facturacion febrero 06_SUMINISTROS LOGISTICA ULTIMO NOV 20_FORMATOPresupuesto 2010-TRABAJO.C1" xfId="2025" xr:uid="{00000000-0005-0000-0000-0000E9070000}"/>
    <cellStyle name="_Detallad_facturacion febrero 06_SUMINISTROS LOGISTICA ULTIMO NOV 20_FORMATOPresupuesto 2010-TRABAJO.C1." xfId="2026" xr:uid="{00000000-0005-0000-0000-0000EA070000}"/>
    <cellStyle name="_EJECUCION A DICIEMBRE-06" xfId="2027" xr:uid="{00000000-0005-0000-0000-0000EB070000}"/>
    <cellStyle name="_EJECUCION ENERO-FEBRERO-06" xfId="2028" xr:uid="{00000000-0005-0000-0000-0000EC070000}"/>
    <cellStyle name="_EJECUCION ENERO-FEBRERO-06_CENTRO DE COSTOS PLANTILLA" xfId="2029" xr:uid="{00000000-0005-0000-0000-0000ED070000}"/>
    <cellStyle name="_EJECUCION ENERO-FEBRERO-06_Consolidado Ingresos" xfId="2030" xr:uid="{00000000-0005-0000-0000-0000EE070000}"/>
    <cellStyle name="_EJECUCION ENERO-FEBRERO-06_Construccion Ingresos 2010" xfId="2031" xr:uid="{00000000-0005-0000-0000-0000EF070000}"/>
    <cellStyle name="_EJECUCION ENERO-FEBRERO-06_Copia de seguridad de Construccion Ingresos 2010" xfId="2032" xr:uid="{00000000-0005-0000-0000-0000F0070000}"/>
    <cellStyle name="_EJECUCION ENERO-FEBRERO-06_COSTO DE MEDICAMENTOS " xfId="2033" xr:uid="{00000000-0005-0000-0000-0000F1070000}"/>
    <cellStyle name="_EJECUCION ENERO-FEBRERO-06_COSTO DE MEDICAMENTOS." xfId="2034" xr:uid="{00000000-0005-0000-0000-0000F2070000}"/>
    <cellStyle name="_EJECUCION ENERO-FEBRERO-06_DIVERSOS.CONS" xfId="2035" xr:uid="{00000000-0005-0000-0000-0000F3070000}"/>
    <cellStyle name="_EJECUCION ENERO-FEBRERO-06_EJECUCION PRESUPUESTAL A SEPTIEMBRE  09 EJERCICIO AJUSTE INGRESOS" xfId="2036" xr:uid="{00000000-0005-0000-0000-0000F4070000}"/>
    <cellStyle name="_EJECUCION ENERO-FEBRERO-06_EJECUCION PRESUPUESTAL A SEPTIEMBRE  09 EJERCICIO AJUSTE INGRESOS_comparativo 2010-2009" xfId="2037" xr:uid="{00000000-0005-0000-0000-0000F5070000}"/>
    <cellStyle name="_EJECUCION ENERO-FEBRERO-06_EJECUCION PRESUPUESTAL A SEPTIEMBRE  09 EJERCICIO AJUSTE INGRESOS_Consolidado 1000 Proyecciones" xfId="2038" xr:uid="{00000000-0005-0000-0000-0000F6070000}"/>
    <cellStyle name="_EJECUCION ENERO-FEBRERO-06_EJECUCION PRESUPUESTAL A SEPTIEMBRE  09 EJERCICIO AJUSTE INGRESOS_Construccion Ingresos 2010" xfId="2039" xr:uid="{00000000-0005-0000-0000-0000F7070000}"/>
    <cellStyle name="_EJECUCION ENERO-FEBRERO-06_EJECUCION PRESUPUESTAL A SEPTIEMBRE  09 EJERCICIO AJUSTE INGRESOS_Copia de seguridad de Construccion Ingresos 2010" xfId="2040" xr:uid="{00000000-0005-0000-0000-0000F8070000}"/>
    <cellStyle name="_EJECUCION ENERO-FEBRERO-06_EJECUCION PRESUPUESTAL A SEPTIEMBRE  09 EJERCICIO AJUSTE INGRESOS_-FORMATOPresupuesto 2010" xfId="2041" xr:uid="{00000000-0005-0000-0000-0000F9070000}"/>
    <cellStyle name="_EJECUCION ENERO-FEBRERO-06_EJECUCION PRESUPUESTAL A SEPTIEMBRE  09 EJERCICIO AJUSTE INGRESOS_FORMATOPresupuesto 2010-TRABAJO" xfId="2042" xr:uid="{00000000-0005-0000-0000-0000FA070000}"/>
    <cellStyle name="_EJECUCION ENERO-FEBRERO-06_EJECUCION PRESUPUESTAL A SEPTIEMBRE  09 EJERCICIO AJUSTE INGRESOS_FORMATOPresupuesto 2010-TRABAJO." xfId="2043" xr:uid="{00000000-0005-0000-0000-0000FB070000}"/>
    <cellStyle name="_EJECUCION ENERO-FEBRERO-06_EJECUCION PRESUPUESTAL A SEPTIEMBRE  09 EJERCICIO AJUSTE INGRESOS_FORMATOPresupuesto 2010-TRABAJO.C1" xfId="2044" xr:uid="{00000000-0005-0000-0000-0000FC070000}"/>
    <cellStyle name="_EJECUCION ENERO-FEBRERO-06_EJECUCION PRESUPUESTAL A SEPTIEMBRE  09 EJERCICIO AJUSTE INGRESOS_FORMATOPresupuesto 2010-TRABAJO.C1." xfId="2045" xr:uid="{00000000-0005-0000-0000-0000FD070000}"/>
    <cellStyle name="_EJECUCION ENERO-FEBRERO-06_presupuesto de mantenimiento (2)" xfId="2046" xr:uid="{00000000-0005-0000-0000-0000FE070000}"/>
    <cellStyle name="_EJECUCION ENERO-FEBRERO-06_SUMINISTROS LOGISTICA ULTIMO NOV 20" xfId="2047" xr:uid="{00000000-0005-0000-0000-0000FF070000}"/>
    <cellStyle name="_Enero" xfId="2048" xr:uid="{00000000-0005-0000-0000-000000080000}"/>
    <cellStyle name="_Enero_Cartera de Agosto de 2009" xfId="2049" xr:uid="{00000000-0005-0000-0000-000001080000}"/>
    <cellStyle name="_Enero_Cartera de Julio de 2009" xfId="2050" xr:uid="{00000000-0005-0000-0000-000002080000}"/>
    <cellStyle name="_Enero_Indicador dias ponderado  PB cartera" xfId="2051" xr:uid="{00000000-0005-0000-0000-000003080000}"/>
    <cellStyle name="_Enero_Indicador dias ponderado  PB cartera1" xfId="2052" xr:uid="{00000000-0005-0000-0000-000004080000}"/>
    <cellStyle name="_Eramet valuation_14.02.07_v12" xfId="2053" xr:uid="{00000000-0005-0000-0000-000005080000}"/>
    <cellStyle name="_Euro" xfId="2054" xr:uid="{00000000-0005-0000-0000-000006080000}"/>
    <cellStyle name="_excel for BM" xfId="2055" xr:uid="{00000000-0005-0000-0000-000007080000}"/>
    <cellStyle name="_excel for board" xfId="2056" xr:uid="{00000000-0005-0000-0000-000008080000}"/>
    <cellStyle name="_Exhibit 4" xfId="2057" xr:uid="{00000000-0005-0000-0000-000009080000}"/>
    <cellStyle name="_Exhibit 4_BWGF - HTB - June 2010" xfId="2058" xr:uid="{00000000-0005-0000-0000-00000A080000}"/>
    <cellStyle name="_Exhibit 4_BWGF - VietSoft - June 2010" xfId="2059" xr:uid="{00000000-0005-0000-0000-00000B080000}"/>
    <cellStyle name="_Exhibit 4_GRDF_Bazi_063010_unlinked" xfId="2060" xr:uid="{00000000-0005-0000-0000-00000C080000}"/>
    <cellStyle name="_Exhibit 4_Portfolio Template" xfId="2061" xr:uid="{00000000-0005-0000-0000-00000D080000}"/>
    <cellStyle name="_Exhibit 4_SEAF Macedonia - Login - June 2010" xfId="2062" xr:uid="{00000000-0005-0000-0000-00000E080000}"/>
    <cellStyle name="_Exhibit 6" xfId="2063" xr:uid="{00000000-0005-0000-0000-00000F080000}"/>
    <cellStyle name="_Exhibit 6_BWGF - HTB - June 2010" xfId="2064" xr:uid="{00000000-0005-0000-0000-000010080000}"/>
    <cellStyle name="_Exhibit 6_BWGF - VietSoft - June 2010" xfId="2065" xr:uid="{00000000-0005-0000-0000-000011080000}"/>
    <cellStyle name="_Exhibit 6_GRDF_Bazi_063010_unlinked" xfId="2066" xr:uid="{00000000-0005-0000-0000-000012080000}"/>
    <cellStyle name="_Exhibit 6_Portfolio Template" xfId="2067" xr:uid="{00000000-0005-0000-0000-000013080000}"/>
    <cellStyle name="_Exhibit 6_SEAF Macedonia - Login - June 2010" xfId="2068" xr:uid="{00000000-0005-0000-0000-000014080000}"/>
    <cellStyle name="_facturacion" xfId="2069" xr:uid="{00000000-0005-0000-0000-000015080000}"/>
    <cellStyle name="_Facturacion mes de abril -07 procesada" xfId="2070" xr:uid="{00000000-0005-0000-0000-000016080000}"/>
    <cellStyle name="_Facturacion mes de abril -07 procesada_Consolidado 1000 Proyecciones" xfId="2071" xr:uid="{00000000-0005-0000-0000-000017080000}"/>
    <cellStyle name="_Facturacion mes de abril -07 procesada_EJECUCION_CONSOLIDADA_AGO_2008(1)" xfId="2072" xr:uid="{00000000-0005-0000-0000-000018080000}"/>
    <cellStyle name="_Facturacion mes de abril -07 procesada_EJECUCION_CONSOLIDADA_AGO_2008(1)_Consolidado 1000 Proyecciones" xfId="2073" xr:uid="{00000000-0005-0000-0000-000019080000}"/>
    <cellStyle name="_Facturacion mes de abril -07 procesada_EJECUCION_CONSOLIDADA_AGO_2008(1)_FORMATOPresupuesto 2010-TRABAJO.C1" xfId="2074" xr:uid="{00000000-0005-0000-0000-00001A080000}"/>
    <cellStyle name="_Facturacion mes de abril -07 procesada_EJECUCION_CONSOLIDADA_AGO_2008(1)_FORMATOPresupuesto 2010-TRABAJO.C1." xfId="2075" xr:uid="{00000000-0005-0000-0000-00001B080000}"/>
    <cellStyle name="_Facturacion mes de abril -07 procesada_FORMATOPresupuesto 2010-TRABAJO.C1" xfId="2076" xr:uid="{00000000-0005-0000-0000-00001C080000}"/>
    <cellStyle name="_Facturacion mes de abril -07 procesada_FORMATOPresupuesto 2010-TRABAJO.C1." xfId="2077" xr:uid="{00000000-0005-0000-0000-00001D080000}"/>
    <cellStyle name="_facturacion_CENTRO DE COSTOS PLANTILLA" xfId="2078" xr:uid="{00000000-0005-0000-0000-00001E080000}"/>
    <cellStyle name="_facturacion_CENTRO DE COSTOS PLANTILLA_Consolidado 1000 Proyecciones" xfId="2079" xr:uid="{00000000-0005-0000-0000-00001F080000}"/>
    <cellStyle name="_facturacion_CENTRO DE COSTOS PLANTILLA_FORMATOPresupuesto 2010-TRABAJO.C1" xfId="2080" xr:uid="{00000000-0005-0000-0000-000020080000}"/>
    <cellStyle name="_facturacion_CENTRO DE COSTOS PLANTILLA_FORMATOPresupuesto 2010-TRABAJO.C1." xfId="2081" xr:uid="{00000000-0005-0000-0000-000021080000}"/>
    <cellStyle name="_facturacion_Consolidado Ingresos" xfId="2082" xr:uid="{00000000-0005-0000-0000-000022080000}"/>
    <cellStyle name="_facturacion_Consolidado Ingresos_Consolidado PPTO Ingresos 2010 Ajuste Medicamentos" xfId="2083" xr:uid="{00000000-0005-0000-0000-000023080000}"/>
    <cellStyle name="_facturacion_Consolidado Ingresos_Consolidado PPTO Ingresos 2010 Ajuste Reuniones" xfId="2084" xr:uid="{00000000-0005-0000-0000-000024080000}"/>
    <cellStyle name="_facturacion_Consolidado Ingresos_Consolidado PPTO Ingresos 2010 Ejerc" xfId="2085" xr:uid="{00000000-0005-0000-0000-000025080000}"/>
    <cellStyle name="_facturacion_Consolidado Ingresos_Consolidado PPTO Ingresos 2010 Ejerc Reduccion % Ocupacional" xfId="2086" xr:uid="{00000000-0005-0000-0000-000026080000}"/>
    <cellStyle name="_facturacion_Consolidado Ingresos_Consolidado PPTO Ingresos 2010 Ejerc Reduccion % Ocupacional Vs 3 Centro" xfId="2087" xr:uid="{00000000-0005-0000-0000-000027080000}"/>
    <cellStyle name="_facturacion_COSTO DE MEDICAMENTOS." xfId="2088" xr:uid="{00000000-0005-0000-0000-000028080000}"/>
    <cellStyle name="_facturacion_COSTO DE MEDICAMENTOS._Consolidado 1000 Proyecciones" xfId="2089" xr:uid="{00000000-0005-0000-0000-000029080000}"/>
    <cellStyle name="_facturacion_COSTO DE MEDICAMENTOS._FORMATOPresupuesto 2010-TRABAJO.C1" xfId="2090" xr:uid="{00000000-0005-0000-0000-00002A080000}"/>
    <cellStyle name="_facturacion_COSTO DE MEDICAMENTOS._FORMATOPresupuesto 2010-TRABAJO.C1." xfId="2091" xr:uid="{00000000-0005-0000-0000-00002B080000}"/>
    <cellStyle name="_facturacion_dic14_926am" xfId="2092" xr:uid="{00000000-0005-0000-0000-00002C080000}"/>
    <cellStyle name="_facturacion_dic14_926am_Consolidado Ingresos" xfId="2093" xr:uid="{00000000-0005-0000-0000-00002D080000}"/>
    <cellStyle name="_facturacion_dic14_926am_Consolidado Ingresos_Consolidado PPTO Ingresos 2010 Ajuste Medicamentos" xfId="2094" xr:uid="{00000000-0005-0000-0000-00002E080000}"/>
    <cellStyle name="_facturacion_dic14_926am_Consolidado Ingresos_Consolidado PPTO Ingresos 2010 Ajuste Reuniones" xfId="2095" xr:uid="{00000000-0005-0000-0000-00002F080000}"/>
    <cellStyle name="_facturacion_dic14_926am_Consolidado Ingresos_Consolidado PPTO Ingresos 2010 Ejerc" xfId="2096" xr:uid="{00000000-0005-0000-0000-000030080000}"/>
    <cellStyle name="_facturacion_dic14_926am_Consolidado Ingresos_Consolidado PPTO Ingresos 2010 Ejerc Reduccion % Ocupacional" xfId="2097" xr:uid="{00000000-0005-0000-0000-000031080000}"/>
    <cellStyle name="_facturacion_dic14_926am_Consolidado Ingresos_Consolidado PPTO Ingresos 2010 Ejerc Reduccion % Ocupacional Vs 3 Centro" xfId="2098" xr:uid="{00000000-0005-0000-0000-000032080000}"/>
    <cellStyle name="_facturacion_dic14_926am_COSTO DE MEDICAMENTOS " xfId="2099" xr:uid="{00000000-0005-0000-0000-000033080000}"/>
    <cellStyle name="_facturacion_dic14_926am_COSTO DE MEDICAMENTOS _Consolidado PPTO Ingresos 2010 Ajuste Medicamentos" xfId="2100" xr:uid="{00000000-0005-0000-0000-000034080000}"/>
    <cellStyle name="_facturacion_dic14_926am_COSTO DE MEDICAMENTOS _Consolidado PPTO Ingresos 2010 Ajuste Reuniones" xfId="2101" xr:uid="{00000000-0005-0000-0000-000035080000}"/>
    <cellStyle name="_facturacion_dic14_926am_COSTO DE MEDICAMENTOS _Consolidado PPTO Ingresos 2010 Ejerc Reduccion % Ocupacional Vs 3 Centro" xfId="2102" xr:uid="{00000000-0005-0000-0000-000036080000}"/>
    <cellStyle name="_facturacion_dic14_926am_COSTO DE MEDICAMENTOS." xfId="2103" xr:uid="{00000000-0005-0000-0000-000037080000}"/>
    <cellStyle name="_facturacion_dic14_926am_EJECUCION CONSOLIDADA A OCTUBRE GENERAL.CONSOLIDADO" xfId="2104" xr:uid="{00000000-0005-0000-0000-000038080000}"/>
    <cellStyle name="_facturacion_dic14_926am_EJECUCION PRESUPUESTAL A AGOSTO 09" xfId="2105" xr:uid="{00000000-0005-0000-0000-000039080000}"/>
    <cellStyle name="_facturacion_dic14_926am_EJECUCION PRESUPUESTAL A NOVIEMBRE  09 EJERCICIO AJUSTE INGRESOS " xfId="2106" xr:uid="{00000000-0005-0000-0000-00003A080000}"/>
    <cellStyle name="_facturacion_dic14_926am_EJECUCION PRESUPUESTAL A NOVIEMBRE  09 EJERCICIO AJUSTE INGRESOS _Consolidado PPTO Ingresos 2010 Ajuste Medicamentos" xfId="2107" xr:uid="{00000000-0005-0000-0000-00003B080000}"/>
    <cellStyle name="_facturacion_dic14_926am_FINANCIEROS-CONS" xfId="2108" xr:uid="{00000000-0005-0000-0000-00003C080000}"/>
    <cellStyle name="_facturacion_dic14_926am_provision contingencias-CONS" xfId="2109" xr:uid="{00000000-0005-0000-0000-00003D080000}"/>
    <cellStyle name="_facturacion_dic14_926am_provision de cartera-CONS" xfId="2110" xr:uid="{00000000-0005-0000-0000-00003E080000}"/>
    <cellStyle name="_facturacion_DIVERSOS.CONS" xfId="2111" xr:uid="{00000000-0005-0000-0000-00003F080000}"/>
    <cellStyle name="_facturacion_DIVERSOS.CONS_Consolidado 1000 Proyecciones" xfId="2112" xr:uid="{00000000-0005-0000-0000-000040080000}"/>
    <cellStyle name="_facturacion_DIVERSOS.CONS_FORMATOPresupuesto 2010-TRABAJO.C1" xfId="2113" xr:uid="{00000000-0005-0000-0000-000041080000}"/>
    <cellStyle name="_facturacion_DIVERSOS.CONS_FORMATOPresupuesto 2010-TRABAJO.C1." xfId="2114" xr:uid="{00000000-0005-0000-0000-000042080000}"/>
    <cellStyle name="_facturacion_EJECUCION CONSOLIDADA A OCTUBRE GENERAL.CONSOLIDADO" xfId="2115" xr:uid="{00000000-0005-0000-0000-000043080000}"/>
    <cellStyle name="_facturacion_EJECUCION PRESUPUESTAL A AGOSTO 09" xfId="2116" xr:uid="{00000000-0005-0000-0000-000044080000}"/>
    <cellStyle name="_facturacion_EJECUCION PRESUPUESTAL A NOVIEMBRE  09 EJERCICIO AJUSTE INGRESOS " xfId="2117" xr:uid="{00000000-0005-0000-0000-000045080000}"/>
    <cellStyle name="_facturacion_EJECUCION PRESUPUESTAL A NOVIEMBRE  09 EJERCICIO AJUSTE INGRESOS _Consolidado PPTO Ingresos 2010 Ajuste Medicamentos" xfId="2118" xr:uid="{00000000-0005-0000-0000-000046080000}"/>
    <cellStyle name="_facturacion_EJECUCION PRESUPUESTAL A SEPTIEMBRE  09 EJERCICIO AJUSTE INGRESOS" xfId="2119" xr:uid="{00000000-0005-0000-0000-000047080000}"/>
    <cellStyle name="_facturacion_EJECUCION PRESUPUESTAL A SEPTIEMBRE  09 EJERCICIO AJUSTE INGRESOS_Consolidado PPTO Ingresos 2010 Ajuste Medicamentos" xfId="2120" xr:uid="{00000000-0005-0000-0000-000048080000}"/>
    <cellStyle name="_facturacion_EJECUCION PRESUPUESTAL A SEPTIEMBRE  09 EJERCICIO AJUSTE INGRESOS_Consolidado PPTO Ingresos 2010 Ajuste Reuniones" xfId="2121" xr:uid="{00000000-0005-0000-0000-000049080000}"/>
    <cellStyle name="_facturacion_EJECUCION PRESUPUESTAL A SEPTIEMBRE  09 EJERCICIO AJUSTE INGRESOS_Consolidado PPTO Ingresos 2010 Ejerc Reduccion % Ocupacional Vs 3 Centro" xfId="2122" xr:uid="{00000000-0005-0000-0000-00004A080000}"/>
    <cellStyle name="_facturacion_EJECUCION_CONSOLIDADA_AGO_2008(1)" xfId="2123" xr:uid="{00000000-0005-0000-0000-00004B080000}"/>
    <cellStyle name="_facturacion_EJECUCION_CONSOLIDADA_AGO_2008(1)_Consolidado 1000 Proyecciones" xfId="2124" xr:uid="{00000000-0005-0000-0000-00004C080000}"/>
    <cellStyle name="_facturacion_EJECUCION_CONSOLIDADA_AGO_2008(1)_FORMATOPresupuesto 2010-TRABAJO.C1" xfId="2125" xr:uid="{00000000-0005-0000-0000-00004D080000}"/>
    <cellStyle name="_facturacion_EJECUCION_CONSOLIDADA_AGO_2008(1)_FORMATOPresupuesto 2010-TRABAJO.C1." xfId="2126" xr:uid="{00000000-0005-0000-0000-00004E080000}"/>
    <cellStyle name="_facturacion_FINANCIEROS-CONS" xfId="2127" xr:uid="{00000000-0005-0000-0000-00004F080000}"/>
    <cellStyle name="_facturacion_P Y G LABORATORIO-IMAGENES  cjc" xfId="2128" xr:uid="{00000000-0005-0000-0000-000050080000}"/>
    <cellStyle name="_facturacion_ppto ucis ac is" xfId="2129" xr:uid="{00000000-0005-0000-0000-000051080000}"/>
    <cellStyle name="_facturacion_ppto ucis ac is_COSTO DE MEDICAMENTOS " xfId="2130" xr:uid="{00000000-0005-0000-0000-000052080000}"/>
    <cellStyle name="_facturacion_ppto ucis ac is_COSTO DE MEDICAMENTOS _Consolidado PPTO Ingresos 2010 Ajuste Medicamentos" xfId="2131" xr:uid="{00000000-0005-0000-0000-000053080000}"/>
    <cellStyle name="_facturacion_ppto ucis ac is_COSTO DE MEDICAMENTOS _Consolidado PPTO Ingresos 2010 Ajuste Reuniones" xfId="2132" xr:uid="{00000000-0005-0000-0000-000054080000}"/>
    <cellStyle name="_facturacion_ppto ucis ac is_COSTO DE MEDICAMENTOS _Consolidado PPTO Ingresos 2010 Ejerc Reduccion % Ocupacional Vs 3 Centro" xfId="2133" xr:uid="{00000000-0005-0000-0000-000055080000}"/>
    <cellStyle name="_facturacion_ppto ucis ac is_EJECUCION PRESUPUESTAL A NOVIEMBRE  09 EJERCICIO AJUSTE INGRESOS " xfId="2134" xr:uid="{00000000-0005-0000-0000-000056080000}"/>
    <cellStyle name="_facturacion_ppto ucis ac is_EJECUCION PRESUPUESTAL A NOVIEMBRE  09 EJERCICIO AJUSTE INGRESOS _Consolidado PPTO Ingresos 2010 Ajuste Medicamentos" xfId="2135" xr:uid="{00000000-0005-0000-0000-000057080000}"/>
    <cellStyle name="_facturacion_presupuesto de mantenimiento (2)" xfId="2136" xr:uid="{00000000-0005-0000-0000-000058080000}"/>
    <cellStyle name="_facturacion_presupuesto de mantenimiento (2)_Consolidado 1000 Proyecciones" xfId="2137" xr:uid="{00000000-0005-0000-0000-000059080000}"/>
    <cellStyle name="_facturacion_presupuesto de mantenimiento (2)_FORMATOPresupuesto 2010-TRABAJO.C1" xfId="2138" xr:uid="{00000000-0005-0000-0000-00005A080000}"/>
    <cellStyle name="_facturacion_presupuesto de mantenimiento (2)_FORMATOPresupuesto 2010-TRABAJO.C1." xfId="2139" xr:uid="{00000000-0005-0000-0000-00005B080000}"/>
    <cellStyle name="_facturacion_provision contingencias-CONS" xfId="2140" xr:uid="{00000000-0005-0000-0000-00005C080000}"/>
    <cellStyle name="_facturacion_provision de cartera-CONS" xfId="2141" xr:uid="{00000000-0005-0000-0000-00005D080000}"/>
    <cellStyle name="_facturacion_SUMINISTROS LOGISTICA ULTIMO NOV 20" xfId="2142" xr:uid="{00000000-0005-0000-0000-00005E080000}"/>
    <cellStyle name="_facturacion_SUMINISTROS LOGISTICA ULTIMO NOV 20_Consolidado 1000 Proyecciones" xfId="2143" xr:uid="{00000000-0005-0000-0000-00005F080000}"/>
    <cellStyle name="_facturacion_SUMINISTROS LOGISTICA ULTIMO NOV 20_FORMATOPresupuesto 2010-TRABAJO.C1" xfId="2144" xr:uid="{00000000-0005-0000-0000-000060080000}"/>
    <cellStyle name="_facturacion_SUMINISTROS LOGISTICA ULTIMO NOV 20_FORMATOPresupuesto 2010-TRABAJO.C1." xfId="2145" xr:uid="{00000000-0005-0000-0000-000061080000}"/>
    <cellStyle name="_FACTURADO,RADICADO,RCAUDADO A MARZO 2008" xfId="2146" xr:uid="{00000000-0005-0000-0000-000062080000}"/>
    <cellStyle name="_FACTURADO,RADICADO,RCAUDADO A MARZO 2008_Cartera de Agosto de 2009" xfId="2147" xr:uid="{00000000-0005-0000-0000-000063080000}"/>
    <cellStyle name="_FACTURADO,RADICADO,RCAUDADO A MARZO 2008_Cartera de Julio de 2009" xfId="2148" xr:uid="{00000000-0005-0000-0000-000064080000}"/>
    <cellStyle name="_FACTURADO,RADICADO,RCAUDADO A MARZO 2008_Indicador dias ponderado  PB cartera" xfId="2149" xr:uid="{00000000-0005-0000-0000-000065080000}"/>
    <cellStyle name="_FACTURADO,RADICADO,RCAUDADO A MARZO 2008_Indicador dias ponderado  PB cartera1" xfId="2150" xr:uid="{00000000-0005-0000-0000-000066080000}"/>
    <cellStyle name="_FINANCIEROS-CONS" xfId="2151" xr:uid="{00000000-0005-0000-0000-000067080000}"/>
    <cellStyle name="_FT JPM ER Model" xfId="2152" xr:uid="{00000000-0005-0000-0000-000068080000}"/>
    <cellStyle name="_Gastos x Responsable Enero 06" xfId="2153" xr:uid="{00000000-0005-0000-0000-000069080000}"/>
    <cellStyle name="_Gastos x Responsable Enero 06_CENTRO DE COSTOS PLANTILLA" xfId="2154" xr:uid="{00000000-0005-0000-0000-00006A080000}"/>
    <cellStyle name="_Gastos x Responsable Enero 06_Consolidado Ingresos" xfId="2155" xr:uid="{00000000-0005-0000-0000-00006B080000}"/>
    <cellStyle name="_Gastos x Responsable Enero 06_Construccion Ingresos 2010" xfId="2156" xr:uid="{00000000-0005-0000-0000-00006C080000}"/>
    <cellStyle name="_Gastos x Responsable Enero 06_Copia de seguridad de Construccion Ingresos 2010" xfId="2157" xr:uid="{00000000-0005-0000-0000-00006D080000}"/>
    <cellStyle name="_Gastos x Responsable Enero 06_COSTO DE MEDICAMENTOS " xfId="2158" xr:uid="{00000000-0005-0000-0000-00006E080000}"/>
    <cellStyle name="_Gastos x Responsable Enero 06_COSTO DE MEDICAMENTOS." xfId="2159" xr:uid="{00000000-0005-0000-0000-00006F080000}"/>
    <cellStyle name="_Gastos x Responsable Enero 06_DIVERSOS.CONS" xfId="2160" xr:uid="{00000000-0005-0000-0000-000070080000}"/>
    <cellStyle name="_Gastos x Responsable Enero 06_EJECUCION PRESUPUESTAL A SEPTIEMBRE  09 EJERCICIO AJUSTE INGRESOS" xfId="2161" xr:uid="{00000000-0005-0000-0000-000071080000}"/>
    <cellStyle name="_Gastos x Responsable Enero 06_EJECUCION PRESUPUESTAL A SEPTIEMBRE  09 EJERCICIO AJUSTE INGRESOS_comparativo 2010-2009" xfId="2162" xr:uid="{00000000-0005-0000-0000-000072080000}"/>
    <cellStyle name="_Gastos x Responsable Enero 06_EJECUCION PRESUPUESTAL A SEPTIEMBRE  09 EJERCICIO AJUSTE INGRESOS_Consolidado 1000 Proyecciones" xfId="2163" xr:uid="{00000000-0005-0000-0000-000073080000}"/>
    <cellStyle name="_Gastos x Responsable Enero 06_EJECUCION PRESUPUESTAL A SEPTIEMBRE  09 EJERCICIO AJUSTE INGRESOS_Construccion Ingresos 2010" xfId="2164" xr:uid="{00000000-0005-0000-0000-000074080000}"/>
    <cellStyle name="_Gastos x Responsable Enero 06_EJECUCION PRESUPUESTAL A SEPTIEMBRE  09 EJERCICIO AJUSTE INGRESOS_Copia de seguridad de Construccion Ingresos 2010" xfId="2165" xr:uid="{00000000-0005-0000-0000-000075080000}"/>
    <cellStyle name="_Gastos x Responsable Enero 06_EJECUCION PRESUPUESTAL A SEPTIEMBRE  09 EJERCICIO AJUSTE INGRESOS_-FORMATOPresupuesto 2010" xfId="2166" xr:uid="{00000000-0005-0000-0000-000076080000}"/>
    <cellStyle name="_Gastos x Responsable Enero 06_EJECUCION PRESUPUESTAL A SEPTIEMBRE  09 EJERCICIO AJUSTE INGRESOS_FORMATOPresupuesto 2010-TRABAJO" xfId="2167" xr:uid="{00000000-0005-0000-0000-000077080000}"/>
    <cellStyle name="_Gastos x Responsable Enero 06_EJECUCION PRESUPUESTAL A SEPTIEMBRE  09 EJERCICIO AJUSTE INGRESOS_FORMATOPresupuesto 2010-TRABAJO." xfId="2168" xr:uid="{00000000-0005-0000-0000-000078080000}"/>
    <cellStyle name="_Gastos x Responsable Enero 06_EJECUCION PRESUPUESTAL A SEPTIEMBRE  09 EJERCICIO AJUSTE INGRESOS_FORMATOPresupuesto 2010-TRABAJO.C1" xfId="2169" xr:uid="{00000000-0005-0000-0000-000079080000}"/>
    <cellStyle name="_Gastos x Responsable Enero 06_EJECUCION PRESUPUESTAL A SEPTIEMBRE  09 EJERCICIO AJUSTE INGRESOS_FORMATOPresupuesto 2010-TRABAJO.C1." xfId="2170" xr:uid="{00000000-0005-0000-0000-00007A080000}"/>
    <cellStyle name="_Gastos x Responsable Enero 06_presupuesto de mantenimiento (2)" xfId="2171" xr:uid="{00000000-0005-0000-0000-00007B080000}"/>
    <cellStyle name="_Gastos x Responsable Enero 06_SUMINISTROS LOGISTICA ULTIMO NOV 20" xfId="2172" xr:uid="{00000000-0005-0000-0000-00007C080000}"/>
    <cellStyle name="_GAZP" xfId="2173" xr:uid="{00000000-0005-0000-0000-00007D080000}"/>
    <cellStyle name="_Guala_model_27.3.06" xfId="2174" xr:uid="{00000000-0005-0000-0000-00007E080000}"/>
    <cellStyle name="_GX model_JPM_310107_FINAL" xfId="2175" xr:uid="{00000000-0005-0000-0000-00007F080000}"/>
    <cellStyle name="_Header" xfId="2176" xr:uid="{00000000-0005-0000-0000-000080080000}"/>
    <cellStyle name="_Header_Bank case Viking (sent to JPM 10 Nov 05)" xfId="2177" xr:uid="{00000000-0005-0000-0000-000081080000}"/>
    <cellStyle name="_Header_Banks (2)" xfId="2178" xr:uid="{00000000-0005-0000-0000-000082080000}"/>
    <cellStyle name="_Header_EBITDA-Recon P&amp;L OPSP04-08_GX" xfId="2179" xr:uid="{00000000-0005-0000-0000-000083080000}"/>
    <cellStyle name="_Header_Eramet valuation_14.02.07_v12" xfId="2180" xr:uid="{00000000-0005-0000-0000-000084080000}"/>
    <cellStyle name="_Header_Financial ratios_Euroland" xfId="2181" xr:uid="{00000000-0005-0000-0000-000085080000}"/>
    <cellStyle name="_Header_GX model_JPM_310107_FINAL" xfId="2182" xr:uid="{00000000-0005-0000-0000-000086080000}"/>
    <cellStyle name="_Header_GX OPSP0509 incl. Zurückdrehen Subsidies NVM" xfId="2183" xr:uid="{00000000-0005-0000-0000-000087080000}"/>
    <cellStyle name="_Header_GX Plan" xfId="2184" xr:uid="{00000000-0005-0000-0000-000088080000}"/>
    <cellStyle name="_Header_Gx_analysis_240306 v1" xfId="2185" xr:uid="{00000000-0005-0000-0000-000089080000}"/>
    <cellStyle name="_Header_Headcount" xfId="2186" xr:uid="{00000000-0005-0000-0000-00008A080000}"/>
    <cellStyle name="_Header_Headcount_Monthly report" xfId="2187" xr:uid="{00000000-0005-0000-0000-00008B080000}"/>
    <cellStyle name="_Header_LTMJUN02" xfId="2188" xr:uid="{00000000-0005-0000-0000-00008C080000}"/>
    <cellStyle name="_Header_MIS Reporting_Budget_JD" xfId="2189" xr:uid="{00000000-0005-0000-0000-00008D080000}"/>
    <cellStyle name="_Header_New Gerresheimer bank plan (sent to JPM 26 Nov 05)" xfId="2190" xr:uid="{00000000-0005-0000-0000-00008E080000}"/>
    <cellStyle name="_Header_P&amp;L bank model - received from Gerresheimer 1 12 05" xfId="2191" xr:uid="{00000000-0005-0000-0000-00008F080000}"/>
    <cellStyle name="_Header_Plan model" xfId="2192" xr:uid="{00000000-0005-0000-0000-000090080000}"/>
    <cellStyle name="_Header_Quarterly" xfId="2193" xr:uid="{00000000-0005-0000-0000-000091080000}"/>
    <cellStyle name="_Header_Tabelle1" xfId="2194" xr:uid="{00000000-0005-0000-0000-000092080000}"/>
    <cellStyle name="_Header_TSG2" xfId="2195" xr:uid="{00000000-0005-0000-0000-000093080000}"/>
    <cellStyle name="_Header_Update 2004 Figures v2 (sent to banks)" xfId="2196" xr:uid="{00000000-0005-0000-0000-000094080000}"/>
    <cellStyle name="_Header_Volvo Cars model 011006 v7" xfId="2197" xr:uid="{00000000-0005-0000-0000-000095080000}"/>
    <cellStyle name="_Header_WC benchmark Calc" xfId="2198" xr:uid="{00000000-0005-0000-0000-000096080000}"/>
    <cellStyle name="_Header_Zins und Bankschuldenberechnung_03_07" xfId="2199" xr:uid="{00000000-0005-0000-0000-000097080000}"/>
    <cellStyle name="_Heading" xfId="2200" xr:uid="{00000000-0005-0000-0000-000098080000}"/>
    <cellStyle name="_Heading_GX model_JPM_310107_FINAL" xfId="2201" xr:uid="{00000000-0005-0000-0000-000099080000}"/>
    <cellStyle name="_Heading_prestemp" xfId="2202" xr:uid="{00000000-0005-0000-0000-00009A080000}"/>
    <cellStyle name="_Heading_prestemp_Nuela Financial Summary Projections_06-26-09_v2" xfId="2203" xr:uid="{00000000-0005-0000-0000-00009B080000}"/>
    <cellStyle name="_Headline" xfId="2204" xr:uid="{00000000-0005-0000-0000-00009C080000}"/>
    <cellStyle name="_Highlight" xfId="2205" xr:uid="{00000000-0005-0000-0000-00009D080000}"/>
    <cellStyle name="_Honorarios" xfId="2206" xr:uid="{00000000-0005-0000-0000-00009E080000}"/>
    <cellStyle name="_Honorarios_COSTO DE MEDICAMENTOS " xfId="2207" xr:uid="{00000000-0005-0000-0000-00009F080000}"/>
    <cellStyle name="_Honorarios_COSTO DE MEDICAMENTOS _Consolidado PPTO Ingresos 2010 Ajuste Medicamentos" xfId="2208" xr:uid="{00000000-0005-0000-0000-0000A0080000}"/>
    <cellStyle name="_Honorarios_COSTO DE MEDICAMENTOS _Consolidado PPTO Ingresos 2010 Ajuste Reuniones" xfId="2209" xr:uid="{00000000-0005-0000-0000-0000A1080000}"/>
    <cellStyle name="_Honorarios_COSTO DE MEDICAMENTOS _Consolidado PPTO Ingresos 2010 Ejerc Reduccion % Ocupacional Vs 3 Centro" xfId="2210" xr:uid="{00000000-0005-0000-0000-0000A2080000}"/>
    <cellStyle name="_Honorarios_EJECUCION CONSOLIDADA A OCTUBRE GENERAL.CONSOLIDADO" xfId="2211" xr:uid="{00000000-0005-0000-0000-0000A3080000}"/>
    <cellStyle name="_Honorarios_EJECUCION PRESUPUESTAL A AGOSTO 09" xfId="2212" xr:uid="{00000000-0005-0000-0000-0000A4080000}"/>
    <cellStyle name="_Honorarios_EJECUCION PRESUPUESTAL A NOVIEMBRE  09 EJERCICIO AJUSTE INGRESOS " xfId="2213" xr:uid="{00000000-0005-0000-0000-0000A5080000}"/>
    <cellStyle name="_Honorarios_EJECUCION PRESUPUESTAL A NOVIEMBRE  09 EJERCICIO AJUSTE INGRESOS _Consolidado PPTO Ingresos 2010 Ajuste Medicamentos" xfId="2214" xr:uid="{00000000-0005-0000-0000-0000A6080000}"/>
    <cellStyle name="_Honorarios_P Y G LABORATORIO-IMAGENES  cjc" xfId="2215" xr:uid="{00000000-0005-0000-0000-0000A7080000}"/>
    <cellStyle name="_informe de cartera a agosto 2008" xfId="2216" xr:uid="{00000000-0005-0000-0000-0000A8080000}"/>
    <cellStyle name="_informe de cartera a agosto 2008 (2)" xfId="2217" xr:uid="{00000000-0005-0000-0000-0000A9080000}"/>
    <cellStyle name="_informe de cartera a agosto 2008 (2)_Cartera de Agosto de 2009" xfId="2218" xr:uid="{00000000-0005-0000-0000-0000AA080000}"/>
    <cellStyle name="_informe de cartera a agosto 2008 (2)_Cartera de Julio de 2009" xfId="2219" xr:uid="{00000000-0005-0000-0000-0000AB080000}"/>
    <cellStyle name="_informe de cartera a agosto 2008 (2)_Desgloce de Cartera Mayo 2009 modificado" xfId="2220" xr:uid="{00000000-0005-0000-0000-0000AC080000}"/>
    <cellStyle name="_informe de cartera a agosto 2008 (2)_Desgloce de Cartera Mayo 2009 y resumen" xfId="2221" xr:uid="{00000000-0005-0000-0000-0000AD080000}"/>
    <cellStyle name="_informe de cartera a agosto 2008 (2)_Indicador dias ponderado  PB cartera" xfId="2222" xr:uid="{00000000-0005-0000-0000-0000AE080000}"/>
    <cellStyle name="_informe de cartera a agosto 2008 (2)_Indicador dias ponderado  PB cartera1" xfId="2223" xr:uid="{00000000-0005-0000-0000-0000AF080000}"/>
    <cellStyle name="_informe de cartera a agosto 2008_Cartera de Agosto de 2009" xfId="2224" xr:uid="{00000000-0005-0000-0000-0000B0080000}"/>
    <cellStyle name="_informe de cartera a agosto 2008_Cartera de Julio de 2009" xfId="2225" xr:uid="{00000000-0005-0000-0000-0000B1080000}"/>
    <cellStyle name="_informe de cartera a agosto 2008_Desgloce de Cartera Mayo 2009 modificado" xfId="2226" xr:uid="{00000000-0005-0000-0000-0000B2080000}"/>
    <cellStyle name="_informe de cartera a agosto 2008_Desgloce de Cartera Mayo 2009 y resumen" xfId="2227" xr:uid="{00000000-0005-0000-0000-0000B3080000}"/>
    <cellStyle name="_informe de cartera a agosto 2008_Indicador dias ponderado  PB cartera" xfId="2228" xr:uid="{00000000-0005-0000-0000-0000B4080000}"/>
    <cellStyle name="_informe de cartera a agosto 2008_Indicador dias ponderado  PB cartera1" xfId="2229" xr:uid="{00000000-0005-0000-0000-0000B5080000}"/>
    <cellStyle name="_Informe de Cartera de Enero a Octubre 2008" xfId="2230" xr:uid="{00000000-0005-0000-0000-0000B6080000}"/>
    <cellStyle name="_Informe de Cartera de Enero a Octubre 2008_Cartera de Agosto de 2009" xfId="2231" xr:uid="{00000000-0005-0000-0000-0000B7080000}"/>
    <cellStyle name="_Informe de Cartera de Enero a Octubre 2008_Cartera de Julio de 2009" xfId="2232" xr:uid="{00000000-0005-0000-0000-0000B8080000}"/>
    <cellStyle name="_Informe de Cartera de Enero a Octubre 2008_Indicador dias ponderado  PB cartera" xfId="2233" xr:uid="{00000000-0005-0000-0000-0000B9080000}"/>
    <cellStyle name="_Informe de Cartera de Enero a Octubre 2008_Indicador dias ponderado  PB cartera1" xfId="2234" xr:uid="{00000000-0005-0000-0000-0000BA080000}"/>
    <cellStyle name="_informe de cartera definitivo a junio 30 2008" xfId="2235" xr:uid="{00000000-0005-0000-0000-0000BB080000}"/>
    <cellStyle name="_informe de cartera definitivo a junio 30 2008_Cartera de Agosto de 2009" xfId="2236" xr:uid="{00000000-0005-0000-0000-0000BC080000}"/>
    <cellStyle name="_informe de cartera definitivo a junio 30 2008_Cartera de Julio de 2009" xfId="2237" xr:uid="{00000000-0005-0000-0000-0000BD080000}"/>
    <cellStyle name="_informe de cartera definitivo a junio 30 2008_Desgloce de Cartera Mayo 2009 modificado" xfId="2238" xr:uid="{00000000-0005-0000-0000-0000BE080000}"/>
    <cellStyle name="_informe de cartera definitivo a junio 30 2008_Desgloce de Cartera Mayo 2009 y resumen" xfId="2239" xr:uid="{00000000-0005-0000-0000-0000BF080000}"/>
    <cellStyle name="_informe de cartera definitivo a junio 30 2008_Indicador dias ponderado  PB cartera" xfId="2240" xr:uid="{00000000-0005-0000-0000-0000C0080000}"/>
    <cellStyle name="_informe de cartera definitivo a junio 30 2008_Indicador dias ponderado  PB cartera1" xfId="2241" xr:uid="{00000000-0005-0000-0000-0000C1080000}"/>
    <cellStyle name="_Informe de Diciembre 2009" xfId="2242" xr:uid="{00000000-0005-0000-0000-0000C2080000}"/>
    <cellStyle name="_INFORME GERENCIAL CARTERA A MARZO 2008" xfId="2243" xr:uid="{00000000-0005-0000-0000-0000C3080000}"/>
    <cellStyle name="_INFORME GERENCIAL CARTERA A MARZO 2008_Cartera de Agosto de 2009" xfId="2244" xr:uid="{00000000-0005-0000-0000-0000C4080000}"/>
    <cellStyle name="_INFORME GERENCIAL CARTERA A MARZO 2008_Cartera de Julio de 2009" xfId="2245" xr:uid="{00000000-0005-0000-0000-0000C5080000}"/>
    <cellStyle name="_INFORME GERENCIAL CARTERA A MARZO 2008_Desgloce de Cartera Mayo 2009 modificado" xfId="2246" xr:uid="{00000000-0005-0000-0000-0000C6080000}"/>
    <cellStyle name="_INFORME GERENCIAL CARTERA A MARZO 2008_Desgloce de Cartera Mayo 2009 y resumen" xfId="2247" xr:uid="{00000000-0005-0000-0000-0000C7080000}"/>
    <cellStyle name="_INFORME GERENCIAL CARTERA A MARZO 2008_Indicador dias ponderado  PB cartera" xfId="2248" xr:uid="{00000000-0005-0000-0000-0000C8080000}"/>
    <cellStyle name="_INFORME MALETIN- A 29 DE FE BRER 2008" xfId="2249" xr:uid="{00000000-0005-0000-0000-0000C9080000}"/>
    <cellStyle name="_INFORME MALETIN- A 29 DE FE BRER 2008_Cartera de Agosto de 2009" xfId="2250" xr:uid="{00000000-0005-0000-0000-0000CA080000}"/>
    <cellStyle name="_INFORME MALETIN- A 29 DE FE BRER 2008_Cartera de Julio de 2009" xfId="2251" xr:uid="{00000000-0005-0000-0000-0000CB080000}"/>
    <cellStyle name="_INFORME MALETIN- A 29 DE FE BRER 2008_Indicador dias ponderado  PB cartera" xfId="2252" xr:uid="{00000000-0005-0000-0000-0000CC080000}"/>
    <cellStyle name="_INFORME MALETIN- A 29 DE FE BRER 2008_Indicador dias ponderado  PB cartera1" xfId="2253" xr:uid="{00000000-0005-0000-0000-0000CD080000}"/>
    <cellStyle name="_Ingresos EEF - Neuror - Hemod" xfId="2254" xr:uid="{00000000-0005-0000-0000-0000CE080000}"/>
    <cellStyle name="_Ingresos EEF - Neuror - Hemod 2" xfId="2255" xr:uid="{00000000-0005-0000-0000-0000CF080000}"/>
    <cellStyle name="_Ingresos EEF - Neuror - Hemod 3" xfId="2256" xr:uid="{00000000-0005-0000-0000-0000D0080000}"/>
    <cellStyle name="_Ingresos EEF - Neuror - Hemod 4" xfId="2257" xr:uid="{00000000-0005-0000-0000-0000D1080000}"/>
    <cellStyle name="_Ingresos EEF - Neuror - Hemod 5" xfId="2258" xr:uid="{00000000-0005-0000-0000-0000D2080000}"/>
    <cellStyle name="_Ingresos EEF - Neuror - Hemod 6" xfId="2259" xr:uid="{00000000-0005-0000-0000-0000D3080000}"/>
    <cellStyle name="_Ingresos EEF - Neuror - Hemod 7" xfId="2260" xr:uid="{00000000-0005-0000-0000-0000D4080000}"/>
    <cellStyle name="_Ingresos EEF - Neuror - Hemod 8" xfId="2261" xr:uid="{00000000-0005-0000-0000-0000D5080000}"/>
    <cellStyle name="_Ingresos EEF - Neuror - Hemod_CENTRO DE COSTOS PLANTILLA" xfId="2262" xr:uid="{00000000-0005-0000-0000-0000D6080000}"/>
    <cellStyle name="_Ingresos EEF - Neuror - Hemod_CENTRO DE COSTOS PLANTILLA_comparativo 2010-2009" xfId="2263" xr:uid="{00000000-0005-0000-0000-0000D7080000}"/>
    <cellStyle name="_Ingresos EEF - Neuror - Hemod_CENTRO DE COSTOS PLANTILLA_Consolidado 1000 Proyecciones" xfId="2264" xr:uid="{00000000-0005-0000-0000-0000D8080000}"/>
    <cellStyle name="_Ingresos EEF - Neuror - Hemod_CENTRO DE COSTOS PLANTILLA_-FORMATOPresupuesto 2010" xfId="2265" xr:uid="{00000000-0005-0000-0000-0000D9080000}"/>
    <cellStyle name="_Ingresos EEF - Neuror - Hemod_CENTRO DE COSTOS PLANTILLA_FORMATOPresupuesto 2010-TRABAJO" xfId="2266" xr:uid="{00000000-0005-0000-0000-0000DA080000}"/>
    <cellStyle name="_Ingresos EEF - Neuror - Hemod_CENTRO DE COSTOS PLANTILLA_FORMATOPresupuesto 2010-TRABAJO." xfId="2267" xr:uid="{00000000-0005-0000-0000-0000DB080000}"/>
    <cellStyle name="_Ingresos EEF - Neuror - Hemod_CENTRO DE COSTOS PLANTILLA_FORMATOPresupuesto 2010-TRABAJO.C1" xfId="2268" xr:uid="{00000000-0005-0000-0000-0000DC080000}"/>
    <cellStyle name="_Ingresos EEF - Neuror - Hemod_CENTRO DE COSTOS PLANTILLA_FORMATOPresupuesto 2010-TRABAJO.C1." xfId="2269" xr:uid="{00000000-0005-0000-0000-0000DD080000}"/>
    <cellStyle name="_Ingresos EEF - Neuror - Hemod_CENTROS DE GESTION 2010" xfId="2270" xr:uid="{00000000-0005-0000-0000-0000DE080000}"/>
    <cellStyle name="_Ingresos EEF - Neuror - Hemod_CENTROS DE GESTION 2010_comparativo 2010-2009" xfId="2271" xr:uid="{00000000-0005-0000-0000-0000DF080000}"/>
    <cellStyle name="_Ingresos EEF - Neuror - Hemod_CENTROS DE GESTION 2010_Consolidado 1000 Proyecciones" xfId="2272" xr:uid="{00000000-0005-0000-0000-0000E0080000}"/>
    <cellStyle name="_Ingresos EEF - Neuror - Hemod_CENTROS DE GESTION 2010_Construccion Ingresos 2010" xfId="2273" xr:uid="{00000000-0005-0000-0000-0000E1080000}"/>
    <cellStyle name="_Ingresos EEF - Neuror - Hemod_CENTROS DE GESTION 2010_Copia de seguridad de Construccion Ingresos 2010" xfId="2274" xr:uid="{00000000-0005-0000-0000-0000E2080000}"/>
    <cellStyle name="_Ingresos EEF - Neuror - Hemod_CENTROS DE GESTION 2010_-FORMATOPresupuesto 2010" xfId="2275" xr:uid="{00000000-0005-0000-0000-0000E3080000}"/>
    <cellStyle name="_Ingresos EEF - Neuror - Hemod_CENTROS DE GESTION 2010_FORMATOPresupuesto 2010-TRABAJO" xfId="2276" xr:uid="{00000000-0005-0000-0000-0000E4080000}"/>
    <cellStyle name="_Ingresos EEF - Neuror - Hemod_CENTROS DE GESTION 2010_FORMATOPresupuesto 2010-TRABAJO." xfId="2277" xr:uid="{00000000-0005-0000-0000-0000E5080000}"/>
    <cellStyle name="_Ingresos EEF - Neuror - Hemod_CENTROS DE GESTION 2010_FORMATOPresupuesto 2010-TRABAJO.C1" xfId="2278" xr:uid="{00000000-0005-0000-0000-0000E6080000}"/>
    <cellStyle name="_Ingresos EEF - Neuror - Hemod_CENTROS DE GESTION 2010_FORMATOPresupuesto 2010-TRABAJO.C1." xfId="2279" xr:uid="{00000000-0005-0000-0000-0000E7080000}"/>
    <cellStyle name="_Ingresos EEF - Neuror - Hemod_Consolidado Ingresos" xfId="2280" xr:uid="{00000000-0005-0000-0000-0000E8080000}"/>
    <cellStyle name="_Ingresos EEF - Neuror - Hemod_Construccion Ingresos 2010" xfId="2281" xr:uid="{00000000-0005-0000-0000-0000E9080000}"/>
    <cellStyle name="_Ingresos EEF - Neuror - Hemod_Copia de PRESUPUESTOSISTEMAS2009formato2003" xfId="2282" xr:uid="{00000000-0005-0000-0000-0000EA080000}"/>
    <cellStyle name="_Ingresos EEF - Neuror - Hemod_Copia de seguridad de Construccion Ingresos 2010" xfId="2283" xr:uid="{00000000-0005-0000-0000-0000EB080000}"/>
    <cellStyle name="_Ingresos EEF - Neuror - Hemod_COSTO DE MEDICAMENTOS " xfId="2284" xr:uid="{00000000-0005-0000-0000-0000EC080000}"/>
    <cellStyle name="_Ingresos EEF - Neuror - Hemod_COSTO DE MEDICAMENTOS." xfId="2285" xr:uid="{00000000-0005-0000-0000-0000ED080000}"/>
    <cellStyle name="_Ingresos EEF - Neuror - Hemod_EJECUCION PRESUPUESTAL A SEPTIEMBRE  09 EJERCICIO AJUSTE INGRESOS" xfId="2286" xr:uid="{00000000-0005-0000-0000-0000EE080000}"/>
    <cellStyle name="_Ingresos EEF - Neuror - Hemod_EJECUCION PRESUPUESTAL A SEPTIEMBRE  09 EJERCICIO AJUSTE INGRESOS_comparativo 2010-2009" xfId="2287" xr:uid="{00000000-0005-0000-0000-0000EF080000}"/>
    <cellStyle name="_Ingresos EEF - Neuror - Hemod_EJECUCION PRESUPUESTAL A SEPTIEMBRE  09 EJERCICIO AJUSTE INGRESOS_Consolidado 1000 Proyecciones" xfId="2288" xr:uid="{00000000-0005-0000-0000-0000F0080000}"/>
    <cellStyle name="_Ingresos EEF - Neuror - Hemod_EJECUCION PRESUPUESTAL A SEPTIEMBRE  09 EJERCICIO AJUSTE INGRESOS_Construccion Ingresos 2010" xfId="2289" xr:uid="{00000000-0005-0000-0000-0000F1080000}"/>
    <cellStyle name="_Ingresos EEF - Neuror - Hemod_EJECUCION PRESUPUESTAL A SEPTIEMBRE  09 EJERCICIO AJUSTE INGRESOS_Copia de seguridad de Construccion Ingresos 2010" xfId="2290" xr:uid="{00000000-0005-0000-0000-0000F2080000}"/>
    <cellStyle name="_Ingresos EEF - Neuror - Hemod_EJECUCION PRESUPUESTAL A SEPTIEMBRE  09 EJERCICIO AJUSTE INGRESOS_-FORMATOPresupuesto 2010" xfId="2291" xr:uid="{00000000-0005-0000-0000-0000F3080000}"/>
    <cellStyle name="_Ingresos EEF - Neuror - Hemod_EJECUCION PRESUPUESTAL A SEPTIEMBRE  09 EJERCICIO AJUSTE INGRESOS_FORMATOPresupuesto 2010-TRABAJO" xfId="2292" xr:uid="{00000000-0005-0000-0000-0000F4080000}"/>
    <cellStyle name="_Ingresos EEF - Neuror - Hemod_EJECUCION PRESUPUESTAL A SEPTIEMBRE  09 EJERCICIO AJUSTE INGRESOS_FORMATOPresupuesto 2010-TRABAJO." xfId="2293" xr:uid="{00000000-0005-0000-0000-0000F5080000}"/>
    <cellStyle name="_Ingresos EEF - Neuror - Hemod_EJECUCION PRESUPUESTAL A SEPTIEMBRE  09 EJERCICIO AJUSTE INGRESOS_FORMATOPresupuesto 2010-TRABAJO.C1" xfId="2294" xr:uid="{00000000-0005-0000-0000-0000F6080000}"/>
    <cellStyle name="_Ingresos EEF - Neuror - Hemod_EJECUCION PRESUPUESTAL A SEPTIEMBRE  09 EJERCICIO AJUSTE INGRESOS_FORMATOPresupuesto 2010-TRABAJO.C1." xfId="2295" xr:uid="{00000000-0005-0000-0000-0000F7080000}"/>
    <cellStyle name="_Ingresos EEF - Neuror - Hemod_Ingresos Presupuesto 2008" xfId="2296" xr:uid="{00000000-0005-0000-0000-0000F8080000}"/>
    <cellStyle name="_Ingresos EEF - Neuror - Hemod_mantenimiento infraestrucruta" xfId="2297" xr:uid="{00000000-0005-0000-0000-0000F9080000}"/>
    <cellStyle name="_Ingresos EEF - Neuror - Hemod_mantenimiento infraestrucruta (2)" xfId="2298" xr:uid="{00000000-0005-0000-0000-0000FA080000}"/>
    <cellStyle name="_Ingresos EEF - Neuror - Hemod_mantenimiento infraestrucruta (2)_CENTRO DE COSTOS PLANTILLA" xfId="2299" xr:uid="{00000000-0005-0000-0000-0000FB080000}"/>
    <cellStyle name="_Ingresos EEF - Neuror - Hemod_mantenimiento infraestrucruta (2)_CENTRO DE COSTOS PLANTILLA_comparativo 2010-2009" xfId="2300" xr:uid="{00000000-0005-0000-0000-0000FC080000}"/>
    <cellStyle name="_Ingresos EEF - Neuror - Hemod_mantenimiento infraestrucruta (2)_CENTRO DE COSTOS PLANTILLA_Consolidado 1000 Proyecciones" xfId="2301" xr:uid="{00000000-0005-0000-0000-0000FD080000}"/>
    <cellStyle name="_Ingresos EEF - Neuror - Hemod_mantenimiento infraestrucruta (2)_CENTRO DE COSTOS PLANTILLA_DIVERSOS.CONS" xfId="2302" xr:uid="{00000000-0005-0000-0000-0000FE080000}"/>
    <cellStyle name="_Ingresos EEF - Neuror - Hemod_mantenimiento infraestrucruta (2)_CENTRO DE COSTOS PLANTILLA_-FORMATOPresupuesto 2010" xfId="2303" xr:uid="{00000000-0005-0000-0000-0000FF080000}"/>
    <cellStyle name="_Ingresos EEF - Neuror - Hemod_mantenimiento infraestrucruta (2)_CENTRO DE COSTOS PLANTILLA_FORMATOPresupuesto 2010-TRABAJO" xfId="2304" xr:uid="{00000000-0005-0000-0000-000000090000}"/>
    <cellStyle name="_Ingresos EEF - Neuror - Hemod_mantenimiento infraestrucruta (2)_CENTRO DE COSTOS PLANTILLA_FORMATOPresupuesto 2010-TRABAJO." xfId="2305" xr:uid="{00000000-0005-0000-0000-000001090000}"/>
    <cellStyle name="_Ingresos EEF - Neuror - Hemod_mantenimiento infraestrucruta (2)_CENTRO DE COSTOS PLANTILLA_FORMATOPresupuesto 2010-TRABAJO.C1" xfId="2306" xr:uid="{00000000-0005-0000-0000-000002090000}"/>
    <cellStyle name="_Ingresos EEF - Neuror - Hemod_mantenimiento infraestrucruta (2)_CENTRO DE COSTOS PLANTILLA_FORMATOPresupuesto 2010-TRABAJO.C1." xfId="2307" xr:uid="{00000000-0005-0000-0000-000003090000}"/>
    <cellStyle name="_Ingresos EEF - Neuror - Hemod_mantenimiento infraestrucruta (2)_comparativo 2010-2009" xfId="2308" xr:uid="{00000000-0005-0000-0000-000004090000}"/>
    <cellStyle name="_Ingresos EEF - Neuror - Hemod_mantenimiento infraestrucruta (2)_Consolidado 1000 Proyecciones" xfId="2309" xr:uid="{00000000-0005-0000-0000-000005090000}"/>
    <cellStyle name="_Ingresos EEF - Neuror - Hemod_mantenimiento infraestrucruta (2)_DIVERSOS.CONS" xfId="2310" xr:uid="{00000000-0005-0000-0000-000006090000}"/>
    <cellStyle name="_Ingresos EEF - Neuror - Hemod_mantenimiento infraestrucruta (2)_-FORMATOPresupuesto 2010" xfId="2311" xr:uid="{00000000-0005-0000-0000-000007090000}"/>
    <cellStyle name="_Ingresos EEF - Neuror - Hemod_mantenimiento infraestrucruta (2)_FORMATOPresupuesto 2010-TRABAJO" xfId="2312" xr:uid="{00000000-0005-0000-0000-000008090000}"/>
    <cellStyle name="_Ingresos EEF - Neuror - Hemod_mantenimiento infraestrucruta (2)_FORMATOPresupuesto 2010-TRABAJO." xfId="2313" xr:uid="{00000000-0005-0000-0000-000009090000}"/>
    <cellStyle name="_Ingresos EEF - Neuror - Hemod_mantenimiento infraestrucruta (2)_FORMATOPresupuesto 2010-TRABAJO.C1" xfId="2314" xr:uid="{00000000-0005-0000-0000-00000A090000}"/>
    <cellStyle name="_Ingresos EEF - Neuror - Hemod_mantenimiento infraestrucruta (2)_FORMATOPresupuesto 2010-TRABAJO.C1." xfId="2315" xr:uid="{00000000-0005-0000-0000-00000B090000}"/>
    <cellStyle name="_Ingresos EEF - Neuror - Hemod_mantenimiento infraestrucruta (2)_PRESUPUESTO 2010 06-11-09 430 p m " xfId="2316" xr:uid="{00000000-0005-0000-0000-00000C090000}"/>
    <cellStyle name="_Ingresos EEF - Neuror - Hemod_mantenimiento infraestrucruta (2)_PRESUPUESTO 2010 06-11-09 430 p m _comparativo 2010-2009" xfId="2317" xr:uid="{00000000-0005-0000-0000-00000D090000}"/>
    <cellStyle name="_Ingresos EEF - Neuror - Hemod_mantenimiento infraestrucruta (2)_PRESUPUESTO 2010 06-11-09 430 p m _Consolidado 1000 Proyecciones" xfId="2318" xr:uid="{00000000-0005-0000-0000-00000E090000}"/>
    <cellStyle name="_Ingresos EEF - Neuror - Hemod_mantenimiento infraestrucruta (2)_PRESUPUESTO 2010 06-11-09 430 p m _DIVERSOS.CONS" xfId="2319" xr:uid="{00000000-0005-0000-0000-00000F090000}"/>
    <cellStyle name="_Ingresos EEF - Neuror - Hemod_mantenimiento infraestrucruta (2)_PRESUPUESTO 2010 06-11-09 430 p m _-FORMATOPresupuesto 2010" xfId="2320" xr:uid="{00000000-0005-0000-0000-000010090000}"/>
    <cellStyle name="_Ingresos EEF - Neuror - Hemod_mantenimiento infraestrucruta (2)_PRESUPUESTO 2010 06-11-09 430 p m _FORMATOPresupuesto 2010-TRABAJO" xfId="2321" xr:uid="{00000000-0005-0000-0000-000011090000}"/>
    <cellStyle name="_Ingresos EEF - Neuror - Hemod_mantenimiento infraestrucruta (2)_PRESUPUESTO 2010 06-11-09 430 p m _FORMATOPresupuesto 2010-TRABAJO." xfId="2322" xr:uid="{00000000-0005-0000-0000-000012090000}"/>
    <cellStyle name="_Ingresos EEF - Neuror - Hemod_mantenimiento infraestrucruta (2)_PRESUPUESTO 2010 06-11-09 430 p m _FORMATOPresupuesto 2010-TRABAJO.C1" xfId="2323" xr:uid="{00000000-0005-0000-0000-000013090000}"/>
    <cellStyle name="_Ingresos EEF - Neuror - Hemod_mantenimiento infraestrucruta (2)_PRESUPUESTO 2010 06-11-09 430 p m _FORMATOPresupuesto 2010-TRABAJO.C1." xfId="2324" xr:uid="{00000000-0005-0000-0000-000014090000}"/>
    <cellStyle name="_Ingresos EEF - Neuror - Hemod_mantenimiento infraestrucruta (2)_presupuesto de mantenimiento" xfId="2325" xr:uid="{00000000-0005-0000-0000-000015090000}"/>
    <cellStyle name="_Ingresos EEF - Neuror - Hemod_mantenimiento infraestrucruta (2)_presupuesto de mantenimiento_comparativo 2010-2009" xfId="2326" xr:uid="{00000000-0005-0000-0000-000016090000}"/>
    <cellStyle name="_Ingresos EEF - Neuror - Hemod_mantenimiento infraestrucruta (2)_presupuesto de mantenimiento_Consolidado 1000 Proyecciones" xfId="2327" xr:uid="{00000000-0005-0000-0000-000017090000}"/>
    <cellStyle name="_Ingresos EEF - Neuror - Hemod_mantenimiento infraestrucruta (2)_presupuesto de mantenimiento_DIVERSOS.CONS" xfId="2328" xr:uid="{00000000-0005-0000-0000-000018090000}"/>
    <cellStyle name="_Ingresos EEF - Neuror - Hemod_mantenimiento infraestrucruta (2)_presupuesto de mantenimiento_-FORMATOPresupuesto 2010" xfId="2329" xr:uid="{00000000-0005-0000-0000-000019090000}"/>
    <cellStyle name="_Ingresos EEF - Neuror - Hemod_mantenimiento infraestrucruta (2)_presupuesto de mantenimiento_FORMATOPresupuesto 2010-TRABAJO" xfId="2330" xr:uid="{00000000-0005-0000-0000-00001A090000}"/>
    <cellStyle name="_Ingresos EEF - Neuror - Hemod_mantenimiento infraestrucruta (2)_presupuesto de mantenimiento_FORMATOPresupuesto 2010-TRABAJO." xfId="2331" xr:uid="{00000000-0005-0000-0000-00001B090000}"/>
    <cellStyle name="_Ingresos EEF - Neuror - Hemod_mantenimiento infraestrucruta (2)_presupuesto de mantenimiento_FORMATOPresupuesto 2010-TRABAJO.C1" xfId="2332" xr:uid="{00000000-0005-0000-0000-00001C090000}"/>
    <cellStyle name="_Ingresos EEF - Neuror - Hemod_mantenimiento infraestrucruta (2)_presupuesto de mantenimiento_FORMATOPresupuesto 2010-TRABAJO.C1." xfId="2333" xr:uid="{00000000-0005-0000-0000-00001D090000}"/>
    <cellStyle name="_Ingresos EEF - Neuror - Hemod_mantenimiento infraestrucruta (2)_servicio" xfId="2334" xr:uid="{00000000-0005-0000-0000-00001E090000}"/>
    <cellStyle name="_Ingresos EEF - Neuror - Hemod_mantenimiento infraestrucruta (2)_servicio_comparativo 2010-2009" xfId="2335" xr:uid="{00000000-0005-0000-0000-00001F090000}"/>
    <cellStyle name="_Ingresos EEF - Neuror - Hemod_mantenimiento infraestrucruta (2)_servicio_Consolidado 1000 Proyecciones" xfId="2336" xr:uid="{00000000-0005-0000-0000-000020090000}"/>
    <cellStyle name="_Ingresos EEF - Neuror - Hemod_mantenimiento infraestrucruta (2)_servicio_DIVERSOS.CONS" xfId="2337" xr:uid="{00000000-0005-0000-0000-000021090000}"/>
    <cellStyle name="_Ingresos EEF - Neuror - Hemod_mantenimiento infraestrucruta (2)_servicio_-FORMATOPresupuesto 2010" xfId="2338" xr:uid="{00000000-0005-0000-0000-000022090000}"/>
    <cellStyle name="_Ingresos EEF - Neuror - Hemod_mantenimiento infraestrucruta (2)_servicio_FORMATOPresupuesto 2010-TRABAJO" xfId="2339" xr:uid="{00000000-0005-0000-0000-000023090000}"/>
    <cellStyle name="_Ingresos EEF - Neuror - Hemod_mantenimiento infraestrucruta (2)_servicio_FORMATOPresupuesto 2010-TRABAJO." xfId="2340" xr:uid="{00000000-0005-0000-0000-000024090000}"/>
    <cellStyle name="_Ingresos EEF - Neuror - Hemod_mantenimiento infraestrucruta (2)_servicio_FORMATOPresupuesto 2010-TRABAJO.C1" xfId="2341" xr:uid="{00000000-0005-0000-0000-000025090000}"/>
    <cellStyle name="_Ingresos EEF - Neuror - Hemod_mantenimiento infraestrucruta (2)_servicio_FORMATOPresupuesto 2010-TRABAJO.C1." xfId="2342" xr:uid="{00000000-0005-0000-0000-000026090000}"/>
    <cellStyle name="_Ingresos EEF - Neuror - Hemod_mantenimiento infraestrucruta (2)_SERVICIOS" xfId="2343" xr:uid="{00000000-0005-0000-0000-000027090000}"/>
    <cellStyle name="_Ingresos EEF - Neuror - Hemod_mantenimiento infraestrucruta (2)_SERVICIOS." xfId="2344" xr:uid="{00000000-0005-0000-0000-000028090000}"/>
    <cellStyle name="_Ingresos EEF - Neuror - Hemod_mantenimiento infraestrucruta (2)_SERVICIOS._comparativo 2010-2009" xfId="2345" xr:uid="{00000000-0005-0000-0000-000029090000}"/>
    <cellStyle name="_Ingresos EEF - Neuror - Hemod_mantenimiento infraestrucruta (2)_SERVICIOS._Consolidado 1000 Proyecciones" xfId="2346" xr:uid="{00000000-0005-0000-0000-00002A090000}"/>
    <cellStyle name="_Ingresos EEF - Neuror - Hemod_mantenimiento infraestrucruta (2)_SERVICIOS._DIVERSOS.CONS" xfId="2347" xr:uid="{00000000-0005-0000-0000-00002B090000}"/>
    <cellStyle name="_Ingresos EEF - Neuror - Hemod_mantenimiento infraestrucruta (2)_SERVICIOS._-FORMATOPresupuesto 2010" xfId="2348" xr:uid="{00000000-0005-0000-0000-00002C090000}"/>
    <cellStyle name="_Ingresos EEF - Neuror - Hemod_mantenimiento infraestrucruta (2)_SERVICIOS._FORMATOPresupuesto 2010-TRABAJO" xfId="2349" xr:uid="{00000000-0005-0000-0000-00002D090000}"/>
    <cellStyle name="_Ingresos EEF - Neuror - Hemod_mantenimiento infraestrucruta (2)_SERVICIOS._FORMATOPresupuesto 2010-TRABAJO." xfId="2350" xr:uid="{00000000-0005-0000-0000-00002E090000}"/>
    <cellStyle name="_Ingresos EEF - Neuror - Hemod_mantenimiento infraestrucruta (2)_SERVICIOS._FORMATOPresupuesto 2010-TRABAJO.C1" xfId="2351" xr:uid="{00000000-0005-0000-0000-00002F090000}"/>
    <cellStyle name="_Ingresos EEF - Neuror - Hemod_mantenimiento infraestrucruta (2)_SERVICIOS._FORMATOPresupuesto 2010-TRABAJO.C1." xfId="2352" xr:uid="{00000000-0005-0000-0000-000030090000}"/>
    <cellStyle name="_Ingresos EEF - Neuror - Hemod_mantenimiento infraestrucruta (2)_SERVICIOS_comparativo 2010-2009" xfId="2353" xr:uid="{00000000-0005-0000-0000-000031090000}"/>
    <cellStyle name="_Ingresos EEF - Neuror - Hemod_mantenimiento infraestrucruta (2)_SERVICIOS_Consolidado 1000 Proyecciones" xfId="2354" xr:uid="{00000000-0005-0000-0000-000032090000}"/>
    <cellStyle name="_Ingresos EEF - Neuror - Hemod_mantenimiento infraestrucruta (2)_SERVICIOS_DIVERSOS.CONS" xfId="2355" xr:uid="{00000000-0005-0000-0000-000033090000}"/>
    <cellStyle name="_Ingresos EEF - Neuror - Hemod_mantenimiento infraestrucruta (2)_SERVICIOS_-FORMATOPresupuesto 2010" xfId="2356" xr:uid="{00000000-0005-0000-0000-000034090000}"/>
    <cellStyle name="_Ingresos EEF - Neuror - Hemod_mantenimiento infraestrucruta (2)_SERVICIOS_FORMATOPresupuesto 2010-TRABAJO" xfId="2357" xr:uid="{00000000-0005-0000-0000-000035090000}"/>
    <cellStyle name="_Ingresos EEF - Neuror - Hemod_mantenimiento infraestrucruta (2)_SERVICIOS_FORMATOPresupuesto 2010-TRABAJO." xfId="2358" xr:uid="{00000000-0005-0000-0000-000036090000}"/>
    <cellStyle name="_Ingresos EEF - Neuror - Hemod_mantenimiento infraestrucruta (2)_SERVICIOS_FORMATOPresupuesto 2010-TRABAJO.C1" xfId="2359" xr:uid="{00000000-0005-0000-0000-000037090000}"/>
    <cellStyle name="_Ingresos EEF - Neuror - Hemod_mantenimiento infraestrucruta (2)_SERVICIOS_FORMATOPresupuesto 2010-TRABAJO.C1." xfId="2360" xr:uid="{00000000-0005-0000-0000-000038090000}"/>
    <cellStyle name="_Ingresos EEF - Neuror - Hemod_mantenimiento infraestrucruta (2)_SERVICIOS1" xfId="2361" xr:uid="{00000000-0005-0000-0000-000039090000}"/>
    <cellStyle name="_Ingresos EEF - Neuror - Hemod_mantenimiento infraestrucruta (2)_SERVICIOS1_comparativo 2010-2009" xfId="2362" xr:uid="{00000000-0005-0000-0000-00003A090000}"/>
    <cellStyle name="_Ingresos EEF - Neuror - Hemod_mantenimiento infraestrucruta (2)_SERVICIOS1_Consolidado 1000 Proyecciones" xfId="2363" xr:uid="{00000000-0005-0000-0000-00003B090000}"/>
    <cellStyle name="_Ingresos EEF - Neuror - Hemod_mantenimiento infraestrucruta (2)_SERVICIOS1_DIVERSOS.CONS" xfId="2364" xr:uid="{00000000-0005-0000-0000-00003C090000}"/>
    <cellStyle name="_Ingresos EEF - Neuror - Hemod_mantenimiento infraestrucruta (2)_SERVICIOS1_-FORMATOPresupuesto 2010" xfId="2365" xr:uid="{00000000-0005-0000-0000-00003D090000}"/>
    <cellStyle name="_Ingresos EEF - Neuror - Hemod_mantenimiento infraestrucruta (2)_SERVICIOS1_FORMATOPresupuesto 2010-TRABAJO" xfId="2366" xr:uid="{00000000-0005-0000-0000-00003E090000}"/>
    <cellStyle name="_Ingresos EEF - Neuror - Hemod_mantenimiento infraestrucruta (2)_SERVICIOS1_FORMATOPresupuesto 2010-TRABAJO." xfId="2367" xr:uid="{00000000-0005-0000-0000-00003F090000}"/>
    <cellStyle name="_Ingresos EEF - Neuror - Hemod_mantenimiento infraestrucruta (2)_SERVICIOS1_FORMATOPresupuesto 2010-TRABAJO.C1" xfId="2368" xr:uid="{00000000-0005-0000-0000-000040090000}"/>
    <cellStyle name="_Ingresos EEF - Neuror - Hemod_mantenimiento infraestrucruta (2)_SERVICIOS1_FORMATOPresupuesto 2010-TRABAJO.C1." xfId="2369" xr:uid="{00000000-0005-0000-0000-000041090000}"/>
    <cellStyle name="_Ingresos EEF - Neuror - Hemod_mantenimiento infraestrucruta (2)_SUMINISTROS" xfId="2370" xr:uid="{00000000-0005-0000-0000-000042090000}"/>
    <cellStyle name="_Ingresos EEF - Neuror - Hemod_mantenimiento infraestrucruta (2)_SUMINISTROS_comparativo 2010-2009" xfId="2371" xr:uid="{00000000-0005-0000-0000-000043090000}"/>
    <cellStyle name="_Ingresos EEF - Neuror - Hemod_mantenimiento infraestrucruta (2)_SUMINISTROS_Consolidado 1000 Proyecciones" xfId="2372" xr:uid="{00000000-0005-0000-0000-000044090000}"/>
    <cellStyle name="_Ingresos EEF - Neuror - Hemod_mantenimiento infraestrucruta (2)_SUMINISTROS_-FORMATOPresupuesto 2010" xfId="2373" xr:uid="{00000000-0005-0000-0000-000045090000}"/>
    <cellStyle name="_Ingresos EEF - Neuror - Hemod_mantenimiento infraestrucruta (2)_SUMINISTROS_FORMATOPresupuesto 2010-TRABAJO" xfId="2374" xr:uid="{00000000-0005-0000-0000-000046090000}"/>
    <cellStyle name="_Ingresos EEF - Neuror - Hemod_mantenimiento infraestrucruta (2)_SUMINISTROS_FORMATOPresupuesto 2010-TRABAJO." xfId="2375" xr:uid="{00000000-0005-0000-0000-000047090000}"/>
    <cellStyle name="_Ingresos EEF - Neuror - Hemod_mantenimiento infraestrucruta (2)_SUMINISTROS_FORMATOPresupuesto 2010-TRABAJO.C1" xfId="2376" xr:uid="{00000000-0005-0000-0000-000048090000}"/>
    <cellStyle name="_Ingresos EEF - Neuror - Hemod_mantenimiento infraestrucruta (2)_SUMINISTROS_FORMATOPresupuesto 2010-TRABAJO.C1." xfId="2377" xr:uid="{00000000-0005-0000-0000-000049090000}"/>
    <cellStyle name="_Ingresos EEF - Neuror - Hemod_mantenimiento infraestrucruta_CENTRO DE COSTOS PLANTILLA" xfId="2378" xr:uid="{00000000-0005-0000-0000-00004A090000}"/>
    <cellStyle name="_Ingresos EEF - Neuror - Hemod_mantenimiento infraestrucruta_CENTRO DE COSTOS PLANTILLA_comparativo 2010-2009" xfId="2379" xr:uid="{00000000-0005-0000-0000-00004B090000}"/>
    <cellStyle name="_Ingresos EEF - Neuror - Hemod_mantenimiento infraestrucruta_CENTRO DE COSTOS PLANTILLA_Consolidado 1000 Proyecciones" xfId="2380" xr:uid="{00000000-0005-0000-0000-00004C090000}"/>
    <cellStyle name="_Ingresos EEF - Neuror - Hemod_mantenimiento infraestrucruta_CENTRO DE COSTOS PLANTILLA_DIVERSOS.CONS" xfId="2381" xr:uid="{00000000-0005-0000-0000-00004D090000}"/>
    <cellStyle name="_Ingresos EEF - Neuror - Hemod_mantenimiento infraestrucruta_CENTRO DE COSTOS PLANTILLA_-FORMATOPresupuesto 2010" xfId="2382" xr:uid="{00000000-0005-0000-0000-00004E090000}"/>
    <cellStyle name="_Ingresos EEF - Neuror - Hemod_mantenimiento infraestrucruta_CENTRO DE COSTOS PLANTILLA_FORMATOPresupuesto 2010-TRABAJO" xfId="2383" xr:uid="{00000000-0005-0000-0000-00004F090000}"/>
    <cellStyle name="_Ingresos EEF - Neuror - Hemod_mantenimiento infraestrucruta_CENTRO DE COSTOS PLANTILLA_FORMATOPresupuesto 2010-TRABAJO." xfId="2384" xr:uid="{00000000-0005-0000-0000-000050090000}"/>
    <cellStyle name="_Ingresos EEF - Neuror - Hemod_mantenimiento infraestrucruta_CENTRO DE COSTOS PLANTILLA_FORMATOPresupuesto 2010-TRABAJO.C1" xfId="2385" xr:uid="{00000000-0005-0000-0000-000051090000}"/>
    <cellStyle name="_Ingresos EEF - Neuror - Hemod_mantenimiento infraestrucruta_CENTRO DE COSTOS PLANTILLA_FORMATOPresupuesto 2010-TRABAJO.C1." xfId="2386" xr:uid="{00000000-0005-0000-0000-000052090000}"/>
    <cellStyle name="_Ingresos EEF - Neuror - Hemod_mantenimiento infraestrucruta_comparativo 2010-2009" xfId="2387" xr:uid="{00000000-0005-0000-0000-000053090000}"/>
    <cellStyle name="_Ingresos EEF - Neuror - Hemod_mantenimiento infraestrucruta_Consolidado 1000 Proyecciones" xfId="2388" xr:uid="{00000000-0005-0000-0000-000054090000}"/>
    <cellStyle name="_Ingresos EEF - Neuror - Hemod_mantenimiento infraestrucruta_DIVERSOS.CONS" xfId="2389" xr:uid="{00000000-0005-0000-0000-000055090000}"/>
    <cellStyle name="_Ingresos EEF - Neuror - Hemod_mantenimiento infraestrucruta_-FORMATOPresupuesto 2010" xfId="2390" xr:uid="{00000000-0005-0000-0000-000056090000}"/>
    <cellStyle name="_Ingresos EEF - Neuror - Hemod_mantenimiento infraestrucruta_FORMATOPresupuesto 2010-TRABAJO" xfId="2391" xr:uid="{00000000-0005-0000-0000-000057090000}"/>
    <cellStyle name="_Ingresos EEF - Neuror - Hemod_mantenimiento infraestrucruta_FORMATOPresupuesto 2010-TRABAJO." xfId="2392" xr:uid="{00000000-0005-0000-0000-000058090000}"/>
    <cellStyle name="_Ingresos EEF - Neuror - Hemod_mantenimiento infraestrucruta_FORMATOPresupuesto 2010-TRABAJO.C1" xfId="2393" xr:uid="{00000000-0005-0000-0000-000059090000}"/>
    <cellStyle name="_Ingresos EEF - Neuror - Hemod_mantenimiento infraestrucruta_FORMATOPresupuesto 2010-TRABAJO.C1." xfId="2394" xr:uid="{00000000-0005-0000-0000-00005A090000}"/>
    <cellStyle name="_Ingresos EEF - Neuror - Hemod_mantenimiento infraestrucruta_PRESUPUESTO 2010 06-11-09 430 p m " xfId="2395" xr:uid="{00000000-0005-0000-0000-00005B090000}"/>
    <cellStyle name="_Ingresos EEF - Neuror - Hemod_mantenimiento infraestrucruta_PRESUPUESTO 2010 06-11-09 430 p m _comparativo 2010-2009" xfId="2396" xr:uid="{00000000-0005-0000-0000-00005C090000}"/>
    <cellStyle name="_Ingresos EEF - Neuror - Hemod_mantenimiento infraestrucruta_PRESUPUESTO 2010 06-11-09 430 p m _Consolidado 1000 Proyecciones" xfId="2397" xr:uid="{00000000-0005-0000-0000-00005D090000}"/>
    <cellStyle name="_Ingresos EEF - Neuror - Hemod_mantenimiento infraestrucruta_PRESUPUESTO 2010 06-11-09 430 p m _DIVERSOS.CONS" xfId="2398" xr:uid="{00000000-0005-0000-0000-00005E090000}"/>
    <cellStyle name="_Ingresos EEF - Neuror - Hemod_mantenimiento infraestrucruta_PRESUPUESTO 2010 06-11-09 430 p m _-FORMATOPresupuesto 2010" xfId="2399" xr:uid="{00000000-0005-0000-0000-00005F090000}"/>
    <cellStyle name="_Ingresos EEF - Neuror - Hemod_mantenimiento infraestrucruta_PRESUPUESTO 2010 06-11-09 430 p m _FORMATOPresupuesto 2010-TRABAJO" xfId="2400" xr:uid="{00000000-0005-0000-0000-000060090000}"/>
    <cellStyle name="_Ingresos EEF - Neuror - Hemod_mantenimiento infraestrucruta_PRESUPUESTO 2010 06-11-09 430 p m _FORMATOPresupuesto 2010-TRABAJO." xfId="2401" xr:uid="{00000000-0005-0000-0000-000061090000}"/>
    <cellStyle name="_Ingresos EEF - Neuror - Hemod_mantenimiento infraestrucruta_PRESUPUESTO 2010 06-11-09 430 p m _FORMATOPresupuesto 2010-TRABAJO.C1" xfId="2402" xr:uid="{00000000-0005-0000-0000-000062090000}"/>
    <cellStyle name="_Ingresos EEF - Neuror - Hemod_mantenimiento infraestrucruta_PRESUPUESTO 2010 06-11-09 430 p m _FORMATOPresupuesto 2010-TRABAJO.C1." xfId="2403" xr:uid="{00000000-0005-0000-0000-000063090000}"/>
    <cellStyle name="_Ingresos EEF - Neuror - Hemod_mantenimiento infraestrucruta_presupuesto de mantenimiento" xfId="2404" xr:uid="{00000000-0005-0000-0000-000064090000}"/>
    <cellStyle name="_Ingresos EEF - Neuror - Hemod_mantenimiento infraestrucruta_presupuesto de mantenimiento_comparativo 2010-2009" xfId="2405" xr:uid="{00000000-0005-0000-0000-000065090000}"/>
    <cellStyle name="_Ingresos EEF - Neuror - Hemod_mantenimiento infraestrucruta_presupuesto de mantenimiento_Consolidado 1000 Proyecciones" xfId="2406" xr:uid="{00000000-0005-0000-0000-000066090000}"/>
    <cellStyle name="_Ingresos EEF - Neuror - Hemod_mantenimiento infraestrucruta_presupuesto de mantenimiento_DIVERSOS.CONS" xfId="2407" xr:uid="{00000000-0005-0000-0000-000067090000}"/>
    <cellStyle name="_Ingresos EEF - Neuror - Hemod_mantenimiento infraestrucruta_presupuesto de mantenimiento_-FORMATOPresupuesto 2010" xfId="2408" xr:uid="{00000000-0005-0000-0000-000068090000}"/>
    <cellStyle name="_Ingresos EEF - Neuror - Hemod_mantenimiento infraestrucruta_presupuesto de mantenimiento_FORMATOPresupuesto 2010-TRABAJO" xfId="2409" xr:uid="{00000000-0005-0000-0000-000069090000}"/>
    <cellStyle name="_Ingresos EEF - Neuror - Hemod_mantenimiento infraestrucruta_presupuesto de mantenimiento_FORMATOPresupuesto 2010-TRABAJO." xfId="2410" xr:uid="{00000000-0005-0000-0000-00006A090000}"/>
    <cellStyle name="_Ingresos EEF - Neuror - Hemod_mantenimiento infraestrucruta_presupuesto de mantenimiento_FORMATOPresupuesto 2010-TRABAJO.C1" xfId="2411" xr:uid="{00000000-0005-0000-0000-00006B090000}"/>
    <cellStyle name="_Ingresos EEF - Neuror - Hemod_mantenimiento infraestrucruta_presupuesto de mantenimiento_FORMATOPresupuesto 2010-TRABAJO.C1." xfId="2412" xr:uid="{00000000-0005-0000-0000-00006C090000}"/>
    <cellStyle name="_Ingresos EEF - Neuror - Hemod_mantenimiento infraestrucruta_servicio" xfId="2413" xr:uid="{00000000-0005-0000-0000-00006D090000}"/>
    <cellStyle name="_Ingresos EEF - Neuror - Hemod_mantenimiento infraestrucruta_servicio_comparativo 2010-2009" xfId="2414" xr:uid="{00000000-0005-0000-0000-00006E090000}"/>
    <cellStyle name="_Ingresos EEF - Neuror - Hemod_mantenimiento infraestrucruta_servicio_Consolidado 1000 Proyecciones" xfId="2415" xr:uid="{00000000-0005-0000-0000-00006F090000}"/>
    <cellStyle name="_Ingresos EEF - Neuror - Hemod_mantenimiento infraestrucruta_servicio_DIVERSOS.CONS" xfId="2416" xr:uid="{00000000-0005-0000-0000-000070090000}"/>
    <cellStyle name="_Ingresos EEF - Neuror - Hemod_mantenimiento infraestrucruta_servicio_-FORMATOPresupuesto 2010" xfId="2417" xr:uid="{00000000-0005-0000-0000-000071090000}"/>
    <cellStyle name="_Ingresos EEF - Neuror - Hemod_mantenimiento infraestrucruta_servicio_FORMATOPresupuesto 2010-TRABAJO" xfId="2418" xr:uid="{00000000-0005-0000-0000-000072090000}"/>
    <cellStyle name="_Ingresos EEF - Neuror - Hemod_mantenimiento infraestrucruta_servicio_FORMATOPresupuesto 2010-TRABAJO." xfId="2419" xr:uid="{00000000-0005-0000-0000-000073090000}"/>
    <cellStyle name="_Ingresos EEF - Neuror - Hemod_mantenimiento infraestrucruta_servicio_FORMATOPresupuesto 2010-TRABAJO.C1" xfId="2420" xr:uid="{00000000-0005-0000-0000-000074090000}"/>
    <cellStyle name="_Ingresos EEF - Neuror - Hemod_mantenimiento infraestrucruta_servicio_FORMATOPresupuesto 2010-TRABAJO.C1." xfId="2421" xr:uid="{00000000-0005-0000-0000-000075090000}"/>
    <cellStyle name="_Ingresos EEF - Neuror - Hemod_mantenimiento infraestrucruta_SERVICIOS" xfId="2422" xr:uid="{00000000-0005-0000-0000-000076090000}"/>
    <cellStyle name="_Ingresos EEF - Neuror - Hemod_mantenimiento infraestrucruta_SERVICIOS." xfId="2423" xr:uid="{00000000-0005-0000-0000-000077090000}"/>
    <cellStyle name="_Ingresos EEF - Neuror - Hemod_mantenimiento infraestrucruta_SERVICIOS._comparativo 2010-2009" xfId="2424" xr:uid="{00000000-0005-0000-0000-000078090000}"/>
    <cellStyle name="_Ingresos EEF - Neuror - Hemod_mantenimiento infraestrucruta_SERVICIOS._Consolidado 1000 Proyecciones" xfId="2425" xr:uid="{00000000-0005-0000-0000-000079090000}"/>
    <cellStyle name="_Ingresos EEF - Neuror - Hemod_mantenimiento infraestrucruta_SERVICIOS._DIVERSOS.CONS" xfId="2426" xr:uid="{00000000-0005-0000-0000-00007A090000}"/>
    <cellStyle name="_Ingresos EEF - Neuror - Hemod_mantenimiento infraestrucruta_SERVICIOS._-FORMATOPresupuesto 2010" xfId="2427" xr:uid="{00000000-0005-0000-0000-00007B090000}"/>
    <cellStyle name="_Ingresos EEF - Neuror - Hemod_mantenimiento infraestrucruta_SERVICIOS._FORMATOPresupuesto 2010-TRABAJO" xfId="2428" xr:uid="{00000000-0005-0000-0000-00007C090000}"/>
    <cellStyle name="_Ingresos EEF - Neuror - Hemod_mantenimiento infraestrucruta_SERVICIOS._FORMATOPresupuesto 2010-TRABAJO." xfId="2429" xr:uid="{00000000-0005-0000-0000-00007D090000}"/>
    <cellStyle name="_Ingresos EEF - Neuror - Hemod_mantenimiento infraestrucruta_SERVICIOS._FORMATOPresupuesto 2010-TRABAJO.C1" xfId="2430" xr:uid="{00000000-0005-0000-0000-00007E090000}"/>
    <cellStyle name="_Ingresos EEF - Neuror - Hemod_mantenimiento infraestrucruta_SERVICIOS._FORMATOPresupuesto 2010-TRABAJO.C1." xfId="2431" xr:uid="{00000000-0005-0000-0000-00007F090000}"/>
    <cellStyle name="_Ingresos EEF - Neuror - Hemod_mantenimiento infraestrucruta_SERVICIOS_comparativo 2010-2009" xfId="2432" xr:uid="{00000000-0005-0000-0000-000080090000}"/>
    <cellStyle name="_Ingresos EEF - Neuror - Hemod_mantenimiento infraestrucruta_SERVICIOS_Consolidado 1000 Proyecciones" xfId="2433" xr:uid="{00000000-0005-0000-0000-000081090000}"/>
    <cellStyle name="_Ingresos EEF - Neuror - Hemod_mantenimiento infraestrucruta_SERVICIOS_DIVERSOS.CONS" xfId="2434" xr:uid="{00000000-0005-0000-0000-000082090000}"/>
    <cellStyle name="_Ingresos EEF - Neuror - Hemod_mantenimiento infraestrucruta_SERVICIOS_-FORMATOPresupuesto 2010" xfId="2435" xr:uid="{00000000-0005-0000-0000-000083090000}"/>
    <cellStyle name="_Ingresos EEF - Neuror - Hemod_mantenimiento infraestrucruta_SERVICIOS_FORMATOPresupuesto 2010-TRABAJO" xfId="2436" xr:uid="{00000000-0005-0000-0000-000084090000}"/>
    <cellStyle name="_Ingresos EEF - Neuror - Hemod_mantenimiento infraestrucruta_SERVICIOS_FORMATOPresupuesto 2010-TRABAJO." xfId="2437" xr:uid="{00000000-0005-0000-0000-000085090000}"/>
    <cellStyle name="_Ingresos EEF - Neuror - Hemod_mantenimiento infraestrucruta_SERVICIOS_FORMATOPresupuesto 2010-TRABAJO.C1" xfId="2438" xr:uid="{00000000-0005-0000-0000-000086090000}"/>
    <cellStyle name="_Ingresos EEF - Neuror - Hemod_mantenimiento infraestrucruta_SERVICIOS_FORMATOPresupuesto 2010-TRABAJO.C1." xfId="2439" xr:uid="{00000000-0005-0000-0000-000087090000}"/>
    <cellStyle name="_Ingresos EEF - Neuror - Hemod_mantenimiento infraestrucruta_SERVICIOS1" xfId="2440" xr:uid="{00000000-0005-0000-0000-000088090000}"/>
    <cellStyle name="_Ingresos EEF - Neuror - Hemod_mantenimiento infraestrucruta_SERVICIOS1_comparativo 2010-2009" xfId="2441" xr:uid="{00000000-0005-0000-0000-000089090000}"/>
    <cellStyle name="_Ingresos EEF - Neuror - Hemod_mantenimiento infraestrucruta_SERVICIOS1_Consolidado 1000 Proyecciones" xfId="2442" xr:uid="{00000000-0005-0000-0000-00008A090000}"/>
    <cellStyle name="_Ingresos EEF - Neuror - Hemod_mantenimiento infraestrucruta_SERVICIOS1_DIVERSOS.CONS" xfId="2443" xr:uid="{00000000-0005-0000-0000-00008B090000}"/>
    <cellStyle name="_Ingresos EEF - Neuror - Hemod_mantenimiento infraestrucruta_SERVICIOS1_-FORMATOPresupuesto 2010" xfId="2444" xr:uid="{00000000-0005-0000-0000-00008C090000}"/>
    <cellStyle name="_Ingresos EEF - Neuror - Hemod_mantenimiento infraestrucruta_SERVICIOS1_FORMATOPresupuesto 2010-TRABAJO" xfId="2445" xr:uid="{00000000-0005-0000-0000-00008D090000}"/>
    <cellStyle name="_Ingresos EEF - Neuror - Hemod_mantenimiento infraestrucruta_SERVICIOS1_FORMATOPresupuesto 2010-TRABAJO." xfId="2446" xr:uid="{00000000-0005-0000-0000-00008E090000}"/>
    <cellStyle name="_Ingresos EEF - Neuror - Hemod_mantenimiento infraestrucruta_SERVICIOS1_FORMATOPresupuesto 2010-TRABAJO.C1" xfId="2447" xr:uid="{00000000-0005-0000-0000-00008F090000}"/>
    <cellStyle name="_Ingresos EEF - Neuror - Hemod_mantenimiento infraestrucruta_SERVICIOS1_FORMATOPresupuesto 2010-TRABAJO.C1." xfId="2448" xr:uid="{00000000-0005-0000-0000-000090090000}"/>
    <cellStyle name="_Ingresos EEF - Neuror - Hemod_mantenimiento infraestrucruta_SUMINISTROS" xfId="2449" xr:uid="{00000000-0005-0000-0000-000091090000}"/>
    <cellStyle name="_Ingresos EEF - Neuror - Hemod_mantenimiento infraestrucruta_SUMINISTROS_comparativo 2010-2009" xfId="2450" xr:uid="{00000000-0005-0000-0000-000092090000}"/>
    <cellStyle name="_Ingresos EEF - Neuror - Hemod_mantenimiento infraestrucruta_SUMINISTROS_Consolidado 1000 Proyecciones" xfId="2451" xr:uid="{00000000-0005-0000-0000-000093090000}"/>
    <cellStyle name="_Ingresos EEF - Neuror - Hemod_mantenimiento infraestrucruta_SUMINISTROS_-FORMATOPresupuesto 2010" xfId="2452" xr:uid="{00000000-0005-0000-0000-000094090000}"/>
    <cellStyle name="_Ingresos EEF - Neuror - Hemod_mantenimiento infraestrucruta_SUMINISTROS_FORMATOPresupuesto 2010-TRABAJO" xfId="2453" xr:uid="{00000000-0005-0000-0000-000095090000}"/>
    <cellStyle name="_Ingresos EEF - Neuror - Hemod_mantenimiento infraestrucruta_SUMINISTROS_FORMATOPresupuesto 2010-TRABAJO." xfId="2454" xr:uid="{00000000-0005-0000-0000-000096090000}"/>
    <cellStyle name="_Ingresos EEF - Neuror - Hemod_mantenimiento infraestrucruta_SUMINISTROS_FORMATOPresupuesto 2010-TRABAJO.C1" xfId="2455" xr:uid="{00000000-0005-0000-0000-000097090000}"/>
    <cellStyle name="_Ingresos EEF - Neuror - Hemod_mantenimiento infraestrucruta_SUMINISTROS_FORMATOPresupuesto 2010-TRABAJO.C1." xfId="2456" xr:uid="{00000000-0005-0000-0000-000098090000}"/>
    <cellStyle name="_Ingresos EEF - Neuror - Hemod_PRESUPUESTO 2010 06-11-09 430 p m " xfId="2457" xr:uid="{00000000-0005-0000-0000-000099090000}"/>
    <cellStyle name="_Ingresos EEF - Neuror - Hemod_presupuesto de mantenimiento" xfId="2458" xr:uid="{00000000-0005-0000-0000-00009A090000}"/>
    <cellStyle name="_Ingresos EEF - Neuror - Hemod_presupuesto de mantenimiento (2)" xfId="2459" xr:uid="{00000000-0005-0000-0000-00009B090000}"/>
    <cellStyle name="_Ingresos EEF - Neuror - Hemod_PRESUPUESTO POR CENTROS DE GESTION 2010 (3)" xfId="2460" xr:uid="{00000000-0005-0000-0000-00009C090000}"/>
    <cellStyle name="_Ingresos EEF - Neuror - Hemod_PRESUPUESTO POR CENTROS DE GESTION 2010 (3)_CENTRO DE COSTOS PLANTILLA" xfId="2461" xr:uid="{00000000-0005-0000-0000-00009D090000}"/>
    <cellStyle name="_Ingresos EEF - Neuror - Hemod_PRESUPUESTO POR CENTROS DE GESTION 2010 (3)_CENTRO DE COSTOS PLANTILLA_comparativo 2010-2009" xfId="2462" xr:uid="{00000000-0005-0000-0000-00009E090000}"/>
    <cellStyle name="_Ingresos EEF - Neuror - Hemod_PRESUPUESTO POR CENTROS DE GESTION 2010 (3)_CENTRO DE COSTOS PLANTILLA_Consolidado 1000 Proyecciones" xfId="2463" xr:uid="{00000000-0005-0000-0000-00009F090000}"/>
    <cellStyle name="_Ingresos EEF - Neuror - Hemod_PRESUPUESTO POR CENTROS DE GESTION 2010 (3)_CENTRO DE COSTOS PLANTILLA_DIVERSOS.CONS" xfId="2464" xr:uid="{00000000-0005-0000-0000-0000A0090000}"/>
    <cellStyle name="_Ingresos EEF - Neuror - Hemod_PRESUPUESTO POR CENTROS DE GESTION 2010 (3)_CENTRO DE COSTOS PLANTILLA_-FORMATOPresupuesto 2010" xfId="2465" xr:uid="{00000000-0005-0000-0000-0000A1090000}"/>
    <cellStyle name="_Ingresos EEF - Neuror - Hemod_PRESUPUESTO POR CENTROS DE GESTION 2010 (3)_CENTRO DE COSTOS PLANTILLA_FORMATOPresupuesto 2010-TRABAJO" xfId="2466" xr:uid="{00000000-0005-0000-0000-0000A2090000}"/>
    <cellStyle name="_Ingresos EEF - Neuror - Hemod_PRESUPUESTO POR CENTROS DE GESTION 2010 (3)_CENTRO DE COSTOS PLANTILLA_FORMATOPresupuesto 2010-TRABAJO." xfId="2467" xr:uid="{00000000-0005-0000-0000-0000A3090000}"/>
    <cellStyle name="_Ingresos EEF - Neuror - Hemod_PRESUPUESTO POR CENTROS DE GESTION 2010 (3)_CENTRO DE COSTOS PLANTILLA_FORMATOPresupuesto 2010-TRABAJO.C1" xfId="2468" xr:uid="{00000000-0005-0000-0000-0000A4090000}"/>
    <cellStyle name="_Ingresos EEF - Neuror - Hemod_PRESUPUESTO POR CENTROS DE GESTION 2010 (3)_CENTRO DE COSTOS PLANTILLA_FORMATOPresupuesto 2010-TRABAJO.C1." xfId="2469" xr:uid="{00000000-0005-0000-0000-0000A5090000}"/>
    <cellStyle name="_Ingresos EEF - Neuror - Hemod_PRESUPUESTO POR CENTROS DE GESTION 2010 (3)_comparativo 2010-2009" xfId="2470" xr:uid="{00000000-0005-0000-0000-0000A6090000}"/>
    <cellStyle name="_Ingresos EEF - Neuror - Hemod_PRESUPUESTO POR CENTROS DE GESTION 2010 (3)_Consolidado 1000 Proyecciones" xfId="2471" xr:uid="{00000000-0005-0000-0000-0000A7090000}"/>
    <cellStyle name="_Ingresos EEF - Neuror - Hemod_PRESUPUESTO POR CENTROS DE GESTION 2010 (3)_DIVERSOS.CONS" xfId="2472" xr:uid="{00000000-0005-0000-0000-0000A8090000}"/>
    <cellStyle name="_Ingresos EEF - Neuror - Hemod_PRESUPUESTO POR CENTROS DE GESTION 2010 (3)_-FORMATOPresupuesto 2010" xfId="2473" xr:uid="{00000000-0005-0000-0000-0000A9090000}"/>
    <cellStyle name="_Ingresos EEF - Neuror - Hemod_PRESUPUESTO POR CENTROS DE GESTION 2010 (3)_FORMATOPresupuesto 2010-TRABAJO" xfId="2474" xr:uid="{00000000-0005-0000-0000-0000AA090000}"/>
    <cellStyle name="_Ingresos EEF - Neuror - Hemod_PRESUPUESTO POR CENTROS DE GESTION 2010 (3)_FORMATOPresupuesto 2010-TRABAJO." xfId="2475" xr:uid="{00000000-0005-0000-0000-0000AB090000}"/>
    <cellStyle name="_Ingresos EEF - Neuror - Hemod_PRESUPUESTO POR CENTROS DE GESTION 2010 (3)_FORMATOPresupuesto 2010-TRABAJO.C1" xfId="2476" xr:uid="{00000000-0005-0000-0000-0000AC090000}"/>
    <cellStyle name="_Ingresos EEF - Neuror - Hemod_PRESUPUESTO POR CENTROS DE GESTION 2010 (3)_FORMATOPresupuesto 2010-TRABAJO.C1." xfId="2477" xr:uid="{00000000-0005-0000-0000-0000AD090000}"/>
    <cellStyle name="_Ingresos EEF - Neuror - Hemod_PRESUPUESTO POR CENTROS DE GESTION 2010 (3)_PRESUPUESTO 2010 06-11-09 430 p m " xfId="2478" xr:uid="{00000000-0005-0000-0000-0000AE090000}"/>
    <cellStyle name="_Ingresos EEF - Neuror - Hemod_PRESUPUESTO POR CENTROS DE GESTION 2010 (3)_PRESUPUESTO 2010 06-11-09 430 p m _comparativo 2010-2009" xfId="2479" xr:uid="{00000000-0005-0000-0000-0000AF090000}"/>
    <cellStyle name="_Ingresos EEF - Neuror - Hemod_PRESUPUESTO POR CENTROS DE GESTION 2010 (3)_PRESUPUESTO 2010 06-11-09 430 p m _Consolidado 1000 Proyecciones" xfId="2480" xr:uid="{00000000-0005-0000-0000-0000B0090000}"/>
    <cellStyle name="_Ingresos EEF - Neuror - Hemod_PRESUPUESTO POR CENTROS DE GESTION 2010 (3)_PRESUPUESTO 2010 06-11-09 430 p m _DIVERSOS.CONS" xfId="2481" xr:uid="{00000000-0005-0000-0000-0000B1090000}"/>
    <cellStyle name="_Ingresos EEF - Neuror - Hemod_PRESUPUESTO POR CENTROS DE GESTION 2010 (3)_PRESUPUESTO 2010 06-11-09 430 p m _-FORMATOPresupuesto 2010" xfId="2482" xr:uid="{00000000-0005-0000-0000-0000B2090000}"/>
    <cellStyle name="_Ingresos EEF - Neuror - Hemod_PRESUPUESTO POR CENTROS DE GESTION 2010 (3)_PRESUPUESTO 2010 06-11-09 430 p m _FORMATOPresupuesto 2010-TRABAJO" xfId="2483" xr:uid="{00000000-0005-0000-0000-0000B3090000}"/>
    <cellStyle name="_Ingresos EEF - Neuror - Hemod_PRESUPUESTO POR CENTROS DE GESTION 2010 (3)_PRESUPUESTO 2010 06-11-09 430 p m _FORMATOPresupuesto 2010-TRABAJO." xfId="2484" xr:uid="{00000000-0005-0000-0000-0000B4090000}"/>
    <cellStyle name="_Ingresos EEF - Neuror - Hemod_PRESUPUESTO POR CENTROS DE GESTION 2010 (3)_PRESUPUESTO 2010 06-11-09 430 p m _FORMATOPresupuesto 2010-TRABAJO.C1" xfId="2485" xr:uid="{00000000-0005-0000-0000-0000B5090000}"/>
    <cellStyle name="_Ingresos EEF - Neuror - Hemod_PRESUPUESTO POR CENTROS DE GESTION 2010 (3)_PRESUPUESTO 2010 06-11-09 430 p m _FORMATOPresupuesto 2010-TRABAJO.C1." xfId="2486" xr:uid="{00000000-0005-0000-0000-0000B6090000}"/>
    <cellStyle name="_Ingresos EEF - Neuror - Hemod_PRESUPUESTO POR CENTROS DE GESTION 2010 (3)_presupuesto de mantenimiento" xfId="2487" xr:uid="{00000000-0005-0000-0000-0000B7090000}"/>
    <cellStyle name="_Ingresos EEF - Neuror - Hemod_PRESUPUESTO POR CENTROS DE GESTION 2010 (3)_presupuesto de mantenimiento_comparativo 2010-2009" xfId="2488" xr:uid="{00000000-0005-0000-0000-0000B8090000}"/>
    <cellStyle name="_Ingresos EEF - Neuror - Hemod_PRESUPUESTO POR CENTROS DE GESTION 2010 (3)_presupuesto de mantenimiento_Consolidado 1000 Proyecciones" xfId="2489" xr:uid="{00000000-0005-0000-0000-0000B9090000}"/>
    <cellStyle name="_Ingresos EEF - Neuror - Hemod_PRESUPUESTO POR CENTROS DE GESTION 2010 (3)_presupuesto de mantenimiento_DIVERSOS.CONS" xfId="2490" xr:uid="{00000000-0005-0000-0000-0000BA090000}"/>
    <cellStyle name="_Ingresos EEF - Neuror - Hemod_PRESUPUESTO POR CENTROS DE GESTION 2010 (3)_presupuesto de mantenimiento_-FORMATOPresupuesto 2010" xfId="2491" xr:uid="{00000000-0005-0000-0000-0000BB090000}"/>
    <cellStyle name="_Ingresos EEF - Neuror - Hemod_PRESUPUESTO POR CENTROS DE GESTION 2010 (3)_presupuesto de mantenimiento_FORMATOPresupuesto 2010-TRABAJO" xfId="2492" xr:uid="{00000000-0005-0000-0000-0000BC090000}"/>
    <cellStyle name="_Ingresos EEF - Neuror - Hemod_PRESUPUESTO POR CENTROS DE GESTION 2010 (3)_presupuesto de mantenimiento_FORMATOPresupuesto 2010-TRABAJO." xfId="2493" xr:uid="{00000000-0005-0000-0000-0000BD090000}"/>
    <cellStyle name="_Ingresos EEF - Neuror - Hemod_PRESUPUESTO POR CENTROS DE GESTION 2010 (3)_presupuesto de mantenimiento_FORMATOPresupuesto 2010-TRABAJO.C1" xfId="2494" xr:uid="{00000000-0005-0000-0000-0000BE090000}"/>
    <cellStyle name="_Ingresos EEF - Neuror - Hemod_PRESUPUESTO POR CENTROS DE GESTION 2010 (3)_presupuesto de mantenimiento_FORMATOPresupuesto 2010-TRABAJO.C1." xfId="2495" xr:uid="{00000000-0005-0000-0000-0000BF090000}"/>
    <cellStyle name="_Ingresos EEF - Neuror - Hemod_PRESUPUESTO POR CENTROS DE GESTION 2010 (3)_servicio" xfId="2496" xr:uid="{00000000-0005-0000-0000-0000C0090000}"/>
    <cellStyle name="_Ingresos EEF - Neuror - Hemod_PRESUPUESTO POR CENTROS DE GESTION 2010 (3)_servicio_comparativo 2010-2009" xfId="2497" xr:uid="{00000000-0005-0000-0000-0000C1090000}"/>
    <cellStyle name="_Ingresos EEF - Neuror - Hemod_PRESUPUESTO POR CENTROS DE GESTION 2010 (3)_servicio_Consolidado 1000 Proyecciones" xfId="2498" xr:uid="{00000000-0005-0000-0000-0000C2090000}"/>
    <cellStyle name="_Ingresos EEF - Neuror - Hemod_PRESUPUESTO POR CENTROS DE GESTION 2010 (3)_servicio_DIVERSOS.CONS" xfId="2499" xr:uid="{00000000-0005-0000-0000-0000C3090000}"/>
    <cellStyle name="_Ingresos EEF - Neuror - Hemod_PRESUPUESTO POR CENTROS DE GESTION 2010 (3)_servicio_-FORMATOPresupuesto 2010" xfId="2500" xr:uid="{00000000-0005-0000-0000-0000C4090000}"/>
    <cellStyle name="_Ingresos EEF - Neuror - Hemod_PRESUPUESTO POR CENTROS DE GESTION 2010 (3)_servicio_FORMATOPresupuesto 2010-TRABAJO" xfId="2501" xr:uid="{00000000-0005-0000-0000-0000C5090000}"/>
    <cellStyle name="_Ingresos EEF - Neuror - Hemod_PRESUPUESTO POR CENTROS DE GESTION 2010 (3)_servicio_FORMATOPresupuesto 2010-TRABAJO." xfId="2502" xr:uid="{00000000-0005-0000-0000-0000C6090000}"/>
    <cellStyle name="_Ingresos EEF - Neuror - Hemod_PRESUPUESTO POR CENTROS DE GESTION 2010 (3)_servicio_FORMATOPresupuesto 2010-TRABAJO.C1" xfId="2503" xr:uid="{00000000-0005-0000-0000-0000C7090000}"/>
    <cellStyle name="_Ingresos EEF - Neuror - Hemod_PRESUPUESTO POR CENTROS DE GESTION 2010 (3)_servicio_FORMATOPresupuesto 2010-TRABAJO.C1." xfId="2504" xr:uid="{00000000-0005-0000-0000-0000C8090000}"/>
    <cellStyle name="_Ingresos EEF - Neuror - Hemod_PRESUPUESTO POR CENTROS DE GESTION 2010 (3)_SERVICIOS" xfId="2505" xr:uid="{00000000-0005-0000-0000-0000C9090000}"/>
    <cellStyle name="_Ingresos EEF - Neuror - Hemod_PRESUPUESTO POR CENTROS DE GESTION 2010 (3)_SERVICIOS." xfId="2506" xr:uid="{00000000-0005-0000-0000-0000CA090000}"/>
    <cellStyle name="_Ingresos EEF - Neuror - Hemod_PRESUPUESTO POR CENTROS DE GESTION 2010 (3)_SERVICIOS._comparativo 2010-2009" xfId="2507" xr:uid="{00000000-0005-0000-0000-0000CB090000}"/>
    <cellStyle name="_Ingresos EEF - Neuror - Hemod_PRESUPUESTO POR CENTROS DE GESTION 2010 (3)_SERVICIOS._Consolidado 1000 Proyecciones" xfId="2508" xr:uid="{00000000-0005-0000-0000-0000CC090000}"/>
    <cellStyle name="_Ingresos EEF - Neuror - Hemod_PRESUPUESTO POR CENTROS DE GESTION 2010 (3)_SERVICIOS._DIVERSOS.CONS" xfId="2509" xr:uid="{00000000-0005-0000-0000-0000CD090000}"/>
    <cellStyle name="_Ingresos EEF - Neuror - Hemod_PRESUPUESTO POR CENTROS DE GESTION 2010 (3)_SERVICIOS._-FORMATOPresupuesto 2010" xfId="2510" xr:uid="{00000000-0005-0000-0000-0000CE090000}"/>
    <cellStyle name="_Ingresos EEF - Neuror - Hemod_PRESUPUESTO POR CENTROS DE GESTION 2010 (3)_SERVICIOS._FORMATOPresupuesto 2010-TRABAJO" xfId="2511" xr:uid="{00000000-0005-0000-0000-0000CF090000}"/>
    <cellStyle name="_Ingresos EEF - Neuror - Hemod_PRESUPUESTO POR CENTROS DE GESTION 2010 (3)_SERVICIOS._FORMATOPresupuesto 2010-TRABAJO." xfId="2512" xr:uid="{00000000-0005-0000-0000-0000D0090000}"/>
    <cellStyle name="_Ingresos EEF - Neuror - Hemod_PRESUPUESTO POR CENTROS DE GESTION 2010 (3)_SERVICIOS._FORMATOPresupuesto 2010-TRABAJO.C1" xfId="2513" xr:uid="{00000000-0005-0000-0000-0000D1090000}"/>
    <cellStyle name="_Ingresos EEF - Neuror - Hemod_PRESUPUESTO POR CENTROS DE GESTION 2010 (3)_SERVICIOS._FORMATOPresupuesto 2010-TRABAJO.C1." xfId="2514" xr:uid="{00000000-0005-0000-0000-0000D2090000}"/>
    <cellStyle name="_Ingresos EEF - Neuror - Hemod_PRESUPUESTO POR CENTROS DE GESTION 2010 (3)_SERVICIOS_comparativo 2010-2009" xfId="2515" xr:uid="{00000000-0005-0000-0000-0000D3090000}"/>
    <cellStyle name="_Ingresos EEF - Neuror - Hemod_PRESUPUESTO POR CENTROS DE GESTION 2010 (3)_SERVICIOS_Consolidado 1000 Proyecciones" xfId="2516" xr:uid="{00000000-0005-0000-0000-0000D4090000}"/>
    <cellStyle name="_Ingresos EEF - Neuror - Hemod_PRESUPUESTO POR CENTROS DE GESTION 2010 (3)_SERVICIOS_DIVERSOS.CONS" xfId="2517" xr:uid="{00000000-0005-0000-0000-0000D5090000}"/>
    <cellStyle name="_Ingresos EEF - Neuror - Hemod_PRESUPUESTO POR CENTROS DE GESTION 2010 (3)_SERVICIOS_-FORMATOPresupuesto 2010" xfId="2518" xr:uid="{00000000-0005-0000-0000-0000D6090000}"/>
    <cellStyle name="_Ingresos EEF - Neuror - Hemod_PRESUPUESTO POR CENTROS DE GESTION 2010 (3)_SERVICIOS_FORMATOPresupuesto 2010-TRABAJO" xfId="2519" xr:uid="{00000000-0005-0000-0000-0000D7090000}"/>
    <cellStyle name="_Ingresos EEF - Neuror - Hemod_PRESUPUESTO POR CENTROS DE GESTION 2010 (3)_SERVICIOS_FORMATOPresupuesto 2010-TRABAJO." xfId="2520" xr:uid="{00000000-0005-0000-0000-0000D8090000}"/>
    <cellStyle name="_Ingresos EEF - Neuror - Hemod_PRESUPUESTO POR CENTROS DE GESTION 2010 (3)_SERVICIOS_FORMATOPresupuesto 2010-TRABAJO.C1" xfId="2521" xr:uid="{00000000-0005-0000-0000-0000D9090000}"/>
    <cellStyle name="_Ingresos EEF - Neuror - Hemod_PRESUPUESTO POR CENTROS DE GESTION 2010 (3)_SERVICIOS_FORMATOPresupuesto 2010-TRABAJO.C1." xfId="2522" xr:uid="{00000000-0005-0000-0000-0000DA090000}"/>
    <cellStyle name="_Ingresos EEF - Neuror - Hemod_PRESUPUESTO POR CENTROS DE GESTION 2010 (3)_SERVICIOS1" xfId="2523" xr:uid="{00000000-0005-0000-0000-0000DB090000}"/>
    <cellStyle name="_Ingresos EEF - Neuror - Hemod_PRESUPUESTO POR CENTROS DE GESTION 2010 (3)_SERVICIOS1_comparativo 2010-2009" xfId="2524" xr:uid="{00000000-0005-0000-0000-0000DC090000}"/>
    <cellStyle name="_Ingresos EEF - Neuror - Hemod_PRESUPUESTO POR CENTROS DE GESTION 2010 (3)_SERVICIOS1_Consolidado 1000 Proyecciones" xfId="2525" xr:uid="{00000000-0005-0000-0000-0000DD090000}"/>
    <cellStyle name="_Ingresos EEF - Neuror - Hemod_PRESUPUESTO POR CENTROS DE GESTION 2010 (3)_SERVICIOS1_DIVERSOS.CONS" xfId="2526" xr:uid="{00000000-0005-0000-0000-0000DE090000}"/>
    <cellStyle name="_Ingresos EEF - Neuror - Hemod_PRESUPUESTO POR CENTROS DE GESTION 2010 (3)_SERVICIOS1_-FORMATOPresupuesto 2010" xfId="2527" xr:uid="{00000000-0005-0000-0000-0000DF090000}"/>
    <cellStyle name="_Ingresos EEF - Neuror - Hemod_PRESUPUESTO POR CENTROS DE GESTION 2010 (3)_SERVICIOS1_FORMATOPresupuesto 2010-TRABAJO" xfId="2528" xr:uid="{00000000-0005-0000-0000-0000E0090000}"/>
    <cellStyle name="_Ingresos EEF - Neuror - Hemod_PRESUPUESTO POR CENTROS DE GESTION 2010 (3)_SERVICIOS1_FORMATOPresupuesto 2010-TRABAJO." xfId="2529" xr:uid="{00000000-0005-0000-0000-0000E1090000}"/>
    <cellStyle name="_Ingresos EEF - Neuror - Hemod_PRESUPUESTO POR CENTROS DE GESTION 2010 (3)_SERVICIOS1_FORMATOPresupuesto 2010-TRABAJO.C1" xfId="2530" xr:uid="{00000000-0005-0000-0000-0000E2090000}"/>
    <cellStyle name="_Ingresos EEF - Neuror - Hemod_PRESUPUESTO POR CENTROS DE GESTION 2010 (3)_SERVICIOS1_FORMATOPresupuesto 2010-TRABAJO.C1." xfId="2531" xr:uid="{00000000-0005-0000-0000-0000E3090000}"/>
    <cellStyle name="_Ingresos EEF - Neuror - Hemod_PRESUPUESTO POR CENTROS DE GESTION 2010 (3)_SUMINISTROS" xfId="2532" xr:uid="{00000000-0005-0000-0000-0000E4090000}"/>
    <cellStyle name="_Ingresos EEF - Neuror - Hemod_PRESUPUESTO POR CENTROS DE GESTION 2010 (3)_SUMINISTROS_comparativo 2010-2009" xfId="2533" xr:uid="{00000000-0005-0000-0000-0000E5090000}"/>
    <cellStyle name="_Ingresos EEF - Neuror - Hemod_PRESUPUESTO POR CENTROS DE GESTION 2010 (3)_SUMINISTROS_Consolidado 1000 Proyecciones" xfId="2534" xr:uid="{00000000-0005-0000-0000-0000E6090000}"/>
    <cellStyle name="_Ingresos EEF - Neuror - Hemod_PRESUPUESTO POR CENTROS DE GESTION 2010 (3)_SUMINISTROS_-FORMATOPresupuesto 2010" xfId="2535" xr:uid="{00000000-0005-0000-0000-0000E7090000}"/>
    <cellStyle name="_Ingresos EEF - Neuror - Hemod_PRESUPUESTO POR CENTROS DE GESTION 2010 (3)_SUMINISTROS_FORMATOPresupuesto 2010-TRABAJO" xfId="2536" xr:uid="{00000000-0005-0000-0000-0000E8090000}"/>
    <cellStyle name="_Ingresos EEF - Neuror - Hemod_PRESUPUESTO POR CENTROS DE GESTION 2010 (3)_SUMINISTROS_FORMATOPresupuesto 2010-TRABAJO." xfId="2537" xr:uid="{00000000-0005-0000-0000-0000E9090000}"/>
    <cellStyle name="_Ingresos EEF - Neuror - Hemod_PRESUPUESTO POR CENTROS DE GESTION 2010 (3)_SUMINISTROS_FORMATOPresupuesto 2010-TRABAJO.C1" xfId="2538" xr:uid="{00000000-0005-0000-0000-0000EA090000}"/>
    <cellStyle name="_Ingresos EEF - Neuror - Hemod_PRESUPUESTO POR CENTROS DE GESTION 2010 (3)_SUMINISTROS_FORMATOPresupuesto 2010-TRABAJO.C1." xfId="2539" xr:uid="{00000000-0005-0000-0000-0000EB090000}"/>
    <cellStyle name="_Ingresos EEF - Neuror - Hemod_PRESUPUESTOTECNOLOGIACAMBIO" xfId="2540" xr:uid="{00000000-0005-0000-0000-0000EC090000}"/>
    <cellStyle name="_Ingresos EEF - Neuror - Hemod_PRESUPUESTOTECNOLOGIAINFORMATICA2010_vers2003" xfId="2541" xr:uid="{00000000-0005-0000-0000-0000ED090000}"/>
    <cellStyle name="_Ingresos EEF - Neuror - Hemod_SUMINISTROS LOGISTICA ULTIMO NOV 20" xfId="2542" xr:uid="{00000000-0005-0000-0000-0000EE090000}"/>
    <cellStyle name="_Ingresos EEF - Neuror - Hemod_TECNOLOGIA E INFORMATICA" xfId="2543" xr:uid="{00000000-0005-0000-0000-0000EF090000}"/>
    <cellStyle name="_Ingresos Marzo 2005 - Evento" xfId="2544" xr:uid="{00000000-0005-0000-0000-0000F0090000}"/>
    <cellStyle name="_Ingresos Marzo 2005 - Evento 2" xfId="2545" xr:uid="{00000000-0005-0000-0000-0000F1090000}"/>
    <cellStyle name="_Ingresos Marzo 2005 - Evento 3" xfId="2546" xr:uid="{00000000-0005-0000-0000-0000F2090000}"/>
    <cellStyle name="_Ingresos Marzo 2005 - Evento 4" xfId="2547" xr:uid="{00000000-0005-0000-0000-0000F3090000}"/>
    <cellStyle name="_Ingresos Marzo 2005 - Evento 5" xfId="2548" xr:uid="{00000000-0005-0000-0000-0000F4090000}"/>
    <cellStyle name="_Ingresos Marzo 2005 - Evento 6" xfId="2549" xr:uid="{00000000-0005-0000-0000-0000F5090000}"/>
    <cellStyle name="_Ingresos Marzo 2005 - Evento 7" xfId="2550" xr:uid="{00000000-0005-0000-0000-0000F6090000}"/>
    <cellStyle name="_Ingresos Marzo 2005 - Evento 8" xfId="2551" xr:uid="{00000000-0005-0000-0000-0000F7090000}"/>
    <cellStyle name="_Ingresos Marzo 2005 - Evento_CENTRO DE COSTOS PLANTILLA" xfId="2552" xr:uid="{00000000-0005-0000-0000-0000F8090000}"/>
    <cellStyle name="_Ingresos Marzo 2005 - Evento_CENTRO DE COSTOS PLANTILLA_comparativo 2010-2009" xfId="2553" xr:uid="{00000000-0005-0000-0000-0000F9090000}"/>
    <cellStyle name="_Ingresos Marzo 2005 - Evento_CENTRO DE COSTOS PLANTILLA_Consolidado 1000 Proyecciones" xfId="2554" xr:uid="{00000000-0005-0000-0000-0000FA090000}"/>
    <cellStyle name="_Ingresos Marzo 2005 - Evento_CENTRO DE COSTOS PLANTILLA_-FORMATOPresupuesto 2010" xfId="2555" xr:uid="{00000000-0005-0000-0000-0000FB090000}"/>
    <cellStyle name="_Ingresos Marzo 2005 - Evento_CENTRO DE COSTOS PLANTILLA_FORMATOPresupuesto 2010-TRABAJO" xfId="2556" xr:uid="{00000000-0005-0000-0000-0000FC090000}"/>
    <cellStyle name="_Ingresos Marzo 2005 - Evento_CENTRO DE COSTOS PLANTILLA_FORMATOPresupuesto 2010-TRABAJO." xfId="2557" xr:uid="{00000000-0005-0000-0000-0000FD090000}"/>
    <cellStyle name="_Ingresos Marzo 2005 - Evento_CENTRO DE COSTOS PLANTILLA_FORMATOPresupuesto 2010-TRABAJO.C1" xfId="2558" xr:uid="{00000000-0005-0000-0000-0000FE090000}"/>
    <cellStyle name="_Ingresos Marzo 2005 - Evento_CENTRO DE COSTOS PLANTILLA_FORMATOPresupuesto 2010-TRABAJO.C1." xfId="2559" xr:uid="{00000000-0005-0000-0000-0000FF090000}"/>
    <cellStyle name="_Ingresos Marzo 2005 - Evento_CENTROS DE GESTION 2010" xfId="2560" xr:uid="{00000000-0005-0000-0000-0000000A0000}"/>
    <cellStyle name="_Ingresos Marzo 2005 - Evento_CENTROS DE GESTION 2010_comparativo 2010-2009" xfId="2561" xr:uid="{00000000-0005-0000-0000-0000010A0000}"/>
    <cellStyle name="_Ingresos Marzo 2005 - Evento_CENTROS DE GESTION 2010_Consolidado 1000 Proyecciones" xfId="2562" xr:uid="{00000000-0005-0000-0000-0000020A0000}"/>
    <cellStyle name="_Ingresos Marzo 2005 - Evento_CENTROS DE GESTION 2010_Construccion Ingresos 2010" xfId="2563" xr:uid="{00000000-0005-0000-0000-0000030A0000}"/>
    <cellStyle name="_Ingresos Marzo 2005 - Evento_CENTROS DE GESTION 2010_Copia de seguridad de Construccion Ingresos 2010" xfId="2564" xr:uid="{00000000-0005-0000-0000-0000040A0000}"/>
    <cellStyle name="_Ingresos Marzo 2005 - Evento_CENTROS DE GESTION 2010_-FORMATOPresupuesto 2010" xfId="2565" xr:uid="{00000000-0005-0000-0000-0000050A0000}"/>
    <cellStyle name="_Ingresos Marzo 2005 - Evento_CENTROS DE GESTION 2010_FORMATOPresupuesto 2010-TRABAJO" xfId="2566" xr:uid="{00000000-0005-0000-0000-0000060A0000}"/>
    <cellStyle name="_Ingresos Marzo 2005 - Evento_CENTROS DE GESTION 2010_FORMATOPresupuesto 2010-TRABAJO." xfId="2567" xr:uid="{00000000-0005-0000-0000-0000070A0000}"/>
    <cellStyle name="_Ingresos Marzo 2005 - Evento_CENTROS DE GESTION 2010_FORMATOPresupuesto 2010-TRABAJO.C1" xfId="2568" xr:uid="{00000000-0005-0000-0000-0000080A0000}"/>
    <cellStyle name="_Ingresos Marzo 2005 - Evento_CENTROS DE GESTION 2010_FORMATOPresupuesto 2010-TRABAJO.C1." xfId="2569" xr:uid="{00000000-0005-0000-0000-0000090A0000}"/>
    <cellStyle name="_Ingresos Marzo 2005 - Evento_Consolidado Ingresos" xfId="2570" xr:uid="{00000000-0005-0000-0000-00000A0A0000}"/>
    <cellStyle name="_Ingresos Marzo 2005 - Evento_Construccion Ingresos 2010" xfId="2571" xr:uid="{00000000-0005-0000-0000-00000B0A0000}"/>
    <cellStyle name="_Ingresos Marzo 2005 - Evento_Copia de PRESUPUESTOSISTEMAS2009formato2003" xfId="2572" xr:uid="{00000000-0005-0000-0000-00000C0A0000}"/>
    <cellStyle name="_Ingresos Marzo 2005 - Evento_Copia de seguridad de Construccion Ingresos 2010" xfId="2573" xr:uid="{00000000-0005-0000-0000-00000D0A0000}"/>
    <cellStyle name="_Ingresos Marzo 2005 - Evento_COSTO DE MEDICAMENTOS " xfId="2574" xr:uid="{00000000-0005-0000-0000-00000E0A0000}"/>
    <cellStyle name="_Ingresos Marzo 2005 - Evento_COSTO DE MEDICAMENTOS." xfId="2575" xr:uid="{00000000-0005-0000-0000-00000F0A0000}"/>
    <cellStyle name="_Ingresos Marzo 2005 - Evento_EJECUCION PRESUPUESTAL A SEPTIEMBRE  09 EJERCICIO AJUSTE INGRESOS" xfId="2576" xr:uid="{00000000-0005-0000-0000-0000100A0000}"/>
    <cellStyle name="_Ingresos Marzo 2005 - Evento_EJECUCION PRESUPUESTAL A SEPTIEMBRE  09 EJERCICIO AJUSTE INGRESOS_comparativo 2010-2009" xfId="2577" xr:uid="{00000000-0005-0000-0000-0000110A0000}"/>
    <cellStyle name="_Ingresos Marzo 2005 - Evento_EJECUCION PRESUPUESTAL A SEPTIEMBRE  09 EJERCICIO AJUSTE INGRESOS_Consolidado 1000 Proyecciones" xfId="2578" xr:uid="{00000000-0005-0000-0000-0000120A0000}"/>
    <cellStyle name="_Ingresos Marzo 2005 - Evento_EJECUCION PRESUPUESTAL A SEPTIEMBRE  09 EJERCICIO AJUSTE INGRESOS_Construccion Ingresos 2010" xfId="2579" xr:uid="{00000000-0005-0000-0000-0000130A0000}"/>
    <cellStyle name="_Ingresos Marzo 2005 - Evento_EJECUCION PRESUPUESTAL A SEPTIEMBRE  09 EJERCICIO AJUSTE INGRESOS_Copia de seguridad de Construccion Ingresos 2010" xfId="2580" xr:uid="{00000000-0005-0000-0000-0000140A0000}"/>
    <cellStyle name="_Ingresos Marzo 2005 - Evento_EJECUCION PRESUPUESTAL A SEPTIEMBRE  09 EJERCICIO AJUSTE INGRESOS_-FORMATOPresupuesto 2010" xfId="2581" xr:uid="{00000000-0005-0000-0000-0000150A0000}"/>
    <cellStyle name="_Ingresos Marzo 2005 - Evento_EJECUCION PRESUPUESTAL A SEPTIEMBRE  09 EJERCICIO AJUSTE INGRESOS_FORMATOPresupuesto 2010-TRABAJO" xfId="2582" xr:uid="{00000000-0005-0000-0000-0000160A0000}"/>
    <cellStyle name="_Ingresos Marzo 2005 - Evento_EJECUCION PRESUPUESTAL A SEPTIEMBRE  09 EJERCICIO AJUSTE INGRESOS_FORMATOPresupuesto 2010-TRABAJO." xfId="2583" xr:uid="{00000000-0005-0000-0000-0000170A0000}"/>
    <cellStyle name="_Ingresos Marzo 2005 - Evento_EJECUCION PRESUPUESTAL A SEPTIEMBRE  09 EJERCICIO AJUSTE INGRESOS_FORMATOPresupuesto 2010-TRABAJO.C1" xfId="2584" xr:uid="{00000000-0005-0000-0000-0000180A0000}"/>
    <cellStyle name="_Ingresos Marzo 2005 - Evento_EJECUCION PRESUPUESTAL A SEPTIEMBRE  09 EJERCICIO AJUSTE INGRESOS_FORMATOPresupuesto 2010-TRABAJO.C1." xfId="2585" xr:uid="{00000000-0005-0000-0000-0000190A0000}"/>
    <cellStyle name="_Ingresos Marzo 2005 - Evento_Ingresos Presupuesto 2008" xfId="2586" xr:uid="{00000000-0005-0000-0000-00001A0A0000}"/>
    <cellStyle name="_Ingresos Marzo 2005 - Evento_mantenimiento infraestrucruta" xfId="2587" xr:uid="{00000000-0005-0000-0000-00001B0A0000}"/>
    <cellStyle name="_Ingresos Marzo 2005 - Evento_mantenimiento infraestrucruta (2)" xfId="2588" xr:uid="{00000000-0005-0000-0000-00001C0A0000}"/>
    <cellStyle name="_Ingresos Marzo 2005 - Evento_mantenimiento infraestrucruta (2)_CENTRO DE COSTOS PLANTILLA" xfId="2589" xr:uid="{00000000-0005-0000-0000-00001D0A0000}"/>
    <cellStyle name="_Ingresos Marzo 2005 - Evento_mantenimiento infraestrucruta (2)_CENTRO DE COSTOS PLANTILLA_comparativo 2010-2009" xfId="2590" xr:uid="{00000000-0005-0000-0000-00001E0A0000}"/>
    <cellStyle name="_Ingresos Marzo 2005 - Evento_mantenimiento infraestrucruta (2)_CENTRO DE COSTOS PLANTILLA_Consolidado 1000 Proyecciones" xfId="2591" xr:uid="{00000000-0005-0000-0000-00001F0A0000}"/>
    <cellStyle name="_Ingresos Marzo 2005 - Evento_mantenimiento infraestrucruta (2)_CENTRO DE COSTOS PLANTILLA_DIVERSOS.CONS" xfId="2592" xr:uid="{00000000-0005-0000-0000-0000200A0000}"/>
    <cellStyle name="_Ingresos Marzo 2005 - Evento_mantenimiento infraestrucruta (2)_CENTRO DE COSTOS PLANTILLA_-FORMATOPresupuesto 2010" xfId="2593" xr:uid="{00000000-0005-0000-0000-0000210A0000}"/>
    <cellStyle name="_Ingresos Marzo 2005 - Evento_mantenimiento infraestrucruta (2)_CENTRO DE COSTOS PLANTILLA_FORMATOPresupuesto 2010-TRABAJO" xfId="2594" xr:uid="{00000000-0005-0000-0000-0000220A0000}"/>
    <cellStyle name="_Ingresos Marzo 2005 - Evento_mantenimiento infraestrucruta (2)_CENTRO DE COSTOS PLANTILLA_FORMATOPresupuesto 2010-TRABAJO." xfId="2595" xr:uid="{00000000-0005-0000-0000-0000230A0000}"/>
    <cellStyle name="_Ingresos Marzo 2005 - Evento_mantenimiento infraestrucruta (2)_CENTRO DE COSTOS PLANTILLA_FORMATOPresupuesto 2010-TRABAJO.C1" xfId="2596" xr:uid="{00000000-0005-0000-0000-0000240A0000}"/>
    <cellStyle name="_Ingresos Marzo 2005 - Evento_mantenimiento infraestrucruta (2)_CENTRO DE COSTOS PLANTILLA_FORMATOPresupuesto 2010-TRABAJO.C1." xfId="2597" xr:uid="{00000000-0005-0000-0000-0000250A0000}"/>
    <cellStyle name="_Ingresos Marzo 2005 - Evento_mantenimiento infraestrucruta (2)_comparativo 2010-2009" xfId="2598" xr:uid="{00000000-0005-0000-0000-0000260A0000}"/>
    <cellStyle name="_Ingresos Marzo 2005 - Evento_mantenimiento infraestrucruta (2)_Consolidado 1000 Proyecciones" xfId="2599" xr:uid="{00000000-0005-0000-0000-0000270A0000}"/>
    <cellStyle name="_Ingresos Marzo 2005 - Evento_mantenimiento infraestrucruta (2)_DIVERSOS.CONS" xfId="2600" xr:uid="{00000000-0005-0000-0000-0000280A0000}"/>
    <cellStyle name="_Ingresos Marzo 2005 - Evento_mantenimiento infraestrucruta (2)_-FORMATOPresupuesto 2010" xfId="2601" xr:uid="{00000000-0005-0000-0000-0000290A0000}"/>
    <cellStyle name="_Ingresos Marzo 2005 - Evento_mantenimiento infraestrucruta (2)_FORMATOPresupuesto 2010-TRABAJO" xfId="2602" xr:uid="{00000000-0005-0000-0000-00002A0A0000}"/>
    <cellStyle name="_Ingresos Marzo 2005 - Evento_mantenimiento infraestrucruta (2)_FORMATOPresupuesto 2010-TRABAJO." xfId="2603" xr:uid="{00000000-0005-0000-0000-00002B0A0000}"/>
    <cellStyle name="_Ingresos Marzo 2005 - Evento_mantenimiento infraestrucruta (2)_FORMATOPresupuesto 2010-TRABAJO.C1" xfId="2604" xr:uid="{00000000-0005-0000-0000-00002C0A0000}"/>
    <cellStyle name="_Ingresos Marzo 2005 - Evento_mantenimiento infraestrucruta (2)_FORMATOPresupuesto 2010-TRABAJO.C1." xfId="2605" xr:uid="{00000000-0005-0000-0000-00002D0A0000}"/>
    <cellStyle name="_Ingresos Marzo 2005 - Evento_mantenimiento infraestrucruta (2)_PRESUPUESTO 2010 06-11-09 430 p m " xfId="2606" xr:uid="{00000000-0005-0000-0000-00002E0A0000}"/>
    <cellStyle name="_Ingresos Marzo 2005 - Evento_mantenimiento infraestrucruta (2)_PRESUPUESTO 2010 06-11-09 430 p m _comparativo 2010-2009" xfId="2607" xr:uid="{00000000-0005-0000-0000-00002F0A0000}"/>
    <cellStyle name="_Ingresos Marzo 2005 - Evento_mantenimiento infraestrucruta (2)_PRESUPUESTO 2010 06-11-09 430 p m _Consolidado 1000 Proyecciones" xfId="2608" xr:uid="{00000000-0005-0000-0000-0000300A0000}"/>
    <cellStyle name="_Ingresos Marzo 2005 - Evento_mantenimiento infraestrucruta (2)_PRESUPUESTO 2010 06-11-09 430 p m _DIVERSOS.CONS" xfId="2609" xr:uid="{00000000-0005-0000-0000-0000310A0000}"/>
    <cellStyle name="_Ingresos Marzo 2005 - Evento_mantenimiento infraestrucruta (2)_PRESUPUESTO 2010 06-11-09 430 p m _-FORMATOPresupuesto 2010" xfId="2610" xr:uid="{00000000-0005-0000-0000-0000320A0000}"/>
    <cellStyle name="_Ingresos Marzo 2005 - Evento_mantenimiento infraestrucruta (2)_PRESUPUESTO 2010 06-11-09 430 p m _FORMATOPresupuesto 2010-TRABAJO" xfId="2611" xr:uid="{00000000-0005-0000-0000-0000330A0000}"/>
    <cellStyle name="_Ingresos Marzo 2005 - Evento_mantenimiento infraestrucruta (2)_PRESUPUESTO 2010 06-11-09 430 p m _FORMATOPresupuesto 2010-TRABAJO." xfId="2612" xr:uid="{00000000-0005-0000-0000-0000340A0000}"/>
    <cellStyle name="_Ingresos Marzo 2005 - Evento_mantenimiento infraestrucruta (2)_PRESUPUESTO 2010 06-11-09 430 p m _FORMATOPresupuesto 2010-TRABAJO.C1" xfId="2613" xr:uid="{00000000-0005-0000-0000-0000350A0000}"/>
    <cellStyle name="_Ingresos Marzo 2005 - Evento_mantenimiento infraestrucruta (2)_PRESUPUESTO 2010 06-11-09 430 p m _FORMATOPresupuesto 2010-TRABAJO.C1." xfId="2614" xr:uid="{00000000-0005-0000-0000-0000360A0000}"/>
    <cellStyle name="_Ingresos Marzo 2005 - Evento_mantenimiento infraestrucruta (2)_presupuesto de mantenimiento" xfId="2615" xr:uid="{00000000-0005-0000-0000-0000370A0000}"/>
    <cellStyle name="_Ingresos Marzo 2005 - Evento_mantenimiento infraestrucruta (2)_presupuesto de mantenimiento_comparativo 2010-2009" xfId="2616" xr:uid="{00000000-0005-0000-0000-0000380A0000}"/>
    <cellStyle name="_Ingresos Marzo 2005 - Evento_mantenimiento infraestrucruta (2)_presupuesto de mantenimiento_Consolidado 1000 Proyecciones" xfId="2617" xr:uid="{00000000-0005-0000-0000-0000390A0000}"/>
    <cellStyle name="_Ingresos Marzo 2005 - Evento_mantenimiento infraestrucruta (2)_presupuesto de mantenimiento_DIVERSOS.CONS" xfId="2618" xr:uid="{00000000-0005-0000-0000-00003A0A0000}"/>
    <cellStyle name="_Ingresos Marzo 2005 - Evento_mantenimiento infraestrucruta (2)_presupuesto de mantenimiento_-FORMATOPresupuesto 2010" xfId="2619" xr:uid="{00000000-0005-0000-0000-00003B0A0000}"/>
    <cellStyle name="_Ingresos Marzo 2005 - Evento_mantenimiento infraestrucruta (2)_presupuesto de mantenimiento_FORMATOPresupuesto 2010-TRABAJO" xfId="2620" xr:uid="{00000000-0005-0000-0000-00003C0A0000}"/>
    <cellStyle name="_Ingresos Marzo 2005 - Evento_mantenimiento infraestrucruta (2)_presupuesto de mantenimiento_FORMATOPresupuesto 2010-TRABAJO." xfId="2621" xr:uid="{00000000-0005-0000-0000-00003D0A0000}"/>
    <cellStyle name="_Ingresos Marzo 2005 - Evento_mantenimiento infraestrucruta (2)_presupuesto de mantenimiento_FORMATOPresupuesto 2010-TRABAJO.C1" xfId="2622" xr:uid="{00000000-0005-0000-0000-00003E0A0000}"/>
    <cellStyle name="_Ingresos Marzo 2005 - Evento_mantenimiento infraestrucruta (2)_presupuesto de mantenimiento_FORMATOPresupuesto 2010-TRABAJO.C1." xfId="2623" xr:uid="{00000000-0005-0000-0000-00003F0A0000}"/>
    <cellStyle name="_Ingresos Marzo 2005 - Evento_mantenimiento infraestrucruta (2)_servicio" xfId="2624" xr:uid="{00000000-0005-0000-0000-0000400A0000}"/>
    <cellStyle name="_Ingresos Marzo 2005 - Evento_mantenimiento infraestrucruta (2)_servicio_comparativo 2010-2009" xfId="2625" xr:uid="{00000000-0005-0000-0000-0000410A0000}"/>
    <cellStyle name="_Ingresos Marzo 2005 - Evento_mantenimiento infraestrucruta (2)_servicio_Consolidado 1000 Proyecciones" xfId="2626" xr:uid="{00000000-0005-0000-0000-0000420A0000}"/>
    <cellStyle name="_Ingresos Marzo 2005 - Evento_mantenimiento infraestrucruta (2)_servicio_DIVERSOS.CONS" xfId="2627" xr:uid="{00000000-0005-0000-0000-0000430A0000}"/>
    <cellStyle name="_Ingresos Marzo 2005 - Evento_mantenimiento infraestrucruta (2)_servicio_-FORMATOPresupuesto 2010" xfId="2628" xr:uid="{00000000-0005-0000-0000-0000440A0000}"/>
    <cellStyle name="_Ingresos Marzo 2005 - Evento_mantenimiento infraestrucruta (2)_servicio_FORMATOPresupuesto 2010-TRABAJO" xfId="2629" xr:uid="{00000000-0005-0000-0000-0000450A0000}"/>
    <cellStyle name="_Ingresos Marzo 2005 - Evento_mantenimiento infraestrucruta (2)_servicio_FORMATOPresupuesto 2010-TRABAJO." xfId="2630" xr:uid="{00000000-0005-0000-0000-0000460A0000}"/>
    <cellStyle name="_Ingresos Marzo 2005 - Evento_mantenimiento infraestrucruta (2)_servicio_FORMATOPresupuesto 2010-TRABAJO.C1" xfId="2631" xr:uid="{00000000-0005-0000-0000-0000470A0000}"/>
    <cellStyle name="_Ingresos Marzo 2005 - Evento_mantenimiento infraestrucruta (2)_servicio_FORMATOPresupuesto 2010-TRABAJO.C1." xfId="2632" xr:uid="{00000000-0005-0000-0000-0000480A0000}"/>
    <cellStyle name="_Ingresos Marzo 2005 - Evento_mantenimiento infraestrucruta (2)_SERVICIOS" xfId="2633" xr:uid="{00000000-0005-0000-0000-0000490A0000}"/>
    <cellStyle name="_Ingresos Marzo 2005 - Evento_mantenimiento infraestrucruta (2)_SERVICIOS." xfId="2634" xr:uid="{00000000-0005-0000-0000-00004A0A0000}"/>
    <cellStyle name="_Ingresos Marzo 2005 - Evento_mantenimiento infraestrucruta (2)_SERVICIOS._comparativo 2010-2009" xfId="2635" xr:uid="{00000000-0005-0000-0000-00004B0A0000}"/>
    <cellStyle name="_Ingresos Marzo 2005 - Evento_mantenimiento infraestrucruta (2)_SERVICIOS._Consolidado 1000 Proyecciones" xfId="2636" xr:uid="{00000000-0005-0000-0000-00004C0A0000}"/>
    <cellStyle name="_Ingresos Marzo 2005 - Evento_mantenimiento infraestrucruta (2)_SERVICIOS._DIVERSOS.CONS" xfId="2637" xr:uid="{00000000-0005-0000-0000-00004D0A0000}"/>
    <cellStyle name="_Ingresos Marzo 2005 - Evento_mantenimiento infraestrucruta (2)_SERVICIOS._-FORMATOPresupuesto 2010" xfId="2638" xr:uid="{00000000-0005-0000-0000-00004E0A0000}"/>
    <cellStyle name="_Ingresos Marzo 2005 - Evento_mantenimiento infraestrucruta (2)_SERVICIOS._FORMATOPresupuesto 2010-TRABAJO" xfId="2639" xr:uid="{00000000-0005-0000-0000-00004F0A0000}"/>
    <cellStyle name="_Ingresos Marzo 2005 - Evento_mantenimiento infraestrucruta (2)_SERVICIOS._FORMATOPresupuesto 2010-TRABAJO." xfId="2640" xr:uid="{00000000-0005-0000-0000-0000500A0000}"/>
    <cellStyle name="_Ingresos Marzo 2005 - Evento_mantenimiento infraestrucruta (2)_SERVICIOS._FORMATOPresupuesto 2010-TRABAJO.C1" xfId="2641" xr:uid="{00000000-0005-0000-0000-0000510A0000}"/>
    <cellStyle name="_Ingresos Marzo 2005 - Evento_mantenimiento infraestrucruta (2)_SERVICIOS._FORMATOPresupuesto 2010-TRABAJO.C1." xfId="2642" xr:uid="{00000000-0005-0000-0000-0000520A0000}"/>
    <cellStyle name="_Ingresos Marzo 2005 - Evento_mantenimiento infraestrucruta (2)_SERVICIOS_comparativo 2010-2009" xfId="2643" xr:uid="{00000000-0005-0000-0000-0000530A0000}"/>
    <cellStyle name="_Ingresos Marzo 2005 - Evento_mantenimiento infraestrucruta (2)_SERVICIOS_Consolidado 1000 Proyecciones" xfId="2644" xr:uid="{00000000-0005-0000-0000-0000540A0000}"/>
    <cellStyle name="_Ingresos Marzo 2005 - Evento_mantenimiento infraestrucruta (2)_SERVICIOS_DIVERSOS.CONS" xfId="2645" xr:uid="{00000000-0005-0000-0000-0000550A0000}"/>
    <cellStyle name="_Ingresos Marzo 2005 - Evento_mantenimiento infraestrucruta (2)_SERVICIOS_-FORMATOPresupuesto 2010" xfId="2646" xr:uid="{00000000-0005-0000-0000-0000560A0000}"/>
    <cellStyle name="_Ingresos Marzo 2005 - Evento_mantenimiento infraestrucruta (2)_SERVICIOS_FORMATOPresupuesto 2010-TRABAJO" xfId="2647" xr:uid="{00000000-0005-0000-0000-0000570A0000}"/>
    <cellStyle name="_Ingresos Marzo 2005 - Evento_mantenimiento infraestrucruta (2)_SERVICIOS_FORMATOPresupuesto 2010-TRABAJO." xfId="2648" xr:uid="{00000000-0005-0000-0000-0000580A0000}"/>
    <cellStyle name="_Ingresos Marzo 2005 - Evento_mantenimiento infraestrucruta (2)_SERVICIOS_FORMATOPresupuesto 2010-TRABAJO.C1" xfId="2649" xr:uid="{00000000-0005-0000-0000-0000590A0000}"/>
    <cellStyle name="_Ingresos Marzo 2005 - Evento_mantenimiento infraestrucruta (2)_SERVICIOS_FORMATOPresupuesto 2010-TRABAJO.C1." xfId="2650" xr:uid="{00000000-0005-0000-0000-00005A0A0000}"/>
    <cellStyle name="_Ingresos Marzo 2005 - Evento_mantenimiento infraestrucruta (2)_SERVICIOS1" xfId="2651" xr:uid="{00000000-0005-0000-0000-00005B0A0000}"/>
    <cellStyle name="_Ingresos Marzo 2005 - Evento_mantenimiento infraestrucruta (2)_SERVICIOS1_comparativo 2010-2009" xfId="2652" xr:uid="{00000000-0005-0000-0000-00005C0A0000}"/>
    <cellStyle name="_Ingresos Marzo 2005 - Evento_mantenimiento infraestrucruta (2)_SERVICIOS1_Consolidado 1000 Proyecciones" xfId="2653" xr:uid="{00000000-0005-0000-0000-00005D0A0000}"/>
    <cellStyle name="_Ingresos Marzo 2005 - Evento_mantenimiento infraestrucruta (2)_SERVICIOS1_DIVERSOS.CONS" xfId="2654" xr:uid="{00000000-0005-0000-0000-00005E0A0000}"/>
    <cellStyle name="_Ingresos Marzo 2005 - Evento_mantenimiento infraestrucruta (2)_SERVICIOS1_-FORMATOPresupuesto 2010" xfId="2655" xr:uid="{00000000-0005-0000-0000-00005F0A0000}"/>
    <cellStyle name="_Ingresos Marzo 2005 - Evento_mantenimiento infraestrucruta (2)_SERVICIOS1_FORMATOPresupuesto 2010-TRABAJO" xfId="2656" xr:uid="{00000000-0005-0000-0000-0000600A0000}"/>
    <cellStyle name="_Ingresos Marzo 2005 - Evento_mantenimiento infraestrucruta (2)_SERVICIOS1_FORMATOPresupuesto 2010-TRABAJO." xfId="2657" xr:uid="{00000000-0005-0000-0000-0000610A0000}"/>
    <cellStyle name="_Ingresos Marzo 2005 - Evento_mantenimiento infraestrucruta (2)_SERVICIOS1_FORMATOPresupuesto 2010-TRABAJO.C1" xfId="2658" xr:uid="{00000000-0005-0000-0000-0000620A0000}"/>
    <cellStyle name="_Ingresos Marzo 2005 - Evento_mantenimiento infraestrucruta (2)_SERVICIOS1_FORMATOPresupuesto 2010-TRABAJO.C1." xfId="2659" xr:uid="{00000000-0005-0000-0000-0000630A0000}"/>
    <cellStyle name="_Ingresos Marzo 2005 - Evento_mantenimiento infraestrucruta (2)_SUMINISTROS" xfId="2660" xr:uid="{00000000-0005-0000-0000-0000640A0000}"/>
    <cellStyle name="_Ingresos Marzo 2005 - Evento_mantenimiento infraestrucruta (2)_SUMINISTROS_comparativo 2010-2009" xfId="2661" xr:uid="{00000000-0005-0000-0000-0000650A0000}"/>
    <cellStyle name="_Ingresos Marzo 2005 - Evento_mantenimiento infraestrucruta (2)_SUMINISTROS_Consolidado 1000 Proyecciones" xfId="2662" xr:uid="{00000000-0005-0000-0000-0000660A0000}"/>
    <cellStyle name="_Ingresos Marzo 2005 - Evento_mantenimiento infraestrucruta (2)_SUMINISTROS_-FORMATOPresupuesto 2010" xfId="2663" xr:uid="{00000000-0005-0000-0000-0000670A0000}"/>
    <cellStyle name="_Ingresos Marzo 2005 - Evento_mantenimiento infraestrucruta (2)_SUMINISTROS_FORMATOPresupuesto 2010-TRABAJO" xfId="2664" xr:uid="{00000000-0005-0000-0000-0000680A0000}"/>
    <cellStyle name="_Ingresos Marzo 2005 - Evento_mantenimiento infraestrucruta (2)_SUMINISTROS_FORMATOPresupuesto 2010-TRABAJO." xfId="2665" xr:uid="{00000000-0005-0000-0000-0000690A0000}"/>
    <cellStyle name="_Ingresos Marzo 2005 - Evento_mantenimiento infraestrucruta (2)_SUMINISTROS_FORMATOPresupuesto 2010-TRABAJO.C1" xfId="2666" xr:uid="{00000000-0005-0000-0000-00006A0A0000}"/>
    <cellStyle name="_Ingresos Marzo 2005 - Evento_mantenimiento infraestrucruta (2)_SUMINISTROS_FORMATOPresupuesto 2010-TRABAJO.C1." xfId="2667" xr:uid="{00000000-0005-0000-0000-00006B0A0000}"/>
    <cellStyle name="_Ingresos Marzo 2005 - Evento_mantenimiento infraestrucruta_CENTRO DE COSTOS PLANTILLA" xfId="2668" xr:uid="{00000000-0005-0000-0000-00006C0A0000}"/>
    <cellStyle name="_Ingresos Marzo 2005 - Evento_mantenimiento infraestrucruta_CENTRO DE COSTOS PLANTILLA_comparativo 2010-2009" xfId="2669" xr:uid="{00000000-0005-0000-0000-00006D0A0000}"/>
    <cellStyle name="_Ingresos Marzo 2005 - Evento_mantenimiento infraestrucruta_CENTRO DE COSTOS PLANTILLA_Consolidado 1000 Proyecciones" xfId="2670" xr:uid="{00000000-0005-0000-0000-00006E0A0000}"/>
    <cellStyle name="_Ingresos Marzo 2005 - Evento_mantenimiento infraestrucruta_CENTRO DE COSTOS PLANTILLA_DIVERSOS.CONS" xfId="2671" xr:uid="{00000000-0005-0000-0000-00006F0A0000}"/>
    <cellStyle name="_Ingresos Marzo 2005 - Evento_mantenimiento infraestrucruta_CENTRO DE COSTOS PLANTILLA_-FORMATOPresupuesto 2010" xfId="2672" xr:uid="{00000000-0005-0000-0000-0000700A0000}"/>
    <cellStyle name="_Ingresos Marzo 2005 - Evento_mantenimiento infraestrucruta_CENTRO DE COSTOS PLANTILLA_FORMATOPresupuesto 2010-TRABAJO" xfId="2673" xr:uid="{00000000-0005-0000-0000-0000710A0000}"/>
    <cellStyle name="_Ingresos Marzo 2005 - Evento_mantenimiento infraestrucruta_CENTRO DE COSTOS PLANTILLA_FORMATOPresupuesto 2010-TRABAJO." xfId="2674" xr:uid="{00000000-0005-0000-0000-0000720A0000}"/>
    <cellStyle name="_Ingresos Marzo 2005 - Evento_mantenimiento infraestrucruta_CENTRO DE COSTOS PLANTILLA_FORMATOPresupuesto 2010-TRABAJO.C1" xfId="2675" xr:uid="{00000000-0005-0000-0000-0000730A0000}"/>
    <cellStyle name="_Ingresos Marzo 2005 - Evento_mantenimiento infraestrucruta_CENTRO DE COSTOS PLANTILLA_FORMATOPresupuesto 2010-TRABAJO.C1." xfId="2676" xr:uid="{00000000-0005-0000-0000-0000740A0000}"/>
    <cellStyle name="_Ingresos Marzo 2005 - Evento_mantenimiento infraestrucruta_comparativo 2010-2009" xfId="2677" xr:uid="{00000000-0005-0000-0000-0000750A0000}"/>
    <cellStyle name="_Ingresos Marzo 2005 - Evento_mantenimiento infraestrucruta_Consolidado 1000 Proyecciones" xfId="2678" xr:uid="{00000000-0005-0000-0000-0000760A0000}"/>
    <cellStyle name="_Ingresos Marzo 2005 - Evento_mantenimiento infraestrucruta_DIVERSOS.CONS" xfId="2679" xr:uid="{00000000-0005-0000-0000-0000770A0000}"/>
    <cellStyle name="_Ingresos Marzo 2005 - Evento_mantenimiento infraestrucruta_-FORMATOPresupuesto 2010" xfId="2680" xr:uid="{00000000-0005-0000-0000-0000780A0000}"/>
    <cellStyle name="_Ingresos Marzo 2005 - Evento_mantenimiento infraestrucruta_FORMATOPresupuesto 2010-TRABAJO" xfId="2681" xr:uid="{00000000-0005-0000-0000-0000790A0000}"/>
    <cellStyle name="_Ingresos Marzo 2005 - Evento_mantenimiento infraestrucruta_FORMATOPresupuesto 2010-TRABAJO." xfId="2682" xr:uid="{00000000-0005-0000-0000-00007A0A0000}"/>
    <cellStyle name="_Ingresos Marzo 2005 - Evento_mantenimiento infraestrucruta_FORMATOPresupuesto 2010-TRABAJO.C1" xfId="2683" xr:uid="{00000000-0005-0000-0000-00007B0A0000}"/>
    <cellStyle name="_Ingresos Marzo 2005 - Evento_mantenimiento infraestrucruta_FORMATOPresupuesto 2010-TRABAJO.C1." xfId="2684" xr:uid="{00000000-0005-0000-0000-00007C0A0000}"/>
    <cellStyle name="_Ingresos Marzo 2005 - Evento_mantenimiento infraestrucruta_PRESUPUESTO 2010 06-11-09 430 p m " xfId="2685" xr:uid="{00000000-0005-0000-0000-00007D0A0000}"/>
    <cellStyle name="_Ingresos Marzo 2005 - Evento_mantenimiento infraestrucruta_PRESUPUESTO 2010 06-11-09 430 p m _comparativo 2010-2009" xfId="2686" xr:uid="{00000000-0005-0000-0000-00007E0A0000}"/>
    <cellStyle name="_Ingresos Marzo 2005 - Evento_mantenimiento infraestrucruta_PRESUPUESTO 2010 06-11-09 430 p m _Consolidado 1000 Proyecciones" xfId="2687" xr:uid="{00000000-0005-0000-0000-00007F0A0000}"/>
    <cellStyle name="_Ingresos Marzo 2005 - Evento_mantenimiento infraestrucruta_PRESUPUESTO 2010 06-11-09 430 p m _DIVERSOS.CONS" xfId="2688" xr:uid="{00000000-0005-0000-0000-0000800A0000}"/>
    <cellStyle name="_Ingresos Marzo 2005 - Evento_mantenimiento infraestrucruta_PRESUPUESTO 2010 06-11-09 430 p m _-FORMATOPresupuesto 2010" xfId="2689" xr:uid="{00000000-0005-0000-0000-0000810A0000}"/>
    <cellStyle name="_Ingresos Marzo 2005 - Evento_mantenimiento infraestrucruta_PRESUPUESTO 2010 06-11-09 430 p m _FORMATOPresupuesto 2010-TRABAJO" xfId="2690" xr:uid="{00000000-0005-0000-0000-0000820A0000}"/>
    <cellStyle name="_Ingresos Marzo 2005 - Evento_mantenimiento infraestrucruta_PRESUPUESTO 2010 06-11-09 430 p m _FORMATOPresupuesto 2010-TRABAJO." xfId="2691" xr:uid="{00000000-0005-0000-0000-0000830A0000}"/>
    <cellStyle name="_Ingresos Marzo 2005 - Evento_mantenimiento infraestrucruta_PRESUPUESTO 2010 06-11-09 430 p m _FORMATOPresupuesto 2010-TRABAJO.C1" xfId="2692" xr:uid="{00000000-0005-0000-0000-0000840A0000}"/>
    <cellStyle name="_Ingresos Marzo 2005 - Evento_mantenimiento infraestrucruta_PRESUPUESTO 2010 06-11-09 430 p m _FORMATOPresupuesto 2010-TRABAJO.C1." xfId="2693" xr:uid="{00000000-0005-0000-0000-0000850A0000}"/>
    <cellStyle name="_Ingresos Marzo 2005 - Evento_mantenimiento infraestrucruta_presupuesto de mantenimiento" xfId="2694" xr:uid="{00000000-0005-0000-0000-0000860A0000}"/>
    <cellStyle name="_Ingresos Marzo 2005 - Evento_mantenimiento infraestrucruta_presupuesto de mantenimiento_comparativo 2010-2009" xfId="2695" xr:uid="{00000000-0005-0000-0000-0000870A0000}"/>
    <cellStyle name="_Ingresos Marzo 2005 - Evento_mantenimiento infraestrucruta_presupuesto de mantenimiento_Consolidado 1000 Proyecciones" xfId="2696" xr:uid="{00000000-0005-0000-0000-0000880A0000}"/>
    <cellStyle name="_Ingresos Marzo 2005 - Evento_mantenimiento infraestrucruta_presupuesto de mantenimiento_DIVERSOS.CONS" xfId="2697" xr:uid="{00000000-0005-0000-0000-0000890A0000}"/>
    <cellStyle name="_Ingresos Marzo 2005 - Evento_mantenimiento infraestrucruta_presupuesto de mantenimiento_-FORMATOPresupuesto 2010" xfId="2698" xr:uid="{00000000-0005-0000-0000-00008A0A0000}"/>
    <cellStyle name="_Ingresos Marzo 2005 - Evento_mantenimiento infraestrucruta_presupuesto de mantenimiento_FORMATOPresupuesto 2010-TRABAJO" xfId="2699" xr:uid="{00000000-0005-0000-0000-00008B0A0000}"/>
    <cellStyle name="_Ingresos Marzo 2005 - Evento_mantenimiento infraestrucruta_presupuesto de mantenimiento_FORMATOPresupuesto 2010-TRABAJO." xfId="2700" xr:uid="{00000000-0005-0000-0000-00008C0A0000}"/>
    <cellStyle name="_Ingresos Marzo 2005 - Evento_mantenimiento infraestrucruta_presupuesto de mantenimiento_FORMATOPresupuesto 2010-TRABAJO.C1" xfId="2701" xr:uid="{00000000-0005-0000-0000-00008D0A0000}"/>
    <cellStyle name="_Ingresos Marzo 2005 - Evento_mantenimiento infraestrucruta_presupuesto de mantenimiento_FORMATOPresupuesto 2010-TRABAJO.C1." xfId="2702" xr:uid="{00000000-0005-0000-0000-00008E0A0000}"/>
    <cellStyle name="_Ingresos Marzo 2005 - Evento_mantenimiento infraestrucruta_servicio" xfId="2703" xr:uid="{00000000-0005-0000-0000-00008F0A0000}"/>
    <cellStyle name="_Ingresos Marzo 2005 - Evento_mantenimiento infraestrucruta_servicio_comparativo 2010-2009" xfId="2704" xr:uid="{00000000-0005-0000-0000-0000900A0000}"/>
    <cellStyle name="_Ingresos Marzo 2005 - Evento_mantenimiento infraestrucruta_servicio_Consolidado 1000 Proyecciones" xfId="2705" xr:uid="{00000000-0005-0000-0000-0000910A0000}"/>
    <cellStyle name="_Ingresos Marzo 2005 - Evento_mantenimiento infraestrucruta_servicio_DIVERSOS.CONS" xfId="2706" xr:uid="{00000000-0005-0000-0000-0000920A0000}"/>
    <cellStyle name="_Ingresos Marzo 2005 - Evento_mantenimiento infraestrucruta_servicio_-FORMATOPresupuesto 2010" xfId="2707" xr:uid="{00000000-0005-0000-0000-0000930A0000}"/>
    <cellStyle name="_Ingresos Marzo 2005 - Evento_mantenimiento infraestrucruta_servicio_FORMATOPresupuesto 2010-TRABAJO" xfId="2708" xr:uid="{00000000-0005-0000-0000-0000940A0000}"/>
    <cellStyle name="_Ingresos Marzo 2005 - Evento_mantenimiento infraestrucruta_servicio_FORMATOPresupuesto 2010-TRABAJO." xfId="2709" xr:uid="{00000000-0005-0000-0000-0000950A0000}"/>
    <cellStyle name="_Ingresos Marzo 2005 - Evento_mantenimiento infraestrucruta_servicio_FORMATOPresupuesto 2010-TRABAJO.C1" xfId="2710" xr:uid="{00000000-0005-0000-0000-0000960A0000}"/>
    <cellStyle name="_Ingresos Marzo 2005 - Evento_mantenimiento infraestrucruta_servicio_FORMATOPresupuesto 2010-TRABAJO.C1." xfId="2711" xr:uid="{00000000-0005-0000-0000-0000970A0000}"/>
    <cellStyle name="_Ingresos Marzo 2005 - Evento_mantenimiento infraestrucruta_SERVICIOS" xfId="2712" xr:uid="{00000000-0005-0000-0000-0000980A0000}"/>
    <cellStyle name="_Ingresos Marzo 2005 - Evento_mantenimiento infraestrucruta_SERVICIOS." xfId="2713" xr:uid="{00000000-0005-0000-0000-0000990A0000}"/>
    <cellStyle name="_Ingresos Marzo 2005 - Evento_mantenimiento infraestrucruta_SERVICIOS._comparativo 2010-2009" xfId="2714" xr:uid="{00000000-0005-0000-0000-00009A0A0000}"/>
    <cellStyle name="_Ingresos Marzo 2005 - Evento_mantenimiento infraestrucruta_SERVICIOS._Consolidado 1000 Proyecciones" xfId="2715" xr:uid="{00000000-0005-0000-0000-00009B0A0000}"/>
    <cellStyle name="_Ingresos Marzo 2005 - Evento_mantenimiento infraestrucruta_SERVICIOS._DIVERSOS.CONS" xfId="2716" xr:uid="{00000000-0005-0000-0000-00009C0A0000}"/>
    <cellStyle name="_Ingresos Marzo 2005 - Evento_mantenimiento infraestrucruta_SERVICIOS._-FORMATOPresupuesto 2010" xfId="2717" xr:uid="{00000000-0005-0000-0000-00009D0A0000}"/>
    <cellStyle name="_Ingresos Marzo 2005 - Evento_mantenimiento infraestrucruta_SERVICIOS._FORMATOPresupuesto 2010-TRABAJO" xfId="2718" xr:uid="{00000000-0005-0000-0000-00009E0A0000}"/>
    <cellStyle name="_Ingresos Marzo 2005 - Evento_mantenimiento infraestrucruta_SERVICIOS._FORMATOPresupuesto 2010-TRABAJO." xfId="2719" xr:uid="{00000000-0005-0000-0000-00009F0A0000}"/>
    <cellStyle name="_Ingresos Marzo 2005 - Evento_mantenimiento infraestrucruta_SERVICIOS._FORMATOPresupuesto 2010-TRABAJO.C1" xfId="2720" xr:uid="{00000000-0005-0000-0000-0000A00A0000}"/>
    <cellStyle name="_Ingresos Marzo 2005 - Evento_mantenimiento infraestrucruta_SERVICIOS._FORMATOPresupuesto 2010-TRABAJO.C1." xfId="2721" xr:uid="{00000000-0005-0000-0000-0000A10A0000}"/>
    <cellStyle name="_Ingresos Marzo 2005 - Evento_mantenimiento infraestrucruta_SERVICIOS_comparativo 2010-2009" xfId="2722" xr:uid="{00000000-0005-0000-0000-0000A20A0000}"/>
    <cellStyle name="_Ingresos Marzo 2005 - Evento_mantenimiento infraestrucruta_SERVICIOS_Consolidado 1000 Proyecciones" xfId="2723" xr:uid="{00000000-0005-0000-0000-0000A30A0000}"/>
    <cellStyle name="_Ingresos Marzo 2005 - Evento_mantenimiento infraestrucruta_SERVICIOS_DIVERSOS.CONS" xfId="2724" xr:uid="{00000000-0005-0000-0000-0000A40A0000}"/>
    <cellStyle name="_Ingresos Marzo 2005 - Evento_mantenimiento infraestrucruta_SERVICIOS_-FORMATOPresupuesto 2010" xfId="2725" xr:uid="{00000000-0005-0000-0000-0000A50A0000}"/>
    <cellStyle name="_Ingresos Marzo 2005 - Evento_mantenimiento infraestrucruta_SERVICIOS_FORMATOPresupuesto 2010-TRABAJO" xfId="2726" xr:uid="{00000000-0005-0000-0000-0000A60A0000}"/>
    <cellStyle name="_Ingresos Marzo 2005 - Evento_mantenimiento infraestrucruta_SERVICIOS_FORMATOPresupuesto 2010-TRABAJO." xfId="2727" xr:uid="{00000000-0005-0000-0000-0000A70A0000}"/>
    <cellStyle name="_Ingresos Marzo 2005 - Evento_mantenimiento infraestrucruta_SERVICIOS_FORMATOPresupuesto 2010-TRABAJO.C1" xfId="2728" xr:uid="{00000000-0005-0000-0000-0000A80A0000}"/>
    <cellStyle name="_Ingresos Marzo 2005 - Evento_mantenimiento infraestrucruta_SERVICIOS_FORMATOPresupuesto 2010-TRABAJO.C1." xfId="2729" xr:uid="{00000000-0005-0000-0000-0000A90A0000}"/>
    <cellStyle name="_Ingresos Marzo 2005 - Evento_mantenimiento infraestrucruta_SERVICIOS1" xfId="2730" xr:uid="{00000000-0005-0000-0000-0000AA0A0000}"/>
    <cellStyle name="_Ingresos Marzo 2005 - Evento_mantenimiento infraestrucruta_SERVICIOS1_comparativo 2010-2009" xfId="2731" xr:uid="{00000000-0005-0000-0000-0000AB0A0000}"/>
    <cellStyle name="_Ingresos Marzo 2005 - Evento_mantenimiento infraestrucruta_SERVICIOS1_Consolidado 1000 Proyecciones" xfId="2732" xr:uid="{00000000-0005-0000-0000-0000AC0A0000}"/>
    <cellStyle name="_Ingresos Marzo 2005 - Evento_mantenimiento infraestrucruta_SERVICIOS1_DIVERSOS.CONS" xfId="2733" xr:uid="{00000000-0005-0000-0000-0000AD0A0000}"/>
    <cellStyle name="_Ingresos Marzo 2005 - Evento_mantenimiento infraestrucruta_SERVICIOS1_-FORMATOPresupuesto 2010" xfId="2734" xr:uid="{00000000-0005-0000-0000-0000AE0A0000}"/>
    <cellStyle name="_Ingresos Marzo 2005 - Evento_mantenimiento infraestrucruta_SERVICIOS1_FORMATOPresupuesto 2010-TRABAJO" xfId="2735" xr:uid="{00000000-0005-0000-0000-0000AF0A0000}"/>
    <cellStyle name="_Ingresos Marzo 2005 - Evento_mantenimiento infraestrucruta_SERVICIOS1_FORMATOPresupuesto 2010-TRABAJO." xfId="2736" xr:uid="{00000000-0005-0000-0000-0000B00A0000}"/>
    <cellStyle name="_Ingresos Marzo 2005 - Evento_mantenimiento infraestrucruta_SERVICIOS1_FORMATOPresupuesto 2010-TRABAJO.C1" xfId="2737" xr:uid="{00000000-0005-0000-0000-0000B10A0000}"/>
    <cellStyle name="_Ingresos Marzo 2005 - Evento_mantenimiento infraestrucruta_SERVICIOS1_FORMATOPresupuesto 2010-TRABAJO.C1." xfId="2738" xr:uid="{00000000-0005-0000-0000-0000B20A0000}"/>
    <cellStyle name="_Ingresos Marzo 2005 - Evento_mantenimiento infraestrucruta_SUMINISTROS" xfId="2739" xr:uid="{00000000-0005-0000-0000-0000B30A0000}"/>
    <cellStyle name="_Ingresos Marzo 2005 - Evento_mantenimiento infraestrucruta_SUMINISTROS_comparativo 2010-2009" xfId="2740" xr:uid="{00000000-0005-0000-0000-0000B40A0000}"/>
    <cellStyle name="_Ingresos Marzo 2005 - Evento_mantenimiento infraestrucruta_SUMINISTROS_Consolidado 1000 Proyecciones" xfId="2741" xr:uid="{00000000-0005-0000-0000-0000B50A0000}"/>
    <cellStyle name="_Ingresos Marzo 2005 - Evento_mantenimiento infraestrucruta_SUMINISTROS_-FORMATOPresupuesto 2010" xfId="2742" xr:uid="{00000000-0005-0000-0000-0000B60A0000}"/>
    <cellStyle name="_Ingresos Marzo 2005 - Evento_mantenimiento infraestrucruta_SUMINISTROS_FORMATOPresupuesto 2010-TRABAJO" xfId="2743" xr:uid="{00000000-0005-0000-0000-0000B70A0000}"/>
    <cellStyle name="_Ingresos Marzo 2005 - Evento_mantenimiento infraestrucruta_SUMINISTROS_FORMATOPresupuesto 2010-TRABAJO." xfId="2744" xr:uid="{00000000-0005-0000-0000-0000B80A0000}"/>
    <cellStyle name="_Ingresos Marzo 2005 - Evento_mantenimiento infraestrucruta_SUMINISTROS_FORMATOPresupuesto 2010-TRABAJO.C1" xfId="2745" xr:uid="{00000000-0005-0000-0000-0000B90A0000}"/>
    <cellStyle name="_Ingresos Marzo 2005 - Evento_mantenimiento infraestrucruta_SUMINISTROS_FORMATOPresupuesto 2010-TRABAJO.C1." xfId="2746" xr:uid="{00000000-0005-0000-0000-0000BA0A0000}"/>
    <cellStyle name="_Ingresos Marzo 2005 - Evento_PRESUPUESTO 2010 06-11-09 430 p m " xfId="2747" xr:uid="{00000000-0005-0000-0000-0000BB0A0000}"/>
    <cellStyle name="_Ingresos Marzo 2005 - Evento_presupuesto de mantenimiento" xfId="2748" xr:uid="{00000000-0005-0000-0000-0000BC0A0000}"/>
    <cellStyle name="_Ingresos Marzo 2005 - Evento_presupuesto de mantenimiento (2)" xfId="2749" xr:uid="{00000000-0005-0000-0000-0000BD0A0000}"/>
    <cellStyle name="_Ingresos Marzo 2005 - Evento_PRESUPUESTO POR CENTROS DE GESTION 2010 (3)" xfId="2750" xr:uid="{00000000-0005-0000-0000-0000BE0A0000}"/>
    <cellStyle name="_Ingresos Marzo 2005 - Evento_PRESUPUESTO POR CENTROS DE GESTION 2010 (3)_CENTRO DE COSTOS PLANTILLA" xfId="2751" xr:uid="{00000000-0005-0000-0000-0000BF0A0000}"/>
    <cellStyle name="_Ingresos Marzo 2005 - Evento_PRESUPUESTO POR CENTROS DE GESTION 2010 (3)_CENTRO DE COSTOS PLANTILLA_comparativo 2010-2009" xfId="2752" xr:uid="{00000000-0005-0000-0000-0000C00A0000}"/>
    <cellStyle name="_Ingresos Marzo 2005 - Evento_PRESUPUESTO POR CENTROS DE GESTION 2010 (3)_CENTRO DE COSTOS PLANTILLA_Consolidado 1000 Proyecciones" xfId="2753" xr:uid="{00000000-0005-0000-0000-0000C10A0000}"/>
    <cellStyle name="_Ingresos Marzo 2005 - Evento_PRESUPUESTO POR CENTROS DE GESTION 2010 (3)_CENTRO DE COSTOS PLANTILLA_DIVERSOS.CONS" xfId="2754" xr:uid="{00000000-0005-0000-0000-0000C20A0000}"/>
    <cellStyle name="_Ingresos Marzo 2005 - Evento_PRESUPUESTO POR CENTROS DE GESTION 2010 (3)_CENTRO DE COSTOS PLANTILLA_-FORMATOPresupuesto 2010" xfId="2755" xr:uid="{00000000-0005-0000-0000-0000C30A0000}"/>
    <cellStyle name="_Ingresos Marzo 2005 - Evento_PRESUPUESTO POR CENTROS DE GESTION 2010 (3)_CENTRO DE COSTOS PLANTILLA_FORMATOPresupuesto 2010-TRABAJO" xfId="2756" xr:uid="{00000000-0005-0000-0000-0000C40A0000}"/>
    <cellStyle name="_Ingresos Marzo 2005 - Evento_PRESUPUESTO POR CENTROS DE GESTION 2010 (3)_CENTRO DE COSTOS PLANTILLA_FORMATOPresupuesto 2010-TRABAJO." xfId="2757" xr:uid="{00000000-0005-0000-0000-0000C50A0000}"/>
    <cellStyle name="_Ingresos Marzo 2005 - Evento_PRESUPUESTO POR CENTROS DE GESTION 2010 (3)_CENTRO DE COSTOS PLANTILLA_FORMATOPresupuesto 2010-TRABAJO.C1" xfId="2758" xr:uid="{00000000-0005-0000-0000-0000C60A0000}"/>
    <cellStyle name="_Ingresos Marzo 2005 - Evento_PRESUPUESTO POR CENTROS DE GESTION 2010 (3)_CENTRO DE COSTOS PLANTILLA_FORMATOPresupuesto 2010-TRABAJO.C1." xfId="2759" xr:uid="{00000000-0005-0000-0000-0000C70A0000}"/>
    <cellStyle name="_Ingresos Marzo 2005 - Evento_PRESUPUESTO POR CENTROS DE GESTION 2010 (3)_comparativo 2010-2009" xfId="2760" xr:uid="{00000000-0005-0000-0000-0000C80A0000}"/>
    <cellStyle name="_Ingresos Marzo 2005 - Evento_PRESUPUESTO POR CENTROS DE GESTION 2010 (3)_Consolidado 1000 Proyecciones" xfId="2761" xr:uid="{00000000-0005-0000-0000-0000C90A0000}"/>
    <cellStyle name="_Ingresos Marzo 2005 - Evento_PRESUPUESTO POR CENTROS DE GESTION 2010 (3)_DIVERSOS.CONS" xfId="2762" xr:uid="{00000000-0005-0000-0000-0000CA0A0000}"/>
    <cellStyle name="_Ingresos Marzo 2005 - Evento_PRESUPUESTO POR CENTROS DE GESTION 2010 (3)_-FORMATOPresupuesto 2010" xfId="2763" xr:uid="{00000000-0005-0000-0000-0000CB0A0000}"/>
    <cellStyle name="_Ingresos Marzo 2005 - Evento_PRESUPUESTO POR CENTROS DE GESTION 2010 (3)_FORMATOPresupuesto 2010-TRABAJO" xfId="2764" xr:uid="{00000000-0005-0000-0000-0000CC0A0000}"/>
    <cellStyle name="_Ingresos Marzo 2005 - Evento_PRESUPUESTO POR CENTROS DE GESTION 2010 (3)_FORMATOPresupuesto 2010-TRABAJO." xfId="2765" xr:uid="{00000000-0005-0000-0000-0000CD0A0000}"/>
    <cellStyle name="_Ingresos Marzo 2005 - Evento_PRESUPUESTO POR CENTROS DE GESTION 2010 (3)_FORMATOPresupuesto 2010-TRABAJO.C1" xfId="2766" xr:uid="{00000000-0005-0000-0000-0000CE0A0000}"/>
    <cellStyle name="_Ingresos Marzo 2005 - Evento_PRESUPUESTO POR CENTROS DE GESTION 2010 (3)_FORMATOPresupuesto 2010-TRABAJO.C1." xfId="2767" xr:uid="{00000000-0005-0000-0000-0000CF0A0000}"/>
    <cellStyle name="_Ingresos Marzo 2005 - Evento_PRESUPUESTO POR CENTROS DE GESTION 2010 (3)_PRESUPUESTO 2010 06-11-09 430 p m " xfId="2768" xr:uid="{00000000-0005-0000-0000-0000D00A0000}"/>
    <cellStyle name="_Ingresos Marzo 2005 - Evento_PRESUPUESTO POR CENTROS DE GESTION 2010 (3)_PRESUPUESTO 2010 06-11-09 430 p m _comparativo 2010-2009" xfId="2769" xr:uid="{00000000-0005-0000-0000-0000D10A0000}"/>
    <cellStyle name="_Ingresos Marzo 2005 - Evento_PRESUPUESTO POR CENTROS DE GESTION 2010 (3)_PRESUPUESTO 2010 06-11-09 430 p m _Consolidado 1000 Proyecciones" xfId="2770" xr:uid="{00000000-0005-0000-0000-0000D20A0000}"/>
    <cellStyle name="_Ingresos Marzo 2005 - Evento_PRESUPUESTO POR CENTROS DE GESTION 2010 (3)_PRESUPUESTO 2010 06-11-09 430 p m _DIVERSOS.CONS" xfId="2771" xr:uid="{00000000-0005-0000-0000-0000D30A0000}"/>
    <cellStyle name="_Ingresos Marzo 2005 - Evento_PRESUPUESTO POR CENTROS DE GESTION 2010 (3)_PRESUPUESTO 2010 06-11-09 430 p m _-FORMATOPresupuesto 2010" xfId="2772" xr:uid="{00000000-0005-0000-0000-0000D40A0000}"/>
    <cellStyle name="_Ingresos Marzo 2005 - Evento_PRESUPUESTO POR CENTROS DE GESTION 2010 (3)_PRESUPUESTO 2010 06-11-09 430 p m _FORMATOPresupuesto 2010-TRABAJO" xfId="2773" xr:uid="{00000000-0005-0000-0000-0000D50A0000}"/>
    <cellStyle name="_Ingresos Marzo 2005 - Evento_PRESUPUESTO POR CENTROS DE GESTION 2010 (3)_PRESUPUESTO 2010 06-11-09 430 p m _FORMATOPresupuesto 2010-TRABAJO." xfId="2774" xr:uid="{00000000-0005-0000-0000-0000D60A0000}"/>
    <cellStyle name="_Ingresos Marzo 2005 - Evento_PRESUPUESTO POR CENTROS DE GESTION 2010 (3)_PRESUPUESTO 2010 06-11-09 430 p m _FORMATOPresupuesto 2010-TRABAJO.C1" xfId="2775" xr:uid="{00000000-0005-0000-0000-0000D70A0000}"/>
    <cellStyle name="_Ingresos Marzo 2005 - Evento_PRESUPUESTO POR CENTROS DE GESTION 2010 (3)_PRESUPUESTO 2010 06-11-09 430 p m _FORMATOPresupuesto 2010-TRABAJO.C1." xfId="2776" xr:uid="{00000000-0005-0000-0000-0000D80A0000}"/>
    <cellStyle name="_Ingresos Marzo 2005 - Evento_PRESUPUESTO POR CENTROS DE GESTION 2010 (3)_presupuesto de mantenimiento" xfId="2777" xr:uid="{00000000-0005-0000-0000-0000D90A0000}"/>
    <cellStyle name="_Ingresos Marzo 2005 - Evento_PRESUPUESTO POR CENTROS DE GESTION 2010 (3)_presupuesto de mantenimiento_comparativo 2010-2009" xfId="2778" xr:uid="{00000000-0005-0000-0000-0000DA0A0000}"/>
    <cellStyle name="_Ingresos Marzo 2005 - Evento_PRESUPUESTO POR CENTROS DE GESTION 2010 (3)_presupuesto de mantenimiento_Consolidado 1000 Proyecciones" xfId="2779" xr:uid="{00000000-0005-0000-0000-0000DB0A0000}"/>
    <cellStyle name="_Ingresos Marzo 2005 - Evento_PRESUPUESTO POR CENTROS DE GESTION 2010 (3)_presupuesto de mantenimiento_DIVERSOS.CONS" xfId="2780" xr:uid="{00000000-0005-0000-0000-0000DC0A0000}"/>
    <cellStyle name="_Ingresos Marzo 2005 - Evento_PRESUPUESTO POR CENTROS DE GESTION 2010 (3)_presupuesto de mantenimiento_-FORMATOPresupuesto 2010" xfId="2781" xr:uid="{00000000-0005-0000-0000-0000DD0A0000}"/>
    <cellStyle name="_Ingresos Marzo 2005 - Evento_PRESUPUESTO POR CENTROS DE GESTION 2010 (3)_presupuesto de mantenimiento_FORMATOPresupuesto 2010-TRABAJO" xfId="2782" xr:uid="{00000000-0005-0000-0000-0000DE0A0000}"/>
    <cellStyle name="_Ingresos Marzo 2005 - Evento_PRESUPUESTO POR CENTROS DE GESTION 2010 (3)_presupuesto de mantenimiento_FORMATOPresupuesto 2010-TRABAJO." xfId="2783" xr:uid="{00000000-0005-0000-0000-0000DF0A0000}"/>
    <cellStyle name="_Ingresos Marzo 2005 - Evento_PRESUPUESTO POR CENTROS DE GESTION 2010 (3)_presupuesto de mantenimiento_FORMATOPresupuesto 2010-TRABAJO.C1" xfId="2784" xr:uid="{00000000-0005-0000-0000-0000E00A0000}"/>
    <cellStyle name="_Ingresos Marzo 2005 - Evento_PRESUPUESTO POR CENTROS DE GESTION 2010 (3)_presupuesto de mantenimiento_FORMATOPresupuesto 2010-TRABAJO.C1." xfId="2785" xr:uid="{00000000-0005-0000-0000-0000E10A0000}"/>
    <cellStyle name="_Ingresos Marzo 2005 - Evento_PRESUPUESTO POR CENTROS DE GESTION 2010 (3)_servicio" xfId="2786" xr:uid="{00000000-0005-0000-0000-0000E20A0000}"/>
    <cellStyle name="_Ingresos Marzo 2005 - Evento_PRESUPUESTO POR CENTROS DE GESTION 2010 (3)_servicio_comparativo 2010-2009" xfId="2787" xr:uid="{00000000-0005-0000-0000-0000E30A0000}"/>
    <cellStyle name="_Ingresos Marzo 2005 - Evento_PRESUPUESTO POR CENTROS DE GESTION 2010 (3)_servicio_Consolidado 1000 Proyecciones" xfId="2788" xr:uid="{00000000-0005-0000-0000-0000E40A0000}"/>
    <cellStyle name="_Ingresos Marzo 2005 - Evento_PRESUPUESTO POR CENTROS DE GESTION 2010 (3)_servicio_DIVERSOS.CONS" xfId="2789" xr:uid="{00000000-0005-0000-0000-0000E50A0000}"/>
    <cellStyle name="_Ingresos Marzo 2005 - Evento_PRESUPUESTO POR CENTROS DE GESTION 2010 (3)_servicio_-FORMATOPresupuesto 2010" xfId="2790" xr:uid="{00000000-0005-0000-0000-0000E60A0000}"/>
    <cellStyle name="_Ingresos Marzo 2005 - Evento_PRESUPUESTO POR CENTROS DE GESTION 2010 (3)_servicio_FORMATOPresupuesto 2010-TRABAJO" xfId="2791" xr:uid="{00000000-0005-0000-0000-0000E70A0000}"/>
    <cellStyle name="_Ingresos Marzo 2005 - Evento_PRESUPUESTO POR CENTROS DE GESTION 2010 (3)_servicio_FORMATOPresupuesto 2010-TRABAJO." xfId="2792" xr:uid="{00000000-0005-0000-0000-0000E80A0000}"/>
    <cellStyle name="_Ingresos Marzo 2005 - Evento_PRESUPUESTO POR CENTROS DE GESTION 2010 (3)_servicio_FORMATOPresupuesto 2010-TRABAJO.C1" xfId="2793" xr:uid="{00000000-0005-0000-0000-0000E90A0000}"/>
    <cellStyle name="_Ingresos Marzo 2005 - Evento_PRESUPUESTO POR CENTROS DE GESTION 2010 (3)_servicio_FORMATOPresupuesto 2010-TRABAJO.C1." xfId="2794" xr:uid="{00000000-0005-0000-0000-0000EA0A0000}"/>
    <cellStyle name="_Ingresos Marzo 2005 - Evento_PRESUPUESTO POR CENTROS DE GESTION 2010 (3)_SERVICIOS" xfId="2795" xr:uid="{00000000-0005-0000-0000-0000EB0A0000}"/>
    <cellStyle name="_Ingresos Marzo 2005 - Evento_PRESUPUESTO POR CENTROS DE GESTION 2010 (3)_SERVICIOS." xfId="2796" xr:uid="{00000000-0005-0000-0000-0000EC0A0000}"/>
    <cellStyle name="_Ingresos Marzo 2005 - Evento_PRESUPUESTO POR CENTROS DE GESTION 2010 (3)_SERVICIOS._comparativo 2010-2009" xfId="2797" xr:uid="{00000000-0005-0000-0000-0000ED0A0000}"/>
    <cellStyle name="_Ingresos Marzo 2005 - Evento_PRESUPUESTO POR CENTROS DE GESTION 2010 (3)_SERVICIOS._Consolidado 1000 Proyecciones" xfId="2798" xr:uid="{00000000-0005-0000-0000-0000EE0A0000}"/>
    <cellStyle name="_Ingresos Marzo 2005 - Evento_PRESUPUESTO POR CENTROS DE GESTION 2010 (3)_SERVICIOS._DIVERSOS.CONS" xfId="2799" xr:uid="{00000000-0005-0000-0000-0000EF0A0000}"/>
    <cellStyle name="_Ingresos Marzo 2005 - Evento_PRESUPUESTO POR CENTROS DE GESTION 2010 (3)_SERVICIOS._-FORMATOPresupuesto 2010" xfId="2800" xr:uid="{00000000-0005-0000-0000-0000F00A0000}"/>
    <cellStyle name="_Ingresos Marzo 2005 - Evento_PRESUPUESTO POR CENTROS DE GESTION 2010 (3)_SERVICIOS._FORMATOPresupuesto 2010-TRABAJO" xfId="2801" xr:uid="{00000000-0005-0000-0000-0000F10A0000}"/>
    <cellStyle name="_Ingresos Marzo 2005 - Evento_PRESUPUESTO POR CENTROS DE GESTION 2010 (3)_SERVICIOS._FORMATOPresupuesto 2010-TRABAJO." xfId="2802" xr:uid="{00000000-0005-0000-0000-0000F20A0000}"/>
    <cellStyle name="_Ingresos Marzo 2005 - Evento_PRESUPUESTO POR CENTROS DE GESTION 2010 (3)_SERVICIOS._FORMATOPresupuesto 2010-TRABAJO.C1" xfId="2803" xr:uid="{00000000-0005-0000-0000-0000F30A0000}"/>
    <cellStyle name="_Ingresos Marzo 2005 - Evento_PRESUPUESTO POR CENTROS DE GESTION 2010 (3)_SERVICIOS._FORMATOPresupuesto 2010-TRABAJO.C1." xfId="2804" xr:uid="{00000000-0005-0000-0000-0000F40A0000}"/>
    <cellStyle name="_Ingresos Marzo 2005 - Evento_PRESUPUESTO POR CENTROS DE GESTION 2010 (3)_SERVICIOS_comparativo 2010-2009" xfId="2805" xr:uid="{00000000-0005-0000-0000-0000F50A0000}"/>
    <cellStyle name="_Ingresos Marzo 2005 - Evento_PRESUPUESTO POR CENTROS DE GESTION 2010 (3)_SERVICIOS_Consolidado 1000 Proyecciones" xfId="2806" xr:uid="{00000000-0005-0000-0000-0000F60A0000}"/>
    <cellStyle name="_Ingresos Marzo 2005 - Evento_PRESUPUESTO POR CENTROS DE GESTION 2010 (3)_SERVICIOS_DIVERSOS.CONS" xfId="2807" xr:uid="{00000000-0005-0000-0000-0000F70A0000}"/>
    <cellStyle name="_Ingresos Marzo 2005 - Evento_PRESUPUESTO POR CENTROS DE GESTION 2010 (3)_SERVICIOS_-FORMATOPresupuesto 2010" xfId="2808" xr:uid="{00000000-0005-0000-0000-0000F80A0000}"/>
    <cellStyle name="_Ingresos Marzo 2005 - Evento_PRESUPUESTO POR CENTROS DE GESTION 2010 (3)_SERVICIOS_FORMATOPresupuesto 2010-TRABAJO" xfId="2809" xr:uid="{00000000-0005-0000-0000-0000F90A0000}"/>
    <cellStyle name="_Ingresos Marzo 2005 - Evento_PRESUPUESTO POR CENTROS DE GESTION 2010 (3)_SERVICIOS_FORMATOPresupuesto 2010-TRABAJO." xfId="2810" xr:uid="{00000000-0005-0000-0000-0000FA0A0000}"/>
    <cellStyle name="_Ingresos Marzo 2005 - Evento_PRESUPUESTO POR CENTROS DE GESTION 2010 (3)_SERVICIOS_FORMATOPresupuesto 2010-TRABAJO.C1" xfId="2811" xr:uid="{00000000-0005-0000-0000-0000FB0A0000}"/>
    <cellStyle name="_Ingresos Marzo 2005 - Evento_PRESUPUESTO POR CENTROS DE GESTION 2010 (3)_SERVICIOS_FORMATOPresupuesto 2010-TRABAJO.C1." xfId="2812" xr:uid="{00000000-0005-0000-0000-0000FC0A0000}"/>
    <cellStyle name="_Ingresos Marzo 2005 - Evento_PRESUPUESTO POR CENTROS DE GESTION 2010 (3)_SERVICIOS1" xfId="2813" xr:uid="{00000000-0005-0000-0000-0000FD0A0000}"/>
    <cellStyle name="_Ingresos Marzo 2005 - Evento_PRESUPUESTO POR CENTROS DE GESTION 2010 (3)_SERVICIOS1_comparativo 2010-2009" xfId="2814" xr:uid="{00000000-0005-0000-0000-0000FE0A0000}"/>
    <cellStyle name="_Ingresos Marzo 2005 - Evento_PRESUPUESTO POR CENTROS DE GESTION 2010 (3)_SERVICIOS1_Consolidado 1000 Proyecciones" xfId="2815" xr:uid="{00000000-0005-0000-0000-0000FF0A0000}"/>
    <cellStyle name="_Ingresos Marzo 2005 - Evento_PRESUPUESTO POR CENTROS DE GESTION 2010 (3)_SERVICIOS1_DIVERSOS.CONS" xfId="2816" xr:uid="{00000000-0005-0000-0000-0000000B0000}"/>
    <cellStyle name="_Ingresos Marzo 2005 - Evento_PRESUPUESTO POR CENTROS DE GESTION 2010 (3)_SERVICIOS1_-FORMATOPresupuesto 2010" xfId="2817" xr:uid="{00000000-0005-0000-0000-0000010B0000}"/>
    <cellStyle name="_Ingresos Marzo 2005 - Evento_PRESUPUESTO POR CENTROS DE GESTION 2010 (3)_SERVICIOS1_FORMATOPresupuesto 2010-TRABAJO" xfId="2818" xr:uid="{00000000-0005-0000-0000-0000020B0000}"/>
    <cellStyle name="_Ingresos Marzo 2005 - Evento_PRESUPUESTO POR CENTROS DE GESTION 2010 (3)_SERVICIOS1_FORMATOPresupuesto 2010-TRABAJO." xfId="2819" xr:uid="{00000000-0005-0000-0000-0000030B0000}"/>
    <cellStyle name="_Ingresos Marzo 2005 - Evento_PRESUPUESTO POR CENTROS DE GESTION 2010 (3)_SERVICIOS1_FORMATOPresupuesto 2010-TRABAJO.C1" xfId="2820" xr:uid="{00000000-0005-0000-0000-0000040B0000}"/>
    <cellStyle name="_Ingresos Marzo 2005 - Evento_PRESUPUESTO POR CENTROS DE GESTION 2010 (3)_SERVICIOS1_FORMATOPresupuesto 2010-TRABAJO.C1." xfId="2821" xr:uid="{00000000-0005-0000-0000-0000050B0000}"/>
    <cellStyle name="_Ingresos Marzo 2005 - Evento_PRESUPUESTO POR CENTROS DE GESTION 2010 (3)_SUMINISTROS" xfId="2822" xr:uid="{00000000-0005-0000-0000-0000060B0000}"/>
    <cellStyle name="_Ingresos Marzo 2005 - Evento_PRESUPUESTO POR CENTROS DE GESTION 2010 (3)_SUMINISTROS_comparativo 2010-2009" xfId="2823" xr:uid="{00000000-0005-0000-0000-0000070B0000}"/>
    <cellStyle name="_Ingresos Marzo 2005 - Evento_PRESUPUESTO POR CENTROS DE GESTION 2010 (3)_SUMINISTROS_Consolidado 1000 Proyecciones" xfId="2824" xr:uid="{00000000-0005-0000-0000-0000080B0000}"/>
    <cellStyle name="_Ingresos Marzo 2005 - Evento_PRESUPUESTO POR CENTROS DE GESTION 2010 (3)_SUMINISTROS_-FORMATOPresupuesto 2010" xfId="2825" xr:uid="{00000000-0005-0000-0000-0000090B0000}"/>
    <cellStyle name="_Ingresos Marzo 2005 - Evento_PRESUPUESTO POR CENTROS DE GESTION 2010 (3)_SUMINISTROS_FORMATOPresupuesto 2010-TRABAJO" xfId="2826" xr:uid="{00000000-0005-0000-0000-00000A0B0000}"/>
    <cellStyle name="_Ingresos Marzo 2005 - Evento_PRESUPUESTO POR CENTROS DE GESTION 2010 (3)_SUMINISTROS_FORMATOPresupuesto 2010-TRABAJO." xfId="2827" xr:uid="{00000000-0005-0000-0000-00000B0B0000}"/>
    <cellStyle name="_Ingresos Marzo 2005 - Evento_PRESUPUESTO POR CENTROS DE GESTION 2010 (3)_SUMINISTROS_FORMATOPresupuesto 2010-TRABAJO.C1" xfId="2828" xr:uid="{00000000-0005-0000-0000-00000C0B0000}"/>
    <cellStyle name="_Ingresos Marzo 2005 - Evento_PRESUPUESTO POR CENTROS DE GESTION 2010 (3)_SUMINISTROS_FORMATOPresupuesto 2010-TRABAJO.C1." xfId="2829" xr:uid="{00000000-0005-0000-0000-00000D0B0000}"/>
    <cellStyle name="_Ingresos Marzo 2005 - Evento_PRESUPUESTOTECNOLOGIACAMBIO" xfId="2830" xr:uid="{00000000-0005-0000-0000-00000E0B0000}"/>
    <cellStyle name="_Ingresos Marzo 2005 - Evento_PRESUPUESTOTECNOLOGIAINFORMATICA2010_vers2003" xfId="2831" xr:uid="{00000000-0005-0000-0000-00000F0B0000}"/>
    <cellStyle name="_Ingresos Marzo 2005 - Evento_SUMINISTROS LOGISTICA ULTIMO NOV 20" xfId="2832" xr:uid="{00000000-0005-0000-0000-0000100B0000}"/>
    <cellStyle name="_Ingresos Marzo 2005 - Evento_TECNOLOGIA E INFORMATICA" xfId="2833" xr:uid="{00000000-0005-0000-0000-0000110B0000}"/>
    <cellStyle name="_INGRESOS POR EVENTO MES DE SEPTIEMBRE -06" xfId="2834" xr:uid="{00000000-0005-0000-0000-0000120B0000}"/>
    <cellStyle name="_INGRESOS POR EVENTO MES DE SEPTIEMBRE -06_Consolidado 1000 Proyecciones" xfId="2835" xr:uid="{00000000-0005-0000-0000-0000130B0000}"/>
    <cellStyle name="_INGRESOS POR EVENTO MES DE SEPTIEMBRE -06_EJECUCION_CONSOLIDADA_AGO_2008(1)" xfId="2836" xr:uid="{00000000-0005-0000-0000-0000140B0000}"/>
    <cellStyle name="_INGRESOS POR EVENTO MES DE SEPTIEMBRE -06_EJECUCION_CONSOLIDADA_AGO_2008(1)_Consolidado 1000 Proyecciones" xfId="2837" xr:uid="{00000000-0005-0000-0000-0000150B0000}"/>
    <cellStyle name="_INGRESOS POR EVENTO MES DE SEPTIEMBRE -06_EJECUCION_CONSOLIDADA_AGO_2008(1)_FORMATOPresupuesto 2010-TRABAJO.C1" xfId="2838" xr:uid="{00000000-0005-0000-0000-0000160B0000}"/>
    <cellStyle name="_INGRESOS POR EVENTO MES DE SEPTIEMBRE -06_EJECUCION_CONSOLIDADA_AGO_2008(1)_FORMATOPresupuesto 2010-TRABAJO.C1." xfId="2839" xr:uid="{00000000-0005-0000-0000-0000170B0000}"/>
    <cellStyle name="_INGRESOS POR EVENTO MES DE SEPTIEMBRE -06_FORMATOPresupuesto 2010-TRABAJO.C1" xfId="2840" xr:uid="{00000000-0005-0000-0000-0000180B0000}"/>
    <cellStyle name="_INGRESOS POR EVENTO MES DE SEPTIEMBRE -06_FORMATOPresupuesto 2010-TRABAJO.C1." xfId="2841" xr:uid="{00000000-0005-0000-0000-0000190B0000}"/>
    <cellStyle name="_Innsamling" xfId="2842" xr:uid="{00000000-0005-0000-0000-00001A0B0000}"/>
    <cellStyle name="_Integra valuation support_research" xfId="2843" xr:uid="{00000000-0005-0000-0000-00001B0B0000}"/>
    <cellStyle name="_Integra valuation support_research_BWGF - HTB - June 2010" xfId="2844" xr:uid="{00000000-0005-0000-0000-00001C0B0000}"/>
    <cellStyle name="_Integra valuation support_research_BWGF - VietSoft - June 2010" xfId="2845" xr:uid="{00000000-0005-0000-0000-00001D0B0000}"/>
    <cellStyle name="_Integra valuation support_research_GRDF_Bazi_063010_unlinked" xfId="2846" xr:uid="{00000000-0005-0000-0000-00001E0B0000}"/>
    <cellStyle name="_Integra valuation support_research_M&amp;A Comps" xfId="2847" xr:uid="{00000000-0005-0000-0000-00001F0B0000}"/>
    <cellStyle name="_Integra valuation support_research_Public Comps" xfId="2848" xr:uid="{00000000-0005-0000-0000-0000200B0000}"/>
    <cellStyle name="_Integra valuation support_research_Revenue Participation" xfId="2849" xr:uid="{00000000-0005-0000-0000-0000210B0000}"/>
    <cellStyle name="_Integra valuation support_research_SEAF Macedonia - Login - June 2010" xfId="2850" xr:uid="{00000000-0005-0000-0000-0000220B0000}"/>
    <cellStyle name="_International Comps Weekly" xfId="2851" xr:uid="{00000000-0005-0000-0000-0000230B0000}"/>
    <cellStyle name="_IT Services multiples 2004_09_09_latest9" xfId="2852" xr:uid="{00000000-0005-0000-0000-0000240B0000}"/>
    <cellStyle name="_JP Morgan" xfId="2853" xr:uid="{00000000-0005-0000-0000-0000250B0000}"/>
    <cellStyle name="_JULIO 22" xfId="2854" xr:uid="{00000000-0005-0000-0000-0000260B0000}"/>
    <cellStyle name="_KCOM LBO v5" xfId="2855" xr:uid="{00000000-0005-0000-0000-0000270B0000}"/>
    <cellStyle name="_Key Business Plan Indicators2" xfId="2856" xr:uid="{00000000-0005-0000-0000-0000280B0000}"/>
    <cellStyle name="_Libro1" xfId="2857" xr:uid="{00000000-0005-0000-0000-0000290B0000}"/>
    <cellStyle name="_Libro1 (2)" xfId="2858" xr:uid="{00000000-0005-0000-0000-00002A0B0000}"/>
    <cellStyle name="_Libro1_Consolidado PPTO Ingresos 2010 Ajuste Medicamentos" xfId="2859" xr:uid="{00000000-0005-0000-0000-00002B0B0000}"/>
    <cellStyle name="_Libro1_Consolidado PPTO Ingresos 2010 Ajuste Reuniones" xfId="2860" xr:uid="{00000000-0005-0000-0000-00002C0B0000}"/>
    <cellStyle name="_Libro1_Consolidado PPTO Ingresos 2010 Ejerc" xfId="2861" xr:uid="{00000000-0005-0000-0000-00002D0B0000}"/>
    <cellStyle name="_Libro1_Consolidado PPTO Ingresos 2010 Ejerc Reduccion % Ocupacional" xfId="2862" xr:uid="{00000000-0005-0000-0000-00002E0B0000}"/>
    <cellStyle name="_Libro1_Consolidado PPTO Ingresos 2010 Ejerc Reduccion % Ocupacional Vs 3 Centro" xfId="2863" xr:uid="{00000000-0005-0000-0000-00002F0B0000}"/>
    <cellStyle name="_Libro1_COSTO DE MEDICAMENTOS " xfId="2864" xr:uid="{00000000-0005-0000-0000-0000300B0000}"/>
    <cellStyle name="_Libro1_DIVERSOS.CONS" xfId="2865" xr:uid="{00000000-0005-0000-0000-0000310B0000}"/>
    <cellStyle name="_Libro1_DIVERSOS.CONS_Consolidado 1000 Proyecciones" xfId="2866" xr:uid="{00000000-0005-0000-0000-0000320B0000}"/>
    <cellStyle name="_Libro1_DIVERSOS.CONS_FORMATOPresupuesto 2010-TRABAJO.C1" xfId="2867" xr:uid="{00000000-0005-0000-0000-0000330B0000}"/>
    <cellStyle name="_Libro1_DIVERSOS.CONS_FORMATOPresupuesto 2010-TRABAJO.C1." xfId="2868" xr:uid="{00000000-0005-0000-0000-0000340B0000}"/>
    <cellStyle name="_Libro1_EJECUCION CONSOLIDADA A OCTUBRE GENERAL.CONSOLIDADO" xfId="2869" xr:uid="{00000000-0005-0000-0000-0000350B0000}"/>
    <cellStyle name="_Libro1_EJECUCION PRESUPUESTAL A AGOSTO 09" xfId="2870" xr:uid="{00000000-0005-0000-0000-0000360B0000}"/>
    <cellStyle name="_Libro1_EJECUCION PRESUPUESTAL A NOVIEMBRE  09 EJERCICIO AJUSTE INGRESOS " xfId="2871" xr:uid="{00000000-0005-0000-0000-0000370B0000}"/>
    <cellStyle name="_Libro1_EJECUCION PRESUPUESTAL A NOVIEMBRE  09 EJERCICIO AJUSTE INGRESOS _Consolidado PPTO Ingresos 2010 Ajuste Medicamentos" xfId="2872" xr:uid="{00000000-0005-0000-0000-0000380B0000}"/>
    <cellStyle name="_Libro1_EJECUCION PRESUPUESTAL A SEPTIEMBRE  09 EJERCICIO AJUSTE INGRESOS" xfId="2873" xr:uid="{00000000-0005-0000-0000-0000390B0000}"/>
    <cellStyle name="_Libro1_EJECUCION PRESUPUESTAL A SEPTIEMBRE  09 EJERCICIO AJUSTE INGRESOS_Consolidado PPTO Ingresos 2010 Ajuste Medicamentos" xfId="2874" xr:uid="{00000000-0005-0000-0000-00003A0B0000}"/>
    <cellStyle name="_Libro1_EJECUCION PRESUPUESTAL A SEPTIEMBRE  09 EJERCICIO AJUSTE INGRESOS_Consolidado PPTO Ingresos 2010 Ajuste Reuniones" xfId="2875" xr:uid="{00000000-0005-0000-0000-00003B0B0000}"/>
    <cellStyle name="_Libro1_EJECUCION PRESUPUESTAL A SEPTIEMBRE  09 EJERCICIO AJUSTE INGRESOS_Consolidado PPTO Ingresos 2010 Ejerc Reduccion % Ocupacional Vs 3 Centro" xfId="2876" xr:uid="{00000000-0005-0000-0000-00003C0B0000}"/>
    <cellStyle name="_Libro1_EJECUCION_CONSOLIDADA_AGO_2008(1)" xfId="2877" xr:uid="{00000000-0005-0000-0000-00003D0B0000}"/>
    <cellStyle name="_Libro1_EJECUCION_CONSOLIDADA_AGO_2008(1)_Consolidado 1000 Proyecciones" xfId="2878" xr:uid="{00000000-0005-0000-0000-00003E0B0000}"/>
    <cellStyle name="_Libro1_EJECUCION_CONSOLIDADA_AGO_2008(1)_FORMATOPresupuesto 2010-TRABAJO.C1" xfId="2879" xr:uid="{00000000-0005-0000-0000-00003F0B0000}"/>
    <cellStyle name="_Libro1_EJECUCION_CONSOLIDADA_AGO_2008(1)_FORMATOPresupuesto 2010-TRABAJO.C1." xfId="2880" xr:uid="{00000000-0005-0000-0000-0000400B0000}"/>
    <cellStyle name="_Libro1_Libro11" xfId="2881" xr:uid="{00000000-0005-0000-0000-0000410B0000}"/>
    <cellStyle name="_Libro1_Libro2" xfId="2882" xr:uid="{00000000-0005-0000-0000-0000420B0000}"/>
    <cellStyle name="_Libro1_medicamentos sep-2009" xfId="2883" xr:uid="{00000000-0005-0000-0000-0000430B0000}"/>
    <cellStyle name="_Libro1_P Y G LABORATORIO-IMAGENES  cjc" xfId="2884" xr:uid="{00000000-0005-0000-0000-0000440B0000}"/>
    <cellStyle name="_Libro1_ppto ucis ac is" xfId="2885" xr:uid="{00000000-0005-0000-0000-0000450B0000}"/>
    <cellStyle name="_Libro1_ppto ucis ac is_COSTO DE MEDICAMENTOS " xfId="2886" xr:uid="{00000000-0005-0000-0000-0000460B0000}"/>
    <cellStyle name="_Libro1_ppto ucis ac is_COSTO DE MEDICAMENTOS _Consolidado PPTO Ingresos 2010 Ajuste Medicamentos" xfId="2887" xr:uid="{00000000-0005-0000-0000-0000470B0000}"/>
    <cellStyle name="_Libro1_ppto ucis ac is_COSTO DE MEDICAMENTOS _Consolidado PPTO Ingresos 2010 Ajuste Reuniones" xfId="2888" xr:uid="{00000000-0005-0000-0000-0000480B0000}"/>
    <cellStyle name="_Libro1_ppto ucis ac is_COSTO DE MEDICAMENTOS _Consolidado PPTO Ingresos 2010 Ejerc Reduccion % Ocupacional Vs 3 Centro" xfId="2889" xr:uid="{00000000-0005-0000-0000-0000490B0000}"/>
    <cellStyle name="_Libro1_ppto ucis ac is_EJECUCION PRESUPUESTAL A NOVIEMBRE  09 EJERCICIO AJUSTE INGRESOS " xfId="2890" xr:uid="{00000000-0005-0000-0000-00004A0B0000}"/>
    <cellStyle name="_Libro1_ppto ucis ac is_EJECUCION PRESUPUESTAL A NOVIEMBRE  09 EJERCICIO AJUSTE INGRESOS _Consolidado PPTO Ingresos 2010 Ajuste Medicamentos" xfId="2891" xr:uid="{00000000-0005-0000-0000-00004B0B0000}"/>
    <cellStyle name="_Libro1_Proyeccion Ingresos x EPS y General" xfId="2892" xr:uid="{00000000-0005-0000-0000-00004C0B0000}"/>
    <cellStyle name="_Libro1_Proyeccion Ingresos x EPS y General_Consolidado 1000 Proyecciones" xfId="2893" xr:uid="{00000000-0005-0000-0000-00004D0B0000}"/>
    <cellStyle name="_Libro1_Proyeccion Ingresos x EPS y General_EJECUCION_CONSOLIDADA_AGO_2008(1)" xfId="2894" xr:uid="{00000000-0005-0000-0000-00004E0B0000}"/>
    <cellStyle name="_Libro1_Proyeccion Ingresos x EPS y General_EJECUCION_CONSOLIDADA_AGO_2008(1)_Consolidado 1000 Proyecciones" xfId="2895" xr:uid="{00000000-0005-0000-0000-00004F0B0000}"/>
    <cellStyle name="_Libro1_Proyeccion Ingresos x EPS y General_EJECUCION_CONSOLIDADA_AGO_2008(1)_FORMATOPresupuesto 2010-TRABAJO.C1" xfId="2896" xr:uid="{00000000-0005-0000-0000-0000500B0000}"/>
    <cellStyle name="_Libro1_Proyeccion Ingresos x EPS y General_EJECUCION_CONSOLIDADA_AGO_2008(1)_FORMATOPresupuesto 2010-TRABAJO.C1." xfId="2897" xr:uid="{00000000-0005-0000-0000-0000510B0000}"/>
    <cellStyle name="_Libro1_Proyeccion Ingresos x EPS y General_FORMATOPresupuesto 2010-TRABAJO.C1" xfId="2898" xr:uid="{00000000-0005-0000-0000-0000520B0000}"/>
    <cellStyle name="_Libro1_Proyeccion Ingresos x EPS y General_FORMATOPresupuesto 2010-TRABAJO.C1." xfId="2899" xr:uid="{00000000-0005-0000-0000-0000530B0000}"/>
    <cellStyle name="_Libro11" xfId="2900" xr:uid="{00000000-0005-0000-0000-0000540B0000}"/>
    <cellStyle name="_Libro11_Consolidado 1000 Proyecciones" xfId="2901" xr:uid="{00000000-0005-0000-0000-0000550B0000}"/>
    <cellStyle name="_Libro11_EJECUCION_CONSOLIDADA_AGO_2008(1)" xfId="2902" xr:uid="{00000000-0005-0000-0000-0000560B0000}"/>
    <cellStyle name="_Libro11_EJECUCION_CONSOLIDADA_AGO_2008(1)_Consolidado 1000 Proyecciones" xfId="2903" xr:uid="{00000000-0005-0000-0000-0000570B0000}"/>
    <cellStyle name="_Libro11_EJECUCION_CONSOLIDADA_AGO_2008(1)_FORMATOPresupuesto 2010-TRABAJO.C1" xfId="2904" xr:uid="{00000000-0005-0000-0000-0000580B0000}"/>
    <cellStyle name="_Libro11_EJECUCION_CONSOLIDADA_AGO_2008(1)_FORMATOPresupuesto 2010-TRABAJO.C1." xfId="2905" xr:uid="{00000000-0005-0000-0000-0000590B0000}"/>
    <cellStyle name="_Libro11_FORMATOPresupuesto 2010-TRABAJO.C1" xfId="2906" xr:uid="{00000000-0005-0000-0000-00005A0B0000}"/>
    <cellStyle name="_Libro11_FORMATOPresupuesto 2010-TRABAJO.C1." xfId="2907" xr:uid="{00000000-0005-0000-0000-00005B0B0000}"/>
    <cellStyle name="_Libro4" xfId="2908" xr:uid="{00000000-0005-0000-0000-00005C0B0000}"/>
    <cellStyle name="_Libro4_Cartera a Abril" xfId="2909" xr:uid="{00000000-0005-0000-0000-00005D0B0000}"/>
    <cellStyle name="_Libro4_Cartera de Abril de 2009" xfId="2910" xr:uid="{00000000-0005-0000-0000-00005E0B0000}"/>
    <cellStyle name="_Libro4_Cartera de Agosto de 2009" xfId="2911" xr:uid="{00000000-0005-0000-0000-00005F0B0000}"/>
    <cellStyle name="_Libro4_Cartera de Julio de 2009" xfId="2912" xr:uid="{00000000-0005-0000-0000-0000600B0000}"/>
    <cellStyle name="_Libro4_Indicador dias ponderado  PB cartera" xfId="2913" xr:uid="{00000000-0005-0000-0000-0000610B0000}"/>
    <cellStyle name="_Libro4_Informe a Diciembre" xfId="2914" xr:uid="{00000000-0005-0000-0000-0000620B0000}"/>
    <cellStyle name="_Libro4_Informe a Diciembre1" xfId="2915" xr:uid="{00000000-0005-0000-0000-0000630B0000}"/>
    <cellStyle name="_Libro4_Informe a Diciembre2" xfId="2916" xr:uid="{00000000-0005-0000-0000-0000640B0000}"/>
    <cellStyle name="_Libro4_Informe a Diciembre4" xfId="2917" xr:uid="{00000000-0005-0000-0000-0000650B0000}"/>
    <cellStyle name="_LICITACION FRIMAC AUTOS" xfId="6505" xr:uid="{00000000-0005-0000-0000-0000660B0000}"/>
    <cellStyle name="_LT drilling model 26.05.06" xfId="2918" xr:uid="{00000000-0005-0000-0000-0000670B0000}"/>
    <cellStyle name="_LT KRS model 07.06.06" xfId="2919" xr:uid="{00000000-0005-0000-0000-0000680B0000}"/>
    <cellStyle name="_LT KRS model 17.06.06 main v2" xfId="2920" xr:uid="{00000000-0005-0000-0000-0000690B0000}"/>
    <cellStyle name="_LT KRS model 26.05.06" xfId="2921" xr:uid="{00000000-0005-0000-0000-00006A0B0000}"/>
    <cellStyle name="_LT model 08-11-05 P75 approved Integra KRS" xfId="2922" xr:uid="{00000000-0005-0000-0000-00006B0B0000}"/>
    <cellStyle name="_LT model 08-11-05 P75 approved Integra KRS ver 3" xfId="2923" xr:uid="{00000000-0005-0000-0000-00006C0B0000}"/>
    <cellStyle name="_LT model 08-11-05 P75 approved Integra KRS ver 3_BWGF - HTB - June 2010" xfId="2924" xr:uid="{00000000-0005-0000-0000-00006D0B0000}"/>
    <cellStyle name="_LT model 08-11-05 P75 approved Integra KRS ver 3_BWGF - VietSoft - June 2010" xfId="2925" xr:uid="{00000000-0005-0000-0000-00006E0B0000}"/>
    <cellStyle name="_LT model 08-11-05 P75 approved Integra KRS ver 3_GRDF_Bazi_063010_unlinked" xfId="2926" xr:uid="{00000000-0005-0000-0000-00006F0B0000}"/>
    <cellStyle name="_LT model 08-11-05 P75 approved Integra KRS ver 3_M&amp;A Comps" xfId="2927" xr:uid="{00000000-0005-0000-0000-0000700B0000}"/>
    <cellStyle name="_LT model 08-11-05 P75 approved Integra KRS ver 3_Public Comps" xfId="2928" xr:uid="{00000000-0005-0000-0000-0000710B0000}"/>
    <cellStyle name="_LT model 08-11-05 P75 approved Integra KRS ver 3_Revenue Participation" xfId="2929" xr:uid="{00000000-0005-0000-0000-0000720B0000}"/>
    <cellStyle name="_LT model 08-11-05 P75 approved Integra KRS ver 3_SEAF Macedonia - Login - June 2010" xfId="2930" xr:uid="{00000000-0005-0000-0000-0000730B0000}"/>
    <cellStyle name="_LT model 08-11-05 P75 approved Integra KRS_BWGF - HTB - June 2010" xfId="2931" xr:uid="{00000000-0005-0000-0000-0000740B0000}"/>
    <cellStyle name="_LT model 08-11-05 P75 approved Integra KRS_BWGF - VietSoft - June 2010" xfId="2932" xr:uid="{00000000-0005-0000-0000-0000750B0000}"/>
    <cellStyle name="_LT model 08-11-05 P75 approved Integra KRS_GRDF_Bazi_063010_unlinked" xfId="2933" xr:uid="{00000000-0005-0000-0000-0000760B0000}"/>
    <cellStyle name="_LT model 08-11-05 P75 approved Integra KRS_M&amp;A Comps" xfId="2934" xr:uid="{00000000-0005-0000-0000-0000770B0000}"/>
    <cellStyle name="_LT model 08-11-05 P75 approved Integra KRS_Public Comps" xfId="2935" xr:uid="{00000000-0005-0000-0000-0000780B0000}"/>
    <cellStyle name="_LT model 08-11-05 P75 approved Integra KRS_Revenue Participation" xfId="2936" xr:uid="{00000000-0005-0000-0000-0000790B0000}"/>
    <cellStyle name="_LT model 08-11-05 P75 approved Integra KRS_SEAF Macedonia - Login - June 2010" xfId="2937" xr:uid="{00000000-0005-0000-0000-00007A0B0000}"/>
    <cellStyle name="_LT model 17 05 2006 v2" xfId="2938" xr:uid="{00000000-0005-0000-0000-00007B0B0000}"/>
    <cellStyle name="_LT model 17 05 2006 v2_BWGF - HTB - June 2010" xfId="2939" xr:uid="{00000000-0005-0000-0000-00007C0B0000}"/>
    <cellStyle name="_LT model 17 05 2006 v2_BWGF - VietSoft - June 2010" xfId="2940" xr:uid="{00000000-0005-0000-0000-00007D0B0000}"/>
    <cellStyle name="_LT model 17 05 2006 v2_GRDF_Bazi_063010_unlinked" xfId="2941" xr:uid="{00000000-0005-0000-0000-00007E0B0000}"/>
    <cellStyle name="_LT model 17 05 2006 v2_M&amp;A Comps" xfId="2942" xr:uid="{00000000-0005-0000-0000-00007F0B0000}"/>
    <cellStyle name="_LT model 17 05 2006 v2_Public Comps" xfId="2943" xr:uid="{00000000-0005-0000-0000-0000800B0000}"/>
    <cellStyle name="_LT model 17 05 2006 v2_Revenue Participation" xfId="2944" xr:uid="{00000000-0005-0000-0000-0000810B0000}"/>
    <cellStyle name="_LT model 17 05 2006 v2_SEAF Macedonia - Login - June 2010" xfId="2945" xr:uid="{00000000-0005-0000-0000-0000820B0000}"/>
    <cellStyle name="_LT model 21-06-06 AL" xfId="2946" xr:uid="{00000000-0005-0000-0000-0000830B0000}"/>
    <cellStyle name="_LT model 21-06-06 AL_BWGF - HTB - June 2010" xfId="2947" xr:uid="{00000000-0005-0000-0000-0000840B0000}"/>
    <cellStyle name="_LT model 21-06-06 AL_BWGF - VietSoft - June 2010" xfId="2948" xr:uid="{00000000-0005-0000-0000-0000850B0000}"/>
    <cellStyle name="_LT model 21-06-06 AL_GRDF_Bazi_063010_unlinked" xfId="2949" xr:uid="{00000000-0005-0000-0000-0000860B0000}"/>
    <cellStyle name="_LT model 21-06-06 AL_M&amp;A Comps" xfId="2950" xr:uid="{00000000-0005-0000-0000-0000870B0000}"/>
    <cellStyle name="_LT model 21-06-06 AL_Public Comps" xfId="2951" xr:uid="{00000000-0005-0000-0000-0000880B0000}"/>
    <cellStyle name="_LT model 21-06-06 AL_Revenue Participation" xfId="2952" xr:uid="{00000000-0005-0000-0000-0000890B0000}"/>
    <cellStyle name="_LT model 21-06-06 AL_SEAF Macedonia - Login - June 2010" xfId="2953" xr:uid="{00000000-0005-0000-0000-00008A0B0000}"/>
    <cellStyle name="_LT model Геофизика 06.06.06" xfId="2954" xr:uid="{00000000-0005-0000-0000-00008B0B0000}"/>
    <cellStyle name="_LT model Геофизика 06.06.06_BWGF - HTB - June 2010" xfId="2955" xr:uid="{00000000-0005-0000-0000-00008C0B0000}"/>
    <cellStyle name="_LT model Геофизика 06.06.06_BWGF - VietSoft - June 2010" xfId="2956" xr:uid="{00000000-0005-0000-0000-00008D0B0000}"/>
    <cellStyle name="_LT model Геофизика 06.06.06_GRDF_Bazi_063010_unlinked" xfId="2957" xr:uid="{00000000-0005-0000-0000-00008E0B0000}"/>
    <cellStyle name="_LT model Геофизика 06.06.06_M&amp;A Comps" xfId="2958" xr:uid="{00000000-0005-0000-0000-00008F0B0000}"/>
    <cellStyle name="_LT model Геофизика 06.06.06_Public Comps" xfId="2959" xr:uid="{00000000-0005-0000-0000-0000900B0000}"/>
    <cellStyle name="_LT model Геофизика 06.06.06_Revenue Participation" xfId="2960" xr:uid="{00000000-0005-0000-0000-0000910B0000}"/>
    <cellStyle name="_LT model Геофизика 06.06.06_SEAF Macedonia - Login - June 2010" xfId="2961" xr:uid="{00000000-0005-0000-0000-0000920B0000}"/>
    <cellStyle name="_LT model Геофизика 26.05.06" xfId="2962" xr:uid="{00000000-0005-0000-0000-0000930B0000}"/>
    <cellStyle name="_LT model Геофизика 26.05.06_BWGF - HTB - June 2010" xfId="2963" xr:uid="{00000000-0005-0000-0000-0000940B0000}"/>
    <cellStyle name="_LT model Геофизика 26.05.06_BWGF - VietSoft - June 2010" xfId="2964" xr:uid="{00000000-0005-0000-0000-0000950B0000}"/>
    <cellStyle name="_LT model Геофизика 26.05.06_GRDF_Bazi_063010_unlinked" xfId="2965" xr:uid="{00000000-0005-0000-0000-0000960B0000}"/>
    <cellStyle name="_LT model Геофизика 26.05.06_M&amp;A Comps" xfId="2966" xr:uid="{00000000-0005-0000-0000-0000970B0000}"/>
    <cellStyle name="_LT model Геофизика 26.05.06_Public Comps" xfId="2967" xr:uid="{00000000-0005-0000-0000-0000980B0000}"/>
    <cellStyle name="_LT model Геофизика 26.05.06_Revenue Participation" xfId="2968" xr:uid="{00000000-0005-0000-0000-0000990B0000}"/>
    <cellStyle name="_LT model Геофизика 26.05.06_SEAF Macedonia - Login - June 2010" xfId="2969" xr:uid="{00000000-0005-0000-0000-00009A0B0000}"/>
    <cellStyle name="_Lukoil - US GAAP Model" xfId="2970" xr:uid="{00000000-0005-0000-0000-00009B0B0000}"/>
    <cellStyle name="_Mal for innhenting av estimater Q4- 2002" xfId="2971" xr:uid="{00000000-0005-0000-0000-00009C0B0000}"/>
    <cellStyle name="_May report 9 06 06" xfId="2972" xr:uid="{00000000-0005-0000-0000-00009D0B0000}"/>
    <cellStyle name="_mgcr1" xfId="2973" xr:uid="{00000000-0005-0000-0000-00009E0B0000}"/>
    <cellStyle name="_mmO2 JPMorgan Equity Research Model" xfId="2974" xr:uid="{00000000-0005-0000-0000-00009F0B0000}"/>
    <cellStyle name="_Model Lisheen 08.05.05" xfId="2975" xr:uid="{00000000-0005-0000-0000-0000A00B0000}"/>
    <cellStyle name="_Mondadori Model v18" xfId="2976" xr:uid="{00000000-0005-0000-0000-0000A10B0000}"/>
    <cellStyle name="_Mondadori Model v20" xfId="2977" xr:uid="{00000000-0005-0000-0000-0000A20B0000}"/>
    <cellStyle name="_Multiple" xfId="2978" xr:uid="{00000000-0005-0000-0000-0000A30B0000}"/>
    <cellStyle name="_Multiple_10yr Summary" xfId="2979" xr:uid="{00000000-0005-0000-0000-0000A40B0000}"/>
    <cellStyle name="_Multiple_Ariba profile" xfId="2980" xr:uid="{00000000-0005-0000-0000-0000A50B0000}"/>
    <cellStyle name="_Multiple_AVP" xfId="2981" xr:uid="{00000000-0005-0000-0000-0000A60B0000}"/>
    <cellStyle name="_Multiple_Base Model new IBP April 18" xfId="2982" xr:uid="{00000000-0005-0000-0000-0000A70B0000}"/>
    <cellStyle name="_Multiple_Blue Merger Model Synergy 22-Nov-2002" xfId="2983" xr:uid="{00000000-0005-0000-0000-0000A80B0000}"/>
    <cellStyle name="_Multiple_Book1" xfId="2984" xr:uid="{00000000-0005-0000-0000-0000A90B0000}"/>
    <cellStyle name="_Multiple_Book1_1" xfId="2985" xr:uid="{00000000-0005-0000-0000-0000AA0B0000}"/>
    <cellStyle name="_Multiple_Charlie Indicative LBO Model 24-Mar-2002" xfId="2986" xr:uid="{00000000-0005-0000-0000-0000AB0B0000}"/>
    <cellStyle name="_Multiple_diluted share - cirrus &amp; nimbus" xfId="2987" xr:uid="{00000000-0005-0000-0000-0000AC0B0000}"/>
    <cellStyle name="_Multiple_EXCEL SHEETS" xfId="2988" xr:uid="{00000000-0005-0000-0000-0000AD0B0000}"/>
    <cellStyle name="_Multiple_Hermes Merger Model KPMG No.s 21-Nov-2002" xfId="2989" xr:uid="{00000000-0005-0000-0000-0000AE0B0000}"/>
    <cellStyle name="_Multiple_IM Latest combined Group PL (DC)" xfId="2990" xr:uid="{00000000-0005-0000-0000-0000AF0B0000}"/>
    <cellStyle name="_Multiple_Indicative LBO model" xfId="2991" xr:uid="{00000000-0005-0000-0000-0000B00B0000}"/>
    <cellStyle name="_Multiple_integrated_standalone" xfId="2992" xr:uid="{00000000-0005-0000-0000-0000B10B0000}"/>
    <cellStyle name="_Multiple_JPM Summary model Feb 2006" xfId="2993" xr:uid="{00000000-0005-0000-0000-0000B20B0000}"/>
    <cellStyle name="_Multiple_key stats2" xfId="2994" xr:uid="{00000000-0005-0000-0000-0000B30B0000}"/>
    <cellStyle name="_Multiple_LBO Disposal" xfId="2995" xr:uid="{00000000-0005-0000-0000-0000B40B0000}"/>
    <cellStyle name="_Multiple_Lightning Model October 2001" xfId="2996" xr:uid="{00000000-0005-0000-0000-0000B50B0000}"/>
    <cellStyle name="_Multiple_merger_plans" xfId="2997" xr:uid="{00000000-0005-0000-0000-0000B60B0000}"/>
    <cellStyle name="_Multiple_Nimbus - Historical Financials" xfId="2998" xr:uid="{00000000-0005-0000-0000-0000B70B0000}"/>
    <cellStyle name="_Multiple_Nimbus P&amp;L Model" xfId="2999" xr:uid="{00000000-0005-0000-0000-0000B80B0000}"/>
    <cellStyle name="_Multiple_Pterodactyl Returns Model (1-14-03)" xfId="3000" xr:uid="{00000000-0005-0000-0000-0000B90B0000}"/>
    <cellStyle name="_Multiple_sop-nimbus" xfId="3001" xr:uid="{00000000-0005-0000-0000-0000BA0B0000}"/>
    <cellStyle name="_Multiple_Tripoli LBO Model 12 Nov 2004" xfId="3002" xr:uid="{00000000-0005-0000-0000-0000BB0B0000}"/>
    <cellStyle name="_Multiple_Volvo Cars model 011006 v7" xfId="3003" xr:uid="{00000000-0005-0000-0000-0000BC0B0000}"/>
    <cellStyle name="_MultipleSpace" xfId="3004" xr:uid="{00000000-0005-0000-0000-0000BD0B0000}"/>
    <cellStyle name="_MultipleSpace_10yr Summary" xfId="3005" xr:uid="{00000000-0005-0000-0000-0000BE0B0000}"/>
    <cellStyle name="_MultipleSpace_Ariba profile" xfId="3006" xr:uid="{00000000-0005-0000-0000-0000BF0B0000}"/>
    <cellStyle name="_MultipleSpace_AVP" xfId="3007" xr:uid="{00000000-0005-0000-0000-0000C00B0000}"/>
    <cellStyle name="_MultipleSpace_Base Model new IBP April 18" xfId="3008" xr:uid="{00000000-0005-0000-0000-0000C10B0000}"/>
    <cellStyle name="_MultipleSpace_Book1" xfId="3009" xr:uid="{00000000-0005-0000-0000-0000C20B0000}"/>
    <cellStyle name="_MultipleSpace_Book1_1" xfId="3010" xr:uid="{00000000-0005-0000-0000-0000C30B0000}"/>
    <cellStyle name="_MultipleSpace_Charlie Indicative LBO Model 24-Mar-2002" xfId="3011" xr:uid="{00000000-0005-0000-0000-0000C40B0000}"/>
    <cellStyle name="_MultipleSpace_diluted share - cirrus &amp; nimbus" xfId="3012" xr:uid="{00000000-0005-0000-0000-0000C50B0000}"/>
    <cellStyle name="_MultipleSpace_Eramet valuation_14.02.07_v12" xfId="3013" xr:uid="{00000000-0005-0000-0000-0000C60B0000}"/>
    <cellStyle name="_MultipleSpace_EXCEL SHEETS" xfId="3014" xr:uid="{00000000-0005-0000-0000-0000C70B0000}"/>
    <cellStyle name="_MultipleSpace_Indicative LBO model" xfId="3015" xr:uid="{00000000-0005-0000-0000-0000C80B0000}"/>
    <cellStyle name="_MultipleSpace_integrated_standalone" xfId="3016" xr:uid="{00000000-0005-0000-0000-0000C90B0000}"/>
    <cellStyle name="_MultipleSpace_JPM Summary model Feb 2006" xfId="3017" xr:uid="{00000000-0005-0000-0000-0000CA0B0000}"/>
    <cellStyle name="_MultipleSpace_key stats2" xfId="3018" xr:uid="{00000000-0005-0000-0000-0000CB0B0000}"/>
    <cellStyle name="_MultipleSpace_LBO Disposal" xfId="3019" xr:uid="{00000000-0005-0000-0000-0000CC0B0000}"/>
    <cellStyle name="_MultipleSpace_Lightning Model October 2001" xfId="3020" xr:uid="{00000000-0005-0000-0000-0000CD0B0000}"/>
    <cellStyle name="_MultipleSpace_merger_plans" xfId="3021" xr:uid="{00000000-0005-0000-0000-0000CE0B0000}"/>
    <cellStyle name="_MultipleSpace_Nimbus - Historical Financials" xfId="3022" xr:uid="{00000000-0005-0000-0000-0000CF0B0000}"/>
    <cellStyle name="_MultipleSpace_Nimbus P&amp;L Model" xfId="3023" xr:uid="{00000000-0005-0000-0000-0000D00B0000}"/>
    <cellStyle name="_MultipleSpace_Pterodactyl Returns Model (1-14-03)" xfId="3024" xr:uid="{00000000-0005-0000-0000-0000D10B0000}"/>
    <cellStyle name="_MultipleSpace_sop-nimbus" xfId="3025" xr:uid="{00000000-0005-0000-0000-0000D20B0000}"/>
    <cellStyle name="_MultipleSpace_Volvo Cars model 011006 v7" xfId="3026" xr:uid="{00000000-0005-0000-0000-0000D30B0000}"/>
    <cellStyle name="_Nefteyugansk model new leasing 29.07.2005" xfId="3027" xr:uid="{00000000-0005-0000-0000-0000D40B0000}"/>
    <cellStyle name="_Nokian model 12 12 05" xfId="3028" xr:uid="{00000000-0005-0000-0000-0000D50B0000}"/>
    <cellStyle name="_nomina" xfId="3029" xr:uid="{00000000-0005-0000-0000-0000D60B0000}"/>
    <cellStyle name="_nortoil -- summary" xfId="3030" xr:uid="{00000000-0005-0000-0000-0000D70B0000}"/>
    <cellStyle name="_Oils only" xfId="3031" xr:uid="{00000000-0005-0000-0000-0000D80B0000}"/>
    <cellStyle name="_P Y G MEDICAMENTOS A AGOSTO 08" xfId="3032" xr:uid="{00000000-0005-0000-0000-0000D90B0000}"/>
    <cellStyle name="_P Y G MEDICAMENTOS A AGOSTO 08_COSTO DE MEDICAMENTOS " xfId="3033" xr:uid="{00000000-0005-0000-0000-0000DA0B0000}"/>
    <cellStyle name="_P Y G MEDICAMENTOS A AGOSTO 08_COSTO DE MEDICAMENTOS _Consolidado PPTO Ingresos 2010 Ajuste Medicamentos" xfId="3034" xr:uid="{00000000-0005-0000-0000-0000DB0B0000}"/>
    <cellStyle name="_P Y G MEDICAMENTOS A AGOSTO 08_COSTO DE MEDICAMENTOS _Consolidado PPTO Ingresos 2010 Ajuste Reuniones" xfId="3035" xr:uid="{00000000-0005-0000-0000-0000DC0B0000}"/>
    <cellStyle name="_P Y G MEDICAMENTOS A AGOSTO 08_COSTO DE MEDICAMENTOS _Consolidado PPTO Ingresos 2010 Ejerc Reduccion % Ocupacional Vs 3 Centro" xfId="3036" xr:uid="{00000000-0005-0000-0000-0000DD0B0000}"/>
    <cellStyle name="_P Y G MEDICAMENTOS A AGOSTO 08_EJECUCION CONSOLIDADA A OCTUBRE GENERAL.CONSOLIDADO" xfId="3037" xr:uid="{00000000-0005-0000-0000-0000DE0B0000}"/>
    <cellStyle name="_P Y G MEDICAMENTOS A AGOSTO 08_EJECUCION PRESUPUESTAL A AGOSTO 09" xfId="3038" xr:uid="{00000000-0005-0000-0000-0000DF0B0000}"/>
    <cellStyle name="_P Y G MEDICAMENTOS A AGOSTO 08_EJECUCION PRESUPUESTAL A NOVIEMBRE  09 EJERCICIO AJUSTE INGRESOS " xfId="3039" xr:uid="{00000000-0005-0000-0000-0000E00B0000}"/>
    <cellStyle name="_P Y G MEDICAMENTOS A AGOSTO 08_EJECUCION PRESUPUESTAL A NOVIEMBRE  09 EJERCICIO AJUSTE INGRESOS _Consolidado PPTO Ingresos 2010 Ajuste Medicamentos" xfId="3040" xr:uid="{00000000-0005-0000-0000-0000E10B0000}"/>
    <cellStyle name="_P Y G MEDICAMENTOS I SEMESTRE 08" xfId="3041" xr:uid="{00000000-0005-0000-0000-0000E20B0000}"/>
    <cellStyle name="_P Y G MEDICAMENTOS I SEMESTRE 08_FINANCIEROS-CONS" xfId="3042" xr:uid="{00000000-0005-0000-0000-0000E30B0000}"/>
    <cellStyle name="_P Y G MEDICAMENTOS I SEMESTRE 08_provision contingencias-CONS" xfId="3043" xr:uid="{00000000-0005-0000-0000-0000E40B0000}"/>
    <cellStyle name="_P Y G MEDICAMENTOS I SEMESTRE 08_provision de cartera-CONS" xfId="3044" xr:uid="{00000000-0005-0000-0000-0000E50B0000}"/>
    <cellStyle name="_Percent" xfId="3045" xr:uid="{00000000-0005-0000-0000-0000E60B0000}"/>
    <cellStyle name="_Percent_Ariba profile" xfId="3046" xr:uid="{00000000-0005-0000-0000-0000E70B0000}"/>
    <cellStyle name="_Percent_AVP" xfId="3047" xr:uid="{00000000-0005-0000-0000-0000E80B0000}"/>
    <cellStyle name="_Percent_Base Model new IBP April 18" xfId="3048" xr:uid="{00000000-0005-0000-0000-0000E90B0000}"/>
    <cellStyle name="_Percent_Book1" xfId="3049" xr:uid="{00000000-0005-0000-0000-0000EA0B0000}"/>
    <cellStyle name="_Percent_diluted share - cirrus &amp; nimbus" xfId="3050" xr:uid="{00000000-0005-0000-0000-0000EB0B0000}"/>
    <cellStyle name="_Percent_EXCEL SHEETS" xfId="3051" xr:uid="{00000000-0005-0000-0000-0000EC0B0000}"/>
    <cellStyle name="_Percent_key stats2" xfId="3052" xr:uid="{00000000-0005-0000-0000-0000ED0B0000}"/>
    <cellStyle name="_Percent_Nimbus - Historical Financials" xfId="3053" xr:uid="{00000000-0005-0000-0000-0000EE0B0000}"/>
    <cellStyle name="_Percent_Nimbus P&amp;L Model" xfId="3054" xr:uid="{00000000-0005-0000-0000-0000EF0B0000}"/>
    <cellStyle name="_Percent_Pterodactyl Returns Model (1-14-03)" xfId="3055" xr:uid="{00000000-0005-0000-0000-0000F00B0000}"/>
    <cellStyle name="_Percent_sop-nimbus" xfId="3056" xr:uid="{00000000-0005-0000-0000-0000F10B0000}"/>
    <cellStyle name="_PercentSpace" xfId="3057" xr:uid="{00000000-0005-0000-0000-0000F20B0000}"/>
    <cellStyle name="_PercentSpace_Ariba profile" xfId="3058" xr:uid="{00000000-0005-0000-0000-0000F30B0000}"/>
    <cellStyle name="_PercentSpace_AVP" xfId="3059" xr:uid="{00000000-0005-0000-0000-0000F40B0000}"/>
    <cellStyle name="_PercentSpace_Base Model new IBP April 18" xfId="3060" xr:uid="{00000000-0005-0000-0000-0000F50B0000}"/>
    <cellStyle name="_PercentSpace_Book1" xfId="3061" xr:uid="{00000000-0005-0000-0000-0000F60B0000}"/>
    <cellStyle name="_PercentSpace_diluted share - cirrus &amp; nimbus" xfId="3062" xr:uid="{00000000-0005-0000-0000-0000F70B0000}"/>
    <cellStyle name="_PercentSpace_EXCEL SHEETS" xfId="3063" xr:uid="{00000000-0005-0000-0000-0000F80B0000}"/>
    <cellStyle name="_PercentSpace_key stats2" xfId="3064" xr:uid="{00000000-0005-0000-0000-0000F90B0000}"/>
    <cellStyle name="_PercentSpace_Nimbus - Historical Financials" xfId="3065" xr:uid="{00000000-0005-0000-0000-0000FA0B0000}"/>
    <cellStyle name="_PercentSpace_Nimbus P&amp;L Model" xfId="3066" xr:uid="{00000000-0005-0000-0000-0000FB0B0000}"/>
    <cellStyle name="_PercentSpace_Pterodactyl Returns Model (1-14-03)" xfId="3067" xr:uid="{00000000-0005-0000-0000-0000FC0B0000}"/>
    <cellStyle name="_PercentSpace_sop-nimbus" xfId="3068" xr:uid="{00000000-0005-0000-0000-0000FD0B0000}"/>
    <cellStyle name="_Pilkingtonadjusted 021105" xfId="3069" xr:uid="{00000000-0005-0000-0000-0000FE0B0000}"/>
    <cellStyle name="_Presupuesto Gastos Pnal 2006" xfId="3070" xr:uid="{00000000-0005-0000-0000-0000FF0B0000}"/>
    <cellStyle name="_Presupuesto Gastos Pnal 2006_Construccion Ingresos 2010" xfId="3071" xr:uid="{00000000-0005-0000-0000-0000000C0000}"/>
    <cellStyle name="_Presupuesto Gastos Pnal 2006_Copia de seguridad de Construccion Ingresos 2010" xfId="3072" xr:uid="{00000000-0005-0000-0000-0000010C0000}"/>
    <cellStyle name="_PROGRAMA DE SEGUROS OPL CARGA" xfId="6506" xr:uid="{00000000-0005-0000-0000-0000020C0000}"/>
    <cellStyle name="_ProjRevenuesBP1" xfId="3073" xr:uid="{00000000-0005-0000-0000-0000030C0000}"/>
    <cellStyle name="_ProjRevenuesBP1_BWGF - HTB - June 2010" xfId="3074" xr:uid="{00000000-0005-0000-0000-0000040C0000}"/>
    <cellStyle name="_ProjRevenuesBP1_BWGF - VietSoft - June 2010" xfId="3075" xr:uid="{00000000-0005-0000-0000-0000050C0000}"/>
    <cellStyle name="_ProjRevenuesBP1_GRDF_Bazi_063010_unlinked" xfId="3076" xr:uid="{00000000-0005-0000-0000-0000060C0000}"/>
    <cellStyle name="_ProjRevenuesBP1_Portfolio Template" xfId="3077" xr:uid="{00000000-0005-0000-0000-0000070C0000}"/>
    <cellStyle name="_ProjRevenuesBP1_SEAF Macedonia - Login - June 2010" xfId="3078" xr:uid="{00000000-0005-0000-0000-0000080C0000}"/>
    <cellStyle name="_provision contingencias-CONS" xfId="3079" xr:uid="{00000000-0005-0000-0000-0000090C0000}"/>
    <cellStyle name="_provision de cartera-CONS" xfId="3080" xr:uid="{00000000-0005-0000-0000-00000A0C0000}"/>
    <cellStyle name="_Proyeccion Ingresos x EPS y General" xfId="3081" xr:uid="{00000000-0005-0000-0000-00000B0C0000}"/>
    <cellStyle name="_Resumen Proyeccion 2007 Retail" xfId="3082" xr:uid="{00000000-0005-0000-0000-00000C0C0000}"/>
    <cellStyle name="_Resumen Proyeccion 2007 Retail_BWGF - HTB - June 2010" xfId="3083" xr:uid="{00000000-0005-0000-0000-00000D0C0000}"/>
    <cellStyle name="_Resumen Proyeccion 2007 Retail_BWGF - VietSoft - June 2010" xfId="3084" xr:uid="{00000000-0005-0000-0000-00000E0C0000}"/>
    <cellStyle name="_Resumen Proyeccion 2007 Retail_GRDF_Bazi_063010_unlinked" xfId="3085" xr:uid="{00000000-0005-0000-0000-00000F0C0000}"/>
    <cellStyle name="_Resumen Proyeccion 2007 Retail_Portfolio Template" xfId="3086" xr:uid="{00000000-0005-0000-0000-0000100C0000}"/>
    <cellStyle name="_Resumen Proyeccion 2007 Retail_SEAF Macedonia - Login - June 2010" xfId="3087" xr:uid="{00000000-0005-0000-0000-0000110C0000}"/>
    <cellStyle name="_Returns Model Template" xfId="3088" xr:uid="{00000000-0005-0000-0000-0000120C0000}"/>
    <cellStyle name="_Row1" xfId="3089" xr:uid="{00000000-0005-0000-0000-0000130C0000}"/>
    <cellStyle name="_Row1_Bank case Viking (sent to JPM 10 Nov 05)" xfId="3090" xr:uid="{00000000-0005-0000-0000-0000140C0000}"/>
    <cellStyle name="_Row1_Banks (2)" xfId="3091" xr:uid="{00000000-0005-0000-0000-0000150C0000}"/>
    <cellStyle name="_Row1_EBITDA-Recon P&amp;L OPSP04-08_GX" xfId="3092" xr:uid="{00000000-0005-0000-0000-0000160C0000}"/>
    <cellStyle name="_Row1_Eramet valuation_14.02.07_v12" xfId="3093" xr:uid="{00000000-0005-0000-0000-0000170C0000}"/>
    <cellStyle name="_Row1_Financial ratios_Euroland" xfId="3094" xr:uid="{00000000-0005-0000-0000-0000180C0000}"/>
    <cellStyle name="_Row1_GX evaluation without pensions" xfId="3095" xr:uid="{00000000-0005-0000-0000-0000190C0000}"/>
    <cellStyle name="_Row1_GX model_JPM_310107_FINAL" xfId="3096" xr:uid="{00000000-0005-0000-0000-00001A0C0000}"/>
    <cellStyle name="_Row1_GX OPSP0509 incl. Zurückdrehen Subsidies NVM" xfId="3097" xr:uid="{00000000-0005-0000-0000-00001B0C0000}"/>
    <cellStyle name="_Row1_GX Plan" xfId="3098" xr:uid="{00000000-0005-0000-0000-00001C0C0000}"/>
    <cellStyle name="_Row1_Gx_analysis_240306 v1" xfId="3099" xr:uid="{00000000-0005-0000-0000-00001D0C0000}"/>
    <cellStyle name="_Row1_Headcount" xfId="3100" xr:uid="{00000000-0005-0000-0000-00001E0C0000}"/>
    <cellStyle name="_Row1_Headcount_Monthly report" xfId="3101" xr:uid="{00000000-0005-0000-0000-00001F0C0000}"/>
    <cellStyle name="_Row1_LTMJUN02" xfId="3102" xr:uid="{00000000-0005-0000-0000-0000200C0000}"/>
    <cellStyle name="_Row1_MIS Reporting_Budget_JD" xfId="3103" xr:uid="{00000000-0005-0000-0000-0000210C0000}"/>
    <cellStyle name="_Row1_New Gerresheimer bank plan (sent to JPM 26 Nov 05)" xfId="3104" xr:uid="{00000000-0005-0000-0000-0000220C0000}"/>
    <cellStyle name="_Row1_P&amp;L bank model - received from Gerresheimer 1 12 05" xfId="3105" xr:uid="{00000000-0005-0000-0000-0000230C0000}"/>
    <cellStyle name="_Row1_Plan model" xfId="3106" xr:uid="{00000000-0005-0000-0000-0000240C0000}"/>
    <cellStyle name="_Row1_Quarterly" xfId="3107" xr:uid="{00000000-0005-0000-0000-0000250C0000}"/>
    <cellStyle name="_Row1_Tabelle1" xfId="3108" xr:uid="{00000000-0005-0000-0000-0000260C0000}"/>
    <cellStyle name="_Row1_TSG2" xfId="3109" xr:uid="{00000000-0005-0000-0000-0000270C0000}"/>
    <cellStyle name="_Row1_Update 2004 Figures v2 (sent to banks)" xfId="3110" xr:uid="{00000000-0005-0000-0000-0000280C0000}"/>
    <cellStyle name="_Row1_Volvo Cars model 011006 v7" xfId="3111" xr:uid="{00000000-0005-0000-0000-0000290C0000}"/>
    <cellStyle name="_Row1_WC benchmark Calc" xfId="3112" xr:uid="{00000000-0005-0000-0000-00002A0C0000}"/>
    <cellStyle name="_Row1_Zins und Bankschuldenberechnung_03_07" xfId="3113" xr:uid="{00000000-0005-0000-0000-00002B0C0000}"/>
    <cellStyle name="_Row2" xfId="3114" xr:uid="{00000000-0005-0000-0000-00002C0C0000}"/>
    <cellStyle name="_Row2_051003 Viking Business plan" xfId="3115" xr:uid="{00000000-0005-0000-0000-00002D0C0000}"/>
    <cellStyle name="_Row2_051004 Viking Business plan10" xfId="3116" xr:uid="{00000000-0005-0000-0000-00002E0C0000}"/>
    <cellStyle name="_Row2_Aurora LBO v25" xfId="3117" xr:uid="{00000000-0005-0000-0000-00002F0C0000}"/>
    <cellStyle name="_Row2_Bank case Viking (sent to JPM 10 Nov 05)" xfId="3118" xr:uid="{00000000-0005-0000-0000-0000300C0000}"/>
    <cellStyle name="_Row2_Cost Price Assumptions OPSP0509 vs OPSP0610" xfId="3119" xr:uid="{00000000-0005-0000-0000-0000310C0000}"/>
    <cellStyle name="_Row2_FY 2005-2009 OP-SP Update (11-Oct-04)" xfId="3120" xr:uid="{00000000-0005-0000-0000-0000320C0000}"/>
    <cellStyle name="_Row2_Key assumptions GX companies" xfId="3121" xr:uid="{00000000-0005-0000-0000-0000330C0000}"/>
    <cellStyle name="_Row2_Mappe2" xfId="3122" xr:uid="{00000000-0005-0000-0000-0000340C0000}"/>
    <cellStyle name="_Row2_MIS Reporting_Budget_OPSP 06-10" xfId="3123" xr:uid="{00000000-0005-0000-0000-0000350C0000}"/>
    <cellStyle name="_Row2_TSG2" xfId="3124" xr:uid="{00000000-0005-0000-0000-0000360C0000}"/>
    <cellStyle name="_Row2_Volvo Cars model 011006 v7" xfId="3125" xr:uid="{00000000-0005-0000-0000-0000370C0000}"/>
    <cellStyle name="_Row3" xfId="3126" xr:uid="{00000000-0005-0000-0000-0000380C0000}"/>
    <cellStyle name="_Row3_051003 Viking Business plan" xfId="3127" xr:uid="{00000000-0005-0000-0000-0000390C0000}"/>
    <cellStyle name="_Row3_051004 Viking Business plan10" xfId="3128" xr:uid="{00000000-0005-0000-0000-00003A0C0000}"/>
    <cellStyle name="_Row3_Bank case Viking (sent to JPM 10 Nov 05)" xfId="3129" xr:uid="{00000000-0005-0000-0000-00003B0C0000}"/>
    <cellStyle name="_Row3_Cost Price Assumptions OPSP0509 vs OPSP0610" xfId="3130" xr:uid="{00000000-0005-0000-0000-00003C0C0000}"/>
    <cellStyle name="_Row3_Eramet valuation_14.02.07_v12" xfId="3131" xr:uid="{00000000-0005-0000-0000-00003D0C0000}"/>
    <cellStyle name="_Row3_FY 2005-2009 OP-SP Update (11-Oct-04)" xfId="3132" xr:uid="{00000000-0005-0000-0000-00003E0C0000}"/>
    <cellStyle name="_Row3_GX model_JPM_310107_FINAL" xfId="3133" xr:uid="{00000000-0005-0000-0000-00003F0C0000}"/>
    <cellStyle name="_Row3_Gx_analysis_240306 v1" xfId="3134" xr:uid="{00000000-0005-0000-0000-0000400C0000}"/>
    <cellStyle name="_Row3_Key assumptions GX companies" xfId="3135" xr:uid="{00000000-0005-0000-0000-0000410C0000}"/>
    <cellStyle name="_Row3_Mappe2" xfId="3136" xr:uid="{00000000-0005-0000-0000-0000420C0000}"/>
    <cellStyle name="_Row3_MIS Reporting_Budget_OPSP 06-10" xfId="3137" xr:uid="{00000000-0005-0000-0000-0000430C0000}"/>
    <cellStyle name="_Row3_TSG2" xfId="3138" xr:uid="{00000000-0005-0000-0000-0000440C0000}"/>
    <cellStyle name="_Row3_Volvo Cars model 011006 v7" xfId="3139" xr:uid="{00000000-0005-0000-0000-0000450C0000}"/>
    <cellStyle name="_Row4" xfId="3140" xr:uid="{00000000-0005-0000-0000-0000460C0000}"/>
    <cellStyle name="_Row4_051003 Viking Business plan" xfId="3141" xr:uid="{00000000-0005-0000-0000-0000470C0000}"/>
    <cellStyle name="_Row4_051004 Viking Business plan10" xfId="3142" xr:uid="{00000000-0005-0000-0000-0000480C0000}"/>
    <cellStyle name="_Row4_Bank case Viking (sent to JPM 10 Nov 05)" xfId="3143" xr:uid="{00000000-0005-0000-0000-0000490C0000}"/>
    <cellStyle name="_Row4_Cost Price Assumptions OPSP0509 vs OPSP0610" xfId="3144" xr:uid="{00000000-0005-0000-0000-00004A0C0000}"/>
    <cellStyle name="_Row4_Eramet valuation_14.02.07_v12" xfId="3145" xr:uid="{00000000-0005-0000-0000-00004B0C0000}"/>
    <cellStyle name="_Row4_FY 2005-2009 OP-SP Update (11-Oct-04)" xfId="3146" xr:uid="{00000000-0005-0000-0000-00004C0C0000}"/>
    <cellStyle name="_Row4_GX model_JPM_310107_FINAL" xfId="3147" xr:uid="{00000000-0005-0000-0000-00004D0C0000}"/>
    <cellStyle name="_Row4_Gx_analysis_240306 v1" xfId="3148" xr:uid="{00000000-0005-0000-0000-00004E0C0000}"/>
    <cellStyle name="_Row4_Key assumptions GX companies" xfId="3149" xr:uid="{00000000-0005-0000-0000-00004F0C0000}"/>
    <cellStyle name="_Row4_Mappe2" xfId="3150" xr:uid="{00000000-0005-0000-0000-0000500C0000}"/>
    <cellStyle name="_Row4_MIS Reporting_Budget_OPSP 06-10" xfId="3151" xr:uid="{00000000-0005-0000-0000-0000510C0000}"/>
    <cellStyle name="_Row4_TSG2" xfId="3152" xr:uid="{00000000-0005-0000-0000-0000520C0000}"/>
    <cellStyle name="_Row4_Volvo Cars model 011006 v7" xfId="3153" xr:uid="{00000000-0005-0000-0000-0000530C0000}"/>
    <cellStyle name="_Row5" xfId="3154" xr:uid="{00000000-0005-0000-0000-0000540C0000}"/>
    <cellStyle name="_Row5_051003 Viking Business plan" xfId="3155" xr:uid="{00000000-0005-0000-0000-0000550C0000}"/>
    <cellStyle name="_Row5_051004 Viking Business plan10" xfId="3156" xr:uid="{00000000-0005-0000-0000-0000560C0000}"/>
    <cellStyle name="_Row5_Bank case Viking (sent to JPM 10 Nov 05)" xfId="3157" xr:uid="{00000000-0005-0000-0000-0000570C0000}"/>
    <cellStyle name="_Row5_Cost Price Assumptions OPSP0509 vs OPSP0610" xfId="3158" xr:uid="{00000000-0005-0000-0000-0000580C0000}"/>
    <cellStyle name="_Row5_Eramet valuation_14.02.07_v12" xfId="3159" xr:uid="{00000000-0005-0000-0000-0000590C0000}"/>
    <cellStyle name="_Row5_FY 2005-2009 OP-SP Update (11-Oct-04)" xfId="3160" xr:uid="{00000000-0005-0000-0000-00005A0C0000}"/>
    <cellStyle name="_Row5_GX model_JPM_310107_FINAL" xfId="3161" xr:uid="{00000000-0005-0000-0000-00005B0C0000}"/>
    <cellStyle name="_Row5_Gx_analysis_240306 v1" xfId="3162" xr:uid="{00000000-0005-0000-0000-00005C0C0000}"/>
    <cellStyle name="_Row5_Key assumptions GX companies" xfId="3163" xr:uid="{00000000-0005-0000-0000-00005D0C0000}"/>
    <cellStyle name="_Row5_Mappe2" xfId="3164" xr:uid="{00000000-0005-0000-0000-00005E0C0000}"/>
    <cellStyle name="_Row5_MIS Reporting_Budget_OPSP 06-10" xfId="3165" xr:uid="{00000000-0005-0000-0000-00005F0C0000}"/>
    <cellStyle name="_Row5_TSG2" xfId="3166" xr:uid="{00000000-0005-0000-0000-0000600C0000}"/>
    <cellStyle name="_Row5_Volvo Cars model 011006 v7" xfId="3167" xr:uid="{00000000-0005-0000-0000-0000610C0000}"/>
    <cellStyle name="_Row6" xfId="3168" xr:uid="{00000000-0005-0000-0000-0000620C0000}"/>
    <cellStyle name="_Row6_051003 Viking Business plan" xfId="3169" xr:uid="{00000000-0005-0000-0000-0000630C0000}"/>
    <cellStyle name="_Row6_051004 Viking Business plan10" xfId="3170" xr:uid="{00000000-0005-0000-0000-0000640C0000}"/>
    <cellStyle name="_Row6_Bank case Viking (sent to JPM 10 Nov 05)" xfId="3171" xr:uid="{00000000-0005-0000-0000-0000650C0000}"/>
    <cellStyle name="_Row6_Cost Price Assumptions OPSP0509 vs OPSP0610" xfId="3172" xr:uid="{00000000-0005-0000-0000-0000660C0000}"/>
    <cellStyle name="_Row6_Eramet valuation_14.02.07_v12" xfId="3173" xr:uid="{00000000-0005-0000-0000-0000670C0000}"/>
    <cellStyle name="_Row6_FY 2005-2009 OP-SP Update (11-Oct-04)" xfId="3174" xr:uid="{00000000-0005-0000-0000-0000680C0000}"/>
    <cellStyle name="_Row6_GX model_JPM_310107_FINAL" xfId="3175" xr:uid="{00000000-0005-0000-0000-0000690C0000}"/>
    <cellStyle name="_Row6_Gx_analysis_240306 v1" xfId="3176" xr:uid="{00000000-0005-0000-0000-00006A0C0000}"/>
    <cellStyle name="_Row6_Key assumptions GX companies" xfId="3177" xr:uid="{00000000-0005-0000-0000-00006B0C0000}"/>
    <cellStyle name="_Row6_Mappe2" xfId="3178" xr:uid="{00000000-0005-0000-0000-00006C0C0000}"/>
    <cellStyle name="_Row6_MIS Reporting_Budget_OPSP 06-10" xfId="3179" xr:uid="{00000000-0005-0000-0000-00006D0C0000}"/>
    <cellStyle name="_Row6_TSG2" xfId="3180" xr:uid="{00000000-0005-0000-0000-00006E0C0000}"/>
    <cellStyle name="_Row6_Volvo Cars model 011006 v7" xfId="3181" xr:uid="{00000000-0005-0000-0000-00006F0C0000}"/>
    <cellStyle name="_Row7" xfId="3182" xr:uid="{00000000-0005-0000-0000-0000700C0000}"/>
    <cellStyle name="_Row7_051003 Viking Business plan" xfId="3183" xr:uid="{00000000-0005-0000-0000-0000710C0000}"/>
    <cellStyle name="_Row7_051004 Viking Business plan10" xfId="3184" xr:uid="{00000000-0005-0000-0000-0000720C0000}"/>
    <cellStyle name="_Row7_Bank case Viking (sent to JPM 10 Nov 05)" xfId="3185" xr:uid="{00000000-0005-0000-0000-0000730C0000}"/>
    <cellStyle name="_Row7_Cost Price Assumptions OPSP0509 vs OPSP0610" xfId="3186" xr:uid="{00000000-0005-0000-0000-0000740C0000}"/>
    <cellStyle name="_Row7_Eramet valuation_14.02.07_v12" xfId="3187" xr:uid="{00000000-0005-0000-0000-0000750C0000}"/>
    <cellStyle name="_Row7_FY 2005-2009 OP-SP Update (11-Oct-04)" xfId="3188" xr:uid="{00000000-0005-0000-0000-0000760C0000}"/>
    <cellStyle name="_Row7_GX model_JPM_310107_FINAL" xfId="3189" xr:uid="{00000000-0005-0000-0000-0000770C0000}"/>
    <cellStyle name="_Row7_Gx_analysis_240306 v1" xfId="3190" xr:uid="{00000000-0005-0000-0000-0000780C0000}"/>
    <cellStyle name="_Row7_Key assumptions GX companies" xfId="3191" xr:uid="{00000000-0005-0000-0000-0000790C0000}"/>
    <cellStyle name="_Row7_Mappe2" xfId="3192" xr:uid="{00000000-0005-0000-0000-00007A0C0000}"/>
    <cellStyle name="_Row7_MIS Reporting_Budget_OPSP 06-10" xfId="3193" xr:uid="{00000000-0005-0000-0000-00007B0C0000}"/>
    <cellStyle name="_Row7_TSG2" xfId="3194" xr:uid="{00000000-0005-0000-0000-00007C0C0000}"/>
    <cellStyle name="_Row7_Volvo Cars model 011006 v7" xfId="3195" xr:uid="{00000000-0005-0000-0000-00007D0C0000}"/>
    <cellStyle name="_RUBROS PRESUPUESTO 2010 -GASTOS FINANCIEROS" xfId="3196" xr:uid="{00000000-0005-0000-0000-00007E0C0000}"/>
    <cellStyle name="_Saldos Jun 2009 Contabilidad" xfId="3197" xr:uid="{00000000-0005-0000-0000-00007F0C0000}"/>
    <cellStyle name="_saturn v7" xfId="3198" xr:uid="{00000000-0005-0000-0000-0000800C0000}"/>
    <cellStyle name="_saturn v9" xfId="3199" xr:uid="{00000000-0005-0000-0000-0000810C0000}"/>
    <cellStyle name="_SNGS" xfId="3200" xr:uid="{00000000-0005-0000-0000-0000820C0000}"/>
    <cellStyle name="_SubHeading" xfId="3201" xr:uid="{00000000-0005-0000-0000-0000830C0000}"/>
    <cellStyle name="_SubHeading_10yr Summary" xfId="3202" xr:uid="{00000000-0005-0000-0000-0000840C0000}"/>
    <cellStyle name="_SubHeading_Base Model new IBP August" xfId="3203" xr:uid="{00000000-0005-0000-0000-0000850C0000}"/>
    <cellStyle name="_SubHeading_Book1" xfId="3204" xr:uid="{00000000-0005-0000-0000-0000860C0000}"/>
    <cellStyle name="_SubHeading_diluted share - cirrus &amp; nimbus" xfId="3205" xr:uid="{00000000-0005-0000-0000-0000870C0000}"/>
    <cellStyle name="_SubHeading_EXCEL SHEETS" xfId="3206" xr:uid="{00000000-0005-0000-0000-0000880C0000}"/>
    <cellStyle name="_SubHeading_GX model_JPM_310107_FINAL" xfId="3207" xr:uid="{00000000-0005-0000-0000-0000890C0000}"/>
    <cellStyle name="_SubHeading_IBP2 IBP3 reconciliation" xfId="3208" xr:uid="{00000000-0005-0000-0000-00008A0C0000}"/>
    <cellStyle name="_SubHeading_key stats2" xfId="3209" xr:uid="{00000000-0005-0000-0000-00008B0C0000}"/>
    <cellStyle name="_SubHeading_Lightning Model October 2001" xfId="3210" xr:uid="{00000000-0005-0000-0000-00008C0C0000}"/>
    <cellStyle name="_SubHeading_Nimbus - Historical Financials" xfId="3211" xr:uid="{00000000-0005-0000-0000-00008D0C0000}"/>
    <cellStyle name="_SubHeading_Nimbus P&amp;L Model" xfId="3212" xr:uid="{00000000-0005-0000-0000-00008E0C0000}"/>
    <cellStyle name="_SubHeading_prestemp" xfId="3213" xr:uid="{00000000-0005-0000-0000-00008F0C0000}"/>
    <cellStyle name="_SubHeading_prestemp_1" xfId="3214" xr:uid="{00000000-0005-0000-0000-0000900C0000}"/>
    <cellStyle name="_SubHeading_prestemp_2" xfId="3215" xr:uid="{00000000-0005-0000-0000-0000910C0000}"/>
    <cellStyle name="_SubHeading_prestemp_2_Nuela Financial Summary Projections_06-26-09_v2" xfId="3216" xr:uid="{00000000-0005-0000-0000-0000920C0000}"/>
    <cellStyle name="_SubHeading_prestemp_Nuela Financial Summary Projections_06-26-09_v2" xfId="3217" xr:uid="{00000000-0005-0000-0000-0000930C0000}"/>
    <cellStyle name="_SubHeading_prestemp_Wembley Merger Model 15-May-2002" xfId="3218" xr:uid="{00000000-0005-0000-0000-0000940C0000}"/>
    <cellStyle name="_SubHeading_sop-nimbus" xfId="3219" xr:uid="{00000000-0005-0000-0000-0000950C0000}"/>
    <cellStyle name="_Suministros" xfId="3220" xr:uid="{00000000-0005-0000-0000-0000960C0000}"/>
    <cellStyle name="_Suministros_CENTRO DE COSTOS PLANTILLA" xfId="3221" xr:uid="{00000000-0005-0000-0000-0000970C0000}"/>
    <cellStyle name="_Suministros_Consolidado Ingresos" xfId="3222" xr:uid="{00000000-0005-0000-0000-0000980C0000}"/>
    <cellStyle name="_Suministros_Construccion Ingresos 2010" xfId="3223" xr:uid="{00000000-0005-0000-0000-0000990C0000}"/>
    <cellStyle name="_Suministros_Copia de seguridad de Construccion Ingresos 2010" xfId="3224" xr:uid="{00000000-0005-0000-0000-00009A0C0000}"/>
    <cellStyle name="_Suministros_COSTO DE MEDICAMENTOS " xfId="3225" xr:uid="{00000000-0005-0000-0000-00009B0C0000}"/>
    <cellStyle name="_Suministros_COSTO DE MEDICAMENTOS." xfId="3226" xr:uid="{00000000-0005-0000-0000-00009C0C0000}"/>
    <cellStyle name="_Suministros_DIVERSOS.CONS" xfId="3227" xr:uid="{00000000-0005-0000-0000-00009D0C0000}"/>
    <cellStyle name="_Suministros_EJECUCION PRESUPUESTAL A SEPTIEMBRE  09 EJERCICIO AJUSTE INGRESOS" xfId="3228" xr:uid="{00000000-0005-0000-0000-00009E0C0000}"/>
    <cellStyle name="_Suministros_EJECUCION PRESUPUESTAL A SEPTIEMBRE  09 EJERCICIO AJUSTE INGRESOS_comparativo 2010-2009" xfId="3229" xr:uid="{00000000-0005-0000-0000-00009F0C0000}"/>
    <cellStyle name="_Suministros_EJECUCION PRESUPUESTAL A SEPTIEMBRE  09 EJERCICIO AJUSTE INGRESOS_Consolidado 1000 Proyecciones" xfId="3230" xr:uid="{00000000-0005-0000-0000-0000A00C0000}"/>
    <cellStyle name="_Suministros_EJECUCION PRESUPUESTAL A SEPTIEMBRE  09 EJERCICIO AJUSTE INGRESOS_Construccion Ingresos 2010" xfId="3231" xr:uid="{00000000-0005-0000-0000-0000A10C0000}"/>
    <cellStyle name="_Suministros_EJECUCION PRESUPUESTAL A SEPTIEMBRE  09 EJERCICIO AJUSTE INGRESOS_Copia de seguridad de Construccion Ingresos 2010" xfId="3232" xr:uid="{00000000-0005-0000-0000-0000A20C0000}"/>
    <cellStyle name="_Suministros_EJECUCION PRESUPUESTAL A SEPTIEMBRE  09 EJERCICIO AJUSTE INGRESOS_-FORMATOPresupuesto 2010" xfId="3233" xr:uid="{00000000-0005-0000-0000-0000A30C0000}"/>
    <cellStyle name="_Suministros_EJECUCION PRESUPUESTAL A SEPTIEMBRE  09 EJERCICIO AJUSTE INGRESOS_FORMATOPresupuesto 2010-TRABAJO" xfId="3234" xr:uid="{00000000-0005-0000-0000-0000A40C0000}"/>
    <cellStyle name="_Suministros_EJECUCION PRESUPUESTAL A SEPTIEMBRE  09 EJERCICIO AJUSTE INGRESOS_FORMATOPresupuesto 2010-TRABAJO." xfId="3235" xr:uid="{00000000-0005-0000-0000-0000A50C0000}"/>
    <cellStyle name="_Suministros_EJECUCION PRESUPUESTAL A SEPTIEMBRE  09 EJERCICIO AJUSTE INGRESOS_FORMATOPresupuesto 2010-TRABAJO.C1" xfId="3236" xr:uid="{00000000-0005-0000-0000-0000A60C0000}"/>
    <cellStyle name="_Suministros_EJECUCION PRESUPUESTAL A SEPTIEMBRE  09 EJERCICIO AJUSTE INGRESOS_FORMATOPresupuesto 2010-TRABAJO.C1." xfId="3237" xr:uid="{00000000-0005-0000-0000-0000A70C0000}"/>
    <cellStyle name="_Suministros_presupuesto de mantenimiento (2)" xfId="3238" xr:uid="{00000000-0005-0000-0000-0000A80C0000}"/>
    <cellStyle name="_Suministros_SUMINISTROS LOGISTICA ULTIMO NOV 20" xfId="3239" xr:uid="{00000000-0005-0000-0000-0000A90C0000}"/>
    <cellStyle name="_Table" xfId="3240" xr:uid="{00000000-0005-0000-0000-0000AA0C0000}"/>
    <cellStyle name="_Table_10yr Summary" xfId="3241" xr:uid="{00000000-0005-0000-0000-0000AB0C0000}"/>
    <cellStyle name="_Table_Base Model new IBP August" xfId="3242" xr:uid="{00000000-0005-0000-0000-0000AC0C0000}"/>
    <cellStyle name="_Table_Book1" xfId="3243" xr:uid="{00000000-0005-0000-0000-0000AD0C0000}"/>
    <cellStyle name="_Table_GX model_JPM_310107_FINAL" xfId="3244" xr:uid="{00000000-0005-0000-0000-0000AE0C0000}"/>
    <cellStyle name="_Table_Lightning Model October 2001" xfId="3245" xr:uid="{00000000-0005-0000-0000-0000AF0C0000}"/>
    <cellStyle name="_Table_Lightning Model October 2001 2" xfId="6507" xr:uid="{00000000-0005-0000-0000-0000B00C0000}"/>
    <cellStyle name="_TableHead" xfId="3246" xr:uid="{00000000-0005-0000-0000-0000B10C0000}"/>
    <cellStyle name="_TableHead_GX model_JPM_310107_FINAL" xfId="3247" xr:uid="{00000000-0005-0000-0000-0000B20C0000}"/>
    <cellStyle name="_TableHeading" xfId="3248" xr:uid="{00000000-0005-0000-0000-0000B30C0000}"/>
    <cellStyle name="_TableRowBorder" xfId="3249" xr:uid="{00000000-0005-0000-0000-0000B40C0000}"/>
    <cellStyle name="_TableRowBorder 2" xfId="6508" xr:uid="{00000000-0005-0000-0000-0000B50C0000}"/>
    <cellStyle name="_TableRowHead" xfId="3250" xr:uid="{00000000-0005-0000-0000-0000B60C0000}"/>
    <cellStyle name="_TableRowHeading" xfId="3251" xr:uid="{00000000-0005-0000-0000-0000B70C0000}"/>
    <cellStyle name="_TableSuperHead" xfId="3252" xr:uid="{00000000-0005-0000-0000-0000B80C0000}"/>
    <cellStyle name="_TableSuperHead_10yr Summary" xfId="3253" xr:uid="{00000000-0005-0000-0000-0000B90C0000}"/>
    <cellStyle name="_TableSuperHead_Base Model new IBP August" xfId="3254" xr:uid="{00000000-0005-0000-0000-0000BA0C0000}"/>
    <cellStyle name="_TableSuperHead_Book1" xfId="3255" xr:uid="{00000000-0005-0000-0000-0000BB0C0000}"/>
    <cellStyle name="_TableSuperHead_GX model_JPM_310107_FINAL" xfId="3256" xr:uid="{00000000-0005-0000-0000-0000BC0C0000}"/>
    <cellStyle name="_TableSuperHead_Lightning Model October 2001" xfId="3257" xr:uid="{00000000-0005-0000-0000-0000BD0C0000}"/>
    <cellStyle name="_TableSuperHeading" xfId="3258" xr:uid="{00000000-0005-0000-0000-0000BE0C0000}"/>
    <cellStyle name="_TableText" xfId="3259" xr:uid="{00000000-0005-0000-0000-0000BF0C0000}"/>
    <cellStyle name="_Telenet DCF 29.03.2005" xfId="3260" xr:uid="{00000000-0005-0000-0000-0000C00C0000}"/>
    <cellStyle name="_TEM Latam MASTER" xfId="3261" xr:uid="{00000000-0005-0000-0000-0000C10C0000}"/>
    <cellStyle name="_Template Stats" xfId="3262" xr:uid="{00000000-0005-0000-0000-0000C20C0000}"/>
    <cellStyle name="_Tendencia de  Cartera a Noviembre  2009" xfId="3263" xr:uid="{00000000-0005-0000-0000-0000C30C0000}"/>
    <cellStyle name="_TR" xfId="6509" xr:uid="{00000000-0005-0000-0000-0000C40C0000}"/>
    <cellStyle name="_Trading comps (US) 4.10.04" xfId="3264" xr:uid="{00000000-0005-0000-0000-0000C50C0000}"/>
    <cellStyle name="_TRANSPIEDECUESTA" xfId="6510" xr:uid="{00000000-0005-0000-0000-0000C60C0000}"/>
    <cellStyle name="_TRNF" xfId="3265" xr:uid="{00000000-0005-0000-0000-0000C70C0000}"/>
    <cellStyle name="_unidad oncologica  INGRESOS" xfId="3266" xr:uid="{00000000-0005-0000-0000-0000C80C0000}"/>
    <cellStyle name="_unidad oncologica  INGRESOS_COSTO DE MEDICAMENTOS " xfId="3267" xr:uid="{00000000-0005-0000-0000-0000C90C0000}"/>
    <cellStyle name="_unidad oncologica  INGRESOS_COSTO DE MEDICAMENTOS _Consolidado PPTO Ingresos 2010 Ajuste Medicamentos" xfId="3268" xr:uid="{00000000-0005-0000-0000-0000CA0C0000}"/>
    <cellStyle name="_unidad oncologica  INGRESOS_COSTO DE MEDICAMENTOS _Consolidado PPTO Ingresos 2010 Ajuste Reuniones" xfId="3269" xr:uid="{00000000-0005-0000-0000-0000CB0C0000}"/>
    <cellStyle name="_unidad oncologica  INGRESOS_COSTO DE MEDICAMENTOS _Consolidado PPTO Ingresos 2010 Ejerc Reduccion % Ocupacional Vs 3 Centro" xfId="3270" xr:uid="{00000000-0005-0000-0000-0000CC0C0000}"/>
    <cellStyle name="_unidad oncologica  INGRESOS_EJECUCION CONSOLIDADA A OCTUBRE GENERAL.CONSOLIDADO" xfId="3271" xr:uid="{00000000-0005-0000-0000-0000CD0C0000}"/>
    <cellStyle name="_unidad oncologica  INGRESOS_EJECUCION PRESUPUESTAL A AGOSTO  09 EJERCICIO AJUSTE INGRESOS" xfId="3272" xr:uid="{00000000-0005-0000-0000-0000CE0C0000}"/>
    <cellStyle name="_unidad oncologica  INGRESOS_EJECUCION PRESUPUESTAL A AGOSTO 09" xfId="3273" xr:uid="{00000000-0005-0000-0000-0000CF0C0000}"/>
    <cellStyle name="_unidad oncologica  INGRESOS_EJECUCION PRESUPUESTAL A NOVIEMBRE  09 EJERCICIO AJUSTE INGRESOS " xfId="3274" xr:uid="{00000000-0005-0000-0000-0000D00C0000}"/>
    <cellStyle name="_unidad oncologica  INGRESOS_EJECUCION PRESUPUESTAL A NOVIEMBRE  09 EJERCICIO AJUSTE INGRESOS _Consolidado PPTO Ingresos 2010 Ajuste Medicamentos" xfId="3275" xr:uid="{00000000-0005-0000-0000-0000D10C0000}"/>
    <cellStyle name="_VENTAS_CAPITADOS NOV 2006" xfId="3276" xr:uid="{00000000-0005-0000-0000-0000D20C0000}"/>
    <cellStyle name="_VENTAS_CAPITADOS NOV 2006_Consolidado Ingresos" xfId="3277" xr:uid="{00000000-0005-0000-0000-0000D30C0000}"/>
    <cellStyle name="_VENTAS_CAPITADOS NOV 2006_Consolidado Ingresos_Consolidado PPTO Ingresos 2010 Ajuste Medicamentos" xfId="3278" xr:uid="{00000000-0005-0000-0000-0000D40C0000}"/>
    <cellStyle name="_VENTAS_CAPITADOS NOV 2006_Consolidado Ingresos_Consolidado PPTO Ingresos 2010 Ajuste Reuniones" xfId="3279" xr:uid="{00000000-0005-0000-0000-0000D50C0000}"/>
    <cellStyle name="_VENTAS_CAPITADOS NOV 2006_Consolidado Ingresos_Consolidado PPTO Ingresos 2010 Ejerc" xfId="3280" xr:uid="{00000000-0005-0000-0000-0000D60C0000}"/>
    <cellStyle name="_VENTAS_CAPITADOS NOV 2006_Consolidado Ingresos_Consolidado PPTO Ingresos 2010 Ejerc Reduccion % Ocupacional" xfId="3281" xr:uid="{00000000-0005-0000-0000-0000D70C0000}"/>
    <cellStyle name="_VENTAS_CAPITADOS NOV 2006_Consolidado Ingresos_Consolidado PPTO Ingresos 2010 Ejerc Reduccion % Ocupacional Vs 3 Centro" xfId="3282" xr:uid="{00000000-0005-0000-0000-0000D80C0000}"/>
    <cellStyle name="_VENTAS_CAPITADOS NOV 2006_COSTO DE MEDICAMENTOS " xfId="3283" xr:uid="{00000000-0005-0000-0000-0000D90C0000}"/>
    <cellStyle name="_VENTAS_CAPITADOS NOV 2006_COSTO DE MEDICAMENTOS _Consolidado PPTO Ingresos 2010 Ajuste Medicamentos" xfId="3284" xr:uid="{00000000-0005-0000-0000-0000DA0C0000}"/>
    <cellStyle name="_VENTAS_CAPITADOS NOV 2006_COSTO DE MEDICAMENTOS _Consolidado PPTO Ingresos 2010 Ajuste Reuniones" xfId="3285" xr:uid="{00000000-0005-0000-0000-0000DB0C0000}"/>
    <cellStyle name="_VENTAS_CAPITADOS NOV 2006_COSTO DE MEDICAMENTOS _Consolidado PPTO Ingresos 2010 Ejerc Reduccion % Ocupacional Vs 3 Centro" xfId="3286" xr:uid="{00000000-0005-0000-0000-0000DC0C0000}"/>
    <cellStyle name="_VENTAS_CAPITADOS NOV 2006_COSTO DE MEDICAMENTOS." xfId="3287" xr:uid="{00000000-0005-0000-0000-0000DD0C0000}"/>
    <cellStyle name="_VENTAS_CAPITADOS NOV 2006_EJECUCION CONSOLIDADA A OCTUBRE GENERAL.CONSOLIDADO" xfId="3288" xr:uid="{00000000-0005-0000-0000-0000DE0C0000}"/>
    <cellStyle name="_VENTAS_CAPITADOS NOV 2006_EJECUCION PRESUPUESTAL A AGOSTO 09" xfId="3289" xr:uid="{00000000-0005-0000-0000-0000DF0C0000}"/>
    <cellStyle name="_VENTAS_CAPITADOS NOV 2006_EJECUCION PRESUPUESTAL A NOVIEMBRE  09 EJERCICIO AJUSTE INGRESOS " xfId="3290" xr:uid="{00000000-0005-0000-0000-0000E00C0000}"/>
    <cellStyle name="_VENTAS_CAPITADOS NOV 2006_EJECUCION PRESUPUESTAL A NOVIEMBRE  09 EJERCICIO AJUSTE INGRESOS _Consolidado PPTO Ingresos 2010 Ajuste Medicamentos" xfId="3291" xr:uid="{00000000-0005-0000-0000-0000E10C0000}"/>
    <cellStyle name="_VENTAS_CAPITADOS NOV 2006_FINANCIEROS-CONS" xfId="3292" xr:uid="{00000000-0005-0000-0000-0000E20C0000}"/>
    <cellStyle name="_VENTAS_CAPITADOS NOV 2006_provision contingencias-CONS" xfId="3293" xr:uid="{00000000-0005-0000-0000-0000E30C0000}"/>
    <cellStyle name="_VENTAS_CAPITADOS NOV 2006_provision de cartera-CONS" xfId="3294" xr:uid="{00000000-0005-0000-0000-0000E40C0000}"/>
    <cellStyle name="_Volvo Cars model 011006 v7" xfId="3295" xr:uid="{00000000-0005-0000-0000-0000E50C0000}"/>
    <cellStyle name="_wire line CapEx" xfId="3296" xr:uid="{00000000-0005-0000-0000-0000E60C0000}"/>
    <cellStyle name="_Working file Multiple valuation 20.12.04" xfId="3297" xr:uid="{00000000-0005-0000-0000-0000E70C0000}"/>
    <cellStyle name="_Working file WACC 07.02.05" xfId="3298" xr:uid="{00000000-0005-0000-0000-0000E80C0000}"/>
    <cellStyle name="_Worksheet13.05.04" xfId="3299" xr:uid="{00000000-0005-0000-0000-0000E90C0000}"/>
    <cellStyle name="_WSR assumption" xfId="3300" xr:uid="{00000000-0005-0000-0000-0000EA0C0000}"/>
    <cellStyle name="_Wyevale Model v2" xfId="3301" xr:uid="{00000000-0005-0000-0000-0000EB0C0000}"/>
    <cellStyle name="_YUKO" xfId="3302" xr:uid="{00000000-0005-0000-0000-0000EC0C0000}"/>
    <cellStyle name="_YUKOS model - worst case" xfId="3303" xr:uid="{00000000-0005-0000-0000-0000ED0C0000}"/>
    <cellStyle name="_Бизнес план Интегра КРС_2005 октябрь" xfId="3304" xr:uid="{00000000-0005-0000-0000-0000EE0C0000}"/>
    <cellStyle name="_Бизнес план Интегра КРС_2005 октябрь_АХС Бизнес план 2006 собств.техн." xfId="3305" xr:uid="{00000000-0005-0000-0000-0000EF0C0000}"/>
    <cellStyle name="_Бизнес план Интегра КРС_2005 октябрь_Бизнес-план 2006 Интегра КРС Нягань (Имущество)" xfId="3306" xr:uid="{00000000-0005-0000-0000-0000F00C0000}"/>
    <cellStyle name="_Бизнес план Интегра КРС_2005 октябрь_Ванюгин общ.вопросы" xfId="3307" xr:uid="{00000000-0005-0000-0000-0000F10C0000}"/>
    <cellStyle name="_Бизнес план Интегра КРС_2005 октябрь_ОТ и ПБ Бизнес план. 2006 г собств.техн." xfId="3308" xr:uid="{00000000-0005-0000-0000-0000F20C0000}"/>
    <cellStyle name="_Бизнес план Интегра КРС_2005 октябрь_ПП прогноз" xfId="3309" xr:uid="{00000000-0005-0000-0000-0000F30C0000}"/>
    <cellStyle name="_Бизнес план Интегра КРС_2005 октябрь_расшифровка ГСМ к БП 2006" xfId="3310" xr:uid="{00000000-0005-0000-0000-0000F40C0000}"/>
    <cellStyle name="_БП ОГЭ август 8" xfId="3311" xr:uid="{00000000-0005-0000-0000-0000F50C0000}"/>
    <cellStyle name="_бюджет для ННГФ" xfId="3312" xr:uid="{00000000-0005-0000-0000-0000F60C0000}"/>
    <cellStyle name="_деньги по кап" xfId="3313" xr:uid="{00000000-0005-0000-0000-0000F70C0000}"/>
    <cellStyle name="_Диагностика оборудования  2006 г." xfId="3314" xr:uid="{00000000-0005-0000-0000-0000F80C0000}"/>
    <cellStyle name="_Диагностика оборудования  2006 г._АХС Бизнес план 2006 собств.техн." xfId="3315" xr:uid="{00000000-0005-0000-0000-0000F90C0000}"/>
    <cellStyle name="_Диагностика оборудования  2006 г._Бизнес-план 2006 Интегра КРС Нягань (Имущество)" xfId="3316" xr:uid="{00000000-0005-0000-0000-0000FA0C0000}"/>
    <cellStyle name="_Диагностика оборудования  2006 г._Ванюгин общ.вопросы" xfId="3317" xr:uid="{00000000-0005-0000-0000-0000FB0C0000}"/>
    <cellStyle name="_Диагностика оборудования  2006 г._ОТ и ПБ Бизнес план. 2006 г собств.техн." xfId="3318" xr:uid="{00000000-0005-0000-0000-0000FC0C0000}"/>
    <cellStyle name="_Диагностика оборудования  2006 г._ПП прогноз" xfId="3319" xr:uid="{00000000-0005-0000-0000-0000FD0C0000}"/>
    <cellStyle name="_Диагностика оборудования  2006 г._расшифровка ГСМ к БП 2006" xfId="3320" xr:uid="{00000000-0005-0000-0000-0000FE0C0000}"/>
    <cellStyle name="_КВ освоение 2006 27 04 06" xfId="3321" xr:uid="{00000000-0005-0000-0000-0000FF0C0000}"/>
    <cellStyle name="_Книга2" xfId="3322" xr:uid="{00000000-0005-0000-0000-0000000D0000}"/>
    <cellStyle name="_Книга2_BWGF - HTB - June 2010" xfId="3323" xr:uid="{00000000-0005-0000-0000-0000010D0000}"/>
    <cellStyle name="_Книга2_BWGF - VietSoft - June 2010" xfId="3324" xr:uid="{00000000-0005-0000-0000-0000020D0000}"/>
    <cellStyle name="_Книга2_GRDF_Bazi_063010_unlinked" xfId="3325" xr:uid="{00000000-0005-0000-0000-0000030D0000}"/>
    <cellStyle name="_Книга2_M&amp;A Comps" xfId="3326" xr:uid="{00000000-0005-0000-0000-0000040D0000}"/>
    <cellStyle name="_Книга2_Public Comps" xfId="3327" xr:uid="{00000000-0005-0000-0000-0000050D0000}"/>
    <cellStyle name="_Книга2_Revenue Participation" xfId="3328" xr:uid="{00000000-0005-0000-0000-0000060D0000}"/>
    <cellStyle name="_Книга2_SEAF Macedonia - Login - June 2010" xfId="3329" xr:uid="{00000000-0005-0000-0000-0000070D0000}"/>
    <cellStyle name="_Лист по Non organic (2)" xfId="3330" xr:uid="{00000000-0005-0000-0000-0000080D0000}"/>
    <cellStyle name="_Модель развития 220506 (реал добав)1 (version 1)" xfId="3331" xr:uid="{00000000-0005-0000-0000-0000090D0000}"/>
    <cellStyle name="_Обслуживание гидроключей" xfId="3332" xr:uid="{00000000-0005-0000-0000-00000A0D0000}"/>
    <cellStyle name="_Обслуживание гидроключей_АХС Бизнес план 2006 собств.техн." xfId="3333" xr:uid="{00000000-0005-0000-0000-00000B0D0000}"/>
    <cellStyle name="_Обслуживание гидроключей_Бизнес-план 2006 Интегра КРС Нягань (Имущество)" xfId="3334" xr:uid="{00000000-0005-0000-0000-00000C0D0000}"/>
    <cellStyle name="_Обслуживание гидроключей_Ванюгин общ.вопросы" xfId="3335" xr:uid="{00000000-0005-0000-0000-00000D0D0000}"/>
    <cellStyle name="_Обслуживание гидроключей_ОТ и ПБ Бизнес план. 2006 г собств.техн." xfId="3336" xr:uid="{00000000-0005-0000-0000-00000E0D0000}"/>
    <cellStyle name="_Обслуживание гидроключей_ПП прогноз" xfId="3337" xr:uid="{00000000-0005-0000-0000-00000F0D0000}"/>
    <cellStyle name="_Обслуживание гидроключей_расшифровка ГСМ к БП 2006" xfId="3338" xr:uid="{00000000-0005-0000-0000-0000100D0000}"/>
    <cellStyle name="_ОГЭ б_п -2006 13-11-05" xfId="3339" xr:uid="{00000000-0005-0000-0000-0000110D0000}"/>
    <cellStyle name="_ОГЭ б_п -2006 13-11-05_АХС Бизнес план 2006 собств.техн." xfId="3340" xr:uid="{00000000-0005-0000-0000-0000120D0000}"/>
    <cellStyle name="_ОГЭ б_п -2006 13-11-05_Бизнес-план 2006 Интегра КРС Нягань (Имущество)" xfId="3341" xr:uid="{00000000-0005-0000-0000-0000130D0000}"/>
    <cellStyle name="_ОГЭ б_п -2006 13-11-05_Ванюгин общ.вопросы" xfId="3342" xr:uid="{00000000-0005-0000-0000-0000140D0000}"/>
    <cellStyle name="_ОГЭ б_п -2006 13-11-05_ОТ и ПБ Бизнес план. 2006 г собств.техн." xfId="3343" xr:uid="{00000000-0005-0000-0000-0000150D0000}"/>
    <cellStyle name="_ОГЭ б_п -2006 13-11-05_ПП прогноз" xfId="3344" xr:uid="{00000000-0005-0000-0000-0000160D0000}"/>
    <cellStyle name="_ОГЭ б_п -2006 13-11-05_расшифровка ГСМ к БП 2006" xfId="3345" xr:uid="{00000000-0005-0000-0000-0000170D0000}"/>
    <cellStyle name="_Отчет по прогнозу до 2010 года_23.05.06." xfId="3346" xr:uid="{00000000-0005-0000-0000-0000180D0000}"/>
    <cellStyle name="_ПРОИЗВОДСТВЕННАЯ ПРОГРАММА ИНТЕГР, СРИПНА" xfId="3347" xr:uid="{00000000-0005-0000-0000-0000190D0000}"/>
    <cellStyle name="_ПРОИЗВОДСТВЕННАЯ ПРОГРАММА ИНТЕГР, СРИПНА_АХС Бизнес план 2006 собств.техн." xfId="3348" xr:uid="{00000000-0005-0000-0000-00001A0D0000}"/>
    <cellStyle name="_ПРОИЗВОДСТВЕННАЯ ПРОГРАММА ИНТЕГР, СРИПНА_Бизнес-план 2006 Интегра КРС Нягань (Имущество)" xfId="3349" xr:uid="{00000000-0005-0000-0000-00001B0D0000}"/>
    <cellStyle name="_ПРОИЗВОДСТВЕННАЯ ПРОГРАММА ИНТЕГР, СРИПНА_Ванюгин общ.вопросы" xfId="3350" xr:uid="{00000000-0005-0000-0000-00001C0D0000}"/>
    <cellStyle name="_ПРОИЗВОДСТВЕННАЯ ПРОГРАММА ИНТЕГР, СРИПНА_ОТ и ПБ Бизнес план. 2006 г собств.техн." xfId="3351" xr:uid="{00000000-0005-0000-0000-00001D0D0000}"/>
    <cellStyle name="_ПРОИЗВОДСТВЕННАЯ ПРОГРАММА ИНТЕГР, СРИПНА_ПП прогноз" xfId="3352" xr:uid="{00000000-0005-0000-0000-00001E0D0000}"/>
    <cellStyle name="_ПРОИЗВОДСТВЕННАЯ ПРОГРАММА ИНТЕГР, СРИПНА_расшифровка ГСМ к БП 2006" xfId="3353" xr:uid="{00000000-0005-0000-0000-00001F0D0000}"/>
    <cellStyle name="_Расчет Интегра - Сибнефть  (пример)" xfId="3354" xr:uid="{00000000-0005-0000-0000-0000200D0000}"/>
    <cellStyle name="_Расчет Интегра - Сибнефть  (пример)_АХС Бизнес план 2006 собств.техн." xfId="3355" xr:uid="{00000000-0005-0000-0000-0000210D0000}"/>
    <cellStyle name="_Расчет Интегра - Сибнефть  (пример)_Бизнес-план 2006 Интегра КРС Нягань (Имущество)" xfId="3356" xr:uid="{00000000-0005-0000-0000-0000220D0000}"/>
    <cellStyle name="_Расчет Интегра - Сибнефть  (пример)_Ванюгин общ.вопросы" xfId="3357" xr:uid="{00000000-0005-0000-0000-0000230D0000}"/>
    <cellStyle name="_Расчет Интегра - Сибнефть  (пример)_ОТ и ПБ Бизнес план. 2006 г собств.техн." xfId="3358" xr:uid="{00000000-0005-0000-0000-0000240D0000}"/>
    <cellStyle name="_Расчет Интегра - Сибнефть  (пример)_ПП прогноз" xfId="3359" xr:uid="{00000000-0005-0000-0000-0000250D0000}"/>
    <cellStyle name="_Расчет Интегра - Сибнефть  (пример)_расшифровка ГСМ к БП 2006" xfId="3360" xr:uid="{00000000-0005-0000-0000-0000260D0000}"/>
    <cellStyle name="_Расшифровка оснащения 51 бригады с арендой - 2005 г" xfId="3361" xr:uid="{00000000-0005-0000-0000-0000270D0000}"/>
    <cellStyle name="_Расшифровка оснащения 51 бригады с арендой - 2005 г_АХС Бизнес план 2006 собств.техн." xfId="3362" xr:uid="{00000000-0005-0000-0000-0000280D0000}"/>
    <cellStyle name="_Расшифровка оснащения 51 бригады с арендой - 2005 г_Бизнес-план 2006 Интегра КРС Нягань (Имущество)" xfId="3363" xr:uid="{00000000-0005-0000-0000-0000290D0000}"/>
    <cellStyle name="_Расшифровка оснащения 51 бригады с арендой - 2005 г_Ванюгин общ.вопросы" xfId="3364" xr:uid="{00000000-0005-0000-0000-00002A0D0000}"/>
    <cellStyle name="_Расшифровка оснащения 51 бригады с арендой - 2005 г_ОТ и ПБ Бизнес план. 2006 г собств.техн." xfId="3365" xr:uid="{00000000-0005-0000-0000-00002B0D0000}"/>
    <cellStyle name="_Расшифровка оснащения 51 бригады с арендой - 2005 г_ПП прогноз" xfId="3366" xr:uid="{00000000-0005-0000-0000-00002C0D0000}"/>
    <cellStyle name="_Расшифровка оснащения 51 бригады с арендой - 2005 г_расшифровка ГСМ к БП 2006" xfId="3367" xr:uid="{00000000-0005-0000-0000-00002D0D0000}"/>
    <cellStyle name="_Регистрация на 2006 год" xfId="3368" xr:uid="{00000000-0005-0000-0000-00002E0D0000}"/>
    <cellStyle name="_Регистрация на 2006 год_АХС Бизнес план 2006 собств.техн." xfId="3369" xr:uid="{00000000-0005-0000-0000-00002F0D0000}"/>
    <cellStyle name="_Регистрация на 2006 год_Бизнес-план 2006 Интегра КРС Нягань (Имущество)" xfId="3370" xr:uid="{00000000-0005-0000-0000-0000300D0000}"/>
    <cellStyle name="_Регистрация на 2006 год_Ванюгин общ.вопросы" xfId="3371" xr:uid="{00000000-0005-0000-0000-0000310D0000}"/>
    <cellStyle name="_Регистрация на 2006 год_ОТ и ПБ Бизнес план. 2006 г собств.техн." xfId="3372" xr:uid="{00000000-0005-0000-0000-0000320D0000}"/>
    <cellStyle name="_Регистрация на 2006 год_ПП прогноз" xfId="3373" xr:uid="{00000000-0005-0000-0000-0000330D0000}"/>
    <cellStyle name="_Регистрация на 2006 год_расшифровка ГСМ к БП 2006" xfId="3374" xr:uid="{00000000-0005-0000-0000-0000340D0000}"/>
    <cellStyle name="_СГМ материалы 2006 г." xfId="3375" xr:uid="{00000000-0005-0000-0000-0000350D0000}"/>
    <cellStyle name="_СГМ материалы 2006 г._АХС Бизнес план 2006 собств.техн." xfId="3376" xr:uid="{00000000-0005-0000-0000-0000360D0000}"/>
    <cellStyle name="_СГМ материалы 2006 г._Бизнес-план 2006 Интегра КРС Нягань (Имущество)" xfId="3377" xr:uid="{00000000-0005-0000-0000-0000370D0000}"/>
    <cellStyle name="_СГМ материалы 2006 г._Ванюгин общ.вопросы" xfId="3378" xr:uid="{00000000-0005-0000-0000-0000380D0000}"/>
    <cellStyle name="_СГМ материалы 2006 г._ОТ и ПБ Бизнес план. 2006 г собств.техн." xfId="3379" xr:uid="{00000000-0005-0000-0000-0000390D0000}"/>
    <cellStyle name="_СГМ материалы 2006 г._ПП прогноз" xfId="3380" xr:uid="{00000000-0005-0000-0000-00003A0D0000}"/>
    <cellStyle name="_СГМ материалы 2006 г._расшифровка ГСМ к БП 2006" xfId="3381" xr:uid="{00000000-0005-0000-0000-00003B0D0000}"/>
    <cellStyle name="_справочники" xfId="3382" xr:uid="{00000000-0005-0000-0000-00003C0D0000}"/>
    <cellStyle name="_Страхование на 2006 год" xfId="3383" xr:uid="{00000000-0005-0000-0000-00003D0D0000}"/>
    <cellStyle name="_Страхование на 2006 год_АХС Бизнес план 2006 собств.техн." xfId="3384" xr:uid="{00000000-0005-0000-0000-00003E0D0000}"/>
    <cellStyle name="_Страхование на 2006 год_Бизнес-план 2006 Интегра КРС Нягань (Имущество)" xfId="3385" xr:uid="{00000000-0005-0000-0000-00003F0D0000}"/>
    <cellStyle name="_Страхование на 2006 год_Ванюгин общ.вопросы" xfId="3386" xr:uid="{00000000-0005-0000-0000-0000400D0000}"/>
    <cellStyle name="_Страхование на 2006 год_ОТ и ПБ Бизнес план. 2006 г собств.техн." xfId="3387" xr:uid="{00000000-0005-0000-0000-0000410D0000}"/>
    <cellStyle name="_Страхование на 2006 год_ПП прогноз" xfId="3388" xr:uid="{00000000-0005-0000-0000-0000420D0000}"/>
    <cellStyle name="_Страхование на 2006 год_расшифровка ГСМ к БП 2006" xfId="3389" xr:uid="{00000000-0005-0000-0000-0000430D0000}"/>
    <cellStyle name="_Строммашина 1" xfId="3390" xr:uid="{00000000-0005-0000-0000-0000440D0000}"/>
    <cellStyle name="_Сценарий бурения 2006г  Ткаченко 11.11.05" xfId="3391" xr:uid="{00000000-0005-0000-0000-0000450D0000}"/>
    <cellStyle name="_Форма - Пост-перем для 2005 г_для_SFO" xfId="3392" xr:uid="{00000000-0005-0000-0000-0000460D0000}"/>
    <cellStyle name="_Форма - Пост-перем для 2005 г_для_SFO_АХС Бизнес план 2006 собств.техн." xfId="3393" xr:uid="{00000000-0005-0000-0000-0000470D0000}"/>
    <cellStyle name="_Форма - Пост-перем для 2005 г_для_SFO_Бизнес-план 2006 Интегра КРС Нягань (Имущество)" xfId="3394" xr:uid="{00000000-0005-0000-0000-0000480D0000}"/>
    <cellStyle name="_Форма - Пост-перем для 2005 г_для_SFO_Ванюгин общ.вопросы" xfId="3395" xr:uid="{00000000-0005-0000-0000-0000490D0000}"/>
    <cellStyle name="_Форма - Пост-перем для 2005 г_для_SFO_ОТ и ПБ Бизнес план. 2006 г собств.техн." xfId="3396" xr:uid="{00000000-0005-0000-0000-00004A0D0000}"/>
    <cellStyle name="_Форма - Пост-перем для 2005 г_для_SFO_ПП прогноз" xfId="3397" xr:uid="{00000000-0005-0000-0000-00004B0D0000}"/>
    <cellStyle name="_Форма - Пост-перем для 2005 г_для_SFO_расшифровка ГСМ к БП 2006" xfId="3398" xr:uid="{00000000-0005-0000-0000-00004C0D0000}"/>
    <cellStyle name="_Формат бизнес-плана на 2006 год 42 бр" xfId="3399" xr:uid="{00000000-0005-0000-0000-00004D0D0000}"/>
    <cellStyle name="_Формат бизнес-плана на 2006 год 42 бр2" xfId="3400" xr:uid="{00000000-0005-0000-0000-00004E0D0000}"/>
    <cellStyle name="_Формат бизнес-плана на 2006 год 42 бр2с переменными" xfId="3401" xr:uid="{00000000-0005-0000-0000-00004F0D0000}"/>
    <cellStyle name="_Целевая программа 2005 год экология НПРС3" xfId="3402" xr:uid="{00000000-0005-0000-0000-0000500D0000}"/>
    <cellStyle name="’Ê‰Ý [0.00]_GE 3 MINIMUM" xfId="3403" xr:uid="{00000000-0005-0000-0000-0000510D0000}"/>
    <cellStyle name="’Ê‰Ý_GE 3 MINIMUM" xfId="3404" xr:uid="{00000000-0005-0000-0000-0000520D0000}"/>
    <cellStyle name="£ BP" xfId="3405" xr:uid="{00000000-0005-0000-0000-0000530D0000}"/>
    <cellStyle name="£ Currency" xfId="3406" xr:uid="{00000000-0005-0000-0000-0000540D0000}"/>
    <cellStyle name="£0" xfId="3407" xr:uid="{00000000-0005-0000-0000-0000550D0000}"/>
    <cellStyle name="£1" xfId="3408" xr:uid="{00000000-0005-0000-0000-0000560D0000}"/>
    <cellStyle name="£2" xfId="3409" xr:uid="{00000000-0005-0000-0000-0000570D0000}"/>
    <cellStyle name="£Currency [0]" xfId="3410" xr:uid="{00000000-0005-0000-0000-0000580D0000}"/>
    <cellStyle name="£Currency [1]" xfId="3411" xr:uid="{00000000-0005-0000-0000-0000590D0000}"/>
    <cellStyle name="£Currency [2]" xfId="3412" xr:uid="{00000000-0005-0000-0000-00005A0D0000}"/>
    <cellStyle name="£Currency [p]" xfId="3413" xr:uid="{00000000-0005-0000-0000-00005B0D0000}"/>
    <cellStyle name="£Currency [p2]" xfId="3414" xr:uid="{00000000-0005-0000-0000-00005C0D0000}"/>
    <cellStyle name="£Pounds" xfId="3415" xr:uid="{00000000-0005-0000-0000-00005D0D0000}"/>
    <cellStyle name="¤@¯ë_Sheet1 (2)" xfId="3416" xr:uid="{00000000-0005-0000-0000-00005E0D0000}"/>
    <cellStyle name="¥ JY" xfId="3417" xr:uid="{00000000-0005-0000-0000-00005F0D0000}"/>
    <cellStyle name="€ Currency" xfId="3418" xr:uid="{00000000-0005-0000-0000-0000600D0000}"/>
    <cellStyle name="=C:\WINNT\SYSTEM32\COMMAND.COM" xfId="3419" xr:uid="{00000000-0005-0000-0000-0000610D0000}"/>
    <cellStyle name="=C:\WINNT35\SYSTEM32\COMMAND.COM" xfId="3420" xr:uid="{00000000-0005-0000-0000-0000620D0000}"/>
    <cellStyle name="§Q\òm1@À" xfId="3421" xr:uid="{00000000-0005-0000-0000-0000630D0000}"/>
    <cellStyle name="•W€_GE 3 MINIMUM" xfId="3422" xr:uid="{00000000-0005-0000-0000-0000640D0000}"/>
    <cellStyle name="0" xfId="3423" xr:uid="{00000000-0005-0000-0000-0000650D0000}"/>
    <cellStyle name="0.0%" xfId="3424" xr:uid="{00000000-0005-0000-0000-0000660D0000}"/>
    <cellStyle name="0.00%" xfId="3425" xr:uid="{00000000-0005-0000-0000-0000670D0000}"/>
    <cellStyle name="0.0x" xfId="3426" xr:uid="{00000000-0005-0000-0000-0000680D0000}"/>
    <cellStyle name="0_Nuela Financial Summary Projections_06-26-09_v2" xfId="3427" xr:uid="{00000000-0005-0000-0000-0000690D0000}"/>
    <cellStyle name="000" xfId="3428" xr:uid="{00000000-0005-0000-0000-00006A0D0000}"/>
    <cellStyle name="000 PN" xfId="3429" xr:uid="{00000000-0005-0000-0000-00006B0D0000}"/>
    <cellStyle name="01_Page Heading" xfId="3430" xr:uid="{00000000-0005-0000-0000-00006C0D0000}"/>
    <cellStyle name="02_Rule above and below" xfId="3431" xr:uid="{00000000-0005-0000-0000-00006D0D0000}"/>
    <cellStyle name="03_Table Notes" xfId="3432" xr:uid="{00000000-0005-0000-0000-00006E0D0000}"/>
    <cellStyle name="04_Bold table figs" xfId="3433" xr:uid="{00000000-0005-0000-0000-00006F0D0000}"/>
    <cellStyle name="05_table figs" xfId="3434" xr:uid="{00000000-0005-0000-0000-0000700D0000}"/>
    <cellStyle name="06_per cent" xfId="3435" xr:uid="{00000000-0005-0000-0000-0000710D0000}"/>
    <cellStyle name="07_Bold table text" xfId="3436" xr:uid="{00000000-0005-0000-0000-0000720D0000}"/>
    <cellStyle name="0IsBlank" xfId="3437" xr:uid="{00000000-0005-0000-0000-0000730D0000}"/>
    <cellStyle name="1 dp" xfId="3438" xr:uid="{00000000-0005-0000-0000-0000740D0000}"/>
    <cellStyle name="1,comma" xfId="3439" xr:uid="{00000000-0005-0000-0000-0000750D0000}"/>
    <cellStyle name="10d0_SGNAYTD" xfId="3440" xr:uid="{00000000-0005-0000-0000-0000760D0000}"/>
    <cellStyle name="10Q" xfId="3441" xr:uid="{00000000-0005-0000-0000-0000770D0000}"/>
    <cellStyle name="10Q 2" xfId="6511" xr:uid="{00000000-0005-0000-0000-0000780D0000}"/>
    <cellStyle name="1dp" xfId="3442" xr:uid="{00000000-0005-0000-0000-0000790D0000}"/>
    <cellStyle name="1st" xfId="3443" xr:uid="{00000000-0005-0000-0000-00007A0D0000}"/>
    <cellStyle name="2" xfId="3444" xr:uid="{00000000-0005-0000-0000-00007B0D0000}"/>
    <cellStyle name="2 Decimal Places" xfId="3445" xr:uid="{00000000-0005-0000-0000-00007C0D0000}"/>
    <cellStyle name="20% - Accent1 2" xfId="3446" xr:uid="{00000000-0005-0000-0000-00007D0D0000}"/>
    <cellStyle name="20% - Accent2 2" xfId="3447" xr:uid="{00000000-0005-0000-0000-00007E0D0000}"/>
    <cellStyle name="20% - Accent3 2" xfId="3448" xr:uid="{00000000-0005-0000-0000-00007F0D0000}"/>
    <cellStyle name="20% - Accent4 2" xfId="3449" xr:uid="{00000000-0005-0000-0000-0000800D0000}"/>
    <cellStyle name="20% - Accent5 2" xfId="3450" xr:uid="{00000000-0005-0000-0000-0000810D0000}"/>
    <cellStyle name="20% - Accent6 2" xfId="3451" xr:uid="{00000000-0005-0000-0000-0000820D0000}"/>
    <cellStyle name="20% - akcent 1" xfId="3452" xr:uid="{00000000-0005-0000-0000-0000830D0000}"/>
    <cellStyle name="20% - akcent 2" xfId="3453" xr:uid="{00000000-0005-0000-0000-0000840D0000}"/>
    <cellStyle name="20% - akcent 3" xfId="3454" xr:uid="{00000000-0005-0000-0000-0000850D0000}"/>
    <cellStyle name="20% - akcent 4" xfId="3455" xr:uid="{00000000-0005-0000-0000-0000860D0000}"/>
    <cellStyle name="20% - akcent 5" xfId="3456" xr:uid="{00000000-0005-0000-0000-0000870D0000}"/>
    <cellStyle name="20% - akcent 6" xfId="3457" xr:uid="{00000000-0005-0000-0000-0000880D0000}"/>
    <cellStyle name="20% - Énfasis1" xfId="3458" xr:uid="{00000000-0005-0000-0000-0000890D0000}"/>
    <cellStyle name="20% - Énfasis1 2" xfId="3459" xr:uid="{00000000-0005-0000-0000-00008A0D0000}"/>
    <cellStyle name="20% - Énfasis1 2 2" xfId="3460" xr:uid="{00000000-0005-0000-0000-00008B0D0000}"/>
    <cellStyle name="20% - Énfasis1 3" xfId="6512" xr:uid="{00000000-0005-0000-0000-00008C0D0000}"/>
    <cellStyle name="20% - Énfasis1 4" xfId="6513" xr:uid="{00000000-0005-0000-0000-00008D0D0000}"/>
    <cellStyle name="20% - Énfasis1 5" xfId="6514" xr:uid="{00000000-0005-0000-0000-00008E0D0000}"/>
    <cellStyle name="20% - Énfasis1 6" xfId="6515" xr:uid="{00000000-0005-0000-0000-00008F0D0000}"/>
    <cellStyle name="20% - Énfasis1 7" xfId="6516" xr:uid="{00000000-0005-0000-0000-0000900D0000}"/>
    <cellStyle name="20% - Énfasis1 8" xfId="6517" xr:uid="{00000000-0005-0000-0000-0000910D0000}"/>
    <cellStyle name="20% - Énfasis2" xfId="3461" xr:uid="{00000000-0005-0000-0000-0000920D0000}"/>
    <cellStyle name="20% - Énfasis2 2" xfId="3462" xr:uid="{00000000-0005-0000-0000-0000930D0000}"/>
    <cellStyle name="20% - Énfasis2 2 2" xfId="3463" xr:uid="{00000000-0005-0000-0000-0000940D0000}"/>
    <cellStyle name="20% - Énfasis2 3" xfId="6518" xr:uid="{00000000-0005-0000-0000-0000950D0000}"/>
    <cellStyle name="20% - Énfasis2 4" xfId="6519" xr:uid="{00000000-0005-0000-0000-0000960D0000}"/>
    <cellStyle name="20% - Énfasis2 5" xfId="6520" xr:uid="{00000000-0005-0000-0000-0000970D0000}"/>
    <cellStyle name="20% - Énfasis2 6" xfId="6521" xr:uid="{00000000-0005-0000-0000-0000980D0000}"/>
    <cellStyle name="20% - Énfasis2 7" xfId="6522" xr:uid="{00000000-0005-0000-0000-0000990D0000}"/>
    <cellStyle name="20% - Énfasis2 8" xfId="6523" xr:uid="{00000000-0005-0000-0000-00009A0D0000}"/>
    <cellStyle name="20% - Énfasis3" xfId="3464" xr:uid="{00000000-0005-0000-0000-00009B0D0000}"/>
    <cellStyle name="20% - Énfasis3 2" xfId="3465" xr:uid="{00000000-0005-0000-0000-00009C0D0000}"/>
    <cellStyle name="20% - Énfasis3 2 2" xfId="3466" xr:uid="{00000000-0005-0000-0000-00009D0D0000}"/>
    <cellStyle name="20% - Énfasis3 3" xfId="6524" xr:uid="{00000000-0005-0000-0000-00009E0D0000}"/>
    <cellStyle name="20% - Énfasis3 4" xfId="6525" xr:uid="{00000000-0005-0000-0000-00009F0D0000}"/>
    <cellStyle name="20% - Énfasis3 5" xfId="6526" xr:uid="{00000000-0005-0000-0000-0000A00D0000}"/>
    <cellStyle name="20% - Énfasis3 6" xfId="6527" xr:uid="{00000000-0005-0000-0000-0000A10D0000}"/>
    <cellStyle name="20% - Énfasis3 7" xfId="6528" xr:uid="{00000000-0005-0000-0000-0000A20D0000}"/>
    <cellStyle name="20% - Énfasis3 8" xfId="6529" xr:uid="{00000000-0005-0000-0000-0000A30D0000}"/>
    <cellStyle name="20% - Énfasis4" xfId="3467" xr:uid="{00000000-0005-0000-0000-0000A40D0000}"/>
    <cellStyle name="20% - Énfasis4 2" xfId="3468" xr:uid="{00000000-0005-0000-0000-0000A50D0000}"/>
    <cellStyle name="20% - Énfasis4 2 2" xfId="3469" xr:uid="{00000000-0005-0000-0000-0000A60D0000}"/>
    <cellStyle name="20% - Énfasis4 3" xfId="6530" xr:uid="{00000000-0005-0000-0000-0000A70D0000}"/>
    <cellStyle name="20% - Énfasis4 4" xfId="6531" xr:uid="{00000000-0005-0000-0000-0000A80D0000}"/>
    <cellStyle name="20% - Énfasis4 5" xfId="6532" xr:uid="{00000000-0005-0000-0000-0000A90D0000}"/>
    <cellStyle name="20% - Énfasis4 6" xfId="6533" xr:uid="{00000000-0005-0000-0000-0000AA0D0000}"/>
    <cellStyle name="20% - Énfasis4 7" xfId="6534" xr:uid="{00000000-0005-0000-0000-0000AB0D0000}"/>
    <cellStyle name="20% - Énfasis4 8" xfId="6535" xr:uid="{00000000-0005-0000-0000-0000AC0D0000}"/>
    <cellStyle name="20% - Énfasis5" xfId="3470" xr:uid="{00000000-0005-0000-0000-0000AD0D0000}"/>
    <cellStyle name="20% - Énfasis5 2" xfId="3471" xr:uid="{00000000-0005-0000-0000-0000AE0D0000}"/>
    <cellStyle name="20% - Énfasis5 2 2" xfId="3472" xr:uid="{00000000-0005-0000-0000-0000AF0D0000}"/>
    <cellStyle name="20% - Énfasis5 3" xfId="6536" xr:uid="{00000000-0005-0000-0000-0000B00D0000}"/>
    <cellStyle name="20% - Énfasis5 4" xfId="6537" xr:uid="{00000000-0005-0000-0000-0000B10D0000}"/>
    <cellStyle name="20% - Énfasis5 5" xfId="6538" xr:uid="{00000000-0005-0000-0000-0000B20D0000}"/>
    <cellStyle name="20% - Énfasis5 6" xfId="6539" xr:uid="{00000000-0005-0000-0000-0000B30D0000}"/>
    <cellStyle name="20% - Énfasis5 7" xfId="6540" xr:uid="{00000000-0005-0000-0000-0000B40D0000}"/>
    <cellStyle name="20% - Énfasis5 8" xfId="6541" xr:uid="{00000000-0005-0000-0000-0000B50D0000}"/>
    <cellStyle name="20% - Énfasis6" xfId="3473" xr:uid="{00000000-0005-0000-0000-0000B60D0000}"/>
    <cellStyle name="20% - Énfasis6 2" xfId="3474" xr:uid="{00000000-0005-0000-0000-0000B70D0000}"/>
    <cellStyle name="20% - Énfasis6 2 2" xfId="3475" xr:uid="{00000000-0005-0000-0000-0000B80D0000}"/>
    <cellStyle name="20% - Énfasis6 3" xfId="6542" xr:uid="{00000000-0005-0000-0000-0000B90D0000}"/>
    <cellStyle name="20% - Énfasis6 4" xfId="6543" xr:uid="{00000000-0005-0000-0000-0000BA0D0000}"/>
    <cellStyle name="20% - Énfasis6 5" xfId="6544" xr:uid="{00000000-0005-0000-0000-0000BB0D0000}"/>
    <cellStyle name="20% - Énfasis6 6" xfId="6545" xr:uid="{00000000-0005-0000-0000-0000BC0D0000}"/>
    <cellStyle name="20% - Énfasis6 7" xfId="6546" xr:uid="{00000000-0005-0000-0000-0000BD0D0000}"/>
    <cellStyle name="20% - Énfasis6 8" xfId="6547" xr:uid="{00000000-0005-0000-0000-0000BE0D0000}"/>
    <cellStyle name="20% - Акцент1" xfId="3476" xr:uid="{00000000-0005-0000-0000-0000BF0D0000}"/>
    <cellStyle name="20% - Акцент2" xfId="3477" xr:uid="{00000000-0005-0000-0000-0000C00D0000}"/>
    <cellStyle name="20% - Акцент3" xfId="3478" xr:uid="{00000000-0005-0000-0000-0000C10D0000}"/>
    <cellStyle name="20% - Акцент4" xfId="3479" xr:uid="{00000000-0005-0000-0000-0000C20D0000}"/>
    <cellStyle name="20% - Акцент5" xfId="3480" xr:uid="{00000000-0005-0000-0000-0000C30D0000}"/>
    <cellStyle name="20% - Акцент6" xfId="3481" xr:uid="{00000000-0005-0000-0000-0000C40D0000}"/>
    <cellStyle name="20% - 强调文字颜色 1" xfId="3482" xr:uid="{00000000-0005-0000-0000-0000C50D0000}"/>
    <cellStyle name="20% - 强调文字颜色 2" xfId="3483" xr:uid="{00000000-0005-0000-0000-0000C60D0000}"/>
    <cellStyle name="20% - 强调文字颜色 3" xfId="3484" xr:uid="{00000000-0005-0000-0000-0000C70D0000}"/>
    <cellStyle name="20% - 强调文字颜色 4" xfId="3485" xr:uid="{00000000-0005-0000-0000-0000C80D0000}"/>
    <cellStyle name="20% - 强调文字颜色 5" xfId="3486" xr:uid="{00000000-0005-0000-0000-0000C90D0000}"/>
    <cellStyle name="20% - 强调文字颜色 6" xfId="3487" xr:uid="{00000000-0005-0000-0000-0000CA0D0000}"/>
    <cellStyle name="2nd" xfId="3488" xr:uid="{00000000-0005-0000-0000-0000CB0D0000}"/>
    <cellStyle name="3dp" xfId="3489" xr:uid="{00000000-0005-0000-0000-0000CC0D0000}"/>
    <cellStyle name="3f1o [0]_J-Hwang242" xfId="3490" xr:uid="{00000000-0005-0000-0000-0000CD0D0000}"/>
    <cellStyle name="3f1o_J-Hwang2an" xfId="3491" xr:uid="{00000000-0005-0000-0000-0000CE0D0000}"/>
    <cellStyle name="3rd" xfId="3492" xr:uid="{00000000-0005-0000-0000-0000CF0D0000}"/>
    <cellStyle name="40% - Accent1 2" xfId="3493" xr:uid="{00000000-0005-0000-0000-0000D00D0000}"/>
    <cellStyle name="40% - Accent2 2" xfId="3494" xr:uid="{00000000-0005-0000-0000-0000D10D0000}"/>
    <cellStyle name="40% - Accent3 2" xfId="3495" xr:uid="{00000000-0005-0000-0000-0000D20D0000}"/>
    <cellStyle name="40% - Accent4 2" xfId="3496" xr:uid="{00000000-0005-0000-0000-0000D30D0000}"/>
    <cellStyle name="40% - Accent5 2" xfId="3497" xr:uid="{00000000-0005-0000-0000-0000D40D0000}"/>
    <cellStyle name="40% - Accent6 2" xfId="3498" xr:uid="{00000000-0005-0000-0000-0000D50D0000}"/>
    <cellStyle name="40% - akcent 1" xfId="3499" xr:uid="{00000000-0005-0000-0000-0000D60D0000}"/>
    <cellStyle name="40% - akcent 2" xfId="3500" xr:uid="{00000000-0005-0000-0000-0000D70D0000}"/>
    <cellStyle name="40% - akcent 3" xfId="3501" xr:uid="{00000000-0005-0000-0000-0000D80D0000}"/>
    <cellStyle name="40% - akcent 4" xfId="3502" xr:uid="{00000000-0005-0000-0000-0000D90D0000}"/>
    <cellStyle name="40% - akcent 5" xfId="3503" xr:uid="{00000000-0005-0000-0000-0000DA0D0000}"/>
    <cellStyle name="40% - akcent 6" xfId="3504" xr:uid="{00000000-0005-0000-0000-0000DB0D0000}"/>
    <cellStyle name="40% - Énfasis1" xfId="3505" xr:uid="{00000000-0005-0000-0000-0000DC0D0000}"/>
    <cellStyle name="40% - Énfasis1 2" xfId="3506" xr:uid="{00000000-0005-0000-0000-0000DD0D0000}"/>
    <cellStyle name="40% - Énfasis1 2 2" xfId="3507" xr:uid="{00000000-0005-0000-0000-0000DE0D0000}"/>
    <cellStyle name="40% - Énfasis1 3" xfId="6548" xr:uid="{00000000-0005-0000-0000-0000DF0D0000}"/>
    <cellStyle name="40% - Énfasis1 4" xfId="6549" xr:uid="{00000000-0005-0000-0000-0000E00D0000}"/>
    <cellStyle name="40% - Énfasis1 5" xfId="6550" xr:uid="{00000000-0005-0000-0000-0000E10D0000}"/>
    <cellStyle name="40% - Énfasis1 6" xfId="6551" xr:uid="{00000000-0005-0000-0000-0000E20D0000}"/>
    <cellStyle name="40% - Énfasis1 7" xfId="6552" xr:uid="{00000000-0005-0000-0000-0000E30D0000}"/>
    <cellStyle name="40% - Énfasis1 8" xfId="6553" xr:uid="{00000000-0005-0000-0000-0000E40D0000}"/>
    <cellStyle name="40% - Énfasis2" xfId="3508" xr:uid="{00000000-0005-0000-0000-0000E50D0000}"/>
    <cellStyle name="40% - Énfasis2 2" xfId="3509" xr:uid="{00000000-0005-0000-0000-0000E60D0000}"/>
    <cellStyle name="40% - Énfasis2 2 2" xfId="3510" xr:uid="{00000000-0005-0000-0000-0000E70D0000}"/>
    <cellStyle name="40% - Énfasis2 3" xfId="6554" xr:uid="{00000000-0005-0000-0000-0000E80D0000}"/>
    <cellStyle name="40% - Énfasis2 4" xfId="6555" xr:uid="{00000000-0005-0000-0000-0000E90D0000}"/>
    <cellStyle name="40% - Énfasis2 5" xfId="6556" xr:uid="{00000000-0005-0000-0000-0000EA0D0000}"/>
    <cellStyle name="40% - Énfasis2 6" xfId="6557" xr:uid="{00000000-0005-0000-0000-0000EB0D0000}"/>
    <cellStyle name="40% - Énfasis2 7" xfId="6558" xr:uid="{00000000-0005-0000-0000-0000EC0D0000}"/>
    <cellStyle name="40% - Énfasis2 8" xfId="6559" xr:uid="{00000000-0005-0000-0000-0000ED0D0000}"/>
    <cellStyle name="40% - Énfasis3" xfId="3511" xr:uid="{00000000-0005-0000-0000-0000EE0D0000}"/>
    <cellStyle name="40% - Énfasis3 2" xfId="3512" xr:uid="{00000000-0005-0000-0000-0000EF0D0000}"/>
    <cellStyle name="40% - Énfasis3 2 2" xfId="3513" xr:uid="{00000000-0005-0000-0000-0000F00D0000}"/>
    <cellStyle name="40% - Énfasis3 3" xfId="6560" xr:uid="{00000000-0005-0000-0000-0000F10D0000}"/>
    <cellStyle name="40% - Énfasis3 4" xfId="6561" xr:uid="{00000000-0005-0000-0000-0000F20D0000}"/>
    <cellStyle name="40% - Énfasis3 5" xfId="6562" xr:uid="{00000000-0005-0000-0000-0000F30D0000}"/>
    <cellStyle name="40% - Énfasis3 6" xfId="6563" xr:uid="{00000000-0005-0000-0000-0000F40D0000}"/>
    <cellStyle name="40% - Énfasis3 7" xfId="6564" xr:uid="{00000000-0005-0000-0000-0000F50D0000}"/>
    <cellStyle name="40% - Énfasis3 8" xfId="6565" xr:uid="{00000000-0005-0000-0000-0000F60D0000}"/>
    <cellStyle name="40% - Énfasis4" xfId="3514" xr:uid="{00000000-0005-0000-0000-0000F70D0000}"/>
    <cellStyle name="40% - Énfasis4 2" xfId="3515" xr:uid="{00000000-0005-0000-0000-0000F80D0000}"/>
    <cellStyle name="40% - Énfasis4 2 2" xfId="3516" xr:uid="{00000000-0005-0000-0000-0000F90D0000}"/>
    <cellStyle name="40% - Énfasis4 3" xfId="6566" xr:uid="{00000000-0005-0000-0000-0000FA0D0000}"/>
    <cellStyle name="40% - Énfasis4 4" xfId="6567" xr:uid="{00000000-0005-0000-0000-0000FB0D0000}"/>
    <cellStyle name="40% - Énfasis4 5" xfId="6568" xr:uid="{00000000-0005-0000-0000-0000FC0D0000}"/>
    <cellStyle name="40% - Énfasis4 6" xfId="6569" xr:uid="{00000000-0005-0000-0000-0000FD0D0000}"/>
    <cellStyle name="40% - Énfasis4 7" xfId="6570" xr:uid="{00000000-0005-0000-0000-0000FE0D0000}"/>
    <cellStyle name="40% - Énfasis4 8" xfId="6571" xr:uid="{00000000-0005-0000-0000-0000FF0D0000}"/>
    <cellStyle name="40% - Énfasis5" xfId="3517" xr:uid="{00000000-0005-0000-0000-0000000E0000}"/>
    <cellStyle name="40% - Énfasis5 2" xfId="3518" xr:uid="{00000000-0005-0000-0000-0000010E0000}"/>
    <cellStyle name="40% - Énfasis5 2 2" xfId="3519" xr:uid="{00000000-0005-0000-0000-0000020E0000}"/>
    <cellStyle name="40% - Énfasis5 3" xfId="6572" xr:uid="{00000000-0005-0000-0000-0000030E0000}"/>
    <cellStyle name="40% - Énfasis5 4" xfId="6573" xr:uid="{00000000-0005-0000-0000-0000040E0000}"/>
    <cellStyle name="40% - Énfasis5 5" xfId="6574" xr:uid="{00000000-0005-0000-0000-0000050E0000}"/>
    <cellStyle name="40% - Énfasis5 6" xfId="6575" xr:uid="{00000000-0005-0000-0000-0000060E0000}"/>
    <cellStyle name="40% - Énfasis5 7" xfId="6576" xr:uid="{00000000-0005-0000-0000-0000070E0000}"/>
    <cellStyle name="40% - Énfasis5 8" xfId="6577" xr:uid="{00000000-0005-0000-0000-0000080E0000}"/>
    <cellStyle name="40% - Énfasis6" xfId="3520" xr:uid="{00000000-0005-0000-0000-0000090E0000}"/>
    <cellStyle name="40% - Énfasis6 2" xfId="3521" xr:uid="{00000000-0005-0000-0000-00000A0E0000}"/>
    <cellStyle name="40% - Énfasis6 2 2" xfId="3522" xr:uid="{00000000-0005-0000-0000-00000B0E0000}"/>
    <cellStyle name="40% - Énfasis6 3" xfId="6578" xr:uid="{00000000-0005-0000-0000-00000C0E0000}"/>
    <cellStyle name="40% - Énfasis6 4" xfId="6579" xr:uid="{00000000-0005-0000-0000-00000D0E0000}"/>
    <cellStyle name="40% - Énfasis6 5" xfId="6580" xr:uid="{00000000-0005-0000-0000-00000E0E0000}"/>
    <cellStyle name="40% - Énfasis6 6" xfId="6581" xr:uid="{00000000-0005-0000-0000-00000F0E0000}"/>
    <cellStyle name="40% - Énfasis6 7" xfId="6582" xr:uid="{00000000-0005-0000-0000-0000100E0000}"/>
    <cellStyle name="40% - Énfasis6 8" xfId="6583" xr:uid="{00000000-0005-0000-0000-0000110E0000}"/>
    <cellStyle name="40% - Акцент1" xfId="3523" xr:uid="{00000000-0005-0000-0000-0000120E0000}"/>
    <cellStyle name="40% - Акцент2" xfId="3524" xr:uid="{00000000-0005-0000-0000-0000130E0000}"/>
    <cellStyle name="40% - Акцент3" xfId="3525" xr:uid="{00000000-0005-0000-0000-0000140E0000}"/>
    <cellStyle name="40% - Акцент4" xfId="3526" xr:uid="{00000000-0005-0000-0000-0000150E0000}"/>
    <cellStyle name="40% - Акцент5" xfId="3527" xr:uid="{00000000-0005-0000-0000-0000160E0000}"/>
    <cellStyle name="40% - Акцент6" xfId="3528" xr:uid="{00000000-0005-0000-0000-0000170E0000}"/>
    <cellStyle name="40% - 强调文字颜色 1" xfId="3529" xr:uid="{00000000-0005-0000-0000-0000180E0000}"/>
    <cellStyle name="40% - 强调文字颜色 2" xfId="3530" xr:uid="{00000000-0005-0000-0000-0000190E0000}"/>
    <cellStyle name="40% - 强调文字颜色 3" xfId="3531" xr:uid="{00000000-0005-0000-0000-00001A0E0000}"/>
    <cellStyle name="40% - 强调文字颜色 4" xfId="3532" xr:uid="{00000000-0005-0000-0000-00001B0E0000}"/>
    <cellStyle name="40% - 强调文字颜色 5" xfId="3533" xr:uid="{00000000-0005-0000-0000-00001C0E0000}"/>
    <cellStyle name="40% - 强调文字颜色 6" xfId="3534" xr:uid="{00000000-0005-0000-0000-00001D0E0000}"/>
    <cellStyle name="4th" xfId="3535" xr:uid="{00000000-0005-0000-0000-00001E0E0000}"/>
    <cellStyle name="5th" xfId="3536" xr:uid="{00000000-0005-0000-0000-00001F0E0000}"/>
    <cellStyle name="60% - Accent1 2" xfId="3537" xr:uid="{00000000-0005-0000-0000-0000200E0000}"/>
    <cellStyle name="60% - Accent2 2" xfId="3538" xr:uid="{00000000-0005-0000-0000-0000210E0000}"/>
    <cellStyle name="60% - Accent3 2" xfId="3539" xr:uid="{00000000-0005-0000-0000-0000220E0000}"/>
    <cellStyle name="60% - Accent4 2" xfId="3540" xr:uid="{00000000-0005-0000-0000-0000230E0000}"/>
    <cellStyle name="60% - Accent5 2" xfId="3541" xr:uid="{00000000-0005-0000-0000-0000240E0000}"/>
    <cellStyle name="60% - Accent6 2" xfId="3542" xr:uid="{00000000-0005-0000-0000-0000250E0000}"/>
    <cellStyle name="60% - akcent 1" xfId="3543" xr:uid="{00000000-0005-0000-0000-0000260E0000}"/>
    <cellStyle name="60% - akcent 2" xfId="3544" xr:uid="{00000000-0005-0000-0000-0000270E0000}"/>
    <cellStyle name="60% - akcent 3" xfId="3545" xr:uid="{00000000-0005-0000-0000-0000280E0000}"/>
    <cellStyle name="60% - akcent 4" xfId="3546" xr:uid="{00000000-0005-0000-0000-0000290E0000}"/>
    <cellStyle name="60% - akcent 5" xfId="3547" xr:uid="{00000000-0005-0000-0000-00002A0E0000}"/>
    <cellStyle name="60% - akcent 6" xfId="3548" xr:uid="{00000000-0005-0000-0000-00002B0E0000}"/>
    <cellStyle name="60% - Énfasis1" xfId="3549" xr:uid="{00000000-0005-0000-0000-00002C0E0000}"/>
    <cellStyle name="60% - Énfasis1 2" xfId="3550" xr:uid="{00000000-0005-0000-0000-00002D0E0000}"/>
    <cellStyle name="60% - Énfasis1 2 2" xfId="3551" xr:uid="{00000000-0005-0000-0000-00002E0E0000}"/>
    <cellStyle name="60% - Énfasis2" xfId="3552" xr:uid="{00000000-0005-0000-0000-00002F0E0000}"/>
    <cellStyle name="60% - Énfasis2 2" xfId="3553" xr:uid="{00000000-0005-0000-0000-0000300E0000}"/>
    <cellStyle name="60% - Énfasis2 2 2" xfId="3554" xr:uid="{00000000-0005-0000-0000-0000310E0000}"/>
    <cellStyle name="60% - Énfasis3" xfId="3555" xr:uid="{00000000-0005-0000-0000-0000320E0000}"/>
    <cellStyle name="60% - Énfasis3 2" xfId="3556" xr:uid="{00000000-0005-0000-0000-0000330E0000}"/>
    <cellStyle name="60% - Énfasis3 2 2" xfId="3557" xr:uid="{00000000-0005-0000-0000-0000340E0000}"/>
    <cellStyle name="60% - Énfasis4" xfId="3558" xr:uid="{00000000-0005-0000-0000-0000350E0000}"/>
    <cellStyle name="60% - Énfasis4 2" xfId="3559" xr:uid="{00000000-0005-0000-0000-0000360E0000}"/>
    <cellStyle name="60% - Énfasis4 2 2" xfId="3560" xr:uid="{00000000-0005-0000-0000-0000370E0000}"/>
    <cellStyle name="60% - Énfasis5" xfId="3561" xr:uid="{00000000-0005-0000-0000-0000380E0000}"/>
    <cellStyle name="60% - Énfasis5 2" xfId="3562" xr:uid="{00000000-0005-0000-0000-0000390E0000}"/>
    <cellStyle name="60% - Énfasis5 2 2" xfId="3563" xr:uid="{00000000-0005-0000-0000-00003A0E0000}"/>
    <cellStyle name="60% - Énfasis6" xfId="3564" xr:uid="{00000000-0005-0000-0000-00003B0E0000}"/>
    <cellStyle name="60% - Énfasis6 2" xfId="3565" xr:uid="{00000000-0005-0000-0000-00003C0E0000}"/>
    <cellStyle name="60% - Énfasis6 2 2" xfId="3566" xr:uid="{00000000-0005-0000-0000-00003D0E0000}"/>
    <cellStyle name="60% - Акцент1" xfId="3567" xr:uid="{00000000-0005-0000-0000-00003E0E0000}"/>
    <cellStyle name="60% - Акцент2" xfId="3568" xr:uid="{00000000-0005-0000-0000-00003F0E0000}"/>
    <cellStyle name="60% - Акцент3" xfId="3569" xr:uid="{00000000-0005-0000-0000-0000400E0000}"/>
    <cellStyle name="60% - Акцент4" xfId="3570" xr:uid="{00000000-0005-0000-0000-0000410E0000}"/>
    <cellStyle name="60% - Акцент5" xfId="3571" xr:uid="{00000000-0005-0000-0000-0000420E0000}"/>
    <cellStyle name="60% - Акцент6" xfId="3572" xr:uid="{00000000-0005-0000-0000-0000430E0000}"/>
    <cellStyle name="60% - 强调文字颜色 1" xfId="3573" xr:uid="{00000000-0005-0000-0000-0000440E0000}"/>
    <cellStyle name="60% - 强调文字颜色 2" xfId="3574" xr:uid="{00000000-0005-0000-0000-0000450E0000}"/>
    <cellStyle name="60% - 强调文字颜色 3" xfId="3575" xr:uid="{00000000-0005-0000-0000-0000460E0000}"/>
    <cellStyle name="60% - 强调文字颜色 4" xfId="3576" xr:uid="{00000000-0005-0000-0000-0000470E0000}"/>
    <cellStyle name="60% - 强调文字颜色 5" xfId="3577" xr:uid="{00000000-0005-0000-0000-0000480E0000}"/>
    <cellStyle name="60% - 强调文字颜色 6" xfId="3578" xr:uid="{00000000-0005-0000-0000-0000490E0000}"/>
    <cellStyle name="600 PN" xfId="3579" xr:uid="{00000000-0005-0000-0000-00004A0E0000}"/>
    <cellStyle name="6mal" xfId="3580" xr:uid="{00000000-0005-0000-0000-00004B0E0000}"/>
    <cellStyle name="6th" xfId="3581" xr:uid="{00000000-0005-0000-0000-00004C0E0000}"/>
    <cellStyle name="700 PN" xfId="3582" xr:uid="{00000000-0005-0000-0000-00004D0E0000}"/>
    <cellStyle name="7th" xfId="3583" xr:uid="{00000000-0005-0000-0000-00004E0E0000}"/>
    <cellStyle name="8th" xfId="3584" xr:uid="{00000000-0005-0000-0000-00004F0E0000}"/>
    <cellStyle name="a" xfId="3585" xr:uid="{00000000-0005-0000-0000-0000500E0000}"/>
    <cellStyle name="A_Copy of Valuation 23112005" xfId="3586" xr:uid="{00000000-0005-0000-0000-0000510E0000}"/>
    <cellStyle name="A_DCF template highlighted" xfId="3587" xr:uid="{00000000-0005-0000-0000-0000520E0000}"/>
    <cellStyle name="A_input" xfId="3588" xr:uid="{00000000-0005-0000-0000-0000530E0000}"/>
    <cellStyle name="a_INPUT_mgcr1" xfId="3589" xr:uid="{00000000-0005-0000-0000-0000540E0000}"/>
    <cellStyle name="a_Project Bear_2005_v1" xfId="3590" xr:uid="{00000000-0005-0000-0000-0000550E0000}"/>
    <cellStyle name="a_Project Tango Model (version 58)" xfId="3591" xr:uid="{00000000-0005-0000-0000-0000560E0000}"/>
    <cellStyle name="a_Sheet" xfId="3592" xr:uid="{00000000-0005-0000-0000-0000570E0000}"/>
    <cellStyle name="a_Volvo Cars model 011006 v7" xfId="3593" xr:uid="{00000000-0005-0000-0000-0000580E0000}"/>
    <cellStyle name="A¨­￠￢￠O [0]_C¡IAo_AoAUAy¡ÆeC¡I " xfId="6584" xr:uid="{00000000-0005-0000-0000-0000590E0000}"/>
    <cellStyle name="A¨­￠￢￠O_AoAUAy¡ÆeC¡I " xfId="6585" xr:uid="{00000000-0005-0000-0000-00005A0E0000}"/>
    <cellStyle name="A3 297 x 420 mm" xfId="3594" xr:uid="{00000000-0005-0000-0000-00005B0E0000}"/>
    <cellStyle name="Aa" xfId="3595" xr:uid="{00000000-0005-0000-0000-00005C0E0000}"/>
    <cellStyle name="aaa" xfId="3596" xr:uid="{00000000-0005-0000-0000-00005D0E0000}"/>
    <cellStyle name="Accent1 2" xfId="3597" xr:uid="{00000000-0005-0000-0000-00005E0E0000}"/>
    <cellStyle name="Accent2 2" xfId="3598" xr:uid="{00000000-0005-0000-0000-00005F0E0000}"/>
    <cellStyle name="Accent3 2" xfId="3599" xr:uid="{00000000-0005-0000-0000-0000600E0000}"/>
    <cellStyle name="Accent4 2" xfId="3600" xr:uid="{00000000-0005-0000-0000-0000610E0000}"/>
    <cellStyle name="Accent5 2" xfId="3601" xr:uid="{00000000-0005-0000-0000-0000620E0000}"/>
    <cellStyle name="Accent6 2" xfId="3602" xr:uid="{00000000-0005-0000-0000-0000630E0000}"/>
    <cellStyle name="Acctg" xfId="3603" xr:uid="{00000000-0005-0000-0000-0000640E0000}"/>
    <cellStyle name="Acctg$" xfId="3604" xr:uid="{00000000-0005-0000-0000-0000650E0000}"/>
    <cellStyle name="Accy [0]" xfId="3605" xr:uid="{00000000-0005-0000-0000-0000670E0000}"/>
    <cellStyle name="Accy [1]" xfId="3606" xr:uid="{00000000-0005-0000-0000-0000680E0000}"/>
    <cellStyle name="Accy [2]" xfId="3607" xr:uid="{00000000-0005-0000-0000-0000690E0000}"/>
    <cellStyle name="Accy$ [0]" xfId="3608" xr:uid="{00000000-0005-0000-0000-00006A0E0000}"/>
    <cellStyle name="Accy$ [1]" xfId="3609" xr:uid="{00000000-0005-0000-0000-00006B0E0000}"/>
    <cellStyle name="Accy$ [2]" xfId="3610" xr:uid="{00000000-0005-0000-0000-00006C0E0000}"/>
    <cellStyle name="Acquisition" xfId="3611" xr:uid="{00000000-0005-0000-0000-00006D0E0000}"/>
    <cellStyle name="active" xfId="3612" xr:uid="{00000000-0005-0000-0000-00006E0E0000}"/>
    <cellStyle name="Actual data" xfId="3613" xr:uid="{00000000-0005-0000-0000-00006F0E0000}"/>
    <cellStyle name="Actual Date" xfId="3614" xr:uid="{00000000-0005-0000-0000-0000700E0000}"/>
    <cellStyle name="Actual year" xfId="3615" xr:uid="{00000000-0005-0000-0000-0000710E0000}"/>
    <cellStyle name="Actuals Cells" xfId="3616" xr:uid="{00000000-0005-0000-0000-0000720E0000}"/>
    <cellStyle name="ÅëÈ­ [0]_TestResults" xfId="3617" xr:uid="{00000000-0005-0000-0000-0000730E0000}"/>
    <cellStyle name="ÅëÈ­_TestResults" xfId="3618" xr:uid="{00000000-0005-0000-0000-0000740E0000}"/>
    <cellStyle name="AFE" xfId="3619" xr:uid="{00000000-0005-0000-0000-0000750E0000}"/>
    <cellStyle name="aht" xfId="3620" xr:uid="{00000000-0005-0000-0000-0000760E0000}"/>
    <cellStyle name="Akcent 1" xfId="3621" xr:uid="{00000000-0005-0000-0000-0000770E0000}"/>
    <cellStyle name="Akcent 2" xfId="3622" xr:uid="{00000000-0005-0000-0000-0000780E0000}"/>
    <cellStyle name="Akcent 3" xfId="3623" xr:uid="{00000000-0005-0000-0000-0000790E0000}"/>
    <cellStyle name="Akcent 4" xfId="3624" xr:uid="{00000000-0005-0000-0000-00007A0E0000}"/>
    <cellStyle name="Akcent 5" xfId="3625" xr:uid="{00000000-0005-0000-0000-00007B0E0000}"/>
    <cellStyle name="Akcent 6" xfId="3626" xr:uid="{00000000-0005-0000-0000-00007C0E0000}"/>
    <cellStyle name="Allign center" xfId="3627" xr:uid="{00000000-0005-0000-0000-00007D0E0000}"/>
    <cellStyle name="ANALYST" xfId="3628" xr:uid="{00000000-0005-0000-0000-00007E0E0000}"/>
    <cellStyle name="ANCLAS,REZONES Y SUS PARTES,DE FUNDICION,DE HIERRO O DE ACERO" xfId="3629" xr:uid="{00000000-0005-0000-0000-00007F0E0000}"/>
    <cellStyle name="ANCLAS,REZONES Y SUS PARTES,DE FUNDICION,DE HIERRO O DE ACERO 2" xfId="3630" xr:uid="{00000000-0005-0000-0000-0000800E0000}"/>
    <cellStyle name="ANCLAS,REZONES Y SUS PARTES,DE FUNDICION,DE HIERRO O DE ACERO 2 2" xfId="3631" xr:uid="{00000000-0005-0000-0000-0000810E0000}"/>
    <cellStyle name="ANCLAS,REZONES Y SUS PARTES,DE FUNDICION,DE HIERRO O DE ACERO 2 3" xfId="3632" xr:uid="{00000000-0005-0000-0000-0000820E0000}"/>
    <cellStyle name="ANCLAS,REZONES Y SUS PARTES,DE FUNDICION,DE HIERRO O DE ACERO 3" xfId="3633" xr:uid="{00000000-0005-0000-0000-0000830E0000}"/>
    <cellStyle name="ANCLAS,REZONES Y SUS PARTES,DE FUNDICION,DE HIERRO O DE ACERO 3 2" xfId="3634" xr:uid="{00000000-0005-0000-0000-0000840E0000}"/>
    <cellStyle name="ANCLAS,REZONES Y SUS PARTES,DE FUNDICION,DE HIERRO O DE ACERO 4" xfId="3635" xr:uid="{00000000-0005-0000-0000-0000850E0000}"/>
    <cellStyle name="ANCLAS,REZONES Y SUS PARTES,DE FUNDICION,DE HIERRO O DE ACERO 5" xfId="3636" xr:uid="{00000000-0005-0000-0000-0000860E0000}"/>
    <cellStyle name="ANCLAS,REZONES Y SUS PARTES,DE FUNDICION,DE HIERRO O DE ACERO 6" xfId="3637" xr:uid="{00000000-0005-0000-0000-0000870E0000}"/>
    <cellStyle name="ANCLAS,REZONES Y SUS PARTES,DE FUNDICION,DE HIERRO O DE ACERO_(2007-07-30) Financial Model Light with ML $15mm convert" xfId="3638" xr:uid="{00000000-0005-0000-0000-0000880E0000}"/>
    <cellStyle name="Andre's Title" xfId="3639" xr:uid="{00000000-0005-0000-0000-0000890E0000}"/>
    <cellStyle name="Año" xfId="3640" xr:uid="{00000000-0005-0000-0000-00008A0E0000}"/>
    <cellStyle name="ARaging" xfId="3641" xr:uid="{00000000-0005-0000-0000-00008B0E0000}"/>
    <cellStyle name="args.style" xfId="3642" xr:uid="{00000000-0005-0000-0000-00008C0E0000}"/>
    <cellStyle name="Arial 10" xfId="3643" xr:uid="{00000000-0005-0000-0000-00008D0E0000}"/>
    <cellStyle name="Arial 10 2" xfId="3644" xr:uid="{00000000-0005-0000-0000-00008E0E0000}"/>
    <cellStyle name="Arial 10_(2008-02-29) Project Shot - Financial Model SCENARIO II" xfId="3645" xr:uid="{00000000-0005-0000-0000-00008F0E0000}"/>
    <cellStyle name="Arial 12" xfId="3646" xr:uid="{00000000-0005-0000-0000-0000900E0000}"/>
    <cellStyle name="Arial6Bold" xfId="3647" xr:uid="{00000000-0005-0000-0000-0000910E0000}"/>
    <cellStyle name="Arial6Bold 2" xfId="6586" xr:uid="{00000000-0005-0000-0000-0000920E0000}"/>
    <cellStyle name="Arial8Bold" xfId="3648" xr:uid="{00000000-0005-0000-0000-0000930E0000}"/>
    <cellStyle name="Arial8Bold 2" xfId="6587" xr:uid="{00000000-0005-0000-0000-0000940E0000}"/>
    <cellStyle name="Arial8Italic" xfId="3649" xr:uid="{00000000-0005-0000-0000-0000950E0000}"/>
    <cellStyle name="Arial8Italic 2" xfId="6588" xr:uid="{00000000-0005-0000-0000-0000960E0000}"/>
    <cellStyle name="ArialNormal" xfId="3650" xr:uid="{00000000-0005-0000-0000-0000970E0000}"/>
    <cellStyle name="ArialNormal 2" xfId="6589" xr:uid="{00000000-0005-0000-0000-0000980E0000}"/>
    <cellStyle name="AsNorm" xfId="3651" xr:uid="{00000000-0005-0000-0000-0000990E0000}"/>
    <cellStyle name="AsPer" xfId="3652" xr:uid="{00000000-0005-0000-0000-00009A0E0000}"/>
    <cellStyle name="Ass_perc" xfId="3653" xr:uid="{00000000-0005-0000-0000-00009B0E0000}"/>
    <cellStyle name="assumption" xfId="3654" xr:uid="{00000000-0005-0000-0000-00009C0E0000}"/>
    <cellStyle name="Assumption %" xfId="3655" xr:uid="{00000000-0005-0000-0000-00009D0E0000}"/>
    <cellStyle name="Assumption % [2]" xfId="3656" xr:uid="{00000000-0005-0000-0000-00009E0E0000}"/>
    <cellStyle name="Assumption %_Nuela Financial Summary Projections_06-26-09_v2" xfId="3657" xr:uid="{00000000-0005-0000-0000-00009F0E0000}"/>
    <cellStyle name="Assumption [#]" xfId="3658" xr:uid="{00000000-0005-0000-0000-0000A00E0000}"/>
    <cellStyle name="Assumption [%]" xfId="3659" xr:uid="{00000000-0005-0000-0000-0000A10E0000}"/>
    <cellStyle name="Assumption [x]" xfId="3660" xr:uid="{00000000-0005-0000-0000-0000A20E0000}"/>
    <cellStyle name="Assumption x" xfId="3661" xr:uid="{00000000-0005-0000-0000-0000A30E0000}"/>
    <cellStyle name="Assumption_~8324206" xfId="3662" xr:uid="{00000000-0005-0000-0000-0000A40E0000}"/>
    <cellStyle name="Assumption2" xfId="3663" xr:uid="{00000000-0005-0000-0000-0000A50E0000}"/>
    <cellStyle name="assumptions" xfId="3664" xr:uid="{00000000-0005-0000-0000-0000A60E0000}"/>
    <cellStyle name="Assumptions [#]" xfId="3665" xr:uid="{00000000-0005-0000-0000-0000A70E0000}"/>
    <cellStyle name="assumptions_~8324206" xfId="3666" xr:uid="{00000000-0005-0000-0000-0000A80E0000}"/>
    <cellStyle name="ast" xfId="3667" xr:uid="{00000000-0005-0000-0000-0000A90E0000}"/>
    <cellStyle name="at" xfId="3668" xr:uid="{00000000-0005-0000-0000-0000AA0E0000}"/>
    <cellStyle name="at 2" xfId="6590" xr:uid="{00000000-0005-0000-0000-0000AB0E0000}"/>
    <cellStyle name="ÄÞ¸¶ [0]_TestResults" xfId="3669" xr:uid="{00000000-0005-0000-0000-0000AC0E0000}"/>
    <cellStyle name="ÄÞ¸¶_TestResults" xfId="3670" xr:uid="{00000000-0005-0000-0000-0000AD0E0000}"/>
    <cellStyle name="AutoFormat Options" xfId="3671" xr:uid="{00000000-0005-0000-0000-0000AE0E0000}"/>
    <cellStyle name="b" xfId="3672" xr:uid="{00000000-0005-0000-0000-0000AF0E0000}"/>
    <cellStyle name="b$0" xfId="3673" xr:uid="{00000000-0005-0000-0000-0000B00E0000}"/>
    <cellStyle name="b$1" xfId="3674" xr:uid="{00000000-0005-0000-0000-0000B10E0000}"/>
    <cellStyle name="b$2" xfId="3675" xr:uid="{00000000-0005-0000-0000-0000B20E0000}"/>
    <cellStyle name="b%0" xfId="3676" xr:uid="{00000000-0005-0000-0000-0000B30E0000}"/>
    <cellStyle name="b%1" xfId="3677" xr:uid="{00000000-0005-0000-0000-0000B40E0000}"/>
    <cellStyle name="b%2" xfId="3678" xr:uid="{00000000-0005-0000-0000-0000B50E0000}"/>
    <cellStyle name="b;a" xfId="3679" xr:uid="{00000000-0005-0000-0000-0000B60E0000}"/>
    <cellStyle name="b_~8324206" xfId="3680" xr:uid="{00000000-0005-0000-0000-0000B70E0000}"/>
    <cellStyle name="b_Ahlsell Model 20031103" xfId="3681" xr:uid="{00000000-0005-0000-0000-0000B80E0000}"/>
    <cellStyle name="b_Allibert model_v4" xfId="3682" xr:uid="{00000000-0005-0000-0000-0000B90E0000}"/>
    <cellStyle name="b_Arcelor_KKRv8" xfId="3683" xr:uid="{00000000-0005-0000-0000-0000BA0E0000}"/>
    <cellStyle name="b_Arcelor_KKRv8_Nuela Financial Summary Projections_06-26-09_v2" xfId="3684" xr:uid="{00000000-0005-0000-0000-0000BB0E0000}"/>
    <cellStyle name="b_base data  2003 12 03" xfId="3685" xr:uid="{00000000-0005-0000-0000-0000BC0E0000}"/>
    <cellStyle name="b_base data  2003 12 03_Nuela Financial Summary Projections_06-26-09_v2" xfId="3686" xr:uid="{00000000-0005-0000-0000-0000BD0E0000}"/>
    <cellStyle name="b_Bröderna Edstrand Model 20031103" xfId="3687" xr:uid="{00000000-0005-0000-0000-0000BE0E0000}"/>
    <cellStyle name="b_Comps_21May04" xfId="3688" xr:uid="{00000000-0005-0000-0000-0000BF0E0000}"/>
    <cellStyle name="b_Copy of DA_model v.22" xfId="3689" xr:uid="{00000000-0005-0000-0000-0000C00E0000}"/>
    <cellStyle name="b_Copy of Valuation 23112005" xfId="3690" xr:uid="{00000000-0005-0000-0000-0000C10E0000}"/>
    <cellStyle name="b_Copy of Valuation 23112005_Nuela Financial Summary Projections_06-26-09_v2" xfId="3691" xr:uid="{00000000-0005-0000-0000-0000C20E0000}"/>
    <cellStyle name="b_DCF Project Copernicus 17.Jan.2005v2" xfId="3692" xr:uid="{00000000-0005-0000-0000-0000C30E0000}"/>
    <cellStyle name="b_DCF Project Copernicus 17.Jan.2005v2_Nuela Financial Summary Projections_06-26-09_v2" xfId="3693" xr:uid="{00000000-0005-0000-0000-0000C40E0000}"/>
    <cellStyle name="b_DS Smith LBO Model v7" xfId="3694" xr:uid="{00000000-0005-0000-0000-0000C50E0000}"/>
    <cellStyle name="b_Eagle Bear model v8" xfId="3695" xr:uid="{00000000-0005-0000-0000-0000C60E0000}"/>
    <cellStyle name="b_Earl_DDM_ v72 Baron" xfId="3696" xr:uid="{00000000-0005-0000-0000-0000C70E0000}"/>
    <cellStyle name="B_East calcs 23.08.2004" xfId="3697" xr:uid="{00000000-0005-0000-0000-0000C80E0000}"/>
    <cellStyle name="b_Eramet valuation_14.02.07_v12" xfId="3698" xr:uid="{00000000-0005-0000-0000-0000C90E0000}"/>
    <cellStyle name="b_Eramet valuation_14.02.07_v12_Nuela Financial Summary Projections_06-26-09_v2" xfId="3699" xr:uid="{00000000-0005-0000-0000-0000CA0E0000}"/>
    <cellStyle name="b_ETG_Exit opps_Aug 8, 2005_v5" xfId="3700" xr:uid="{00000000-0005-0000-0000-0000CB0E0000}"/>
    <cellStyle name="b_ETG_Exit opps_Aug 8, 2005_v5_Nuela Financial Summary Projections_06-26-09_v2" xfId="3701" xr:uid="{00000000-0005-0000-0000-0000CC0E0000}"/>
    <cellStyle name="b_FABER historical FV_EBITDA and P_E 19 Oct 2004" xfId="3702" xr:uid="{00000000-0005-0000-0000-0000CD0E0000}"/>
    <cellStyle name="b_FABER historical FV_EBITDA and P_E 19 Oct 2004_Nuela Financial Summary Projections_06-26-09_v2" xfId="3703" xr:uid="{00000000-0005-0000-0000-0000CE0E0000}"/>
    <cellStyle name="b_Faurecia Input July 2004 v2" xfId="3704" xr:uid="{00000000-0005-0000-0000-0000CF0E0000}"/>
    <cellStyle name="b_Faurecia Input July 2004 v2_Nuela Financial Summary Projections_06-26-09_v2" xfId="3705" xr:uid="{00000000-0005-0000-0000-0000D00E0000}"/>
    <cellStyle name="b_Faurecia model &amp; trading comps v13" xfId="3706" xr:uid="{00000000-0005-0000-0000-0000D10E0000}"/>
    <cellStyle name="b_Gerflor Trading Multiples 07122004 - From Ruben" xfId="3707" xr:uid="{00000000-0005-0000-0000-0000D20E0000}"/>
    <cellStyle name="b_Gerflor Trading Multiples 07122004 - From Ruben_Nuela Financial Summary Projections_06-26-09_v2" xfId="3708" xr:uid="{00000000-0005-0000-0000-0000D30E0000}"/>
    <cellStyle name="b_GKN_FNM model v3" xfId="3709" xr:uid="{00000000-0005-0000-0000-0000D40E0000}"/>
    <cellStyle name="b_GKN_FNM model v3_Nuela Financial Summary Projections_06-26-09_v2" xfId="3710" xr:uid="{00000000-0005-0000-0000-0000D50E0000}"/>
    <cellStyle name="b_GKN_FNM model v3_Volvo Cars model 011006 v7" xfId="3711" xr:uid="{00000000-0005-0000-0000-0000D60E0000}"/>
    <cellStyle name="b_Guala DCF v5" xfId="3712" xr:uid="{00000000-0005-0000-0000-0000D70E0000}"/>
    <cellStyle name="b_Guala_model_27.3.06" xfId="3713" xr:uid="{00000000-0005-0000-0000-0000D80E0000}"/>
    <cellStyle name="b_Gx_analysis_240306 v1" xfId="3714" xr:uid="{00000000-0005-0000-0000-0000D90E0000}"/>
    <cellStyle name="B_IHI calcs v13" xfId="3715" xr:uid="{00000000-0005-0000-0000-0000DA0E0000}"/>
    <cellStyle name="b_IM Latest combined Group PL (DC)" xfId="3716" xr:uid="{00000000-0005-0000-0000-0000DB0E0000}"/>
    <cellStyle name="b_Impress - FINAL recap model" xfId="3717" xr:uid="{00000000-0005-0000-0000-0000DC0E0000}"/>
    <cellStyle name="b_Impress - FINAL recap modelv10" xfId="3718" xr:uid="{00000000-0005-0000-0000-0000DD0E0000}"/>
    <cellStyle name="b_Impress - IPO MATHS_21.11.06.v1" xfId="3719" xr:uid="{00000000-0005-0000-0000-0000DE0E0000}"/>
    <cellStyle name="b_Impress - Shareholder returns - JPM Apr 26" xfId="3720" xr:uid="{00000000-0005-0000-0000-0000DF0E0000}"/>
    <cellStyle name="B_Landsbanki calcs v2" xfId="3721" xr:uid="{00000000-0005-0000-0000-0000E00E0000}"/>
    <cellStyle name="b_LBO model" xfId="3722" xr:uid="{00000000-0005-0000-0000-0000E10E0000}"/>
    <cellStyle name="b_LBO_Rexam_v51" xfId="3723" xr:uid="{00000000-0005-0000-0000-0000E20E0000}"/>
    <cellStyle name="b_LBOv7bis" xfId="3724" xr:uid="{00000000-0005-0000-0000-0000E30E0000}"/>
    <cellStyle name="b_Magna-Faurecia Model June 2004 v13 (for intier multiple)" xfId="3725" xr:uid="{00000000-0005-0000-0000-0000E40E0000}"/>
    <cellStyle name="b_Magna-Faurecia Model June 2004 v13 (for intier multiple)_Nuela Financial Summary Projections_06-26-09_v2" xfId="3726" xr:uid="{00000000-0005-0000-0000-0000E50E0000}"/>
    <cellStyle name="b_Mark IV model 2005 v34" xfId="3727" xr:uid="{00000000-0005-0000-0000-0000E60E0000}"/>
    <cellStyle name="b_Mark IV model 2005 v34_Nuela Financial Summary Projections_06-26-09_v2" xfId="3728" xr:uid="{00000000-0005-0000-0000-0000E70E0000}"/>
    <cellStyle name="b_mgcr1" xfId="3729" xr:uid="{00000000-0005-0000-0000-0000E80E0000}"/>
    <cellStyle name="b_Mivisa DCF v1" xfId="3730" xr:uid="{00000000-0005-0000-0000-0000E90E0000}"/>
    <cellStyle name="b_Model Faurecia June 2004 v2" xfId="3731" xr:uid="{00000000-0005-0000-0000-0000EA0E0000}"/>
    <cellStyle name="b_Model Faurecia June 2004 v2_Nuela Financial Summary Projections_06-26-09_v2" xfId="3732" xr:uid="{00000000-0005-0000-0000-0000EB0E0000}"/>
    <cellStyle name="b_model GKN_Meggitt v21" xfId="3733" xr:uid="{00000000-0005-0000-0000-0000EC0E0000}"/>
    <cellStyle name="b_model GKN_Meggitt v21_Nuela Financial Summary Projections_06-26-09_v2" xfId="3734" xr:uid="{00000000-0005-0000-0000-0000ED0E0000}"/>
    <cellStyle name="b_NC-Ahlsell Model v4" xfId="3735" xr:uid="{00000000-0005-0000-0000-0000EE0E0000}"/>
    <cellStyle name="b_New_Ahlsell Model v1.6" xfId="3736" xr:uid="{00000000-0005-0000-0000-0000EF0E0000}"/>
    <cellStyle name="b_Nokian model 12 12 05" xfId="3737" xr:uid="{00000000-0005-0000-0000-0000F00E0000}"/>
    <cellStyle name="b_Orkla Media_hist+assump_v1" xfId="3738" xr:uid="{00000000-0005-0000-0000-0000F10E0000}"/>
    <cellStyle name="b_Orkla Media_hist+assump_v1_Nuela Financial Summary Projections_06-26-09_v2" xfId="3739" xr:uid="{00000000-0005-0000-0000-0000F20E0000}"/>
    <cellStyle name="B_output" xfId="3740" xr:uid="{00000000-0005-0000-0000-0000F30E0000}"/>
    <cellStyle name="b_page" xfId="3741" xr:uid="{00000000-0005-0000-0000-0000F40E0000}"/>
    <cellStyle name="b_Pilkingtonadjusted 021105" xfId="3742" xr:uid="{00000000-0005-0000-0000-0000F50E0000}"/>
    <cellStyle name="b_Pilkingtonadjusted 021105_Nuela Financial Summary Projections_06-26-09_v2" xfId="3743" xr:uid="{00000000-0005-0000-0000-0000F60E0000}"/>
    <cellStyle name="b_Pirelli_Tyres_2005.10.13_V39_luca" xfId="3744" xr:uid="{00000000-0005-0000-0000-0000F70E0000}"/>
    <cellStyle name="b_Pirelli_Tyres_2005.10.13_V39_luca_Nuela Financial Summary Projections_06-26-09_v2" xfId="3745" xr:uid="{00000000-0005-0000-0000-0000F80E0000}"/>
    <cellStyle name="b_Same.Deutz_MDTwo_05.09.05_v3" xfId="3746" xr:uid="{00000000-0005-0000-0000-0000F90E0000}"/>
    <cellStyle name="b_Telenet DCF 29.03.2005" xfId="3747" xr:uid="{00000000-0005-0000-0000-0000FA0E0000}"/>
    <cellStyle name="b_TopCo model 200105v6AR" xfId="3748" xr:uid="{00000000-0005-0000-0000-0000FB0E0000}"/>
    <cellStyle name="b_TORNIO mults 28 June 2004" xfId="3749" xr:uid="{00000000-0005-0000-0000-0000FC0E0000}"/>
    <cellStyle name="b_TORNIO mults 28 June 2004_Nuela Financial Summary Projections_06-26-09_v2" xfId="3750" xr:uid="{00000000-0005-0000-0000-0000FD0E0000}"/>
    <cellStyle name="b_TORNIO mults 28 June 2004_Volvo Cars model 011006 v7" xfId="3751" xr:uid="{00000000-0005-0000-0000-0000FE0E0000}"/>
    <cellStyle name="b_Trading comps 01.09.05_v3" xfId="3752" xr:uid="{00000000-0005-0000-0000-0000FF0E0000}"/>
    <cellStyle name="b_Trelleborg base date 2003 11 09" xfId="3753" xr:uid="{00000000-0005-0000-0000-0000000F0000}"/>
    <cellStyle name="b_Trelleborg base date 2003 11 09_Nuela Financial Summary Projections_06-26-09_v2" xfId="3754" xr:uid="{00000000-0005-0000-0000-0000010F0000}"/>
    <cellStyle name="b_Valeo input July 2004 v5" xfId="3755" xr:uid="{00000000-0005-0000-0000-0000020F0000}"/>
    <cellStyle name="b_Valeo model v3" xfId="3756" xr:uid="{00000000-0005-0000-0000-0000030F0000}"/>
    <cellStyle name="b_Valeo model v3_Nuela Financial Summary Projections_06-26-09_v2" xfId="3757" xr:uid="{00000000-0005-0000-0000-0000040F0000}"/>
    <cellStyle name="b_Volvo Cars model 011006 v7" xfId="3758" xr:uid="{00000000-0005-0000-0000-0000050F0000}"/>
    <cellStyle name="b_WACC analysis" xfId="3759" xr:uid="{00000000-0005-0000-0000-0000060F0000}"/>
    <cellStyle name="b£0" xfId="3760" xr:uid="{00000000-0005-0000-0000-0000070F0000}"/>
    <cellStyle name="b£1" xfId="3761" xr:uid="{00000000-0005-0000-0000-0000080F0000}"/>
    <cellStyle name="b£2" xfId="3762" xr:uid="{00000000-0005-0000-0000-0000090F0000}"/>
    <cellStyle name="b0" xfId="3763" xr:uid="{00000000-0005-0000-0000-00000A0F0000}"/>
    <cellStyle name="b1" xfId="3764" xr:uid="{00000000-0005-0000-0000-00000B0F0000}"/>
    <cellStyle name="b2" xfId="3765" xr:uid="{00000000-0005-0000-0000-00000C0F0000}"/>
    <cellStyle name="Bad 2" xfId="3766" xr:uid="{00000000-0005-0000-0000-00000D0F0000}"/>
    <cellStyle name="bal" xfId="3767" xr:uid="{00000000-0005-0000-0000-00000E0F0000}"/>
    <cellStyle name="Balance_Sheet" xfId="3768" xr:uid="{00000000-0005-0000-0000-00000F0F0000}"/>
    <cellStyle name="BalanceSheet" xfId="3769" xr:uid="{00000000-0005-0000-0000-0000100F0000}"/>
    <cellStyle name="Band 2" xfId="3770" xr:uid="{00000000-0005-0000-0000-0000110F0000}"/>
    <cellStyle name="Banner" xfId="3771" xr:uid="{00000000-0005-0000-0000-0000120F0000}"/>
    <cellStyle name="Banner 2" xfId="6591" xr:uid="{00000000-0005-0000-0000-0000130F0000}"/>
    <cellStyle name="Bar Title" xfId="3772" xr:uid="{00000000-0005-0000-0000-0000140F0000}"/>
    <cellStyle name="Base" xfId="6592" xr:uid="{00000000-0005-0000-0000-0000150F0000}"/>
    <cellStyle name="Besuchter Hyperlink" xfId="3773" xr:uid="{00000000-0005-0000-0000-0000160F0000}"/>
    <cellStyle name="bjla" xfId="3774" xr:uid="{00000000-0005-0000-0000-0000170F0000}"/>
    <cellStyle name="bl" xfId="3775" xr:uid="{00000000-0005-0000-0000-0000180F0000}"/>
    <cellStyle name="black" xfId="3776" xr:uid="{00000000-0005-0000-0000-0000190F0000}"/>
    <cellStyle name="BlackTitle" xfId="3777" xr:uid="{00000000-0005-0000-0000-00001A0F0000}"/>
    <cellStyle name="blank" xfId="3778" xr:uid="{00000000-0005-0000-0000-00001B0F0000}"/>
    <cellStyle name="Blank [,]" xfId="3779" xr:uid="{00000000-0005-0000-0000-00001C0F0000}"/>
    <cellStyle name="blank_Gx_analysis_240306 v1" xfId="3780" xr:uid="{00000000-0005-0000-0000-00001D0F0000}"/>
    <cellStyle name="block" xfId="3781" xr:uid="{00000000-0005-0000-0000-00001E0F0000}"/>
    <cellStyle name="Bloomberg" xfId="3782" xr:uid="{00000000-0005-0000-0000-00001F0F0000}"/>
    <cellStyle name="Bloomberg Data" xfId="3783" xr:uid="{00000000-0005-0000-0000-0000200F0000}"/>
    <cellStyle name="blu" xfId="3784" xr:uid="{00000000-0005-0000-0000-0000210F0000}"/>
    <cellStyle name="Blue" xfId="3785" xr:uid="{00000000-0005-0000-0000-0000220F0000}"/>
    <cellStyle name="-Blue" xfId="3786" xr:uid="{00000000-0005-0000-0000-0000230F0000}"/>
    <cellStyle name="-Blue 2" xfId="3787" xr:uid="{00000000-0005-0000-0000-0000240F0000}"/>
    <cellStyle name="-Blue 3" xfId="3788" xr:uid="{00000000-0005-0000-0000-0000250F0000}"/>
    <cellStyle name="-Blue 4" xfId="3789" xr:uid="{00000000-0005-0000-0000-0000260F0000}"/>
    <cellStyle name="-Blue 5" xfId="3790" xr:uid="{00000000-0005-0000-0000-0000270F0000}"/>
    <cellStyle name="-Blue 6" xfId="3791" xr:uid="{00000000-0005-0000-0000-0000280F0000}"/>
    <cellStyle name="-Blue 7" xfId="3792" xr:uid="{00000000-0005-0000-0000-0000290F0000}"/>
    <cellStyle name="-Blue 8" xfId="3793" xr:uid="{00000000-0005-0000-0000-00002A0F0000}"/>
    <cellStyle name="-Blue 9" xfId="3794" xr:uid="{00000000-0005-0000-0000-00002B0F0000}"/>
    <cellStyle name="blue font" xfId="3795" xr:uid="{00000000-0005-0000-0000-00002C0F0000}"/>
    <cellStyle name="Blue Percent" xfId="3796" xr:uid="{00000000-0005-0000-0000-00002D0F0000}"/>
    <cellStyle name="blue shading" xfId="3797" xr:uid="{00000000-0005-0000-0000-00002E0F0000}"/>
    <cellStyle name="Blue&amp;white" xfId="3798" xr:uid="{00000000-0005-0000-0000-00002F0F0000}"/>
    <cellStyle name="blue_Allibert model_v4" xfId="3799" xr:uid="{00000000-0005-0000-0000-0000300F0000}"/>
    <cellStyle name="-Blue_Portfolio Template" xfId="3800" xr:uid="{00000000-0005-0000-0000-0000310F0000}"/>
    <cellStyle name="bn" xfId="3801" xr:uid="{00000000-0005-0000-0000-0000320F0000}"/>
    <cellStyle name="bn 2" xfId="6593" xr:uid="{00000000-0005-0000-0000-0000330F0000}"/>
    <cellStyle name="bobi" xfId="3802" xr:uid="{00000000-0005-0000-0000-0000340F0000}"/>
    <cellStyle name="Body1" xfId="3803" xr:uid="{00000000-0005-0000-0000-0000350F0000}"/>
    <cellStyle name="Body2" xfId="3804" xr:uid="{00000000-0005-0000-0000-0000360F0000}"/>
    <cellStyle name="Body3" xfId="3805" xr:uid="{00000000-0005-0000-0000-0000370F0000}"/>
    <cellStyle name="Body4" xfId="3806" xr:uid="{00000000-0005-0000-0000-0000380F0000}"/>
    <cellStyle name="Bold" xfId="3807" xr:uid="{00000000-0005-0000-0000-0000390F0000}"/>
    <cellStyle name="Bold/Border" xfId="3808" xr:uid="{00000000-0005-0000-0000-00003A0F0000}"/>
    <cellStyle name="Bold/Border 2" xfId="6594" xr:uid="{00000000-0005-0000-0000-00003B0F0000}"/>
    <cellStyle name="Border" xfId="3809" xr:uid="{00000000-0005-0000-0000-00003D0F0000}"/>
    <cellStyle name="Border 2" xfId="6595" xr:uid="{00000000-0005-0000-0000-00003E0F0000}"/>
    <cellStyle name="Border Heavy" xfId="3810" xr:uid="{00000000-0005-0000-0000-00003F0F0000}"/>
    <cellStyle name="Border Heavy Up" xfId="3811" xr:uid="{00000000-0005-0000-0000-0000400F0000}"/>
    <cellStyle name="Border Heavy Up 2" xfId="6596" xr:uid="{00000000-0005-0000-0000-0000410F0000}"/>
    <cellStyle name="Border Thin" xfId="3812" xr:uid="{00000000-0005-0000-0000-0000420F0000}"/>
    <cellStyle name="Border Thin 2" xfId="6597" xr:uid="{00000000-0005-0000-0000-0000430F0000}"/>
    <cellStyle name="Border Thin Up" xfId="3813" xr:uid="{00000000-0005-0000-0000-0000440F0000}"/>
    <cellStyle name="Border Thin Up 2" xfId="6598" xr:uid="{00000000-0005-0000-0000-0000450F0000}"/>
    <cellStyle name="Border Thin_GX model_JPM_310107_FINAL" xfId="3814" xr:uid="{00000000-0005-0000-0000-0000460F0000}"/>
    <cellStyle name="Bottom Edge" xfId="3815" xr:uid="{00000000-0005-0000-0000-0000470F0000}"/>
    <cellStyle name="Bottom Edge 2" xfId="6599" xr:uid="{00000000-0005-0000-0000-0000480F0000}"/>
    <cellStyle name="box blue" xfId="3816" xr:uid="{00000000-0005-0000-0000-0000490F0000}"/>
    <cellStyle name="BoxHeading" xfId="3817" xr:uid="{00000000-0005-0000-0000-00004A0F0000}"/>
    <cellStyle name="bp--" xfId="3818" xr:uid="{00000000-0005-0000-0000-00004B0F0000}"/>
    <cellStyle name="Bps input" xfId="3819" xr:uid="{00000000-0005-0000-0000-00004C0F0000}"/>
    <cellStyle name="Bps normal" xfId="3820" xr:uid="{00000000-0005-0000-0000-00004D0F0000}"/>
    <cellStyle name="British Pound" xfId="3821" xr:uid="{00000000-0005-0000-0000-00004E0F0000}"/>
    <cellStyle name="British Pound[2]" xfId="3822" xr:uid="{00000000-0005-0000-0000-00004F0F0000}"/>
    <cellStyle name="brokers" xfId="3823" xr:uid="{00000000-0005-0000-0000-0000510F0000}"/>
    <cellStyle name="Brown header" xfId="3824" xr:uid="{00000000-0005-0000-0000-0000520F0000}"/>
    <cellStyle name="bss0" xfId="3825" xr:uid="{00000000-0005-0000-0000-0000530F0000}"/>
    <cellStyle name="bss0 2" xfId="6600" xr:uid="{00000000-0005-0000-0000-0000540F0000}"/>
    <cellStyle name="bss2" xfId="3826" xr:uid="{00000000-0005-0000-0000-0000550F0000}"/>
    <cellStyle name="bss2 2" xfId="6601" xr:uid="{00000000-0005-0000-0000-0000560F0000}"/>
    <cellStyle name="bstitutes]_x000d__x000a_; The following mappings take Word for MS-DOS names, PostScript names, and TrueType_x000d__x000a_; names into account" xfId="3827" xr:uid="{00000000-0005-0000-0000-0000570F0000}"/>
    <cellStyle name="Buena" xfId="3828" xr:uid="{00000000-0005-0000-0000-0000580F0000}"/>
    <cellStyle name="Buena 2" xfId="3829" xr:uid="{00000000-0005-0000-0000-0000590F0000}"/>
    <cellStyle name="Buena 2 2" xfId="3830" xr:uid="{00000000-0005-0000-0000-00005A0F0000}"/>
    <cellStyle name="Bullet" xfId="3831" xr:uid="{00000000-0005-0000-0000-00005B0F0000}"/>
    <cellStyle name="Business" xfId="3832" xr:uid="{00000000-0005-0000-0000-00005C0F0000}"/>
    <cellStyle name="Business Description" xfId="3833" xr:uid="{00000000-0005-0000-0000-00005D0F0000}"/>
    <cellStyle name="Buyer" xfId="3834" xr:uid="{00000000-0005-0000-0000-00005E0F0000}"/>
    <cellStyle name="bx0" xfId="3835" xr:uid="{00000000-0005-0000-0000-00005F0F0000}"/>
    <cellStyle name="bx1" xfId="3836" xr:uid="{00000000-0005-0000-0000-0000600F0000}"/>
    <cellStyle name="bx2" xfId="3837" xr:uid="{00000000-0005-0000-0000-0000610F0000}"/>
    <cellStyle name="c" xfId="3838" xr:uid="{00000000-0005-0000-0000-0000620F0000}"/>
    <cellStyle name="c_Accretion (2)" xfId="3839" xr:uid="{00000000-0005-0000-0000-0000630F0000}"/>
    <cellStyle name="c_Accretion (2)_Copy of Smiths Weir 07.12.05 - final back up" xfId="3840" xr:uid="{00000000-0005-0000-0000-0000640F0000}"/>
    <cellStyle name="c_Accretion (2)_Volvo Cars model 011006 v7" xfId="3841" xr:uid="{00000000-0005-0000-0000-0000650F0000}"/>
    <cellStyle name="c_Accretion (2)_Volvo Cars model 011006 v7_Nuela Financial Summary Projections_06-26-09_v2" xfId="3842" xr:uid="{00000000-0005-0000-0000-0000660F0000}"/>
    <cellStyle name="c_Bal Sheets (2)" xfId="3843" xr:uid="{00000000-0005-0000-0000-0000670F0000}"/>
    <cellStyle name="c_Bal Sheets (2)_Copy of Smiths Weir 07.12.05 - final back up" xfId="3844" xr:uid="{00000000-0005-0000-0000-0000680F0000}"/>
    <cellStyle name="c_Bal Sheets (2)_Volvo Cars model 011006 v7" xfId="3845" xr:uid="{00000000-0005-0000-0000-0000690F0000}"/>
    <cellStyle name="c_Bal Sheets (2)_Volvo Cars model 011006 v7_Nuela Financial Summary Projections_06-26-09_v2" xfId="3846" xr:uid="{00000000-0005-0000-0000-00006A0F0000}"/>
    <cellStyle name="c_Cases (2)" xfId="3847" xr:uid="{00000000-0005-0000-0000-00006B0F0000}"/>
    <cellStyle name="c_Cases (2)_Copy of Smiths Weir 07.12.05 - final back up" xfId="3848" xr:uid="{00000000-0005-0000-0000-00006C0F0000}"/>
    <cellStyle name="c_Cases (2)_Volvo Cars model 011006 v7" xfId="3849" xr:uid="{00000000-0005-0000-0000-00006D0F0000}"/>
    <cellStyle name="c_Cases (2)_Volvo Cars model 011006 v7_Nuela Financial Summary Projections_06-26-09_v2" xfId="3850" xr:uid="{00000000-0005-0000-0000-00006E0F0000}"/>
    <cellStyle name="c_Cases (3)" xfId="3851" xr:uid="{00000000-0005-0000-0000-00006F0F0000}"/>
    <cellStyle name="c_Cases (3)_Copy of Smiths Weir 07.12.05 - final back up" xfId="3852" xr:uid="{00000000-0005-0000-0000-0000700F0000}"/>
    <cellStyle name="c_Cases (3)_Volvo Cars model 011006 v7" xfId="3853" xr:uid="{00000000-0005-0000-0000-0000710F0000}"/>
    <cellStyle name="c_Cases (3)_Volvo Cars model 011006 v7_Nuela Financial Summary Projections_06-26-09_v2" xfId="3854" xr:uid="{00000000-0005-0000-0000-0000720F0000}"/>
    <cellStyle name="c_Cases (4)" xfId="3855" xr:uid="{00000000-0005-0000-0000-0000730F0000}"/>
    <cellStyle name="c_Cases (4)_Copy of Smiths Weir 07.12.05 - final back up" xfId="3856" xr:uid="{00000000-0005-0000-0000-0000740F0000}"/>
    <cellStyle name="c_Cases (4)_Volvo Cars model 011006 v7" xfId="3857" xr:uid="{00000000-0005-0000-0000-0000750F0000}"/>
    <cellStyle name="c_Cases (4)_Volvo Cars model 011006 v7_Nuela Financial Summary Projections_06-26-09_v2" xfId="3858" xr:uid="{00000000-0005-0000-0000-0000760F0000}"/>
    <cellStyle name="c_Copy of Smiths Weir 07.12.05 - final back up" xfId="3859" xr:uid="{00000000-0005-0000-0000-0000770F0000}"/>
    <cellStyle name="c_Crown" xfId="3860" xr:uid="{00000000-0005-0000-0000-0000780F0000}"/>
    <cellStyle name="c_Crown_Copy of Smiths Weir 07.12.05 - final back up" xfId="3861" xr:uid="{00000000-0005-0000-0000-0000790F0000}"/>
    <cellStyle name="c_Crown_Volvo Cars model 011006 v7" xfId="3862" xr:uid="{00000000-0005-0000-0000-00007A0F0000}"/>
    <cellStyle name="c_Crown_Volvo Cars model 011006 v7_Nuela Financial Summary Projections_06-26-09_v2" xfId="3863" xr:uid="{00000000-0005-0000-0000-00007B0F0000}"/>
    <cellStyle name="c_DCF Matrix (2)" xfId="3864" xr:uid="{00000000-0005-0000-0000-00007C0F0000}"/>
    <cellStyle name="c_DCF Matrix (2)_Copy of Smiths Weir 07.12.05 - final back up" xfId="3865" xr:uid="{00000000-0005-0000-0000-00007D0F0000}"/>
    <cellStyle name="c_DCF Matrix (2)_Volvo Cars model 011006 v7" xfId="3866" xr:uid="{00000000-0005-0000-0000-00007E0F0000}"/>
    <cellStyle name="c_DCF Matrix (2)_Volvo Cars model 011006 v7_Nuela Financial Summary Projections_06-26-09_v2" xfId="3867" xr:uid="{00000000-0005-0000-0000-00007F0F0000}"/>
    <cellStyle name="c_DCF Matrix (3)" xfId="3868" xr:uid="{00000000-0005-0000-0000-0000800F0000}"/>
    <cellStyle name="c_DCF Matrix (3)_Copy of Smiths Weir 07.12.05 - final back up" xfId="3869" xr:uid="{00000000-0005-0000-0000-0000810F0000}"/>
    <cellStyle name="c_DCF Matrix (3)_Volvo Cars model 011006 v7" xfId="3870" xr:uid="{00000000-0005-0000-0000-0000820F0000}"/>
    <cellStyle name="c_DCF Matrix (3)_Volvo Cars model 011006 v7_Nuela Financial Summary Projections_06-26-09_v2" xfId="3871" xr:uid="{00000000-0005-0000-0000-0000830F0000}"/>
    <cellStyle name="c_DCF Matrix (4)" xfId="3872" xr:uid="{00000000-0005-0000-0000-0000840F0000}"/>
    <cellStyle name="c_DCF Matrix (4)_Copy of Smiths Weir 07.12.05 - final back up" xfId="3873" xr:uid="{00000000-0005-0000-0000-0000850F0000}"/>
    <cellStyle name="c_DCF Matrix (4)_Volvo Cars model 011006 v7" xfId="3874" xr:uid="{00000000-0005-0000-0000-0000860F0000}"/>
    <cellStyle name="c_DCF Matrix (4)_Volvo Cars model 011006 v7_Nuela Financial Summary Projections_06-26-09_v2" xfId="3875" xr:uid="{00000000-0005-0000-0000-0000870F0000}"/>
    <cellStyle name="c_DMPR Sale (2)" xfId="3876" xr:uid="{00000000-0005-0000-0000-0000880F0000}"/>
    <cellStyle name="c_DMPR Sale (2)_Copy of Smiths Weir 07.12.05 - final back up" xfId="3877" xr:uid="{00000000-0005-0000-0000-0000890F0000}"/>
    <cellStyle name="c_DMPR Sale (2)_Volvo Cars model 011006 v7" xfId="3878" xr:uid="{00000000-0005-0000-0000-00008A0F0000}"/>
    <cellStyle name="c_DMPR Sale (2)_Volvo Cars model 011006 v7_Nuela Financial Summary Projections_06-26-09_v2" xfId="3879" xr:uid="{00000000-0005-0000-0000-00008B0F0000}"/>
    <cellStyle name="c_Earnings (2)" xfId="3880" xr:uid="{00000000-0005-0000-0000-00008C0F0000}"/>
    <cellStyle name="c_Earnings (2)_Copy of Smiths Weir 07.12.05 - final back up" xfId="3881" xr:uid="{00000000-0005-0000-0000-00008D0F0000}"/>
    <cellStyle name="c_Earnings (2)_Volvo Cars model 011006 v7" xfId="3882" xr:uid="{00000000-0005-0000-0000-00008E0F0000}"/>
    <cellStyle name="c_Earnings (2)_Volvo Cars model 011006 v7_Nuela Financial Summary Projections_06-26-09_v2" xfId="3883" xr:uid="{00000000-0005-0000-0000-00008F0F0000}"/>
    <cellStyle name="c_Earn-out (2)" xfId="3884" xr:uid="{00000000-0005-0000-0000-0000900F0000}"/>
    <cellStyle name="c_Earn-out (2)_Copy of Smiths Weir 07.12.05 - final back up" xfId="3885" xr:uid="{00000000-0005-0000-0000-0000910F0000}"/>
    <cellStyle name="c_Earn-out (2)_Volvo Cars model 011006 v7" xfId="3886" xr:uid="{00000000-0005-0000-0000-0000920F0000}"/>
    <cellStyle name="c_Earn-out (2)_Volvo Cars model 011006 v7_Nuela Financial Summary Projections_06-26-09_v2" xfId="3887" xr:uid="{00000000-0005-0000-0000-0000930F0000}"/>
    <cellStyle name="c_Euro 2 (2)" xfId="3888" xr:uid="{00000000-0005-0000-0000-0000940F0000}"/>
    <cellStyle name="c_Euro 2 (2)_Copy of Smiths Weir 07.12.05 - final back up" xfId="3889" xr:uid="{00000000-0005-0000-0000-0000950F0000}"/>
    <cellStyle name="c_Euro 2 (2)_Volvo Cars model 011006 v7" xfId="3890" xr:uid="{00000000-0005-0000-0000-0000960F0000}"/>
    <cellStyle name="c_Euro 2 (2)_Volvo Cars model 011006 v7_Nuela Financial Summary Projections_06-26-09_v2" xfId="3891" xr:uid="{00000000-0005-0000-0000-0000970F0000}"/>
    <cellStyle name="c_Euro PICS (2)" xfId="3892" xr:uid="{00000000-0005-0000-0000-0000980F0000}"/>
    <cellStyle name="c_Euro PICS (2)_Copy of Smiths Weir 07.12.05 - final back up" xfId="3893" xr:uid="{00000000-0005-0000-0000-0000990F0000}"/>
    <cellStyle name="c_Euro PICS (2)_Volvo Cars model 011006 v7" xfId="3894" xr:uid="{00000000-0005-0000-0000-00009A0F0000}"/>
    <cellStyle name="c_Euro PICS (2)_Volvo Cars model 011006 v7_Nuela Financial Summary Projections_06-26-09_v2" xfId="3895" xr:uid="{00000000-0005-0000-0000-00009B0F0000}"/>
    <cellStyle name="c_Euro PICS (3)" xfId="3896" xr:uid="{00000000-0005-0000-0000-00009C0F0000}"/>
    <cellStyle name="c_Euro PICS (3)_Copy of Smiths Weir 07.12.05 - final back up" xfId="3897" xr:uid="{00000000-0005-0000-0000-00009D0F0000}"/>
    <cellStyle name="c_Euro PICS (3)_Volvo Cars model 011006 v7" xfId="3898" xr:uid="{00000000-0005-0000-0000-00009E0F0000}"/>
    <cellStyle name="c_Euro PICS (3)_Volvo Cars model 011006 v7_Nuela Financial Summary Projections_06-26-09_v2" xfId="3899" xr:uid="{00000000-0005-0000-0000-00009F0F0000}"/>
    <cellStyle name="c_Europe (2)" xfId="3900" xr:uid="{00000000-0005-0000-0000-0000A00F0000}"/>
    <cellStyle name="c_Europe (2)_Copy of Smiths Weir 07.12.05 - final back up" xfId="3901" xr:uid="{00000000-0005-0000-0000-0000A10F0000}"/>
    <cellStyle name="c_Europe (2)_Volvo Cars model 011006 v7" xfId="3902" xr:uid="{00000000-0005-0000-0000-0000A20F0000}"/>
    <cellStyle name="c_Europe (2)_Volvo Cars model 011006 v7_Nuela Financial Summary Projections_06-26-09_v2" xfId="3903" xr:uid="{00000000-0005-0000-0000-0000A30F0000}"/>
    <cellStyle name="c_Hist Inputs (2)" xfId="3904" xr:uid="{00000000-0005-0000-0000-0000A40F0000}"/>
    <cellStyle name="c_Hist Inputs (2)_Copy of Smiths Weir 07.12.05 - final back up" xfId="3905" xr:uid="{00000000-0005-0000-0000-0000A50F0000}"/>
    <cellStyle name="c_Hist Inputs (2)_Volvo Cars model 011006 v7" xfId="3906" xr:uid="{00000000-0005-0000-0000-0000A60F0000}"/>
    <cellStyle name="c_Hist Inputs (2)_Volvo Cars model 011006 v7_Nuela Financial Summary Projections_06-26-09_v2" xfId="3907" xr:uid="{00000000-0005-0000-0000-0000A70F0000}"/>
    <cellStyle name="c_Hist Inputs (3)" xfId="3908" xr:uid="{00000000-0005-0000-0000-0000A80F0000}"/>
    <cellStyle name="c_Hist Inputs (3)_Copy of Smiths Weir 07.12.05 - final back up" xfId="3909" xr:uid="{00000000-0005-0000-0000-0000A90F0000}"/>
    <cellStyle name="c_Hist Inputs (3)_Volvo Cars model 011006 v7" xfId="3910" xr:uid="{00000000-0005-0000-0000-0000AA0F0000}"/>
    <cellStyle name="c_Hist Inputs (3)_Volvo Cars model 011006 v7_Nuela Financial Summary Projections_06-26-09_v2" xfId="3911" xr:uid="{00000000-0005-0000-0000-0000AB0F0000}"/>
    <cellStyle name="c_Hist Inputs (4)" xfId="3912" xr:uid="{00000000-0005-0000-0000-0000AC0F0000}"/>
    <cellStyle name="c_Hist Inputs (4)_Copy of Smiths Weir 07.12.05 - final back up" xfId="3913" xr:uid="{00000000-0005-0000-0000-0000AD0F0000}"/>
    <cellStyle name="c_Hist Inputs (4)_Volvo Cars model 011006 v7" xfId="3914" xr:uid="{00000000-0005-0000-0000-0000AE0F0000}"/>
    <cellStyle name="c_Hist Inputs (4)_Volvo Cars model 011006 v7_Nuela Financial Summary Projections_06-26-09_v2" xfId="3915" xr:uid="{00000000-0005-0000-0000-0000AF0F0000}"/>
    <cellStyle name="c_LBO IRR (2)" xfId="3916" xr:uid="{00000000-0005-0000-0000-0000B00F0000}"/>
    <cellStyle name="c_LBO IRR (2)_Copy of Smiths Weir 07.12.05 - final back up" xfId="3917" xr:uid="{00000000-0005-0000-0000-0000B10F0000}"/>
    <cellStyle name="c_LBO IRR (2)_Volvo Cars model 011006 v7" xfId="3918" xr:uid="{00000000-0005-0000-0000-0000B20F0000}"/>
    <cellStyle name="c_LBO IRR (2)_Volvo Cars model 011006 v7_Nuela Financial Summary Projections_06-26-09_v2" xfId="3919" xr:uid="{00000000-0005-0000-0000-0000B30F0000}"/>
    <cellStyle name="c_LBO Sens (2)" xfId="3920" xr:uid="{00000000-0005-0000-0000-0000B40F0000}"/>
    <cellStyle name="c_LBO Sens (2)_Copy of Smiths Weir 07.12.05 - final back up" xfId="3921" xr:uid="{00000000-0005-0000-0000-0000B50F0000}"/>
    <cellStyle name="c_LBO Sens (2)_Volvo Cars model 011006 v7" xfId="3922" xr:uid="{00000000-0005-0000-0000-0000B60F0000}"/>
    <cellStyle name="c_LBO Sens (2)_Volvo Cars model 011006 v7_Nuela Financial Summary Projections_06-26-09_v2" xfId="3923" xr:uid="{00000000-0005-0000-0000-0000B70F0000}"/>
    <cellStyle name="c_LBO Summary (2)" xfId="3924" xr:uid="{00000000-0005-0000-0000-0000B80F0000}"/>
    <cellStyle name="c_LBO Summary (2)_Copy of Smiths Weir 07.12.05 - final back up" xfId="3925" xr:uid="{00000000-0005-0000-0000-0000B90F0000}"/>
    <cellStyle name="c_LBO Summary (2)_Volvo Cars model 011006 v7" xfId="3926" xr:uid="{00000000-0005-0000-0000-0000BA0F0000}"/>
    <cellStyle name="c_LBO Summary (2)_Volvo Cars model 011006 v7_Nuela Financial Summary Projections_06-26-09_v2" xfId="3927" xr:uid="{00000000-0005-0000-0000-0000BB0F0000}"/>
    <cellStyle name="c_mod7" xfId="3928" xr:uid="{00000000-0005-0000-0000-0000BC0F0000}"/>
    <cellStyle name="c_mod7_Copy of Smiths Weir 07.12.05 - final back up" xfId="3929" xr:uid="{00000000-0005-0000-0000-0000BD0F0000}"/>
    <cellStyle name="c_mod7_Volvo Cars model 011006 v7" xfId="3930" xr:uid="{00000000-0005-0000-0000-0000BE0F0000}"/>
    <cellStyle name="c_mod7_Volvo Cars model 011006 v7_Nuela Financial Summary Projections_06-26-09_v2" xfId="3931" xr:uid="{00000000-0005-0000-0000-0000BF0F0000}"/>
    <cellStyle name="c_mod9" xfId="3932" xr:uid="{00000000-0005-0000-0000-0000C00F0000}"/>
    <cellStyle name="c_mod9_Copy of Smiths Weir 07.12.05 - final back up" xfId="3933" xr:uid="{00000000-0005-0000-0000-0000C10F0000}"/>
    <cellStyle name="c_mod9_Volvo Cars model 011006 v7" xfId="3934" xr:uid="{00000000-0005-0000-0000-0000C20F0000}"/>
    <cellStyle name="c_mod9_Volvo Cars model 011006 v7_Nuela Financial Summary Projections_06-26-09_v2" xfId="3935" xr:uid="{00000000-0005-0000-0000-0000C30F0000}"/>
    <cellStyle name="c_NOL (2)" xfId="3936" xr:uid="{00000000-0005-0000-0000-0000C40F0000}"/>
    <cellStyle name="c_NOL (2)_Copy of Smiths Weir 07.12.05 - final back up" xfId="3937" xr:uid="{00000000-0005-0000-0000-0000C50F0000}"/>
    <cellStyle name="c_NOL (2)_Volvo Cars model 011006 v7" xfId="3938" xr:uid="{00000000-0005-0000-0000-0000C60F0000}"/>
    <cellStyle name="c_NOL (2)_Volvo Cars model 011006 v7_Nuela Financial Summary Projections_06-26-09_v2" xfId="3939" xr:uid="{00000000-0005-0000-0000-0000C70F0000}"/>
    <cellStyle name="c_PFMA Cap (2)" xfId="3940" xr:uid="{00000000-0005-0000-0000-0000C80F0000}"/>
    <cellStyle name="c_PFMA Cap (2)_Copy of Smiths Weir 07.12.05 - final back up" xfId="3941" xr:uid="{00000000-0005-0000-0000-0000C90F0000}"/>
    <cellStyle name="c_PFMA Cap (2)_Volvo Cars model 011006 v7" xfId="3942" xr:uid="{00000000-0005-0000-0000-0000CA0F0000}"/>
    <cellStyle name="c_PFMA Cap (2)_Volvo Cars model 011006 v7_Nuela Financial Summary Projections_06-26-09_v2" xfId="3943" xr:uid="{00000000-0005-0000-0000-0000CB0F0000}"/>
    <cellStyle name="c_PFMA Credit (2)" xfId="3944" xr:uid="{00000000-0005-0000-0000-0000CC0F0000}"/>
    <cellStyle name="c_PFMA Credit (2)_Copy of Smiths Weir 07.12.05 - final back up" xfId="3945" xr:uid="{00000000-0005-0000-0000-0000CD0F0000}"/>
    <cellStyle name="c_PFMA Credit (2)_Volvo Cars model 011006 v7" xfId="3946" xr:uid="{00000000-0005-0000-0000-0000CE0F0000}"/>
    <cellStyle name="c_PFMA Credit (2)_Volvo Cars model 011006 v7_Nuela Financial Summary Projections_06-26-09_v2" xfId="3947" xr:uid="{00000000-0005-0000-0000-0000CF0F0000}"/>
    <cellStyle name="c_quarterly template" xfId="3948" xr:uid="{00000000-0005-0000-0000-0000D00F0000}"/>
    <cellStyle name="c_Restructuring (2)" xfId="3949" xr:uid="{00000000-0005-0000-0000-0000D10F0000}"/>
    <cellStyle name="c_Restructuring (2)_Copy of Smiths Weir 07.12.05 - final back up" xfId="3950" xr:uid="{00000000-0005-0000-0000-0000D20F0000}"/>
    <cellStyle name="c_Restructuring (2)_Volvo Cars model 011006 v7" xfId="3951" xr:uid="{00000000-0005-0000-0000-0000D30F0000}"/>
    <cellStyle name="c_Restructuring (2)_Volvo Cars model 011006 v7_Nuela Financial Summary Projections_06-26-09_v2" xfId="3952" xr:uid="{00000000-0005-0000-0000-0000D40F0000}"/>
    <cellStyle name="c_Revised" xfId="3953" xr:uid="{00000000-0005-0000-0000-0000D50F0000}"/>
    <cellStyle name="c_Revised_Copy of Smiths Weir 07.12.05 - final back up" xfId="3954" xr:uid="{00000000-0005-0000-0000-0000D60F0000}"/>
    <cellStyle name="c_Revised_Volvo Cars model 011006 v7" xfId="3955" xr:uid="{00000000-0005-0000-0000-0000D70F0000}"/>
    <cellStyle name="c_Revised_Volvo Cars model 011006 v7_Nuela Financial Summary Projections_06-26-09_v2" xfId="3956" xr:uid="{00000000-0005-0000-0000-0000D80F0000}"/>
    <cellStyle name="c_Schedules (2)" xfId="3957" xr:uid="{00000000-0005-0000-0000-0000D90F0000}"/>
    <cellStyle name="c_Schedules (2)_Copy of Smiths Weir 07.12.05 - final back up" xfId="3958" xr:uid="{00000000-0005-0000-0000-0000DA0F0000}"/>
    <cellStyle name="c_Schedules (2)_Volvo Cars model 011006 v7" xfId="3959" xr:uid="{00000000-0005-0000-0000-0000DB0F0000}"/>
    <cellStyle name="c_Schedules (2)_Volvo Cars model 011006 v7_Nuela Financial Summary Projections_06-26-09_v2" xfId="3960" xr:uid="{00000000-0005-0000-0000-0000DC0F0000}"/>
    <cellStyle name="c_Spring Final model" xfId="3961" xr:uid="{00000000-0005-0000-0000-0000DD0F0000}"/>
    <cellStyle name="c_Standalone (2)" xfId="3962" xr:uid="{00000000-0005-0000-0000-0000DE0F0000}"/>
    <cellStyle name="c_Standalone (2)_Copy of Smiths Weir 07.12.05 - final back up" xfId="3963" xr:uid="{00000000-0005-0000-0000-0000DF0F0000}"/>
    <cellStyle name="c_Standalone (2)_Volvo Cars model 011006 v7" xfId="3964" xr:uid="{00000000-0005-0000-0000-0000E00F0000}"/>
    <cellStyle name="c_Standalone (2)_Volvo Cars model 011006 v7_Nuela Financial Summary Projections_06-26-09_v2" xfId="3965" xr:uid="{00000000-0005-0000-0000-0000E10F0000}"/>
    <cellStyle name="c_Trading Val Calc (2)" xfId="3966" xr:uid="{00000000-0005-0000-0000-0000E20F0000}"/>
    <cellStyle name="c_Trading Val Calc (2)_Copy of Smiths Weir 07.12.05 - final back up" xfId="3967" xr:uid="{00000000-0005-0000-0000-0000E30F0000}"/>
    <cellStyle name="c_Trading Val Calc (2)_Volvo Cars model 011006 v7" xfId="3968" xr:uid="{00000000-0005-0000-0000-0000E40F0000}"/>
    <cellStyle name="c_Trading Val Calc (2)_Volvo Cars model 011006 v7_Nuela Financial Summary Projections_06-26-09_v2" xfId="3969" xr:uid="{00000000-0005-0000-0000-0000E50F0000}"/>
    <cellStyle name="c_Val Sum (2)" xfId="3970" xr:uid="{00000000-0005-0000-0000-0000E60F0000}"/>
    <cellStyle name="c_Val Sum (2)_Copy of Smiths Weir 07.12.05 - final back up" xfId="3971" xr:uid="{00000000-0005-0000-0000-0000E70F0000}"/>
    <cellStyle name="c_Val Sum (2)_Volvo Cars model 011006 v7" xfId="3972" xr:uid="{00000000-0005-0000-0000-0000E80F0000}"/>
    <cellStyle name="c_Val Sum (2)_Volvo Cars model 011006 v7_Nuela Financial Summary Projections_06-26-09_v2" xfId="3973" xr:uid="{00000000-0005-0000-0000-0000E90F0000}"/>
    <cellStyle name="c_Volvo Cars model 011006 v7" xfId="3974" xr:uid="{00000000-0005-0000-0000-0000EA0F0000}"/>
    <cellStyle name="c_Volvo Cars model 011006 v7_Nuela Financial Summary Projections_06-26-09_v2" xfId="3975" xr:uid="{00000000-0005-0000-0000-0000EB0F0000}"/>
    <cellStyle name="Ç¥ÁØ_TestResults" xfId="3976" xr:uid="{00000000-0005-0000-0000-0000EC0F0000}"/>
    <cellStyle name="C09_Style I Roman figures" xfId="3977" xr:uid="{00000000-0005-0000-0000-0000ED0F0000}"/>
    <cellStyle name="C10_ Figs Lt Green" xfId="3978" xr:uid="{00000000-0005-0000-0000-0000EE0F0000}"/>
    <cellStyle name="C11_ Figs Dk Green Bold" xfId="3979" xr:uid="{00000000-0005-0000-0000-0000EF0F0000}"/>
    <cellStyle name="C12_Annotation" xfId="3980" xr:uid="{00000000-0005-0000-0000-0000F00F0000}"/>
    <cellStyle name="Cabecera 1" xfId="3981" xr:uid="{00000000-0005-0000-0000-0000F10F0000}"/>
    <cellStyle name="Cabecera 2" xfId="3982" xr:uid="{00000000-0005-0000-0000-0000F20F0000}"/>
    <cellStyle name="CAD" xfId="3983" xr:uid="{00000000-0005-0000-0000-0000F30F0000}"/>
    <cellStyle name="Calc Cells" xfId="3984" xr:uid="{00000000-0005-0000-0000-0000F40F0000}"/>
    <cellStyle name="Calc Currency (0)" xfId="3985" xr:uid="{00000000-0005-0000-0000-0000F50F0000}"/>
    <cellStyle name="Calc Currency (2)" xfId="3986" xr:uid="{00000000-0005-0000-0000-0000F60F0000}"/>
    <cellStyle name="Calc Percent (0)" xfId="3987" xr:uid="{00000000-0005-0000-0000-0000F70F0000}"/>
    <cellStyle name="Calc Percent (1)" xfId="3988" xr:uid="{00000000-0005-0000-0000-0000F80F0000}"/>
    <cellStyle name="Calc Percent (2)" xfId="3989" xr:uid="{00000000-0005-0000-0000-0000F90F0000}"/>
    <cellStyle name="Calc Units (0)" xfId="3990" xr:uid="{00000000-0005-0000-0000-0000FA0F0000}"/>
    <cellStyle name="Calc Units (1)" xfId="3991" xr:uid="{00000000-0005-0000-0000-0000FB0F0000}"/>
    <cellStyle name="Calc Units (2)" xfId="3992" xr:uid="{00000000-0005-0000-0000-0000FC0F0000}"/>
    <cellStyle name="Calculated Assumption" xfId="3993" xr:uid="{00000000-0005-0000-0000-0000FD0F0000}"/>
    <cellStyle name="Calculated Assumption, #" xfId="3994" xr:uid="{00000000-0005-0000-0000-0000FE0F0000}"/>
    <cellStyle name="Calculated Assumption, %" xfId="3995" xr:uid="{00000000-0005-0000-0000-0000FF0F0000}"/>
    <cellStyle name="Calculated forecast" xfId="3996" xr:uid="{00000000-0005-0000-0000-000000100000}"/>
    <cellStyle name="Calculation 2" xfId="3997" xr:uid="{00000000-0005-0000-0000-000001100000}"/>
    <cellStyle name="Calculation 2 2" xfId="6602" xr:uid="{00000000-0005-0000-0000-000002100000}"/>
    <cellStyle name="Cálculo" xfId="3998" xr:uid="{00000000-0005-0000-0000-000003100000}"/>
    <cellStyle name="Cálculo 2" xfId="3999" xr:uid="{00000000-0005-0000-0000-000004100000}"/>
    <cellStyle name="Cálculo 2 2" xfId="4000" xr:uid="{00000000-0005-0000-0000-000005100000}"/>
    <cellStyle name="Cálculo 2 2 2" xfId="6603" xr:uid="{00000000-0005-0000-0000-000006100000}"/>
    <cellStyle name="Cálculo 3" xfId="6604" xr:uid="{00000000-0005-0000-0000-000007100000}"/>
    <cellStyle name="čárky [0]_06-ORDER-Hradec" xfId="4001" xr:uid="{00000000-0005-0000-0000-000008100000}"/>
    <cellStyle name="čárky_06-ORDER-Hradec" xfId="4002" xr:uid="{00000000-0005-0000-0000-000009100000}"/>
    <cellStyle name="Carmen" xfId="4003" xr:uid="{00000000-0005-0000-0000-00000A100000}"/>
    <cellStyle name="Case" xfId="4004" xr:uid="{00000000-0005-0000-0000-00000B100000}"/>
    <cellStyle name="CashFlow" xfId="4005" xr:uid="{00000000-0005-0000-0000-00000C100000}"/>
    <cellStyle name="category" xfId="4006" xr:uid="{00000000-0005-0000-0000-00000D100000}"/>
    <cellStyle name="CB Link" xfId="4007" xr:uid="{00000000-0005-0000-0000-00000E100000}"/>
    <cellStyle name="CB Normal" xfId="4008" xr:uid="{00000000-0005-0000-0000-00000F100000}"/>
    <cellStyle name="CB Percent" xfId="4009" xr:uid="{00000000-0005-0000-0000-000010100000}"/>
    <cellStyle name="CB Titles" xfId="4010" xr:uid="{00000000-0005-0000-0000-000011100000}"/>
    <cellStyle name="Celda de comprobación" xfId="4011" xr:uid="{00000000-0005-0000-0000-000012100000}"/>
    <cellStyle name="Celda de comprobación 2" xfId="4012" xr:uid="{00000000-0005-0000-0000-000013100000}"/>
    <cellStyle name="Celda de comprobación 2 2" xfId="4013" xr:uid="{00000000-0005-0000-0000-000014100000}"/>
    <cellStyle name="Celda de comprobación 2 2 2" xfId="4014" xr:uid="{00000000-0005-0000-0000-000015100000}"/>
    <cellStyle name="Celda de comprobación 2 2 2 2" xfId="4015" xr:uid="{00000000-0005-0000-0000-000016100000}"/>
    <cellStyle name="Celda de comprobación 2 2 3" xfId="4016" xr:uid="{00000000-0005-0000-0000-000017100000}"/>
    <cellStyle name="Celda vinculada" xfId="4017" xr:uid="{00000000-0005-0000-0000-000018100000}"/>
    <cellStyle name="Celda vinculada 2" xfId="4018" xr:uid="{00000000-0005-0000-0000-000019100000}"/>
    <cellStyle name="Celda vinculada 2 2" xfId="4019" xr:uid="{00000000-0005-0000-0000-00001A100000}"/>
    <cellStyle name="Center" xfId="4020" xr:uid="{00000000-0005-0000-0000-00001B100000}"/>
    <cellStyle name="Cents" xfId="4021" xr:uid="{00000000-0005-0000-0000-00001C100000}"/>
    <cellStyle name="Cents 2" xfId="6605" xr:uid="{00000000-0005-0000-0000-00001D100000}"/>
    <cellStyle name="ChartingText" xfId="4022" xr:uid="{00000000-0005-0000-0000-00001E100000}"/>
    <cellStyle name="Check" xfId="4023" xr:uid="{00000000-0005-0000-0000-00001F100000}"/>
    <cellStyle name="Check - Plug" xfId="4024" xr:uid="{00000000-0005-0000-0000-000020100000}"/>
    <cellStyle name="Check Cell 2" xfId="4025" xr:uid="{00000000-0005-0000-0000-000021100000}"/>
    <cellStyle name="Checksum" xfId="4026" xr:uid="{00000000-0005-0000-0000-000022100000}"/>
    <cellStyle name="Choose Number" xfId="4027" xr:uid="{00000000-0005-0000-0000-000023100000}"/>
    <cellStyle name="CHPTop" xfId="4028" xr:uid="{00000000-0005-0000-0000-000024100000}"/>
    <cellStyle name="CK_BrokersInput" xfId="4029" xr:uid="{00000000-0005-0000-0000-000025100000}"/>
    <cellStyle name="Client" xfId="4030" xr:uid="{00000000-0005-0000-0000-000026100000}"/>
    <cellStyle name="Client 2" xfId="6606" xr:uid="{00000000-0005-0000-0000-000027100000}"/>
    <cellStyle name="Co. Names" xfId="4031" xr:uid="{00000000-0005-0000-0000-000028100000}"/>
    <cellStyle name="Co. Names - Bold" xfId="4032" xr:uid="{00000000-0005-0000-0000-000029100000}"/>
    <cellStyle name="Co. Names_Break-Up" xfId="4033" xr:uid="{00000000-0005-0000-0000-00002A100000}"/>
    <cellStyle name="COL HEADINGS" xfId="4034" xr:uid="{00000000-0005-0000-0000-00002B100000}"/>
    <cellStyle name="COL HEADINGS 2" xfId="6607" xr:uid="{00000000-0005-0000-0000-00002C100000}"/>
    <cellStyle name="ColHeading" xfId="4035" xr:uid="{00000000-0005-0000-0000-00002D100000}"/>
    <cellStyle name="colheadleft" xfId="4036" xr:uid="{00000000-0005-0000-0000-00002E100000}"/>
    <cellStyle name="colheadright" xfId="4037" xr:uid="{00000000-0005-0000-0000-00002F100000}"/>
    <cellStyle name="colheadright 2" xfId="6608" xr:uid="{00000000-0005-0000-0000-000030100000}"/>
    <cellStyle name="Column Heading" xfId="4038" xr:uid="{00000000-0005-0000-0000-000031100000}"/>
    <cellStyle name="Column label" xfId="4039" xr:uid="{00000000-0005-0000-0000-000032100000}"/>
    <cellStyle name="Column label (left aligned)" xfId="4040" xr:uid="{00000000-0005-0000-0000-000033100000}"/>
    <cellStyle name="Column label (no wrap)" xfId="4041" xr:uid="{00000000-0005-0000-0000-000034100000}"/>
    <cellStyle name="Column label (not bold)" xfId="4042" xr:uid="{00000000-0005-0000-0000-000035100000}"/>
    <cellStyle name="column_heading" xfId="4043" xr:uid="{00000000-0005-0000-0000-000036100000}"/>
    <cellStyle name="column1" xfId="4044" xr:uid="{00000000-0005-0000-0000-000037100000}"/>
    <cellStyle name="column1Big" xfId="4045" xr:uid="{00000000-0005-0000-0000-000038100000}"/>
    <cellStyle name="column1Date" xfId="4046" xr:uid="{00000000-0005-0000-0000-000039100000}"/>
    <cellStyle name="ColumnHead" xfId="4047" xr:uid="{00000000-0005-0000-0000-00003A100000}"/>
    <cellStyle name="ColumnHead 2" xfId="6609" xr:uid="{00000000-0005-0000-0000-00003B100000}"/>
    <cellStyle name="ColumnHeaderNormal" xfId="4048" xr:uid="{00000000-0005-0000-0000-00003C100000}"/>
    <cellStyle name="ColumnHeaders" xfId="4049" xr:uid="{00000000-0005-0000-0000-00003D100000}"/>
    <cellStyle name="ColumnHeadings" xfId="4050" xr:uid="{00000000-0005-0000-0000-00003E100000}"/>
    <cellStyle name="ColumnHeadings2" xfId="4051" xr:uid="{00000000-0005-0000-0000-00003F100000}"/>
    <cellStyle name="Comma  - Style1" xfId="4052" xr:uid="{00000000-0005-0000-0000-000041100000}"/>
    <cellStyle name="Comma  - Style2" xfId="4053" xr:uid="{00000000-0005-0000-0000-000042100000}"/>
    <cellStyle name="Comma  - Style3" xfId="4054" xr:uid="{00000000-0005-0000-0000-000043100000}"/>
    <cellStyle name="Comma  - Style4" xfId="4055" xr:uid="{00000000-0005-0000-0000-000044100000}"/>
    <cellStyle name="Comma  - Style5" xfId="4056" xr:uid="{00000000-0005-0000-0000-000045100000}"/>
    <cellStyle name="Comma  - Style6" xfId="4057" xr:uid="{00000000-0005-0000-0000-000046100000}"/>
    <cellStyle name="Comma  - Style7" xfId="4058" xr:uid="{00000000-0005-0000-0000-000047100000}"/>
    <cellStyle name="Comma  - Style8" xfId="4059" xr:uid="{00000000-0005-0000-0000-000048100000}"/>
    <cellStyle name="comma - number" xfId="4060" xr:uid="{00000000-0005-0000-0000-000049100000}"/>
    <cellStyle name="Comma (0)" xfId="4061" xr:uid="{00000000-0005-0000-0000-00004A100000}"/>
    <cellStyle name="Comma (0dp)" xfId="4062" xr:uid="{00000000-0005-0000-0000-00004B100000}"/>
    <cellStyle name="Comma (1)" xfId="4063" xr:uid="{00000000-0005-0000-0000-00004C100000}"/>
    <cellStyle name="Comma (1dp)" xfId="4064" xr:uid="{00000000-0005-0000-0000-00004D100000}"/>
    <cellStyle name="Comma (2)" xfId="4065" xr:uid="{00000000-0005-0000-0000-00004E100000}"/>
    <cellStyle name="Comma (2dp)" xfId="4066" xr:uid="{00000000-0005-0000-0000-00004F100000}"/>
    <cellStyle name="Comma (4)" xfId="4067" xr:uid="{00000000-0005-0000-0000-000050100000}"/>
    <cellStyle name="Comma ," xfId="4068" xr:uid="{00000000-0005-0000-0000-000051100000}"/>
    <cellStyle name="Comma [0] 2" xfId="4069" xr:uid="{00000000-0005-0000-0000-000052100000}"/>
    <cellStyle name="Comma [0] 2 2" xfId="4070" xr:uid="{00000000-0005-0000-0000-000053100000}"/>
    <cellStyle name="Comma [0] 3" xfId="6628" xr:uid="{60F8DED8-5228-4212-B66D-A33A5821D0DD}"/>
    <cellStyle name="Comma [00]" xfId="4071" xr:uid="{00000000-0005-0000-0000-000054100000}"/>
    <cellStyle name="Comma [1]" xfId="4072" xr:uid="{00000000-0005-0000-0000-000055100000}"/>
    <cellStyle name="Comma [2]" xfId="4073" xr:uid="{00000000-0005-0000-0000-000056100000}"/>
    <cellStyle name="comma [zero]" xfId="4074" xr:uid="{00000000-0005-0000-0000-000057100000}"/>
    <cellStyle name="Comma 0" xfId="4075" xr:uid="{00000000-0005-0000-0000-000058100000}"/>
    <cellStyle name="Comma 0*" xfId="4076" xr:uid="{00000000-0005-0000-0000-000059100000}"/>
    <cellStyle name="Comma 10" xfId="4077" xr:uid="{00000000-0005-0000-0000-00005A100000}"/>
    <cellStyle name="Comma 11" xfId="4078" xr:uid="{00000000-0005-0000-0000-00005B100000}"/>
    <cellStyle name="Comma 12" xfId="4079" xr:uid="{00000000-0005-0000-0000-00005C100000}"/>
    <cellStyle name="Comma 13" xfId="4080" xr:uid="{00000000-0005-0000-0000-00005D100000}"/>
    <cellStyle name="Comma 14" xfId="4081" xr:uid="{00000000-0005-0000-0000-00005E100000}"/>
    <cellStyle name="Comma 15" xfId="6627" xr:uid="{0F5F8BF2-C966-4433-9CD7-17F48BC1531D}"/>
    <cellStyle name="Comma 2" xfId="4082" xr:uid="{00000000-0005-0000-0000-00005F100000}"/>
    <cellStyle name="Comma 2 10" xfId="4083" xr:uid="{00000000-0005-0000-0000-000060100000}"/>
    <cellStyle name="Comma 2 11" xfId="6629" xr:uid="{1707488C-E064-48B4-B0DB-4C7C722C2E1D}"/>
    <cellStyle name="Comma 2 2" xfId="4084" xr:uid="{00000000-0005-0000-0000-000061100000}"/>
    <cellStyle name="Comma 2 2 2" xfId="4085" xr:uid="{00000000-0005-0000-0000-000062100000}"/>
    <cellStyle name="Comma 2 2 3" xfId="4086" xr:uid="{00000000-0005-0000-0000-000063100000}"/>
    <cellStyle name="Comma 2 2_Portfolio Template" xfId="4087" xr:uid="{00000000-0005-0000-0000-000064100000}"/>
    <cellStyle name="Comma 2 3" xfId="4088" xr:uid="{00000000-0005-0000-0000-000065100000}"/>
    <cellStyle name="Comma 2 4" xfId="4089" xr:uid="{00000000-0005-0000-0000-000066100000}"/>
    <cellStyle name="Comma 2 5" xfId="4090" xr:uid="{00000000-0005-0000-0000-000067100000}"/>
    <cellStyle name="Comma 2 6" xfId="4091" xr:uid="{00000000-0005-0000-0000-000068100000}"/>
    <cellStyle name="Comma 2 7" xfId="4092" xr:uid="{00000000-0005-0000-0000-000069100000}"/>
    <cellStyle name="Comma 2 8" xfId="4093" xr:uid="{00000000-0005-0000-0000-00006A100000}"/>
    <cellStyle name="Comma 2 9" xfId="4094" xr:uid="{00000000-0005-0000-0000-00006B100000}"/>
    <cellStyle name="Comma 2_Alfa value 12 31 2008" xfId="4095" xr:uid="{00000000-0005-0000-0000-00006C100000}"/>
    <cellStyle name="Comma 3" xfId="4096" xr:uid="{00000000-0005-0000-0000-00006D100000}"/>
    <cellStyle name="Comma 3 2" xfId="4097" xr:uid="{00000000-0005-0000-0000-00006E100000}"/>
    <cellStyle name="Comma 3 3" xfId="4098" xr:uid="{00000000-0005-0000-0000-00006F100000}"/>
    <cellStyle name="Comma 3 4" xfId="6630" xr:uid="{9769DEC2-5002-4422-9F4E-5CFE66145308}"/>
    <cellStyle name="Comma 3*" xfId="4099" xr:uid="{00000000-0005-0000-0000-000070100000}"/>
    <cellStyle name="Comma 4" xfId="4100" xr:uid="{00000000-0005-0000-0000-000071100000}"/>
    <cellStyle name="Comma 5" xfId="4101" xr:uid="{00000000-0005-0000-0000-000072100000}"/>
    <cellStyle name="Comma 5 2" xfId="4102" xr:uid="{00000000-0005-0000-0000-000073100000}"/>
    <cellStyle name="Comma 5 3" xfId="4103" xr:uid="{00000000-0005-0000-0000-000074100000}"/>
    <cellStyle name="Comma 56" xfId="4104" xr:uid="{00000000-0005-0000-0000-000075100000}"/>
    <cellStyle name="Comma 6" xfId="4105" xr:uid="{00000000-0005-0000-0000-000076100000}"/>
    <cellStyle name="Comma 7" xfId="4106" xr:uid="{00000000-0005-0000-0000-000077100000}"/>
    <cellStyle name="Comma 7 2" xfId="4107" xr:uid="{00000000-0005-0000-0000-000078100000}"/>
    <cellStyle name="Comma 8" xfId="4108" xr:uid="{00000000-0005-0000-0000-000079100000}"/>
    <cellStyle name="Comma 9" xfId="4109" xr:uid="{00000000-0005-0000-0000-00007A100000}"/>
    <cellStyle name="Comma Cents" xfId="4110" xr:uid="{00000000-0005-0000-0000-00007B100000}"/>
    <cellStyle name="Comma(1)" xfId="4111" xr:uid="{00000000-0005-0000-0000-00007C100000}"/>
    <cellStyle name="Comma, 1 dec" xfId="4112" xr:uid="{00000000-0005-0000-0000-00007D100000}"/>
    <cellStyle name="Comma0" xfId="4113" xr:uid="{00000000-0005-0000-0000-00007E100000}"/>
    <cellStyle name="Comma1" xfId="4114" xr:uid="{00000000-0005-0000-0000-00007F100000}"/>
    <cellStyle name="Comma1 - Style1" xfId="4115" xr:uid="{00000000-0005-0000-0000-000080100000}"/>
    <cellStyle name="Comma1_GX model_JPM_310107_FINAL" xfId="4116" xr:uid="{00000000-0005-0000-0000-000081100000}"/>
    <cellStyle name="Comma2" xfId="4117" xr:uid="{00000000-0005-0000-0000-000082100000}"/>
    <cellStyle name="Commt_Titre" xfId="4118" xr:uid="{00000000-0005-0000-0000-000083100000}"/>
    <cellStyle name="Company" xfId="4119" xr:uid="{00000000-0005-0000-0000-000084100000}"/>
    <cellStyle name="Company Name" xfId="4120" xr:uid="{00000000-0005-0000-0000-000085100000}"/>
    <cellStyle name="Company_Volvo Cars model 011006 v7" xfId="4121" xr:uid="{00000000-0005-0000-0000-000086100000}"/>
    <cellStyle name="Copied" xfId="4122" xr:uid="{00000000-0005-0000-0000-000087100000}"/>
    <cellStyle name="COST1" xfId="4123" xr:uid="{00000000-0005-0000-0000-000088100000}"/>
    <cellStyle name="CoTitle" xfId="4124" xr:uid="{00000000-0005-0000-0000-000089100000}"/>
    <cellStyle name="Cover Date" xfId="4125" xr:uid="{00000000-0005-0000-0000-00008A100000}"/>
    <cellStyle name="Cover Subtitle" xfId="4126" xr:uid="{00000000-0005-0000-0000-00008B100000}"/>
    <cellStyle name="Cover Title" xfId="4127" xr:uid="{00000000-0005-0000-0000-00008C100000}"/>
    <cellStyle name="Credit_Formula_0decArial" xfId="4128" xr:uid="{00000000-0005-0000-0000-00008D100000}"/>
    <cellStyle name="cu" xfId="4129" xr:uid="{00000000-0005-0000-0000-00008E100000}"/>
    <cellStyle name="cu 2" xfId="6610" xr:uid="{00000000-0005-0000-0000-00008F100000}"/>
    <cellStyle name="Cuadro 1" xfId="4130" xr:uid="{00000000-0005-0000-0000-000090100000}"/>
    <cellStyle name="CurRatio" xfId="4131" xr:uid="{00000000-0005-0000-0000-000091100000}"/>
    <cellStyle name="Currency--" xfId="4132" xr:uid="{00000000-0005-0000-0000-000092100000}"/>
    <cellStyle name="Currency (0)" xfId="4133" xr:uid="{00000000-0005-0000-0000-000093100000}"/>
    <cellStyle name="Currency (1)" xfId="4134" xr:uid="{00000000-0005-0000-0000-000094100000}"/>
    <cellStyle name="Currency (2)" xfId="4135" xr:uid="{00000000-0005-0000-0000-000095100000}"/>
    <cellStyle name="Currency (2dp)" xfId="4136" xr:uid="{00000000-0005-0000-0000-000096100000}"/>
    <cellStyle name="Currency [00]" xfId="4137" xr:uid="{00000000-0005-0000-0000-000097100000}"/>
    <cellStyle name="Currency [1]" xfId="4138" xr:uid="{00000000-0005-0000-0000-000098100000}"/>
    <cellStyle name="Currency [2]" xfId="4139" xr:uid="{00000000-0005-0000-0000-000099100000}"/>
    <cellStyle name="Currency [B]" xfId="4140" xr:uid="{00000000-0005-0000-0000-00009A100000}"/>
    <cellStyle name="Currency 0" xfId="4141" xr:uid="{00000000-0005-0000-0000-00009B100000}"/>
    <cellStyle name="Currency 10" xfId="6611" xr:uid="{00000000-0005-0000-0000-00009C100000}"/>
    <cellStyle name="Currency 2" xfId="4142" xr:uid="{00000000-0005-0000-0000-00009D100000}"/>
    <cellStyle name="Currency 2 2" xfId="4143" xr:uid="{00000000-0005-0000-0000-00009E100000}"/>
    <cellStyle name="Currency 2 2 2" xfId="4144" xr:uid="{00000000-0005-0000-0000-00009F100000}"/>
    <cellStyle name="Currency 2 3" xfId="4145" xr:uid="{00000000-0005-0000-0000-0000A0100000}"/>
    <cellStyle name="Currency 3" xfId="4146" xr:uid="{00000000-0005-0000-0000-0000A1100000}"/>
    <cellStyle name="Currency 3 2" xfId="4147" xr:uid="{00000000-0005-0000-0000-0000A2100000}"/>
    <cellStyle name="Currency 4" xfId="4148" xr:uid="{00000000-0005-0000-0000-0000A3100000}"/>
    <cellStyle name="Currency 5" xfId="4149" xr:uid="{00000000-0005-0000-0000-0000A4100000}"/>
    <cellStyle name="Currency 6" xfId="4150" xr:uid="{00000000-0005-0000-0000-0000A5100000}"/>
    <cellStyle name="Currency 7" xfId="4151" xr:uid="{00000000-0005-0000-0000-0000A6100000}"/>
    <cellStyle name="Currency 8" xfId="4152" xr:uid="{00000000-0005-0000-0000-0000A7100000}"/>
    <cellStyle name="Currency 9" xfId="4153" xr:uid="{00000000-0005-0000-0000-0000A8100000}"/>
    <cellStyle name="Currency Dollar" xfId="4154" xr:uid="{00000000-0005-0000-0000-0000A9100000}"/>
    <cellStyle name="Currency Dollar (2dp)" xfId="4155" xr:uid="{00000000-0005-0000-0000-0000AA100000}"/>
    <cellStyle name="Currency EUR" xfId="4156" xr:uid="{00000000-0005-0000-0000-0000AB100000}"/>
    <cellStyle name="Currency EUR (2dp)" xfId="4157" xr:uid="{00000000-0005-0000-0000-0000AC100000}"/>
    <cellStyle name="Currency Euro" xfId="4158" xr:uid="{00000000-0005-0000-0000-0000AD100000}"/>
    <cellStyle name="Currency Euro (2dp)" xfId="4159" xr:uid="{00000000-0005-0000-0000-0000AE100000}"/>
    <cellStyle name="Currency Euros" xfId="4160" xr:uid="{00000000-0005-0000-0000-0000AF100000}"/>
    <cellStyle name="Currency GBP" xfId="4161" xr:uid="{00000000-0005-0000-0000-0000B0100000}"/>
    <cellStyle name="Currency GBP (2dp)" xfId="4162" xr:uid="{00000000-0005-0000-0000-0000B1100000}"/>
    <cellStyle name="Currency Pound" xfId="4163" xr:uid="{00000000-0005-0000-0000-0000B2100000}"/>
    <cellStyle name="Currency Pound (2dp)" xfId="4164" xr:uid="{00000000-0005-0000-0000-0000B3100000}"/>
    <cellStyle name="Currency USD" xfId="4165" xr:uid="{00000000-0005-0000-0000-0000B4100000}"/>
    <cellStyle name="Currency USD (2dp)" xfId="4166" xr:uid="{00000000-0005-0000-0000-0000B5100000}"/>
    <cellStyle name="Currency$" xfId="4167" xr:uid="{00000000-0005-0000-0000-0000B6100000}"/>
    <cellStyle name="Currency0" xfId="4168" xr:uid="{00000000-0005-0000-0000-0000B8100000}"/>
    <cellStyle name="Currency2" xfId="4169" xr:uid="{00000000-0005-0000-0000-0000B9100000}"/>
    <cellStyle name="d" xfId="4170" xr:uid="{00000000-0005-0000-0000-0000BA100000}"/>
    <cellStyle name="d_IM Latest combined Group PL (DC)" xfId="4171" xr:uid="{00000000-0005-0000-0000-0000BB100000}"/>
    <cellStyle name="Dane wejściowe" xfId="4172" xr:uid="{00000000-0005-0000-0000-0000BC100000}"/>
    <cellStyle name="Dane wejściowe 2" xfId="6620" xr:uid="{00000000-0005-0000-0000-0000BD100000}"/>
    <cellStyle name="Dane wyjściowe" xfId="4173" xr:uid="{00000000-0005-0000-0000-0000BE100000}"/>
    <cellStyle name="Dane wyjściowe 2" xfId="6621" xr:uid="{00000000-0005-0000-0000-0000BF100000}"/>
    <cellStyle name="Dash" xfId="4174" xr:uid="{00000000-0005-0000-0000-0000C0100000}"/>
    <cellStyle name="Data" xfId="4175" xr:uid="{00000000-0005-0000-0000-0000C1100000}"/>
    <cellStyle name="Data Input" xfId="4176" xr:uid="{00000000-0005-0000-0000-0000C2100000}"/>
    <cellStyle name="Data Section Heading" xfId="4177" xr:uid="{00000000-0005-0000-0000-0000C3100000}"/>
    <cellStyle name="Data%" xfId="4178" xr:uid="{00000000-0005-0000-0000-0000C4100000}"/>
    <cellStyle name="Data_Allibert model_v4" xfId="4179" xr:uid="{00000000-0005-0000-0000-0000C5100000}"/>
    <cellStyle name="DataBold" xfId="4180" xr:uid="{00000000-0005-0000-0000-0000C6100000}"/>
    <cellStyle name="DataStream" xfId="4181" xr:uid="{00000000-0005-0000-0000-0000C7100000}"/>
    <cellStyle name="Date" xfId="4182" xr:uid="{00000000-0005-0000-0000-0000C8100000}"/>
    <cellStyle name="Date (dd-mmm-yy)" xfId="4183" xr:uid="{00000000-0005-0000-0000-0000C9100000}"/>
    <cellStyle name="Date (Month)" xfId="4184" xr:uid="{00000000-0005-0000-0000-0000CA100000}"/>
    <cellStyle name="Date (Year)" xfId="4185" xr:uid="{00000000-0005-0000-0000-0000CB100000}"/>
    <cellStyle name="date [dd mmm]" xfId="4186" xr:uid="{00000000-0005-0000-0000-0000CC100000}"/>
    <cellStyle name="Date [d-mmm-yy]" xfId="4187" xr:uid="{00000000-0005-0000-0000-0000CD100000}"/>
    <cellStyle name="Date [mm-d-yy]" xfId="4188" xr:uid="{00000000-0005-0000-0000-0000CE100000}"/>
    <cellStyle name="Date [mm-d-yyyy]" xfId="4189" xr:uid="{00000000-0005-0000-0000-0000CF100000}"/>
    <cellStyle name="date [mmm yy]" xfId="4190" xr:uid="{00000000-0005-0000-0000-0000D0100000}"/>
    <cellStyle name="date [mmm yyyy]" xfId="4191" xr:uid="{00000000-0005-0000-0000-0000D1100000}"/>
    <cellStyle name="Date [mmm-d-yyyy]" xfId="4192" xr:uid="{00000000-0005-0000-0000-0000D2100000}"/>
    <cellStyle name="Date [mmm-yy]" xfId="4193" xr:uid="{00000000-0005-0000-0000-0000D3100000}"/>
    <cellStyle name="Date [mmm-yyyy]" xfId="4194" xr:uid="{00000000-0005-0000-0000-0000D4100000}"/>
    <cellStyle name="Date [mmm-yyyy] 2" xfId="6622" xr:uid="{00000000-0005-0000-0000-0000D5100000}"/>
    <cellStyle name="Date 2" xfId="6612" xr:uid="{00000000-0005-0000-0000-0000D6100000}"/>
    <cellStyle name="Date Aligned" xfId="4195" xr:uid="{00000000-0005-0000-0000-0000D7100000}"/>
    <cellStyle name="Date m/d/yy" xfId="4196" xr:uid="{00000000-0005-0000-0000-0000D8100000}"/>
    <cellStyle name="Date Short" xfId="4197" xr:uid="{00000000-0005-0000-0000-0000D9100000}"/>
    <cellStyle name="Date_~8324206" xfId="4198" xr:uid="{00000000-0005-0000-0000-0000DA100000}"/>
    <cellStyle name="Date2" xfId="4199" xr:uid="{00000000-0005-0000-0000-0000DB100000}"/>
    <cellStyle name="datejpm" xfId="4200" xr:uid="{00000000-0005-0000-0000-0000DC100000}"/>
    <cellStyle name="Dates" xfId="4201" xr:uid="{00000000-0005-0000-0000-0000DD100000}"/>
    <cellStyle name="DateYear" xfId="4202" xr:uid="{00000000-0005-0000-0000-0000DE100000}"/>
    <cellStyle name="Datum" xfId="4203" xr:uid="{00000000-0005-0000-0000-0000DF100000}"/>
    <cellStyle name="DAv" xfId="4204" xr:uid="{00000000-0005-0000-0000-0000E0100000}"/>
    <cellStyle name="day month" xfId="4205" xr:uid="{00000000-0005-0000-0000-0000E1100000}"/>
    <cellStyle name="days" xfId="4206" xr:uid="{00000000-0005-0000-0000-0000E2100000}"/>
    <cellStyle name="Decimal" xfId="4207" xr:uid="{00000000-0005-0000-0000-0000E3100000}"/>
    <cellStyle name="decimal [3]" xfId="4208" xr:uid="{00000000-0005-0000-0000-0000E4100000}"/>
    <cellStyle name="decimal [4]" xfId="4209" xr:uid="{00000000-0005-0000-0000-0000E5100000}"/>
    <cellStyle name="Decimal_0dp" xfId="4210" xr:uid="{00000000-0005-0000-0000-0000E6100000}"/>
    <cellStyle name="default" xfId="4211" xr:uid="{00000000-0005-0000-0000-0000E7100000}"/>
    <cellStyle name="DELTA" xfId="4212" xr:uid="{00000000-0005-0000-0000-0000E8100000}"/>
    <cellStyle name="Deviant" xfId="4213" xr:uid="{00000000-0005-0000-0000-0000E9100000}"/>
    <cellStyle name="Dezimal (0.0)" xfId="4214" xr:uid="{00000000-0005-0000-0000-0000EA100000}"/>
    <cellStyle name="Dezimal [0]_Admin" xfId="4215" xr:uid="{00000000-0005-0000-0000-0000EB100000}"/>
    <cellStyle name="Dezimal__Utopia Index Index und Guidance (Deutsch)" xfId="4216" xr:uid="{00000000-0005-0000-0000-0000EC100000}"/>
    <cellStyle name="Dia" xfId="4217" xr:uid="{00000000-0005-0000-0000-0000ED100000}"/>
    <cellStyle name="Directors" xfId="4218" xr:uid="{00000000-0005-0000-0000-0000EE100000}"/>
    <cellStyle name="Diseño" xfId="4219" xr:uid="{00000000-0005-0000-0000-0000EF100000}"/>
    <cellStyle name="Diseño 2" xfId="4220" xr:uid="{00000000-0005-0000-0000-0000F0100000}"/>
    <cellStyle name="d-mmm-yy" xfId="4221" xr:uid="{00000000-0005-0000-0000-0000F1100000}"/>
    <cellStyle name="Dobre" xfId="4222" xr:uid="{00000000-0005-0000-0000-0000F2100000}"/>
    <cellStyle name="DOH" xfId="4223" xr:uid="{00000000-0005-0000-0000-0000F3100000}"/>
    <cellStyle name="Dollar" xfId="4224" xr:uid="{00000000-0005-0000-0000-0000F4100000}"/>
    <cellStyle name="Dollars" xfId="4225" xr:uid="{00000000-0005-0000-0000-0000F5100000}"/>
    <cellStyle name="Dollars No Decimal" xfId="4226" xr:uid="{00000000-0005-0000-0000-0000F6100000}"/>
    <cellStyle name="Dollars One Decimal" xfId="4227" xr:uid="{00000000-0005-0000-0000-0000F7100000}"/>
    <cellStyle name="dollars_GX model_JPM_310107_FINAL" xfId="4228" xr:uid="{00000000-0005-0000-0000-0000F8100000}"/>
    <cellStyle name="DollarWhole" xfId="4229" xr:uid="{00000000-0005-0000-0000-0000F9100000}"/>
    <cellStyle name="Dotted Line" xfId="4230" xr:uid="{00000000-0005-0000-0000-0000FA100000}"/>
    <cellStyle name="Dotted_Blue" xfId="4231" xr:uid="{00000000-0005-0000-0000-0000FB100000}"/>
    <cellStyle name="Double Accounting" xfId="4232" xr:uid="{00000000-0005-0000-0000-0000FC100000}"/>
    <cellStyle name="Download" xfId="4233" xr:uid="{00000000-0005-0000-0000-0000FD100000}"/>
    <cellStyle name="Driver" xfId="4234" xr:uid="{00000000-0005-0000-0000-0000FE100000}"/>
    <cellStyle name="Driver Lable" xfId="4235" xr:uid="{00000000-0005-0000-0000-0000FF100000}"/>
    <cellStyle name="Driver_4Q01 Tower Comps (4-3-02)" xfId="4236" xr:uid="{00000000-0005-0000-0000-000000110000}"/>
    <cellStyle name="e" xfId="4237" xr:uid="{00000000-0005-0000-0000-000001110000}"/>
    <cellStyle name="E_Copy of Valuation 23112005" xfId="4238" xr:uid="{00000000-0005-0000-0000-000002110000}"/>
    <cellStyle name="E_DCF template highlighted" xfId="4239" xr:uid="{00000000-0005-0000-0000-000003110000}"/>
    <cellStyle name="e_Volvo Cars model 011006 v7" xfId="4240" xr:uid="{00000000-0005-0000-0000-000004110000}"/>
    <cellStyle name="Encabez1" xfId="4241" xr:uid="{00000000-0005-0000-0000-000005110000}"/>
    <cellStyle name="Encabez2" xfId="4242" xr:uid="{00000000-0005-0000-0000-000006110000}"/>
    <cellStyle name="Encabezado 4" xfId="4243" xr:uid="{00000000-0005-0000-0000-000007110000}"/>
    <cellStyle name="Encabezado 4 2" xfId="4244" xr:uid="{00000000-0005-0000-0000-000008110000}"/>
    <cellStyle name="Encabezado 4 2 2" xfId="4245" xr:uid="{00000000-0005-0000-0000-000009110000}"/>
    <cellStyle name="End Table" xfId="4246" xr:uid="{00000000-0005-0000-0000-00000A110000}"/>
    <cellStyle name="Énfasis1" xfId="4247" xr:uid="{00000000-0005-0000-0000-00000B110000}"/>
    <cellStyle name="Énfasis1 2" xfId="4248" xr:uid="{00000000-0005-0000-0000-00000C110000}"/>
    <cellStyle name="Énfasis1 2 2" xfId="4249" xr:uid="{00000000-0005-0000-0000-00000D110000}"/>
    <cellStyle name="Énfasis2" xfId="4250" xr:uid="{00000000-0005-0000-0000-00000E110000}"/>
    <cellStyle name="Énfasis2 2" xfId="4251" xr:uid="{00000000-0005-0000-0000-00000F110000}"/>
    <cellStyle name="Énfasis2 2 2" xfId="4252" xr:uid="{00000000-0005-0000-0000-000010110000}"/>
    <cellStyle name="Énfasis3" xfId="4253" xr:uid="{00000000-0005-0000-0000-000011110000}"/>
    <cellStyle name="Énfasis3 2" xfId="4254" xr:uid="{00000000-0005-0000-0000-000012110000}"/>
    <cellStyle name="Énfasis3 2 2" xfId="4255" xr:uid="{00000000-0005-0000-0000-000013110000}"/>
    <cellStyle name="Énfasis4" xfId="4256" xr:uid="{00000000-0005-0000-0000-000014110000}"/>
    <cellStyle name="Énfasis4 2" xfId="4257" xr:uid="{00000000-0005-0000-0000-000015110000}"/>
    <cellStyle name="Énfasis4 2 2" xfId="4258" xr:uid="{00000000-0005-0000-0000-000016110000}"/>
    <cellStyle name="Énfasis5" xfId="4259" xr:uid="{00000000-0005-0000-0000-000017110000}"/>
    <cellStyle name="Énfasis5 2" xfId="4260" xr:uid="{00000000-0005-0000-0000-000018110000}"/>
    <cellStyle name="Énfasis5 2 2" xfId="4261" xr:uid="{00000000-0005-0000-0000-000019110000}"/>
    <cellStyle name="Énfasis6" xfId="4262" xr:uid="{00000000-0005-0000-0000-00001A110000}"/>
    <cellStyle name="Énfasis6 2" xfId="4263" xr:uid="{00000000-0005-0000-0000-00001B110000}"/>
    <cellStyle name="Énfasis6 2 2" xfId="4264" xr:uid="{00000000-0005-0000-0000-00001C110000}"/>
    <cellStyle name="Enter Currency (0)" xfId="4265" xr:uid="{00000000-0005-0000-0000-00001D110000}"/>
    <cellStyle name="Enter Currency (2)" xfId="4266" xr:uid="{00000000-0005-0000-0000-00001E110000}"/>
    <cellStyle name="Enter Units (0)" xfId="4267" xr:uid="{00000000-0005-0000-0000-00001F110000}"/>
    <cellStyle name="Enter Units (1)" xfId="4268" xr:uid="{00000000-0005-0000-0000-000020110000}"/>
    <cellStyle name="Enter Units (2)" xfId="4269" xr:uid="{00000000-0005-0000-0000-000021110000}"/>
    <cellStyle name="Entered" xfId="4270" xr:uid="{00000000-0005-0000-0000-000022110000}"/>
    <cellStyle name="EnTête_Champs" xfId="4271" xr:uid="{00000000-0005-0000-0000-000023110000}"/>
    <cellStyle name="Entrada" xfId="4272" xr:uid="{00000000-0005-0000-0000-000024110000}"/>
    <cellStyle name="Entrada 2" xfId="4273" xr:uid="{00000000-0005-0000-0000-000025110000}"/>
    <cellStyle name="Entrada 2 2" xfId="4274" xr:uid="{00000000-0005-0000-0000-000026110000}"/>
    <cellStyle name="Entrada 2 2 2" xfId="6623" xr:uid="{00000000-0005-0000-0000-000027110000}"/>
    <cellStyle name="Entrada 3" xfId="6624" xr:uid="{00000000-0005-0000-0000-000028110000}"/>
    <cellStyle name="EPS" xfId="4275" xr:uid="{00000000-0005-0000-0000-000029110000}"/>
    <cellStyle name="EPSActual" xfId="4276" xr:uid="{00000000-0005-0000-0000-00002A110000}"/>
    <cellStyle name="EPSEstimate" xfId="4277" xr:uid="{00000000-0005-0000-0000-00002B110000}"/>
    <cellStyle name="EPSEuro" xfId="4278" xr:uid="{00000000-0005-0000-0000-00002C110000}"/>
    <cellStyle name="Est - $" xfId="4279" xr:uid="{00000000-0005-0000-0000-00002D110000}"/>
    <cellStyle name="Est - %" xfId="4280" xr:uid="{00000000-0005-0000-0000-00002E110000}"/>
    <cellStyle name="Est 0,000.0" xfId="4281" xr:uid="{00000000-0005-0000-0000-00002F110000}"/>
    <cellStyle name="ESTANDAR" xfId="4282" xr:uid="{00000000-0005-0000-0000-000030110000}"/>
    <cellStyle name="Estilo 1" xfId="4283" xr:uid="{00000000-0005-0000-0000-000031110000}"/>
    <cellStyle name="Estilo 1 2" xfId="4284" xr:uid="{00000000-0005-0000-0000-000032110000}"/>
    <cellStyle name="Estilo 1_(2008-09-15) Cosacol-Financial Model v52 DEBT UPDATED" xfId="4285" xr:uid="{00000000-0005-0000-0000-000033110000}"/>
    <cellStyle name="estimates" xfId="4286" xr:uid="{00000000-0005-0000-0000-000034110000}"/>
    <cellStyle name="Euro" xfId="4287" xr:uid="{00000000-0005-0000-0000-000035110000}"/>
    <cellStyle name="Euro 2" xfId="4288" xr:uid="{00000000-0005-0000-0000-000036110000}"/>
    <cellStyle name="Euro 3" xfId="4289" xr:uid="{00000000-0005-0000-0000-000037110000}"/>
    <cellStyle name="Euros No Decimal" xfId="4290" xr:uid="{00000000-0005-0000-0000-000038110000}"/>
    <cellStyle name="Euros One Decimal" xfId="4291" xr:uid="{00000000-0005-0000-0000-000039110000}"/>
    <cellStyle name="Explanatory Text 2" xfId="6487" xr:uid="{00000000-0005-0000-0000-00003A110000}"/>
    <cellStyle name="Ext link" xfId="4292" xr:uid="{00000000-0005-0000-0000-00003B110000}"/>
    <cellStyle name="External File Cells" xfId="4293" xr:uid="{00000000-0005-0000-0000-00003C110000}"/>
    <cellStyle name="External File Cells 2" xfId="6625" xr:uid="{00000000-0005-0000-0000-00003D110000}"/>
    <cellStyle name="EY House" xfId="4294" xr:uid="{00000000-0005-0000-0000-00003E110000}"/>
    <cellStyle name="EY Narrative text" xfId="6626" xr:uid="{00000000-0005-0000-0000-00003F110000}"/>
    <cellStyle name="EY%colcalc" xfId="4295" xr:uid="{00000000-0005-0000-0000-000040110000}"/>
    <cellStyle name="EY%input" xfId="4296" xr:uid="{00000000-0005-0000-0000-000041110000}"/>
    <cellStyle name="EY%rowcalc" xfId="4297" xr:uid="{00000000-0005-0000-0000-000042110000}"/>
    <cellStyle name="EY0dp" xfId="4298" xr:uid="{00000000-0005-0000-0000-000043110000}"/>
    <cellStyle name="EY1dp" xfId="4299" xr:uid="{00000000-0005-0000-0000-000044110000}"/>
    <cellStyle name="EY2dp" xfId="4300" xr:uid="{00000000-0005-0000-0000-000045110000}"/>
    <cellStyle name="EY3dp" xfId="4301" xr:uid="{00000000-0005-0000-0000-000046110000}"/>
    <cellStyle name="EYCheck" xfId="4302" xr:uid="{00000000-0005-0000-0000-000047110000}"/>
    <cellStyle name="EYColumnHeading" xfId="4303" xr:uid="{00000000-0005-0000-0000-000048110000}"/>
    <cellStyle name="EYDate" xfId="4304" xr:uid="{00000000-0005-0000-0000-000049110000}"/>
    <cellStyle name="EYDeviant" xfId="4305" xr:uid="{00000000-0005-0000-0000-00004A110000}"/>
    <cellStyle name="EYHeading1" xfId="4306" xr:uid="{00000000-0005-0000-0000-00004B110000}"/>
    <cellStyle name="EYheading2" xfId="4307" xr:uid="{00000000-0005-0000-0000-00004C110000}"/>
    <cellStyle name="EYheading3" xfId="4308" xr:uid="{00000000-0005-0000-0000-00004D110000}"/>
    <cellStyle name="EYInputNormal" xfId="4309" xr:uid="{00000000-0005-0000-0000-00004E110000}"/>
    <cellStyle name="EYInputPercent" xfId="4310" xr:uid="{00000000-0005-0000-0000-00004F110000}"/>
    <cellStyle name="EYNormal" xfId="4311" xr:uid="{00000000-0005-0000-0000-000050110000}"/>
    <cellStyle name="EYnumber" xfId="4312" xr:uid="{00000000-0005-0000-0000-000051110000}"/>
    <cellStyle name="EYPercent" xfId="4313" xr:uid="{00000000-0005-0000-0000-000052110000}"/>
    <cellStyle name="EYSheetHeader1" xfId="4314" xr:uid="{00000000-0005-0000-0000-000053110000}"/>
    <cellStyle name="EYSubtotal" xfId="4315" xr:uid="{00000000-0005-0000-0000-000054110000}"/>
    <cellStyle name="EYtext" xfId="4316" xr:uid="{00000000-0005-0000-0000-000055110000}"/>
    <cellStyle name="EYTotal" xfId="4317" xr:uid="{00000000-0005-0000-0000-000056110000}"/>
    <cellStyle name="EYWIP" xfId="4318" xr:uid="{00000000-0005-0000-0000-000057110000}"/>
    <cellStyle name="fact" xfId="4319" xr:uid="{00000000-0005-0000-0000-000058110000}"/>
    <cellStyle name="Factor" xfId="4320" xr:uid="{00000000-0005-0000-0000-000059110000}"/>
    <cellStyle name="FF_EURO" xfId="4321" xr:uid="{00000000-0005-0000-0000-00005A110000}"/>
    <cellStyle name="Financial" xfId="4322" xr:uid="{00000000-0005-0000-0000-00005B110000}"/>
    <cellStyle name="Financials" xfId="4323" xr:uid="{00000000-0005-0000-0000-00005C110000}"/>
    <cellStyle name="Fixed" xfId="4324" xr:uid="{00000000-0005-0000-0000-00005D110000}"/>
    <cellStyle name="Fixed [0]" xfId="4325" xr:uid="{00000000-0005-0000-0000-00005E110000}"/>
    <cellStyle name="Fixed_Volvo Cars model 011006 v7" xfId="4326" xr:uid="{00000000-0005-0000-0000-00005F110000}"/>
    <cellStyle name="fo]_x000d__x000a_UserName=Murat Zelef_x000d__x000a_UserCompany=Bumerang_x000d__x000a__x000d__x000a_[File Paths]_x000d__x000a_WorkingDirectory=C:\EQUIS\DLWIN_x000d__x000a_DownLoader=C" xfId="4327" xr:uid="{00000000-0005-0000-0000-000060110000}"/>
    <cellStyle name="Följde hyperlänken" xfId="4328" xr:uid="{00000000-0005-0000-0000-000061110000}"/>
    <cellStyle name="Footer SBILogo1" xfId="4329" xr:uid="{00000000-0005-0000-0000-000062110000}"/>
    <cellStyle name="Footer SBILogo2" xfId="4330" xr:uid="{00000000-0005-0000-0000-000063110000}"/>
    <cellStyle name="Footnote" xfId="4331" xr:uid="{00000000-0005-0000-0000-000064110000}"/>
    <cellStyle name="Footnote Reference" xfId="4332" xr:uid="{00000000-0005-0000-0000-000065110000}"/>
    <cellStyle name="Footnote_Auna Model 03032005 v1" xfId="4333" xr:uid="{00000000-0005-0000-0000-000066110000}"/>
    <cellStyle name="Footnotes" xfId="4334" xr:uid="{00000000-0005-0000-0000-000067110000}"/>
    <cellStyle name="Forecast" xfId="4335" xr:uid="{00000000-0005-0000-0000-000068110000}"/>
    <cellStyle name="Forecast Cells" xfId="4336" xr:uid="{00000000-0005-0000-0000-000069110000}"/>
    <cellStyle name="Forecast_Volvo Cars model 011006 v7" xfId="4337" xr:uid="{00000000-0005-0000-0000-00006A110000}"/>
    <cellStyle name="FormatP12" xfId="4338" xr:uid="{00000000-0005-0000-0000-00006B110000}"/>
    <cellStyle name="FormatP13" xfId="4339" xr:uid="{00000000-0005-0000-0000-00006C110000}"/>
    <cellStyle name="Formula" xfId="4340" xr:uid="{00000000-0005-0000-0000-00006D110000}"/>
    <cellStyle name="fourdecplace" xfId="4341" xr:uid="{00000000-0005-0000-0000-00006E110000}"/>
    <cellStyle name="fx_rate" xfId="4342" xr:uid="{00000000-0005-0000-0000-00006F110000}"/>
    <cellStyle name="g" xfId="4343" xr:uid="{00000000-0005-0000-0000-000070110000}"/>
    <cellStyle name="G1_1999 figures" xfId="4344" xr:uid="{00000000-0005-0000-0000-000071110000}"/>
    <cellStyle name="General" xfId="4345" xr:uid="{00000000-0005-0000-0000-000072110000}"/>
    <cellStyle name="Global" xfId="4346" xr:uid="{00000000-0005-0000-0000-000073110000}"/>
    <cellStyle name="GPAFont" xfId="4347" xr:uid="{00000000-0005-0000-0000-000074110000}"/>
    <cellStyle name="grayText2" xfId="4348" xr:uid="{00000000-0005-0000-0000-000075110000}"/>
    <cellStyle name="grayText2Big" xfId="4349" xr:uid="{00000000-0005-0000-0000-000076110000}"/>
    <cellStyle name="GREEN" xfId="4350" xr:uid="{00000000-0005-0000-0000-000077110000}"/>
    <cellStyle name="Grey" xfId="4351" xr:uid="{00000000-0005-0000-0000-000078110000}"/>
    <cellStyle name="GrowthRate" xfId="4352" xr:uid="{00000000-0005-0000-0000-000079110000}"/>
    <cellStyle name="GrowthSeq" xfId="4353" xr:uid="{00000000-0005-0000-0000-00007A110000}"/>
    <cellStyle name="H" xfId="4354" xr:uid="{00000000-0005-0000-0000-00007B110000}"/>
    <cellStyle name="H_1998_col_head" xfId="4355" xr:uid="{00000000-0005-0000-0000-00007C110000}"/>
    <cellStyle name="H_1998_col_head_Nuela Financial Summary Projections_06-26-09_v2" xfId="4356" xr:uid="{00000000-0005-0000-0000-00007D110000}"/>
    <cellStyle name="H_1999_col_head" xfId="4357" xr:uid="{00000000-0005-0000-0000-00007E110000}"/>
    <cellStyle name="H_Allibert model_v4" xfId="4358" xr:uid="{00000000-0005-0000-0000-00007F110000}"/>
    <cellStyle name="H_FABER historical FV_EBITDA and P_E 19 Oct 2004" xfId="4359" xr:uid="{00000000-0005-0000-0000-000080110000}"/>
    <cellStyle name="H_Faurecia Input July 2004 v2" xfId="4360" xr:uid="{00000000-0005-0000-0000-000081110000}"/>
    <cellStyle name="H_Gx_analysis_240306 v1" xfId="4361" xr:uid="{00000000-0005-0000-0000-000082110000}"/>
    <cellStyle name="H_Magna-Faurecia Model June 2004 v13 (for intier multiple)" xfId="4362" xr:uid="{00000000-0005-0000-0000-000083110000}"/>
    <cellStyle name="H_Valeo input July 2004 v5" xfId="4363" xr:uid="{00000000-0005-0000-0000-000084110000}"/>
    <cellStyle name="H_Valeo model v3" xfId="4364" xr:uid="{00000000-0005-0000-0000-000085110000}"/>
    <cellStyle name="H0" xfId="4365" xr:uid="{00000000-0005-0000-0000-000086110000}"/>
    <cellStyle name="H1" xfId="4366" xr:uid="{00000000-0005-0000-0000-000087110000}"/>
    <cellStyle name="H2" xfId="4367" xr:uid="{00000000-0005-0000-0000-000088110000}"/>
    <cellStyle name="H3" xfId="4368" xr:uid="{00000000-0005-0000-0000-000089110000}"/>
    <cellStyle name="H4" xfId="4369" xr:uid="{00000000-0005-0000-0000-00008A110000}"/>
    <cellStyle name="haeding 2" xfId="4370" xr:uid="{00000000-0005-0000-0000-00008B110000}"/>
    <cellStyle name="hard" xfId="4371" xr:uid="{00000000-0005-0000-0000-00008C110000}"/>
    <cellStyle name="Hard code" xfId="4372" xr:uid="{00000000-0005-0000-0000-00008D110000}"/>
    <cellStyle name="Hard code %" xfId="4373" xr:uid="{00000000-0005-0000-0000-00008E110000}"/>
    <cellStyle name="Hard code_Birdcage DCF new" xfId="4374" xr:uid="{00000000-0005-0000-0000-00008F110000}"/>
    <cellStyle name="Hard input" xfId="4375" xr:uid="{00000000-0005-0000-0000-000090110000}"/>
    <cellStyle name="Hard nb" xfId="4376" xr:uid="{00000000-0005-0000-0000-000091110000}"/>
    <cellStyle name="hard no" xfId="4377" xr:uid="{00000000-0005-0000-0000-000092110000}"/>
    <cellStyle name="hard no." xfId="4378" xr:uid="{00000000-0005-0000-0000-000093110000}"/>
    <cellStyle name="Hard Percent" xfId="4379" xr:uid="{00000000-0005-0000-0000-000095110000}"/>
    <cellStyle name="hard_Guala DCF v5" xfId="4380" xr:uid="{00000000-0005-0000-0000-000096110000}"/>
    <cellStyle name="Hardcoded" xfId="4381" xr:uid="{00000000-0005-0000-0000-000097110000}"/>
    <cellStyle name="Hardcoded Number" xfId="4382" xr:uid="{00000000-0005-0000-0000-000098110000}"/>
    <cellStyle name="head1" xfId="4383" xr:uid="{00000000-0005-0000-0000-000099110000}"/>
    <cellStyle name="head2" xfId="4384" xr:uid="{00000000-0005-0000-0000-00009A110000}"/>
    <cellStyle name="HEADER" xfId="4385" xr:uid="{00000000-0005-0000-0000-00009B110000}"/>
    <cellStyle name="Header Draft Stamp" xfId="4386" xr:uid="{00000000-0005-0000-0000-00009C110000}"/>
    <cellStyle name="Header_Copy of Valuation 23112005" xfId="4387" xr:uid="{00000000-0005-0000-0000-00009D110000}"/>
    <cellStyle name="Header1" xfId="4388" xr:uid="{00000000-0005-0000-0000-00009E110000}"/>
    <cellStyle name="Header1 2" xfId="6613" xr:uid="{00000000-0005-0000-0000-00009F110000}"/>
    <cellStyle name="Header2" xfId="4389" xr:uid="{00000000-0005-0000-0000-0000A0110000}"/>
    <cellStyle name="Header3" xfId="4390" xr:uid="{00000000-0005-0000-0000-0000A1110000}"/>
    <cellStyle name="Header4" xfId="4391" xr:uid="{00000000-0005-0000-0000-0000A2110000}"/>
    <cellStyle name="headers" xfId="4392" xr:uid="{00000000-0005-0000-0000-0000A3110000}"/>
    <cellStyle name="Heading" xfId="4393" xr:uid="{00000000-0005-0000-0000-0000A4110000}"/>
    <cellStyle name="Heading 1 Above" xfId="4394" xr:uid="{00000000-0005-0000-0000-0000A5110000}"/>
    <cellStyle name="Heading 1+" xfId="4395" xr:uid="{00000000-0005-0000-0000-0000A6110000}"/>
    <cellStyle name="Heading 2 2" xfId="6488" xr:uid="{00000000-0005-0000-0000-0000A7110000}"/>
    <cellStyle name="Heading 2 Below" xfId="4396" xr:uid="{00000000-0005-0000-0000-0000A8110000}"/>
    <cellStyle name="Heading 2+" xfId="4397" xr:uid="{00000000-0005-0000-0000-0000A9110000}"/>
    <cellStyle name="Heading 3 2" xfId="6489" xr:uid="{00000000-0005-0000-0000-0000AA110000}"/>
    <cellStyle name="Heading 3+" xfId="4398" xr:uid="{00000000-0005-0000-0000-0000AB110000}"/>
    <cellStyle name="Heading 5" xfId="4399" xr:uid="{00000000-0005-0000-0000-0000AC110000}"/>
    <cellStyle name="Heading1" xfId="4400" xr:uid="{00000000-0005-0000-0000-0000AD110000}"/>
    <cellStyle name="Heading2" xfId="4401" xr:uid="{00000000-0005-0000-0000-0000AE110000}"/>
    <cellStyle name="headjpm" xfId="4402" xr:uid="{00000000-0005-0000-0000-0000AF110000}"/>
    <cellStyle name="HelvCond8" xfId="4403" xr:uid="{00000000-0005-0000-0000-0000B0110000}"/>
    <cellStyle name="Hidden" xfId="4404" xr:uid="{00000000-0005-0000-0000-0000B1110000}"/>
    <cellStyle name="hide" xfId="4405" xr:uid="{00000000-0005-0000-0000-0000B2110000}"/>
    <cellStyle name="Highlight" xfId="4406" xr:uid="{00000000-0005-0000-0000-0000B3110000}"/>
    <cellStyle name="Hipervínculo 2" xfId="4407" xr:uid="{00000000-0005-0000-0000-0000B4110000}"/>
    <cellStyle name="Hipervínculo 2 10" xfId="4408" xr:uid="{00000000-0005-0000-0000-0000B5110000}"/>
    <cellStyle name="Hipervínculo 2 11" xfId="4409" xr:uid="{00000000-0005-0000-0000-0000B6110000}"/>
    <cellStyle name="Hipervínculo 2 12" xfId="4410" xr:uid="{00000000-0005-0000-0000-0000B7110000}"/>
    <cellStyle name="Hipervínculo 2 13" xfId="4411" xr:uid="{00000000-0005-0000-0000-0000B8110000}"/>
    <cellStyle name="Hipervínculo 2 14" xfId="4412" xr:uid="{00000000-0005-0000-0000-0000B9110000}"/>
    <cellStyle name="Hipervínculo 2 15" xfId="4413" xr:uid="{00000000-0005-0000-0000-0000BA110000}"/>
    <cellStyle name="Hipervínculo 2 16" xfId="4414" xr:uid="{00000000-0005-0000-0000-0000BB110000}"/>
    <cellStyle name="Hipervínculo 2 17" xfId="4415" xr:uid="{00000000-0005-0000-0000-0000BC110000}"/>
    <cellStyle name="Hipervínculo 2 18" xfId="4416" xr:uid="{00000000-0005-0000-0000-0000BD110000}"/>
    <cellStyle name="Hipervínculo 2 19" xfId="4417" xr:uid="{00000000-0005-0000-0000-0000BE110000}"/>
    <cellStyle name="Hipervínculo 2 2" xfId="4418" xr:uid="{00000000-0005-0000-0000-0000BF110000}"/>
    <cellStyle name="Hipervínculo 2 20" xfId="4419" xr:uid="{00000000-0005-0000-0000-0000C0110000}"/>
    <cellStyle name="Hipervínculo 2 21" xfId="4420" xr:uid="{00000000-0005-0000-0000-0000C1110000}"/>
    <cellStyle name="Hipervínculo 2 22" xfId="4421" xr:uid="{00000000-0005-0000-0000-0000C2110000}"/>
    <cellStyle name="Hipervínculo 2 23" xfId="4422" xr:uid="{00000000-0005-0000-0000-0000C3110000}"/>
    <cellStyle name="Hipervínculo 2 24" xfId="4423" xr:uid="{00000000-0005-0000-0000-0000C4110000}"/>
    <cellStyle name="Hipervínculo 2 25" xfId="4424" xr:uid="{00000000-0005-0000-0000-0000C5110000}"/>
    <cellStyle name="Hipervínculo 2 26" xfId="4425" xr:uid="{00000000-0005-0000-0000-0000C6110000}"/>
    <cellStyle name="Hipervínculo 2 27" xfId="4426" xr:uid="{00000000-0005-0000-0000-0000C7110000}"/>
    <cellStyle name="Hipervínculo 2 28" xfId="4427" xr:uid="{00000000-0005-0000-0000-0000C8110000}"/>
    <cellStyle name="Hipervínculo 2 29" xfId="4428" xr:uid="{00000000-0005-0000-0000-0000C9110000}"/>
    <cellStyle name="Hipervínculo 2 3" xfId="4429" xr:uid="{00000000-0005-0000-0000-0000CA110000}"/>
    <cellStyle name="Hipervínculo 2 30" xfId="4430" xr:uid="{00000000-0005-0000-0000-0000CB110000}"/>
    <cellStyle name="Hipervínculo 2 31" xfId="4431" xr:uid="{00000000-0005-0000-0000-0000CC110000}"/>
    <cellStyle name="Hipervínculo 2 4" xfId="4432" xr:uid="{00000000-0005-0000-0000-0000CD110000}"/>
    <cellStyle name="Hipervínculo 2 5" xfId="4433" xr:uid="{00000000-0005-0000-0000-0000CE110000}"/>
    <cellStyle name="Hipervínculo 2 6" xfId="4434" xr:uid="{00000000-0005-0000-0000-0000CF110000}"/>
    <cellStyle name="Hipervínculo 2 7" xfId="4435" xr:uid="{00000000-0005-0000-0000-0000D0110000}"/>
    <cellStyle name="Hipervínculo 2 8" xfId="4436" xr:uid="{00000000-0005-0000-0000-0000D1110000}"/>
    <cellStyle name="Hipervínculo 2 9" xfId="4437" xr:uid="{00000000-0005-0000-0000-0000D2110000}"/>
    <cellStyle name="Hipervínculo 3" xfId="4438" xr:uid="{00000000-0005-0000-0000-0000D3110000}"/>
    <cellStyle name="Hipervínculo 3 10" xfId="4439" xr:uid="{00000000-0005-0000-0000-0000D4110000}"/>
    <cellStyle name="Hipervínculo 3 11" xfId="4440" xr:uid="{00000000-0005-0000-0000-0000D5110000}"/>
    <cellStyle name="Hipervínculo 3 12" xfId="4441" xr:uid="{00000000-0005-0000-0000-0000D6110000}"/>
    <cellStyle name="Hipervínculo 3 13" xfId="4442" xr:uid="{00000000-0005-0000-0000-0000D7110000}"/>
    <cellStyle name="Hipervínculo 3 14" xfId="4443" xr:uid="{00000000-0005-0000-0000-0000D8110000}"/>
    <cellStyle name="Hipervínculo 3 15" xfId="4444" xr:uid="{00000000-0005-0000-0000-0000D9110000}"/>
    <cellStyle name="Hipervínculo 3 16" xfId="4445" xr:uid="{00000000-0005-0000-0000-0000DA110000}"/>
    <cellStyle name="Hipervínculo 3 17" xfId="4446" xr:uid="{00000000-0005-0000-0000-0000DB110000}"/>
    <cellStyle name="Hipervínculo 3 18" xfId="4447" xr:uid="{00000000-0005-0000-0000-0000DC110000}"/>
    <cellStyle name="Hipervínculo 3 19" xfId="4448" xr:uid="{00000000-0005-0000-0000-0000DD110000}"/>
    <cellStyle name="Hipervínculo 3 2" xfId="4449" xr:uid="{00000000-0005-0000-0000-0000DE110000}"/>
    <cellStyle name="Hipervínculo 3 20" xfId="4450" xr:uid="{00000000-0005-0000-0000-0000DF110000}"/>
    <cellStyle name="Hipervínculo 3 21" xfId="4451" xr:uid="{00000000-0005-0000-0000-0000E0110000}"/>
    <cellStyle name="Hipervínculo 3 22" xfId="4452" xr:uid="{00000000-0005-0000-0000-0000E1110000}"/>
    <cellStyle name="Hipervínculo 3 23" xfId="4453" xr:uid="{00000000-0005-0000-0000-0000E2110000}"/>
    <cellStyle name="Hipervínculo 3 24" xfId="4454" xr:uid="{00000000-0005-0000-0000-0000E3110000}"/>
    <cellStyle name="Hipervínculo 3 25" xfId="4455" xr:uid="{00000000-0005-0000-0000-0000E4110000}"/>
    <cellStyle name="Hipervínculo 3 26" xfId="4456" xr:uid="{00000000-0005-0000-0000-0000E5110000}"/>
    <cellStyle name="Hipervínculo 3 27" xfId="4457" xr:uid="{00000000-0005-0000-0000-0000E6110000}"/>
    <cellStyle name="Hipervínculo 3 28" xfId="4458" xr:uid="{00000000-0005-0000-0000-0000E7110000}"/>
    <cellStyle name="Hipervínculo 3 29" xfId="4459" xr:uid="{00000000-0005-0000-0000-0000E8110000}"/>
    <cellStyle name="Hipervínculo 3 3" xfId="4460" xr:uid="{00000000-0005-0000-0000-0000E9110000}"/>
    <cellStyle name="Hipervínculo 3 30" xfId="4461" xr:uid="{00000000-0005-0000-0000-0000EA110000}"/>
    <cellStyle name="Hipervínculo 3 31" xfId="4462" xr:uid="{00000000-0005-0000-0000-0000EB110000}"/>
    <cellStyle name="Hipervínculo 3 4" xfId="4463" xr:uid="{00000000-0005-0000-0000-0000EC110000}"/>
    <cellStyle name="Hipervínculo 3 5" xfId="4464" xr:uid="{00000000-0005-0000-0000-0000ED110000}"/>
    <cellStyle name="Hipervínculo 3 6" xfId="4465" xr:uid="{00000000-0005-0000-0000-0000EE110000}"/>
    <cellStyle name="Hipervínculo 3 7" xfId="4466" xr:uid="{00000000-0005-0000-0000-0000EF110000}"/>
    <cellStyle name="Hipervínculo 3 8" xfId="4467" xr:uid="{00000000-0005-0000-0000-0000F0110000}"/>
    <cellStyle name="Hipervínculo 3 9" xfId="4468" xr:uid="{00000000-0005-0000-0000-0000F1110000}"/>
    <cellStyle name="Hist inmatning" xfId="4469" xr:uid="{00000000-0005-0000-0000-0000F2110000}"/>
    <cellStyle name="Hist_perc" xfId="4470" xr:uid="{00000000-0005-0000-0000-0000F3110000}"/>
    <cellStyle name="Historic" xfId="4471" xr:uid="{00000000-0005-0000-0000-0000F4110000}"/>
    <cellStyle name="Historical" xfId="4472" xr:uid="{00000000-0005-0000-0000-0000F5110000}"/>
    <cellStyle name="historical #" xfId="4473" xr:uid="{00000000-0005-0000-0000-0000F6110000}"/>
    <cellStyle name="historical %" xfId="4474" xr:uid="{00000000-0005-0000-0000-0000F7110000}"/>
    <cellStyle name="Historical_~8324206" xfId="4475" xr:uid="{00000000-0005-0000-0000-0000F8110000}"/>
    <cellStyle name="Historicals" xfId="4476" xr:uid="{00000000-0005-0000-0000-0000F9110000}"/>
    <cellStyle name="History" xfId="4477" xr:uid="{00000000-0005-0000-0000-0000FA110000}"/>
    <cellStyle name="hn" xfId="4478" xr:uid="{00000000-0005-0000-0000-0000FB110000}"/>
    <cellStyle name="hours" xfId="4479" xr:uid="{00000000-0005-0000-0000-0000FC110000}"/>
    <cellStyle name="ht" xfId="4480" xr:uid="{00000000-0005-0000-0000-0000FD110000}"/>
    <cellStyle name="Hyperlänk" xfId="4481" xr:uid="{00000000-0005-0000-0000-0000FE110000}"/>
    <cellStyle name="Hypertextový odkaz" xfId="4482" xr:uid="{00000000-0005-0000-0000-0000FF110000}"/>
    <cellStyle name="IBESInput" xfId="4483" xr:uid="{00000000-0005-0000-0000-000000120000}"/>
    <cellStyle name="IDD" xfId="4484" xr:uid="{00000000-0005-0000-0000-000001120000}"/>
    <cellStyle name="Implied Input $" xfId="4485" xr:uid="{00000000-0005-0000-0000-000002120000}"/>
    <cellStyle name="Implied Input %" xfId="4486" xr:uid="{00000000-0005-0000-0000-000003120000}"/>
    <cellStyle name="Implied Input_MGMT $" xfId="4487" xr:uid="{00000000-0005-0000-0000-000004120000}"/>
    <cellStyle name="Import" xfId="4488" xr:uid="{00000000-0005-0000-0000-000005120000}"/>
    <cellStyle name="Imput" xfId="4489" xr:uid="{00000000-0005-0000-0000-000006120000}"/>
    <cellStyle name="IncomeStatement" xfId="4490" xr:uid="{00000000-0005-0000-0000-000007120000}"/>
    <cellStyle name="Incorrecto" xfId="6490" xr:uid="{00000000-0005-0000-0000-000008120000}"/>
    <cellStyle name="Incorrecto 2" xfId="4491" xr:uid="{00000000-0005-0000-0000-000009120000}"/>
    <cellStyle name="Incorrecto 2 2" xfId="4492" xr:uid="{00000000-0005-0000-0000-00000A120000}"/>
    <cellStyle name="InLink" xfId="4493" xr:uid="{00000000-0005-0000-0000-00000B120000}"/>
    <cellStyle name="inpt" xfId="4494" xr:uid="{00000000-0005-0000-0000-00000C120000}"/>
    <cellStyle name="Input - Percent [1]" xfId="4495" xr:uid="{00000000-0005-0000-0000-00000D120000}"/>
    <cellStyle name="Input $" xfId="4496" xr:uid="{00000000-0005-0000-0000-00000E120000}"/>
    <cellStyle name="Input %" xfId="4497" xr:uid="{00000000-0005-0000-0000-00000F120000}"/>
    <cellStyle name="Input % (1dp)" xfId="4498" xr:uid="{00000000-0005-0000-0000-000010120000}"/>
    <cellStyle name="Input % [2]" xfId="4499" xr:uid="{00000000-0005-0000-0000-000011120000}"/>
    <cellStyle name="Input %_DCF template highlighted" xfId="4500" xr:uid="{00000000-0005-0000-0000-000012120000}"/>
    <cellStyle name="Input (#)" xfId="4501" xr:uid="{00000000-0005-0000-0000-000013120000}"/>
    <cellStyle name="Input [#]" xfId="4502" xr:uid="{00000000-0005-0000-0000-000014120000}"/>
    <cellStyle name="Input [%]" xfId="4503" xr:uid="{00000000-0005-0000-0000-000015120000}"/>
    <cellStyle name="Input [0]" xfId="4504" xr:uid="{00000000-0005-0000-0000-000016120000}"/>
    <cellStyle name="Input [2]" xfId="4505" xr:uid="{00000000-0005-0000-0000-000017120000}"/>
    <cellStyle name="Input [x]" xfId="4506" xr:uid="{00000000-0005-0000-0000-000018120000}"/>
    <cellStyle name="Input [yellow]" xfId="4507" xr:uid="{00000000-0005-0000-0000-000019120000}"/>
    <cellStyle name="Input 0" xfId="4508" xr:uid="{00000000-0005-0000-0000-00001A120000}"/>
    <cellStyle name="Input 0,0" xfId="4509" xr:uid="{00000000-0005-0000-0000-00001B120000}"/>
    <cellStyle name="Input calculation" xfId="4510" xr:uid="{00000000-0005-0000-0000-00001D120000}"/>
    <cellStyle name="Input Cell" xfId="4511" xr:uid="{00000000-0005-0000-0000-00001E120000}"/>
    <cellStyle name="Input Cells" xfId="4512" xr:uid="{00000000-0005-0000-0000-00001F120000}"/>
    <cellStyle name="Input comma" xfId="4513" xr:uid="{00000000-0005-0000-0000-000020120000}"/>
    <cellStyle name="Input Currency" xfId="4514" xr:uid="{00000000-0005-0000-0000-000021120000}"/>
    <cellStyle name="Input data" xfId="4515" xr:uid="{00000000-0005-0000-0000-000022120000}"/>
    <cellStyle name="Input Date" xfId="4516" xr:uid="{00000000-0005-0000-0000-000023120000}"/>
    <cellStyle name="Input estimate" xfId="4517" xr:uid="{00000000-0005-0000-0000-000024120000}"/>
    <cellStyle name="Input Fixed [0]" xfId="4518" xr:uid="{00000000-0005-0000-0000-000025120000}"/>
    <cellStyle name="Input Link" xfId="4519" xr:uid="{00000000-0005-0000-0000-000026120000}"/>
    <cellStyle name="Input link (different workbook)" xfId="4520" xr:uid="{00000000-0005-0000-0000-000027120000}"/>
    <cellStyle name="Input Link_Eramet valuation_14.02.07_v12" xfId="4521" xr:uid="{00000000-0005-0000-0000-000028120000}"/>
    <cellStyle name="Input multiple" xfId="4522" xr:uid="{00000000-0005-0000-0000-000029120000}"/>
    <cellStyle name="Input Normal" xfId="4523" xr:uid="{00000000-0005-0000-0000-00002A120000}"/>
    <cellStyle name="Input number (0dp)" xfId="4524" xr:uid="{00000000-0005-0000-0000-00002B120000}"/>
    <cellStyle name="Input number (1dp)" xfId="4525" xr:uid="{00000000-0005-0000-0000-00002C120000}"/>
    <cellStyle name="Input Number Normal" xfId="4526" xr:uid="{00000000-0005-0000-0000-00002D120000}"/>
    <cellStyle name="Input parameter" xfId="4527" xr:uid="{00000000-0005-0000-0000-00002E120000}"/>
    <cellStyle name="Input Percent" xfId="4528" xr:uid="{00000000-0005-0000-0000-00002F120000}"/>
    <cellStyle name="Input Percent [2]" xfId="4529" xr:uid="{00000000-0005-0000-0000-000030120000}"/>
    <cellStyle name="Input Percent_~8324206" xfId="4530" xr:uid="{00000000-0005-0000-0000-000031120000}"/>
    <cellStyle name="Input Titles" xfId="4531" xr:uid="{00000000-0005-0000-0000-000032120000}"/>
    <cellStyle name="Input$" xfId="4532" xr:uid="{00000000-0005-0000-0000-000033120000}"/>
    <cellStyle name="Input%" xfId="4533" xr:uid="{00000000-0005-0000-0000-000034120000}"/>
    <cellStyle name="Input[#]" xfId="4534" xr:uid="{00000000-0005-0000-0000-000035120000}"/>
    <cellStyle name="Input0dec" xfId="4535" xr:uid="{00000000-0005-0000-0000-000036120000}"/>
    <cellStyle name="Input2dec" xfId="4536" xr:uid="{00000000-0005-0000-0000-000037120000}"/>
    <cellStyle name="InputBlueFont" xfId="4537" xr:uid="{00000000-0005-0000-0000-000038120000}"/>
    <cellStyle name="InputCell" xfId="4538" xr:uid="{00000000-0005-0000-0000-000039120000}"/>
    <cellStyle name="InputDate" xfId="4539" xr:uid="{00000000-0005-0000-0000-00003A120000}"/>
    <cellStyle name="InputHead" xfId="4540" xr:uid="{00000000-0005-0000-0000-00003B120000}"/>
    <cellStyle name="InputPercent" xfId="4541" xr:uid="{00000000-0005-0000-0000-00003C120000}"/>
    <cellStyle name="InputPop" xfId="4542" xr:uid="{00000000-0005-0000-0000-00003D120000}"/>
    <cellStyle name="Integer" xfId="4543" xr:uid="{00000000-0005-0000-0000-00003E120000}"/>
    <cellStyle name="Invisible" xfId="4544" xr:uid="{00000000-0005-0000-0000-00003F120000}"/>
    <cellStyle name="Item" xfId="4545" xr:uid="{00000000-0005-0000-0000-000040120000}"/>
    <cellStyle name="Item Descriptions" xfId="4546" xr:uid="{00000000-0005-0000-0000-000041120000}"/>
    <cellStyle name="Item Descriptions - Bold" xfId="4547" xr:uid="{00000000-0005-0000-0000-000042120000}"/>
    <cellStyle name="Item Descriptions_6079BX" xfId="4548" xr:uid="{00000000-0005-0000-0000-000043120000}"/>
    <cellStyle name="Item_Volvo Cars model 011006 v7" xfId="4549" xr:uid="{00000000-0005-0000-0000-000044120000}"/>
    <cellStyle name="ItemTypeClass" xfId="4550" xr:uid="{00000000-0005-0000-0000-000045120000}"/>
    <cellStyle name="J.P.M. input" xfId="4551" xr:uid="{00000000-0005-0000-0000-000046120000}"/>
    <cellStyle name="James" xfId="4552" xr:uid="{00000000-0005-0000-0000-000047120000}"/>
    <cellStyle name="Jason" xfId="4553" xr:uid="{00000000-0005-0000-0000-000048120000}"/>
    <cellStyle name="JCF-Detail" xfId="4554" xr:uid="{00000000-0005-0000-0000-000049120000}"/>
    <cellStyle name="Komma [0]_Algemeen" xfId="4555" xr:uid="{00000000-0005-0000-0000-00004A120000}"/>
    <cellStyle name="Komma_Algemeen" xfId="4556" xr:uid="{00000000-0005-0000-0000-00004B120000}"/>
    <cellStyle name="kopregel" xfId="4557" xr:uid="{00000000-0005-0000-0000-00004C120000}"/>
    <cellStyle name="KP_Normal" xfId="4558" xr:uid="{00000000-0005-0000-0000-00004D120000}"/>
    <cellStyle name="KPMG Heading 1" xfId="4559" xr:uid="{00000000-0005-0000-0000-00004E120000}"/>
    <cellStyle name="KPMG Heading 2" xfId="4560" xr:uid="{00000000-0005-0000-0000-00004F120000}"/>
    <cellStyle name="KPMG Heading 3" xfId="4561" xr:uid="{00000000-0005-0000-0000-000050120000}"/>
    <cellStyle name="KPMG Heading 4" xfId="4562" xr:uid="{00000000-0005-0000-0000-000051120000}"/>
    <cellStyle name="KPMG Normal" xfId="4563" xr:uid="{00000000-0005-0000-0000-000052120000}"/>
    <cellStyle name="KPMG Normal Text" xfId="4564" xr:uid="{00000000-0005-0000-0000-000053120000}"/>
    <cellStyle name="Label" xfId="4565" xr:uid="{00000000-0005-0000-0000-000054120000}"/>
    <cellStyle name="leftStyle" xfId="4566" xr:uid="{00000000-0005-0000-0000-000055120000}"/>
    <cellStyle name="Level 3 Account Name" xfId="4567" xr:uid="{00000000-0005-0000-0000-000056120000}"/>
    <cellStyle name="Level 6 Account" xfId="4568" xr:uid="{00000000-0005-0000-0000-000057120000}"/>
    <cellStyle name="Lien hypertexte visité_actu1 - 2002versSiégedéfinitive" xfId="4569" xr:uid="{00000000-0005-0000-0000-000058120000}"/>
    <cellStyle name="Lien hypertexte_actu1 - 2002versSiégedéfinitive" xfId="4570" xr:uid="{00000000-0005-0000-0000-000059120000}"/>
    <cellStyle name="ligne_detail" xfId="4571" xr:uid="{00000000-0005-0000-0000-00005A120000}"/>
    <cellStyle name="Line" xfId="4572" xr:uid="{00000000-0005-0000-0000-00005B120000}"/>
    <cellStyle name="Link" xfId="4573" xr:uid="{00000000-0005-0000-0000-00005C120000}"/>
    <cellStyle name="Link Currency (0)" xfId="4574" xr:uid="{00000000-0005-0000-0000-00005D120000}"/>
    <cellStyle name="Link Currency (2)" xfId="4575" xr:uid="{00000000-0005-0000-0000-00005E120000}"/>
    <cellStyle name="Link Units (0)" xfId="4576" xr:uid="{00000000-0005-0000-0000-00005F120000}"/>
    <cellStyle name="Link Units (1)" xfId="4577" xr:uid="{00000000-0005-0000-0000-000060120000}"/>
    <cellStyle name="Link Units (2)" xfId="4578" xr:uid="{00000000-0005-0000-0000-000061120000}"/>
    <cellStyle name="Link_Gx_analysis_240306 v1" xfId="4579" xr:uid="{00000000-0005-0000-0000-000062120000}"/>
    <cellStyle name="Linked" xfId="4580" xr:uid="{00000000-0005-0000-0000-000063120000}"/>
    <cellStyle name="Locked" xfId="4581" xr:uid="{00000000-0005-0000-0000-000064120000}"/>
    <cellStyle name="lpt" xfId="4582" xr:uid="{00000000-0005-0000-0000-000065120000}"/>
    <cellStyle name="lspt" xfId="4583" xr:uid="{00000000-0005-0000-0000-000066120000}"/>
    <cellStyle name="m" xfId="4584" xr:uid="{00000000-0005-0000-0000-000067120000}"/>
    <cellStyle name="m/d/yy" xfId="4585" xr:uid="{00000000-0005-0000-0000-000068120000}"/>
    <cellStyle name="M_~8324206" xfId="4586" xr:uid="{00000000-0005-0000-0000-000069120000}"/>
    <cellStyle name="m_Allibert model_v4" xfId="4587" xr:uid="{00000000-0005-0000-0000-00006A120000}"/>
    <cellStyle name="m_Arcelor_KKRv8" xfId="4588" xr:uid="{00000000-0005-0000-0000-00006B120000}"/>
    <cellStyle name="m_Copy of Valuation 23112005" xfId="4589" xr:uid="{00000000-0005-0000-0000-00006C120000}"/>
    <cellStyle name="M_Eramet valuation_14.02.07_v12" xfId="4590" xr:uid="{00000000-0005-0000-0000-00006D120000}"/>
    <cellStyle name="m_FABER historical FV_EBITDA and P_E 19 Oct 2004" xfId="4591" xr:uid="{00000000-0005-0000-0000-00006E120000}"/>
    <cellStyle name="m_Faurecia Input July 2004 v2" xfId="4592" xr:uid="{00000000-0005-0000-0000-00006F120000}"/>
    <cellStyle name="m_Guala DCF v5" xfId="4593" xr:uid="{00000000-0005-0000-0000-000070120000}"/>
    <cellStyle name="m_Guala DCF v5_Nuela Financial Summary Projections_06-26-09_v2" xfId="4594" xr:uid="{00000000-0005-0000-0000-000071120000}"/>
    <cellStyle name="m_Guala_model_27.3.06" xfId="4595" xr:uid="{00000000-0005-0000-0000-000072120000}"/>
    <cellStyle name="m_Gx_analysis_240306 v1" xfId="4596" xr:uid="{00000000-0005-0000-0000-000073120000}"/>
    <cellStyle name="m_LBO3" xfId="4597" xr:uid="{00000000-0005-0000-0000-000074120000}"/>
    <cellStyle name="m_LBO3_Nuela Financial Summary Projections_06-26-09_v2" xfId="4598" xr:uid="{00000000-0005-0000-0000-000075120000}"/>
    <cellStyle name="m_Magna-Faurecia Model June 2004 v13 (for intier multiple)" xfId="4599" xr:uid="{00000000-0005-0000-0000-000076120000}"/>
    <cellStyle name="M_Model_14.4.05_v18" xfId="4600" xr:uid="{00000000-0005-0000-0000-000077120000}"/>
    <cellStyle name="m_New_Ahlsell Model v1.6" xfId="4601" xr:uid="{00000000-0005-0000-0000-000078120000}"/>
    <cellStyle name="M_Valeo input July 2004 v5" xfId="4602" xr:uid="{00000000-0005-0000-0000-000079120000}"/>
    <cellStyle name="m_Valeo model v3" xfId="4603" xr:uid="{00000000-0005-0000-0000-00007A120000}"/>
    <cellStyle name="m_Volvo Cars model 011006 v7" xfId="4604" xr:uid="{00000000-0005-0000-0000-00007B120000}"/>
    <cellStyle name="Magic" xfId="4605" xr:uid="{00000000-0005-0000-0000-00007C120000}"/>
    <cellStyle name="Main item" xfId="4606" xr:uid="{00000000-0005-0000-0000-00007D120000}"/>
    <cellStyle name="Main Title" xfId="4607" xr:uid="{00000000-0005-0000-0000-00007E120000}"/>
    <cellStyle name="Mainhead" xfId="4608" xr:uid="{00000000-0005-0000-0000-00007F120000}"/>
    <cellStyle name="MainHeading" xfId="4609" xr:uid="{00000000-0005-0000-0000-000080120000}"/>
    <cellStyle name="margenta-f" xfId="4610" xr:uid="{00000000-0005-0000-0000-000081120000}"/>
    <cellStyle name="Margin &amp; Growth" xfId="4611" xr:uid="{00000000-0005-0000-0000-000082120000}"/>
    <cellStyle name="MArgin%" xfId="4612" xr:uid="{00000000-0005-0000-0000-000083120000}"/>
    <cellStyle name="Margins" xfId="4613" xr:uid="{00000000-0005-0000-0000-000084120000}"/>
    <cellStyle name="marked" xfId="4614" xr:uid="{00000000-0005-0000-0000-000085120000}"/>
    <cellStyle name="max" xfId="4615" xr:uid="{00000000-0005-0000-0000-000086120000}"/>
    <cellStyle name="Métier_00_Donnée" xfId="4616" xr:uid="{00000000-0005-0000-0000-000087120000}"/>
    <cellStyle name="MICRO BOSTON" xfId="4617" xr:uid="{00000000-0005-0000-0000-000088120000}"/>
    <cellStyle name="Migliaia (0)" xfId="4618" xr:uid="{00000000-0005-0000-0000-000089120000}"/>
    <cellStyle name="Migliaia_AdR prelim valuation 010130 base case Ver5 Final" xfId="4619" xr:uid="{00000000-0005-0000-0000-00008A120000}"/>
    <cellStyle name="Millares" xfId="6485" builtinId="3"/>
    <cellStyle name="Millares [0]" xfId="6633" builtinId="6"/>
    <cellStyle name="Millares [0] 10" xfId="4620" xr:uid="{00000000-0005-0000-0000-00008B120000}"/>
    <cellStyle name="Millares [0] 10 2" xfId="4621" xr:uid="{00000000-0005-0000-0000-00008C120000}"/>
    <cellStyle name="Millares [0] 2" xfId="4622" xr:uid="{00000000-0005-0000-0000-00008D120000}"/>
    <cellStyle name="Millares [0] 2 10" xfId="4623" xr:uid="{00000000-0005-0000-0000-00008E120000}"/>
    <cellStyle name="Millares [0] 2 11" xfId="4624" xr:uid="{00000000-0005-0000-0000-00008F120000}"/>
    <cellStyle name="Millares [0] 2 12" xfId="4625" xr:uid="{00000000-0005-0000-0000-000090120000}"/>
    <cellStyle name="Millares [0] 2 13" xfId="4626" xr:uid="{00000000-0005-0000-0000-000091120000}"/>
    <cellStyle name="Millares [0] 2 14" xfId="4627" xr:uid="{00000000-0005-0000-0000-000092120000}"/>
    <cellStyle name="Millares [0] 2 15" xfId="4628" xr:uid="{00000000-0005-0000-0000-000093120000}"/>
    <cellStyle name="Millares [0] 2 16" xfId="4629" xr:uid="{00000000-0005-0000-0000-000094120000}"/>
    <cellStyle name="Millares [0] 2 17" xfId="4630" xr:uid="{00000000-0005-0000-0000-000095120000}"/>
    <cellStyle name="Millares [0] 2 18" xfId="4631" xr:uid="{00000000-0005-0000-0000-000096120000}"/>
    <cellStyle name="Millares [0] 2 19" xfId="4632" xr:uid="{00000000-0005-0000-0000-000097120000}"/>
    <cellStyle name="Millares [0] 2 2" xfId="4633" xr:uid="{00000000-0005-0000-0000-000098120000}"/>
    <cellStyle name="Millares [0] 2 20" xfId="4634" xr:uid="{00000000-0005-0000-0000-000099120000}"/>
    <cellStyle name="Millares [0] 2 21" xfId="4635" xr:uid="{00000000-0005-0000-0000-00009A120000}"/>
    <cellStyle name="Millares [0] 2 22" xfId="4636" xr:uid="{00000000-0005-0000-0000-00009B120000}"/>
    <cellStyle name="Millares [0] 2 23" xfId="4637" xr:uid="{00000000-0005-0000-0000-00009C120000}"/>
    <cellStyle name="Millares [0] 2 24" xfId="4638" xr:uid="{00000000-0005-0000-0000-00009D120000}"/>
    <cellStyle name="Millares [0] 2 25" xfId="4639" xr:uid="{00000000-0005-0000-0000-00009E120000}"/>
    <cellStyle name="Millares [0] 2 26" xfId="4640" xr:uid="{00000000-0005-0000-0000-00009F120000}"/>
    <cellStyle name="Millares [0] 2 27" xfId="4641" xr:uid="{00000000-0005-0000-0000-0000A0120000}"/>
    <cellStyle name="Millares [0] 2 28" xfId="4642" xr:uid="{00000000-0005-0000-0000-0000A1120000}"/>
    <cellStyle name="Millares [0] 2 29" xfId="4643" xr:uid="{00000000-0005-0000-0000-0000A2120000}"/>
    <cellStyle name="Millares [0] 2 3" xfId="4644" xr:uid="{00000000-0005-0000-0000-0000A3120000}"/>
    <cellStyle name="Millares [0] 2 30" xfId="4645" xr:uid="{00000000-0005-0000-0000-0000A4120000}"/>
    <cellStyle name="Millares [0] 2 31" xfId="4646" xr:uid="{00000000-0005-0000-0000-0000A5120000}"/>
    <cellStyle name="Millares [0] 2 4" xfId="4647" xr:uid="{00000000-0005-0000-0000-0000A6120000}"/>
    <cellStyle name="Millares [0] 2 5" xfId="4648" xr:uid="{00000000-0005-0000-0000-0000A7120000}"/>
    <cellStyle name="Millares [0] 2 6" xfId="4649" xr:uid="{00000000-0005-0000-0000-0000A8120000}"/>
    <cellStyle name="Millares [0] 2 7" xfId="4650" xr:uid="{00000000-0005-0000-0000-0000A9120000}"/>
    <cellStyle name="Millares [0] 2 8" xfId="4651" xr:uid="{00000000-0005-0000-0000-0000AA120000}"/>
    <cellStyle name="Millares [0] 2 9" xfId="4652" xr:uid="{00000000-0005-0000-0000-0000AB120000}"/>
    <cellStyle name="Millares [0] 36" xfId="4653" xr:uid="{00000000-0005-0000-0000-0000AC120000}"/>
    <cellStyle name="Millares [0] 36 2" xfId="4654" xr:uid="{00000000-0005-0000-0000-0000AD120000}"/>
    <cellStyle name="Millares 10" xfId="4655" xr:uid="{00000000-0005-0000-0000-0000AE120000}"/>
    <cellStyle name="Millares 11" xfId="4656" xr:uid="{00000000-0005-0000-0000-0000AF120000}"/>
    <cellStyle name="Millares 12" xfId="4657" xr:uid="{00000000-0005-0000-0000-0000B0120000}"/>
    <cellStyle name="Millares 13" xfId="4658" xr:uid="{00000000-0005-0000-0000-0000B1120000}"/>
    <cellStyle name="Millares 13 2" xfId="4659" xr:uid="{00000000-0005-0000-0000-0000B2120000}"/>
    <cellStyle name="Millares 14" xfId="4660" xr:uid="{00000000-0005-0000-0000-0000B3120000}"/>
    <cellStyle name="Millares 15" xfId="4661" xr:uid="{00000000-0005-0000-0000-0000B4120000}"/>
    <cellStyle name="Millares 16" xfId="4662" xr:uid="{00000000-0005-0000-0000-0000B5120000}"/>
    <cellStyle name="Millares 17" xfId="4663" xr:uid="{00000000-0005-0000-0000-0000B6120000}"/>
    <cellStyle name="Millares 17 2" xfId="4664" xr:uid="{00000000-0005-0000-0000-0000B7120000}"/>
    <cellStyle name="Millares 18" xfId="4665" xr:uid="{00000000-0005-0000-0000-0000B8120000}"/>
    <cellStyle name="Millares 19" xfId="4666" xr:uid="{00000000-0005-0000-0000-0000B9120000}"/>
    <cellStyle name="Millares 2" xfId="4667" xr:uid="{00000000-0005-0000-0000-0000BA120000}"/>
    <cellStyle name="Millares 2 10" xfId="4668" xr:uid="{00000000-0005-0000-0000-0000BB120000}"/>
    <cellStyle name="Millares 2 10 2" xfId="4669" xr:uid="{00000000-0005-0000-0000-0000BC120000}"/>
    <cellStyle name="Millares 2 11" xfId="4670" xr:uid="{00000000-0005-0000-0000-0000BD120000}"/>
    <cellStyle name="Millares 2 12" xfId="4671" xr:uid="{00000000-0005-0000-0000-0000BE120000}"/>
    <cellStyle name="Millares 2 13" xfId="4672" xr:uid="{00000000-0005-0000-0000-0000BF120000}"/>
    <cellStyle name="Millares 2 14" xfId="4673" xr:uid="{00000000-0005-0000-0000-0000C0120000}"/>
    <cellStyle name="Millares 2 15" xfId="4674" xr:uid="{00000000-0005-0000-0000-0000C1120000}"/>
    <cellStyle name="Millares 2 16" xfId="4675" xr:uid="{00000000-0005-0000-0000-0000C2120000}"/>
    <cellStyle name="Millares 2 17" xfId="4676" xr:uid="{00000000-0005-0000-0000-0000C3120000}"/>
    <cellStyle name="Millares 2 18" xfId="4677" xr:uid="{00000000-0005-0000-0000-0000C4120000}"/>
    <cellStyle name="Millares 2 19" xfId="4678" xr:uid="{00000000-0005-0000-0000-0000C5120000}"/>
    <cellStyle name="Millares 2 2" xfId="4679" xr:uid="{00000000-0005-0000-0000-0000C6120000}"/>
    <cellStyle name="Millares 2 2 2" xfId="4680" xr:uid="{00000000-0005-0000-0000-0000C7120000}"/>
    <cellStyle name="Millares 2 2 2 2" xfId="4681" xr:uid="{00000000-0005-0000-0000-0000C8120000}"/>
    <cellStyle name="Millares 2 2 2 2 2" xfId="4682" xr:uid="{00000000-0005-0000-0000-0000C9120000}"/>
    <cellStyle name="Millares 2 2 2 2 2 2" xfId="4683" xr:uid="{00000000-0005-0000-0000-0000CA120000}"/>
    <cellStyle name="Millares 2 2 2 3" xfId="4684" xr:uid="{00000000-0005-0000-0000-0000CB120000}"/>
    <cellStyle name="Millares 2 2 2 4" xfId="4685" xr:uid="{00000000-0005-0000-0000-0000CC120000}"/>
    <cellStyle name="Millares 2 2 2 5" xfId="4686" xr:uid="{00000000-0005-0000-0000-0000CD120000}"/>
    <cellStyle name="Millares 2 2 3" xfId="4687" xr:uid="{00000000-0005-0000-0000-0000CE120000}"/>
    <cellStyle name="Millares 2 2 3 2" xfId="4688" xr:uid="{00000000-0005-0000-0000-0000CF120000}"/>
    <cellStyle name="Millares 2 2 4" xfId="4689" xr:uid="{00000000-0005-0000-0000-0000D0120000}"/>
    <cellStyle name="Millares 2 2 4 2" xfId="4690" xr:uid="{00000000-0005-0000-0000-0000D1120000}"/>
    <cellStyle name="Millares 2 2 5" xfId="4691" xr:uid="{00000000-0005-0000-0000-0000D2120000}"/>
    <cellStyle name="Millares 2 20" xfId="4692" xr:uid="{00000000-0005-0000-0000-0000D3120000}"/>
    <cellStyle name="Millares 2 21" xfId="4693" xr:uid="{00000000-0005-0000-0000-0000D4120000}"/>
    <cellStyle name="Millares 2 22" xfId="4694" xr:uid="{00000000-0005-0000-0000-0000D5120000}"/>
    <cellStyle name="Millares 2 23" xfId="4695" xr:uid="{00000000-0005-0000-0000-0000D6120000}"/>
    <cellStyle name="Millares 2 24" xfId="4696" xr:uid="{00000000-0005-0000-0000-0000D7120000}"/>
    <cellStyle name="Millares 2 25" xfId="4697" xr:uid="{00000000-0005-0000-0000-0000D8120000}"/>
    <cellStyle name="Millares 2 26" xfId="4698" xr:uid="{00000000-0005-0000-0000-0000D9120000}"/>
    <cellStyle name="Millares 2 27" xfId="4699" xr:uid="{00000000-0005-0000-0000-0000DA120000}"/>
    <cellStyle name="Millares 2 28" xfId="4700" xr:uid="{00000000-0005-0000-0000-0000DB120000}"/>
    <cellStyle name="Millares 2 29" xfId="4701" xr:uid="{00000000-0005-0000-0000-0000DC120000}"/>
    <cellStyle name="Millares 2 3" xfId="4702" xr:uid="{00000000-0005-0000-0000-0000DD120000}"/>
    <cellStyle name="Millares 2 3 2" xfId="4703" xr:uid="{00000000-0005-0000-0000-0000DE120000}"/>
    <cellStyle name="Millares 2 3 3" xfId="4704" xr:uid="{00000000-0005-0000-0000-0000DF120000}"/>
    <cellStyle name="Millares 2 3 4" xfId="4705" xr:uid="{00000000-0005-0000-0000-0000E0120000}"/>
    <cellStyle name="Millares 2 3 5" xfId="4706" xr:uid="{00000000-0005-0000-0000-0000E1120000}"/>
    <cellStyle name="Millares 2 3 6" xfId="4707" xr:uid="{00000000-0005-0000-0000-0000E2120000}"/>
    <cellStyle name="Millares 2 30" xfId="4708" xr:uid="{00000000-0005-0000-0000-0000E3120000}"/>
    <cellStyle name="Millares 2 31" xfId="4709" xr:uid="{00000000-0005-0000-0000-0000E4120000}"/>
    <cellStyle name="Millares 2 32" xfId="4710" xr:uid="{00000000-0005-0000-0000-0000E5120000}"/>
    <cellStyle name="Millares 2 33" xfId="4711" xr:uid="{00000000-0005-0000-0000-0000E6120000}"/>
    <cellStyle name="Millares 2 4" xfId="4712" xr:uid="{00000000-0005-0000-0000-0000E7120000}"/>
    <cellStyle name="Millares 2 4 2" xfId="4713" xr:uid="{00000000-0005-0000-0000-0000E8120000}"/>
    <cellStyle name="Millares 2 5" xfId="4714" xr:uid="{00000000-0005-0000-0000-0000E9120000}"/>
    <cellStyle name="Millares 2 5 2" xfId="4715" xr:uid="{00000000-0005-0000-0000-0000EA120000}"/>
    <cellStyle name="Millares 2 6" xfId="4716" xr:uid="{00000000-0005-0000-0000-0000EB120000}"/>
    <cellStyle name="Millares 2 6 2" xfId="4717" xr:uid="{00000000-0005-0000-0000-0000EC120000}"/>
    <cellStyle name="Millares 2 7" xfId="4718" xr:uid="{00000000-0005-0000-0000-0000ED120000}"/>
    <cellStyle name="Millares 2 7 2" xfId="4719" xr:uid="{00000000-0005-0000-0000-0000EE120000}"/>
    <cellStyle name="Millares 2 8" xfId="4720" xr:uid="{00000000-0005-0000-0000-0000EF120000}"/>
    <cellStyle name="Millares 2 8 2" xfId="4721" xr:uid="{00000000-0005-0000-0000-0000F0120000}"/>
    <cellStyle name="Millares 2 9" xfId="4722" xr:uid="{00000000-0005-0000-0000-0000F1120000}"/>
    <cellStyle name="Millares 2 9 2" xfId="4723" xr:uid="{00000000-0005-0000-0000-0000F2120000}"/>
    <cellStyle name="Millares 20" xfId="4724" xr:uid="{00000000-0005-0000-0000-0000F3120000}"/>
    <cellStyle name="Millares 21" xfId="4725" xr:uid="{00000000-0005-0000-0000-0000F4120000}"/>
    <cellStyle name="Millares 22" xfId="4726" xr:uid="{00000000-0005-0000-0000-0000F5120000}"/>
    <cellStyle name="Millares 23" xfId="4727" xr:uid="{00000000-0005-0000-0000-0000F6120000}"/>
    <cellStyle name="Millares 24" xfId="4728" xr:uid="{00000000-0005-0000-0000-0000F7120000}"/>
    <cellStyle name="Millares 25" xfId="4729" xr:uid="{00000000-0005-0000-0000-0000F8120000}"/>
    <cellStyle name="Millares 26" xfId="4730" xr:uid="{00000000-0005-0000-0000-0000F9120000}"/>
    <cellStyle name="Millares 26 2" xfId="6631" xr:uid="{2698AA5B-3433-4F2F-94F1-FB00E50493E8}"/>
    <cellStyle name="Millares 27" xfId="4731" xr:uid="{00000000-0005-0000-0000-0000FA120000}"/>
    <cellStyle name="Millares 28" xfId="4732" xr:uid="{00000000-0005-0000-0000-0000FB120000}"/>
    <cellStyle name="Millares 29" xfId="4733" xr:uid="{00000000-0005-0000-0000-0000FC120000}"/>
    <cellStyle name="Millares 3" xfId="4734" xr:uid="{00000000-0005-0000-0000-0000FD120000}"/>
    <cellStyle name="Millares 3 10" xfId="4735" xr:uid="{00000000-0005-0000-0000-0000FE120000}"/>
    <cellStyle name="Millares 3 11" xfId="4736" xr:uid="{00000000-0005-0000-0000-0000FF120000}"/>
    <cellStyle name="Millares 3 12" xfId="4737" xr:uid="{00000000-0005-0000-0000-000000130000}"/>
    <cellStyle name="Millares 3 13" xfId="4738" xr:uid="{00000000-0005-0000-0000-000001130000}"/>
    <cellStyle name="Millares 3 14" xfId="4739" xr:uid="{00000000-0005-0000-0000-000002130000}"/>
    <cellStyle name="Millares 3 15" xfId="4740" xr:uid="{00000000-0005-0000-0000-000003130000}"/>
    <cellStyle name="Millares 3 16" xfId="4741" xr:uid="{00000000-0005-0000-0000-000004130000}"/>
    <cellStyle name="Millares 3 17" xfId="4742" xr:uid="{00000000-0005-0000-0000-000005130000}"/>
    <cellStyle name="Millares 3 18" xfId="4743" xr:uid="{00000000-0005-0000-0000-000006130000}"/>
    <cellStyle name="Millares 3 19" xfId="4744" xr:uid="{00000000-0005-0000-0000-000007130000}"/>
    <cellStyle name="Millares 3 2" xfId="4745" xr:uid="{00000000-0005-0000-0000-000008130000}"/>
    <cellStyle name="Millares 3 2 2" xfId="4746" xr:uid="{00000000-0005-0000-0000-000009130000}"/>
    <cellStyle name="Millares 3 2 3" xfId="4747" xr:uid="{00000000-0005-0000-0000-00000A130000}"/>
    <cellStyle name="Millares 3 20" xfId="4748" xr:uid="{00000000-0005-0000-0000-00000B130000}"/>
    <cellStyle name="Millares 3 21" xfId="4749" xr:uid="{00000000-0005-0000-0000-00000C130000}"/>
    <cellStyle name="Millares 3 22" xfId="4750" xr:uid="{00000000-0005-0000-0000-00000D130000}"/>
    <cellStyle name="Millares 3 23" xfId="4751" xr:uid="{00000000-0005-0000-0000-00000E130000}"/>
    <cellStyle name="Millares 3 24" xfId="4752" xr:uid="{00000000-0005-0000-0000-00000F130000}"/>
    <cellStyle name="Millares 3 25" xfId="4753" xr:uid="{00000000-0005-0000-0000-000010130000}"/>
    <cellStyle name="Millares 3 26" xfId="4754" xr:uid="{00000000-0005-0000-0000-000011130000}"/>
    <cellStyle name="Millares 3 27" xfId="4755" xr:uid="{00000000-0005-0000-0000-000012130000}"/>
    <cellStyle name="Millares 3 28" xfId="4756" xr:uid="{00000000-0005-0000-0000-000013130000}"/>
    <cellStyle name="Millares 3 29" xfId="4757" xr:uid="{00000000-0005-0000-0000-000014130000}"/>
    <cellStyle name="Millares 3 3" xfId="4758" xr:uid="{00000000-0005-0000-0000-000015130000}"/>
    <cellStyle name="Millares 3 3 2" xfId="4759" xr:uid="{00000000-0005-0000-0000-000016130000}"/>
    <cellStyle name="Millares 3 3 3" xfId="4760" xr:uid="{00000000-0005-0000-0000-000017130000}"/>
    <cellStyle name="Millares 3 30" xfId="4761" xr:uid="{00000000-0005-0000-0000-000018130000}"/>
    <cellStyle name="Millares 3 31" xfId="4762" xr:uid="{00000000-0005-0000-0000-000019130000}"/>
    <cellStyle name="Millares 3 32" xfId="4763" xr:uid="{00000000-0005-0000-0000-00001A130000}"/>
    <cellStyle name="Millares 3 33" xfId="4764" xr:uid="{00000000-0005-0000-0000-00001B130000}"/>
    <cellStyle name="Millares 3 34" xfId="4765" xr:uid="{00000000-0005-0000-0000-00001C130000}"/>
    <cellStyle name="Millares 3 4" xfId="4766" xr:uid="{00000000-0005-0000-0000-00001D130000}"/>
    <cellStyle name="Millares 3 4 2" xfId="4767" xr:uid="{00000000-0005-0000-0000-00001E130000}"/>
    <cellStyle name="Millares 3 4 3" xfId="4768" xr:uid="{00000000-0005-0000-0000-00001F130000}"/>
    <cellStyle name="Millares 3 5" xfId="4769" xr:uid="{00000000-0005-0000-0000-000020130000}"/>
    <cellStyle name="Millares 3 5 2" xfId="4770" xr:uid="{00000000-0005-0000-0000-000021130000}"/>
    <cellStyle name="Millares 3 6" xfId="4771" xr:uid="{00000000-0005-0000-0000-000022130000}"/>
    <cellStyle name="Millares 3 7" xfId="4772" xr:uid="{00000000-0005-0000-0000-000023130000}"/>
    <cellStyle name="Millares 3 8" xfId="4773" xr:uid="{00000000-0005-0000-0000-000024130000}"/>
    <cellStyle name="Millares 3 9" xfId="4774" xr:uid="{00000000-0005-0000-0000-000025130000}"/>
    <cellStyle name="Millares 30" xfId="4775" xr:uid="{00000000-0005-0000-0000-000026130000}"/>
    <cellStyle name="Millares 31" xfId="4776" xr:uid="{00000000-0005-0000-0000-000027130000}"/>
    <cellStyle name="Millares 32" xfId="4777" xr:uid="{00000000-0005-0000-0000-000028130000}"/>
    <cellStyle name="Millares 33" xfId="4778" xr:uid="{00000000-0005-0000-0000-000029130000}"/>
    <cellStyle name="Millares 34" xfId="4779" xr:uid="{00000000-0005-0000-0000-00002A130000}"/>
    <cellStyle name="Millares 34 2" xfId="4780" xr:uid="{00000000-0005-0000-0000-00002B130000}"/>
    <cellStyle name="Millares 35" xfId="4781" xr:uid="{00000000-0005-0000-0000-00002C130000}"/>
    <cellStyle name="Millares 35 2" xfId="4782" xr:uid="{00000000-0005-0000-0000-00002D130000}"/>
    <cellStyle name="Millares 35 3" xfId="4783" xr:uid="{00000000-0005-0000-0000-00002E130000}"/>
    <cellStyle name="Millares 35 4" xfId="4784" xr:uid="{00000000-0005-0000-0000-00002F130000}"/>
    <cellStyle name="Millares 35 4 2" xfId="4785" xr:uid="{00000000-0005-0000-0000-000030130000}"/>
    <cellStyle name="Millares 36" xfId="4786" xr:uid="{00000000-0005-0000-0000-000031130000}"/>
    <cellStyle name="Millares 37" xfId="4787" xr:uid="{00000000-0005-0000-0000-000032130000}"/>
    <cellStyle name="Millares 37 2" xfId="4788" xr:uid="{00000000-0005-0000-0000-000033130000}"/>
    <cellStyle name="Millares 37 3" xfId="4789" xr:uid="{00000000-0005-0000-0000-000034130000}"/>
    <cellStyle name="Millares 37 3 2" xfId="4790" xr:uid="{00000000-0005-0000-0000-000035130000}"/>
    <cellStyle name="Millares 38" xfId="4791" xr:uid="{00000000-0005-0000-0000-000036130000}"/>
    <cellStyle name="Millares 38 2" xfId="4792" xr:uid="{00000000-0005-0000-0000-000037130000}"/>
    <cellStyle name="Millares 38 2 2" xfId="4793" xr:uid="{00000000-0005-0000-0000-000038130000}"/>
    <cellStyle name="Millares 38 3" xfId="4794" xr:uid="{00000000-0005-0000-0000-000039130000}"/>
    <cellStyle name="Millares 39" xfId="4795" xr:uid="{00000000-0005-0000-0000-00003A130000}"/>
    <cellStyle name="Millares 39 2" xfId="4796" xr:uid="{00000000-0005-0000-0000-00003B130000}"/>
    <cellStyle name="Millares 39 2 2" xfId="4797" xr:uid="{00000000-0005-0000-0000-00003C130000}"/>
    <cellStyle name="Millares 39 3" xfId="4798" xr:uid="{00000000-0005-0000-0000-00003D130000}"/>
    <cellStyle name="Millares 4" xfId="4799" xr:uid="{00000000-0005-0000-0000-00003E130000}"/>
    <cellStyle name="Millares 4 10" xfId="4800" xr:uid="{00000000-0005-0000-0000-00003F130000}"/>
    <cellStyle name="Millares 4 11" xfId="4801" xr:uid="{00000000-0005-0000-0000-000040130000}"/>
    <cellStyle name="Millares 4 12" xfId="4802" xr:uid="{00000000-0005-0000-0000-000041130000}"/>
    <cellStyle name="Millares 4 13" xfId="4803" xr:uid="{00000000-0005-0000-0000-000042130000}"/>
    <cellStyle name="Millares 4 14" xfId="4804" xr:uid="{00000000-0005-0000-0000-000043130000}"/>
    <cellStyle name="Millares 4 15" xfId="4805" xr:uid="{00000000-0005-0000-0000-000044130000}"/>
    <cellStyle name="Millares 4 16" xfId="4806" xr:uid="{00000000-0005-0000-0000-000045130000}"/>
    <cellStyle name="Millares 4 17" xfId="4807" xr:uid="{00000000-0005-0000-0000-000046130000}"/>
    <cellStyle name="Millares 4 18" xfId="4808" xr:uid="{00000000-0005-0000-0000-000047130000}"/>
    <cellStyle name="Millares 4 19" xfId="4809" xr:uid="{00000000-0005-0000-0000-000048130000}"/>
    <cellStyle name="Millares 4 2" xfId="4810" xr:uid="{00000000-0005-0000-0000-000049130000}"/>
    <cellStyle name="Millares 4 2 2" xfId="4811" xr:uid="{00000000-0005-0000-0000-00004A130000}"/>
    <cellStyle name="Millares 4 2 3" xfId="4812" xr:uid="{00000000-0005-0000-0000-00004B130000}"/>
    <cellStyle name="Millares 4 2 4" xfId="4813" xr:uid="{00000000-0005-0000-0000-00004C130000}"/>
    <cellStyle name="Millares 4 20" xfId="4814" xr:uid="{00000000-0005-0000-0000-00004D130000}"/>
    <cellStyle name="Millares 4 21" xfId="4815" xr:uid="{00000000-0005-0000-0000-00004E130000}"/>
    <cellStyle name="Millares 4 22" xfId="4816" xr:uid="{00000000-0005-0000-0000-00004F130000}"/>
    <cellStyle name="Millares 4 23" xfId="4817" xr:uid="{00000000-0005-0000-0000-000050130000}"/>
    <cellStyle name="Millares 4 24" xfId="4818" xr:uid="{00000000-0005-0000-0000-000051130000}"/>
    <cellStyle name="Millares 4 25" xfId="4819" xr:uid="{00000000-0005-0000-0000-000052130000}"/>
    <cellStyle name="Millares 4 26" xfId="4820" xr:uid="{00000000-0005-0000-0000-000053130000}"/>
    <cellStyle name="Millares 4 27" xfId="4821" xr:uid="{00000000-0005-0000-0000-000054130000}"/>
    <cellStyle name="Millares 4 28" xfId="4822" xr:uid="{00000000-0005-0000-0000-000055130000}"/>
    <cellStyle name="Millares 4 29" xfId="4823" xr:uid="{00000000-0005-0000-0000-000056130000}"/>
    <cellStyle name="Millares 4 3" xfId="4824" xr:uid="{00000000-0005-0000-0000-000057130000}"/>
    <cellStyle name="Millares 4 3 2" xfId="4825" xr:uid="{00000000-0005-0000-0000-000058130000}"/>
    <cellStyle name="Millares 4 30" xfId="4826" xr:uid="{00000000-0005-0000-0000-000059130000}"/>
    <cellStyle name="Millares 4 31" xfId="4827" xr:uid="{00000000-0005-0000-0000-00005A130000}"/>
    <cellStyle name="Millares 4 32" xfId="4828" xr:uid="{00000000-0005-0000-0000-00005B130000}"/>
    <cellStyle name="Millares 4 33" xfId="4829" xr:uid="{00000000-0005-0000-0000-00005C130000}"/>
    <cellStyle name="Millares 4 34" xfId="4830" xr:uid="{00000000-0005-0000-0000-00005D130000}"/>
    <cellStyle name="Millares 4 4" xfId="4831" xr:uid="{00000000-0005-0000-0000-00005E130000}"/>
    <cellStyle name="Millares 4 4 2" xfId="4832" xr:uid="{00000000-0005-0000-0000-00005F130000}"/>
    <cellStyle name="Millares 4 5" xfId="4833" xr:uid="{00000000-0005-0000-0000-000060130000}"/>
    <cellStyle name="Millares 4 5 2" xfId="4834" xr:uid="{00000000-0005-0000-0000-000061130000}"/>
    <cellStyle name="Millares 4 6" xfId="4835" xr:uid="{00000000-0005-0000-0000-000062130000}"/>
    <cellStyle name="Millares 4 6 2" xfId="4836" xr:uid="{00000000-0005-0000-0000-000063130000}"/>
    <cellStyle name="Millares 4 7" xfId="4837" xr:uid="{00000000-0005-0000-0000-000064130000}"/>
    <cellStyle name="Millares 4 7 2" xfId="4838" xr:uid="{00000000-0005-0000-0000-000065130000}"/>
    <cellStyle name="Millares 4 8" xfId="4839" xr:uid="{00000000-0005-0000-0000-000066130000}"/>
    <cellStyle name="Millares 4 9" xfId="4840" xr:uid="{00000000-0005-0000-0000-000067130000}"/>
    <cellStyle name="Millares 40" xfId="4841" xr:uid="{00000000-0005-0000-0000-000068130000}"/>
    <cellStyle name="Millares 40 2" xfId="4842" xr:uid="{00000000-0005-0000-0000-000069130000}"/>
    <cellStyle name="Millares 40 2 2" xfId="4843" xr:uid="{00000000-0005-0000-0000-00006A130000}"/>
    <cellStyle name="Millares 40 3" xfId="4844" xr:uid="{00000000-0005-0000-0000-00006B130000}"/>
    <cellStyle name="Millares 41" xfId="4845" xr:uid="{00000000-0005-0000-0000-00006C130000}"/>
    <cellStyle name="Millares 41 2" xfId="4846" xr:uid="{00000000-0005-0000-0000-00006D130000}"/>
    <cellStyle name="Millares 41 2 2" xfId="4847" xr:uid="{00000000-0005-0000-0000-00006E130000}"/>
    <cellStyle name="Millares 41 3" xfId="4848" xr:uid="{00000000-0005-0000-0000-00006F130000}"/>
    <cellStyle name="Millares 42" xfId="4849" xr:uid="{00000000-0005-0000-0000-000070130000}"/>
    <cellStyle name="Millares 42 2" xfId="4850" xr:uid="{00000000-0005-0000-0000-000071130000}"/>
    <cellStyle name="Millares 42 2 2" xfId="4851" xr:uid="{00000000-0005-0000-0000-000072130000}"/>
    <cellStyle name="Millares 42 3" xfId="4852" xr:uid="{00000000-0005-0000-0000-000073130000}"/>
    <cellStyle name="Millares 43" xfId="4853" xr:uid="{00000000-0005-0000-0000-000074130000}"/>
    <cellStyle name="Millares 43 2" xfId="4854" xr:uid="{00000000-0005-0000-0000-000075130000}"/>
    <cellStyle name="Millares 43 2 2" xfId="4855" xr:uid="{00000000-0005-0000-0000-000076130000}"/>
    <cellStyle name="Millares 43 3" xfId="4856" xr:uid="{00000000-0005-0000-0000-000077130000}"/>
    <cellStyle name="Millares 44" xfId="4857" xr:uid="{00000000-0005-0000-0000-000078130000}"/>
    <cellStyle name="Millares 44 2" xfId="4858" xr:uid="{00000000-0005-0000-0000-000079130000}"/>
    <cellStyle name="Millares 44 2 2" xfId="4859" xr:uid="{00000000-0005-0000-0000-00007A130000}"/>
    <cellStyle name="Millares 44 3" xfId="4860" xr:uid="{00000000-0005-0000-0000-00007B130000}"/>
    <cellStyle name="Millares 45" xfId="4861" xr:uid="{00000000-0005-0000-0000-00007C130000}"/>
    <cellStyle name="Millares 45 2" xfId="4862" xr:uid="{00000000-0005-0000-0000-00007D130000}"/>
    <cellStyle name="Millares 45 2 2" xfId="4863" xr:uid="{00000000-0005-0000-0000-00007E130000}"/>
    <cellStyle name="Millares 45 3" xfId="4864" xr:uid="{00000000-0005-0000-0000-00007F130000}"/>
    <cellStyle name="Millares 46" xfId="4865" xr:uid="{00000000-0005-0000-0000-000080130000}"/>
    <cellStyle name="Millares 46 2" xfId="4866" xr:uid="{00000000-0005-0000-0000-000081130000}"/>
    <cellStyle name="Millares 46 2 2" xfId="4867" xr:uid="{00000000-0005-0000-0000-000082130000}"/>
    <cellStyle name="Millares 46 3" xfId="4868" xr:uid="{00000000-0005-0000-0000-000083130000}"/>
    <cellStyle name="Millares 47" xfId="4869" xr:uid="{00000000-0005-0000-0000-000084130000}"/>
    <cellStyle name="Millares 47 2" xfId="4870" xr:uid="{00000000-0005-0000-0000-000085130000}"/>
    <cellStyle name="Millares 47 2 2" xfId="4871" xr:uid="{00000000-0005-0000-0000-000086130000}"/>
    <cellStyle name="Millares 47 3" xfId="4872" xr:uid="{00000000-0005-0000-0000-000087130000}"/>
    <cellStyle name="Millares 48" xfId="4873" xr:uid="{00000000-0005-0000-0000-000088130000}"/>
    <cellStyle name="Millares 48 2" xfId="4874" xr:uid="{00000000-0005-0000-0000-000089130000}"/>
    <cellStyle name="Millares 49" xfId="4875" xr:uid="{00000000-0005-0000-0000-00008A130000}"/>
    <cellStyle name="Millares 49 2" xfId="4876" xr:uid="{00000000-0005-0000-0000-00008B130000}"/>
    <cellStyle name="Millares 5" xfId="4877" xr:uid="{00000000-0005-0000-0000-00008C130000}"/>
    <cellStyle name="Millares 5 10" xfId="4878" xr:uid="{00000000-0005-0000-0000-00008D130000}"/>
    <cellStyle name="Millares 5 11" xfId="4879" xr:uid="{00000000-0005-0000-0000-00008E130000}"/>
    <cellStyle name="Millares 5 12" xfId="4880" xr:uid="{00000000-0005-0000-0000-00008F130000}"/>
    <cellStyle name="Millares 5 13" xfId="4881" xr:uid="{00000000-0005-0000-0000-000090130000}"/>
    <cellStyle name="Millares 5 14" xfId="4882" xr:uid="{00000000-0005-0000-0000-000091130000}"/>
    <cellStyle name="Millares 5 15" xfId="4883" xr:uid="{00000000-0005-0000-0000-000092130000}"/>
    <cellStyle name="Millares 5 16" xfId="4884" xr:uid="{00000000-0005-0000-0000-000093130000}"/>
    <cellStyle name="Millares 5 17" xfId="4885" xr:uid="{00000000-0005-0000-0000-000094130000}"/>
    <cellStyle name="Millares 5 18" xfId="4886" xr:uid="{00000000-0005-0000-0000-000095130000}"/>
    <cellStyle name="Millares 5 19" xfId="4887" xr:uid="{00000000-0005-0000-0000-000096130000}"/>
    <cellStyle name="Millares 5 2" xfId="4888" xr:uid="{00000000-0005-0000-0000-000097130000}"/>
    <cellStyle name="Millares 5 2 2" xfId="4889" xr:uid="{00000000-0005-0000-0000-000098130000}"/>
    <cellStyle name="Millares 5 2 3" xfId="4890" xr:uid="{00000000-0005-0000-0000-000099130000}"/>
    <cellStyle name="Millares 5 2 3 2" xfId="4891" xr:uid="{00000000-0005-0000-0000-00009A130000}"/>
    <cellStyle name="Millares 5 2 3 3" xfId="4892" xr:uid="{00000000-0005-0000-0000-00009B130000}"/>
    <cellStyle name="Millares 5 2 3 3 2" xfId="4893" xr:uid="{00000000-0005-0000-0000-00009C130000}"/>
    <cellStyle name="Millares 5 20" xfId="4894" xr:uid="{00000000-0005-0000-0000-00009D130000}"/>
    <cellStyle name="Millares 5 21" xfId="4895" xr:uid="{00000000-0005-0000-0000-00009E130000}"/>
    <cellStyle name="Millares 5 22" xfId="4896" xr:uid="{00000000-0005-0000-0000-00009F130000}"/>
    <cellStyle name="Millares 5 23" xfId="4897" xr:uid="{00000000-0005-0000-0000-0000A0130000}"/>
    <cellStyle name="Millares 5 24" xfId="4898" xr:uid="{00000000-0005-0000-0000-0000A1130000}"/>
    <cellStyle name="Millares 5 25" xfId="4899" xr:uid="{00000000-0005-0000-0000-0000A2130000}"/>
    <cellStyle name="Millares 5 26" xfId="4900" xr:uid="{00000000-0005-0000-0000-0000A3130000}"/>
    <cellStyle name="Millares 5 27" xfId="4901" xr:uid="{00000000-0005-0000-0000-0000A4130000}"/>
    <cellStyle name="Millares 5 28" xfId="4902" xr:uid="{00000000-0005-0000-0000-0000A5130000}"/>
    <cellStyle name="Millares 5 29" xfId="4903" xr:uid="{00000000-0005-0000-0000-0000A6130000}"/>
    <cellStyle name="Millares 5 3" xfId="4904" xr:uid="{00000000-0005-0000-0000-0000A7130000}"/>
    <cellStyle name="Millares 5 30" xfId="4905" xr:uid="{00000000-0005-0000-0000-0000A8130000}"/>
    <cellStyle name="Millares 5 31" xfId="4906" xr:uid="{00000000-0005-0000-0000-0000A9130000}"/>
    <cellStyle name="Millares 5 32" xfId="4907" xr:uid="{00000000-0005-0000-0000-0000AA130000}"/>
    <cellStyle name="Millares 5 4" xfId="4908" xr:uid="{00000000-0005-0000-0000-0000AB130000}"/>
    <cellStyle name="Millares 5 5" xfId="4909" xr:uid="{00000000-0005-0000-0000-0000AC130000}"/>
    <cellStyle name="Millares 5 5 2" xfId="4910" xr:uid="{00000000-0005-0000-0000-0000AD130000}"/>
    <cellStyle name="Millares 5 6" xfId="4911" xr:uid="{00000000-0005-0000-0000-0000AE130000}"/>
    <cellStyle name="Millares 5 7" xfId="4912" xr:uid="{00000000-0005-0000-0000-0000AF130000}"/>
    <cellStyle name="Millares 5 8" xfId="4913" xr:uid="{00000000-0005-0000-0000-0000B0130000}"/>
    <cellStyle name="Millares 5 9" xfId="4914" xr:uid="{00000000-0005-0000-0000-0000B1130000}"/>
    <cellStyle name="Millares 50" xfId="4915" xr:uid="{00000000-0005-0000-0000-0000B2130000}"/>
    <cellStyle name="Millares 50 2" xfId="4916" xr:uid="{00000000-0005-0000-0000-0000B3130000}"/>
    <cellStyle name="Millares 51" xfId="4917" xr:uid="{00000000-0005-0000-0000-0000B4130000}"/>
    <cellStyle name="Millares 51 2" xfId="4918" xr:uid="{00000000-0005-0000-0000-0000B5130000}"/>
    <cellStyle name="Millares 52" xfId="4919" xr:uid="{00000000-0005-0000-0000-0000B6130000}"/>
    <cellStyle name="Millares 53" xfId="4920" xr:uid="{00000000-0005-0000-0000-0000B7130000}"/>
    <cellStyle name="Millares 53 2" xfId="4921" xr:uid="{00000000-0005-0000-0000-0000B8130000}"/>
    <cellStyle name="Millares 54" xfId="4922" xr:uid="{00000000-0005-0000-0000-0000B9130000}"/>
    <cellStyle name="Millares 54 2" xfId="4923" xr:uid="{00000000-0005-0000-0000-0000BA130000}"/>
    <cellStyle name="Millares 55" xfId="4924" xr:uid="{00000000-0005-0000-0000-0000BB130000}"/>
    <cellStyle name="Millares 55 2" xfId="4925" xr:uid="{00000000-0005-0000-0000-0000BC130000}"/>
    <cellStyle name="Millares 56" xfId="4926" xr:uid="{00000000-0005-0000-0000-0000BD130000}"/>
    <cellStyle name="Millares 56 2" xfId="4927" xr:uid="{00000000-0005-0000-0000-0000BE130000}"/>
    <cellStyle name="Millares 57" xfId="4928" xr:uid="{00000000-0005-0000-0000-0000BF130000}"/>
    <cellStyle name="Millares 57 2" xfId="4929" xr:uid="{00000000-0005-0000-0000-0000C0130000}"/>
    <cellStyle name="Millares 58" xfId="4930" xr:uid="{00000000-0005-0000-0000-0000C1130000}"/>
    <cellStyle name="Millares 58 2" xfId="4931" xr:uid="{00000000-0005-0000-0000-0000C2130000}"/>
    <cellStyle name="Millares 59" xfId="4932" xr:uid="{00000000-0005-0000-0000-0000C3130000}"/>
    <cellStyle name="Millares 6" xfId="4933" xr:uid="{00000000-0005-0000-0000-0000C4130000}"/>
    <cellStyle name="Millares 6 10" xfId="4934" xr:uid="{00000000-0005-0000-0000-0000C5130000}"/>
    <cellStyle name="Millares 6 11" xfId="4935" xr:uid="{00000000-0005-0000-0000-0000C6130000}"/>
    <cellStyle name="Millares 6 12" xfId="4936" xr:uid="{00000000-0005-0000-0000-0000C7130000}"/>
    <cellStyle name="Millares 6 13" xfId="4937" xr:uid="{00000000-0005-0000-0000-0000C8130000}"/>
    <cellStyle name="Millares 6 14" xfId="4938" xr:uid="{00000000-0005-0000-0000-0000C9130000}"/>
    <cellStyle name="Millares 6 15" xfId="4939" xr:uid="{00000000-0005-0000-0000-0000CA130000}"/>
    <cellStyle name="Millares 6 16" xfId="4940" xr:uid="{00000000-0005-0000-0000-0000CB130000}"/>
    <cellStyle name="Millares 6 17" xfId="4941" xr:uid="{00000000-0005-0000-0000-0000CC130000}"/>
    <cellStyle name="Millares 6 18" xfId="4942" xr:uid="{00000000-0005-0000-0000-0000CD130000}"/>
    <cellStyle name="Millares 6 19" xfId="4943" xr:uid="{00000000-0005-0000-0000-0000CE130000}"/>
    <cellStyle name="Millares 6 2" xfId="4944" xr:uid="{00000000-0005-0000-0000-0000CF130000}"/>
    <cellStyle name="Millares 6 2 2" xfId="4945" xr:uid="{00000000-0005-0000-0000-0000D0130000}"/>
    <cellStyle name="Millares 6 20" xfId="4946" xr:uid="{00000000-0005-0000-0000-0000D1130000}"/>
    <cellStyle name="Millares 6 21" xfId="4947" xr:uid="{00000000-0005-0000-0000-0000D2130000}"/>
    <cellStyle name="Millares 6 22" xfId="4948" xr:uid="{00000000-0005-0000-0000-0000D3130000}"/>
    <cellStyle name="Millares 6 23" xfId="4949" xr:uid="{00000000-0005-0000-0000-0000D4130000}"/>
    <cellStyle name="Millares 6 24" xfId="4950" xr:uid="{00000000-0005-0000-0000-0000D5130000}"/>
    <cellStyle name="Millares 6 25" xfId="4951" xr:uid="{00000000-0005-0000-0000-0000D6130000}"/>
    <cellStyle name="Millares 6 26" xfId="4952" xr:uid="{00000000-0005-0000-0000-0000D7130000}"/>
    <cellStyle name="Millares 6 27" xfId="4953" xr:uid="{00000000-0005-0000-0000-0000D8130000}"/>
    <cellStyle name="Millares 6 28" xfId="4954" xr:uid="{00000000-0005-0000-0000-0000D9130000}"/>
    <cellStyle name="Millares 6 29" xfId="4955" xr:uid="{00000000-0005-0000-0000-0000DA130000}"/>
    <cellStyle name="Millares 6 3" xfId="4956" xr:uid="{00000000-0005-0000-0000-0000DB130000}"/>
    <cellStyle name="Millares 6 3 2" xfId="4957" xr:uid="{00000000-0005-0000-0000-0000DC130000}"/>
    <cellStyle name="Millares 6 30" xfId="4958" xr:uid="{00000000-0005-0000-0000-0000DD130000}"/>
    <cellStyle name="Millares 6 31" xfId="4959" xr:uid="{00000000-0005-0000-0000-0000DE130000}"/>
    <cellStyle name="Millares 6 4" xfId="4960" xr:uid="{00000000-0005-0000-0000-0000DF130000}"/>
    <cellStyle name="Millares 6 5" xfId="4961" xr:uid="{00000000-0005-0000-0000-0000E0130000}"/>
    <cellStyle name="Millares 6 6" xfId="4962" xr:uid="{00000000-0005-0000-0000-0000E1130000}"/>
    <cellStyle name="Millares 6 7" xfId="4963" xr:uid="{00000000-0005-0000-0000-0000E2130000}"/>
    <cellStyle name="Millares 6 8" xfId="4964" xr:uid="{00000000-0005-0000-0000-0000E3130000}"/>
    <cellStyle name="Millares 6 9" xfId="4965" xr:uid="{00000000-0005-0000-0000-0000E4130000}"/>
    <cellStyle name="Millares 60" xfId="4966" xr:uid="{00000000-0005-0000-0000-0000E5130000}"/>
    <cellStyle name="Millares 61" xfId="4967" xr:uid="{00000000-0005-0000-0000-0000E6130000}"/>
    <cellStyle name="Millares 62" xfId="4968" xr:uid="{00000000-0005-0000-0000-0000E7130000}"/>
    <cellStyle name="Millares 63" xfId="4969" xr:uid="{00000000-0005-0000-0000-0000E8130000}"/>
    <cellStyle name="Millares 64" xfId="4970" xr:uid="{00000000-0005-0000-0000-0000E9130000}"/>
    <cellStyle name="Millares 65" xfId="4971" xr:uid="{00000000-0005-0000-0000-0000EA130000}"/>
    <cellStyle name="Millares 66" xfId="4972" xr:uid="{00000000-0005-0000-0000-0000EB130000}"/>
    <cellStyle name="Millares 67" xfId="4973" xr:uid="{00000000-0005-0000-0000-0000EC130000}"/>
    <cellStyle name="Millares 68" xfId="4974" xr:uid="{00000000-0005-0000-0000-0000ED130000}"/>
    <cellStyle name="Millares 69" xfId="4975" xr:uid="{00000000-0005-0000-0000-0000EE130000}"/>
    <cellStyle name="Millares 69 2" xfId="4976" xr:uid="{00000000-0005-0000-0000-0000EF130000}"/>
    <cellStyle name="Millares 7" xfId="4977" xr:uid="{00000000-0005-0000-0000-0000F0130000}"/>
    <cellStyle name="Millares 7 2" xfId="4978" xr:uid="{00000000-0005-0000-0000-0000F1130000}"/>
    <cellStyle name="Millares 7 3" xfId="4979" xr:uid="{00000000-0005-0000-0000-0000F2130000}"/>
    <cellStyle name="Millares 7 4" xfId="4980" xr:uid="{00000000-0005-0000-0000-0000F3130000}"/>
    <cellStyle name="Millares 70" xfId="4981" xr:uid="{00000000-0005-0000-0000-0000F4130000}"/>
    <cellStyle name="Millares 70 2" xfId="4982" xr:uid="{00000000-0005-0000-0000-0000F5130000}"/>
    <cellStyle name="Millares 71" xfId="4983" xr:uid="{00000000-0005-0000-0000-0000F6130000}"/>
    <cellStyle name="Millares 8" xfId="4984" xr:uid="{00000000-0005-0000-0000-0000F7130000}"/>
    <cellStyle name="Millares 8 2" xfId="4985" xr:uid="{00000000-0005-0000-0000-0000F8130000}"/>
    <cellStyle name="Millares 8 3" xfId="4986" xr:uid="{00000000-0005-0000-0000-0000F9130000}"/>
    <cellStyle name="Millares 8 4" xfId="4987" xr:uid="{00000000-0005-0000-0000-0000FA130000}"/>
    <cellStyle name="Millares 9" xfId="4988" xr:uid="{00000000-0005-0000-0000-0000FB130000}"/>
    <cellStyle name="Milliers [0]_AR1194" xfId="4989" xr:uid="{00000000-0005-0000-0000-0000FD130000}"/>
    <cellStyle name="Milliers_ " xfId="4990" xr:uid="{00000000-0005-0000-0000-0000FE130000}"/>
    <cellStyle name="million" xfId="4991" xr:uid="{00000000-0005-0000-0000-0000FF130000}"/>
    <cellStyle name="million [1]" xfId="4992" xr:uid="{00000000-0005-0000-0000-000000140000}"/>
    <cellStyle name="million_DCF" xfId="4993" xr:uid="{00000000-0005-0000-0000-000001140000}"/>
    <cellStyle name="millions" xfId="4994" xr:uid="{00000000-0005-0000-0000-000002140000}"/>
    <cellStyle name="Millones de COP" xfId="4995" xr:uid="{00000000-0005-0000-0000-000003140000}"/>
    <cellStyle name="min" xfId="4996" xr:uid="{00000000-0005-0000-0000-000004140000}"/>
    <cellStyle name="mine" xfId="4997" xr:uid="{00000000-0005-0000-0000-000005140000}"/>
    <cellStyle name="MLComma0" xfId="4998" xr:uid="{00000000-0005-0000-0000-000006140000}"/>
    <cellStyle name="MLDollar0" xfId="4999" xr:uid="{00000000-0005-0000-0000-000007140000}"/>
    <cellStyle name="MLEuro0" xfId="5000" xr:uid="{00000000-0005-0000-0000-000008140000}"/>
    <cellStyle name="MLHeaderSection" xfId="5001" xr:uid="{00000000-0005-0000-0000-000009140000}"/>
    <cellStyle name="MLHeaderSection 2" xfId="6614" xr:uid="{00000000-0005-0000-0000-00000A140000}"/>
    <cellStyle name="MLMultiple0" xfId="5002" xr:uid="{00000000-0005-0000-0000-00000B140000}"/>
    <cellStyle name="MLPercent0" xfId="5003" xr:uid="{00000000-0005-0000-0000-00000C140000}"/>
    <cellStyle name="MLPound0" xfId="5004" xr:uid="{00000000-0005-0000-0000-00000D140000}"/>
    <cellStyle name="MLYen0" xfId="5005" xr:uid="{00000000-0005-0000-0000-00000E140000}"/>
    <cellStyle name="Moneda" xfId="6634" builtinId="4"/>
    <cellStyle name="Moneda 10" xfId="6632" xr:uid="{F9D8EC93-938B-48E2-829E-07642C463094}"/>
    <cellStyle name="Moneda 2" xfId="5006" xr:uid="{00000000-0005-0000-0000-00000F140000}"/>
    <cellStyle name="Moneda 2 10" xfId="5007" xr:uid="{00000000-0005-0000-0000-000010140000}"/>
    <cellStyle name="Moneda 2 11" xfId="5008" xr:uid="{00000000-0005-0000-0000-000011140000}"/>
    <cellStyle name="Moneda 2 12" xfId="5009" xr:uid="{00000000-0005-0000-0000-000012140000}"/>
    <cellStyle name="Moneda 2 13" xfId="5010" xr:uid="{00000000-0005-0000-0000-000013140000}"/>
    <cellStyle name="Moneda 2 14" xfId="5011" xr:uid="{00000000-0005-0000-0000-000014140000}"/>
    <cellStyle name="Moneda 2 15" xfId="5012" xr:uid="{00000000-0005-0000-0000-000015140000}"/>
    <cellStyle name="Moneda 2 16" xfId="5013" xr:uid="{00000000-0005-0000-0000-000016140000}"/>
    <cellStyle name="Moneda 2 17" xfId="5014" xr:uid="{00000000-0005-0000-0000-000017140000}"/>
    <cellStyle name="Moneda 2 18" xfId="5015" xr:uid="{00000000-0005-0000-0000-000018140000}"/>
    <cellStyle name="Moneda 2 19" xfId="5016" xr:uid="{00000000-0005-0000-0000-000019140000}"/>
    <cellStyle name="Moneda 2 2" xfId="5017" xr:uid="{00000000-0005-0000-0000-00001A140000}"/>
    <cellStyle name="Moneda 2 2 2" xfId="5018" xr:uid="{00000000-0005-0000-0000-00001B140000}"/>
    <cellStyle name="Moneda 2 20" xfId="5019" xr:uid="{00000000-0005-0000-0000-00001C140000}"/>
    <cellStyle name="Moneda 2 21" xfId="5020" xr:uid="{00000000-0005-0000-0000-00001D140000}"/>
    <cellStyle name="Moneda 2 22" xfId="5021" xr:uid="{00000000-0005-0000-0000-00001E140000}"/>
    <cellStyle name="Moneda 2 23" xfId="5022" xr:uid="{00000000-0005-0000-0000-00001F140000}"/>
    <cellStyle name="Moneda 2 24" xfId="5023" xr:uid="{00000000-0005-0000-0000-000020140000}"/>
    <cellStyle name="Moneda 2 25" xfId="5024" xr:uid="{00000000-0005-0000-0000-000021140000}"/>
    <cellStyle name="Moneda 2 26" xfId="5025" xr:uid="{00000000-0005-0000-0000-000022140000}"/>
    <cellStyle name="Moneda 2 27" xfId="5026" xr:uid="{00000000-0005-0000-0000-000023140000}"/>
    <cellStyle name="Moneda 2 28" xfId="5027" xr:uid="{00000000-0005-0000-0000-000024140000}"/>
    <cellStyle name="Moneda 2 29" xfId="5028" xr:uid="{00000000-0005-0000-0000-000025140000}"/>
    <cellStyle name="Moneda 2 3" xfId="5029" xr:uid="{00000000-0005-0000-0000-000026140000}"/>
    <cellStyle name="Moneda 2 3 2" xfId="5030" xr:uid="{00000000-0005-0000-0000-000027140000}"/>
    <cellStyle name="Moneda 2 3 3" xfId="5031" xr:uid="{00000000-0005-0000-0000-000028140000}"/>
    <cellStyle name="Moneda 2 3 4" xfId="5032" xr:uid="{00000000-0005-0000-0000-000029140000}"/>
    <cellStyle name="Moneda 2 30" xfId="5033" xr:uid="{00000000-0005-0000-0000-00002A140000}"/>
    <cellStyle name="Moneda 2 31" xfId="5034" xr:uid="{00000000-0005-0000-0000-00002B140000}"/>
    <cellStyle name="Moneda 2 32" xfId="5035" xr:uid="{00000000-0005-0000-0000-00002C140000}"/>
    <cellStyle name="Moneda 2 33" xfId="5036" xr:uid="{00000000-0005-0000-0000-00002D140000}"/>
    <cellStyle name="Moneda 2 34" xfId="5037" xr:uid="{00000000-0005-0000-0000-00002E140000}"/>
    <cellStyle name="Moneda 2 4" xfId="5038" xr:uid="{00000000-0005-0000-0000-00002F140000}"/>
    <cellStyle name="Moneda 2 4 2" xfId="5039" xr:uid="{00000000-0005-0000-0000-000030140000}"/>
    <cellStyle name="Moneda 2 5" xfId="5040" xr:uid="{00000000-0005-0000-0000-000031140000}"/>
    <cellStyle name="Moneda 2 6" xfId="5041" xr:uid="{00000000-0005-0000-0000-000032140000}"/>
    <cellStyle name="Moneda 2 7" xfId="5042" xr:uid="{00000000-0005-0000-0000-000033140000}"/>
    <cellStyle name="Moneda 2 8" xfId="5043" xr:uid="{00000000-0005-0000-0000-000034140000}"/>
    <cellStyle name="Moneda 2 9" xfId="5044" xr:uid="{00000000-0005-0000-0000-000035140000}"/>
    <cellStyle name="Moneda 3" xfId="5045" xr:uid="{00000000-0005-0000-0000-000036140000}"/>
    <cellStyle name="Moneda 3 2" xfId="5046" xr:uid="{00000000-0005-0000-0000-000037140000}"/>
    <cellStyle name="Moneda 3 3" xfId="5047" xr:uid="{00000000-0005-0000-0000-000038140000}"/>
    <cellStyle name="Moneda 3 4" xfId="5048" xr:uid="{00000000-0005-0000-0000-000039140000}"/>
    <cellStyle name="Moneda 3 5" xfId="5049" xr:uid="{00000000-0005-0000-0000-00003A140000}"/>
    <cellStyle name="Moneda0" xfId="5050" xr:uid="{00000000-0005-0000-0000-00003B140000}"/>
    <cellStyle name="Monétaire [0]_AR1194" xfId="5051" xr:uid="{00000000-0005-0000-0000-00003C140000}"/>
    <cellStyle name="Monétaire_AR1194" xfId="5052" xr:uid="{00000000-0005-0000-0000-00003D140000}"/>
    <cellStyle name="Money" xfId="5053" xr:uid="{00000000-0005-0000-0000-00003E140000}"/>
    <cellStyle name="Money2" xfId="5054" xr:uid="{00000000-0005-0000-0000-00003F140000}"/>
    <cellStyle name="month" xfId="5055" xr:uid="{00000000-0005-0000-0000-000040140000}"/>
    <cellStyle name="months" xfId="5056" xr:uid="{00000000-0005-0000-0000-000041140000}"/>
    <cellStyle name="Morgan" xfId="5057" xr:uid="{00000000-0005-0000-0000-000042140000}"/>
    <cellStyle name="Mult" xfId="5058" xr:uid="{00000000-0005-0000-0000-000043140000}"/>
    <cellStyle name="multiple" xfId="5059" xr:uid="{00000000-0005-0000-0000-000044140000}"/>
    <cellStyle name="Multiple [0]" xfId="5060" xr:uid="{00000000-0005-0000-0000-000045140000}"/>
    <cellStyle name="Multiple [1]" xfId="5061" xr:uid="{00000000-0005-0000-0000-000046140000}"/>
    <cellStyle name="Multiple [2]" xfId="5062" xr:uid="{00000000-0005-0000-0000-000047140000}"/>
    <cellStyle name="multiple_~8324206" xfId="5063" xr:uid="{00000000-0005-0000-0000-000048140000}"/>
    <cellStyle name="Multiple0" xfId="5064" xr:uid="{00000000-0005-0000-0000-000049140000}"/>
    <cellStyle name="Multiple1" xfId="5065" xr:uid="{00000000-0005-0000-0000-00004A140000}"/>
    <cellStyle name="MultipleDouble" xfId="5066" xr:uid="{00000000-0005-0000-0000-00004B140000}"/>
    <cellStyle name="MultipleInput" xfId="5067" xr:uid="{00000000-0005-0000-0000-00004C140000}"/>
    <cellStyle name="Multiples1" xfId="5068" xr:uid="{00000000-0005-0000-0000-00004D140000}"/>
    <cellStyle name="MultipleType" xfId="5069" xr:uid="{00000000-0005-0000-0000-00004E140000}"/>
    <cellStyle name="mults" xfId="5070" xr:uid="{00000000-0005-0000-0000-00004F140000}"/>
    <cellStyle name="MW" xfId="5071" xr:uid="{00000000-0005-0000-0000-000050140000}"/>
    <cellStyle name="MWth" xfId="5072" xr:uid="{00000000-0005-0000-0000-000051140000}"/>
    <cellStyle name="n" xfId="5073" xr:uid="{00000000-0005-0000-0000-000052140000}"/>
    <cellStyle name="N_Eramet valuation_14.02.07_v12" xfId="5074" xr:uid="{00000000-0005-0000-0000-000053140000}"/>
    <cellStyle name="N_Eramet valuation_14.02.07_v12_Nuela Financial Summary Projections_06-26-09_v2" xfId="5075" xr:uid="{00000000-0005-0000-0000-000054140000}"/>
    <cellStyle name="n_mgcr1" xfId="5076" xr:uid="{00000000-0005-0000-0000-000055140000}"/>
    <cellStyle name="n0" xfId="5077" xr:uid="{00000000-0005-0000-0000-000056140000}"/>
    <cellStyle name="n1" xfId="5078" xr:uid="{00000000-0005-0000-0000-000057140000}"/>
    <cellStyle name="n2" xfId="5079" xr:uid="{00000000-0005-0000-0000-000058140000}"/>
    <cellStyle name="NA is zero" xfId="5080" xr:uid="{00000000-0005-0000-0000-000059140000}"/>
    <cellStyle name="Name" xfId="5081" xr:uid="{00000000-0005-0000-0000-00005A140000}"/>
    <cellStyle name="Neg" xfId="5082" xr:uid="{00000000-0005-0000-0000-00005B140000}"/>
    <cellStyle name="Neg [0]" xfId="5083" xr:uid="{00000000-0005-0000-0000-00005C140000}"/>
    <cellStyle name="neg0.0" xfId="5084" xr:uid="{00000000-0005-0000-0000-00005D140000}"/>
    <cellStyle name="Neutral 2" xfId="5085" xr:uid="{00000000-0005-0000-0000-00005E140000}"/>
    <cellStyle name="Neutral 2 2" xfId="5086" xr:uid="{00000000-0005-0000-0000-00005F140000}"/>
    <cellStyle name="Neutral 2 3" xfId="5087" xr:uid="{00000000-0005-0000-0000-000060140000}"/>
    <cellStyle name="Neutral 3" xfId="6491" xr:uid="{00000000-0005-0000-0000-000061140000}"/>
    <cellStyle name="New Forecast" xfId="5088" xr:uid="{00000000-0005-0000-0000-000062140000}"/>
    <cellStyle name="NewColumnHeaderNormal" xfId="5089" xr:uid="{00000000-0005-0000-0000-000063140000}"/>
    <cellStyle name="NewSectionHeaderNormal" xfId="5090" xr:uid="{00000000-0005-0000-0000-000064140000}"/>
    <cellStyle name="NewTitleNormal" xfId="5091" xr:uid="{00000000-0005-0000-0000-000065140000}"/>
    <cellStyle name="no dec" xfId="5092" xr:uid="{00000000-0005-0000-0000-000066140000}"/>
    <cellStyle name="No Decimal" xfId="5093" xr:uid="{00000000-0005-0000-0000-000067140000}"/>
    <cellStyle name="No Tiblink" xfId="5094" xr:uid="{00000000-0005-0000-0000-000068140000}"/>
    <cellStyle name="NoDecimal" xfId="5095" xr:uid="{00000000-0005-0000-0000-000069140000}"/>
    <cellStyle name="No-definido" xfId="5096" xr:uid="{00000000-0005-0000-0000-00006A140000}"/>
    <cellStyle name="Non défini" xfId="5097" xr:uid="{00000000-0005-0000-0000-00006B140000}"/>
    <cellStyle name="Norm" xfId="5098" xr:uid="{00000000-0005-0000-0000-00006C140000}"/>
    <cellStyle name="norma;l" xfId="5099" xr:uid="{00000000-0005-0000-0000-00006D140000}"/>
    <cellStyle name="Normal" xfId="0" builtinId="0"/>
    <cellStyle name="Normal'" xfId="5100" xr:uid="{00000000-0005-0000-0000-00006F140000}"/>
    <cellStyle name="Normal--" xfId="5101" xr:uid="{00000000-0005-0000-0000-000070140000}"/>
    <cellStyle name="Normal - Style1" xfId="5102" xr:uid="{00000000-0005-0000-0000-000071140000}"/>
    <cellStyle name="Normal (no,)" xfId="5103" xr:uid="{00000000-0005-0000-0000-000072140000}"/>
    <cellStyle name="Normal [#]" xfId="5104" xr:uid="{00000000-0005-0000-0000-000073140000}"/>
    <cellStyle name="Normal [%]" xfId="5105" xr:uid="{00000000-0005-0000-0000-000074140000}"/>
    <cellStyle name="Normal [0]" xfId="5106" xr:uid="{00000000-0005-0000-0000-000075140000}"/>
    <cellStyle name="Normal [00]" xfId="5107" xr:uid="{00000000-0005-0000-0000-000076140000}"/>
    <cellStyle name="Normal [1]" xfId="5108" xr:uid="{00000000-0005-0000-0000-000077140000}"/>
    <cellStyle name="Normal [2]" xfId="5109" xr:uid="{00000000-0005-0000-0000-000078140000}"/>
    <cellStyle name="Normal [3]" xfId="5110" xr:uid="{00000000-0005-0000-0000-000079140000}"/>
    <cellStyle name="Normal [x]" xfId="5111" xr:uid="{00000000-0005-0000-0000-00007A140000}"/>
    <cellStyle name="Normal 10" xfId="5112" xr:uid="{00000000-0005-0000-0000-00007B140000}"/>
    <cellStyle name="Normal 10 10" xfId="5113" xr:uid="{00000000-0005-0000-0000-00007C140000}"/>
    <cellStyle name="Normal 10 11" xfId="5114" xr:uid="{00000000-0005-0000-0000-00007D140000}"/>
    <cellStyle name="Normal 10 12" xfId="5115" xr:uid="{00000000-0005-0000-0000-00007E140000}"/>
    <cellStyle name="Normal 10 13" xfId="5116" xr:uid="{00000000-0005-0000-0000-00007F140000}"/>
    <cellStyle name="Normal 10 14" xfId="5117" xr:uid="{00000000-0005-0000-0000-000080140000}"/>
    <cellStyle name="Normal 10 15" xfId="5118" xr:uid="{00000000-0005-0000-0000-000081140000}"/>
    <cellStyle name="Normal 10 16" xfId="5119" xr:uid="{00000000-0005-0000-0000-000082140000}"/>
    <cellStyle name="Normal 10 17" xfId="5120" xr:uid="{00000000-0005-0000-0000-000083140000}"/>
    <cellStyle name="Normal 10 18" xfId="5121" xr:uid="{00000000-0005-0000-0000-000084140000}"/>
    <cellStyle name="Normal 10 19" xfId="5122" xr:uid="{00000000-0005-0000-0000-000085140000}"/>
    <cellStyle name="Normal 10 2" xfId="5123" xr:uid="{00000000-0005-0000-0000-000086140000}"/>
    <cellStyle name="Normal 10 2 2" xfId="5124" xr:uid="{00000000-0005-0000-0000-000087140000}"/>
    <cellStyle name="Normal 10 20" xfId="5125" xr:uid="{00000000-0005-0000-0000-000088140000}"/>
    <cellStyle name="Normal 10 21" xfId="5126" xr:uid="{00000000-0005-0000-0000-000089140000}"/>
    <cellStyle name="Normal 10 22" xfId="5127" xr:uid="{00000000-0005-0000-0000-00008A140000}"/>
    <cellStyle name="Normal 10 23" xfId="5128" xr:uid="{00000000-0005-0000-0000-00008B140000}"/>
    <cellStyle name="Normal 10 24" xfId="5129" xr:uid="{00000000-0005-0000-0000-00008C140000}"/>
    <cellStyle name="Normal 10 25" xfId="5130" xr:uid="{00000000-0005-0000-0000-00008D140000}"/>
    <cellStyle name="Normal 10 26" xfId="5131" xr:uid="{00000000-0005-0000-0000-00008E140000}"/>
    <cellStyle name="Normal 10 27" xfId="5132" xr:uid="{00000000-0005-0000-0000-00008F140000}"/>
    <cellStyle name="Normal 10 28" xfId="5133" xr:uid="{00000000-0005-0000-0000-000090140000}"/>
    <cellStyle name="Normal 10 29" xfId="5134" xr:uid="{00000000-0005-0000-0000-000091140000}"/>
    <cellStyle name="Normal 10 3" xfId="5135" xr:uid="{00000000-0005-0000-0000-000092140000}"/>
    <cellStyle name="Normal 10 30" xfId="5136" xr:uid="{00000000-0005-0000-0000-000093140000}"/>
    <cellStyle name="Normal 10 31" xfId="5137" xr:uid="{00000000-0005-0000-0000-000094140000}"/>
    <cellStyle name="Normal 10 4" xfId="5138" xr:uid="{00000000-0005-0000-0000-000095140000}"/>
    <cellStyle name="Normal 10 5" xfId="5139" xr:uid="{00000000-0005-0000-0000-000096140000}"/>
    <cellStyle name="Normal 10 6" xfId="5140" xr:uid="{00000000-0005-0000-0000-000097140000}"/>
    <cellStyle name="Normal 10 7" xfId="5141" xr:uid="{00000000-0005-0000-0000-000098140000}"/>
    <cellStyle name="Normal 10 8" xfId="5142" xr:uid="{00000000-0005-0000-0000-000099140000}"/>
    <cellStyle name="Normal 10 9" xfId="5143" xr:uid="{00000000-0005-0000-0000-00009A140000}"/>
    <cellStyle name="Normal 11" xfId="5144" xr:uid="{00000000-0005-0000-0000-00009B140000}"/>
    <cellStyle name="Normal 11 10" xfId="5145" xr:uid="{00000000-0005-0000-0000-00009C140000}"/>
    <cellStyle name="Normal 11 11" xfId="5146" xr:uid="{00000000-0005-0000-0000-00009D140000}"/>
    <cellStyle name="Normal 11 12" xfId="5147" xr:uid="{00000000-0005-0000-0000-00009E140000}"/>
    <cellStyle name="Normal 11 13" xfId="5148" xr:uid="{00000000-0005-0000-0000-00009F140000}"/>
    <cellStyle name="Normal 11 14" xfId="5149" xr:uid="{00000000-0005-0000-0000-0000A0140000}"/>
    <cellStyle name="Normal 11 15" xfId="5150" xr:uid="{00000000-0005-0000-0000-0000A1140000}"/>
    <cellStyle name="Normal 11 16" xfId="5151" xr:uid="{00000000-0005-0000-0000-0000A2140000}"/>
    <cellStyle name="Normal 11 17" xfId="5152" xr:uid="{00000000-0005-0000-0000-0000A3140000}"/>
    <cellStyle name="Normal 11 18" xfId="5153" xr:uid="{00000000-0005-0000-0000-0000A4140000}"/>
    <cellStyle name="Normal 11 19" xfId="5154" xr:uid="{00000000-0005-0000-0000-0000A5140000}"/>
    <cellStyle name="Normal 11 2" xfId="5155" xr:uid="{00000000-0005-0000-0000-0000A6140000}"/>
    <cellStyle name="Normal 11 20" xfId="5156" xr:uid="{00000000-0005-0000-0000-0000A7140000}"/>
    <cellStyle name="Normal 11 21" xfId="5157" xr:uid="{00000000-0005-0000-0000-0000A8140000}"/>
    <cellStyle name="Normal 11 22" xfId="5158" xr:uid="{00000000-0005-0000-0000-0000A9140000}"/>
    <cellStyle name="Normal 11 23" xfId="5159" xr:uid="{00000000-0005-0000-0000-0000AA140000}"/>
    <cellStyle name="Normal 11 24" xfId="5160" xr:uid="{00000000-0005-0000-0000-0000AB140000}"/>
    <cellStyle name="Normal 11 25" xfId="5161" xr:uid="{00000000-0005-0000-0000-0000AC140000}"/>
    <cellStyle name="Normal 11 26" xfId="5162" xr:uid="{00000000-0005-0000-0000-0000AD140000}"/>
    <cellStyle name="Normal 11 27" xfId="5163" xr:uid="{00000000-0005-0000-0000-0000AE140000}"/>
    <cellStyle name="Normal 11 28" xfId="5164" xr:uid="{00000000-0005-0000-0000-0000AF140000}"/>
    <cellStyle name="Normal 11 29" xfId="5165" xr:uid="{00000000-0005-0000-0000-0000B0140000}"/>
    <cellStyle name="Normal 11 3" xfId="5166" xr:uid="{00000000-0005-0000-0000-0000B1140000}"/>
    <cellStyle name="Normal 11 30" xfId="5167" xr:uid="{00000000-0005-0000-0000-0000B2140000}"/>
    <cellStyle name="Normal 11 31" xfId="5168" xr:uid="{00000000-0005-0000-0000-0000B3140000}"/>
    <cellStyle name="Normal 11 32" xfId="5169" xr:uid="{00000000-0005-0000-0000-0000B4140000}"/>
    <cellStyle name="Normal 11 33" xfId="5170" xr:uid="{00000000-0005-0000-0000-0000B5140000}"/>
    <cellStyle name="Normal 11 34" xfId="5171" xr:uid="{00000000-0005-0000-0000-0000B6140000}"/>
    <cellStyle name="Normal 11 35" xfId="5172" xr:uid="{00000000-0005-0000-0000-0000B7140000}"/>
    <cellStyle name="Normal 11 36" xfId="5173" xr:uid="{00000000-0005-0000-0000-0000B8140000}"/>
    <cellStyle name="Normal 11 37" xfId="5174" xr:uid="{00000000-0005-0000-0000-0000B9140000}"/>
    <cellStyle name="Normal 11 38" xfId="5175" xr:uid="{00000000-0005-0000-0000-0000BA140000}"/>
    <cellStyle name="Normal 11 39" xfId="5176" xr:uid="{00000000-0005-0000-0000-0000BB140000}"/>
    <cellStyle name="Normal 11 4" xfId="5177" xr:uid="{00000000-0005-0000-0000-0000BC140000}"/>
    <cellStyle name="Normal 11 40" xfId="5178" xr:uid="{00000000-0005-0000-0000-0000BD140000}"/>
    <cellStyle name="Normal 11 41" xfId="5179" xr:uid="{00000000-0005-0000-0000-0000BE140000}"/>
    <cellStyle name="Normal 11 42" xfId="5180" xr:uid="{00000000-0005-0000-0000-0000BF140000}"/>
    <cellStyle name="Normal 11 43" xfId="5181" xr:uid="{00000000-0005-0000-0000-0000C0140000}"/>
    <cellStyle name="Normal 11 44" xfId="5182" xr:uid="{00000000-0005-0000-0000-0000C1140000}"/>
    <cellStyle name="Normal 11 45" xfId="5183" xr:uid="{00000000-0005-0000-0000-0000C2140000}"/>
    <cellStyle name="Normal 11 46" xfId="5184" xr:uid="{00000000-0005-0000-0000-0000C3140000}"/>
    <cellStyle name="Normal 11 47" xfId="5185" xr:uid="{00000000-0005-0000-0000-0000C4140000}"/>
    <cellStyle name="Normal 11 48" xfId="5186" xr:uid="{00000000-0005-0000-0000-0000C5140000}"/>
    <cellStyle name="Normal 11 49" xfId="5187" xr:uid="{00000000-0005-0000-0000-0000C6140000}"/>
    <cellStyle name="Normal 11 5" xfId="5188" xr:uid="{00000000-0005-0000-0000-0000C7140000}"/>
    <cellStyle name="Normal 11 50" xfId="5189" xr:uid="{00000000-0005-0000-0000-0000C8140000}"/>
    <cellStyle name="Normal 11 51" xfId="5190" xr:uid="{00000000-0005-0000-0000-0000C9140000}"/>
    <cellStyle name="Normal 11 52" xfId="5191" xr:uid="{00000000-0005-0000-0000-0000CA140000}"/>
    <cellStyle name="Normal 11 53" xfId="5192" xr:uid="{00000000-0005-0000-0000-0000CB140000}"/>
    <cellStyle name="Normal 11 6" xfId="5193" xr:uid="{00000000-0005-0000-0000-0000CC140000}"/>
    <cellStyle name="Normal 11 7" xfId="5194" xr:uid="{00000000-0005-0000-0000-0000CD140000}"/>
    <cellStyle name="Normal 11 8" xfId="5195" xr:uid="{00000000-0005-0000-0000-0000CE140000}"/>
    <cellStyle name="Normal 11 9" xfId="5196" xr:uid="{00000000-0005-0000-0000-0000CF140000}"/>
    <cellStyle name="Normal 12" xfId="5197" xr:uid="{00000000-0005-0000-0000-0000D0140000}"/>
    <cellStyle name="Normal 12 10" xfId="5198" xr:uid="{00000000-0005-0000-0000-0000D1140000}"/>
    <cellStyle name="Normal 12 11" xfId="5199" xr:uid="{00000000-0005-0000-0000-0000D2140000}"/>
    <cellStyle name="Normal 12 12" xfId="5200" xr:uid="{00000000-0005-0000-0000-0000D3140000}"/>
    <cellStyle name="Normal 12 13" xfId="5201" xr:uid="{00000000-0005-0000-0000-0000D4140000}"/>
    <cellStyle name="Normal 12 14" xfId="5202" xr:uid="{00000000-0005-0000-0000-0000D5140000}"/>
    <cellStyle name="Normal 12 15" xfId="5203" xr:uid="{00000000-0005-0000-0000-0000D6140000}"/>
    <cellStyle name="Normal 12 16" xfId="5204" xr:uid="{00000000-0005-0000-0000-0000D7140000}"/>
    <cellStyle name="Normal 12 17" xfId="5205" xr:uid="{00000000-0005-0000-0000-0000D8140000}"/>
    <cellStyle name="Normal 12 18" xfId="5206" xr:uid="{00000000-0005-0000-0000-0000D9140000}"/>
    <cellStyle name="Normal 12 19" xfId="5207" xr:uid="{00000000-0005-0000-0000-0000DA140000}"/>
    <cellStyle name="Normal 12 2" xfId="5208" xr:uid="{00000000-0005-0000-0000-0000DB140000}"/>
    <cellStyle name="Normal 12 20" xfId="5209" xr:uid="{00000000-0005-0000-0000-0000DC140000}"/>
    <cellStyle name="Normal 12 21" xfId="5210" xr:uid="{00000000-0005-0000-0000-0000DD140000}"/>
    <cellStyle name="Normal 12 22" xfId="5211" xr:uid="{00000000-0005-0000-0000-0000DE140000}"/>
    <cellStyle name="Normal 12 23" xfId="5212" xr:uid="{00000000-0005-0000-0000-0000DF140000}"/>
    <cellStyle name="Normal 12 24" xfId="5213" xr:uid="{00000000-0005-0000-0000-0000E0140000}"/>
    <cellStyle name="Normal 12 25" xfId="5214" xr:uid="{00000000-0005-0000-0000-0000E1140000}"/>
    <cellStyle name="Normal 12 26" xfId="5215" xr:uid="{00000000-0005-0000-0000-0000E2140000}"/>
    <cellStyle name="Normal 12 27" xfId="5216" xr:uid="{00000000-0005-0000-0000-0000E3140000}"/>
    <cellStyle name="Normal 12 28" xfId="5217" xr:uid="{00000000-0005-0000-0000-0000E4140000}"/>
    <cellStyle name="Normal 12 29" xfId="5218" xr:uid="{00000000-0005-0000-0000-0000E5140000}"/>
    <cellStyle name="Normal 12 3" xfId="5219" xr:uid="{00000000-0005-0000-0000-0000E6140000}"/>
    <cellStyle name="Normal 12 30" xfId="5220" xr:uid="{00000000-0005-0000-0000-0000E7140000}"/>
    <cellStyle name="Normal 12 31" xfId="5221" xr:uid="{00000000-0005-0000-0000-0000E8140000}"/>
    <cellStyle name="Normal 12 32" xfId="5222" xr:uid="{00000000-0005-0000-0000-0000E9140000}"/>
    <cellStyle name="Normal 12 33" xfId="5223" xr:uid="{00000000-0005-0000-0000-0000EA140000}"/>
    <cellStyle name="Normal 12 34" xfId="5224" xr:uid="{00000000-0005-0000-0000-0000EB140000}"/>
    <cellStyle name="Normal 12 35" xfId="5225" xr:uid="{00000000-0005-0000-0000-0000EC140000}"/>
    <cellStyle name="Normal 12 36" xfId="5226" xr:uid="{00000000-0005-0000-0000-0000ED140000}"/>
    <cellStyle name="Normal 12 37" xfId="5227" xr:uid="{00000000-0005-0000-0000-0000EE140000}"/>
    <cellStyle name="Normal 12 38" xfId="5228" xr:uid="{00000000-0005-0000-0000-0000EF140000}"/>
    <cellStyle name="Normal 12 39" xfId="5229" xr:uid="{00000000-0005-0000-0000-0000F0140000}"/>
    <cellStyle name="Normal 12 4" xfId="5230" xr:uid="{00000000-0005-0000-0000-0000F1140000}"/>
    <cellStyle name="Normal 12 40" xfId="5231" xr:uid="{00000000-0005-0000-0000-0000F2140000}"/>
    <cellStyle name="Normal 12 41" xfId="5232" xr:uid="{00000000-0005-0000-0000-0000F3140000}"/>
    <cellStyle name="Normal 12 42" xfId="5233" xr:uid="{00000000-0005-0000-0000-0000F4140000}"/>
    <cellStyle name="Normal 12 43" xfId="5234" xr:uid="{00000000-0005-0000-0000-0000F5140000}"/>
    <cellStyle name="Normal 12 44" xfId="5235" xr:uid="{00000000-0005-0000-0000-0000F6140000}"/>
    <cellStyle name="Normal 12 45" xfId="5236" xr:uid="{00000000-0005-0000-0000-0000F7140000}"/>
    <cellStyle name="Normal 12 46" xfId="5237" xr:uid="{00000000-0005-0000-0000-0000F8140000}"/>
    <cellStyle name="Normal 12 47" xfId="5238" xr:uid="{00000000-0005-0000-0000-0000F9140000}"/>
    <cellStyle name="Normal 12 48" xfId="5239" xr:uid="{00000000-0005-0000-0000-0000FA140000}"/>
    <cellStyle name="Normal 12 49" xfId="5240" xr:uid="{00000000-0005-0000-0000-0000FB140000}"/>
    <cellStyle name="Normal 12 5" xfId="5241" xr:uid="{00000000-0005-0000-0000-0000FC140000}"/>
    <cellStyle name="Normal 12 50" xfId="5242" xr:uid="{00000000-0005-0000-0000-0000FD140000}"/>
    <cellStyle name="Normal 12 51" xfId="5243" xr:uid="{00000000-0005-0000-0000-0000FE140000}"/>
    <cellStyle name="Normal 12 52" xfId="5244" xr:uid="{00000000-0005-0000-0000-0000FF140000}"/>
    <cellStyle name="Normal 12 53" xfId="5245" xr:uid="{00000000-0005-0000-0000-000000150000}"/>
    <cellStyle name="Normal 12 6" xfId="5246" xr:uid="{00000000-0005-0000-0000-000001150000}"/>
    <cellStyle name="Normal 12 7" xfId="5247" xr:uid="{00000000-0005-0000-0000-000002150000}"/>
    <cellStyle name="Normal 12 8" xfId="5248" xr:uid="{00000000-0005-0000-0000-000003150000}"/>
    <cellStyle name="Normal 12 9" xfId="5249" xr:uid="{00000000-0005-0000-0000-000004150000}"/>
    <cellStyle name="Normal 13" xfId="5250" xr:uid="{00000000-0005-0000-0000-000005150000}"/>
    <cellStyle name="Normal 13 10" xfId="5251" xr:uid="{00000000-0005-0000-0000-000006150000}"/>
    <cellStyle name="Normal 13 11" xfId="5252" xr:uid="{00000000-0005-0000-0000-000007150000}"/>
    <cellStyle name="Normal 13 12" xfId="5253" xr:uid="{00000000-0005-0000-0000-000008150000}"/>
    <cellStyle name="Normal 13 13" xfId="5254" xr:uid="{00000000-0005-0000-0000-000009150000}"/>
    <cellStyle name="Normal 13 14" xfId="5255" xr:uid="{00000000-0005-0000-0000-00000A150000}"/>
    <cellStyle name="Normal 13 15" xfId="5256" xr:uid="{00000000-0005-0000-0000-00000B150000}"/>
    <cellStyle name="Normal 13 16" xfId="5257" xr:uid="{00000000-0005-0000-0000-00000C150000}"/>
    <cellStyle name="Normal 13 17" xfId="5258" xr:uid="{00000000-0005-0000-0000-00000D150000}"/>
    <cellStyle name="Normal 13 18" xfId="5259" xr:uid="{00000000-0005-0000-0000-00000E150000}"/>
    <cellStyle name="Normal 13 19" xfId="5260" xr:uid="{00000000-0005-0000-0000-00000F150000}"/>
    <cellStyle name="Normal 13 2" xfId="5261" xr:uid="{00000000-0005-0000-0000-000010150000}"/>
    <cellStyle name="Normal 13 20" xfId="5262" xr:uid="{00000000-0005-0000-0000-000011150000}"/>
    <cellStyle name="Normal 13 21" xfId="5263" xr:uid="{00000000-0005-0000-0000-000012150000}"/>
    <cellStyle name="Normal 13 22" xfId="5264" xr:uid="{00000000-0005-0000-0000-000013150000}"/>
    <cellStyle name="Normal 13 23" xfId="5265" xr:uid="{00000000-0005-0000-0000-000014150000}"/>
    <cellStyle name="Normal 13 24" xfId="5266" xr:uid="{00000000-0005-0000-0000-000015150000}"/>
    <cellStyle name="Normal 13 25" xfId="5267" xr:uid="{00000000-0005-0000-0000-000016150000}"/>
    <cellStyle name="Normal 13 26" xfId="5268" xr:uid="{00000000-0005-0000-0000-000017150000}"/>
    <cellStyle name="Normal 13 27" xfId="5269" xr:uid="{00000000-0005-0000-0000-000018150000}"/>
    <cellStyle name="Normal 13 28" xfId="5270" xr:uid="{00000000-0005-0000-0000-000019150000}"/>
    <cellStyle name="Normal 13 29" xfId="5271" xr:uid="{00000000-0005-0000-0000-00001A150000}"/>
    <cellStyle name="Normal 13 3" xfId="5272" xr:uid="{00000000-0005-0000-0000-00001B150000}"/>
    <cellStyle name="Normal 13 30" xfId="5273" xr:uid="{00000000-0005-0000-0000-00001C150000}"/>
    <cellStyle name="Normal 13 31" xfId="5274" xr:uid="{00000000-0005-0000-0000-00001D150000}"/>
    <cellStyle name="Normal 13 32" xfId="5275" xr:uid="{00000000-0005-0000-0000-00001E150000}"/>
    <cellStyle name="Normal 13 33" xfId="5276" xr:uid="{00000000-0005-0000-0000-00001F150000}"/>
    <cellStyle name="Normal 13 34" xfId="5277" xr:uid="{00000000-0005-0000-0000-000020150000}"/>
    <cellStyle name="Normal 13 35" xfId="5278" xr:uid="{00000000-0005-0000-0000-000021150000}"/>
    <cellStyle name="Normal 13 36" xfId="5279" xr:uid="{00000000-0005-0000-0000-000022150000}"/>
    <cellStyle name="Normal 13 37" xfId="5280" xr:uid="{00000000-0005-0000-0000-000023150000}"/>
    <cellStyle name="Normal 13 38" xfId="5281" xr:uid="{00000000-0005-0000-0000-000024150000}"/>
    <cellStyle name="Normal 13 39" xfId="5282" xr:uid="{00000000-0005-0000-0000-000025150000}"/>
    <cellStyle name="Normal 13 4" xfId="5283" xr:uid="{00000000-0005-0000-0000-000026150000}"/>
    <cellStyle name="Normal 13 40" xfId="5284" xr:uid="{00000000-0005-0000-0000-000027150000}"/>
    <cellStyle name="Normal 13 41" xfId="5285" xr:uid="{00000000-0005-0000-0000-000028150000}"/>
    <cellStyle name="Normal 13 42" xfId="5286" xr:uid="{00000000-0005-0000-0000-000029150000}"/>
    <cellStyle name="Normal 13 43" xfId="5287" xr:uid="{00000000-0005-0000-0000-00002A150000}"/>
    <cellStyle name="Normal 13 44" xfId="5288" xr:uid="{00000000-0005-0000-0000-00002B150000}"/>
    <cellStyle name="Normal 13 45" xfId="5289" xr:uid="{00000000-0005-0000-0000-00002C150000}"/>
    <cellStyle name="Normal 13 46" xfId="5290" xr:uid="{00000000-0005-0000-0000-00002D150000}"/>
    <cellStyle name="Normal 13 47" xfId="5291" xr:uid="{00000000-0005-0000-0000-00002E150000}"/>
    <cellStyle name="Normal 13 48" xfId="5292" xr:uid="{00000000-0005-0000-0000-00002F150000}"/>
    <cellStyle name="Normal 13 49" xfId="5293" xr:uid="{00000000-0005-0000-0000-000030150000}"/>
    <cellStyle name="Normal 13 5" xfId="5294" xr:uid="{00000000-0005-0000-0000-000031150000}"/>
    <cellStyle name="Normal 13 50" xfId="5295" xr:uid="{00000000-0005-0000-0000-000032150000}"/>
    <cellStyle name="Normal 13 51" xfId="5296" xr:uid="{00000000-0005-0000-0000-000033150000}"/>
    <cellStyle name="Normal 13 52" xfId="5297" xr:uid="{00000000-0005-0000-0000-000034150000}"/>
    <cellStyle name="Normal 13 53" xfId="5298" xr:uid="{00000000-0005-0000-0000-000035150000}"/>
    <cellStyle name="Normal 13 6" xfId="5299" xr:uid="{00000000-0005-0000-0000-000036150000}"/>
    <cellStyle name="Normal 13 7" xfId="5300" xr:uid="{00000000-0005-0000-0000-000037150000}"/>
    <cellStyle name="Normal 13 8" xfId="5301" xr:uid="{00000000-0005-0000-0000-000038150000}"/>
    <cellStyle name="Normal 13 9" xfId="5302" xr:uid="{00000000-0005-0000-0000-000039150000}"/>
    <cellStyle name="Normal 14" xfId="5303" xr:uid="{00000000-0005-0000-0000-00003A150000}"/>
    <cellStyle name="Normal 14 10" xfId="5304" xr:uid="{00000000-0005-0000-0000-00003B150000}"/>
    <cellStyle name="Normal 14 11" xfId="5305" xr:uid="{00000000-0005-0000-0000-00003C150000}"/>
    <cellStyle name="Normal 14 12" xfId="5306" xr:uid="{00000000-0005-0000-0000-00003D150000}"/>
    <cellStyle name="Normal 14 13" xfId="5307" xr:uid="{00000000-0005-0000-0000-00003E150000}"/>
    <cellStyle name="Normal 14 14" xfId="5308" xr:uid="{00000000-0005-0000-0000-00003F150000}"/>
    <cellStyle name="Normal 14 15" xfId="5309" xr:uid="{00000000-0005-0000-0000-000040150000}"/>
    <cellStyle name="Normal 14 16" xfId="5310" xr:uid="{00000000-0005-0000-0000-000041150000}"/>
    <cellStyle name="Normal 14 17" xfId="5311" xr:uid="{00000000-0005-0000-0000-000042150000}"/>
    <cellStyle name="Normal 14 18" xfId="5312" xr:uid="{00000000-0005-0000-0000-000043150000}"/>
    <cellStyle name="Normal 14 19" xfId="5313" xr:uid="{00000000-0005-0000-0000-000044150000}"/>
    <cellStyle name="Normal 14 2" xfId="5314" xr:uid="{00000000-0005-0000-0000-000045150000}"/>
    <cellStyle name="Normal 14 20" xfId="5315" xr:uid="{00000000-0005-0000-0000-000046150000}"/>
    <cellStyle name="Normal 14 21" xfId="5316" xr:uid="{00000000-0005-0000-0000-000047150000}"/>
    <cellStyle name="Normal 14 22" xfId="5317" xr:uid="{00000000-0005-0000-0000-000048150000}"/>
    <cellStyle name="Normal 14 23" xfId="5318" xr:uid="{00000000-0005-0000-0000-000049150000}"/>
    <cellStyle name="Normal 14 3" xfId="5319" xr:uid="{00000000-0005-0000-0000-00004A150000}"/>
    <cellStyle name="Normal 14 4" xfId="5320" xr:uid="{00000000-0005-0000-0000-00004B150000}"/>
    <cellStyle name="Normal 14 5" xfId="5321" xr:uid="{00000000-0005-0000-0000-00004C150000}"/>
    <cellStyle name="Normal 14 6" xfId="5322" xr:uid="{00000000-0005-0000-0000-00004D150000}"/>
    <cellStyle name="Normal 14 7" xfId="5323" xr:uid="{00000000-0005-0000-0000-00004E150000}"/>
    <cellStyle name="Normal 14 8" xfId="5324" xr:uid="{00000000-0005-0000-0000-00004F150000}"/>
    <cellStyle name="Normal 14 9" xfId="5325" xr:uid="{00000000-0005-0000-0000-000050150000}"/>
    <cellStyle name="Normal 15" xfId="5326" xr:uid="{00000000-0005-0000-0000-000051150000}"/>
    <cellStyle name="Normal 15 2" xfId="5327" xr:uid="{00000000-0005-0000-0000-000052150000}"/>
    <cellStyle name="Normal 15 3" xfId="5328" xr:uid="{00000000-0005-0000-0000-000053150000}"/>
    <cellStyle name="Normal 15 4" xfId="5329" xr:uid="{00000000-0005-0000-0000-000054150000}"/>
    <cellStyle name="Normal 16" xfId="5330" xr:uid="{00000000-0005-0000-0000-000055150000}"/>
    <cellStyle name="Normal 16 10" xfId="5331" xr:uid="{00000000-0005-0000-0000-000056150000}"/>
    <cellStyle name="Normal 16 11" xfId="5332" xr:uid="{00000000-0005-0000-0000-000057150000}"/>
    <cellStyle name="Normal 16 12" xfId="5333" xr:uid="{00000000-0005-0000-0000-000058150000}"/>
    <cellStyle name="Normal 16 13" xfId="5334" xr:uid="{00000000-0005-0000-0000-000059150000}"/>
    <cellStyle name="Normal 16 14" xfId="5335" xr:uid="{00000000-0005-0000-0000-00005A150000}"/>
    <cellStyle name="Normal 16 15" xfId="5336" xr:uid="{00000000-0005-0000-0000-00005B150000}"/>
    <cellStyle name="Normal 16 16" xfId="5337" xr:uid="{00000000-0005-0000-0000-00005C150000}"/>
    <cellStyle name="Normal 16 17" xfId="5338" xr:uid="{00000000-0005-0000-0000-00005D150000}"/>
    <cellStyle name="Normal 16 18" xfId="5339" xr:uid="{00000000-0005-0000-0000-00005E150000}"/>
    <cellStyle name="Normal 16 19" xfId="5340" xr:uid="{00000000-0005-0000-0000-00005F150000}"/>
    <cellStyle name="Normal 16 2" xfId="5341" xr:uid="{00000000-0005-0000-0000-000060150000}"/>
    <cellStyle name="Normal 16 20" xfId="5342" xr:uid="{00000000-0005-0000-0000-000061150000}"/>
    <cellStyle name="Normal 16 21" xfId="5343" xr:uid="{00000000-0005-0000-0000-000062150000}"/>
    <cellStyle name="Normal 16 22" xfId="5344" xr:uid="{00000000-0005-0000-0000-000063150000}"/>
    <cellStyle name="Normal 16 23" xfId="5345" xr:uid="{00000000-0005-0000-0000-000064150000}"/>
    <cellStyle name="Normal 16 3" xfId="5346" xr:uid="{00000000-0005-0000-0000-000065150000}"/>
    <cellStyle name="Normal 16 4" xfId="5347" xr:uid="{00000000-0005-0000-0000-000066150000}"/>
    <cellStyle name="Normal 16 5" xfId="5348" xr:uid="{00000000-0005-0000-0000-000067150000}"/>
    <cellStyle name="Normal 16 6" xfId="5349" xr:uid="{00000000-0005-0000-0000-000068150000}"/>
    <cellStyle name="Normal 16 7" xfId="5350" xr:uid="{00000000-0005-0000-0000-000069150000}"/>
    <cellStyle name="Normal 16 8" xfId="5351" xr:uid="{00000000-0005-0000-0000-00006A150000}"/>
    <cellStyle name="Normal 16 9" xfId="5352" xr:uid="{00000000-0005-0000-0000-00006B150000}"/>
    <cellStyle name="Normal 17" xfId="6615" xr:uid="{00000000-0005-0000-0000-00006C150000}"/>
    <cellStyle name="Normal 17 10" xfId="5353" xr:uid="{00000000-0005-0000-0000-00006D150000}"/>
    <cellStyle name="Normal 17 11" xfId="5354" xr:uid="{00000000-0005-0000-0000-00006E150000}"/>
    <cellStyle name="Normal 17 12" xfId="5355" xr:uid="{00000000-0005-0000-0000-00006F150000}"/>
    <cellStyle name="Normal 17 13" xfId="5356" xr:uid="{00000000-0005-0000-0000-000070150000}"/>
    <cellStyle name="Normal 17 14" xfId="5357" xr:uid="{00000000-0005-0000-0000-000071150000}"/>
    <cellStyle name="Normal 17 15" xfId="5358" xr:uid="{00000000-0005-0000-0000-000072150000}"/>
    <cellStyle name="Normal 17 16" xfId="5359" xr:uid="{00000000-0005-0000-0000-000073150000}"/>
    <cellStyle name="Normal 17 17" xfId="5360" xr:uid="{00000000-0005-0000-0000-000074150000}"/>
    <cellStyle name="Normal 17 18" xfId="5361" xr:uid="{00000000-0005-0000-0000-000075150000}"/>
    <cellStyle name="Normal 17 19" xfId="5362" xr:uid="{00000000-0005-0000-0000-000076150000}"/>
    <cellStyle name="Normal 17 2" xfId="5363" xr:uid="{00000000-0005-0000-0000-000077150000}"/>
    <cellStyle name="Normal 17 20" xfId="5364" xr:uid="{00000000-0005-0000-0000-000078150000}"/>
    <cellStyle name="Normal 17 21" xfId="5365" xr:uid="{00000000-0005-0000-0000-000079150000}"/>
    <cellStyle name="Normal 17 22" xfId="5366" xr:uid="{00000000-0005-0000-0000-00007A150000}"/>
    <cellStyle name="Normal 17 23" xfId="5367" xr:uid="{00000000-0005-0000-0000-00007B150000}"/>
    <cellStyle name="Normal 17 24" xfId="6616" xr:uid="{00000000-0005-0000-0000-00007C150000}"/>
    <cellStyle name="Normal 17 3" xfId="5368" xr:uid="{00000000-0005-0000-0000-00007D150000}"/>
    <cellStyle name="Normal 17 4" xfId="5369" xr:uid="{00000000-0005-0000-0000-00007E150000}"/>
    <cellStyle name="Normal 17 5" xfId="5370" xr:uid="{00000000-0005-0000-0000-00007F150000}"/>
    <cellStyle name="Normal 17 6" xfId="5371" xr:uid="{00000000-0005-0000-0000-000080150000}"/>
    <cellStyle name="Normal 17 7" xfId="5372" xr:uid="{00000000-0005-0000-0000-000081150000}"/>
    <cellStyle name="Normal 17 8" xfId="5373" xr:uid="{00000000-0005-0000-0000-000082150000}"/>
    <cellStyle name="Normal 17 9" xfId="5374" xr:uid="{00000000-0005-0000-0000-000083150000}"/>
    <cellStyle name="Normal 18 10" xfId="5375" xr:uid="{00000000-0005-0000-0000-000084150000}"/>
    <cellStyle name="Normal 18 11" xfId="5376" xr:uid="{00000000-0005-0000-0000-000085150000}"/>
    <cellStyle name="Normal 18 12" xfId="5377" xr:uid="{00000000-0005-0000-0000-000086150000}"/>
    <cellStyle name="Normal 18 13" xfId="5378" xr:uid="{00000000-0005-0000-0000-000087150000}"/>
    <cellStyle name="Normal 18 14" xfId="5379" xr:uid="{00000000-0005-0000-0000-000088150000}"/>
    <cellStyle name="Normal 18 15" xfId="5380" xr:uid="{00000000-0005-0000-0000-000089150000}"/>
    <cellStyle name="Normal 18 16" xfId="5381" xr:uid="{00000000-0005-0000-0000-00008A150000}"/>
    <cellStyle name="Normal 18 17" xfId="5382" xr:uid="{00000000-0005-0000-0000-00008B150000}"/>
    <cellStyle name="Normal 18 18" xfId="5383" xr:uid="{00000000-0005-0000-0000-00008C150000}"/>
    <cellStyle name="Normal 18 19" xfId="5384" xr:uid="{00000000-0005-0000-0000-00008D150000}"/>
    <cellStyle name="Normal 18 2" xfId="5385" xr:uid="{00000000-0005-0000-0000-00008E150000}"/>
    <cellStyle name="Normal 18 20" xfId="5386" xr:uid="{00000000-0005-0000-0000-00008F150000}"/>
    <cellStyle name="Normal 18 21" xfId="5387" xr:uid="{00000000-0005-0000-0000-000090150000}"/>
    <cellStyle name="Normal 18 22" xfId="5388" xr:uid="{00000000-0005-0000-0000-000091150000}"/>
    <cellStyle name="Normal 18 23" xfId="5389" xr:uid="{00000000-0005-0000-0000-000092150000}"/>
    <cellStyle name="Normal 18 3" xfId="5390" xr:uid="{00000000-0005-0000-0000-000093150000}"/>
    <cellStyle name="Normal 18 4" xfId="5391" xr:uid="{00000000-0005-0000-0000-000094150000}"/>
    <cellStyle name="Normal 18 5" xfId="5392" xr:uid="{00000000-0005-0000-0000-000095150000}"/>
    <cellStyle name="Normal 18 6" xfId="5393" xr:uid="{00000000-0005-0000-0000-000096150000}"/>
    <cellStyle name="Normal 18 7" xfId="5394" xr:uid="{00000000-0005-0000-0000-000097150000}"/>
    <cellStyle name="Normal 18 8" xfId="5395" xr:uid="{00000000-0005-0000-0000-000098150000}"/>
    <cellStyle name="Normal 18 9" xfId="5396" xr:uid="{00000000-0005-0000-0000-000099150000}"/>
    <cellStyle name="Normal 19 10" xfId="5397" xr:uid="{00000000-0005-0000-0000-00009A150000}"/>
    <cellStyle name="Normal 19 11" xfId="5398" xr:uid="{00000000-0005-0000-0000-00009B150000}"/>
    <cellStyle name="Normal 19 12" xfId="5399" xr:uid="{00000000-0005-0000-0000-00009C150000}"/>
    <cellStyle name="Normal 19 13" xfId="5400" xr:uid="{00000000-0005-0000-0000-00009D150000}"/>
    <cellStyle name="Normal 19 14" xfId="5401" xr:uid="{00000000-0005-0000-0000-00009E150000}"/>
    <cellStyle name="Normal 19 15" xfId="5402" xr:uid="{00000000-0005-0000-0000-00009F150000}"/>
    <cellStyle name="Normal 19 16" xfId="5403" xr:uid="{00000000-0005-0000-0000-0000A0150000}"/>
    <cellStyle name="Normal 19 17" xfId="5404" xr:uid="{00000000-0005-0000-0000-0000A1150000}"/>
    <cellStyle name="Normal 19 18" xfId="5405" xr:uid="{00000000-0005-0000-0000-0000A2150000}"/>
    <cellStyle name="Normal 19 19" xfId="5406" xr:uid="{00000000-0005-0000-0000-0000A3150000}"/>
    <cellStyle name="Normal 19 2" xfId="5407" xr:uid="{00000000-0005-0000-0000-0000A4150000}"/>
    <cellStyle name="Normal 19 20" xfId="5408" xr:uid="{00000000-0005-0000-0000-0000A5150000}"/>
    <cellStyle name="Normal 19 21" xfId="5409" xr:uid="{00000000-0005-0000-0000-0000A6150000}"/>
    <cellStyle name="Normal 19 22" xfId="5410" xr:uid="{00000000-0005-0000-0000-0000A7150000}"/>
    <cellStyle name="Normal 19 23" xfId="5411" xr:uid="{00000000-0005-0000-0000-0000A8150000}"/>
    <cellStyle name="Normal 19 3" xfId="5412" xr:uid="{00000000-0005-0000-0000-0000A9150000}"/>
    <cellStyle name="Normal 19 4" xfId="5413" xr:uid="{00000000-0005-0000-0000-0000AA150000}"/>
    <cellStyle name="Normal 19 5" xfId="5414" xr:uid="{00000000-0005-0000-0000-0000AB150000}"/>
    <cellStyle name="Normal 19 6" xfId="5415" xr:uid="{00000000-0005-0000-0000-0000AC150000}"/>
    <cellStyle name="Normal 19 7" xfId="5416" xr:uid="{00000000-0005-0000-0000-0000AD150000}"/>
    <cellStyle name="Normal 19 8" xfId="5417" xr:uid="{00000000-0005-0000-0000-0000AE150000}"/>
    <cellStyle name="Normal 19 9" xfId="5418" xr:uid="{00000000-0005-0000-0000-0000AF150000}"/>
    <cellStyle name="Normal 2" xfId="5419" xr:uid="{00000000-0005-0000-0000-0000B0150000}"/>
    <cellStyle name="Normal 2 10" xfId="5420" xr:uid="{00000000-0005-0000-0000-0000B1150000}"/>
    <cellStyle name="Normal 2 10 10" xfId="5421" xr:uid="{00000000-0005-0000-0000-0000B2150000}"/>
    <cellStyle name="Normal 2 10 11" xfId="5422" xr:uid="{00000000-0005-0000-0000-0000B3150000}"/>
    <cellStyle name="Normal 2 10 12" xfId="5423" xr:uid="{00000000-0005-0000-0000-0000B4150000}"/>
    <cellStyle name="Normal 2 10 13" xfId="5424" xr:uid="{00000000-0005-0000-0000-0000B5150000}"/>
    <cellStyle name="Normal 2 10 14" xfId="5425" xr:uid="{00000000-0005-0000-0000-0000B6150000}"/>
    <cellStyle name="Normal 2 10 15" xfId="5426" xr:uid="{00000000-0005-0000-0000-0000B7150000}"/>
    <cellStyle name="Normal 2 10 16" xfId="5427" xr:uid="{00000000-0005-0000-0000-0000B8150000}"/>
    <cellStyle name="Normal 2 10 17" xfId="5428" xr:uid="{00000000-0005-0000-0000-0000B9150000}"/>
    <cellStyle name="Normal 2 10 18" xfId="5429" xr:uid="{00000000-0005-0000-0000-0000BA150000}"/>
    <cellStyle name="Normal 2 10 19" xfId="5430" xr:uid="{00000000-0005-0000-0000-0000BB150000}"/>
    <cellStyle name="Normal 2 10 2" xfId="5431" xr:uid="{00000000-0005-0000-0000-0000BC150000}"/>
    <cellStyle name="Normal 2 10 20" xfId="5432" xr:uid="{00000000-0005-0000-0000-0000BD150000}"/>
    <cellStyle name="Normal 2 10 21" xfId="5433" xr:uid="{00000000-0005-0000-0000-0000BE150000}"/>
    <cellStyle name="Normal 2 10 22" xfId="5434" xr:uid="{00000000-0005-0000-0000-0000BF150000}"/>
    <cellStyle name="Normal 2 10 23" xfId="5435" xr:uid="{00000000-0005-0000-0000-0000C0150000}"/>
    <cellStyle name="Normal 2 10 24" xfId="5436" xr:uid="{00000000-0005-0000-0000-0000C1150000}"/>
    <cellStyle name="Normal 2 10 3" xfId="5437" xr:uid="{00000000-0005-0000-0000-0000C2150000}"/>
    <cellStyle name="Normal 2 10 4" xfId="5438" xr:uid="{00000000-0005-0000-0000-0000C3150000}"/>
    <cellStyle name="Normal 2 10 5" xfId="5439" xr:uid="{00000000-0005-0000-0000-0000C4150000}"/>
    <cellStyle name="Normal 2 10 6" xfId="5440" xr:uid="{00000000-0005-0000-0000-0000C5150000}"/>
    <cellStyle name="Normal 2 10 7" xfId="5441" xr:uid="{00000000-0005-0000-0000-0000C6150000}"/>
    <cellStyle name="Normal 2 10 8" xfId="5442" xr:uid="{00000000-0005-0000-0000-0000C7150000}"/>
    <cellStyle name="Normal 2 10 9" xfId="5443" xr:uid="{00000000-0005-0000-0000-0000C8150000}"/>
    <cellStyle name="Normal 2 11" xfId="5444" xr:uid="{00000000-0005-0000-0000-0000C9150000}"/>
    <cellStyle name="Normal 2 11 10" xfId="5445" xr:uid="{00000000-0005-0000-0000-0000CA150000}"/>
    <cellStyle name="Normal 2 11 11" xfId="5446" xr:uid="{00000000-0005-0000-0000-0000CB150000}"/>
    <cellStyle name="Normal 2 11 12" xfId="5447" xr:uid="{00000000-0005-0000-0000-0000CC150000}"/>
    <cellStyle name="Normal 2 11 13" xfId="5448" xr:uid="{00000000-0005-0000-0000-0000CD150000}"/>
    <cellStyle name="Normal 2 11 14" xfId="5449" xr:uid="{00000000-0005-0000-0000-0000CE150000}"/>
    <cellStyle name="Normal 2 11 15" xfId="5450" xr:uid="{00000000-0005-0000-0000-0000CF150000}"/>
    <cellStyle name="Normal 2 11 16" xfId="5451" xr:uid="{00000000-0005-0000-0000-0000D0150000}"/>
    <cellStyle name="Normal 2 11 17" xfId="5452" xr:uid="{00000000-0005-0000-0000-0000D1150000}"/>
    <cellStyle name="Normal 2 11 18" xfId="5453" xr:uid="{00000000-0005-0000-0000-0000D2150000}"/>
    <cellStyle name="Normal 2 11 19" xfId="5454" xr:uid="{00000000-0005-0000-0000-0000D3150000}"/>
    <cellStyle name="Normal 2 11 2" xfId="5455" xr:uid="{00000000-0005-0000-0000-0000D4150000}"/>
    <cellStyle name="Normal 2 11 20" xfId="5456" xr:uid="{00000000-0005-0000-0000-0000D5150000}"/>
    <cellStyle name="Normal 2 11 21" xfId="5457" xr:uid="{00000000-0005-0000-0000-0000D6150000}"/>
    <cellStyle name="Normal 2 11 22" xfId="5458" xr:uid="{00000000-0005-0000-0000-0000D7150000}"/>
    <cellStyle name="Normal 2 11 23" xfId="5459" xr:uid="{00000000-0005-0000-0000-0000D8150000}"/>
    <cellStyle name="Normal 2 11 3" xfId="5460" xr:uid="{00000000-0005-0000-0000-0000D9150000}"/>
    <cellStyle name="Normal 2 11 4" xfId="5461" xr:uid="{00000000-0005-0000-0000-0000DA150000}"/>
    <cellStyle name="Normal 2 11 5" xfId="5462" xr:uid="{00000000-0005-0000-0000-0000DB150000}"/>
    <cellStyle name="Normal 2 11 6" xfId="5463" xr:uid="{00000000-0005-0000-0000-0000DC150000}"/>
    <cellStyle name="Normal 2 11 7" xfId="5464" xr:uid="{00000000-0005-0000-0000-0000DD150000}"/>
    <cellStyle name="Normal 2 11 8" xfId="5465" xr:uid="{00000000-0005-0000-0000-0000DE150000}"/>
    <cellStyle name="Normal 2 11 9" xfId="5466" xr:uid="{00000000-0005-0000-0000-0000DF150000}"/>
    <cellStyle name="Normal 2 12" xfId="5467" xr:uid="{00000000-0005-0000-0000-0000E0150000}"/>
    <cellStyle name="Normal 2 12 10" xfId="5468" xr:uid="{00000000-0005-0000-0000-0000E1150000}"/>
    <cellStyle name="Normal 2 12 11" xfId="5469" xr:uid="{00000000-0005-0000-0000-0000E2150000}"/>
    <cellStyle name="Normal 2 12 12" xfId="5470" xr:uid="{00000000-0005-0000-0000-0000E3150000}"/>
    <cellStyle name="Normal 2 12 13" xfId="5471" xr:uid="{00000000-0005-0000-0000-0000E4150000}"/>
    <cellStyle name="Normal 2 12 14" xfId="5472" xr:uid="{00000000-0005-0000-0000-0000E5150000}"/>
    <cellStyle name="Normal 2 12 15" xfId="5473" xr:uid="{00000000-0005-0000-0000-0000E6150000}"/>
    <cellStyle name="Normal 2 12 16" xfId="5474" xr:uid="{00000000-0005-0000-0000-0000E7150000}"/>
    <cellStyle name="Normal 2 12 17" xfId="5475" xr:uid="{00000000-0005-0000-0000-0000E8150000}"/>
    <cellStyle name="Normal 2 12 18" xfId="5476" xr:uid="{00000000-0005-0000-0000-0000E9150000}"/>
    <cellStyle name="Normal 2 12 19" xfId="5477" xr:uid="{00000000-0005-0000-0000-0000EA150000}"/>
    <cellStyle name="Normal 2 12 2" xfId="5478" xr:uid="{00000000-0005-0000-0000-0000EB150000}"/>
    <cellStyle name="Normal 2 12 20" xfId="5479" xr:uid="{00000000-0005-0000-0000-0000EC150000}"/>
    <cellStyle name="Normal 2 12 21" xfId="5480" xr:uid="{00000000-0005-0000-0000-0000ED150000}"/>
    <cellStyle name="Normal 2 12 22" xfId="5481" xr:uid="{00000000-0005-0000-0000-0000EE150000}"/>
    <cellStyle name="Normal 2 12 23" xfId="5482" xr:uid="{00000000-0005-0000-0000-0000EF150000}"/>
    <cellStyle name="Normal 2 12 3" xfId="5483" xr:uid="{00000000-0005-0000-0000-0000F0150000}"/>
    <cellStyle name="Normal 2 12 4" xfId="5484" xr:uid="{00000000-0005-0000-0000-0000F1150000}"/>
    <cellStyle name="Normal 2 12 5" xfId="5485" xr:uid="{00000000-0005-0000-0000-0000F2150000}"/>
    <cellStyle name="Normal 2 12 6" xfId="5486" xr:uid="{00000000-0005-0000-0000-0000F3150000}"/>
    <cellStyle name="Normal 2 12 7" xfId="5487" xr:uid="{00000000-0005-0000-0000-0000F4150000}"/>
    <cellStyle name="Normal 2 12 8" xfId="5488" xr:uid="{00000000-0005-0000-0000-0000F5150000}"/>
    <cellStyle name="Normal 2 12 9" xfId="5489" xr:uid="{00000000-0005-0000-0000-0000F6150000}"/>
    <cellStyle name="Normal 2 13" xfId="5490" xr:uid="{00000000-0005-0000-0000-0000F7150000}"/>
    <cellStyle name="Normal 2 13 10" xfId="5491" xr:uid="{00000000-0005-0000-0000-0000F8150000}"/>
    <cellStyle name="Normal 2 13 11" xfId="5492" xr:uid="{00000000-0005-0000-0000-0000F9150000}"/>
    <cellStyle name="Normal 2 13 12" xfId="5493" xr:uid="{00000000-0005-0000-0000-0000FA150000}"/>
    <cellStyle name="Normal 2 13 13" xfId="5494" xr:uid="{00000000-0005-0000-0000-0000FB150000}"/>
    <cellStyle name="Normal 2 13 14" xfId="5495" xr:uid="{00000000-0005-0000-0000-0000FC150000}"/>
    <cellStyle name="Normal 2 13 15" xfId="5496" xr:uid="{00000000-0005-0000-0000-0000FD150000}"/>
    <cellStyle name="Normal 2 13 16" xfId="5497" xr:uid="{00000000-0005-0000-0000-0000FE150000}"/>
    <cellStyle name="Normal 2 13 17" xfId="5498" xr:uid="{00000000-0005-0000-0000-0000FF150000}"/>
    <cellStyle name="Normal 2 13 18" xfId="5499" xr:uid="{00000000-0005-0000-0000-000000160000}"/>
    <cellStyle name="Normal 2 13 19" xfId="5500" xr:uid="{00000000-0005-0000-0000-000001160000}"/>
    <cellStyle name="Normal 2 13 2" xfId="5501" xr:uid="{00000000-0005-0000-0000-000002160000}"/>
    <cellStyle name="Normal 2 13 20" xfId="5502" xr:uid="{00000000-0005-0000-0000-000003160000}"/>
    <cellStyle name="Normal 2 13 21" xfId="5503" xr:uid="{00000000-0005-0000-0000-000004160000}"/>
    <cellStyle name="Normal 2 13 22" xfId="5504" xr:uid="{00000000-0005-0000-0000-000005160000}"/>
    <cellStyle name="Normal 2 13 23" xfId="5505" xr:uid="{00000000-0005-0000-0000-000006160000}"/>
    <cellStyle name="Normal 2 13 3" xfId="5506" xr:uid="{00000000-0005-0000-0000-000007160000}"/>
    <cellStyle name="Normal 2 13 4" xfId="5507" xr:uid="{00000000-0005-0000-0000-000008160000}"/>
    <cellStyle name="Normal 2 13 5" xfId="5508" xr:uid="{00000000-0005-0000-0000-000009160000}"/>
    <cellStyle name="Normal 2 13 6" xfId="5509" xr:uid="{00000000-0005-0000-0000-00000A160000}"/>
    <cellStyle name="Normal 2 13 7" xfId="5510" xr:uid="{00000000-0005-0000-0000-00000B160000}"/>
    <cellStyle name="Normal 2 13 8" xfId="5511" xr:uid="{00000000-0005-0000-0000-00000C160000}"/>
    <cellStyle name="Normal 2 13 9" xfId="5512" xr:uid="{00000000-0005-0000-0000-00000D160000}"/>
    <cellStyle name="Normal 2 14" xfId="5513" xr:uid="{00000000-0005-0000-0000-00000E160000}"/>
    <cellStyle name="Normal 2 14 10" xfId="5514" xr:uid="{00000000-0005-0000-0000-00000F160000}"/>
    <cellStyle name="Normal 2 14 11" xfId="5515" xr:uid="{00000000-0005-0000-0000-000010160000}"/>
    <cellStyle name="Normal 2 14 12" xfId="5516" xr:uid="{00000000-0005-0000-0000-000011160000}"/>
    <cellStyle name="Normal 2 14 13" xfId="5517" xr:uid="{00000000-0005-0000-0000-000012160000}"/>
    <cellStyle name="Normal 2 14 14" xfId="5518" xr:uid="{00000000-0005-0000-0000-000013160000}"/>
    <cellStyle name="Normal 2 14 15" xfId="5519" xr:uid="{00000000-0005-0000-0000-000014160000}"/>
    <cellStyle name="Normal 2 14 16" xfId="5520" xr:uid="{00000000-0005-0000-0000-000015160000}"/>
    <cellStyle name="Normal 2 14 17" xfId="5521" xr:uid="{00000000-0005-0000-0000-000016160000}"/>
    <cellStyle name="Normal 2 14 18" xfId="5522" xr:uid="{00000000-0005-0000-0000-000017160000}"/>
    <cellStyle name="Normal 2 14 19" xfId="5523" xr:uid="{00000000-0005-0000-0000-000018160000}"/>
    <cellStyle name="Normal 2 14 2" xfId="5524" xr:uid="{00000000-0005-0000-0000-000019160000}"/>
    <cellStyle name="Normal 2 14 20" xfId="5525" xr:uid="{00000000-0005-0000-0000-00001A160000}"/>
    <cellStyle name="Normal 2 14 21" xfId="5526" xr:uid="{00000000-0005-0000-0000-00001B160000}"/>
    <cellStyle name="Normal 2 14 22" xfId="5527" xr:uid="{00000000-0005-0000-0000-00001C160000}"/>
    <cellStyle name="Normal 2 14 23" xfId="5528" xr:uid="{00000000-0005-0000-0000-00001D160000}"/>
    <cellStyle name="Normal 2 14 3" xfId="5529" xr:uid="{00000000-0005-0000-0000-00001E160000}"/>
    <cellStyle name="Normal 2 14 4" xfId="5530" xr:uid="{00000000-0005-0000-0000-00001F160000}"/>
    <cellStyle name="Normal 2 14 5" xfId="5531" xr:uid="{00000000-0005-0000-0000-000020160000}"/>
    <cellStyle name="Normal 2 14 6" xfId="5532" xr:uid="{00000000-0005-0000-0000-000021160000}"/>
    <cellStyle name="Normal 2 14 7" xfId="5533" xr:uid="{00000000-0005-0000-0000-000022160000}"/>
    <cellStyle name="Normal 2 14 8" xfId="5534" xr:uid="{00000000-0005-0000-0000-000023160000}"/>
    <cellStyle name="Normal 2 14 9" xfId="5535" xr:uid="{00000000-0005-0000-0000-000024160000}"/>
    <cellStyle name="Normal 2 15" xfId="5536" xr:uid="{00000000-0005-0000-0000-000025160000}"/>
    <cellStyle name="Normal 2 15 10" xfId="5537" xr:uid="{00000000-0005-0000-0000-000026160000}"/>
    <cellStyle name="Normal 2 15 11" xfId="5538" xr:uid="{00000000-0005-0000-0000-000027160000}"/>
    <cellStyle name="Normal 2 15 12" xfId="5539" xr:uid="{00000000-0005-0000-0000-000028160000}"/>
    <cellStyle name="Normal 2 15 13" xfId="5540" xr:uid="{00000000-0005-0000-0000-000029160000}"/>
    <cellStyle name="Normal 2 15 14" xfId="5541" xr:uid="{00000000-0005-0000-0000-00002A160000}"/>
    <cellStyle name="Normal 2 15 15" xfId="5542" xr:uid="{00000000-0005-0000-0000-00002B160000}"/>
    <cellStyle name="Normal 2 15 16" xfId="5543" xr:uid="{00000000-0005-0000-0000-00002C160000}"/>
    <cellStyle name="Normal 2 15 17" xfId="5544" xr:uid="{00000000-0005-0000-0000-00002D160000}"/>
    <cellStyle name="Normal 2 15 18" xfId="5545" xr:uid="{00000000-0005-0000-0000-00002E160000}"/>
    <cellStyle name="Normal 2 15 19" xfId="5546" xr:uid="{00000000-0005-0000-0000-00002F160000}"/>
    <cellStyle name="Normal 2 15 2" xfId="5547" xr:uid="{00000000-0005-0000-0000-000030160000}"/>
    <cellStyle name="Normal 2 15 20" xfId="5548" xr:uid="{00000000-0005-0000-0000-000031160000}"/>
    <cellStyle name="Normal 2 15 21" xfId="5549" xr:uid="{00000000-0005-0000-0000-000032160000}"/>
    <cellStyle name="Normal 2 15 22" xfId="5550" xr:uid="{00000000-0005-0000-0000-000033160000}"/>
    <cellStyle name="Normal 2 15 23" xfId="5551" xr:uid="{00000000-0005-0000-0000-000034160000}"/>
    <cellStyle name="Normal 2 15 3" xfId="5552" xr:uid="{00000000-0005-0000-0000-000035160000}"/>
    <cellStyle name="Normal 2 15 4" xfId="5553" xr:uid="{00000000-0005-0000-0000-000036160000}"/>
    <cellStyle name="Normal 2 15 5" xfId="5554" xr:uid="{00000000-0005-0000-0000-000037160000}"/>
    <cellStyle name="Normal 2 15 6" xfId="5555" xr:uid="{00000000-0005-0000-0000-000038160000}"/>
    <cellStyle name="Normal 2 15 7" xfId="5556" xr:uid="{00000000-0005-0000-0000-000039160000}"/>
    <cellStyle name="Normal 2 15 8" xfId="5557" xr:uid="{00000000-0005-0000-0000-00003A160000}"/>
    <cellStyle name="Normal 2 15 9" xfId="5558" xr:uid="{00000000-0005-0000-0000-00003B160000}"/>
    <cellStyle name="Normal 2 16" xfId="5559" xr:uid="{00000000-0005-0000-0000-00003C160000}"/>
    <cellStyle name="Normal 2 16 10" xfId="5560" xr:uid="{00000000-0005-0000-0000-00003D160000}"/>
    <cellStyle name="Normal 2 16 11" xfId="5561" xr:uid="{00000000-0005-0000-0000-00003E160000}"/>
    <cellStyle name="Normal 2 16 12" xfId="5562" xr:uid="{00000000-0005-0000-0000-00003F160000}"/>
    <cellStyle name="Normal 2 16 13" xfId="5563" xr:uid="{00000000-0005-0000-0000-000040160000}"/>
    <cellStyle name="Normal 2 16 14" xfId="5564" xr:uid="{00000000-0005-0000-0000-000041160000}"/>
    <cellStyle name="Normal 2 16 15" xfId="5565" xr:uid="{00000000-0005-0000-0000-000042160000}"/>
    <cellStyle name="Normal 2 16 16" xfId="5566" xr:uid="{00000000-0005-0000-0000-000043160000}"/>
    <cellStyle name="Normal 2 16 17" xfId="5567" xr:uid="{00000000-0005-0000-0000-000044160000}"/>
    <cellStyle name="Normal 2 16 18" xfId="5568" xr:uid="{00000000-0005-0000-0000-000045160000}"/>
    <cellStyle name="Normal 2 16 19" xfId="5569" xr:uid="{00000000-0005-0000-0000-000046160000}"/>
    <cellStyle name="Normal 2 16 2" xfId="5570" xr:uid="{00000000-0005-0000-0000-000047160000}"/>
    <cellStyle name="Normal 2 16 20" xfId="5571" xr:uid="{00000000-0005-0000-0000-000048160000}"/>
    <cellStyle name="Normal 2 16 21" xfId="5572" xr:uid="{00000000-0005-0000-0000-000049160000}"/>
    <cellStyle name="Normal 2 16 22" xfId="5573" xr:uid="{00000000-0005-0000-0000-00004A160000}"/>
    <cellStyle name="Normal 2 16 23" xfId="5574" xr:uid="{00000000-0005-0000-0000-00004B160000}"/>
    <cellStyle name="Normal 2 16 3" xfId="5575" xr:uid="{00000000-0005-0000-0000-00004C160000}"/>
    <cellStyle name="Normal 2 16 4" xfId="5576" xr:uid="{00000000-0005-0000-0000-00004D160000}"/>
    <cellStyle name="Normal 2 16 5" xfId="5577" xr:uid="{00000000-0005-0000-0000-00004E160000}"/>
    <cellStyle name="Normal 2 16 6" xfId="5578" xr:uid="{00000000-0005-0000-0000-00004F160000}"/>
    <cellStyle name="Normal 2 16 7" xfId="5579" xr:uid="{00000000-0005-0000-0000-000050160000}"/>
    <cellStyle name="Normal 2 16 8" xfId="5580" xr:uid="{00000000-0005-0000-0000-000051160000}"/>
    <cellStyle name="Normal 2 16 9" xfId="5581" xr:uid="{00000000-0005-0000-0000-000052160000}"/>
    <cellStyle name="Normal 2 17" xfId="5582" xr:uid="{00000000-0005-0000-0000-000053160000}"/>
    <cellStyle name="Normal 2 17 10" xfId="5583" xr:uid="{00000000-0005-0000-0000-000054160000}"/>
    <cellStyle name="Normal 2 17 11" xfId="5584" xr:uid="{00000000-0005-0000-0000-000055160000}"/>
    <cellStyle name="Normal 2 17 12" xfId="5585" xr:uid="{00000000-0005-0000-0000-000056160000}"/>
    <cellStyle name="Normal 2 17 13" xfId="5586" xr:uid="{00000000-0005-0000-0000-000057160000}"/>
    <cellStyle name="Normal 2 17 14" xfId="5587" xr:uid="{00000000-0005-0000-0000-000058160000}"/>
    <cellStyle name="Normal 2 17 15" xfId="5588" xr:uid="{00000000-0005-0000-0000-000059160000}"/>
    <cellStyle name="Normal 2 17 16" xfId="5589" xr:uid="{00000000-0005-0000-0000-00005A160000}"/>
    <cellStyle name="Normal 2 17 17" xfId="5590" xr:uid="{00000000-0005-0000-0000-00005B160000}"/>
    <cellStyle name="Normal 2 17 18" xfId="5591" xr:uid="{00000000-0005-0000-0000-00005C160000}"/>
    <cellStyle name="Normal 2 17 19" xfId="5592" xr:uid="{00000000-0005-0000-0000-00005D160000}"/>
    <cellStyle name="Normal 2 17 2" xfId="5593" xr:uid="{00000000-0005-0000-0000-00005E160000}"/>
    <cellStyle name="Normal 2 17 20" xfId="5594" xr:uid="{00000000-0005-0000-0000-00005F160000}"/>
    <cellStyle name="Normal 2 17 21" xfId="5595" xr:uid="{00000000-0005-0000-0000-000060160000}"/>
    <cellStyle name="Normal 2 17 22" xfId="5596" xr:uid="{00000000-0005-0000-0000-000061160000}"/>
    <cellStyle name="Normal 2 17 23" xfId="5597" xr:uid="{00000000-0005-0000-0000-000062160000}"/>
    <cellStyle name="Normal 2 17 3" xfId="5598" xr:uid="{00000000-0005-0000-0000-000063160000}"/>
    <cellStyle name="Normal 2 17 4" xfId="5599" xr:uid="{00000000-0005-0000-0000-000064160000}"/>
    <cellStyle name="Normal 2 17 5" xfId="5600" xr:uid="{00000000-0005-0000-0000-000065160000}"/>
    <cellStyle name="Normal 2 17 6" xfId="5601" xr:uid="{00000000-0005-0000-0000-000066160000}"/>
    <cellStyle name="Normal 2 17 7" xfId="5602" xr:uid="{00000000-0005-0000-0000-000067160000}"/>
    <cellStyle name="Normal 2 17 8" xfId="5603" xr:uid="{00000000-0005-0000-0000-000068160000}"/>
    <cellStyle name="Normal 2 17 9" xfId="5604" xr:uid="{00000000-0005-0000-0000-000069160000}"/>
    <cellStyle name="Normal 2 18" xfId="5605" xr:uid="{00000000-0005-0000-0000-00006A160000}"/>
    <cellStyle name="Normal 2 19" xfId="5606" xr:uid="{00000000-0005-0000-0000-00006B160000}"/>
    <cellStyle name="Normal 2 2" xfId="5607" xr:uid="{00000000-0005-0000-0000-00006C160000}"/>
    <cellStyle name="Normal 2 2 10" xfId="5608" xr:uid="{00000000-0005-0000-0000-00006D160000}"/>
    <cellStyle name="Normal 2 2 11" xfId="5609" xr:uid="{00000000-0005-0000-0000-00006E160000}"/>
    <cellStyle name="Normal 2 2 12" xfId="5610" xr:uid="{00000000-0005-0000-0000-00006F160000}"/>
    <cellStyle name="Normal 2 2 13" xfId="5611" xr:uid="{00000000-0005-0000-0000-000070160000}"/>
    <cellStyle name="Normal 2 2 14" xfId="5612" xr:uid="{00000000-0005-0000-0000-000071160000}"/>
    <cellStyle name="Normal 2 2 15" xfId="5613" xr:uid="{00000000-0005-0000-0000-000072160000}"/>
    <cellStyle name="Normal 2 2 16" xfId="5614" xr:uid="{00000000-0005-0000-0000-000073160000}"/>
    <cellStyle name="Normal 2 2 17" xfId="5615" xr:uid="{00000000-0005-0000-0000-000074160000}"/>
    <cellStyle name="Normal 2 2 18" xfId="5616" xr:uid="{00000000-0005-0000-0000-000075160000}"/>
    <cellStyle name="Normal 2 2 19" xfId="5617" xr:uid="{00000000-0005-0000-0000-000076160000}"/>
    <cellStyle name="Normal 2 2 2" xfId="5618" xr:uid="{00000000-0005-0000-0000-000077160000}"/>
    <cellStyle name="Normal 2 2 2 10" xfId="5619" xr:uid="{00000000-0005-0000-0000-000078160000}"/>
    <cellStyle name="Normal 2 2 2 11" xfId="5620" xr:uid="{00000000-0005-0000-0000-000079160000}"/>
    <cellStyle name="Normal 2 2 2 12" xfId="5621" xr:uid="{00000000-0005-0000-0000-00007A160000}"/>
    <cellStyle name="Normal 2 2 2 13" xfId="5622" xr:uid="{00000000-0005-0000-0000-00007B160000}"/>
    <cellStyle name="Normal 2 2 2 14" xfId="5623" xr:uid="{00000000-0005-0000-0000-00007C160000}"/>
    <cellStyle name="Normal 2 2 2 15" xfId="5624" xr:uid="{00000000-0005-0000-0000-00007D160000}"/>
    <cellStyle name="Normal 2 2 2 16" xfId="5625" xr:uid="{00000000-0005-0000-0000-00007E160000}"/>
    <cellStyle name="Normal 2 2 2 17" xfId="5626" xr:uid="{00000000-0005-0000-0000-00007F160000}"/>
    <cellStyle name="Normal 2 2 2 18" xfId="5627" xr:uid="{00000000-0005-0000-0000-000080160000}"/>
    <cellStyle name="Normal 2 2 2 19" xfId="5628" xr:uid="{00000000-0005-0000-0000-000081160000}"/>
    <cellStyle name="Normal 2 2 2 2" xfId="5629" xr:uid="{00000000-0005-0000-0000-000082160000}"/>
    <cellStyle name="Normal 2 2 2 20" xfId="5630" xr:uid="{00000000-0005-0000-0000-000083160000}"/>
    <cellStyle name="Normal 2 2 2 21" xfId="5631" xr:uid="{00000000-0005-0000-0000-000084160000}"/>
    <cellStyle name="Normal 2 2 2 22" xfId="5632" xr:uid="{00000000-0005-0000-0000-000085160000}"/>
    <cellStyle name="Normal 2 2 2 23" xfId="5633" xr:uid="{00000000-0005-0000-0000-000086160000}"/>
    <cellStyle name="Normal 2 2 2 3" xfId="5634" xr:uid="{00000000-0005-0000-0000-000087160000}"/>
    <cellStyle name="Normal 2 2 2 4" xfId="5635" xr:uid="{00000000-0005-0000-0000-000088160000}"/>
    <cellStyle name="Normal 2 2 2 5" xfId="5636" xr:uid="{00000000-0005-0000-0000-000089160000}"/>
    <cellStyle name="Normal 2 2 2 6" xfId="5637" xr:uid="{00000000-0005-0000-0000-00008A160000}"/>
    <cellStyle name="Normal 2 2 2 7" xfId="5638" xr:uid="{00000000-0005-0000-0000-00008B160000}"/>
    <cellStyle name="Normal 2 2 2 8" xfId="5639" xr:uid="{00000000-0005-0000-0000-00008C160000}"/>
    <cellStyle name="Normal 2 2 2 9" xfId="5640" xr:uid="{00000000-0005-0000-0000-00008D160000}"/>
    <cellStyle name="Normal 2 2 20" xfId="5641" xr:uid="{00000000-0005-0000-0000-00008E160000}"/>
    <cellStyle name="Normal 2 2 21" xfId="5642" xr:uid="{00000000-0005-0000-0000-00008F160000}"/>
    <cellStyle name="Normal 2 2 22" xfId="5643" xr:uid="{00000000-0005-0000-0000-000090160000}"/>
    <cellStyle name="Normal 2 2 23" xfId="5644" xr:uid="{00000000-0005-0000-0000-000091160000}"/>
    <cellStyle name="Normal 2 2 24" xfId="5645" xr:uid="{00000000-0005-0000-0000-000092160000}"/>
    <cellStyle name="Normal 2 2 25" xfId="5646" xr:uid="{00000000-0005-0000-0000-000093160000}"/>
    <cellStyle name="Normal 2 2 26" xfId="5647" xr:uid="{00000000-0005-0000-0000-000094160000}"/>
    <cellStyle name="Normal 2 2 27" xfId="5648" xr:uid="{00000000-0005-0000-0000-000095160000}"/>
    <cellStyle name="Normal 2 2 28" xfId="5649" xr:uid="{00000000-0005-0000-0000-000096160000}"/>
    <cellStyle name="Normal 2 2 29" xfId="5650" xr:uid="{00000000-0005-0000-0000-000097160000}"/>
    <cellStyle name="Normal 2 2 3" xfId="5651" xr:uid="{00000000-0005-0000-0000-000098160000}"/>
    <cellStyle name="Normal 2 2 30" xfId="5652" xr:uid="{00000000-0005-0000-0000-000099160000}"/>
    <cellStyle name="Normal 2 2 31" xfId="5653" xr:uid="{00000000-0005-0000-0000-00009A160000}"/>
    <cellStyle name="Normal 2 2 32" xfId="5654" xr:uid="{00000000-0005-0000-0000-00009B160000}"/>
    <cellStyle name="Normal 2 2 33" xfId="5655" xr:uid="{00000000-0005-0000-0000-00009C160000}"/>
    <cellStyle name="Normal 2 2 34" xfId="5656" xr:uid="{00000000-0005-0000-0000-00009D160000}"/>
    <cellStyle name="Normal 2 2 35" xfId="5657" xr:uid="{00000000-0005-0000-0000-00009E160000}"/>
    <cellStyle name="Normal 2 2 36" xfId="5658" xr:uid="{00000000-0005-0000-0000-00009F160000}"/>
    <cellStyle name="Normal 2 2 37" xfId="5659" xr:uid="{00000000-0005-0000-0000-0000A0160000}"/>
    <cellStyle name="Normal 2 2 38" xfId="5660" xr:uid="{00000000-0005-0000-0000-0000A1160000}"/>
    <cellStyle name="Normal 2 2 39" xfId="5661" xr:uid="{00000000-0005-0000-0000-0000A2160000}"/>
    <cellStyle name="Normal 2 2 4" xfId="5662" xr:uid="{00000000-0005-0000-0000-0000A3160000}"/>
    <cellStyle name="Normal 2 2 4 2" xfId="5663" xr:uid="{00000000-0005-0000-0000-0000A4160000}"/>
    <cellStyle name="Normal 2 2 40" xfId="5664" xr:uid="{00000000-0005-0000-0000-0000A5160000}"/>
    <cellStyle name="Normal 2 2 41" xfId="5665" xr:uid="{00000000-0005-0000-0000-0000A6160000}"/>
    <cellStyle name="Normal 2 2 42" xfId="5666" xr:uid="{00000000-0005-0000-0000-0000A7160000}"/>
    <cellStyle name="Normal 2 2 43" xfId="5667" xr:uid="{00000000-0005-0000-0000-0000A8160000}"/>
    <cellStyle name="Normal 2 2 44" xfId="5668" xr:uid="{00000000-0005-0000-0000-0000A9160000}"/>
    <cellStyle name="Normal 2 2 45" xfId="5669" xr:uid="{00000000-0005-0000-0000-0000AA160000}"/>
    <cellStyle name="Normal 2 2 46" xfId="5670" xr:uid="{00000000-0005-0000-0000-0000AB160000}"/>
    <cellStyle name="Normal 2 2 47" xfId="5671" xr:uid="{00000000-0005-0000-0000-0000AC160000}"/>
    <cellStyle name="Normal 2 2 48" xfId="5672" xr:uid="{00000000-0005-0000-0000-0000AD160000}"/>
    <cellStyle name="Normal 2 2 49" xfId="5673" xr:uid="{00000000-0005-0000-0000-0000AE160000}"/>
    <cellStyle name="Normal 2 2 5" xfId="5674" xr:uid="{00000000-0005-0000-0000-0000AF160000}"/>
    <cellStyle name="Normal 2 2 5 2" xfId="5675" xr:uid="{00000000-0005-0000-0000-0000B0160000}"/>
    <cellStyle name="Normal 2 2 50" xfId="5676" xr:uid="{00000000-0005-0000-0000-0000B1160000}"/>
    <cellStyle name="Normal 2 2 51" xfId="5677" xr:uid="{00000000-0005-0000-0000-0000B2160000}"/>
    <cellStyle name="Normal 2 2 52" xfId="5678" xr:uid="{00000000-0005-0000-0000-0000B3160000}"/>
    <cellStyle name="Normal 2 2 53" xfId="5679" xr:uid="{00000000-0005-0000-0000-0000B4160000}"/>
    <cellStyle name="Normal 2 2 54" xfId="5680" xr:uid="{00000000-0005-0000-0000-0000B5160000}"/>
    <cellStyle name="Normal 2 2 55" xfId="5681" xr:uid="{00000000-0005-0000-0000-0000B6160000}"/>
    <cellStyle name="Normal 2 2 56" xfId="5682" xr:uid="{00000000-0005-0000-0000-0000B7160000}"/>
    <cellStyle name="Normal 2 2 57" xfId="5683" xr:uid="{00000000-0005-0000-0000-0000B8160000}"/>
    <cellStyle name="Normal 2 2 58" xfId="5684" xr:uid="{00000000-0005-0000-0000-0000B9160000}"/>
    <cellStyle name="Normal 2 2 59" xfId="5685" xr:uid="{00000000-0005-0000-0000-0000BA160000}"/>
    <cellStyle name="Normal 2 2 6" xfId="5686" xr:uid="{00000000-0005-0000-0000-0000BB160000}"/>
    <cellStyle name="Normal 2 2 60" xfId="5687" xr:uid="{00000000-0005-0000-0000-0000BC160000}"/>
    <cellStyle name="Normal 2 2 61" xfId="5688" xr:uid="{00000000-0005-0000-0000-0000BD160000}"/>
    <cellStyle name="Normal 2 2 62" xfId="5689" xr:uid="{00000000-0005-0000-0000-0000BE160000}"/>
    <cellStyle name="Normal 2 2 63" xfId="5690" xr:uid="{00000000-0005-0000-0000-0000BF160000}"/>
    <cellStyle name="Normal 2 2 64" xfId="5691" xr:uid="{00000000-0005-0000-0000-0000C0160000}"/>
    <cellStyle name="Normal 2 2 65" xfId="5692" xr:uid="{00000000-0005-0000-0000-0000C1160000}"/>
    <cellStyle name="Normal 2 2 66" xfId="5693" xr:uid="{00000000-0005-0000-0000-0000C2160000}"/>
    <cellStyle name="Normal 2 2 67" xfId="5694" xr:uid="{00000000-0005-0000-0000-0000C3160000}"/>
    <cellStyle name="Normal 2 2 68" xfId="5695" xr:uid="{00000000-0005-0000-0000-0000C4160000}"/>
    <cellStyle name="Normal 2 2 69" xfId="5696" xr:uid="{00000000-0005-0000-0000-0000C5160000}"/>
    <cellStyle name="Normal 2 2 7" xfId="5697" xr:uid="{00000000-0005-0000-0000-0000C6160000}"/>
    <cellStyle name="Normal 2 2 70" xfId="5698" xr:uid="{00000000-0005-0000-0000-0000C7160000}"/>
    <cellStyle name="Normal 2 2 71" xfId="5699" xr:uid="{00000000-0005-0000-0000-0000C8160000}"/>
    <cellStyle name="Normal 2 2 8" xfId="5700" xr:uid="{00000000-0005-0000-0000-0000C9160000}"/>
    <cellStyle name="Normal 2 2 9" xfId="5701" xr:uid="{00000000-0005-0000-0000-0000CA160000}"/>
    <cellStyle name="Normal 2 2_Hoja1" xfId="5702" xr:uid="{00000000-0005-0000-0000-0000CB160000}"/>
    <cellStyle name="Normal 2 20" xfId="5703" xr:uid="{00000000-0005-0000-0000-0000CC160000}"/>
    <cellStyle name="Normal 2 21" xfId="5704" xr:uid="{00000000-0005-0000-0000-0000CD160000}"/>
    <cellStyle name="Normal 2 22" xfId="5705" xr:uid="{00000000-0005-0000-0000-0000CE160000}"/>
    <cellStyle name="Normal 2 23" xfId="5706" xr:uid="{00000000-0005-0000-0000-0000CF160000}"/>
    <cellStyle name="Normal 2 24" xfId="5707" xr:uid="{00000000-0005-0000-0000-0000D0160000}"/>
    <cellStyle name="Normal 2 25" xfId="5708" xr:uid="{00000000-0005-0000-0000-0000D1160000}"/>
    <cellStyle name="Normal 2 26" xfId="5709" xr:uid="{00000000-0005-0000-0000-0000D2160000}"/>
    <cellStyle name="Normal 2 27" xfId="5710" xr:uid="{00000000-0005-0000-0000-0000D3160000}"/>
    <cellStyle name="Normal 2 28" xfId="5711" xr:uid="{00000000-0005-0000-0000-0000D4160000}"/>
    <cellStyle name="Normal 2 29" xfId="5712" xr:uid="{00000000-0005-0000-0000-0000D5160000}"/>
    <cellStyle name="Normal 2 3" xfId="5713" xr:uid="{00000000-0005-0000-0000-0000D6160000}"/>
    <cellStyle name="Normal 2 3 10" xfId="5714" xr:uid="{00000000-0005-0000-0000-0000D7160000}"/>
    <cellStyle name="Normal 2 3 11" xfId="5715" xr:uid="{00000000-0005-0000-0000-0000D8160000}"/>
    <cellStyle name="Normal 2 3 12" xfId="5716" xr:uid="{00000000-0005-0000-0000-0000D9160000}"/>
    <cellStyle name="Normal 2 3 13" xfId="5717" xr:uid="{00000000-0005-0000-0000-0000DA160000}"/>
    <cellStyle name="Normal 2 3 14" xfId="5718" xr:uid="{00000000-0005-0000-0000-0000DB160000}"/>
    <cellStyle name="Normal 2 3 15" xfId="5719" xr:uid="{00000000-0005-0000-0000-0000DC160000}"/>
    <cellStyle name="Normal 2 3 16" xfId="5720" xr:uid="{00000000-0005-0000-0000-0000DD160000}"/>
    <cellStyle name="Normal 2 3 17" xfId="5721" xr:uid="{00000000-0005-0000-0000-0000DE160000}"/>
    <cellStyle name="Normal 2 3 18" xfId="5722" xr:uid="{00000000-0005-0000-0000-0000DF160000}"/>
    <cellStyle name="Normal 2 3 19" xfId="5723" xr:uid="{00000000-0005-0000-0000-0000E0160000}"/>
    <cellStyle name="Normal 2 3 2" xfId="5724" xr:uid="{00000000-0005-0000-0000-0000E1160000}"/>
    <cellStyle name="Normal 2 3 20" xfId="5725" xr:uid="{00000000-0005-0000-0000-0000E2160000}"/>
    <cellStyle name="Normal 2 3 21" xfId="5726" xr:uid="{00000000-0005-0000-0000-0000E3160000}"/>
    <cellStyle name="Normal 2 3 22" xfId="5727" xr:uid="{00000000-0005-0000-0000-0000E4160000}"/>
    <cellStyle name="Normal 2 3 23" xfId="5728" xr:uid="{00000000-0005-0000-0000-0000E5160000}"/>
    <cellStyle name="Normal 2 3 3" xfId="5729" xr:uid="{00000000-0005-0000-0000-0000E6160000}"/>
    <cellStyle name="Normal 2 3 4" xfId="5730" xr:uid="{00000000-0005-0000-0000-0000E7160000}"/>
    <cellStyle name="Normal 2 3 5" xfId="5731" xr:uid="{00000000-0005-0000-0000-0000E8160000}"/>
    <cellStyle name="Normal 2 3 6" xfId="5732" xr:uid="{00000000-0005-0000-0000-0000E9160000}"/>
    <cellStyle name="Normal 2 3 7" xfId="5733" xr:uid="{00000000-0005-0000-0000-0000EA160000}"/>
    <cellStyle name="Normal 2 3 8" xfId="5734" xr:uid="{00000000-0005-0000-0000-0000EB160000}"/>
    <cellStyle name="Normal 2 3 9" xfId="5735" xr:uid="{00000000-0005-0000-0000-0000EC160000}"/>
    <cellStyle name="Normal 2 30" xfId="5736" xr:uid="{00000000-0005-0000-0000-0000ED160000}"/>
    <cellStyle name="Normal 2 31" xfId="5737" xr:uid="{00000000-0005-0000-0000-0000EE160000}"/>
    <cellStyle name="Normal 2 32" xfId="5738" xr:uid="{00000000-0005-0000-0000-0000EF160000}"/>
    <cellStyle name="Normal 2 33" xfId="5739" xr:uid="{00000000-0005-0000-0000-0000F0160000}"/>
    <cellStyle name="Normal 2 34" xfId="5740" xr:uid="{00000000-0005-0000-0000-0000F1160000}"/>
    <cellStyle name="Normal 2 35" xfId="5741" xr:uid="{00000000-0005-0000-0000-0000F2160000}"/>
    <cellStyle name="Normal 2 36" xfId="5742" xr:uid="{00000000-0005-0000-0000-0000F3160000}"/>
    <cellStyle name="Normal 2 37" xfId="5743" xr:uid="{00000000-0005-0000-0000-0000F4160000}"/>
    <cellStyle name="Normal 2 38" xfId="5744" xr:uid="{00000000-0005-0000-0000-0000F5160000}"/>
    <cellStyle name="Normal 2 39" xfId="5745" xr:uid="{00000000-0005-0000-0000-0000F6160000}"/>
    <cellStyle name="Normal 2 4" xfId="5746" xr:uid="{00000000-0005-0000-0000-0000F7160000}"/>
    <cellStyle name="Normal 2 4 10" xfId="5747" xr:uid="{00000000-0005-0000-0000-0000F8160000}"/>
    <cellStyle name="Normal 2 4 11" xfId="5748" xr:uid="{00000000-0005-0000-0000-0000F9160000}"/>
    <cellStyle name="Normal 2 4 12" xfId="5749" xr:uid="{00000000-0005-0000-0000-0000FA160000}"/>
    <cellStyle name="Normal 2 4 13" xfId="5750" xr:uid="{00000000-0005-0000-0000-0000FB160000}"/>
    <cellStyle name="Normal 2 4 14" xfId="5751" xr:uid="{00000000-0005-0000-0000-0000FC160000}"/>
    <cellStyle name="Normal 2 4 15" xfId="5752" xr:uid="{00000000-0005-0000-0000-0000FD160000}"/>
    <cellStyle name="Normal 2 4 16" xfId="5753" xr:uid="{00000000-0005-0000-0000-0000FE160000}"/>
    <cellStyle name="Normal 2 4 17" xfId="5754" xr:uid="{00000000-0005-0000-0000-0000FF160000}"/>
    <cellStyle name="Normal 2 4 18" xfId="5755" xr:uid="{00000000-0005-0000-0000-000000170000}"/>
    <cellStyle name="Normal 2 4 19" xfId="5756" xr:uid="{00000000-0005-0000-0000-000001170000}"/>
    <cellStyle name="Normal 2 4 2" xfId="5757" xr:uid="{00000000-0005-0000-0000-000002170000}"/>
    <cellStyle name="Normal 2 4 20" xfId="5758" xr:uid="{00000000-0005-0000-0000-000003170000}"/>
    <cellStyle name="Normal 2 4 21" xfId="5759" xr:uid="{00000000-0005-0000-0000-000004170000}"/>
    <cellStyle name="Normal 2 4 22" xfId="5760" xr:uid="{00000000-0005-0000-0000-000005170000}"/>
    <cellStyle name="Normal 2 4 23" xfId="5761" xr:uid="{00000000-0005-0000-0000-000006170000}"/>
    <cellStyle name="Normal 2 4 3" xfId="5762" xr:uid="{00000000-0005-0000-0000-000007170000}"/>
    <cellStyle name="Normal 2 4 4" xfId="5763" xr:uid="{00000000-0005-0000-0000-000008170000}"/>
    <cellStyle name="Normal 2 4 5" xfId="5764" xr:uid="{00000000-0005-0000-0000-000009170000}"/>
    <cellStyle name="Normal 2 4 6" xfId="5765" xr:uid="{00000000-0005-0000-0000-00000A170000}"/>
    <cellStyle name="Normal 2 4 7" xfId="5766" xr:uid="{00000000-0005-0000-0000-00000B170000}"/>
    <cellStyle name="Normal 2 4 8" xfId="5767" xr:uid="{00000000-0005-0000-0000-00000C170000}"/>
    <cellStyle name="Normal 2 4 9" xfId="5768" xr:uid="{00000000-0005-0000-0000-00000D170000}"/>
    <cellStyle name="Normal 2 40" xfId="5769" xr:uid="{00000000-0005-0000-0000-00000E170000}"/>
    <cellStyle name="Normal 2 41" xfId="5770" xr:uid="{00000000-0005-0000-0000-00000F170000}"/>
    <cellStyle name="Normal 2 42" xfId="5771" xr:uid="{00000000-0005-0000-0000-000010170000}"/>
    <cellStyle name="Normal 2 43" xfId="5772" xr:uid="{00000000-0005-0000-0000-000011170000}"/>
    <cellStyle name="Normal 2 44" xfId="5773" xr:uid="{00000000-0005-0000-0000-000012170000}"/>
    <cellStyle name="Normal 2 45" xfId="5774" xr:uid="{00000000-0005-0000-0000-000013170000}"/>
    <cellStyle name="Normal 2 46" xfId="5775" xr:uid="{00000000-0005-0000-0000-000014170000}"/>
    <cellStyle name="Normal 2 47" xfId="5776" xr:uid="{00000000-0005-0000-0000-000015170000}"/>
    <cellStyle name="Normal 2 48" xfId="5777" xr:uid="{00000000-0005-0000-0000-000016170000}"/>
    <cellStyle name="Normal 2 49" xfId="5778" xr:uid="{00000000-0005-0000-0000-000017170000}"/>
    <cellStyle name="Normal 2 5" xfId="5779" xr:uid="{00000000-0005-0000-0000-000018170000}"/>
    <cellStyle name="Normal 2 5 10" xfId="5780" xr:uid="{00000000-0005-0000-0000-000019170000}"/>
    <cellStyle name="Normal 2 5 11" xfId="5781" xr:uid="{00000000-0005-0000-0000-00001A170000}"/>
    <cellStyle name="Normal 2 5 12" xfId="5782" xr:uid="{00000000-0005-0000-0000-00001B170000}"/>
    <cellStyle name="Normal 2 5 13" xfId="5783" xr:uid="{00000000-0005-0000-0000-00001C170000}"/>
    <cellStyle name="Normal 2 5 14" xfId="5784" xr:uid="{00000000-0005-0000-0000-00001D170000}"/>
    <cellStyle name="Normal 2 5 15" xfId="5785" xr:uid="{00000000-0005-0000-0000-00001E170000}"/>
    <cellStyle name="Normal 2 5 16" xfId="5786" xr:uid="{00000000-0005-0000-0000-00001F170000}"/>
    <cellStyle name="Normal 2 5 17" xfId="5787" xr:uid="{00000000-0005-0000-0000-000020170000}"/>
    <cellStyle name="Normal 2 5 18" xfId="5788" xr:uid="{00000000-0005-0000-0000-000021170000}"/>
    <cellStyle name="Normal 2 5 19" xfId="5789" xr:uid="{00000000-0005-0000-0000-000022170000}"/>
    <cellStyle name="Normal 2 5 2" xfId="5790" xr:uid="{00000000-0005-0000-0000-000023170000}"/>
    <cellStyle name="Normal 2 5 20" xfId="5791" xr:uid="{00000000-0005-0000-0000-000024170000}"/>
    <cellStyle name="Normal 2 5 21" xfId="5792" xr:uid="{00000000-0005-0000-0000-000025170000}"/>
    <cellStyle name="Normal 2 5 22" xfId="5793" xr:uid="{00000000-0005-0000-0000-000026170000}"/>
    <cellStyle name="Normal 2 5 23" xfId="5794" xr:uid="{00000000-0005-0000-0000-000027170000}"/>
    <cellStyle name="Normal 2 5 3" xfId="5795" xr:uid="{00000000-0005-0000-0000-000028170000}"/>
    <cellStyle name="Normal 2 5 4" xfId="5796" xr:uid="{00000000-0005-0000-0000-000029170000}"/>
    <cellStyle name="Normal 2 5 5" xfId="5797" xr:uid="{00000000-0005-0000-0000-00002A170000}"/>
    <cellStyle name="Normal 2 5 6" xfId="5798" xr:uid="{00000000-0005-0000-0000-00002B170000}"/>
    <cellStyle name="Normal 2 5 7" xfId="5799" xr:uid="{00000000-0005-0000-0000-00002C170000}"/>
    <cellStyle name="Normal 2 5 8" xfId="5800" xr:uid="{00000000-0005-0000-0000-00002D170000}"/>
    <cellStyle name="Normal 2 5 9" xfId="5801" xr:uid="{00000000-0005-0000-0000-00002E170000}"/>
    <cellStyle name="Normal 2 50" xfId="5802" xr:uid="{00000000-0005-0000-0000-00002F170000}"/>
    <cellStyle name="Normal 2 51" xfId="5803" xr:uid="{00000000-0005-0000-0000-000030170000}"/>
    <cellStyle name="Normal 2 52" xfId="5804" xr:uid="{00000000-0005-0000-0000-000031170000}"/>
    <cellStyle name="Normal 2 53" xfId="5805" xr:uid="{00000000-0005-0000-0000-000032170000}"/>
    <cellStyle name="Normal 2 54" xfId="5806" xr:uid="{00000000-0005-0000-0000-000033170000}"/>
    <cellStyle name="Normal 2 55" xfId="5807" xr:uid="{00000000-0005-0000-0000-000034170000}"/>
    <cellStyle name="Normal 2 56" xfId="5808" xr:uid="{00000000-0005-0000-0000-000035170000}"/>
    <cellStyle name="Normal 2 57" xfId="5809" xr:uid="{00000000-0005-0000-0000-000036170000}"/>
    <cellStyle name="Normal 2 58" xfId="5810" xr:uid="{00000000-0005-0000-0000-000037170000}"/>
    <cellStyle name="Normal 2 59" xfId="5811" xr:uid="{00000000-0005-0000-0000-000038170000}"/>
    <cellStyle name="Normal 2 6" xfId="5812" xr:uid="{00000000-0005-0000-0000-000039170000}"/>
    <cellStyle name="Normal 2 6 10" xfId="5813" xr:uid="{00000000-0005-0000-0000-00003A170000}"/>
    <cellStyle name="Normal 2 6 11" xfId="5814" xr:uid="{00000000-0005-0000-0000-00003B170000}"/>
    <cellStyle name="Normal 2 6 12" xfId="5815" xr:uid="{00000000-0005-0000-0000-00003C170000}"/>
    <cellStyle name="Normal 2 6 13" xfId="5816" xr:uid="{00000000-0005-0000-0000-00003D170000}"/>
    <cellStyle name="Normal 2 6 14" xfId="5817" xr:uid="{00000000-0005-0000-0000-00003E170000}"/>
    <cellStyle name="Normal 2 6 15" xfId="5818" xr:uid="{00000000-0005-0000-0000-00003F170000}"/>
    <cellStyle name="Normal 2 6 16" xfId="5819" xr:uid="{00000000-0005-0000-0000-000040170000}"/>
    <cellStyle name="Normal 2 6 17" xfId="5820" xr:uid="{00000000-0005-0000-0000-000041170000}"/>
    <cellStyle name="Normal 2 6 18" xfId="5821" xr:uid="{00000000-0005-0000-0000-000042170000}"/>
    <cellStyle name="Normal 2 6 19" xfId="5822" xr:uid="{00000000-0005-0000-0000-000043170000}"/>
    <cellStyle name="Normal 2 6 2" xfId="5823" xr:uid="{00000000-0005-0000-0000-000044170000}"/>
    <cellStyle name="Normal 2 6 20" xfId="5824" xr:uid="{00000000-0005-0000-0000-000045170000}"/>
    <cellStyle name="Normal 2 6 21" xfId="5825" xr:uid="{00000000-0005-0000-0000-000046170000}"/>
    <cellStyle name="Normal 2 6 22" xfId="5826" xr:uid="{00000000-0005-0000-0000-000047170000}"/>
    <cellStyle name="Normal 2 6 23" xfId="5827" xr:uid="{00000000-0005-0000-0000-000048170000}"/>
    <cellStyle name="Normal 2 6 24" xfId="5828" xr:uid="{00000000-0005-0000-0000-000049170000}"/>
    <cellStyle name="Normal 2 6 3" xfId="5829" xr:uid="{00000000-0005-0000-0000-00004A170000}"/>
    <cellStyle name="Normal 2 6 4" xfId="5830" xr:uid="{00000000-0005-0000-0000-00004B170000}"/>
    <cellStyle name="Normal 2 6 5" xfId="5831" xr:uid="{00000000-0005-0000-0000-00004C170000}"/>
    <cellStyle name="Normal 2 6 6" xfId="5832" xr:uid="{00000000-0005-0000-0000-00004D170000}"/>
    <cellStyle name="Normal 2 6 7" xfId="5833" xr:uid="{00000000-0005-0000-0000-00004E170000}"/>
    <cellStyle name="Normal 2 6 8" xfId="5834" xr:uid="{00000000-0005-0000-0000-00004F170000}"/>
    <cellStyle name="Normal 2 6 9" xfId="5835" xr:uid="{00000000-0005-0000-0000-000050170000}"/>
    <cellStyle name="Normal 2 60" xfId="5836" xr:uid="{00000000-0005-0000-0000-000051170000}"/>
    <cellStyle name="Normal 2 61" xfId="5837" xr:uid="{00000000-0005-0000-0000-000052170000}"/>
    <cellStyle name="Normal 2 62" xfId="5838" xr:uid="{00000000-0005-0000-0000-000053170000}"/>
    <cellStyle name="Normal 2 63" xfId="5839" xr:uid="{00000000-0005-0000-0000-000054170000}"/>
    <cellStyle name="Normal 2 64" xfId="5840" xr:uid="{00000000-0005-0000-0000-000055170000}"/>
    <cellStyle name="Normal 2 65" xfId="5841" xr:uid="{00000000-0005-0000-0000-000056170000}"/>
    <cellStyle name="Normal 2 66" xfId="5842" xr:uid="{00000000-0005-0000-0000-000057170000}"/>
    <cellStyle name="Normal 2 67" xfId="5843" xr:uid="{00000000-0005-0000-0000-000058170000}"/>
    <cellStyle name="Normal 2 68" xfId="5844" xr:uid="{00000000-0005-0000-0000-000059170000}"/>
    <cellStyle name="Normal 2 69" xfId="5845" xr:uid="{00000000-0005-0000-0000-00005A170000}"/>
    <cellStyle name="Normal 2 7" xfId="5846" xr:uid="{00000000-0005-0000-0000-00005B170000}"/>
    <cellStyle name="Normal 2 7 10" xfId="5847" xr:uid="{00000000-0005-0000-0000-00005C170000}"/>
    <cellStyle name="Normal 2 7 11" xfId="5848" xr:uid="{00000000-0005-0000-0000-00005D170000}"/>
    <cellStyle name="Normal 2 7 12" xfId="5849" xr:uid="{00000000-0005-0000-0000-00005E170000}"/>
    <cellStyle name="Normal 2 7 13" xfId="5850" xr:uid="{00000000-0005-0000-0000-00005F170000}"/>
    <cellStyle name="Normal 2 7 14" xfId="5851" xr:uid="{00000000-0005-0000-0000-000060170000}"/>
    <cellStyle name="Normal 2 7 15" xfId="5852" xr:uid="{00000000-0005-0000-0000-000061170000}"/>
    <cellStyle name="Normal 2 7 16" xfId="5853" xr:uid="{00000000-0005-0000-0000-000062170000}"/>
    <cellStyle name="Normal 2 7 17" xfId="5854" xr:uid="{00000000-0005-0000-0000-000063170000}"/>
    <cellStyle name="Normal 2 7 18" xfId="5855" xr:uid="{00000000-0005-0000-0000-000064170000}"/>
    <cellStyle name="Normal 2 7 19" xfId="5856" xr:uid="{00000000-0005-0000-0000-000065170000}"/>
    <cellStyle name="Normal 2 7 2" xfId="5857" xr:uid="{00000000-0005-0000-0000-000066170000}"/>
    <cellStyle name="Normal 2 7 20" xfId="5858" xr:uid="{00000000-0005-0000-0000-000067170000}"/>
    <cellStyle name="Normal 2 7 21" xfId="5859" xr:uid="{00000000-0005-0000-0000-000068170000}"/>
    <cellStyle name="Normal 2 7 22" xfId="5860" xr:uid="{00000000-0005-0000-0000-000069170000}"/>
    <cellStyle name="Normal 2 7 23" xfId="5861" xr:uid="{00000000-0005-0000-0000-00006A170000}"/>
    <cellStyle name="Normal 2 7 24" xfId="5862" xr:uid="{00000000-0005-0000-0000-00006B170000}"/>
    <cellStyle name="Normal 2 7 3" xfId="5863" xr:uid="{00000000-0005-0000-0000-00006C170000}"/>
    <cellStyle name="Normal 2 7 4" xfId="5864" xr:uid="{00000000-0005-0000-0000-00006D170000}"/>
    <cellStyle name="Normal 2 7 5" xfId="5865" xr:uid="{00000000-0005-0000-0000-00006E170000}"/>
    <cellStyle name="Normal 2 7 6" xfId="5866" xr:uid="{00000000-0005-0000-0000-00006F170000}"/>
    <cellStyle name="Normal 2 7 7" xfId="5867" xr:uid="{00000000-0005-0000-0000-000070170000}"/>
    <cellStyle name="Normal 2 7 8" xfId="5868" xr:uid="{00000000-0005-0000-0000-000071170000}"/>
    <cellStyle name="Normal 2 7 9" xfId="5869" xr:uid="{00000000-0005-0000-0000-000072170000}"/>
    <cellStyle name="Normal 2 70" xfId="5870" xr:uid="{00000000-0005-0000-0000-000073170000}"/>
    <cellStyle name="Normal 2 71" xfId="5871" xr:uid="{00000000-0005-0000-0000-000074170000}"/>
    <cellStyle name="Normal 2 72" xfId="5872" xr:uid="{00000000-0005-0000-0000-000075170000}"/>
    <cellStyle name="Normal 2 73" xfId="5873" xr:uid="{00000000-0005-0000-0000-000076170000}"/>
    <cellStyle name="Normal 2 8" xfId="5874" xr:uid="{00000000-0005-0000-0000-000077170000}"/>
    <cellStyle name="Normal 2 8 10" xfId="5875" xr:uid="{00000000-0005-0000-0000-000078170000}"/>
    <cellStyle name="Normal 2 8 11" xfId="5876" xr:uid="{00000000-0005-0000-0000-000079170000}"/>
    <cellStyle name="Normal 2 8 12" xfId="5877" xr:uid="{00000000-0005-0000-0000-00007A170000}"/>
    <cellStyle name="Normal 2 8 13" xfId="5878" xr:uid="{00000000-0005-0000-0000-00007B170000}"/>
    <cellStyle name="Normal 2 8 14" xfId="5879" xr:uid="{00000000-0005-0000-0000-00007C170000}"/>
    <cellStyle name="Normal 2 8 15" xfId="5880" xr:uid="{00000000-0005-0000-0000-00007D170000}"/>
    <cellStyle name="Normal 2 8 16" xfId="5881" xr:uid="{00000000-0005-0000-0000-00007E170000}"/>
    <cellStyle name="Normal 2 8 17" xfId="5882" xr:uid="{00000000-0005-0000-0000-00007F170000}"/>
    <cellStyle name="Normal 2 8 18" xfId="5883" xr:uid="{00000000-0005-0000-0000-000080170000}"/>
    <cellStyle name="Normal 2 8 19" xfId="5884" xr:uid="{00000000-0005-0000-0000-000081170000}"/>
    <cellStyle name="Normal 2 8 2" xfId="5885" xr:uid="{00000000-0005-0000-0000-000082170000}"/>
    <cellStyle name="Normal 2 8 20" xfId="5886" xr:uid="{00000000-0005-0000-0000-000083170000}"/>
    <cellStyle name="Normal 2 8 21" xfId="5887" xr:uid="{00000000-0005-0000-0000-000084170000}"/>
    <cellStyle name="Normal 2 8 22" xfId="5888" xr:uid="{00000000-0005-0000-0000-000085170000}"/>
    <cellStyle name="Normal 2 8 23" xfId="5889" xr:uid="{00000000-0005-0000-0000-000086170000}"/>
    <cellStyle name="Normal 2 8 24" xfId="5890" xr:uid="{00000000-0005-0000-0000-000087170000}"/>
    <cellStyle name="Normal 2 8 3" xfId="5891" xr:uid="{00000000-0005-0000-0000-000088170000}"/>
    <cellStyle name="Normal 2 8 4" xfId="5892" xr:uid="{00000000-0005-0000-0000-000089170000}"/>
    <cellStyle name="Normal 2 8 5" xfId="5893" xr:uid="{00000000-0005-0000-0000-00008A170000}"/>
    <cellStyle name="Normal 2 8 6" xfId="5894" xr:uid="{00000000-0005-0000-0000-00008B170000}"/>
    <cellStyle name="Normal 2 8 7" xfId="5895" xr:uid="{00000000-0005-0000-0000-00008C170000}"/>
    <cellStyle name="Normal 2 8 8" xfId="5896" xr:uid="{00000000-0005-0000-0000-00008D170000}"/>
    <cellStyle name="Normal 2 8 9" xfId="5897" xr:uid="{00000000-0005-0000-0000-00008E170000}"/>
    <cellStyle name="Normal 2 9" xfId="5898" xr:uid="{00000000-0005-0000-0000-00008F170000}"/>
    <cellStyle name="Normal 2 9 10" xfId="5899" xr:uid="{00000000-0005-0000-0000-000090170000}"/>
    <cellStyle name="Normal 2 9 11" xfId="5900" xr:uid="{00000000-0005-0000-0000-000091170000}"/>
    <cellStyle name="Normal 2 9 12" xfId="5901" xr:uid="{00000000-0005-0000-0000-000092170000}"/>
    <cellStyle name="Normal 2 9 13" xfId="5902" xr:uid="{00000000-0005-0000-0000-000093170000}"/>
    <cellStyle name="Normal 2 9 14" xfId="5903" xr:uid="{00000000-0005-0000-0000-000094170000}"/>
    <cellStyle name="Normal 2 9 15" xfId="5904" xr:uid="{00000000-0005-0000-0000-000095170000}"/>
    <cellStyle name="Normal 2 9 16" xfId="5905" xr:uid="{00000000-0005-0000-0000-000096170000}"/>
    <cellStyle name="Normal 2 9 17" xfId="5906" xr:uid="{00000000-0005-0000-0000-000097170000}"/>
    <cellStyle name="Normal 2 9 18" xfId="5907" xr:uid="{00000000-0005-0000-0000-000098170000}"/>
    <cellStyle name="Normal 2 9 19" xfId="5908" xr:uid="{00000000-0005-0000-0000-000099170000}"/>
    <cellStyle name="Normal 2 9 2" xfId="5909" xr:uid="{00000000-0005-0000-0000-00009A170000}"/>
    <cellStyle name="Normal 2 9 20" xfId="5910" xr:uid="{00000000-0005-0000-0000-00009B170000}"/>
    <cellStyle name="Normal 2 9 21" xfId="5911" xr:uid="{00000000-0005-0000-0000-00009C170000}"/>
    <cellStyle name="Normal 2 9 22" xfId="5912" xr:uid="{00000000-0005-0000-0000-00009D170000}"/>
    <cellStyle name="Normal 2 9 23" xfId="5913" xr:uid="{00000000-0005-0000-0000-00009E170000}"/>
    <cellStyle name="Normal 2 9 24" xfId="5914" xr:uid="{00000000-0005-0000-0000-00009F170000}"/>
    <cellStyle name="Normal 2 9 3" xfId="5915" xr:uid="{00000000-0005-0000-0000-0000A0170000}"/>
    <cellStyle name="Normal 2 9 4" xfId="5916" xr:uid="{00000000-0005-0000-0000-0000A1170000}"/>
    <cellStyle name="Normal 2 9 5" xfId="5917" xr:uid="{00000000-0005-0000-0000-0000A2170000}"/>
    <cellStyle name="Normal 2 9 6" xfId="5918" xr:uid="{00000000-0005-0000-0000-0000A3170000}"/>
    <cellStyle name="Normal 2 9 7" xfId="5919" xr:uid="{00000000-0005-0000-0000-0000A4170000}"/>
    <cellStyle name="Normal 2 9 8" xfId="5920" xr:uid="{00000000-0005-0000-0000-0000A5170000}"/>
    <cellStyle name="Normal 2 9 9" xfId="5921" xr:uid="{00000000-0005-0000-0000-0000A6170000}"/>
    <cellStyle name="Normal 2_EEFFs 2013" xfId="6492" xr:uid="{00000000-0005-0000-0000-0000A7170000}"/>
    <cellStyle name="Normal 20 10" xfId="5922" xr:uid="{00000000-0005-0000-0000-0000A8170000}"/>
    <cellStyle name="Normal 20 11" xfId="5923" xr:uid="{00000000-0005-0000-0000-0000A9170000}"/>
    <cellStyle name="Normal 20 12" xfId="5924" xr:uid="{00000000-0005-0000-0000-0000AA170000}"/>
    <cellStyle name="Normal 20 13" xfId="5925" xr:uid="{00000000-0005-0000-0000-0000AB170000}"/>
    <cellStyle name="Normal 20 14" xfId="5926" xr:uid="{00000000-0005-0000-0000-0000AC170000}"/>
    <cellStyle name="Normal 20 15" xfId="5927" xr:uid="{00000000-0005-0000-0000-0000AD170000}"/>
    <cellStyle name="Normal 20 16" xfId="5928" xr:uid="{00000000-0005-0000-0000-0000AE170000}"/>
    <cellStyle name="Normal 20 17" xfId="5929" xr:uid="{00000000-0005-0000-0000-0000AF170000}"/>
    <cellStyle name="Normal 20 18" xfId="5930" xr:uid="{00000000-0005-0000-0000-0000B0170000}"/>
    <cellStyle name="Normal 20 19" xfId="5931" xr:uid="{00000000-0005-0000-0000-0000B1170000}"/>
    <cellStyle name="Normal 20 2" xfId="5932" xr:uid="{00000000-0005-0000-0000-0000B2170000}"/>
    <cellStyle name="Normal 20 20" xfId="5933" xr:uid="{00000000-0005-0000-0000-0000B3170000}"/>
    <cellStyle name="Normal 20 21" xfId="5934" xr:uid="{00000000-0005-0000-0000-0000B4170000}"/>
    <cellStyle name="Normal 20 22" xfId="5935" xr:uid="{00000000-0005-0000-0000-0000B5170000}"/>
    <cellStyle name="Normal 20 23" xfId="5936" xr:uid="{00000000-0005-0000-0000-0000B6170000}"/>
    <cellStyle name="Normal 20 3" xfId="5937" xr:uid="{00000000-0005-0000-0000-0000B7170000}"/>
    <cellStyle name="Normal 20 4" xfId="5938" xr:uid="{00000000-0005-0000-0000-0000B8170000}"/>
    <cellStyle name="Normal 20 5" xfId="5939" xr:uid="{00000000-0005-0000-0000-0000B9170000}"/>
    <cellStyle name="Normal 20 6" xfId="5940" xr:uid="{00000000-0005-0000-0000-0000BA170000}"/>
    <cellStyle name="Normal 20 7" xfId="5941" xr:uid="{00000000-0005-0000-0000-0000BB170000}"/>
    <cellStyle name="Normal 20 8" xfId="5942" xr:uid="{00000000-0005-0000-0000-0000BC170000}"/>
    <cellStyle name="Normal 20 9" xfId="5943" xr:uid="{00000000-0005-0000-0000-0000BD170000}"/>
    <cellStyle name="Normal 23 2" xfId="5944" xr:uid="{00000000-0005-0000-0000-0000BE170000}"/>
    <cellStyle name="Normal 23 3" xfId="5945" xr:uid="{00000000-0005-0000-0000-0000BF170000}"/>
    <cellStyle name="Normal 23 4" xfId="5946" xr:uid="{00000000-0005-0000-0000-0000C0170000}"/>
    <cellStyle name="Normal 24 2" xfId="5947" xr:uid="{00000000-0005-0000-0000-0000C1170000}"/>
    <cellStyle name="Normal 24 3" xfId="5948" xr:uid="{00000000-0005-0000-0000-0000C2170000}"/>
    <cellStyle name="Normal 24 4" xfId="5949" xr:uid="{00000000-0005-0000-0000-0000C3170000}"/>
    <cellStyle name="Normal 29" xfId="5950" xr:uid="{00000000-0005-0000-0000-0000C4170000}"/>
    <cellStyle name="Normal 3" xfId="5951" xr:uid="{00000000-0005-0000-0000-0000C5170000}"/>
    <cellStyle name="Normal 3 10" xfId="5952" xr:uid="{00000000-0005-0000-0000-0000C6170000}"/>
    <cellStyle name="Normal 3 11" xfId="5953" xr:uid="{00000000-0005-0000-0000-0000C7170000}"/>
    <cellStyle name="Normal 3 12" xfId="5954" xr:uid="{00000000-0005-0000-0000-0000C8170000}"/>
    <cellStyle name="Normal 3 13" xfId="5955" xr:uid="{00000000-0005-0000-0000-0000C9170000}"/>
    <cellStyle name="Normal 3 14" xfId="5956" xr:uid="{00000000-0005-0000-0000-0000CA170000}"/>
    <cellStyle name="Normal 3 15" xfId="5957" xr:uid="{00000000-0005-0000-0000-0000CB170000}"/>
    <cellStyle name="Normal 3 16" xfId="5958" xr:uid="{00000000-0005-0000-0000-0000CC170000}"/>
    <cellStyle name="Normal 3 17" xfId="5959" xr:uid="{00000000-0005-0000-0000-0000CD170000}"/>
    <cellStyle name="Normal 3 18" xfId="5960" xr:uid="{00000000-0005-0000-0000-0000CE170000}"/>
    <cellStyle name="Normal 3 19" xfId="5961" xr:uid="{00000000-0005-0000-0000-0000CF170000}"/>
    <cellStyle name="Normal 3 2" xfId="5962" xr:uid="{00000000-0005-0000-0000-0000D0170000}"/>
    <cellStyle name="Normal 3 2 10" xfId="5963" xr:uid="{00000000-0005-0000-0000-0000D1170000}"/>
    <cellStyle name="Normal 3 2 11" xfId="5964" xr:uid="{00000000-0005-0000-0000-0000D2170000}"/>
    <cellStyle name="Normal 3 2 12" xfId="5965" xr:uid="{00000000-0005-0000-0000-0000D3170000}"/>
    <cellStyle name="Normal 3 2 13" xfId="5966" xr:uid="{00000000-0005-0000-0000-0000D4170000}"/>
    <cellStyle name="Normal 3 2 14" xfId="5967" xr:uid="{00000000-0005-0000-0000-0000D5170000}"/>
    <cellStyle name="Normal 3 2 15" xfId="5968" xr:uid="{00000000-0005-0000-0000-0000D6170000}"/>
    <cellStyle name="Normal 3 2 16" xfId="5969" xr:uid="{00000000-0005-0000-0000-0000D7170000}"/>
    <cellStyle name="Normal 3 2 17" xfId="5970" xr:uid="{00000000-0005-0000-0000-0000D8170000}"/>
    <cellStyle name="Normal 3 2 18" xfId="5971" xr:uid="{00000000-0005-0000-0000-0000D9170000}"/>
    <cellStyle name="Normal 3 2 19" xfId="5972" xr:uid="{00000000-0005-0000-0000-0000DA170000}"/>
    <cellStyle name="Normal 3 2 2" xfId="5973" xr:uid="{00000000-0005-0000-0000-0000DB170000}"/>
    <cellStyle name="Normal 3 2 20" xfId="5974" xr:uid="{00000000-0005-0000-0000-0000DC170000}"/>
    <cellStyle name="Normal 3 2 21" xfId="5975" xr:uid="{00000000-0005-0000-0000-0000DD170000}"/>
    <cellStyle name="Normal 3 2 22" xfId="5976" xr:uid="{00000000-0005-0000-0000-0000DE170000}"/>
    <cellStyle name="Normal 3 2 23" xfId="5977" xr:uid="{00000000-0005-0000-0000-0000DF170000}"/>
    <cellStyle name="Normal 3 2 24" xfId="5978" xr:uid="{00000000-0005-0000-0000-0000E0170000}"/>
    <cellStyle name="Normal 3 2 25" xfId="5979" xr:uid="{00000000-0005-0000-0000-0000E1170000}"/>
    <cellStyle name="Normal 3 2 26" xfId="5980" xr:uid="{00000000-0005-0000-0000-0000E2170000}"/>
    <cellStyle name="Normal 3 2 27" xfId="5981" xr:uid="{00000000-0005-0000-0000-0000E3170000}"/>
    <cellStyle name="Normal 3 2 28" xfId="5982" xr:uid="{00000000-0005-0000-0000-0000E4170000}"/>
    <cellStyle name="Normal 3 2 29" xfId="5983" xr:uid="{00000000-0005-0000-0000-0000E5170000}"/>
    <cellStyle name="Normal 3 2 3" xfId="5984" xr:uid="{00000000-0005-0000-0000-0000E6170000}"/>
    <cellStyle name="Normal 3 2 30" xfId="5985" xr:uid="{00000000-0005-0000-0000-0000E7170000}"/>
    <cellStyle name="Normal 3 2 31" xfId="5986" xr:uid="{00000000-0005-0000-0000-0000E8170000}"/>
    <cellStyle name="Normal 3 2 32" xfId="5987" xr:uid="{00000000-0005-0000-0000-0000E9170000}"/>
    <cellStyle name="Normal 3 2 4" xfId="5988" xr:uid="{00000000-0005-0000-0000-0000EA170000}"/>
    <cellStyle name="Normal 3 2 5" xfId="5989" xr:uid="{00000000-0005-0000-0000-0000EB170000}"/>
    <cellStyle name="Normal 3 2 6" xfId="5990" xr:uid="{00000000-0005-0000-0000-0000EC170000}"/>
    <cellStyle name="Normal 3 2 7" xfId="5991" xr:uid="{00000000-0005-0000-0000-0000ED170000}"/>
    <cellStyle name="Normal 3 2 8" xfId="5992" xr:uid="{00000000-0005-0000-0000-0000EE170000}"/>
    <cellStyle name="Normal 3 2 9" xfId="5993" xr:uid="{00000000-0005-0000-0000-0000EF170000}"/>
    <cellStyle name="Normal 3 20" xfId="5994" xr:uid="{00000000-0005-0000-0000-0000F0170000}"/>
    <cellStyle name="Normal 3 21" xfId="5995" xr:uid="{00000000-0005-0000-0000-0000F1170000}"/>
    <cellStyle name="Normal 3 22" xfId="5996" xr:uid="{00000000-0005-0000-0000-0000F2170000}"/>
    <cellStyle name="Normal 3 23" xfId="5997" xr:uid="{00000000-0005-0000-0000-0000F3170000}"/>
    <cellStyle name="Normal 3 24" xfId="5998" xr:uid="{00000000-0005-0000-0000-0000F4170000}"/>
    <cellStyle name="Normal 3 25" xfId="5999" xr:uid="{00000000-0005-0000-0000-0000F5170000}"/>
    <cellStyle name="Normal 3 26" xfId="6000" xr:uid="{00000000-0005-0000-0000-0000F6170000}"/>
    <cellStyle name="Normal 3 27" xfId="6001" xr:uid="{00000000-0005-0000-0000-0000F7170000}"/>
    <cellStyle name="Normal 3 28" xfId="6002" xr:uid="{00000000-0005-0000-0000-0000F8170000}"/>
    <cellStyle name="Normal 3 29" xfId="6003" xr:uid="{00000000-0005-0000-0000-0000F9170000}"/>
    <cellStyle name="Normal 3 3" xfId="6004" xr:uid="{00000000-0005-0000-0000-0000FA170000}"/>
    <cellStyle name="Normal 3 3 2" xfId="6005" xr:uid="{00000000-0005-0000-0000-0000FB170000}"/>
    <cellStyle name="Normal 3 30" xfId="6006" xr:uid="{00000000-0005-0000-0000-0000FC170000}"/>
    <cellStyle name="Normal 3 31" xfId="6007" xr:uid="{00000000-0005-0000-0000-0000FD170000}"/>
    <cellStyle name="Normal 3 32" xfId="6008" xr:uid="{00000000-0005-0000-0000-0000FE170000}"/>
    <cellStyle name="Normal 3 33" xfId="6009" xr:uid="{00000000-0005-0000-0000-0000FF170000}"/>
    <cellStyle name="Normal 3 34" xfId="6010" xr:uid="{00000000-0005-0000-0000-000000180000}"/>
    <cellStyle name="Normal 3 35" xfId="6011" xr:uid="{00000000-0005-0000-0000-000001180000}"/>
    <cellStyle name="Normal 3 36" xfId="6012" xr:uid="{00000000-0005-0000-0000-000002180000}"/>
    <cellStyle name="Normal 3 37" xfId="6013" xr:uid="{00000000-0005-0000-0000-000003180000}"/>
    <cellStyle name="Normal 3 38" xfId="6014" xr:uid="{00000000-0005-0000-0000-000004180000}"/>
    <cellStyle name="Normal 3 39" xfId="6015" xr:uid="{00000000-0005-0000-0000-000005180000}"/>
    <cellStyle name="Normal 3 4" xfId="6016" xr:uid="{00000000-0005-0000-0000-000006180000}"/>
    <cellStyle name="Normal 3 4 2" xfId="6017" xr:uid="{00000000-0005-0000-0000-000007180000}"/>
    <cellStyle name="Normal 3 40" xfId="6018" xr:uid="{00000000-0005-0000-0000-000008180000}"/>
    <cellStyle name="Normal 3 41" xfId="6019" xr:uid="{00000000-0005-0000-0000-000009180000}"/>
    <cellStyle name="Normal 3 42" xfId="6020" xr:uid="{00000000-0005-0000-0000-00000A180000}"/>
    <cellStyle name="Normal 3 43" xfId="6021" xr:uid="{00000000-0005-0000-0000-00000B180000}"/>
    <cellStyle name="Normal 3 44" xfId="6022" xr:uid="{00000000-0005-0000-0000-00000C180000}"/>
    <cellStyle name="Normal 3 45" xfId="6023" xr:uid="{00000000-0005-0000-0000-00000D180000}"/>
    <cellStyle name="Normal 3 46" xfId="6024" xr:uid="{00000000-0005-0000-0000-00000E180000}"/>
    <cellStyle name="Normal 3 47" xfId="6025" xr:uid="{00000000-0005-0000-0000-00000F180000}"/>
    <cellStyle name="Normal 3 48" xfId="6026" xr:uid="{00000000-0005-0000-0000-000010180000}"/>
    <cellStyle name="Normal 3 49" xfId="6027" xr:uid="{00000000-0005-0000-0000-000011180000}"/>
    <cellStyle name="Normal 3 5" xfId="6028" xr:uid="{00000000-0005-0000-0000-000012180000}"/>
    <cellStyle name="Normal 3 5 2" xfId="6029" xr:uid="{00000000-0005-0000-0000-000013180000}"/>
    <cellStyle name="Normal 3 50" xfId="6030" xr:uid="{00000000-0005-0000-0000-000014180000}"/>
    <cellStyle name="Normal 3 51" xfId="6031" xr:uid="{00000000-0005-0000-0000-000015180000}"/>
    <cellStyle name="Normal 3 52" xfId="6032" xr:uid="{00000000-0005-0000-0000-000016180000}"/>
    <cellStyle name="Normal 3 53" xfId="6033" xr:uid="{00000000-0005-0000-0000-000017180000}"/>
    <cellStyle name="Normal 3 54" xfId="6034" xr:uid="{00000000-0005-0000-0000-000018180000}"/>
    <cellStyle name="Normal 3 55" xfId="6035" xr:uid="{00000000-0005-0000-0000-000019180000}"/>
    <cellStyle name="Normal 3 56" xfId="6036" xr:uid="{00000000-0005-0000-0000-00001A180000}"/>
    <cellStyle name="Normal 3 6" xfId="6037" xr:uid="{00000000-0005-0000-0000-00001B180000}"/>
    <cellStyle name="Normal 3 7" xfId="6038" xr:uid="{00000000-0005-0000-0000-00001C180000}"/>
    <cellStyle name="Normal 3 8" xfId="6039" xr:uid="{00000000-0005-0000-0000-00001D180000}"/>
    <cellStyle name="Normal 3 9" xfId="6040" xr:uid="{00000000-0005-0000-0000-00001E180000}"/>
    <cellStyle name="Normal 3_EEFFs 2013" xfId="6493" xr:uid="{00000000-0005-0000-0000-00001F180000}"/>
    <cellStyle name="Normal 30" xfId="6041" xr:uid="{00000000-0005-0000-0000-000020180000}"/>
    <cellStyle name="Normal 30 2" xfId="6042" xr:uid="{00000000-0005-0000-0000-000021180000}"/>
    <cellStyle name="Normal 4" xfId="6043" xr:uid="{00000000-0005-0000-0000-000022180000}"/>
    <cellStyle name="Normal 4 10" xfId="6044" xr:uid="{00000000-0005-0000-0000-000023180000}"/>
    <cellStyle name="Normal 4 11" xfId="6045" xr:uid="{00000000-0005-0000-0000-000024180000}"/>
    <cellStyle name="Normal 4 12" xfId="6046" xr:uid="{00000000-0005-0000-0000-000025180000}"/>
    <cellStyle name="Normal 4 13" xfId="6047" xr:uid="{00000000-0005-0000-0000-000026180000}"/>
    <cellStyle name="Normal 4 14" xfId="6048" xr:uid="{00000000-0005-0000-0000-000027180000}"/>
    <cellStyle name="Normal 4 15" xfId="6049" xr:uid="{00000000-0005-0000-0000-000028180000}"/>
    <cellStyle name="Normal 4 16" xfId="6050" xr:uid="{00000000-0005-0000-0000-000029180000}"/>
    <cellStyle name="Normal 4 17" xfId="6051" xr:uid="{00000000-0005-0000-0000-00002A180000}"/>
    <cellStyle name="Normal 4 18" xfId="6052" xr:uid="{00000000-0005-0000-0000-00002B180000}"/>
    <cellStyle name="Normal 4 19" xfId="6053" xr:uid="{00000000-0005-0000-0000-00002C180000}"/>
    <cellStyle name="Normal 4 2" xfId="6054" xr:uid="{00000000-0005-0000-0000-00002D180000}"/>
    <cellStyle name="Normal 4 2 2" xfId="6055" xr:uid="{00000000-0005-0000-0000-00002E180000}"/>
    <cellStyle name="Normal 4 2 3" xfId="6056" xr:uid="{00000000-0005-0000-0000-00002F180000}"/>
    <cellStyle name="Normal 4 2 3 2" xfId="6057" xr:uid="{00000000-0005-0000-0000-000030180000}"/>
    <cellStyle name="Normal 4 2 4" xfId="6058" xr:uid="{00000000-0005-0000-0000-000031180000}"/>
    <cellStyle name="Normal 4 20" xfId="6059" xr:uid="{00000000-0005-0000-0000-000032180000}"/>
    <cellStyle name="Normal 4 21" xfId="6060" xr:uid="{00000000-0005-0000-0000-000033180000}"/>
    <cellStyle name="Normal 4 22" xfId="6061" xr:uid="{00000000-0005-0000-0000-000034180000}"/>
    <cellStyle name="Normal 4 23" xfId="6062" xr:uid="{00000000-0005-0000-0000-000035180000}"/>
    <cellStyle name="Normal 4 24" xfId="6063" xr:uid="{00000000-0005-0000-0000-000036180000}"/>
    <cellStyle name="Normal 4 25" xfId="6064" xr:uid="{00000000-0005-0000-0000-000037180000}"/>
    <cellStyle name="Normal 4 26" xfId="6065" xr:uid="{00000000-0005-0000-0000-000038180000}"/>
    <cellStyle name="Normal 4 27" xfId="6066" xr:uid="{00000000-0005-0000-0000-000039180000}"/>
    <cellStyle name="Normal 4 28" xfId="6067" xr:uid="{00000000-0005-0000-0000-00003A180000}"/>
    <cellStyle name="Normal 4 29" xfId="6068" xr:uid="{00000000-0005-0000-0000-00003B180000}"/>
    <cellStyle name="Normal 4 3" xfId="6069" xr:uid="{00000000-0005-0000-0000-00003C180000}"/>
    <cellStyle name="Normal 4 3 2" xfId="6070" xr:uid="{00000000-0005-0000-0000-00003D180000}"/>
    <cellStyle name="Normal 4 30" xfId="6071" xr:uid="{00000000-0005-0000-0000-00003E180000}"/>
    <cellStyle name="Normal 4 31" xfId="6072" xr:uid="{00000000-0005-0000-0000-00003F180000}"/>
    <cellStyle name="Normal 4 32" xfId="6073" xr:uid="{00000000-0005-0000-0000-000040180000}"/>
    <cellStyle name="Normal 4 33" xfId="6074" xr:uid="{00000000-0005-0000-0000-000041180000}"/>
    <cellStyle name="Normal 4 34" xfId="6075" xr:uid="{00000000-0005-0000-0000-000042180000}"/>
    <cellStyle name="Normal 4 35" xfId="6076" xr:uid="{00000000-0005-0000-0000-000043180000}"/>
    <cellStyle name="Normal 4 36" xfId="6077" xr:uid="{00000000-0005-0000-0000-000044180000}"/>
    <cellStyle name="Normal 4 37" xfId="6078" xr:uid="{00000000-0005-0000-0000-000045180000}"/>
    <cellStyle name="Normal 4 38" xfId="6079" xr:uid="{00000000-0005-0000-0000-000046180000}"/>
    <cellStyle name="Normal 4 39" xfId="6080" xr:uid="{00000000-0005-0000-0000-000047180000}"/>
    <cellStyle name="Normal 4 4" xfId="6081" xr:uid="{00000000-0005-0000-0000-000048180000}"/>
    <cellStyle name="Normal 4 4 2" xfId="6082" xr:uid="{00000000-0005-0000-0000-000049180000}"/>
    <cellStyle name="Normal 4 40" xfId="6083" xr:uid="{00000000-0005-0000-0000-00004A180000}"/>
    <cellStyle name="Normal 4 41" xfId="6084" xr:uid="{00000000-0005-0000-0000-00004B180000}"/>
    <cellStyle name="Normal 4 42" xfId="6085" xr:uid="{00000000-0005-0000-0000-00004C180000}"/>
    <cellStyle name="Normal 4 43" xfId="6086" xr:uid="{00000000-0005-0000-0000-00004D180000}"/>
    <cellStyle name="Normal 4 44" xfId="6087" xr:uid="{00000000-0005-0000-0000-00004E180000}"/>
    <cellStyle name="Normal 4 45" xfId="6088" xr:uid="{00000000-0005-0000-0000-00004F180000}"/>
    <cellStyle name="Normal 4 46" xfId="6089" xr:uid="{00000000-0005-0000-0000-000050180000}"/>
    <cellStyle name="Normal 4 47" xfId="6090" xr:uid="{00000000-0005-0000-0000-000051180000}"/>
    <cellStyle name="Normal 4 48" xfId="6091" xr:uid="{00000000-0005-0000-0000-000052180000}"/>
    <cellStyle name="Normal 4 49" xfId="6092" xr:uid="{00000000-0005-0000-0000-000053180000}"/>
    <cellStyle name="Normal 4 5" xfId="6093" xr:uid="{00000000-0005-0000-0000-000054180000}"/>
    <cellStyle name="Normal 4 50" xfId="6094" xr:uid="{00000000-0005-0000-0000-000055180000}"/>
    <cellStyle name="Normal 4 51" xfId="6095" xr:uid="{00000000-0005-0000-0000-000056180000}"/>
    <cellStyle name="Normal 4 52" xfId="6096" xr:uid="{00000000-0005-0000-0000-000057180000}"/>
    <cellStyle name="Normal 4 53" xfId="6097" xr:uid="{00000000-0005-0000-0000-000058180000}"/>
    <cellStyle name="Normal 4 54" xfId="6098" xr:uid="{00000000-0005-0000-0000-000059180000}"/>
    <cellStyle name="Normal 4 6" xfId="6099" xr:uid="{00000000-0005-0000-0000-00005A180000}"/>
    <cellStyle name="Normal 4 6 2" xfId="6100" xr:uid="{00000000-0005-0000-0000-00005B180000}"/>
    <cellStyle name="Normal 4 7" xfId="6101" xr:uid="{00000000-0005-0000-0000-00005C180000}"/>
    <cellStyle name="Normal 4 8" xfId="6102" xr:uid="{00000000-0005-0000-0000-00005D180000}"/>
    <cellStyle name="Normal 4 9" xfId="6103" xr:uid="{00000000-0005-0000-0000-00005E180000}"/>
    <cellStyle name="Normal 45" xfId="6104" xr:uid="{00000000-0005-0000-0000-00005F180000}"/>
    <cellStyle name="Normal 46" xfId="6105" xr:uid="{00000000-0005-0000-0000-000060180000}"/>
    <cellStyle name="Normal 47" xfId="6106" xr:uid="{00000000-0005-0000-0000-000061180000}"/>
    <cellStyle name="Normal 48" xfId="6107" xr:uid="{00000000-0005-0000-0000-000062180000}"/>
    <cellStyle name="Normal 49" xfId="6108" xr:uid="{00000000-0005-0000-0000-000063180000}"/>
    <cellStyle name="Normal 5" xfId="6109" xr:uid="{00000000-0005-0000-0000-000064180000}"/>
    <cellStyle name="Normal 5 10" xfId="6110" xr:uid="{00000000-0005-0000-0000-000065180000}"/>
    <cellStyle name="Normal 5 11" xfId="6111" xr:uid="{00000000-0005-0000-0000-000066180000}"/>
    <cellStyle name="Normal 5 12" xfId="6112" xr:uid="{00000000-0005-0000-0000-000067180000}"/>
    <cellStyle name="Normal 5 13" xfId="6113" xr:uid="{00000000-0005-0000-0000-000068180000}"/>
    <cellStyle name="Normal 5 14" xfId="6114" xr:uid="{00000000-0005-0000-0000-000069180000}"/>
    <cellStyle name="Normal 5 15" xfId="6115" xr:uid="{00000000-0005-0000-0000-00006A180000}"/>
    <cellStyle name="Normal 5 16" xfId="6116" xr:uid="{00000000-0005-0000-0000-00006B180000}"/>
    <cellStyle name="Normal 5 17" xfId="6117" xr:uid="{00000000-0005-0000-0000-00006C180000}"/>
    <cellStyle name="Normal 5 18" xfId="6118" xr:uid="{00000000-0005-0000-0000-00006D180000}"/>
    <cellStyle name="Normal 5 19" xfId="6119" xr:uid="{00000000-0005-0000-0000-00006E180000}"/>
    <cellStyle name="Normal 5 2" xfId="6120" xr:uid="{00000000-0005-0000-0000-00006F180000}"/>
    <cellStyle name="Normal 5 2 2" xfId="6121" xr:uid="{00000000-0005-0000-0000-000070180000}"/>
    <cellStyle name="Normal 5 20" xfId="6122" xr:uid="{00000000-0005-0000-0000-000071180000}"/>
    <cellStyle name="Normal 5 21" xfId="6123" xr:uid="{00000000-0005-0000-0000-000072180000}"/>
    <cellStyle name="Normal 5 22" xfId="6124" xr:uid="{00000000-0005-0000-0000-000073180000}"/>
    <cellStyle name="Normal 5 23" xfId="6125" xr:uid="{00000000-0005-0000-0000-000074180000}"/>
    <cellStyle name="Normal 5 24" xfId="6126" xr:uid="{00000000-0005-0000-0000-000075180000}"/>
    <cellStyle name="Normal 5 25" xfId="6127" xr:uid="{00000000-0005-0000-0000-000076180000}"/>
    <cellStyle name="Normal 5 26" xfId="6128" xr:uid="{00000000-0005-0000-0000-000077180000}"/>
    <cellStyle name="Normal 5 27" xfId="6129" xr:uid="{00000000-0005-0000-0000-000078180000}"/>
    <cellStyle name="Normal 5 28" xfId="6130" xr:uid="{00000000-0005-0000-0000-000079180000}"/>
    <cellStyle name="Normal 5 29" xfId="6131" xr:uid="{00000000-0005-0000-0000-00007A180000}"/>
    <cellStyle name="Normal 5 3" xfId="6132" xr:uid="{00000000-0005-0000-0000-00007B180000}"/>
    <cellStyle name="Normal 5 3 2" xfId="6133" xr:uid="{00000000-0005-0000-0000-00007C180000}"/>
    <cellStyle name="Normal 5 30" xfId="6134" xr:uid="{00000000-0005-0000-0000-00007D180000}"/>
    <cellStyle name="Normal 5 31" xfId="6135" xr:uid="{00000000-0005-0000-0000-00007E180000}"/>
    <cellStyle name="Normal 5 32" xfId="6136" xr:uid="{00000000-0005-0000-0000-00007F180000}"/>
    <cellStyle name="Normal 5 4" xfId="6137" xr:uid="{00000000-0005-0000-0000-000080180000}"/>
    <cellStyle name="Normal 5 4 2" xfId="6138" xr:uid="{00000000-0005-0000-0000-000081180000}"/>
    <cellStyle name="Normal 5 5" xfId="6139" xr:uid="{00000000-0005-0000-0000-000082180000}"/>
    <cellStyle name="Normal 5 5 2" xfId="6140" xr:uid="{00000000-0005-0000-0000-000083180000}"/>
    <cellStyle name="Normal 5 6" xfId="6141" xr:uid="{00000000-0005-0000-0000-000084180000}"/>
    <cellStyle name="Normal 5 7" xfId="6142" xr:uid="{00000000-0005-0000-0000-000085180000}"/>
    <cellStyle name="Normal 5 8" xfId="6143" xr:uid="{00000000-0005-0000-0000-000086180000}"/>
    <cellStyle name="Normal 5 9" xfId="6144" xr:uid="{00000000-0005-0000-0000-000087180000}"/>
    <cellStyle name="Normal 50" xfId="6145" xr:uid="{00000000-0005-0000-0000-000088180000}"/>
    <cellStyle name="Normal 51" xfId="6146" xr:uid="{00000000-0005-0000-0000-000089180000}"/>
    <cellStyle name="Normal 52" xfId="6147" xr:uid="{00000000-0005-0000-0000-00008A180000}"/>
    <cellStyle name="Normal 53" xfId="6148" xr:uid="{00000000-0005-0000-0000-00008B180000}"/>
    <cellStyle name="Normal 53 2" xfId="6617" xr:uid="{00000000-0005-0000-0000-00008C180000}"/>
    <cellStyle name="Normal 53 2 2" xfId="6618" xr:uid="{00000000-0005-0000-0000-00008D180000}"/>
    <cellStyle name="Normal 54" xfId="6149" xr:uid="{00000000-0005-0000-0000-00008E180000}"/>
    <cellStyle name="Normal 55" xfId="6150" xr:uid="{00000000-0005-0000-0000-00008F180000}"/>
    <cellStyle name="Normal 56" xfId="6151" xr:uid="{00000000-0005-0000-0000-000090180000}"/>
    <cellStyle name="Normal 57" xfId="6152" xr:uid="{00000000-0005-0000-0000-000091180000}"/>
    <cellStyle name="Normal 58" xfId="6153" xr:uid="{00000000-0005-0000-0000-000092180000}"/>
    <cellStyle name="Normal 59" xfId="6154" xr:uid="{00000000-0005-0000-0000-000093180000}"/>
    <cellStyle name="Normal 6" xfId="6155" xr:uid="{00000000-0005-0000-0000-000094180000}"/>
    <cellStyle name="Normal 6 10" xfId="6156" xr:uid="{00000000-0005-0000-0000-000095180000}"/>
    <cellStyle name="Normal 6 11" xfId="6157" xr:uid="{00000000-0005-0000-0000-000096180000}"/>
    <cellStyle name="Normal 6 12" xfId="6158" xr:uid="{00000000-0005-0000-0000-000097180000}"/>
    <cellStyle name="Normal 6 13" xfId="6159" xr:uid="{00000000-0005-0000-0000-000098180000}"/>
    <cellStyle name="Normal 6 14" xfId="6160" xr:uid="{00000000-0005-0000-0000-000099180000}"/>
    <cellStyle name="Normal 6 15" xfId="6161" xr:uid="{00000000-0005-0000-0000-00009A180000}"/>
    <cellStyle name="Normal 6 16" xfId="6162" xr:uid="{00000000-0005-0000-0000-00009B180000}"/>
    <cellStyle name="Normal 6 17" xfId="6163" xr:uid="{00000000-0005-0000-0000-00009C180000}"/>
    <cellStyle name="Normal 6 18" xfId="6164" xr:uid="{00000000-0005-0000-0000-00009D180000}"/>
    <cellStyle name="Normal 6 19" xfId="6165" xr:uid="{00000000-0005-0000-0000-00009E180000}"/>
    <cellStyle name="Normal 6 2" xfId="6166" xr:uid="{00000000-0005-0000-0000-00009F180000}"/>
    <cellStyle name="Normal 6 2 2" xfId="6167" xr:uid="{00000000-0005-0000-0000-0000A0180000}"/>
    <cellStyle name="Normal 6 20" xfId="6168" xr:uid="{00000000-0005-0000-0000-0000A1180000}"/>
    <cellStyle name="Normal 6 21" xfId="6169" xr:uid="{00000000-0005-0000-0000-0000A2180000}"/>
    <cellStyle name="Normal 6 22" xfId="6170" xr:uid="{00000000-0005-0000-0000-0000A3180000}"/>
    <cellStyle name="Normal 6 23" xfId="6171" xr:uid="{00000000-0005-0000-0000-0000A4180000}"/>
    <cellStyle name="Normal 6 24" xfId="6172" xr:uid="{00000000-0005-0000-0000-0000A5180000}"/>
    <cellStyle name="Normal 6 25" xfId="6173" xr:uid="{00000000-0005-0000-0000-0000A6180000}"/>
    <cellStyle name="Normal 6 26" xfId="6174" xr:uid="{00000000-0005-0000-0000-0000A7180000}"/>
    <cellStyle name="Normal 6 27" xfId="6175" xr:uid="{00000000-0005-0000-0000-0000A8180000}"/>
    <cellStyle name="Normal 6 28" xfId="6176" xr:uid="{00000000-0005-0000-0000-0000A9180000}"/>
    <cellStyle name="Normal 6 29" xfId="6177" xr:uid="{00000000-0005-0000-0000-0000AA180000}"/>
    <cellStyle name="Normal 6 3" xfId="6178" xr:uid="{00000000-0005-0000-0000-0000AB180000}"/>
    <cellStyle name="Normal 6 30" xfId="6179" xr:uid="{00000000-0005-0000-0000-0000AC180000}"/>
    <cellStyle name="Normal 6 31" xfId="6180" xr:uid="{00000000-0005-0000-0000-0000AD180000}"/>
    <cellStyle name="Normal 6 4" xfId="6181" xr:uid="{00000000-0005-0000-0000-0000AE180000}"/>
    <cellStyle name="Normal 6 5" xfId="6182" xr:uid="{00000000-0005-0000-0000-0000AF180000}"/>
    <cellStyle name="Normal 6 6" xfId="6183" xr:uid="{00000000-0005-0000-0000-0000B0180000}"/>
    <cellStyle name="Normal 6 7" xfId="6184" xr:uid="{00000000-0005-0000-0000-0000B1180000}"/>
    <cellStyle name="Normal 6 8" xfId="6185" xr:uid="{00000000-0005-0000-0000-0000B2180000}"/>
    <cellStyle name="Normal 6 9" xfId="6186" xr:uid="{00000000-0005-0000-0000-0000B3180000}"/>
    <cellStyle name="Normal 60" xfId="6187" xr:uid="{00000000-0005-0000-0000-0000B4180000}"/>
    <cellStyle name="Normal 61" xfId="6188" xr:uid="{00000000-0005-0000-0000-0000B5180000}"/>
    <cellStyle name="Normal 7" xfId="6189" xr:uid="{00000000-0005-0000-0000-0000B6180000}"/>
    <cellStyle name="Normal 7 10" xfId="6190" xr:uid="{00000000-0005-0000-0000-0000B7180000}"/>
    <cellStyle name="Normal 7 11" xfId="6191" xr:uid="{00000000-0005-0000-0000-0000B8180000}"/>
    <cellStyle name="Normal 7 12" xfId="6192" xr:uid="{00000000-0005-0000-0000-0000B9180000}"/>
    <cellStyle name="Normal 7 13" xfId="6193" xr:uid="{00000000-0005-0000-0000-0000BA180000}"/>
    <cellStyle name="Normal 7 14" xfId="6194" xr:uid="{00000000-0005-0000-0000-0000BB180000}"/>
    <cellStyle name="Normal 7 15" xfId="6195" xr:uid="{00000000-0005-0000-0000-0000BC180000}"/>
    <cellStyle name="Normal 7 16" xfId="6196" xr:uid="{00000000-0005-0000-0000-0000BD180000}"/>
    <cellStyle name="Normal 7 17" xfId="6197" xr:uid="{00000000-0005-0000-0000-0000BE180000}"/>
    <cellStyle name="Normal 7 18" xfId="6198" xr:uid="{00000000-0005-0000-0000-0000BF180000}"/>
    <cellStyle name="Normal 7 19" xfId="6199" xr:uid="{00000000-0005-0000-0000-0000C0180000}"/>
    <cellStyle name="Normal 7 2" xfId="6200" xr:uid="{00000000-0005-0000-0000-0000C1180000}"/>
    <cellStyle name="Normal 7 2 2" xfId="6201" xr:uid="{00000000-0005-0000-0000-0000C2180000}"/>
    <cellStyle name="Normal 7 2 3" xfId="6202" xr:uid="{00000000-0005-0000-0000-0000C3180000}"/>
    <cellStyle name="Normal 7 20" xfId="6203" xr:uid="{00000000-0005-0000-0000-0000C4180000}"/>
    <cellStyle name="Normal 7 21" xfId="6204" xr:uid="{00000000-0005-0000-0000-0000C5180000}"/>
    <cellStyle name="Normal 7 22" xfId="6205" xr:uid="{00000000-0005-0000-0000-0000C6180000}"/>
    <cellStyle name="Normal 7 23" xfId="6206" xr:uid="{00000000-0005-0000-0000-0000C7180000}"/>
    <cellStyle name="Normal 7 24" xfId="6207" xr:uid="{00000000-0005-0000-0000-0000C8180000}"/>
    <cellStyle name="Normal 7 25" xfId="6208" xr:uid="{00000000-0005-0000-0000-0000C9180000}"/>
    <cellStyle name="Normal 7 26" xfId="6209" xr:uid="{00000000-0005-0000-0000-0000CA180000}"/>
    <cellStyle name="Normal 7 27" xfId="6210" xr:uid="{00000000-0005-0000-0000-0000CB180000}"/>
    <cellStyle name="Normal 7 28" xfId="6211" xr:uid="{00000000-0005-0000-0000-0000CC180000}"/>
    <cellStyle name="Normal 7 29" xfId="6212" xr:uid="{00000000-0005-0000-0000-0000CD180000}"/>
    <cellStyle name="Normal 7 3" xfId="6213" xr:uid="{00000000-0005-0000-0000-0000CE180000}"/>
    <cellStyle name="Normal 7 3 2" xfId="6214" xr:uid="{00000000-0005-0000-0000-0000CF180000}"/>
    <cellStyle name="Normal 7 30" xfId="6215" xr:uid="{00000000-0005-0000-0000-0000D0180000}"/>
    <cellStyle name="Normal 7 31" xfId="6216" xr:uid="{00000000-0005-0000-0000-0000D1180000}"/>
    <cellStyle name="Normal 7 32" xfId="6217" xr:uid="{00000000-0005-0000-0000-0000D2180000}"/>
    <cellStyle name="Normal 7 33" xfId="6218" xr:uid="{00000000-0005-0000-0000-0000D3180000}"/>
    <cellStyle name="Normal 7 34" xfId="6219" xr:uid="{00000000-0005-0000-0000-0000D4180000}"/>
    <cellStyle name="Normal 7 35" xfId="6220" xr:uid="{00000000-0005-0000-0000-0000D5180000}"/>
    <cellStyle name="Normal 7 36" xfId="6221" xr:uid="{00000000-0005-0000-0000-0000D6180000}"/>
    <cellStyle name="Normal 7 37" xfId="6222" xr:uid="{00000000-0005-0000-0000-0000D7180000}"/>
    <cellStyle name="Normal 7 38" xfId="6223" xr:uid="{00000000-0005-0000-0000-0000D8180000}"/>
    <cellStyle name="Normal 7 39" xfId="6224" xr:uid="{00000000-0005-0000-0000-0000D9180000}"/>
    <cellStyle name="Normal 7 4" xfId="6225" xr:uid="{00000000-0005-0000-0000-0000DA180000}"/>
    <cellStyle name="Normal 7 4 2" xfId="6226" xr:uid="{00000000-0005-0000-0000-0000DB180000}"/>
    <cellStyle name="Normal 7 40" xfId="6227" xr:uid="{00000000-0005-0000-0000-0000DC180000}"/>
    <cellStyle name="Normal 7 41" xfId="6228" xr:uid="{00000000-0005-0000-0000-0000DD180000}"/>
    <cellStyle name="Normal 7 42" xfId="6229" xr:uid="{00000000-0005-0000-0000-0000DE180000}"/>
    <cellStyle name="Normal 7 43" xfId="6230" xr:uid="{00000000-0005-0000-0000-0000DF180000}"/>
    <cellStyle name="Normal 7 44" xfId="6231" xr:uid="{00000000-0005-0000-0000-0000E0180000}"/>
    <cellStyle name="Normal 7 45" xfId="6232" xr:uid="{00000000-0005-0000-0000-0000E1180000}"/>
    <cellStyle name="Normal 7 46" xfId="6233" xr:uid="{00000000-0005-0000-0000-0000E2180000}"/>
    <cellStyle name="Normal 7 47" xfId="6234" xr:uid="{00000000-0005-0000-0000-0000E3180000}"/>
    <cellStyle name="Normal 7 48" xfId="6235" xr:uid="{00000000-0005-0000-0000-0000E4180000}"/>
    <cellStyle name="Normal 7 49" xfId="6236" xr:uid="{00000000-0005-0000-0000-0000E5180000}"/>
    <cellStyle name="Normal 7 5" xfId="6237" xr:uid="{00000000-0005-0000-0000-0000E6180000}"/>
    <cellStyle name="Normal 7 50" xfId="6238" xr:uid="{00000000-0005-0000-0000-0000E7180000}"/>
    <cellStyle name="Normal 7 51" xfId="6239" xr:uid="{00000000-0005-0000-0000-0000E8180000}"/>
    <cellStyle name="Normal 7 52" xfId="6240" xr:uid="{00000000-0005-0000-0000-0000E9180000}"/>
    <cellStyle name="Normal 7 53" xfId="6241" xr:uid="{00000000-0005-0000-0000-0000EA180000}"/>
    <cellStyle name="Normal 7 6" xfId="6242" xr:uid="{00000000-0005-0000-0000-0000EB180000}"/>
    <cellStyle name="Normal 7 7" xfId="6243" xr:uid="{00000000-0005-0000-0000-0000EC180000}"/>
    <cellStyle name="Normal 7 8" xfId="6244" xr:uid="{00000000-0005-0000-0000-0000ED180000}"/>
    <cellStyle name="Normal 7 9" xfId="6245" xr:uid="{00000000-0005-0000-0000-0000EE180000}"/>
    <cellStyle name="Normal 8" xfId="6246" xr:uid="{00000000-0005-0000-0000-0000EF180000}"/>
    <cellStyle name="Normal 8 10" xfId="6247" xr:uid="{00000000-0005-0000-0000-0000F0180000}"/>
    <cellStyle name="Normal 8 11" xfId="6248" xr:uid="{00000000-0005-0000-0000-0000F1180000}"/>
    <cellStyle name="Normal 8 12" xfId="6249" xr:uid="{00000000-0005-0000-0000-0000F2180000}"/>
    <cellStyle name="Normal 8 13" xfId="6250" xr:uid="{00000000-0005-0000-0000-0000F3180000}"/>
    <cellStyle name="Normal 8 14" xfId="6251" xr:uid="{00000000-0005-0000-0000-0000F4180000}"/>
    <cellStyle name="Normal 8 15" xfId="6252" xr:uid="{00000000-0005-0000-0000-0000F5180000}"/>
    <cellStyle name="Normal 8 16" xfId="6253" xr:uid="{00000000-0005-0000-0000-0000F6180000}"/>
    <cellStyle name="Normal 8 17" xfId="6254" xr:uid="{00000000-0005-0000-0000-0000F7180000}"/>
    <cellStyle name="Normal 8 18" xfId="6255" xr:uid="{00000000-0005-0000-0000-0000F8180000}"/>
    <cellStyle name="Normal 8 19" xfId="6256" xr:uid="{00000000-0005-0000-0000-0000F9180000}"/>
    <cellStyle name="Normal 8 2" xfId="6257" xr:uid="{00000000-0005-0000-0000-0000FA180000}"/>
    <cellStyle name="Normal 8 2 2" xfId="6258" xr:uid="{00000000-0005-0000-0000-0000FB180000}"/>
    <cellStyle name="Normal 8 20" xfId="6259" xr:uid="{00000000-0005-0000-0000-0000FC180000}"/>
    <cellStyle name="Normal 8 21" xfId="6260" xr:uid="{00000000-0005-0000-0000-0000FD180000}"/>
    <cellStyle name="Normal 8 22" xfId="6261" xr:uid="{00000000-0005-0000-0000-0000FE180000}"/>
    <cellStyle name="Normal 8 23" xfId="6262" xr:uid="{00000000-0005-0000-0000-0000FF180000}"/>
    <cellStyle name="Normal 8 24" xfId="6263" xr:uid="{00000000-0005-0000-0000-000000190000}"/>
    <cellStyle name="Normal 8 25" xfId="6264" xr:uid="{00000000-0005-0000-0000-000001190000}"/>
    <cellStyle name="Normal 8 26" xfId="6265" xr:uid="{00000000-0005-0000-0000-000002190000}"/>
    <cellStyle name="Normal 8 27" xfId="6266" xr:uid="{00000000-0005-0000-0000-000003190000}"/>
    <cellStyle name="Normal 8 28" xfId="6267" xr:uid="{00000000-0005-0000-0000-000004190000}"/>
    <cellStyle name="Normal 8 29" xfId="6268" xr:uid="{00000000-0005-0000-0000-000005190000}"/>
    <cellStyle name="Normal 8 3" xfId="6269" xr:uid="{00000000-0005-0000-0000-000006190000}"/>
    <cellStyle name="Normal 8 30" xfId="6270" xr:uid="{00000000-0005-0000-0000-000007190000}"/>
    <cellStyle name="Normal 8 31" xfId="6271" xr:uid="{00000000-0005-0000-0000-000008190000}"/>
    <cellStyle name="Normal 8 4" xfId="6272" xr:uid="{00000000-0005-0000-0000-000009190000}"/>
    <cellStyle name="Normal 8 5" xfId="6273" xr:uid="{00000000-0005-0000-0000-00000A190000}"/>
    <cellStyle name="Normal 8 6" xfId="6274" xr:uid="{00000000-0005-0000-0000-00000B190000}"/>
    <cellStyle name="Normal 8 7" xfId="6275" xr:uid="{00000000-0005-0000-0000-00000C190000}"/>
    <cellStyle name="Normal 8 8" xfId="6276" xr:uid="{00000000-0005-0000-0000-00000D190000}"/>
    <cellStyle name="Normal 8 9" xfId="6277" xr:uid="{00000000-0005-0000-0000-00000E190000}"/>
    <cellStyle name="Normal 9" xfId="6278" xr:uid="{00000000-0005-0000-0000-00000F190000}"/>
    <cellStyle name="Normal 9 10" xfId="6279" xr:uid="{00000000-0005-0000-0000-000010190000}"/>
    <cellStyle name="Normal 9 11" xfId="6280" xr:uid="{00000000-0005-0000-0000-000011190000}"/>
    <cellStyle name="Normal 9 12" xfId="6281" xr:uid="{00000000-0005-0000-0000-000012190000}"/>
    <cellStyle name="Normal 9 13" xfId="6282" xr:uid="{00000000-0005-0000-0000-000013190000}"/>
    <cellStyle name="Normal 9 14" xfId="6283" xr:uid="{00000000-0005-0000-0000-000014190000}"/>
    <cellStyle name="Normal 9 15" xfId="6284" xr:uid="{00000000-0005-0000-0000-000015190000}"/>
    <cellStyle name="Normal 9 16" xfId="6285" xr:uid="{00000000-0005-0000-0000-000016190000}"/>
    <cellStyle name="Normal 9 17" xfId="6286" xr:uid="{00000000-0005-0000-0000-000017190000}"/>
    <cellStyle name="Normal 9 18" xfId="6287" xr:uid="{00000000-0005-0000-0000-000018190000}"/>
    <cellStyle name="Normal 9 19" xfId="6288" xr:uid="{00000000-0005-0000-0000-000019190000}"/>
    <cellStyle name="Normal 9 2" xfId="6289" xr:uid="{00000000-0005-0000-0000-00001A190000}"/>
    <cellStyle name="Normal 9 2 2" xfId="6290" xr:uid="{00000000-0005-0000-0000-00001B190000}"/>
    <cellStyle name="Normal 9 20" xfId="6291" xr:uid="{00000000-0005-0000-0000-00001C190000}"/>
    <cellStyle name="Normal 9 21" xfId="6292" xr:uid="{00000000-0005-0000-0000-00001D190000}"/>
    <cellStyle name="Normal 9 22" xfId="6293" xr:uid="{00000000-0005-0000-0000-00001E190000}"/>
    <cellStyle name="Normal 9 23" xfId="6294" xr:uid="{00000000-0005-0000-0000-00001F190000}"/>
    <cellStyle name="Normal 9 24" xfId="6295" xr:uid="{00000000-0005-0000-0000-000020190000}"/>
    <cellStyle name="Normal 9 25" xfId="6296" xr:uid="{00000000-0005-0000-0000-000021190000}"/>
    <cellStyle name="Normal 9 26" xfId="6297" xr:uid="{00000000-0005-0000-0000-000022190000}"/>
    <cellStyle name="Normal 9 27" xfId="6298" xr:uid="{00000000-0005-0000-0000-000023190000}"/>
    <cellStyle name="Normal 9 28" xfId="6299" xr:uid="{00000000-0005-0000-0000-000024190000}"/>
    <cellStyle name="Normal 9 29" xfId="6300" xr:uid="{00000000-0005-0000-0000-000025190000}"/>
    <cellStyle name="Normal 9 3" xfId="6301" xr:uid="{00000000-0005-0000-0000-000026190000}"/>
    <cellStyle name="Normal 9 30" xfId="6302" xr:uid="{00000000-0005-0000-0000-000027190000}"/>
    <cellStyle name="Normal 9 31" xfId="6303" xr:uid="{00000000-0005-0000-0000-000028190000}"/>
    <cellStyle name="Normal 9 4" xfId="6304" xr:uid="{00000000-0005-0000-0000-000029190000}"/>
    <cellStyle name="Normal 9 5" xfId="6305" xr:uid="{00000000-0005-0000-0000-00002A190000}"/>
    <cellStyle name="Normal 9 6" xfId="6306" xr:uid="{00000000-0005-0000-0000-00002B190000}"/>
    <cellStyle name="Normal 9 7" xfId="6307" xr:uid="{00000000-0005-0000-0000-00002C190000}"/>
    <cellStyle name="Normal 9 8" xfId="6308" xr:uid="{00000000-0005-0000-0000-00002D190000}"/>
    <cellStyle name="Normal 9 9" xfId="6309" xr:uid="{00000000-0005-0000-0000-00002E190000}"/>
    <cellStyle name="Normal Bold" xfId="6310" xr:uid="{00000000-0005-0000-0000-00002F190000}"/>
    <cellStyle name="Normal Cells" xfId="6311" xr:uid="{00000000-0005-0000-0000-000030190000}"/>
    <cellStyle name="Normal Date" xfId="6312" xr:uid="{00000000-0005-0000-0000-000031190000}"/>
    <cellStyle name="Normal Italics" xfId="6313" xr:uid="{00000000-0005-0000-0000-000032190000}"/>
    <cellStyle name="Normal Link" xfId="6314" xr:uid="{00000000-0005-0000-0000-000033190000}"/>
    <cellStyle name="Normal Pct" xfId="6315" xr:uid="{00000000-0005-0000-0000-000034190000}"/>
    <cellStyle name="Normal Title" xfId="6316" xr:uid="{00000000-0005-0000-0000-000035190000}"/>
    <cellStyle name="normal;" xfId="6317" xr:uid="{00000000-0005-0000-0000-000036190000}"/>
    <cellStyle name="NormalBold" xfId="6318" xr:uid="{00000000-0005-0000-0000-000038190000}"/>
    <cellStyle name="NormalE" xfId="6319" xr:uid="{00000000-0005-0000-0000-000039190000}"/>
    <cellStyle name="NormalGB" xfId="6320" xr:uid="{00000000-0005-0000-0000-00003A190000}"/>
    <cellStyle name="NormalMultiple" xfId="6321" xr:uid="{00000000-0005-0000-0000-00003B190000}"/>
    <cellStyle name="NormalNumber" xfId="6322" xr:uid="{00000000-0005-0000-0000-00003C190000}"/>
    <cellStyle name="Normalx" xfId="6323" xr:uid="{00000000-0005-0000-0000-00003D190000}"/>
    <cellStyle name="NormalxShadow" xfId="6324" xr:uid="{00000000-0005-0000-0000-00003E190000}"/>
    <cellStyle name="NOT" xfId="6325" xr:uid="{00000000-0005-0000-0000-00003F190000}"/>
    <cellStyle name="Notas 2" xfId="6326" xr:uid="{00000000-0005-0000-0000-000040190000}"/>
    <cellStyle name="Notas 2 2" xfId="6327" xr:uid="{00000000-0005-0000-0000-000041190000}"/>
    <cellStyle name="Notas 3" xfId="6494" xr:uid="{00000000-0005-0000-0000-000042190000}"/>
    <cellStyle name="Notes" xfId="6328" xr:uid="{00000000-0005-0000-0000-000043190000}"/>
    <cellStyle name="NPPESalesPct" xfId="6329" xr:uid="{00000000-0005-0000-0000-000044190000}"/>
    <cellStyle name="Nromal" xfId="6330" xr:uid="{00000000-0005-0000-0000-000045190000}"/>
    <cellStyle name="num1Style" xfId="6331" xr:uid="{00000000-0005-0000-0000-000046190000}"/>
    <cellStyle name="num1Styleb" xfId="6332" xr:uid="{00000000-0005-0000-0000-000047190000}"/>
    <cellStyle name="num4Style" xfId="6333" xr:uid="{00000000-0005-0000-0000-000048190000}"/>
    <cellStyle name="num4Styleb" xfId="6334" xr:uid="{00000000-0005-0000-0000-000049190000}"/>
    <cellStyle name="Number" xfId="6335" xr:uid="{00000000-0005-0000-0000-00004A190000}"/>
    <cellStyle name="Number (2dp)" xfId="6336" xr:uid="{00000000-0005-0000-0000-00004B190000}"/>
    <cellStyle name="Number_2nd bank case v3" xfId="6337" xr:uid="{00000000-0005-0000-0000-00004C190000}"/>
    <cellStyle name="Numbers" xfId="6338" xr:uid="{00000000-0005-0000-0000-00004D190000}"/>
    <cellStyle name="Numbers - Bold" xfId="6339" xr:uid="{00000000-0005-0000-0000-00004E190000}"/>
    <cellStyle name="Numbers - Bold - Italic" xfId="6340" xr:uid="{00000000-0005-0000-0000-00004F190000}"/>
    <cellStyle name="Numbers - Bold_6079BX" xfId="6341" xr:uid="{00000000-0005-0000-0000-000050190000}"/>
    <cellStyle name="Numbers - Large" xfId="6342" xr:uid="{00000000-0005-0000-0000-000051190000}"/>
    <cellStyle name="Numbers_6079BX" xfId="6343" xr:uid="{00000000-0005-0000-0000-000052190000}"/>
    <cellStyle name="numPStyle" xfId="6344" xr:uid="{00000000-0005-0000-0000-000053190000}"/>
    <cellStyle name="numPStyleb" xfId="6345" xr:uid="{00000000-0005-0000-0000-000054190000}"/>
    <cellStyle name="numXStyle" xfId="6346" xr:uid="{00000000-0005-0000-0000-000055190000}"/>
    <cellStyle name="numXStyleb" xfId="6347" xr:uid="{00000000-0005-0000-0000-000056190000}"/>
    <cellStyle name="NWI%S" xfId="6348" xr:uid="{00000000-0005-0000-0000-000057190000}"/>
    <cellStyle name="Œ…‹æØ‚è [0.00]_GE 3 MINIMUM" xfId="6349" xr:uid="{00000000-0005-0000-0000-000058190000}"/>
    <cellStyle name="Œ…‹æØ‚è_GE 3 MINIMUM" xfId="6350" xr:uid="{00000000-0005-0000-0000-000059190000}"/>
    <cellStyle name="OK" xfId="6351" xr:uid="{00000000-0005-0000-0000-00005A190000}"/>
    <cellStyle name="Old Forecast" xfId="6352" xr:uid="{00000000-0005-0000-0000-00005B190000}"/>
    <cellStyle name="Omar_1" xfId="6353" xr:uid="{00000000-0005-0000-0000-00005C190000}"/>
    <cellStyle name="One Decimal" xfId="6354" xr:uid="{00000000-0005-0000-0000-00005D190000}"/>
    <cellStyle name="Option" xfId="6355" xr:uid="{00000000-0005-0000-0000-00005E190000}"/>
    <cellStyle name="Orange" xfId="6356" xr:uid="{00000000-0005-0000-0000-00005F190000}"/>
    <cellStyle name="Output 2" xfId="6495" xr:uid="{00000000-0005-0000-0000-000060190000}"/>
    <cellStyle name="Output Labels" xfId="6357" xr:uid="{00000000-0005-0000-0000-000061190000}"/>
    <cellStyle name="OutputPct" xfId="6358" xr:uid="{00000000-0005-0000-0000-000062190000}"/>
    <cellStyle name="p" xfId="6359" xr:uid="{00000000-0005-0000-0000-000063190000}"/>
    <cellStyle name="P/BV" xfId="6360" xr:uid="{00000000-0005-0000-0000-000064190000}"/>
    <cellStyle name="P/E" xfId="6361" xr:uid="{00000000-0005-0000-0000-000065190000}"/>
    <cellStyle name="p_IM Latest combined Group PL (DC)" xfId="6362" xr:uid="{00000000-0005-0000-0000-000066190000}"/>
    <cellStyle name="p_LBO_Rexam_v51" xfId="6363" xr:uid="{00000000-0005-0000-0000-000067190000}"/>
    <cellStyle name="p_WACC analysis" xfId="6364" xr:uid="{00000000-0005-0000-0000-000068190000}"/>
    <cellStyle name="p1" xfId="6365" xr:uid="{00000000-0005-0000-0000-000069190000}"/>
    <cellStyle name="Page header" xfId="6366" xr:uid="{00000000-0005-0000-0000-00006A190000}"/>
    <cellStyle name="Page Heading" xfId="6367" xr:uid="{00000000-0005-0000-0000-00006B190000}"/>
    <cellStyle name="Page Number" xfId="6368" xr:uid="{00000000-0005-0000-0000-00006C190000}"/>
    <cellStyle name="PageSubtitle" xfId="6369" xr:uid="{00000000-0005-0000-0000-00006D190000}"/>
    <cellStyle name="PageTitle" xfId="6370" xr:uid="{00000000-0005-0000-0000-00006E190000}"/>
    <cellStyle name="pb_table_format_columnheading" xfId="6371" xr:uid="{00000000-0005-0000-0000-00006F190000}"/>
    <cellStyle name="pc1" xfId="6372" xr:uid="{00000000-0005-0000-0000-000070190000}"/>
    <cellStyle name="PctLine" xfId="6373" xr:uid="{00000000-0005-0000-0000-000071190000}"/>
    <cellStyle name="Percent [0]" xfId="6374" xr:uid="{00000000-0005-0000-0000-000073190000}"/>
    <cellStyle name="Percent [00]" xfId="6375" xr:uid="{00000000-0005-0000-0000-000074190000}"/>
    <cellStyle name="Percent [2]" xfId="6376" xr:uid="{00000000-0005-0000-0000-000075190000}"/>
    <cellStyle name="Percent 10" xfId="6377" xr:uid="{00000000-0005-0000-0000-000076190000}"/>
    <cellStyle name="Percent 2" xfId="6378" xr:uid="{00000000-0005-0000-0000-000077190000}"/>
    <cellStyle name="Percent 3" xfId="6379" xr:uid="{00000000-0005-0000-0000-000078190000}"/>
    <cellStyle name="Percent 4" xfId="6380" xr:uid="{00000000-0005-0000-0000-000079190000}"/>
    <cellStyle name="Percent 5" xfId="6381" xr:uid="{00000000-0005-0000-0000-00007A190000}"/>
    <cellStyle name="Percent 6" xfId="6382" xr:uid="{00000000-0005-0000-0000-00007B190000}"/>
    <cellStyle name="Percent 7" xfId="6383" xr:uid="{00000000-0005-0000-0000-00007C190000}"/>
    <cellStyle name="Percent 8" xfId="6384" xr:uid="{00000000-0005-0000-0000-00007D190000}"/>
    <cellStyle name="Percent 9" xfId="6385" xr:uid="{00000000-0005-0000-0000-00007E190000}"/>
    <cellStyle name="Porcentaje" xfId="1" builtinId="5"/>
    <cellStyle name="Porcentaje 2" xfId="6386" xr:uid="{00000000-0005-0000-0000-00007F190000}"/>
    <cellStyle name="Porcentaje 2 2" xfId="6387" xr:uid="{00000000-0005-0000-0000-000080190000}"/>
    <cellStyle name="Porcentaje 2 3" xfId="6388" xr:uid="{00000000-0005-0000-0000-000081190000}"/>
    <cellStyle name="Porcentaje 2 3 2" xfId="6389" xr:uid="{00000000-0005-0000-0000-000082190000}"/>
    <cellStyle name="Porcentaje 3" xfId="6390" xr:uid="{00000000-0005-0000-0000-000083190000}"/>
    <cellStyle name="Porcentaje 3 2" xfId="6391" xr:uid="{00000000-0005-0000-0000-000084190000}"/>
    <cellStyle name="Porcentaje 4" xfId="6392" xr:uid="{00000000-0005-0000-0000-000085190000}"/>
    <cellStyle name="Porcentaje 5" xfId="6393" xr:uid="{00000000-0005-0000-0000-000086190000}"/>
    <cellStyle name="Porcentaje 6" xfId="6394" xr:uid="{00000000-0005-0000-0000-000087190000}"/>
    <cellStyle name="Porcentaje 6 2" xfId="6395" xr:uid="{00000000-0005-0000-0000-000088190000}"/>
    <cellStyle name="Porcentaje 6 2 2" xfId="6396" xr:uid="{00000000-0005-0000-0000-000089190000}"/>
    <cellStyle name="Porcentaje 6 2 3" xfId="6397" xr:uid="{00000000-0005-0000-0000-00008A190000}"/>
    <cellStyle name="Porcentaje 6 2 3 2" xfId="6398" xr:uid="{00000000-0005-0000-0000-00008B190000}"/>
    <cellStyle name="Porcentaje 6 3" xfId="6399" xr:uid="{00000000-0005-0000-0000-00008C190000}"/>
    <cellStyle name="Porcentaje 7" xfId="6400" xr:uid="{00000000-0005-0000-0000-00008D190000}"/>
    <cellStyle name="Porcentual 2" xfId="6401" xr:uid="{00000000-0005-0000-0000-00008E190000}"/>
    <cellStyle name="Porcentual 2 10" xfId="6402" xr:uid="{00000000-0005-0000-0000-00008F190000}"/>
    <cellStyle name="Porcentual 2 11" xfId="6403" xr:uid="{00000000-0005-0000-0000-000090190000}"/>
    <cellStyle name="Porcentual 2 12" xfId="6404" xr:uid="{00000000-0005-0000-0000-000091190000}"/>
    <cellStyle name="Porcentual 2 13" xfId="6405" xr:uid="{00000000-0005-0000-0000-000092190000}"/>
    <cellStyle name="Porcentual 2 14" xfId="6406" xr:uid="{00000000-0005-0000-0000-000093190000}"/>
    <cellStyle name="Porcentual 2 15" xfId="6407" xr:uid="{00000000-0005-0000-0000-000094190000}"/>
    <cellStyle name="Porcentual 2 16" xfId="6408" xr:uid="{00000000-0005-0000-0000-000095190000}"/>
    <cellStyle name="Porcentual 2 17" xfId="6409" xr:uid="{00000000-0005-0000-0000-000096190000}"/>
    <cellStyle name="Porcentual 2 18" xfId="6410" xr:uid="{00000000-0005-0000-0000-000097190000}"/>
    <cellStyle name="Porcentual 2 19" xfId="6411" xr:uid="{00000000-0005-0000-0000-000098190000}"/>
    <cellStyle name="Porcentual 2 2" xfId="6412" xr:uid="{00000000-0005-0000-0000-000099190000}"/>
    <cellStyle name="Porcentual 2 20" xfId="6413" xr:uid="{00000000-0005-0000-0000-00009A190000}"/>
    <cellStyle name="Porcentual 2 21" xfId="6414" xr:uid="{00000000-0005-0000-0000-00009B190000}"/>
    <cellStyle name="Porcentual 2 22" xfId="6415" xr:uid="{00000000-0005-0000-0000-00009C190000}"/>
    <cellStyle name="Porcentual 2 23" xfId="6416" xr:uid="{00000000-0005-0000-0000-00009D190000}"/>
    <cellStyle name="Porcentual 2 24" xfId="6417" xr:uid="{00000000-0005-0000-0000-00009E190000}"/>
    <cellStyle name="Porcentual 2 25" xfId="6418" xr:uid="{00000000-0005-0000-0000-00009F190000}"/>
    <cellStyle name="Porcentual 2 26" xfId="6419" xr:uid="{00000000-0005-0000-0000-0000A0190000}"/>
    <cellStyle name="Porcentual 2 27" xfId="6420" xr:uid="{00000000-0005-0000-0000-0000A1190000}"/>
    <cellStyle name="Porcentual 2 28" xfId="6421" xr:uid="{00000000-0005-0000-0000-0000A2190000}"/>
    <cellStyle name="Porcentual 2 29" xfId="6422" xr:uid="{00000000-0005-0000-0000-0000A3190000}"/>
    <cellStyle name="Porcentual 2 3" xfId="6423" xr:uid="{00000000-0005-0000-0000-0000A4190000}"/>
    <cellStyle name="Porcentual 2 30" xfId="6424" xr:uid="{00000000-0005-0000-0000-0000A5190000}"/>
    <cellStyle name="Porcentual 2 31" xfId="6425" xr:uid="{00000000-0005-0000-0000-0000A6190000}"/>
    <cellStyle name="Porcentual 2 32" xfId="6426" xr:uid="{00000000-0005-0000-0000-0000A7190000}"/>
    <cellStyle name="Porcentual 2 4" xfId="6427" xr:uid="{00000000-0005-0000-0000-0000A8190000}"/>
    <cellStyle name="Porcentual 2 5" xfId="6428" xr:uid="{00000000-0005-0000-0000-0000A9190000}"/>
    <cellStyle name="Porcentual 2 6" xfId="6429" xr:uid="{00000000-0005-0000-0000-0000AA190000}"/>
    <cellStyle name="Porcentual 2 7" xfId="6430" xr:uid="{00000000-0005-0000-0000-0000AB190000}"/>
    <cellStyle name="Porcentual 2 8" xfId="6431" xr:uid="{00000000-0005-0000-0000-0000AC190000}"/>
    <cellStyle name="Porcentual 2 9" xfId="6432" xr:uid="{00000000-0005-0000-0000-0000AD190000}"/>
    <cellStyle name="Porcentual 3" xfId="6433" xr:uid="{00000000-0005-0000-0000-0000AE190000}"/>
    <cellStyle name="Porcentual 3 2" xfId="6434" xr:uid="{00000000-0005-0000-0000-0000AF190000}"/>
    <cellStyle name="Porcentual 3 3" xfId="6435" xr:uid="{00000000-0005-0000-0000-0000B0190000}"/>
    <cellStyle name="Porcentual 3 4" xfId="6436" xr:uid="{00000000-0005-0000-0000-0000B1190000}"/>
    <cellStyle name="Porcentual 4" xfId="6437" xr:uid="{00000000-0005-0000-0000-0000B2190000}"/>
    <cellStyle name="Porcentual 4 2" xfId="6438" xr:uid="{00000000-0005-0000-0000-0000B3190000}"/>
    <cellStyle name="Porcentual 5" xfId="6439" xr:uid="{00000000-0005-0000-0000-0000B4190000}"/>
    <cellStyle name="Porcentual_Wacc 2" xfId="6619" xr:uid="{00000000-0005-0000-0000-0000B5190000}"/>
    <cellStyle name="PrePop Currency (0)" xfId="6440" xr:uid="{00000000-0005-0000-0000-0000B6190000}"/>
    <cellStyle name="PrePop Currency (2)" xfId="6441" xr:uid="{00000000-0005-0000-0000-0000B7190000}"/>
    <cellStyle name="PrePop Units (0)" xfId="6442" xr:uid="{00000000-0005-0000-0000-0000B8190000}"/>
    <cellStyle name="PrePop Units (1)" xfId="6443" xr:uid="{00000000-0005-0000-0000-0000B9190000}"/>
    <cellStyle name="PrePop Units (2)" xfId="6444" xr:uid="{00000000-0005-0000-0000-0000BA190000}"/>
    <cellStyle name="PSChar" xfId="6445" xr:uid="{00000000-0005-0000-0000-0000BB190000}"/>
    <cellStyle name="PSDate" xfId="6446" xr:uid="{00000000-0005-0000-0000-0000BC190000}"/>
    <cellStyle name="PSDec" xfId="6447" xr:uid="{00000000-0005-0000-0000-0000BD190000}"/>
    <cellStyle name="PSHeading" xfId="6448" xr:uid="{00000000-0005-0000-0000-0000BE190000}"/>
    <cellStyle name="PSInt" xfId="6449" xr:uid="{00000000-0005-0000-0000-0000BF190000}"/>
    <cellStyle name="PSSpacer" xfId="6450" xr:uid="{00000000-0005-0000-0000-0000C0190000}"/>
    <cellStyle name="Punto0" xfId="6451" xr:uid="{00000000-0005-0000-0000-0000C1190000}"/>
    <cellStyle name="robs" xfId="6452" xr:uid="{00000000-0005-0000-0000-0000C2190000}"/>
    <cellStyle name="Salida" xfId="6496" xr:uid="{00000000-0005-0000-0000-0000C3190000}"/>
    <cellStyle name="Salida 2" xfId="6453" xr:uid="{00000000-0005-0000-0000-0000C4190000}"/>
    <cellStyle name="Salida 2 2" xfId="6454" xr:uid="{00000000-0005-0000-0000-0000C5190000}"/>
    <cellStyle name="SectionHeaderNormal" xfId="6455" xr:uid="{00000000-0005-0000-0000-0000C6190000}"/>
    <cellStyle name="Single Cell Column Heading" xfId="6456" xr:uid="{00000000-0005-0000-0000-0000C7190000}"/>
    <cellStyle name="Style 1" xfId="6457" xr:uid="{00000000-0005-0000-0000-0000C8190000}"/>
    <cellStyle name="SubScript" xfId="6458" xr:uid="{00000000-0005-0000-0000-0000C9190000}"/>
    <cellStyle name="SuperScript" xfId="6459" xr:uid="{00000000-0005-0000-0000-0000CA190000}"/>
    <cellStyle name="Text Indent A" xfId="6460" xr:uid="{00000000-0005-0000-0000-0000CB190000}"/>
    <cellStyle name="Text Indent B" xfId="6461" xr:uid="{00000000-0005-0000-0000-0000CC190000}"/>
    <cellStyle name="Text Indent C" xfId="6462" xr:uid="{00000000-0005-0000-0000-0000CD190000}"/>
    <cellStyle name="Text Level 1" xfId="6463" xr:uid="{00000000-0005-0000-0000-0000CE190000}"/>
    <cellStyle name="Text Level 2" xfId="6464" xr:uid="{00000000-0005-0000-0000-0000CF190000}"/>
    <cellStyle name="TextBold" xfId="6465" xr:uid="{00000000-0005-0000-0000-0000D0190000}"/>
    <cellStyle name="TextItalic" xfId="6466" xr:uid="{00000000-0005-0000-0000-0000D1190000}"/>
    <cellStyle name="TextNormal" xfId="6467" xr:uid="{00000000-0005-0000-0000-0000D2190000}"/>
    <cellStyle name="TextNormal 2" xfId="6486" xr:uid="{00000000-0005-0000-0000-0000D3190000}"/>
    <cellStyle name="Texto de advertencia 2" xfId="6468" xr:uid="{00000000-0005-0000-0000-0000D4190000}"/>
    <cellStyle name="Texto de advertencia 2 2" xfId="6469" xr:uid="{00000000-0005-0000-0000-0000D5190000}"/>
    <cellStyle name="Texto explicativo" xfId="6497" xr:uid="{00000000-0005-0000-0000-0000D6190000}"/>
    <cellStyle name="Texto explicativo 2" xfId="6470" xr:uid="{00000000-0005-0000-0000-0000D7190000}"/>
    <cellStyle name="Texto explicativo 2 2" xfId="6471" xr:uid="{00000000-0005-0000-0000-0000D8190000}"/>
    <cellStyle name="Title 2" xfId="6498" xr:uid="{00000000-0005-0000-0000-0000D9190000}"/>
    <cellStyle name="TitleNormal" xfId="6472" xr:uid="{00000000-0005-0000-0000-0000DA190000}"/>
    <cellStyle name="Título" xfId="6499" xr:uid="{00000000-0005-0000-0000-0000DB190000}"/>
    <cellStyle name="Título 1 2" xfId="6473" xr:uid="{00000000-0005-0000-0000-0000DC190000}"/>
    <cellStyle name="Título 1 2 2" xfId="6474" xr:uid="{00000000-0005-0000-0000-0000DD190000}"/>
    <cellStyle name="Título 2" xfId="6500" xr:uid="{00000000-0005-0000-0000-0000DE190000}"/>
    <cellStyle name="Título 2 2" xfId="6475" xr:uid="{00000000-0005-0000-0000-0000DF190000}"/>
    <cellStyle name="Título 2 2 2" xfId="6476" xr:uid="{00000000-0005-0000-0000-0000E0190000}"/>
    <cellStyle name="Título 3" xfId="6501" xr:uid="{00000000-0005-0000-0000-0000E1190000}"/>
    <cellStyle name="Título 3 2" xfId="6477" xr:uid="{00000000-0005-0000-0000-0000E2190000}"/>
    <cellStyle name="Título 3 2 2" xfId="6478" xr:uid="{00000000-0005-0000-0000-0000E3190000}"/>
    <cellStyle name="Título 4" xfId="6479" xr:uid="{00000000-0005-0000-0000-0000E4190000}"/>
    <cellStyle name="Título 4 2" xfId="6480" xr:uid="{00000000-0005-0000-0000-0000E5190000}"/>
    <cellStyle name="Total 2" xfId="6481" xr:uid="{00000000-0005-0000-0000-0000E6190000}"/>
    <cellStyle name="Total 2 2" xfId="6482" xr:uid="{00000000-0005-0000-0000-0000E7190000}"/>
    <cellStyle name="Total 2 3" xfId="6483" xr:uid="{00000000-0005-0000-0000-0000E8190000}"/>
    <cellStyle name="Total 3" xfId="6502" xr:uid="{00000000-0005-0000-0000-0000E9190000}"/>
    <cellStyle name="x" xfId="6484" xr:uid="{00000000-0005-0000-0000-0000EA190000}"/>
  </cellStyles>
  <dxfs count="3">
    <dxf>
      <fill>
        <patternFill>
          <bgColor rgb="FFFFC7CE"/>
        </patternFill>
      </fill>
    </dxf>
    <dxf>
      <font>
        <color theme="0"/>
      </font>
    </dxf>
    <dxf>
      <font>
        <color theme="0"/>
      </font>
    </dxf>
  </dxfs>
  <tableStyles count="0" defaultTableStyle="TableStyleMedium2" defaultPivotStyle="PivotStyleLight16"/>
  <colors>
    <mruColors>
      <color rgb="FF00FF00"/>
      <color rgb="FF0000FF"/>
      <color rgb="FFFFFFCC"/>
      <color rgb="FFFF33CC"/>
      <color rgb="FF0080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ustomXml" Target="../customXml/item1.xml"/><Relationship Id="rId21" Type="http://schemas.openxmlformats.org/officeDocument/2006/relationships/externalLink" Target="externalLinks/externalLink5.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2501273161751"/>
          <c:y val="5.0925925925925923E-2"/>
          <c:w val="0.79531879410596062"/>
          <c:h val="0.73877478856809564"/>
        </c:manualLayout>
      </c:layout>
      <c:lineChart>
        <c:grouping val="standard"/>
        <c:varyColors val="0"/>
        <c:ser>
          <c:idx val="0"/>
          <c:order val="0"/>
          <c:tx>
            <c:strRef>
              <c:f>'Reporte de Seguimiento_PyG20-06'!$B$8</c:f>
              <c:strCache>
                <c:ptCount val="1"/>
                <c:pt idx="0">
                  <c:v>Tarifa ML (COP$ miles)</c:v>
                </c:pt>
              </c:strCache>
            </c:strRef>
          </c:tx>
          <c:spPr>
            <a:ln w="25400">
              <a:solidFill>
                <a:srgbClr val="FF0000"/>
              </a:solidFill>
            </a:ln>
          </c:spPr>
          <c:marker>
            <c:symbol val="none"/>
          </c:marker>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Seguimiento_PyG20-06'!$C$8:$N$8</c:f>
              <c:numCache>
                <c:formatCode>#,##0_);\(#,##0\)</c:formatCode>
                <c:ptCount val="12"/>
                <c:pt idx="0">
                  <c:v>4546.3848929370624</c:v>
                </c:pt>
                <c:pt idx="1">
                  <c:v>4611.1031656104642</c:v>
                </c:pt>
                <c:pt idx="2">
                  <c:v>6078.3137789836055</c:v>
                </c:pt>
                <c:pt idx="3">
                  <c:v>4931.6790842500004</c:v>
                </c:pt>
                <c:pt idx="4">
                  <c:v>4928.9810115</c:v>
                </c:pt>
                <c:pt idx="5">
                  <c:v>4522.4517430487813</c:v>
                </c:pt>
                <c:pt idx="6">
                  <c:v>4478.764112529092</c:v>
                </c:pt>
                <c:pt idx="7">
                  <c:v>4479.6082333543154</c:v>
                </c:pt>
                <c:pt idx="8">
                  <c:v>4301.8992871347591</c:v>
                </c:pt>
                <c:pt idx="9">
                  <c:v>4332.3430812939387</c:v>
                </c:pt>
                <c:pt idx="10">
                  <c:v>4147.1630933083334</c:v>
                </c:pt>
                <c:pt idx="11">
                  <c:v>4334.5526800333337</c:v>
                </c:pt>
              </c:numCache>
            </c:numRef>
          </c:val>
          <c:smooth val="0"/>
          <c:extLst>
            <c:ext xmlns:c16="http://schemas.microsoft.com/office/drawing/2014/chart" uri="{C3380CC4-5D6E-409C-BE32-E72D297353CC}">
              <c16:uniqueId val="{00000000-3F65-4203-89E6-B5F8BBE4A297}"/>
            </c:ext>
          </c:extLst>
        </c:ser>
        <c:dLbls>
          <c:showLegendKey val="0"/>
          <c:showVal val="0"/>
          <c:showCatName val="0"/>
          <c:showSerName val="0"/>
          <c:showPercent val="0"/>
          <c:showBubbleSize val="0"/>
        </c:dLbls>
        <c:marker val="1"/>
        <c:smooth val="0"/>
        <c:axId val="810438408"/>
        <c:axId val="810438016"/>
      </c:lineChart>
      <c:lineChart>
        <c:grouping val="standard"/>
        <c:varyColors val="0"/>
        <c:ser>
          <c:idx val="1"/>
          <c:order val="1"/>
          <c:tx>
            <c:strRef>
              <c:f>'Reporte de Seguimiento_PyG20-06'!$B$9</c:f>
              <c:strCache>
                <c:ptCount val="1"/>
                <c:pt idx="0">
                  <c:v>Tarifa ML (USD$)</c:v>
                </c:pt>
              </c:strCache>
            </c:strRef>
          </c:tx>
          <c:marker>
            <c:symbol val="none"/>
          </c:marker>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Seguimiento_PyG20-06'!$C$9:$N$9</c:f>
              <c:numCache>
                <c:formatCode>#,##0_);\(#,##0\)</c:formatCode>
                <c:ptCount val="12"/>
                <c:pt idx="0">
                  <c:v>1196.4170770887006</c:v>
                </c:pt>
                <c:pt idx="1">
                  <c:v>1213.4482014764378</c:v>
                </c:pt>
                <c:pt idx="2">
                  <c:v>1599.5562576272646</c:v>
                </c:pt>
                <c:pt idx="3">
                  <c:v>1297.8102853289474</c:v>
                </c:pt>
                <c:pt idx="4">
                  <c:v>1297.1002661842106</c:v>
                </c:pt>
                <c:pt idx="5">
                  <c:v>1256.2365952913281</c:v>
                </c:pt>
                <c:pt idx="6">
                  <c:v>1244.1011423691923</c:v>
                </c:pt>
                <c:pt idx="7">
                  <c:v>1244.3356203761989</c:v>
                </c:pt>
                <c:pt idx="8">
                  <c:v>1194.9720242040999</c:v>
                </c:pt>
                <c:pt idx="9">
                  <c:v>1203.4286336927607</c:v>
                </c:pt>
                <c:pt idx="10">
                  <c:v>1151.9897481412038</c:v>
                </c:pt>
                <c:pt idx="11">
                  <c:v>1204.0424111203704</c:v>
                </c:pt>
              </c:numCache>
            </c:numRef>
          </c:val>
          <c:smooth val="0"/>
          <c:extLst>
            <c:ext xmlns:c16="http://schemas.microsoft.com/office/drawing/2014/chart" uri="{C3380CC4-5D6E-409C-BE32-E72D297353CC}">
              <c16:uniqueId val="{00000001-3F65-4203-89E6-B5F8BBE4A297}"/>
            </c:ext>
          </c:extLst>
        </c:ser>
        <c:dLbls>
          <c:showLegendKey val="0"/>
          <c:showVal val="0"/>
          <c:showCatName val="0"/>
          <c:showSerName val="0"/>
          <c:showPercent val="0"/>
          <c:showBubbleSize val="0"/>
        </c:dLbls>
        <c:marker val="1"/>
        <c:smooth val="0"/>
        <c:axId val="581295664"/>
        <c:axId val="810436056"/>
      </c:lineChart>
      <c:catAx>
        <c:axId val="810438408"/>
        <c:scaling>
          <c:orientation val="minMax"/>
        </c:scaling>
        <c:delete val="0"/>
        <c:axPos val="b"/>
        <c:numFmt formatCode="General" sourceLinked="0"/>
        <c:majorTickMark val="out"/>
        <c:minorTickMark val="none"/>
        <c:tickLblPos val="low"/>
        <c:txPr>
          <a:bodyPr/>
          <a:lstStyle/>
          <a:p>
            <a:pPr>
              <a:defRPr sz="900" b="0"/>
            </a:pPr>
            <a:endParaRPr lang="es-CO"/>
          </a:p>
        </c:txPr>
        <c:crossAx val="810438016"/>
        <c:crosses val="autoZero"/>
        <c:auto val="1"/>
        <c:lblAlgn val="ctr"/>
        <c:lblOffset val="100"/>
        <c:noMultiLvlLbl val="0"/>
      </c:catAx>
      <c:valAx>
        <c:axId val="810438016"/>
        <c:scaling>
          <c:orientation val="minMax"/>
        </c:scaling>
        <c:delete val="0"/>
        <c:axPos val="l"/>
        <c:majorGridlines>
          <c:spPr>
            <a:ln>
              <a:prstDash val="dash"/>
            </a:ln>
          </c:spPr>
        </c:majorGridlines>
        <c:title>
          <c:tx>
            <c:rich>
              <a:bodyPr rot="-5400000" vert="horz"/>
              <a:lstStyle/>
              <a:p>
                <a:pPr>
                  <a:defRPr sz="900" b="0"/>
                </a:pPr>
                <a:r>
                  <a:rPr lang="es-CO" sz="900" b="0"/>
                  <a:t>COP</a:t>
                </a:r>
              </a:p>
            </c:rich>
          </c:tx>
          <c:layout>
            <c:manualLayout>
              <c:xMode val="edge"/>
              <c:yMode val="edge"/>
              <c:x val="2.8855414812278901E-3"/>
              <c:y val="0.33240123245463882"/>
            </c:manualLayout>
          </c:layout>
          <c:overlay val="0"/>
        </c:title>
        <c:numFmt formatCode="\$#,##0_);\(\$#,##0\)" sourceLinked="0"/>
        <c:majorTickMark val="out"/>
        <c:minorTickMark val="none"/>
        <c:tickLblPos val="nextTo"/>
        <c:txPr>
          <a:bodyPr/>
          <a:lstStyle/>
          <a:p>
            <a:pPr>
              <a:defRPr sz="900" b="0"/>
            </a:pPr>
            <a:endParaRPr lang="es-CO"/>
          </a:p>
        </c:txPr>
        <c:crossAx val="810438408"/>
        <c:crosses val="autoZero"/>
        <c:crossBetween val="between"/>
      </c:valAx>
      <c:valAx>
        <c:axId val="810436056"/>
        <c:scaling>
          <c:orientation val="minMax"/>
        </c:scaling>
        <c:delete val="0"/>
        <c:axPos val="r"/>
        <c:numFmt formatCode="#,##0_);\(#,##0\)" sourceLinked="1"/>
        <c:majorTickMark val="out"/>
        <c:minorTickMark val="none"/>
        <c:tickLblPos val="nextTo"/>
        <c:txPr>
          <a:bodyPr/>
          <a:lstStyle/>
          <a:p>
            <a:pPr algn="ctr">
              <a:defRPr lang="en-US" sz="900" b="0" i="0" u="none" strike="noStrike" kern="1200" baseline="0">
                <a:solidFill>
                  <a:sysClr val="windowText" lastClr="000000"/>
                </a:solidFill>
                <a:latin typeface="+mn-lt"/>
                <a:ea typeface="+mn-ea"/>
                <a:cs typeface="+mn-cs"/>
              </a:defRPr>
            </a:pPr>
            <a:endParaRPr lang="es-CO"/>
          </a:p>
        </c:txPr>
        <c:crossAx val="581295664"/>
        <c:crosses val="max"/>
        <c:crossBetween val="between"/>
      </c:valAx>
      <c:catAx>
        <c:axId val="581295664"/>
        <c:scaling>
          <c:orientation val="minMax"/>
        </c:scaling>
        <c:delete val="1"/>
        <c:axPos val="b"/>
        <c:numFmt formatCode="General" sourceLinked="1"/>
        <c:majorTickMark val="out"/>
        <c:minorTickMark val="none"/>
        <c:tickLblPos val="nextTo"/>
        <c:crossAx val="810436056"/>
        <c:crosses val="autoZero"/>
        <c:auto val="1"/>
        <c:lblAlgn val="ctr"/>
        <c:lblOffset val="100"/>
        <c:noMultiLvlLbl val="0"/>
      </c:catAx>
    </c:plotArea>
    <c:legend>
      <c:legendPos val="b"/>
      <c:layout>
        <c:manualLayout>
          <c:xMode val="edge"/>
          <c:yMode val="edge"/>
          <c:x val="0.23651892951965556"/>
          <c:y val="0.90525049804130686"/>
          <c:w val="0.5939812048842652"/>
          <c:h val="9.1863517060367453E-2"/>
        </c:manualLayout>
      </c:layout>
      <c:overlay val="0"/>
      <c:txPr>
        <a:bodyPr/>
        <a:lstStyle/>
        <a:p>
          <a:pPr>
            <a:defRPr sz="800" b="1"/>
          </a:pPr>
          <a:endParaRPr lang="es-CO"/>
        </a:p>
      </c:txPr>
    </c:legend>
    <c:plotVisOnly val="0"/>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53152124641135"/>
          <c:y val="5.0925925925925923E-2"/>
          <c:w val="0.7503819485250911"/>
          <c:h val="0.73877478856809564"/>
        </c:manualLayout>
      </c:layout>
      <c:barChart>
        <c:barDir val="col"/>
        <c:grouping val="clustered"/>
        <c:varyColors val="0"/>
        <c:ser>
          <c:idx val="4"/>
          <c:order val="4"/>
          <c:tx>
            <c:strRef>
              <c:f>'Reporte de Seguimiento_PyG20-06'!$B$18</c:f>
              <c:strCache>
                <c:ptCount val="1"/>
                <c:pt idx="0">
                  <c:v>Presupuesto</c:v>
                </c:pt>
              </c:strCache>
            </c:strRef>
          </c:tx>
          <c:spPr>
            <a:solidFill>
              <a:schemeClr val="accent2">
                <a:lumMod val="60000"/>
                <a:lumOff val="40000"/>
              </a:schemeClr>
            </a:solidFill>
          </c:spPr>
          <c:invertIfNegative val="0"/>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Seguimiento_PyG20-06'!$C$18:$N$18</c:f>
              <c:numCache>
                <c:formatCode>#,##0_);\(#,##0\)</c:formatCode>
                <c:ptCount val="12"/>
                <c:pt idx="0">
                  <c:v>1949.3336890983501</c:v>
                </c:pt>
                <c:pt idx="1">
                  <c:v>1449.89302030155</c:v>
                </c:pt>
                <c:pt idx="2">
                  <c:v>1724.07502030155</c:v>
                </c:pt>
                <c:pt idx="3">
                  <c:v>1813.6861923705001</c:v>
                </c:pt>
                <c:pt idx="4">
                  <c:v>1896.8461923704999</c:v>
                </c:pt>
                <c:pt idx="5">
                  <c:v>1805.4654773298</c:v>
                </c:pt>
                <c:pt idx="6" formatCode="#,##0_);[Red]\(#,##0\)">
                  <c:v>1875.0039437646001</c:v>
                </c:pt>
                <c:pt idx="7" formatCode="#,##0_);[Red]\(#,##0\)">
                  <c:v>1696.6231588052999</c:v>
                </c:pt>
                <c:pt idx="8" formatCode="#,##0_);[Red]\(#,##0\)">
                  <c:v>1878.8385437646</c:v>
                </c:pt>
                <c:pt idx="9" formatCode="#,##0_);[Red]\(#,##0\)">
                  <c:v>1791.00427169565</c:v>
                </c:pt>
                <c:pt idx="10" formatCode="#,##0_);[Red]\(#,##0\)">
                  <c:v>1953.3081716956499</c:v>
                </c:pt>
                <c:pt idx="11" formatCode="#,##0_);[Red]\(#,##0\)">
                  <c:v>1963.10845665495</c:v>
                </c:pt>
              </c:numCache>
            </c:numRef>
          </c:val>
          <c:extLst>
            <c:ext xmlns:c16="http://schemas.microsoft.com/office/drawing/2014/chart" uri="{C3380CC4-5D6E-409C-BE32-E72D297353CC}">
              <c16:uniqueId val="{00000000-C827-467D-9455-0224E3441B35}"/>
            </c:ext>
          </c:extLst>
        </c:ser>
        <c:dLbls>
          <c:showLegendKey val="0"/>
          <c:showVal val="0"/>
          <c:showCatName val="0"/>
          <c:showSerName val="0"/>
          <c:showPercent val="0"/>
          <c:showBubbleSize val="0"/>
        </c:dLbls>
        <c:gapWidth val="100"/>
        <c:axId val="581294880"/>
        <c:axId val="581301544"/>
      </c:barChart>
      <c:lineChart>
        <c:grouping val="standard"/>
        <c:varyColors val="0"/>
        <c:ser>
          <c:idx val="0"/>
          <c:order val="0"/>
          <c:tx>
            <c:v>2017</c:v>
          </c:tx>
          <c:spPr>
            <a:ln w="25400">
              <a:solidFill>
                <a:schemeClr val="accent3">
                  <a:lumMod val="75000"/>
                </a:schemeClr>
              </a:solidFill>
            </a:ln>
          </c:spPr>
          <c:marker>
            <c:symbol val="none"/>
          </c:marker>
          <c:cat>
            <c:strRef>
              <c:f>'Reporte de Seguimiento_BG 20-06'!$C$30:$N$30</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20-06'!$S$69:$S$80</c:f>
              <c:numCache>
                <c:formatCode>#,##0_);[Red]\(#,##0\)</c:formatCode>
                <c:ptCount val="12"/>
                <c:pt idx="0">
                  <c:v>976.94844864000004</c:v>
                </c:pt>
                <c:pt idx="1">
                  <c:v>1028.9742510999999</c:v>
                </c:pt>
                <c:pt idx="2">
                  <c:v>957.86658106000004</c:v>
                </c:pt>
                <c:pt idx="3">
                  <c:v>804.32309081000005</c:v>
                </c:pt>
                <c:pt idx="4">
                  <c:v>644.19455078999999</c:v>
                </c:pt>
                <c:pt idx="5">
                  <c:v>877.14804475000005</c:v>
                </c:pt>
                <c:pt idx="6">
                  <c:v>1117.23890689</c:v>
                </c:pt>
                <c:pt idx="7">
                  <c:v>1688.7400678199999</c:v>
                </c:pt>
                <c:pt idx="8">
                  <c:v>1194.37995181</c:v>
                </c:pt>
                <c:pt idx="9">
                  <c:v>1444.8642172100001</c:v>
                </c:pt>
                <c:pt idx="10">
                  <c:v>1860.8430799499999</c:v>
                </c:pt>
                <c:pt idx="11">
                  <c:v>1555.01265463</c:v>
                </c:pt>
              </c:numCache>
            </c:numRef>
          </c:val>
          <c:smooth val="0"/>
          <c:extLst>
            <c:ext xmlns:c16="http://schemas.microsoft.com/office/drawing/2014/chart" uri="{C3380CC4-5D6E-409C-BE32-E72D297353CC}">
              <c16:uniqueId val="{00000001-C827-467D-9455-0224E3441B35}"/>
            </c:ext>
          </c:extLst>
        </c:ser>
        <c:ser>
          <c:idx val="1"/>
          <c:order val="1"/>
          <c:tx>
            <c:v>2018</c:v>
          </c:tx>
          <c:spPr>
            <a:ln w="25400" cmpd="sng">
              <a:solidFill>
                <a:schemeClr val="tx1"/>
              </a:solidFill>
            </a:ln>
          </c:spPr>
          <c:marker>
            <c:symbol val="none"/>
          </c:marker>
          <c:cat>
            <c:strRef>
              <c:f>'Reporte de Seguimiento_BG 20-06'!$C$30:$N$30</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20-06'!$S$81:$S$92</c:f>
              <c:numCache>
                <c:formatCode>#,##0_);[Red]\(#,##0\)</c:formatCode>
                <c:ptCount val="12"/>
                <c:pt idx="0">
                  <c:v>1571.8081952499999</c:v>
                </c:pt>
                <c:pt idx="1">
                  <c:v>1270.13219377</c:v>
                </c:pt>
                <c:pt idx="2">
                  <c:v>1816.16514104</c:v>
                </c:pt>
                <c:pt idx="3">
                  <c:v>1521.21518292</c:v>
                </c:pt>
                <c:pt idx="4" formatCode="_(* #,##0_);_(* \(#,##0\);_(* &quot;-&quot;??_);_(@_)">
                  <c:v>1773.13543863</c:v>
                </c:pt>
                <c:pt idx="5" formatCode="_(* #,##0_);_(* \(#,##0\);_(* &quot;-&quot;??_);_(@_)">
                  <c:v>1530.11486666</c:v>
                </c:pt>
                <c:pt idx="6" formatCode="_(* #,##0_);_(* \(#,##0\);_(* &quot;-&quot;??_);_(@_)">
                  <c:v>1745.3978690599999</c:v>
                </c:pt>
                <c:pt idx="7" formatCode="_(* #,##0_);_(* \(#,##0\);_(* &quot;-&quot;??_);_(@_)">
                  <c:v>1910.61006845</c:v>
                </c:pt>
                <c:pt idx="8" formatCode="_(* #,##0_);_(* \(#,##0\);_(* &quot;-&quot;??_);_(@_)">
                  <c:v>1833.0731707800001</c:v>
                </c:pt>
                <c:pt idx="9" formatCode="_(* #,##0_);_(* \(#,##0\);_(* &quot;-&quot;??_);_(@_)">
                  <c:v>2331.2516409300001</c:v>
                </c:pt>
                <c:pt idx="10" formatCode="_(* #,##0_);_(* \(#,##0\);_(* &quot;-&quot;??_);_(@_)">
                  <c:v>2044.4513902599999</c:v>
                </c:pt>
                <c:pt idx="11" formatCode="_(* #,##0_);_(* \(#,##0\);_(* &quot;-&quot;??_);_(@_)">
                  <c:v>1881.9958014599999</c:v>
                </c:pt>
              </c:numCache>
            </c:numRef>
          </c:val>
          <c:smooth val="0"/>
          <c:extLst>
            <c:ext xmlns:c16="http://schemas.microsoft.com/office/drawing/2014/chart" uri="{C3380CC4-5D6E-409C-BE32-E72D297353CC}">
              <c16:uniqueId val="{00000002-C827-467D-9455-0224E3441B35}"/>
            </c:ext>
          </c:extLst>
        </c:ser>
        <c:ser>
          <c:idx val="2"/>
          <c:order val="2"/>
          <c:tx>
            <c:v> 2019 (R) </c:v>
          </c:tx>
          <c:spPr>
            <a:ln>
              <a:solidFill>
                <a:srgbClr val="FF0000"/>
              </a:solidFill>
            </a:ln>
          </c:spPr>
          <c:marker>
            <c:symbol val="none"/>
          </c:marker>
          <c:cat>
            <c:strRef>
              <c:f>'Reporte de Seguimiento_BG 20-06'!$C$30:$N$30</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20-06'!$S$93:$S$104</c:f>
              <c:numCache>
                <c:formatCode>#,##0_);[Red]\(#,##0\)</c:formatCode>
                <c:ptCount val="12"/>
                <c:pt idx="0">
                  <c:v>1950.3991190699999</c:v>
                </c:pt>
                <c:pt idx="1">
                  <c:v>1586.2194889699997</c:v>
                </c:pt>
                <c:pt idx="2">
                  <c:v>1853.8857025899997</c:v>
                </c:pt>
                <c:pt idx="3">
                  <c:v>358.79537143000005</c:v>
                </c:pt>
                <c:pt idx="4">
                  <c:v>382.44348857</c:v>
                </c:pt>
                <c:pt idx="5">
                  <c:v>370.84104293000001</c:v>
                </c:pt>
              </c:numCache>
            </c:numRef>
          </c:val>
          <c:smooth val="0"/>
          <c:extLst>
            <c:ext xmlns:c16="http://schemas.microsoft.com/office/drawing/2014/chart" uri="{C3380CC4-5D6E-409C-BE32-E72D297353CC}">
              <c16:uniqueId val="{00000003-C827-467D-9455-0224E3441B35}"/>
            </c:ext>
          </c:extLst>
        </c:ser>
        <c:ser>
          <c:idx val="3"/>
          <c:order val="3"/>
          <c:tx>
            <c:v> 2019 (F) </c:v>
          </c:tx>
          <c:spPr>
            <a:ln>
              <a:solidFill>
                <a:srgbClr val="FF0000"/>
              </a:solidFill>
              <a:prstDash val="sysDash"/>
            </a:ln>
          </c:spPr>
          <c:marker>
            <c:symbol val="none"/>
          </c:marker>
          <c:cat>
            <c:strRef>
              <c:f>'Reporte de Seguimiento_BG 20-06'!$C$30:$N$30</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20-06'!$T$93:$T$104</c:f>
              <c:numCache>
                <c:formatCode>#,##0_);[Red]\(#,##0\)</c:formatCode>
                <c:ptCount val="12"/>
                <c:pt idx="0">
                  <c:v>1950.3991190699999</c:v>
                </c:pt>
                <c:pt idx="1">
                  <c:v>1586.2194889699997</c:v>
                </c:pt>
                <c:pt idx="2">
                  <c:v>1853.8857025899997</c:v>
                </c:pt>
                <c:pt idx="3">
                  <c:v>358.79537143000005</c:v>
                </c:pt>
                <c:pt idx="4">
                  <c:v>382.44348857</c:v>
                </c:pt>
                <c:pt idx="5" formatCode="_(* #,##0_);_(* \(#,##0\);_(* &quot;-&quot;??_);_(@_)">
                  <c:v>370.84104293000001</c:v>
                </c:pt>
                <c:pt idx="6" formatCode="_(* #,##0_);_(* \(#,##0\);_(* &quot;-&quot;??_);_(@_)">
                  <c:v>492.6640523782001</c:v>
                </c:pt>
                <c:pt idx="7" formatCode="_(* #,##0_);_(* \(#,##0\);_(* &quot;-&quot;??_);_(@_)">
                  <c:v>882.48282197080016</c:v>
                </c:pt>
                <c:pt idx="8" formatCode="_(* #,##0_);_(* \(#,##0\);_(* &quot;-&quot;??_);_(@_)">
                  <c:v>804.45516669419999</c:v>
                </c:pt>
                <c:pt idx="9" formatCode="_(* #,##0_);_(* \(#,##0\);_(* &quot;-&quot;??_);_(@_)">
                  <c:v>571.8692867307999</c:v>
                </c:pt>
                <c:pt idx="10" formatCode="_(* #,##0_);_(* \(#,##0\);_(* &quot;-&quot;??_);_(@_)">
                  <c:v>497.65957119700005</c:v>
                </c:pt>
                <c:pt idx="11" formatCode="_(* #,##0_);_(* \(#,##0\);_(* &quot;-&quot;??_);_(@_)">
                  <c:v>520.14632160400004</c:v>
                </c:pt>
              </c:numCache>
            </c:numRef>
          </c:val>
          <c:smooth val="0"/>
          <c:extLst>
            <c:ext xmlns:c16="http://schemas.microsoft.com/office/drawing/2014/chart" uri="{C3380CC4-5D6E-409C-BE32-E72D297353CC}">
              <c16:uniqueId val="{00000004-C827-467D-9455-0224E3441B35}"/>
            </c:ext>
          </c:extLst>
        </c:ser>
        <c:dLbls>
          <c:showLegendKey val="0"/>
          <c:showVal val="0"/>
          <c:showCatName val="0"/>
          <c:showSerName val="0"/>
          <c:showPercent val="0"/>
          <c:showBubbleSize val="0"/>
        </c:dLbls>
        <c:marker val="1"/>
        <c:smooth val="0"/>
        <c:axId val="581294880"/>
        <c:axId val="581301544"/>
      </c:lineChart>
      <c:catAx>
        <c:axId val="581294880"/>
        <c:scaling>
          <c:orientation val="minMax"/>
        </c:scaling>
        <c:delete val="0"/>
        <c:axPos val="b"/>
        <c:numFmt formatCode="General" sourceLinked="0"/>
        <c:majorTickMark val="out"/>
        <c:minorTickMark val="none"/>
        <c:tickLblPos val="nextTo"/>
        <c:txPr>
          <a:bodyPr/>
          <a:lstStyle/>
          <a:p>
            <a:pPr>
              <a:defRPr sz="900" b="0"/>
            </a:pPr>
            <a:endParaRPr lang="es-CO"/>
          </a:p>
        </c:txPr>
        <c:crossAx val="581301544"/>
        <c:crosses val="autoZero"/>
        <c:auto val="1"/>
        <c:lblAlgn val="ctr"/>
        <c:lblOffset val="100"/>
        <c:noMultiLvlLbl val="0"/>
      </c:catAx>
      <c:valAx>
        <c:axId val="581301544"/>
        <c:scaling>
          <c:orientation val="minMax"/>
        </c:scaling>
        <c:delete val="0"/>
        <c:axPos val="l"/>
        <c:majorGridlines>
          <c:spPr>
            <a:ln>
              <a:prstDash val="dash"/>
            </a:ln>
          </c:spPr>
        </c:majorGridlines>
        <c:title>
          <c:tx>
            <c:rich>
              <a:bodyPr rot="-5400000" vert="horz"/>
              <a:lstStyle/>
              <a:p>
                <a:pPr>
                  <a:defRPr sz="900" b="0"/>
                </a:pPr>
                <a:r>
                  <a:rPr lang="es-CO" sz="900" b="0"/>
                  <a:t>COP MM</a:t>
                </a:r>
              </a:p>
            </c:rich>
          </c:tx>
          <c:layout>
            <c:manualLayout>
              <c:xMode val="edge"/>
              <c:yMode val="edge"/>
              <c:x val="1.1414355814218874E-2"/>
              <c:y val="0.32169165810795392"/>
            </c:manualLayout>
          </c:layout>
          <c:overlay val="0"/>
        </c:title>
        <c:numFmt formatCode="\$#,##0_);\(\$#,##0\)" sourceLinked="0"/>
        <c:majorTickMark val="out"/>
        <c:minorTickMark val="none"/>
        <c:tickLblPos val="nextTo"/>
        <c:txPr>
          <a:bodyPr/>
          <a:lstStyle/>
          <a:p>
            <a:pPr>
              <a:defRPr sz="900" b="0"/>
            </a:pPr>
            <a:endParaRPr lang="es-CO"/>
          </a:p>
        </c:txPr>
        <c:crossAx val="581294880"/>
        <c:crosses val="autoZero"/>
        <c:crossBetween val="between"/>
        <c:majorUnit val="1200"/>
      </c:valAx>
    </c:plotArea>
    <c:legend>
      <c:legendPos val="b"/>
      <c:layout>
        <c:manualLayout>
          <c:xMode val="edge"/>
          <c:yMode val="edge"/>
          <c:x val="5.8528814332990987E-2"/>
          <c:y val="0.89301563391532579"/>
          <c:w val="0.88009928106812729"/>
          <c:h val="7.8539769485336031E-2"/>
        </c:manualLayout>
      </c:layout>
      <c:overlay val="0"/>
      <c:txPr>
        <a:bodyPr/>
        <a:lstStyle/>
        <a:p>
          <a:pPr>
            <a:defRPr sz="800" b="1"/>
          </a:pPr>
          <a:endParaRPr lang="es-CO"/>
        </a:p>
      </c:txPr>
    </c:legend>
    <c:plotVisOnly val="0"/>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52501273161751"/>
          <c:y val="5.0925925925925923E-2"/>
          <c:w val="0.79531879410596062"/>
          <c:h val="0.73877478856809564"/>
        </c:manualLayout>
      </c:layout>
      <c:barChart>
        <c:barDir val="col"/>
        <c:grouping val="clustered"/>
        <c:varyColors val="0"/>
        <c:ser>
          <c:idx val="4"/>
          <c:order val="0"/>
          <c:tx>
            <c:strRef>
              <c:f>'Reporte de Seguimiento_PyG20-06'!$B$50</c:f>
              <c:strCache>
                <c:ptCount val="1"/>
                <c:pt idx="0">
                  <c:v>Presupuesto</c:v>
                </c:pt>
              </c:strCache>
            </c:strRef>
          </c:tx>
          <c:spPr>
            <a:solidFill>
              <a:schemeClr val="accent2">
                <a:lumMod val="60000"/>
                <a:lumOff val="40000"/>
              </a:schemeClr>
            </a:solidFill>
          </c:spPr>
          <c:invertIfNegative val="0"/>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Seguimiento_PyG20-06'!$C$50:$N$50</c:f>
              <c:numCache>
                <c:formatCode>#,##0_);\(#,##0\)</c:formatCode>
                <c:ptCount val="12"/>
                <c:pt idx="0">
                  <c:v>469.24265070835003</c:v>
                </c:pt>
                <c:pt idx="1">
                  <c:v>235.426287664847</c:v>
                </c:pt>
                <c:pt idx="2">
                  <c:v>337.03745266484702</c:v>
                </c:pt>
                <c:pt idx="3">
                  <c:v>193.182331283422</c:v>
                </c:pt>
                <c:pt idx="4">
                  <c:v>431.84876528342198</c:v>
                </c:pt>
                <c:pt idx="5">
                  <c:v>390.404007452472</c:v>
                </c:pt>
                <c:pt idx="6">
                  <c:v>378.97649742827201</c:v>
                </c:pt>
                <c:pt idx="7">
                  <c:v>338.32103941922202</c:v>
                </c:pt>
                <c:pt idx="8">
                  <c:v>391.75527192827201</c:v>
                </c:pt>
                <c:pt idx="9">
                  <c:v>366.21719005969601</c:v>
                </c:pt>
                <c:pt idx="10">
                  <c:v>400.90384830969703</c:v>
                </c:pt>
                <c:pt idx="11">
                  <c:v>392.69851656874602</c:v>
                </c:pt>
              </c:numCache>
            </c:numRef>
          </c:val>
          <c:extLst>
            <c:ext xmlns:c16="http://schemas.microsoft.com/office/drawing/2014/chart" uri="{C3380CC4-5D6E-409C-BE32-E72D297353CC}">
              <c16:uniqueId val="{00000000-A650-4059-B7E6-3100F0DCB189}"/>
            </c:ext>
          </c:extLst>
        </c:ser>
        <c:dLbls>
          <c:showLegendKey val="0"/>
          <c:showVal val="0"/>
          <c:showCatName val="0"/>
          <c:showSerName val="0"/>
          <c:showPercent val="0"/>
          <c:showBubbleSize val="0"/>
        </c:dLbls>
        <c:gapWidth val="150"/>
        <c:axId val="581301936"/>
        <c:axId val="581294488"/>
      </c:barChart>
      <c:lineChart>
        <c:grouping val="standard"/>
        <c:varyColors val="0"/>
        <c:ser>
          <c:idx val="0"/>
          <c:order val="1"/>
          <c:tx>
            <c:v>2017</c:v>
          </c:tx>
          <c:spPr>
            <a:ln w="25400">
              <a:solidFill>
                <a:schemeClr val="accent3">
                  <a:lumMod val="75000"/>
                </a:schemeClr>
              </a:solidFill>
            </a:ln>
          </c:spPr>
          <c:marker>
            <c:symbol val="none"/>
          </c:marker>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20-06'!$Z$69:$Z$80</c:f>
              <c:numCache>
                <c:formatCode>#,##0_);[Red]\(#,##0\)</c:formatCode>
                <c:ptCount val="12"/>
                <c:pt idx="0">
                  <c:v>88.905493469999996</c:v>
                </c:pt>
                <c:pt idx="1">
                  <c:v>127.08420185999999</c:v>
                </c:pt>
                <c:pt idx="2">
                  <c:v>122.08167013000001</c:v>
                </c:pt>
                <c:pt idx="3">
                  <c:v>9.0989087199995993</c:v>
                </c:pt>
                <c:pt idx="4">
                  <c:v>-47.546363889999803</c:v>
                </c:pt>
                <c:pt idx="5">
                  <c:v>61.992294780000101</c:v>
                </c:pt>
                <c:pt idx="6">
                  <c:v>-47.182758749999799</c:v>
                </c:pt>
                <c:pt idx="7">
                  <c:v>586.86624984000002</c:v>
                </c:pt>
                <c:pt idx="8">
                  <c:v>69.603893930000098</c:v>
                </c:pt>
                <c:pt idx="9">
                  <c:v>219.79665008000001</c:v>
                </c:pt>
                <c:pt idx="10">
                  <c:v>613.85130762999904</c:v>
                </c:pt>
                <c:pt idx="11">
                  <c:v>232.11366713000001</c:v>
                </c:pt>
              </c:numCache>
            </c:numRef>
          </c:val>
          <c:smooth val="0"/>
          <c:extLst>
            <c:ext xmlns:c16="http://schemas.microsoft.com/office/drawing/2014/chart" uri="{C3380CC4-5D6E-409C-BE32-E72D297353CC}">
              <c16:uniqueId val="{00000001-A650-4059-B7E6-3100F0DCB189}"/>
            </c:ext>
          </c:extLst>
        </c:ser>
        <c:ser>
          <c:idx val="1"/>
          <c:order val="2"/>
          <c:tx>
            <c:v>2018</c:v>
          </c:tx>
          <c:spPr>
            <a:ln w="25400" cmpd="sng">
              <a:solidFill>
                <a:schemeClr val="tx1"/>
              </a:solidFill>
            </a:ln>
          </c:spPr>
          <c:marker>
            <c:symbol val="none"/>
          </c:marker>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20-06'!$Z$81:$Z$92</c:f>
              <c:numCache>
                <c:formatCode>#,##0_);[Red]\(#,##0\)</c:formatCode>
                <c:ptCount val="12"/>
                <c:pt idx="0">
                  <c:v>239.771348539999</c:v>
                </c:pt>
                <c:pt idx="1">
                  <c:v>42.0842245300001</c:v>
                </c:pt>
                <c:pt idx="2">
                  <c:v>509.79230679</c:v>
                </c:pt>
                <c:pt idx="3">
                  <c:v>238.32084363999999</c:v>
                </c:pt>
                <c:pt idx="4">
                  <c:v>506.85893097000002</c:v>
                </c:pt>
                <c:pt idx="5">
                  <c:v>164.24228471000001</c:v>
                </c:pt>
                <c:pt idx="6">
                  <c:v>237.65607098999899</c:v>
                </c:pt>
                <c:pt idx="7">
                  <c:v>406.00098489999999</c:v>
                </c:pt>
                <c:pt idx="8">
                  <c:v>439.18543259000199</c:v>
                </c:pt>
                <c:pt idx="9">
                  <c:v>760.42663463999997</c:v>
                </c:pt>
                <c:pt idx="10">
                  <c:v>486.27760798000003</c:v>
                </c:pt>
                <c:pt idx="11">
                  <c:v>282.27302400999997</c:v>
                </c:pt>
              </c:numCache>
            </c:numRef>
          </c:val>
          <c:smooth val="0"/>
          <c:extLst>
            <c:ext xmlns:c16="http://schemas.microsoft.com/office/drawing/2014/chart" uri="{C3380CC4-5D6E-409C-BE32-E72D297353CC}">
              <c16:uniqueId val="{00000002-A650-4059-B7E6-3100F0DCB189}"/>
            </c:ext>
          </c:extLst>
        </c:ser>
        <c:ser>
          <c:idx val="2"/>
          <c:order val="3"/>
          <c:tx>
            <c:v> 2019 (R) </c:v>
          </c:tx>
          <c:spPr>
            <a:ln>
              <a:solidFill>
                <a:srgbClr val="FF0000"/>
              </a:solidFill>
            </a:ln>
          </c:spPr>
          <c:marker>
            <c:symbol val="none"/>
          </c:marker>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20-06'!$Z$93:$Z$104</c:f>
              <c:numCache>
                <c:formatCode>#,##0_);[Red]\(#,##0\)</c:formatCode>
                <c:ptCount val="12"/>
                <c:pt idx="0">
                  <c:v>461.04943821999962</c:v>
                </c:pt>
                <c:pt idx="1">
                  <c:v>247.65413249999978</c:v>
                </c:pt>
                <c:pt idx="2">
                  <c:v>679.93009856999981</c:v>
                </c:pt>
                <c:pt idx="3">
                  <c:v>-73.111713319999978</c:v>
                </c:pt>
                <c:pt idx="4">
                  <c:v>31.675038399999977</c:v>
                </c:pt>
                <c:pt idx="5">
                  <c:v>-201.98600461000007</c:v>
                </c:pt>
              </c:numCache>
            </c:numRef>
          </c:val>
          <c:smooth val="0"/>
          <c:extLst>
            <c:ext xmlns:c16="http://schemas.microsoft.com/office/drawing/2014/chart" uri="{C3380CC4-5D6E-409C-BE32-E72D297353CC}">
              <c16:uniqueId val="{00000003-A650-4059-B7E6-3100F0DCB189}"/>
            </c:ext>
          </c:extLst>
        </c:ser>
        <c:ser>
          <c:idx val="3"/>
          <c:order val="4"/>
          <c:tx>
            <c:v> 2019 (F) </c:v>
          </c:tx>
          <c:spPr>
            <a:ln>
              <a:solidFill>
                <a:srgbClr val="FF0000"/>
              </a:solidFill>
              <a:prstDash val="sysDash"/>
            </a:ln>
          </c:spPr>
          <c:marker>
            <c:symbol val="none"/>
          </c:marker>
          <c:cat>
            <c:strRef>
              <c:f>'Reporte de Seguimiento_BG 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Seguimiento_BG 20-06'!$AA$93:$AA$104</c:f>
              <c:numCache>
                <c:formatCode>#,##0_);[Red]\(#,##0\)</c:formatCode>
                <c:ptCount val="12"/>
                <c:pt idx="0">
                  <c:v>461.04943821999962</c:v>
                </c:pt>
                <c:pt idx="1">
                  <c:v>247.65413249999978</c:v>
                </c:pt>
                <c:pt idx="2">
                  <c:v>679.93009856999981</c:v>
                </c:pt>
                <c:pt idx="3">
                  <c:v>-73.111713319999978</c:v>
                </c:pt>
                <c:pt idx="4">
                  <c:v>31.675038399999977</c:v>
                </c:pt>
                <c:pt idx="5" formatCode="_(* #,##0_);_(* \(#,##0\);_(* &quot;-&quot;??_);_(@_)">
                  <c:v>-201.98600461000007</c:v>
                </c:pt>
                <c:pt idx="6" formatCode="_(* #,##0_);_(* \(#,##0\);_(* &quot;-&quot;??_);_(@_)">
                  <c:v>-159.76547736184983</c:v>
                </c:pt>
                <c:pt idx="7" formatCode="_(* #,##0_);_(* \(#,##0\);_(* &quot;-&quot;??_);_(@_)">
                  <c:v>138.45228879650026</c:v>
                </c:pt>
                <c:pt idx="8" formatCode="_(* #,##0_);_(* \(#,##0\);_(* &quot;-&quot;??_);_(@_)">
                  <c:v>58.281820349150109</c:v>
                </c:pt>
                <c:pt idx="9" formatCode="_(* #,##0_);_(* \(#,##0\);_(* &quot;-&quot;??_);_(@_)">
                  <c:v>-97.211661993500002</c:v>
                </c:pt>
                <c:pt idx="10" formatCode="_(* #,##0_);_(* \(#,##0\);_(* &quot;-&quot;??_);_(@_)">
                  <c:v>-126.40545916954986</c:v>
                </c:pt>
                <c:pt idx="11" formatCode="_(* #,##0_);_(* \(#,##0\);_(* &quot;-&quot;??_);_(@_)">
                  <c:v>-137.78923637879987</c:v>
                </c:pt>
              </c:numCache>
            </c:numRef>
          </c:val>
          <c:smooth val="0"/>
          <c:extLst>
            <c:ext xmlns:c16="http://schemas.microsoft.com/office/drawing/2014/chart" uri="{C3380CC4-5D6E-409C-BE32-E72D297353CC}">
              <c16:uniqueId val="{00000004-A650-4059-B7E6-3100F0DCB189}"/>
            </c:ext>
          </c:extLst>
        </c:ser>
        <c:dLbls>
          <c:showLegendKey val="0"/>
          <c:showVal val="0"/>
          <c:showCatName val="0"/>
          <c:showSerName val="0"/>
          <c:showPercent val="0"/>
          <c:showBubbleSize val="0"/>
        </c:dLbls>
        <c:marker val="1"/>
        <c:smooth val="0"/>
        <c:axId val="581301936"/>
        <c:axId val="581294488"/>
      </c:lineChart>
      <c:catAx>
        <c:axId val="581301936"/>
        <c:scaling>
          <c:orientation val="minMax"/>
        </c:scaling>
        <c:delete val="0"/>
        <c:axPos val="b"/>
        <c:numFmt formatCode="General" sourceLinked="0"/>
        <c:majorTickMark val="out"/>
        <c:minorTickMark val="none"/>
        <c:tickLblPos val="low"/>
        <c:txPr>
          <a:bodyPr/>
          <a:lstStyle/>
          <a:p>
            <a:pPr>
              <a:defRPr sz="900" b="0"/>
            </a:pPr>
            <a:endParaRPr lang="es-CO"/>
          </a:p>
        </c:txPr>
        <c:crossAx val="581294488"/>
        <c:crosses val="autoZero"/>
        <c:auto val="1"/>
        <c:lblAlgn val="ctr"/>
        <c:lblOffset val="100"/>
        <c:noMultiLvlLbl val="0"/>
      </c:catAx>
      <c:valAx>
        <c:axId val="581294488"/>
        <c:scaling>
          <c:orientation val="minMax"/>
        </c:scaling>
        <c:delete val="0"/>
        <c:axPos val="l"/>
        <c:majorGridlines>
          <c:spPr>
            <a:ln>
              <a:prstDash val="dash"/>
            </a:ln>
          </c:spPr>
        </c:majorGridlines>
        <c:title>
          <c:tx>
            <c:rich>
              <a:bodyPr rot="-5400000" vert="horz"/>
              <a:lstStyle/>
              <a:p>
                <a:pPr>
                  <a:defRPr sz="900" b="0"/>
                </a:pPr>
                <a:r>
                  <a:rPr lang="es-CO" sz="900" b="0"/>
                  <a:t>COP</a:t>
                </a:r>
                <a:r>
                  <a:rPr lang="es-CO" sz="900" b="0" baseline="0"/>
                  <a:t> MM</a:t>
                </a:r>
                <a:endParaRPr lang="es-CO" sz="900" b="0"/>
              </a:p>
            </c:rich>
          </c:tx>
          <c:layout>
            <c:manualLayout>
              <c:xMode val="edge"/>
              <c:yMode val="edge"/>
              <c:x val="2.8855414812278901E-3"/>
              <c:y val="0.33240123245463882"/>
            </c:manualLayout>
          </c:layout>
          <c:overlay val="0"/>
        </c:title>
        <c:numFmt formatCode="\$#,##0_);\(\$#,##0\)" sourceLinked="0"/>
        <c:majorTickMark val="out"/>
        <c:minorTickMark val="none"/>
        <c:tickLblPos val="nextTo"/>
        <c:txPr>
          <a:bodyPr/>
          <a:lstStyle/>
          <a:p>
            <a:pPr>
              <a:defRPr sz="900" b="0"/>
            </a:pPr>
            <a:endParaRPr lang="es-CO"/>
          </a:p>
        </c:txPr>
        <c:crossAx val="581301936"/>
        <c:crosses val="autoZero"/>
        <c:crossBetween val="between"/>
      </c:valAx>
    </c:plotArea>
    <c:legend>
      <c:legendPos val="b"/>
      <c:layout>
        <c:manualLayout>
          <c:xMode val="edge"/>
          <c:yMode val="edge"/>
          <c:x val="3.0099512484382807E-2"/>
          <c:y val="0.90525049804130686"/>
          <c:w val="0.88793267122657649"/>
          <c:h val="9.1863517060367453E-2"/>
        </c:manualLayout>
      </c:layout>
      <c:overlay val="0"/>
      <c:txPr>
        <a:bodyPr/>
        <a:lstStyle/>
        <a:p>
          <a:pPr>
            <a:defRPr sz="800" b="1"/>
          </a:pPr>
          <a:endParaRPr lang="es-CO"/>
        </a:p>
      </c:txPr>
    </c:legend>
    <c:plotVisOnly val="0"/>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6392351997668"/>
          <c:y val="6.3657407407407413E-2"/>
          <c:w val="0.72038928076698749"/>
          <c:h val="0.68744759769612129"/>
        </c:manualLayout>
      </c:layout>
      <c:barChart>
        <c:barDir val="col"/>
        <c:grouping val="stacked"/>
        <c:varyColors val="0"/>
        <c:ser>
          <c:idx val="0"/>
          <c:order val="0"/>
          <c:tx>
            <c:v>Real</c:v>
          </c:tx>
          <c:spPr>
            <a:solidFill>
              <a:srgbClr val="C00000"/>
            </a:solidFill>
          </c:spPr>
          <c:invertIfNegative val="0"/>
          <c:cat>
            <c:numRef>
              <c:f>'Reporte de Seguimiento_BG 20-06'!$R$81:$R$104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20-06'!$U$81:$U$104</c:f>
              <c:numCache>
                <c:formatCode>#,##0_);[Red]\(#,##0\)</c:formatCode>
                <c:ptCount val="24"/>
                <c:pt idx="0">
                  <c:v>14745.393592070001</c:v>
                </c:pt>
                <c:pt idx="1">
                  <c:v>14986.55153474</c:v>
                </c:pt>
                <c:pt idx="2">
                  <c:v>15844.850094719997</c:v>
                </c:pt>
                <c:pt idx="3">
                  <c:v>16561.742186830001</c:v>
                </c:pt>
                <c:pt idx="4">
                  <c:v>17690.68307467</c:v>
                </c:pt>
                <c:pt idx="5">
                  <c:v>18343.649896579995</c:v>
                </c:pt>
                <c:pt idx="6">
                  <c:v>18971.808858749999</c:v>
                </c:pt>
                <c:pt idx="7">
                  <c:v>19193.678859380001</c:v>
                </c:pt>
                <c:pt idx="8">
                  <c:v>19832.372078349999</c:v>
                </c:pt>
                <c:pt idx="9">
                  <c:v>20718.759502070003</c:v>
                </c:pt>
                <c:pt idx="10">
                  <c:v>20902.367812380002</c:v>
                </c:pt>
                <c:pt idx="11">
                  <c:v>21229.350959210002</c:v>
                </c:pt>
                <c:pt idx="12">
                  <c:v>21607.941883030002</c:v>
                </c:pt>
                <c:pt idx="13">
                  <c:v>21924.029178230005</c:v>
                </c:pt>
                <c:pt idx="14">
                  <c:v>21961.74973978</c:v>
                </c:pt>
                <c:pt idx="15">
                  <c:v>20799.329928289997</c:v>
                </c:pt>
                <c:pt idx="16">
                  <c:v>19408.637978229995</c:v>
                </c:pt>
                <c:pt idx="17">
                  <c:v>18249.364154499995</c:v>
                </c:pt>
              </c:numCache>
            </c:numRef>
          </c:val>
          <c:extLst>
            <c:ext xmlns:c16="http://schemas.microsoft.com/office/drawing/2014/chart" uri="{C3380CC4-5D6E-409C-BE32-E72D297353CC}">
              <c16:uniqueId val="{00000000-85A0-4EA5-AFA8-C269B78C21DC}"/>
            </c:ext>
          </c:extLst>
        </c:ser>
        <c:ser>
          <c:idx val="1"/>
          <c:order val="1"/>
          <c:tx>
            <c:v>Forecast</c:v>
          </c:tx>
          <c:spPr>
            <a:solidFill>
              <a:schemeClr val="bg1">
                <a:lumMod val="75000"/>
              </a:schemeClr>
            </a:solidFill>
          </c:spPr>
          <c:invertIfNegative val="0"/>
          <c:dPt>
            <c:idx val="14"/>
            <c:invertIfNegative val="0"/>
            <c:bubble3D val="0"/>
            <c:spPr>
              <a:solidFill>
                <a:srgbClr val="CC0000"/>
              </a:solidFill>
            </c:spPr>
            <c:extLst>
              <c:ext xmlns:c16="http://schemas.microsoft.com/office/drawing/2014/chart" uri="{C3380CC4-5D6E-409C-BE32-E72D297353CC}">
                <c16:uniqueId val="{00000002-85A0-4EA5-AFA8-C269B78C21DC}"/>
              </c:ext>
            </c:extLst>
          </c:dPt>
          <c:dPt>
            <c:idx val="15"/>
            <c:invertIfNegative val="0"/>
            <c:bubble3D val="0"/>
            <c:spPr>
              <a:solidFill>
                <a:srgbClr val="C00000"/>
              </a:solidFill>
            </c:spPr>
            <c:extLst>
              <c:ext xmlns:c16="http://schemas.microsoft.com/office/drawing/2014/chart" uri="{C3380CC4-5D6E-409C-BE32-E72D297353CC}">
                <c16:uniqueId val="{00000004-85A0-4EA5-AFA8-C269B78C21DC}"/>
              </c:ext>
            </c:extLst>
          </c:dPt>
          <c:cat>
            <c:numRef>
              <c:f>'Reporte de Seguimiento_BG 20-06'!$R$81:$R$104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20-06'!$V$81:$V$104</c:f>
              <c:numCache>
                <c:formatCode>#,##0_);[Red]\(#,##0\)</c:formatCode>
                <c:ptCount val="24"/>
                <c:pt idx="18">
                  <c:v>16996.630337818202</c:v>
                </c:pt>
                <c:pt idx="19">
                  <c:v>15968.503091339</c:v>
                </c:pt>
                <c:pt idx="20">
                  <c:v>14939.8850872532</c:v>
                </c:pt>
                <c:pt idx="21">
                  <c:v>13180.502733054</c:v>
                </c:pt>
                <c:pt idx="22">
                  <c:v>11633.710913991001</c:v>
                </c:pt>
                <c:pt idx="23">
                  <c:v>10271.861434135</c:v>
                </c:pt>
              </c:numCache>
            </c:numRef>
          </c:val>
          <c:extLst>
            <c:ext xmlns:c16="http://schemas.microsoft.com/office/drawing/2014/chart" uri="{C3380CC4-5D6E-409C-BE32-E72D297353CC}">
              <c16:uniqueId val="{00000005-85A0-4EA5-AFA8-C269B78C21DC}"/>
            </c:ext>
          </c:extLst>
        </c:ser>
        <c:dLbls>
          <c:showLegendKey val="0"/>
          <c:showVal val="0"/>
          <c:showCatName val="0"/>
          <c:showSerName val="0"/>
          <c:showPercent val="0"/>
          <c:showBubbleSize val="0"/>
        </c:dLbls>
        <c:gapWidth val="100"/>
        <c:overlap val="100"/>
        <c:axId val="581301152"/>
        <c:axId val="581295272"/>
      </c:barChart>
      <c:catAx>
        <c:axId val="581301152"/>
        <c:scaling>
          <c:orientation val="minMax"/>
        </c:scaling>
        <c:delete val="0"/>
        <c:axPos val="b"/>
        <c:numFmt formatCode="[$-409]mmm\-yy;@" sourceLinked="0"/>
        <c:majorTickMark val="out"/>
        <c:minorTickMark val="none"/>
        <c:tickLblPos val="nextTo"/>
        <c:txPr>
          <a:bodyPr rot="0" vert="horz"/>
          <a:lstStyle/>
          <a:p>
            <a:pPr>
              <a:defRPr sz="700"/>
            </a:pPr>
            <a:endParaRPr lang="es-CO"/>
          </a:p>
        </c:txPr>
        <c:crossAx val="581295272"/>
        <c:crosses val="autoZero"/>
        <c:auto val="1"/>
        <c:lblAlgn val="ctr"/>
        <c:lblOffset val="100"/>
        <c:tickLblSkip val="3"/>
        <c:noMultiLvlLbl val="0"/>
      </c:catAx>
      <c:valAx>
        <c:axId val="581295272"/>
        <c:scaling>
          <c:orientation val="minMax"/>
        </c:scaling>
        <c:delete val="0"/>
        <c:axPos val="l"/>
        <c:majorGridlines>
          <c:spPr>
            <a:ln>
              <a:prstDash val="dash"/>
            </a:ln>
          </c:spPr>
        </c:majorGridlines>
        <c:title>
          <c:tx>
            <c:rich>
              <a:bodyPr rot="-5400000" vert="horz"/>
              <a:lstStyle/>
              <a:p>
                <a:pPr>
                  <a:defRPr sz="900" b="0"/>
                </a:pPr>
                <a:r>
                  <a:rPr lang="es-CO" sz="900" b="0"/>
                  <a:t>COP MM</a:t>
                </a:r>
              </a:p>
            </c:rich>
          </c:tx>
          <c:layout>
            <c:manualLayout>
              <c:xMode val="edge"/>
              <c:yMode val="edge"/>
              <c:x val="1.4467648065730913E-2"/>
              <c:y val="0.29501129750085586"/>
            </c:manualLayout>
          </c:layout>
          <c:overlay val="0"/>
        </c:title>
        <c:numFmt formatCode="\$#,##0_);\(\$#,##0\)" sourceLinked="0"/>
        <c:majorTickMark val="out"/>
        <c:minorTickMark val="none"/>
        <c:tickLblPos val="nextTo"/>
        <c:txPr>
          <a:bodyPr/>
          <a:lstStyle/>
          <a:p>
            <a:pPr>
              <a:defRPr sz="900"/>
            </a:pPr>
            <a:endParaRPr lang="es-CO"/>
          </a:p>
        </c:txPr>
        <c:crossAx val="581301152"/>
        <c:crosses val="autoZero"/>
        <c:crossBetween val="between"/>
      </c:valAx>
    </c:plotArea>
    <c:legend>
      <c:legendPos val="b"/>
      <c:overlay val="0"/>
      <c:txPr>
        <a:bodyPr/>
        <a:lstStyle/>
        <a:p>
          <a:pPr>
            <a:defRPr sz="800" b="1"/>
          </a:pPr>
          <a:endParaRPr lang="es-CO"/>
        </a:p>
      </c:txPr>
    </c:legend>
    <c:plotVisOnly val="0"/>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6392351997668"/>
          <c:y val="6.3657407407407413E-2"/>
          <c:w val="0.72038928076698749"/>
          <c:h val="0.68744759769612129"/>
        </c:manualLayout>
      </c:layout>
      <c:barChart>
        <c:barDir val="col"/>
        <c:grouping val="stacked"/>
        <c:varyColors val="0"/>
        <c:ser>
          <c:idx val="0"/>
          <c:order val="0"/>
          <c:tx>
            <c:v>Real</c:v>
          </c:tx>
          <c:spPr>
            <a:solidFill>
              <a:srgbClr val="C00000"/>
            </a:solidFill>
          </c:spPr>
          <c:invertIfNegative val="0"/>
          <c:cat>
            <c:numRef>
              <c:f>'Reporte de Seguimiento_BG 20-06'!$Y$81:$Y$104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20-06'!$AB$81:$AB$104</c:f>
              <c:numCache>
                <c:formatCode>#,##0_);[Red]\(#,##0\)</c:formatCode>
                <c:ptCount val="24"/>
                <c:pt idx="0">
                  <c:v>2187.5310699999986</c:v>
                </c:pt>
                <c:pt idx="1">
                  <c:v>2102.5310926699985</c:v>
                </c:pt>
                <c:pt idx="2">
                  <c:v>2490.2417293299986</c:v>
                </c:pt>
                <c:pt idx="3">
                  <c:v>2719.4636642499991</c:v>
                </c:pt>
                <c:pt idx="4">
                  <c:v>3273.8689591099987</c:v>
                </c:pt>
                <c:pt idx="5">
                  <c:v>3376.1189490399988</c:v>
                </c:pt>
                <c:pt idx="6">
                  <c:v>3660.9577787799976</c:v>
                </c:pt>
                <c:pt idx="7">
                  <c:v>3480.0925138399975</c:v>
                </c:pt>
                <c:pt idx="8">
                  <c:v>3849.6740524999996</c:v>
                </c:pt>
                <c:pt idx="9">
                  <c:v>4390.3040370599992</c:v>
                </c:pt>
                <c:pt idx="10">
                  <c:v>4262.7303374100002</c:v>
                </c:pt>
                <c:pt idx="11">
                  <c:v>4312.8896942900001</c:v>
                </c:pt>
                <c:pt idx="12">
                  <c:v>4534.1677839700014</c:v>
                </c:pt>
                <c:pt idx="13">
                  <c:v>4739.7376919400003</c:v>
                </c:pt>
                <c:pt idx="14">
                  <c:v>4909.8754837200004</c:v>
                </c:pt>
                <c:pt idx="15">
                  <c:v>4598.4429267600008</c:v>
                </c:pt>
                <c:pt idx="16">
                  <c:v>4123.2590341900004</c:v>
                </c:pt>
                <c:pt idx="17">
                  <c:v>3757.03074487</c:v>
                </c:pt>
              </c:numCache>
            </c:numRef>
          </c:val>
          <c:extLst>
            <c:ext xmlns:c16="http://schemas.microsoft.com/office/drawing/2014/chart" uri="{C3380CC4-5D6E-409C-BE32-E72D297353CC}">
              <c16:uniqueId val="{00000000-7F3E-4566-B3F8-0DB9DB3AAB8D}"/>
            </c:ext>
          </c:extLst>
        </c:ser>
        <c:ser>
          <c:idx val="1"/>
          <c:order val="1"/>
          <c:tx>
            <c:v>Forecast</c:v>
          </c:tx>
          <c:spPr>
            <a:solidFill>
              <a:schemeClr val="bg1">
                <a:lumMod val="75000"/>
              </a:schemeClr>
            </a:solidFill>
          </c:spPr>
          <c:invertIfNegative val="0"/>
          <c:dPt>
            <c:idx val="14"/>
            <c:invertIfNegative val="0"/>
            <c:bubble3D val="0"/>
            <c:spPr>
              <a:solidFill>
                <a:srgbClr val="CC0000"/>
              </a:solidFill>
            </c:spPr>
            <c:extLst>
              <c:ext xmlns:c16="http://schemas.microsoft.com/office/drawing/2014/chart" uri="{C3380CC4-5D6E-409C-BE32-E72D297353CC}">
                <c16:uniqueId val="{00000002-7F3E-4566-B3F8-0DB9DB3AAB8D}"/>
              </c:ext>
            </c:extLst>
          </c:dPt>
          <c:dPt>
            <c:idx val="15"/>
            <c:invertIfNegative val="0"/>
            <c:bubble3D val="0"/>
            <c:spPr>
              <a:solidFill>
                <a:srgbClr val="C00000"/>
              </a:solidFill>
            </c:spPr>
            <c:extLst>
              <c:ext xmlns:c16="http://schemas.microsoft.com/office/drawing/2014/chart" uri="{C3380CC4-5D6E-409C-BE32-E72D297353CC}">
                <c16:uniqueId val="{00000004-7F3E-4566-B3F8-0DB9DB3AAB8D}"/>
              </c:ext>
            </c:extLst>
          </c:dPt>
          <c:cat>
            <c:numRef>
              <c:f>'Reporte de Seguimiento_BG 20-06'!$Y$81:$Y$104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20-06'!$AC$81:$AC$104</c:f>
              <c:numCache>
                <c:formatCode>#,##0_);[Red]\(#,##0\)</c:formatCode>
                <c:ptCount val="24"/>
                <c:pt idx="18">
                  <c:v>3359.6091965181513</c:v>
                </c:pt>
                <c:pt idx="19">
                  <c:v>3092.0605004146519</c:v>
                </c:pt>
                <c:pt idx="20">
                  <c:v>2711.1568881737999</c:v>
                </c:pt>
                <c:pt idx="21">
                  <c:v>1853.5185915402997</c:v>
                </c:pt>
                <c:pt idx="22">
                  <c:v>1240.8355243907495</c:v>
                </c:pt>
                <c:pt idx="23">
                  <c:v>820.77326400194966</c:v>
                </c:pt>
              </c:numCache>
            </c:numRef>
          </c:val>
          <c:extLst>
            <c:ext xmlns:c16="http://schemas.microsoft.com/office/drawing/2014/chart" uri="{C3380CC4-5D6E-409C-BE32-E72D297353CC}">
              <c16:uniqueId val="{00000005-7F3E-4566-B3F8-0DB9DB3AAB8D}"/>
            </c:ext>
          </c:extLst>
        </c:ser>
        <c:dLbls>
          <c:showLegendKey val="0"/>
          <c:showVal val="0"/>
          <c:showCatName val="0"/>
          <c:showSerName val="0"/>
          <c:showPercent val="0"/>
          <c:showBubbleSize val="0"/>
        </c:dLbls>
        <c:gapWidth val="100"/>
        <c:overlap val="100"/>
        <c:axId val="581296840"/>
        <c:axId val="581292920"/>
      </c:barChart>
      <c:lineChart>
        <c:grouping val="standard"/>
        <c:varyColors val="0"/>
        <c:ser>
          <c:idx val="3"/>
          <c:order val="2"/>
          <c:tx>
            <c:v>Mg. E</c:v>
          </c:tx>
          <c:spPr>
            <a:ln w="25400">
              <a:solidFill>
                <a:schemeClr val="tx1"/>
              </a:solidFill>
              <a:prstDash val="dash"/>
            </a:ln>
          </c:spPr>
          <c:marker>
            <c:symbol val="none"/>
          </c:marker>
          <c:cat>
            <c:numRef>
              <c:f>'Reporte de Seguimiento_BG 20-06'!$Y$81:$Y$104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20-06'!$AE$81:$AE$104</c:f>
              <c:numCache>
                <c:formatCode>0%</c:formatCode>
                <c:ptCount val="24"/>
                <c:pt idx="0">
                  <c:v>0.14835352181961708</c:v>
                </c:pt>
                <c:pt idx="1">
                  <c:v>0.14029452257887126</c:v>
                </c:pt>
                <c:pt idx="2">
                  <c:v>0.1571641078611293</c:v>
                </c:pt>
                <c:pt idx="3">
                  <c:v>0.16420154556037789</c:v>
                </c:pt>
                <c:pt idx="4">
                  <c:v>0.18506176077494788</c:v>
                </c:pt>
                <c:pt idx="5">
                  <c:v>0.18404837467321294</c:v>
                </c:pt>
                <c:pt idx="6">
                  <c:v>0.19296830397337286</c:v>
                </c:pt>
                <c:pt idx="7">
                  <c:v>0.18131451189406908</c:v>
                </c:pt>
                <c:pt idx="8">
                  <c:v>0.19411062062023809</c:v>
                </c:pt>
                <c:pt idx="9">
                  <c:v>0.21189994683906466</c:v>
                </c:pt>
                <c:pt idx="10">
                  <c:v>0.2039352850199718</c:v>
                </c:pt>
                <c:pt idx="11">
                  <c:v>0.20315692658606335</c:v>
                </c:pt>
                <c:pt idx="12">
                  <c:v>0.20983802198815391</c:v>
                </c:pt>
                <c:pt idx="13">
                  <c:v>0.21618917095067716</c:v>
                </c:pt>
                <c:pt idx="14">
                  <c:v>0.22356485898874398</c:v>
                </c:pt>
                <c:pt idx="15">
                  <c:v>0.2210861091493854</c:v>
                </c:pt>
                <c:pt idx="16">
                  <c:v>0.21244453314111578</c:v>
                </c:pt>
                <c:pt idx="17">
                  <c:v>0.20587187109988034</c:v>
                </c:pt>
                <c:pt idx="18">
                  <c:v>0.19766325028808107</c:v>
                </c:pt>
                <c:pt idx="19">
                  <c:v>0.193634962696768</c:v>
                </c:pt>
                <c:pt idx="20">
                  <c:v>0.18147106703564778</c:v>
                </c:pt>
                <c:pt idx="21">
                  <c:v>0.14062578864249653</c:v>
                </c:pt>
                <c:pt idx="22">
                  <c:v>0.10665861766416154</c:v>
                </c:pt>
                <c:pt idx="23">
                  <c:v>7.9905017144642529E-2</c:v>
                </c:pt>
              </c:numCache>
            </c:numRef>
          </c:val>
          <c:smooth val="0"/>
          <c:extLst>
            <c:ext xmlns:c16="http://schemas.microsoft.com/office/drawing/2014/chart" uri="{C3380CC4-5D6E-409C-BE32-E72D297353CC}">
              <c16:uniqueId val="{00000006-7F3E-4566-B3F8-0DB9DB3AAB8D}"/>
            </c:ext>
          </c:extLst>
        </c:ser>
        <c:dLbls>
          <c:showLegendKey val="0"/>
          <c:showVal val="0"/>
          <c:showCatName val="0"/>
          <c:showSerName val="0"/>
          <c:showPercent val="0"/>
          <c:showBubbleSize val="0"/>
        </c:dLbls>
        <c:marker val="1"/>
        <c:smooth val="0"/>
        <c:axId val="581291352"/>
        <c:axId val="581294096"/>
      </c:lineChart>
      <c:catAx>
        <c:axId val="581296840"/>
        <c:scaling>
          <c:orientation val="minMax"/>
        </c:scaling>
        <c:delete val="0"/>
        <c:axPos val="b"/>
        <c:numFmt formatCode="[$-409]mmm\-yy;@" sourceLinked="0"/>
        <c:majorTickMark val="out"/>
        <c:minorTickMark val="none"/>
        <c:tickLblPos val="low"/>
        <c:txPr>
          <a:bodyPr rot="0" vert="horz"/>
          <a:lstStyle/>
          <a:p>
            <a:pPr>
              <a:defRPr sz="800"/>
            </a:pPr>
            <a:endParaRPr lang="es-CO"/>
          </a:p>
        </c:txPr>
        <c:crossAx val="581292920"/>
        <c:crosses val="autoZero"/>
        <c:auto val="1"/>
        <c:lblAlgn val="ctr"/>
        <c:lblOffset val="100"/>
        <c:tickLblSkip val="3"/>
        <c:noMultiLvlLbl val="0"/>
      </c:catAx>
      <c:valAx>
        <c:axId val="581292920"/>
        <c:scaling>
          <c:orientation val="minMax"/>
        </c:scaling>
        <c:delete val="0"/>
        <c:axPos val="l"/>
        <c:majorGridlines>
          <c:spPr>
            <a:ln>
              <a:prstDash val="dash"/>
            </a:ln>
          </c:spPr>
        </c:majorGridlines>
        <c:title>
          <c:tx>
            <c:rich>
              <a:bodyPr rot="-5400000" vert="horz"/>
              <a:lstStyle/>
              <a:p>
                <a:pPr>
                  <a:defRPr sz="900" b="0"/>
                </a:pPr>
                <a:r>
                  <a:rPr lang="es-CO" sz="900" b="0"/>
                  <a:t>COP MM</a:t>
                </a:r>
              </a:p>
            </c:rich>
          </c:tx>
          <c:layout>
            <c:manualLayout>
              <c:xMode val="edge"/>
              <c:yMode val="edge"/>
              <c:x val="1.4467648065730913E-2"/>
              <c:y val="0.29501129750085586"/>
            </c:manualLayout>
          </c:layout>
          <c:overlay val="0"/>
        </c:title>
        <c:numFmt formatCode="\$#,##0_);\(\$#,##0\)" sourceLinked="0"/>
        <c:majorTickMark val="out"/>
        <c:minorTickMark val="none"/>
        <c:tickLblPos val="nextTo"/>
        <c:txPr>
          <a:bodyPr/>
          <a:lstStyle/>
          <a:p>
            <a:pPr>
              <a:defRPr sz="900"/>
            </a:pPr>
            <a:endParaRPr lang="es-CO"/>
          </a:p>
        </c:txPr>
        <c:crossAx val="581296840"/>
        <c:crosses val="autoZero"/>
        <c:crossBetween val="between"/>
      </c:valAx>
      <c:catAx>
        <c:axId val="581291352"/>
        <c:scaling>
          <c:orientation val="minMax"/>
        </c:scaling>
        <c:delete val="1"/>
        <c:axPos val="b"/>
        <c:numFmt formatCode="General" sourceLinked="1"/>
        <c:majorTickMark val="out"/>
        <c:minorTickMark val="none"/>
        <c:tickLblPos val="nextTo"/>
        <c:crossAx val="581294096"/>
        <c:crosses val="autoZero"/>
        <c:auto val="1"/>
        <c:lblAlgn val="ctr"/>
        <c:lblOffset val="100"/>
        <c:noMultiLvlLbl val="0"/>
      </c:catAx>
      <c:valAx>
        <c:axId val="581294096"/>
        <c:scaling>
          <c:orientation val="minMax"/>
        </c:scaling>
        <c:delete val="0"/>
        <c:axPos val="r"/>
        <c:numFmt formatCode="0%" sourceLinked="1"/>
        <c:majorTickMark val="out"/>
        <c:minorTickMark val="none"/>
        <c:tickLblPos val="nextTo"/>
        <c:txPr>
          <a:bodyPr/>
          <a:lstStyle/>
          <a:p>
            <a:pPr>
              <a:defRPr sz="900"/>
            </a:pPr>
            <a:endParaRPr lang="es-CO"/>
          </a:p>
        </c:txPr>
        <c:crossAx val="581291352"/>
        <c:crosses val="max"/>
        <c:crossBetween val="between"/>
      </c:valAx>
    </c:plotArea>
    <c:legend>
      <c:legendPos val="b"/>
      <c:overlay val="0"/>
      <c:txPr>
        <a:bodyPr/>
        <a:lstStyle/>
        <a:p>
          <a:pPr>
            <a:defRPr sz="800" b="1"/>
          </a:pPr>
          <a:endParaRPr lang="es-CO"/>
        </a:p>
      </c:txPr>
    </c:legend>
    <c:plotVisOnly val="0"/>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6392351997668"/>
          <c:y val="6.3657407407407413E-2"/>
          <c:w val="0.72038928076698749"/>
          <c:h val="0.68744759769612129"/>
        </c:manualLayout>
      </c:layout>
      <c:barChart>
        <c:barDir val="col"/>
        <c:grouping val="stacked"/>
        <c:varyColors val="0"/>
        <c:ser>
          <c:idx val="0"/>
          <c:order val="0"/>
          <c:tx>
            <c:strRef>
              <c:f>'Reporte de Seguimiento_PyG20-06'!$B$7</c:f>
              <c:strCache>
                <c:ptCount val="1"/>
                <c:pt idx="0">
                  <c:v>Cabinas en Operación</c:v>
                </c:pt>
              </c:strCache>
            </c:strRef>
          </c:tx>
          <c:spPr>
            <a:solidFill>
              <a:schemeClr val="bg1">
                <a:lumMod val="75000"/>
              </a:schemeClr>
            </a:solidFill>
          </c:spPr>
          <c:invertIfNegative val="0"/>
          <c:dPt>
            <c:idx val="0"/>
            <c:invertIfNegative val="0"/>
            <c:bubble3D val="0"/>
            <c:spPr>
              <a:solidFill>
                <a:srgbClr val="C00000"/>
              </a:solidFill>
            </c:spPr>
            <c:extLst>
              <c:ext xmlns:c16="http://schemas.microsoft.com/office/drawing/2014/chart" uri="{C3380CC4-5D6E-409C-BE32-E72D297353CC}">
                <c16:uniqueId val="{00000001-CB67-4D34-9900-F7FCC0C5AFF3}"/>
              </c:ext>
            </c:extLst>
          </c:dPt>
          <c:dPt>
            <c:idx val="1"/>
            <c:invertIfNegative val="0"/>
            <c:bubble3D val="0"/>
            <c:spPr>
              <a:solidFill>
                <a:srgbClr val="C00000"/>
              </a:solidFill>
            </c:spPr>
            <c:extLst>
              <c:ext xmlns:c16="http://schemas.microsoft.com/office/drawing/2014/chart" uri="{C3380CC4-5D6E-409C-BE32-E72D297353CC}">
                <c16:uniqueId val="{00000003-CB67-4D34-9900-F7FCC0C5AFF3}"/>
              </c:ext>
            </c:extLst>
          </c:dPt>
          <c:dPt>
            <c:idx val="2"/>
            <c:invertIfNegative val="0"/>
            <c:bubble3D val="0"/>
            <c:spPr>
              <a:solidFill>
                <a:srgbClr val="CC0000"/>
              </a:solidFill>
            </c:spPr>
            <c:extLst>
              <c:ext xmlns:c16="http://schemas.microsoft.com/office/drawing/2014/chart" uri="{C3380CC4-5D6E-409C-BE32-E72D297353CC}">
                <c16:uniqueId val="{00000005-CB67-4D34-9900-F7FCC0C5AFF3}"/>
              </c:ext>
            </c:extLst>
          </c:dPt>
          <c:dPt>
            <c:idx val="3"/>
            <c:invertIfNegative val="0"/>
            <c:bubble3D val="0"/>
            <c:spPr>
              <a:solidFill>
                <a:srgbClr val="C00000"/>
              </a:solidFill>
            </c:spPr>
            <c:extLst>
              <c:ext xmlns:c16="http://schemas.microsoft.com/office/drawing/2014/chart" uri="{C3380CC4-5D6E-409C-BE32-E72D297353CC}">
                <c16:uniqueId val="{00000007-CB67-4D34-9900-F7FCC0C5AFF3}"/>
              </c:ext>
            </c:extLst>
          </c:dPt>
          <c:dPt>
            <c:idx val="4"/>
            <c:invertIfNegative val="0"/>
            <c:bubble3D val="0"/>
            <c:spPr>
              <a:solidFill>
                <a:srgbClr val="CC0000"/>
              </a:solidFill>
            </c:spPr>
            <c:extLst>
              <c:ext xmlns:c16="http://schemas.microsoft.com/office/drawing/2014/chart" uri="{C3380CC4-5D6E-409C-BE32-E72D297353CC}">
                <c16:uniqueId val="{00000009-CB67-4D34-9900-F7FCC0C5AFF3}"/>
              </c:ext>
            </c:extLst>
          </c:dPt>
          <c:dPt>
            <c:idx val="5"/>
            <c:invertIfNegative val="0"/>
            <c:bubble3D val="0"/>
            <c:spPr>
              <a:solidFill>
                <a:srgbClr val="CC0000"/>
              </a:solidFill>
            </c:spPr>
            <c:extLst>
              <c:ext xmlns:c16="http://schemas.microsoft.com/office/drawing/2014/chart" uri="{C3380CC4-5D6E-409C-BE32-E72D297353CC}">
                <c16:uniqueId val="{0000000B-CB67-4D34-9900-F7FCC0C5AFF3}"/>
              </c:ext>
            </c:extLst>
          </c:dPt>
          <c:dPt>
            <c:idx val="6"/>
            <c:invertIfNegative val="0"/>
            <c:bubble3D val="0"/>
            <c:spPr>
              <a:solidFill>
                <a:srgbClr val="CC0000"/>
              </a:solidFill>
            </c:spPr>
            <c:extLst>
              <c:ext xmlns:c16="http://schemas.microsoft.com/office/drawing/2014/chart" uri="{C3380CC4-5D6E-409C-BE32-E72D297353CC}">
                <c16:uniqueId val="{0000000D-CB67-4D34-9900-F7FCC0C5AFF3}"/>
              </c:ext>
            </c:extLst>
          </c:dPt>
          <c:dPt>
            <c:idx val="7"/>
            <c:invertIfNegative val="0"/>
            <c:bubble3D val="0"/>
            <c:spPr>
              <a:solidFill>
                <a:srgbClr val="C00000"/>
              </a:solidFill>
            </c:spPr>
            <c:extLst>
              <c:ext xmlns:c16="http://schemas.microsoft.com/office/drawing/2014/chart" uri="{C3380CC4-5D6E-409C-BE32-E72D297353CC}">
                <c16:uniqueId val="{0000000F-CB67-4D34-9900-F7FCC0C5AFF3}"/>
              </c:ext>
            </c:extLst>
          </c:dPt>
          <c:dPt>
            <c:idx val="8"/>
            <c:invertIfNegative val="0"/>
            <c:bubble3D val="0"/>
            <c:spPr>
              <a:solidFill>
                <a:srgbClr val="C00000"/>
              </a:solidFill>
            </c:spPr>
            <c:extLst>
              <c:ext xmlns:c16="http://schemas.microsoft.com/office/drawing/2014/chart" uri="{C3380CC4-5D6E-409C-BE32-E72D297353CC}">
                <c16:uniqueId val="{00000011-CB67-4D34-9900-F7FCC0C5AFF3}"/>
              </c:ext>
            </c:extLst>
          </c:dPt>
          <c:dPt>
            <c:idx val="9"/>
            <c:invertIfNegative val="0"/>
            <c:bubble3D val="0"/>
            <c:spPr>
              <a:solidFill>
                <a:srgbClr val="C00000"/>
              </a:solidFill>
            </c:spPr>
            <c:extLst>
              <c:ext xmlns:c16="http://schemas.microsoft.com/office/drawing/2014/chart" uri="{C3380CC4-5D6E-409C-BE32-E72D297353CC}">
                <c16:uniqueId val="{00000013-CB67-4D34-9900-F7FCC0C5AFF3}"/>
              </c:ext>
            </c:extLst>
          </c:dPt>
          <c:cat>
            <c:strRef>
              <c:f>'Reporte de Seguimiento_PyG20-06'!$C$5:$N$5</c:f>
              <c:strCache>
                <c:ptCount val="12"/>
                <c:pt idx="0">
                  <c:v>ENE</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'Reporte de Seguimiento_PyG20-06'!$C$7:$N$7</c:f>
              <c:numCache>
                <c:formatCode>#,##0_);\(#,##0\)</c:formatCode>
                <c:ptCount val="12"/>
                <c:pt idx="0">
                  <c:v>20</c:v>
                </c:pt>
                <c:pt idx="1">
                  <c:v>16</c:v>
                </c:pt>
                <c:pt idx="2">
                  <c:v>16</c:v>
                </c:pt>
                <c:pt idx="3">
                  <c:v>3</c:v>
                </c:pt>
                <c:pt idx="4">
                  <c:v>2</c:v>
                </c:pt>
                <c:pt idx="5">
                  <c:v>7</c:v>
                </c:pt>
                <c:pt idx="6">
                  <c:v>7</c:v>
                </c:pt>
                <c:pt idx="7">
                  <c:v>9</c:v>
                </c:pt>
                <c:pt idx="8">
                  <c:v>9</c:v>
                </c:pt>
                <c:pt idx="9">
                  <c:v>7</c:v>
                </c:pt>
                <c:pt idx="10">
                  <c:v>6</c:v>
                </c:pt>
                <c:pt idx="11">
                  <c:v>6</c:v>
                </c:pt>
              </c:numCache>
            </c:numRef>
          </c:val>
          <c:extLst>
            <c:ext xmlns:c16="http://schemas.microsoft.com/office/drawing/2014/chart" uri="{C3380CC4-5D6E-409C-BE32-E72D297353CC}">
              <c16:uniqueId val="{00000014-CB67-4D34-9900-F7FCC0C5AFF3}"/>
            </c:ext>
          </c:extLst>
        </c:ser>
        <c:dLbls>
          <c:showLegendKey val="0"/>
          <c:showVal val="0"/>
          <c:showCatName val="0"/>
          <c:showSerName val="0"/>
          <c:showPercent val="0"/>
          <c:showBubbleSize val="0"/>
        </c:dLbls>
        <c:gapWidth val="100"/>
        <c:overlap val="100"/>
        <c:axId val="581289784"/>
        <c:axId val="581297624"/>
      </c:barChart>
      <c:lineChart>
        <c:grouping val="standard"/>
        <c:varyColors val="0"/>
        <c:ser>
          <c:idx val="3"/>
          <c:order val="1"/>
          <c:tx>
            <c:strRef>
              <c:f>'Reporte de Seguimiento_PyG20-06'!$B$6</c:f>
              <c:strCache>
                <c:ptCount val="1"/>
                <c:pt idx="0">
                  <c:v>Dias de Operacion</c:v>
                </c:pt>
              </c:strCache>
            </c:strRef>
          </c:tx>
          <c:spPr>
            <a:ln w="25400">
              <a:solidFill>
                <a:schemeClr val="tx1"/>
              </a:solidFill>
              <a:prstDash val="dash"/>
            </a:ln>
          </c:spPr>
          <c:marker>
            <c:symbol val="none"/>
          </c:marker>
          <c:cat>
            <c:numRef>
              <c:f>'Reporte de Seguimiento_BG 20-06'!$AG$81:$AG$104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Seguimiento_PyG20-06'!$C$6:$N$6</c:f>
              <c:numCache>
                <c:formatCode>#,##0_);\(#,##0\)</c:formatCode>
                <c:ptCount val="12"/>
                <c:pt idx="0">
                  <c:v>429</c:v>
                </c:pt>
                <c:pt idx="1">
                  <c:v>344</c:v>
                </c:pt>
                <c:pt idx="2">
                  <c:v>305</c:v>
                </c:pt>
                <c:pt idx="3">
                  <c:v>25</c:v>
                </c:pt>
                <c:pt idx="4">
                  <c:v>40</c:v>
                </c:pt>
                <c:pt idx="5">
                  <c:v>82</c:v>
                </c:pt>
                <c:pt idx="6">
                  <c:v>110</c:v>
                </c:pt>
                <c:pt idx="7">
                  <c:v>197</c:v>
                </c:pt>
                <c:pt idx="8">
                  <c:v>187</c:v>
                </c:pt>
                <c:pt idx="9">
                  <c:v>132</c:v>
                </c:pt>
                <c:pt idx="10">
                  <c:v>120</c:v>
                </c:pt>
                <c:pt idx="11">
                  <c:v>120</c:v>
                </c:pt>
              </c:numCache>
            </c:numRef>
          </c:val>
          <c:smooth val="0"/>
          <c:extLst>
            <c:ext xmlns:c16="http://schemas.microsoft.com/office/drawing/2014/chart" uri="{C3380CC4-5D6E-409C-BE32-E72D297353CC}">
              <c16:uniqueId val="{00000015-CB67-4D34-9900-F7FCC0C5AFF3}"/>
            </c:ext>
          </c:extLst>
        </c:ser>
        <c:dLbls>
          <c:showLegendKey val="0"/>
          <c:showVal val="0"/>
          <c:showCatName val="0"/>
          <c:showSerName val="0"/>
          <c:showPercent val="0"/>
          <c:showBubbleSize val="0"/>
        </c:dLbls>
        <c:marker val="1"/>
        <c:smooth val="0"/>
        <c:axId val="581298800"/>
        <c:axId val="581298016"/>
      </c:lineChart>
      <c:catAx>
        <c:axId val="581289784"/>
        <c:scaling>
          <c:orientation val="minMax"/>
        </c:scaling>
        <c:delete val="0"/>
        <c:axPos val="b"/>
        <c:numFmt formatCode="[$-409]mmm\-yy;@" sourceLinked="0"/>
        <c:majorTickMark val="out"/>
        <c:minorTickMark val="none"/>
        <c:tickLblPos val="low"/>
        <c:txPr>
          <a:bodyPr rot="0" vert="horz"/>
          <a:lstStyle/>
          <a:p>
            <a:pPr>
              <a:defRPr sz="800"/>
            </a:pPr>
            <a:endParaRPr lang="es-CO"/>
          </a:p>
        </c:txPr>
        <c:crossAx val="581297624"/>
        <c:crosses val="autoZero"/>
        <c:auto val="1"/>
        <c:lblAlgn val="ctr"/>
        <c:lblOffset val="100"/>
        <c:tickLblSkip val="1"/>
        <c:noMultiLvlLbl val="1"/>
      </c:catAx>
      <c:valAx>
        <c:axId val="581297624"/>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900"/>
            </a:pPr>
            <a:endParaRPr lang="es-CO"/>
          </a:p>
        </c:txPr>
        <c:crossAx val="581289784"/>
        <c:crosses val="autoZero"/>
        <c:crossBetween val="between"/>
      </c:valAx>
      <c:catAx>
        <c:axId val="581298800"/>
        <c:scaling>
          <c:orientation val="minMax"/>
        </c:scaling>
        <c:delete val="1"/>
        <c:axPos val="b"/>
        <c:numFmt formatCode="General" sourceLinked="1"/>
        <c:majorTickMark val="out"/>
        <c:minorTickMark val="none"/>
        <c:tickLblPos val="nextTo"/>
        <c:crossAx val="581298016"/>
        <c:crosses val="autoZero"/>
        <c:auto val="1"/>
        <c:lblAlgn val="ctr"/>
        <c:lblOffset val="100"/>
        <c:noMultiLvlLbl val="0"/>
      </c:catAx>
      <c:valAx>
        <c:axId val="581298016"/>
        <c:scaling>
          <c:orientation val="minMax"/>
        </c:scaling>
        <c:delete val="0"/>
        <c:axPos val="r"/>
        <c:numFmt formatCode="#,##0_);\(#,##0\)" sourceLinked="1"/>
        <c:majorTickMark val="out"/>
        <c:minorTickMark val="none"/>
        <c:tickLblPos val="nextTo"/>
        <c:txPr>
          <a:bodyPr/>
          <a:lstStyle/>
          <a:p>
            <a:pPr>
              <a:defRPr sz="900"/>
            </a:pPr>
            <a:endParaRPr lang="es-CO"/>
          </a:p>
        </c:txPr>
        <c:crossAx val="581298800"/>
        <c:crosses val="max"/>
        <c:crossBetween val="between"/>
      </c:valAx>
    </c:plotArea>
    <c:legend>
      <c:legendPos val="b"/>
      <c:overlay val="0"/>
      <c:txPr>
        <a:bodyPr/>
        <a:lstStyle/>
        <a:p>
          <a:pPr>
            <a:defRPr sz="800" b="1"/>
          </a:pPr>
          <a:endParaRPr lang="es-CO"/>
        </a:p>
      </c:txPr>
    </c:legend>
    <c:plotVisOnly val="0"/>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6392351997668"/>
          <c:y val="6.3657407407407413E-2"/>
          <c:w val="0.72038928076698749"/>
          <c:h val="0.68744759769612129"/>
        </c:manualLayout>
      </c:layout>
      <c:barChart>
        <c:barDir val="col"/>
        <c:grouping val="stacked"/>
        <c:varyColors val="0"/>
        <c:ser>
          <c:idx val="0"/>
          <c:order val="0"/>
          <c:tx>
            <c:strRef>
              <c:f>'Reporte de Seguimiento_BG 20-06'!$S$68</c:f>
              <c:strCache>
                <c:ptCount val="1"/>
                <c:pt idx="0">
                  <c:v>REAL</c:v>
                </c:pt>
              </c:strCache>
            </c:strRef>
          </c:tx>
          <c:spPr>
            <a:solidFill>
              <a:srgbClr val="C00000"/>
            </a:solidFill>
          </c:spPr>
          <c:invertIfNegative val="0"/>
          <c:cat>
            <c:numRef>
              <c:f>'Reporte de Seguimiento_BG 20-06'!$R$81:$R$104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20-06'!$U$81:$U$104</c:f>
              <c:numCache>
                <c:formatCode>#,##0_);[Red]\(#,##0\)</c:formatCode>
                <c:ptCount val="24"/>
                <c:pt idx="0">
                  <c:v>14745.393592070001</c:v>
                </c:pt>
                <c:pt idx="1">
                  <c:v>14986.55153474</c:v>
                </c:pt>
                <c:pt idx="2">
                  <c:v>15844.850094719997</c:v>
                </c:pt>
                <c:pt idx="3">
                  <c:v>16561.742186830001</c:v>
                </c:pt>
                <c:pt idx="4">
                  <c:v>17690.68307467</c:v>
                </c:pt>
                <c:pt idx="5">
                  <c:v>18343.649896579995</c:v>
                </c:pt>
                <c:pt idx="6">
                  <c:v>18971.808858749999</c:v>
                </c:pt>
                <c:pt idx="7">
                  <c:v>19193.678859380001</c:v>
                </c:pt>
                <c:pt idx="8">
                  <c:v>19832.372078349999</c:v>
                </c:pt>
                <c:pt idx="9">
                  <c:v>20718.759502070003</c:v>
                </c:pt>
                <c:pt idx="10">
                  <c:v>20902.367812380002</c:v>
                </c:pt>
                <c:pt idx="11">
                  <c:v>21229.350959210002</c:v>
                </c:pt>
                <c:pt idx="12">
                  <c:v>21607.941883030002</c:v>
                </c:pt>
                <c:pt idx="13">
                  <c:v>21924.029178230005</c:v>
                </c:pt>
                <c:pt idx="14">
                  <c:v>21961.74973978</c:v>
                </c:pt>
                <c:pt idx="15">
                  <c:v>20799.329928289997</c:v>
                </c:pt>
                <c:pt idx="16">
                  <c:v>19408.637978229995</c:v>
                </c:pt>
                <c:pt idx="17">
                  <c:v>18249.364154499995</c:v>
                </c:pt>
              </c:numCache>
            </c:numRef>
          </c:val>
          <c:extLst>
            <c:ext xmlns:c16="http://schemas.microsoft.com/office/drawing/2014/chart" uri="{C3380CC4-5D6E-409C-BE32-E72D297353CC}">
              <c16:uniqueId val="{00000000-A19F-406C-AD80-351E4906BC5D}"/>
            </c:ext>
          </c:extLst>
        </c:ser>
        <c:ser>
          <c:idx val="1"/>
          <c:order val="1"/>
          <c:tx>
            <c:strRef>
              <c:f>'Reporte de Seguimiento_BG 20-06'!$T$68</c:f>
              <c:strCache>
                <c:ptCount val="1"/>
                <c:pt idx="0">
                  <c:v>FORECAST</c:v>
                </c:pt>
              </c:strCache>
            </c:strRef>
          </c:tx>
          <c:spPr>
            <a:solidFill>
              <a:schemeClr val="bg1">
                <a:lumMod val="75000"/>
              </a:schemeClr>
            </a:solidFill>
          </c:spPr>
          <c:invertIfNegative val="0"/>
          <c:cat>
            <c:numRef>
              <c:f>'Reporte de Seguimiento_BG 20-06'!$R$81:$R$104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20-06'!$V$81:$V$104</c:f>
              <c:numCache>
                <c:formatCode>#,##0_);[Red]\(#,##0\)</c:formatCode>
                <c:ptCount val="24"/>
                <c:pt idx="18">
                  <c:v>16996.630337818202</c:v>
                </c:pt>
                <c:pt idx="19">
                  <c:v>15968.503091339</c:v>
                </c:pt>
                <c:pt idx="20">
                  <c:v>14939.8850872532</c:v>
                </c:pt>
                <c:pt idx="21">
                  <c:v>13180.502733054</c:v>
                </c:pt>
                <c:pt idx="22">
                  <c:v>11633.710913991001</c:v>
                </c:pt>
                <c:pt idx="23">
                  <c:v>10271.861434135</c:v>
                </c:pt>
              </c:numCache>
            </c:numRef>
          </c:val>
          <c:extLst>
            <c:ext xmlns:c16="http://schemas.microsoft.com/office/drawing/2014/chart" uri="{C3380CC4-5D6E-409C-BE32-E72D297353CC}">
              <c16:uniqueId val="{00000001-A19F-406C-AD80-351E4906BC5D}"/>
            </c:ext>
          </c:extLst>
        </c:ser>
        <c:dLbls>
          <c:showLegendKey val="0"/>
          <c:showVal val="0"/>
          <c:showCatName val="0"/>
          <c:showSerName val="0"/>
          <c:showPercent val="0"/>
          <c:showBubbleSize val="0"/>
        </c:dLbls>
        <c:gapWidth val="100"/>
        <c:overlap val="100"/>
        <c:axId val="581290176"/>
        <c:axId val="581297232"/>
      </c:barChart>
      <c:catAx>
        <c:axId val="581290176"/>
        <c:scaling>
          <c:orientation val="minMax"/>
        </c:scaling>
        <c:delete val="0"/>
        <c:axPos val="b"/>
        <c:numFmt formatCode="[$-409]mmm\-yy;@" sourceLinked="0"/>
        <c:majorTickMark val="out"/>
        <c:minorTickMark val="none"/>
        <c:tickLblPos val="nextTo"/>
        <c:txPr>
          <a:bodyPr rot="0" vert="horz"/>
          <a:lstStyle/>
          <a:p>
            <a:pPr>
              <a:defRPr sz="700"/>
            </a:pPr>
            <a:endParaRPr lang="es-CO"/>
          </a:p>
        </c:txPr>
        <c:crossAx val="581297232"/>
        <c:crosses val="autoZero"/>
        <c:auto val="1"/>
        <c:lblAlgn val="ctr"/>
        <c:lblOffset val="100"/>
        <c:tickLblSkip val="3"/>
        <c:noMultiLvlLbl val="0"/>
      </c:catAx>
      <c:valAx>
        <c:axId val="581297232"/>
        <c:scaling>
          <c:orientation val="minMax"/>
        </c:scaling>
        <c:delete val="0"/>
        <c:axPos val="l"/>
        <c:majorGridlines>
          <c:spPr>
            <a:ln>
              <a:prstDash val="dash"/>
            </a:ln>
          </c:spPr>
        </c:majorGridlines>
        <c:title>
          <c:tx>
            <c:rich>
              <a:bodyPr rot="-5400000" vert="horz"/>
              <a:lstStyle/>
              <a:p>
                <a:pPr>
                  <a:defRPr sz="900" b="0"/>
                </a:pPr>
                <a:r>
                  <a:rPr lang="es-CO" sz="900" b="0"/>
                  <a:t>COP MM</a:t>
                </a:r>
              </a:p>
            </c:rich>
          </c:tx>
          <c:layout>
            <c:manualLayout>
              <c:xMode val="edge"/>
              <c:yMode val="edge"/>
              <c:x val="1.4467648065730913E-2"/>
              <c:y val="0.29501129750085586"/>
            </c:manualLayout>
          </c:layout>
          <c:overlay val="0"/>
        </c:title>
        <c:numFmt formatCode="\$#,##0_);\(\$#,##0\)" sourceLinked="0"/>
        <c:majorTickMark val="out"/>
        <c:minorTickMark val="none"/>
        <c:tickLblPos val="nextTo"/>
        <c:txPr>
          <a:bodyPr/>
          <a:lstStyle/>
          <a:p>
            <a:pPr>
              <a:defRPr sz="900"/>
            </a:pPr>
            <a:endParaRPr lang="es-CO"/>
          </a:p>
        </c:txPr>
        <c:crossAx val="581290176"/>
        <c:crosses val="autoZero"/>
        <c:crossBetween val="between"/>
      </c:valAx>
    </c:plotArea>
    <c:legend>
      <c:legendPos val="b"/>
      <c:overlay val="0"/>
      <c:txPr>
        <a:bodyPr/>
        <a:lstStyle/>
        <a:p>
          <a:pPr>
            <a:defRPr sz="800" b="1"/>
          </a:pPr>
          <a:endParaRPr lang="es-CO"/>
        </a:p>
      </c:txPr>
    </c:legend>
    <c:plotVisOnly val="0"/>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6392351997668"/>
          <c:y val="6.3657407407407413E-2"/>
          <c:w val="0.72038928076698749"/>
          <c:h val="0.68744759769612129"/>
        </c:manualLayout>
      </c:layout>
      <c:barChart>
        <c:barDir val="col"/>
        <c:grouping val="stacked"/>
        <c:varyColors val="0"/>
        <c:ser>
          <c:idx val="0"/>
          <c:order val="0"/>
          <c:tx>
            <c:strRef>
              <c:f>'Reporte de Seguimiento_BG 20-06'!$AB$68</c:f>
              <c:strCache>
                <c:ptCount val="1"/>
                <c:pt idx="0">
                  <c:v> LTM (R) </c:v>
                </c:pt>
              </c:strCache>
            </c:strRef>
          </c:tx>
          <c:spPr>
            <a:solidFill>
              <a:srgbClr val="C00000"/>
            </a:solidFill>
          </c:spPr>
          <c:invertIfNegative val="0"/>
          <c:cat>
            <c:numRef>
              <c:f>'Reporte de Seguimiento_BG 20-06'!$Y$81:$Y$104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20-06'!$AB$81:$AB$104</c:f>
              <c:numCache>
                <c:formatCode>#,##0_);[Red]\(#,##0\)</c:formatCode>
                <c:ptCount val="24"/>
                <c:pt idx="0">
                  <c:v>2187.5310699999986</c:v>
                </c:pt>
                <c:pt idx="1">
                  <c:v>2102.5310926699985</c:v>
                </c:pt>
                <c:pt idx="2">
                  <c:v>2490.2417293299986</c:v>
                </c:pt>
                <c:pt idx="3">
                  <c:v>2719.4636642499991</c:v>
                </c:pt>
                <c:pt idx="4">
                  <c:v>3273.8689591099987</c:v>
                </c:pt>
                <c:pt idx="5">
                  <c:v>3376.1189490399988</c:v>
                </c:pt>
                <c:pt idx="6">
                  <c:v>3660.9577787799976</c:v>
                </c:pt>
                <c:pt idx="7">
                  <c:v>3480.0925138399975</c:v>
                </c:pt>
                <c:pt idx="8">
                  <c:v>3849.6740524999996</c:v>
                </c:pt>
                <c:pt idx="9">
                  <c:v>4390.3040370599992</c:v>
                </c:pt>
                <c:pt idx="10">
                  <c:v>4262.7303374100002</c:v>
                </c:pt>
                <c:pt idx="11">
                  <c:v>4312.8896942900001</c:v>
                </c:pt>
                <c:pt idx="12">
                  <c:v>4534.1677839700014</c:v>
                </c:pt>
                <c:pt idx="13">
                  <c:v>4739.7376919400003</c:v>
                </c:pt>
                <c:pt idx="14">
                  <c:v>4909.8754837200004</c:v>
                </c:pt>
                <c:pt idx="15">
                  <c:v>4598.4429267600008</c:v>
                </c:pt>
                <c:pt idx="16">
                  <c:v>4123.2590341900004</c:v>
                </c:pt>
                <c:pt idx="17">
                  <c:v>3757.03074487</c:v>
                </c:pt>
              </c:numCache>
            </c:numRef>
          </c:val>
          <c:extLst>
            <c:ext xmlns:c16="http://schemas.microsoft.com/office/drawing/2014/chart" uri="{C3380CC4-5D6E-409C-BE32-E72D297353CC}">
              <c16:uniqueId val="{00000000-89AD-443A-B7D9-B15B5CA7DA59}"/>
            </c:ext>
          </c:extLst>
        </c:ser>
        <c:ser>
          <c:idx val="1"/>
          <c:order val="1"/>
          <c:tx>
            <c:strRef>
              <c:f>'Reporte de Seguimiento_BG 20-06'!$AC$68</c:f>
              <c:strCache>
                <c:ptCount val="1"/>
                <c:pt idx="0">
                  <c:v> LTM (F) </c:v>
                </c:pt>
              </c:strCache>
            </c:strRef>
          </c:tx>
          <c:spPr>
            <a:solidFill>
              <a:schemeClr val="bg1">
                <a:lumMod val="75000"/>
              </a:schemeClr>
            </a:solidFill>
          </c:spPr>
          <c:invertIfNegative val="0"/>
          <c:cat>
            <c:numRef>
              <c:f>'Reporte de Seguimiento_BG 20-06'!$Y$81:$Y$104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20-06'!$AC$81:$AC$104</c:f>
              <c:numCache>
                <c:formatCode>#,##0_);[Red]\(#,##0\)</c:formatCode>
                <c:ptCount val="24"/>
                <c:pt idx="18">
                  <c:v>3359.6091965181513</c:v>
                </c:pt>
                <c:pt idx="19">
                  <c:v>3092.0605004146519</c:v>
                </c:pt>
                <c:pt idx="20">
                  <c:v>2711.1568881737999</c:v>
                </c:pt>
                <c:pt idx="21">
                  <c:v>1853.5185915402997</c:v>
                </c:pt>
                <c:pt idx="22">
                  <c:v>1240.8355243907495</c:v>
                </c:pt>
                <c:pt idx="23">
                  <c:v>820.77326400194966</c:v>
                </c:pt>
              </c:numCache>
            </c:numRef>
          </c:val>
          <c:extLst>
            <c:ext xmlns:c16="http://schemas.microsoft.com/office/drawing/2014/chart" uri="{C3380CC4-5D6E-409C-BE32-E72D297353CC}">
              <c16:uniqueId val="{00000001-89AD-443A-B7D9-B15B5CA7DA59}"/>
            </c:ext>
          </c:extLst>
        </c:ser>
        <c:dLbls>
          <c:showLegendKey val="0"/>
          <c:showVal val="0"/>
          <c:showCatName val="0"/>
          <c:showSerName val="0"/>
          <c:showPercent val="0"/>
          <c:showBubbleSize val="0"/>
        </c:dLbls>
        <c:gapWidth val="100"/>
        <c:overlap val="100"/>
        <c:axId val="581300760"/>
        <c:axId val="581292528"/>
      </c:barChart>
      <c:lineChart>
        <c:grouping val="standard"/>
        <c:varyColors val="0"/>
        <c:ser>
          <c:idx val="2"/>
          <c:order val="2"/>
          <c:tx>
            <c:strRef>
              <c:f>'Reporte de Seguimiento_BG 20-06'!$AE$68</c:f>
              <c:strCache>
                <c:ptCount val="1"/>
                <c:pt idx="0">
                  <c:v>Mg. E</c:v>
                </c:pt>
              </c:strCache>
            </c:strRef>
          </c:tx>
          <c:spPr>
            <a:ln>
              <a:solidFill>
                <a:sysClr val="windowText" lastClr="000000"/>
              </a:solidFill>
              <a:prstDash val="dash"/>
            </a:ln>
          </c:spPr>
          <c:marker>
            <c:symbol val="none"/>
          </c:marker>
          <c:cat>
            <c:numRef>
              <c:f>'Reporte de Seguimiento_BG 20-06'!$Y$81:$Y$104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Seguimiento_BG 20-06'!$AE$81:$AE$104</c:f>
              <c:numCache>
                <c:formatCode>0%</c:formatCode>
                <c:ptCount val="24"/>
                <c:pt idx="0">
                  <c:v>0.14835352181961708</c:v>
                </c:pt>
                <c:pt idx="1">
                  <c:v>0.14029452257887126</c:v>
                </c:pt>
                <c:pt idx="2">
                  <c:v>0.1571641078611293</c:v>
                </c:pt>
                <c:pt idx="3">
                  <c:v>0.16420154556037789</c:v>
                </c:pt>
                <c:pt idx="4">
                  <c:v>0.18506176077494788</c:v>
                </c:pt>
                <c:pt idx="5">
                  <c:v>0.18404837467321294</c:v>
                </c:pt>
                <c:pt idx="6">
                  <c:v>0.19296830397337286</c:v>
                </c:pt>
                <c:pt idx="7">
                  <c:v>0.18131451189406908</c:v>
                </c:pt>
                <c:pt idx="8">
                  <c:v>0.19411062062023809</c:v>
                </c:pt>
                <c:pt idx="9">
                  <c:v>0.21189994683906466</c:v>
                </c:pt>
                <c:pt idx="10">
                  <c:v>0.2039352850199718</c:v>
                </c:pt>
                <c:pt idx="11">
                  <c:v>0.20315692658606335</c:v>
                </c:pt>
                <c:pt idx="12">
                  <c:v>0.20983802198815391</c:v>
                </c:pt>
                <c:pt idx="13">
                  <c:v>0.21618917095067716</c:v>
                </c:pt>
                <c:pt idx="14">
                  <c:v>0.22356485898874398</c:v>
                </c:pt>
                <c:pt idx="15">
                  <c:v>0.2210861091493854</c:v>
                </c:pt>
                <c:pt idx="16">
                  <c:v>0.21244453314111578</c:v>
                </c:pt>
                <c:pt idx="17">
                  <c:v>0.20587187109988034</c:v>
                </c:pt>
                <c:pt idx="18">
                  <c:v>0.19766325028808107</c:v>
                </c:pt>
                <c:pt idx="19">
                  <c:v>0.193634962696768</c:v>
                </c:pt>
                <c:pt idx="20">
                  <c:v>0.18147106703564778</c:v>
                </c:pt>
                <c:pt idx="21">
                  <c:v>0.14062578864249653</c:v>
                </c:pt>
                <c:pt idx="22">
                  <c:v>0.10665861766416154</c:v>
                </c:pt>
                <c:pt idx="23">
                  <c:v>7.9905017144642529E-2</c:v>
                </c:pt>
              </c:numCache>
            </c:numRef>
          </c:val>
          <c:smooth val="0"/>
          <c:extLst>
            <c:ext xmlns:c16="http://schemas.microsoft.com/office/drawing/2014/chart" uri="{C3380CC4-5D6E-409C-BE32-E72D297353CC}">
              <c16:uniqueId val="{00000002-89AD-443A-B7D9-B15B5CA7DA59}"/>
            </c:ext>
          </c:extLst>
        </c:ser>
        <c:dLbls>
          <c:showLegendKey val="0"/>
          <c:showVal val="0"/>
          <c:showCatName val="0"/>
          <c:showSerName val="0"/>
          <c:showPercent val="0"/>
          <c:showBubbleSize val="0"/>
        </c:dLbls>
        <c:marker val="1"/>
        <c:smooth val="0"/>
        <c:axId val="581303112"/>
        <c:axId val="581302328"/>
      </c:lineChart>
      <c:catAx>
        <c:axId val="581300760"/>
        <c:scaling>
          <c:orientation val="minMax"/>
        </c:scaling>
        <c:delete val="0"/>
        <c:axPos val="b"/>
        <c:numFmt formatCode="[$-409]mmm\-yy;@" sourceLinked="0"/>
        <c:majorTickMark val="out"/>
        <c:minorTickMark val="none"/>
        <c:tickLblPos val="low"/>
        <c:txPr>
          <a:bodyPr rot="0" vert="horz"/>
          <a:lstStyle/>
          <a:p>
            <a:pPr>
              <a:defRPr sz="800"/>
            </a:pPr>
            <a:endParaRPr lang="es-CO"/>
          </a:p>
        </c:txPr>
        <c:crossAx val="581292528"/>
        <c:crosses val="autoZero"/>
        <c:auto val="1"/>
        <c:lblAlgn val="ctr"/>
        <c:lblOffset val="100"/>
        <c:tickLblSkip val="3"/>
        <c:noMultiLvlLbl val="0"/>
      </c:catAx>
      <c:valAx>
        <c:axId val="581292528"/>
        <c:scaling>
          <c:orientation val="minMax"/>
        </c:scaling>
        <c:delete val="0"/>
        <c:axPos val="l"/>
        <c:majorGridlines>
          <c:spPr>
            <a:ln>
              <a:prstDash val="dash"/>
            </a:ln>
          </c:spPr>
        </c:majorGridlines>
        <c:title>
          <c:tx>
            <c:rich>
              <a:bodyPr rot="-5400000" vert="horz"/>
              <a:lstStyle/>
              <a:p>
                <a:pPr>
                  <a:defRPr sz="900" b="0"/>
                </a:pPr>
                <a:r>
                  <a:rPr lang="es-CO" sz="900" b="0"/>
                  <a:t>COP MM</a:t>
                </a:r>
              </a:p>
            </c:rich>
          </c:tx>
          <c:layout>
            <c:manualLayout>
              <c:xMode val="edge"/>
              <c:yMode val="edge"/>
              <c:x val="1.4467648065730913E-2"/>
              <c:y val="0.29501129750085586"/>
            </c:manualLayout>
          </c:layout>
          <c:overlay val="0"/>
        </c:title>
        <c:numFmt formatCode="\$#,##0_);\(\$#,##0\)" sourceLinked="0"/>
        <c:majorTickMark val="out"/>
        <c:minorTickMark val="none"/>
        <c:tickLblPos val="nextTo"/>
        <c:txPr>
          <a:bodyPr/>
          <a:lstStyle/>
          <a:p>
            <a:pPr>
              <a:defRPr sz="900"/>
            </a:pPr>
            <a:endParaRPr lang="es-CO"/>
          </a:p>
        </c:txPr>
        <c:crossAx val="581300760"/>
        <c:crosses val="autoZero"/>
        <c:crossBetween val="between"/>
      </c:valAx>
      <c:valAx>
        <c:axId val="581302328"/>
        <c:scaling>
          <c:orientation val="minMax"/>
        </c:scaling>
        <c:delete val="0"/>
        <c:axPos val="r"/>
        <c:numFmt formatCode="0%" sourceLinked="1"/>
        <c:majorTickMark val="out"/>
        <c:minorTickMark val="none"/>
        <c:tickLblPos val="nextTo"/>
        <c:crossAx val="581303112"/>
        <c:crosses val="max"/>
        <c:crossBetween val="between"/>
      </c:valAx>
      <c:catAx>
        <c:axId val="581303112"/>
        <c:scaling>
          <c:orientation val="minMax"/>
        </c:scaling>
        <c:delete val="1"/>
        <c:axPos val="b"/>
        <c:numFmt formatCode="General" sourceLinked="1"/>
        <c:majorTickMark val="out"/>
        <c:minorTickMark val="none"/>
        <c:tickLblPos val="nextTo"/>
        <c:crossAx val="581302328"/>
        <c:crosses val="autoZero"/>
        <c:auto val="1"/>
        <c:lblAlgn val="ctr"/>
        <c:lblOffset val="100"/>
        <c:noMultiLvlLbl val="0"/>
      </c:catAx>
    </c:plotArea>
    <c:legend>
      <c:legendPos val="b"/>
      <c:overlay val="0"/>
      <c:txPr>
        <a:bodyPr/>
        <a:lstStyle/>
        <a:p>
          <a:pPr>
            <a:defRPr sz="800" b="1"/>
          </a:pPr>
          <a:endParaRPr lang="es-CO"/>
        </a:p>
      </c:txPr>
    </c:legend>
    <c:plotVisOnly val="0"/>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6392351997668"/>
          <c:y val="6.3657407407407413E-2"/>
          <c:w val="0.72038928076698749"/>
          <c:h val="0.68744759769612129"/>
        </c:manualLayout>
      </c:layout>
      <c:barChart>
        <c:barDir val="col"/>
        <c:grouping val="stacked"/>
        <c:varyColors val="0"/>
        <c:ser>
          <c:idx val="0"/>
          <c:order val="0"/>
          <c:tx>
            <c:strRef>
              <c:f>'Reporte de Seguimiento_PyG20-06'!$B$7</c:f>
              <c:strCache>
                <c:ptCount val="1"/>
                <c:pt idx="0">
                  <c:v>Cabinas en Operación</c:v>
                </c:pt>
              </c:strCache>
            </c:strRef>
          </c:tx>
          <c:spPr>
            <a:solidFill>
              <a:schemeClr val="bg1">
                <a:lumMod val="75000"/>
              </a:schemeClr>
            </a:solidFill>
          </c:spPr>
          <c:invertIfNegative val="0"/>
          <c:dPt>
            <c:idx val="0"/>
            <c:invertIfNegative val="0"/>
            <c:bubble3D val="0"/>
            <c:spPr>
              <a:solidFill>
                <a:srgbClr val="C00000"/>
              </a:solidFill>
            </c:spPr>
            <c:extLst>
              <c:ext xmlns:c16="http://schemas.microsoft.com/office/drawing/2014/chart" uri="{C3380CC4-5D6E-409C-BE32-E72D297353CC}">
                <c16:uniqueId val="{00000001-8C78-400F-B896-FB99622F2E8F}"/>
              </c:ext>
            </c:extLst>
          </c:dPt>
          <c:dPt>
            <c:idx val="1"/>
            <c:invertIfNegative val="0"/>
            <c:bubble3D val="0"/>
            <c:spPr>
              <a:solidFill>
                <a:srgbClr val="C00000"/>
              </a:solidFill>
            </c:spPr>
            <c:extLst>
              <c:ext xmlns:c16="http://schemas.microsoft.com/office/drawing/2014/chart" uri="{C3380CC4-5D6E-409C-BE32-E72D297353CC}">
                <c16:uniqueId val="{00000003-8C78-400F-B896-FB99622F2E8F}"/>
              </c:ext>
            </c:extLst>
          </c:dPt>
          <c:dPt>
            <c:idx val="2"/>
            <c:invertIfNegative val="0"/>
            <c:bubble3D val="0"/>
            <c:spPr>
              <a:solidFill>
                <a:srgbClr val="C00000"/>
              </a:solidFill>
            </c:spPr>
            <c:extLst>
              <c:ext xmlns:c16="http://schemas.microsoft.com/office/drawing/2014/chart" uri="{C3380CC4-5D6E-409C-BE32-E72D297353CC}">
                <c16:uniqueId val="{00000005-8C78-400F-B896-FB99622F2E8F}"/>
              </c:ext>
            </c:extLst>
          </c:dPt>
          <c:dPt>
            <c:idx val="3"/>
            <c:invertIfNegative val="0"/>
            <c:bubble3D val="0"/>
            <c:spPr>
              <a:solidFill>
                <a:srgbClr val="C00000"/>
              </a:solidFill>
            </c:spPr>
            <c:extLst>
              <c:ext xmlns:c16="http://schemas.microsoft.com/office/drawing/2014/chart" uri="{C3380CC4-5D6E-409C-BE32-E72D297353CC}">
                <c16:uniqueId val="{00000007-8C78-400F-B896-FB99622F2E8F}"/>
              </c:ext>
            </c:extLst>
          </c:dPt>
          <c:dPt>
            <c:idx val="4"/>
            <c:invertIfNegative val="0"/>
            <c:bubble3D val="0"/>
            <c:spPr>
              <a:solidFill>
                <a:srgbClr val="C00000"/>
              </a:solidFill>
            </c:spPr>
            <c:extLst>
              <c:ext xmlns:c16="http://schemas.microsoft.com/office/drawing/2014/chart" uri="{C3380CC4-5D6E-409C-BE32-E72D297353CC}">
                <c16:uniqueId val="{00000009-8C78-400F-B896-FB99622F2E8F}"/>
              </c:ext>
            </c:extLst>
          </c:dPt>
          <c:dPt>
            <c:idx val="5"/>
            <c:invertIfNegative val="0"/>
            <c:bubble3D val="0"/>
            <c:spPr>
              <a:solidFill>
                <a:srgbClr val="C00000"/>
              </a:solidFill>
            </c:spPr>
            <c:extLst>
              <c:ext xmlns:c16="http://schemas.microsoft.com/office/drawing/2014/chart" uri="{C3380CC4-5D6E-409C-BE32-E72D297353CC}">
                <c16:uniqueId val="{0000000B-8C78-400F-B896-FB99622F2E8F}"/>
              </c:ext>
            </c:extLst>
          </c:dPt>
          <c:dPt>
            <c:idx val="6"/>
            <c:invertIfNegative val="0"/>
            <c:bubble3D val="0"/>
            <c:extLst>
              <c:ext xmlns:c16="http://schemas.microsoft.com/office/drawing/2014/chart" uri="{C3380CC4-5D6E-409C-BE32-E72D297353CC}">
                <c16:uniqueId val="{0000000C-8C78-400F-B896-FB99622F2E8F}"/>
              </c:ext>
            </c:extLst>
          </c:dPt>
          <c:dPt>
            <c:idx val="7"/>
            <c:invertIfNegative val="0"/>
            <c:bubble3D val="0"/>
            <c:extLst>
              <c:ext xmlns:c16="http://schemas.microsoft.com/office/drawing/2014/chart" uri="{C3380CC4-5D6E-409C-BE32-E72D297353CC}">
                <c16:uniqueId val="{0000000D-8C78-400F-B896-FB99622F2E8F}"/>
              </c:ext>
            </c:extLst>
          </c:dPt>
          <c:dPt>
            <c:idx val="8"/>
            <c:invertIfNegative val="0"/>
            <c:bubble3D val="0"/>
            <c:extLst>
              <c:ext xmlns:c16="http://schemas.microsoft.com/office/drawing/2014/chart" uri="{C3380CC4-5D6E-409C-BE32-E72D297353CC}">
                <c16:uniqueId val="{0000000E-8C78-400F-B896-FB99622F2E8F}"/>
              </c:ext>
            </c:extLst>
          </c:dPt>
          <c:dPt>
            <c:idx val="9"/>
            <c:invertIfNegative val="0"/>
            <c:bubble3D val="0"/>
            <c:extLst>
              <c:ext xmlns:c16="http://schemas.microsoft.com/office/drawing/2014/chart" uri="{C3380CC4-5D6E-409C-BE32-E72D297353CC}">
                <c16:uniqueId val="{0000000F-8C78-400F-B896-FB99622F2E8F}"/>
              </c:ext>
            </c:extLst>
          </c:dPt>
          <c:cat>
            <c:strLit>
              <c:ptCount val="12"/>
              <c:pt idx="0">
                <c:v>ENE</c:v>
              </c:pt>
              <c:pt idx="1">
                <c:v>FEB</c:v>
              </c:pt>
              <c:pt idx="2">
                <c:v>MAR</c:v>
              </c:pt>
              <c:pt idx="3">
                <c:v>APR</c:v>
              </c:pt>
              <c:pt idx="4">
                <c:v>MAY</c:v>
              </c:pt>
              <c:pt idx="5">
                <c:v>JUN</c:v>
              </c:pt>
              <c:pt idx="6">
                <c:v>JUL</c:v>
              </c:pt>
              <c:pt idx="7">
                <c:v>AUG</c:v>
              </c:pt>
              <c:pt idx="8">
                <c:v>SEP</c:v>
              </c:pt>
              <c:pt idx="9">
                <c:v>OCT</c:v>
              </c:pt>
              <c:pt idx="10">
                <c:v>NOV</c:v>
              </c:pt>
              <c:pt idx="11">
                <c:v>DEC</c:v>
              </c:pt>
            </c:strLit>
          </c:cat>
          <c:val>
            <c:numRef>
              <c:f>'Reporte de Seguimiento_PyG20-06'!$C$7:$N$7</c:f>
              <c:numCache>
                <c:formatCode>#,##0_);\(#,##0\)</c:formatCode>
                <c:ptCount val="12"/>
                <c:pt idx="0">
                  <c:v>20</c:v>
                </c:pt>
                <c:pt idx="1">
                  <c:v>16</c:v>
                </c:pt>
                <c:pt idx="2">
                  <c:v>16</c:v>
                </c:pt>
                <c:pt idx="3">
                  <c:v>3</c:v>
                </c:pt>
                <c:pt idx="4">
                  <c:v>2</c:v>
                </c:pt>
                <c:pt idx="5">
                  <c:v>7</c:v>
                </c:pt>
                <c:pt idx="6">
                  <c:v>7</c:v>
                </c:pt>
                <c:pt idx="7">
                  <c:v>9</c:v>
                </c:pt>
                <c:pt idx="8">
                  <c:v>9</c:v>
                </c:pt>
                <c:pt idx="9">
                  <c:v>7</c:v>
                </c:pt>
                <c:pt idx="10">
                  <c:v>6</c:v>
                </c:pt>
                <c:pt idx="11">
                  <c:v>6</c:v>
                </c:pt>
              </c:numCache>
            </c:numRef>
          </c:val>
          <c:extLst>
            <c:ext xmlns:c16="http://schemas.microsoft.com/office/drawing/2014/chart" uri="{C3380CC4-5D6E-409C-BE32-E72D297353CC}">
              <c16:uniqueId val="{00000010-8C78-400F-B896-FB99622F2E8F}"/>
            </c:ext>
          </c:extLst>
        </c:ser>
        <c:dLbls>
          <c:showLegendKey val="0"/>
          <c:showVal val="0"/>
          <c:showCatName val="0"/>
          <c:showSerName val="0"/>
          <c:showPercent val="0"/>
          <c:showBubbleSize val="0"/>
        </c:dLbls>
        <c:gapWidth val="100"/>
        <c:overlap val="100"/>
        <c:axId val="581299584"/>
        <c:axId val="581290568"/>
      </c:barChart>
      <c:lineChart>
        <c:grouping val="standard"/>
        <c:varyColors val="0"/>
        <c:ser>
          <c:idx val="3"/>
          <c:order val="1"/>
          <c:tx>
            <c:strRef>
              <c:f>'Reporte de Seguimiento_PyG20-06'!$B$6</c:f>
              <c:strCache>
                <c:ptCount val="1"/>
                <c:pt idx="0">
                  <c:v>Dias de Operacion</c:v>
                </c:pt>
              </c:strCache>
            </c:strRef>
          </c:tx>
          <c:spPr>
            <a:ln w="25400">
              <a:solidFill>
                <a:schemeClr val="tx1"/>
              </a:solidFill>
              <a:prstDash val="dash"/>
            </a:ln>
          </c:spPr>
          <c:marker>
            <c:symbol val="none"/>
          </c:marker>
          <c:cat>
            <c:numRef>
              <c:f>'Reporte de Seguimiento_BG 20-06'!$Y$81:$Y$104</c:f>
              <c:numCache>
                <c:formatCode>General</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'Reporte de Seguimiento_PyG20-06'!$C$6:$N$6</c:f>
              <c:numCache>
                <c:formatCode>#,##0_);\(#,##0\)</c:formatCode>
                <c:ptCount val="12"/>
                <c:pt idx="0">
                  <c:v>429</c:v>
                </c:pt>
                <c:pt idx="1">
                  <c:v>344</c:v>
                </c:pt>
                <c:pt idx="2">
                  <c:v>305</c:v>
                </c:pt>
                <c:pt idx="3">
                  <c:v>25</c:v>
                </c:pt>
                <c:pt idx="4">
                  <c:v>40</c:v>
                </c:pt>
                <c:pt idx="5">
                  <c:v>82</c:v>
                </c:pt>
                <c:pt idx="6">
                  <c:v>110</c:v>
                </c:pt>
                <c:pt idx="7">
                  <c:v>197</c:v>
                </c:pt>
                <c:pt idx="8">
                  <c:v>187</c:v>
                </c:pt>
                <c:pt idx="9">
                  <c:v>132</c:v>
                </c:pt>
                <c:pt idx="10">
                  <c:v>120</c:v>
                </c:pt>
                <c:pt idx="11">
                  <c:v>120</c:v>
                </c:pt>
              </c:numCache>
            </c:numRef>
          </c:val>
          <c:smooth val="0"/>
          <c:extLst>
            <c:ext xmlns:c16="http://schemas.microsoft.com/office/drawing/2014/chart" uri="{C3380CC4-5D6E-409C-BE32-E72D297353CC}">
              <c16:uniqueId val="{00000011-8C78-400F-B896-FB99622F2E8F}"/>
            </c:ext>
          </c:extLst>
        </c:ser>
        <c:dLbls>
          <c:showLegendKey val="0"/>
          <c:showVal val="0"/>
          <c:showCatName val="0"/>
          <c:showSerName val="0"/>
          <c:showPercent val="0"/>
          <c:showBubbleSize val="0"/>
        </c:dLbls>
        <c:marker val="1"/>
        <c:smooth val="0"/>
        <c:axId val="581299976"/>
        <c:axId val="581300368"/>
      </c:lineChart>
      <c:catAx>
        <c:axId val="581299584"/>
        <c:scaling>
          <c:orientation val="minMax"/>
        </c:scaling>
        <c:delete val="0"/>
        <c:axPos val="b"/>
        <c:numFmt formatCode="[$-409]mmm\-yy;@" sourceLinked="0"/>
        <c:majorTickMark val="out"/>
        <c:minorTickMark val="none"/>
        <c:tickLblPos val="low"/>
        <c:txPr>
          <a:bodyPr rot="0" vert="horz"/>
          <a:lstStyle/>
          <a:p>
            <a:pPr>
              <a:defRPr sz="800"/>
            </a:pPr>
            <a:endParaRPr lang="es-CO"/>
          </a:p>
        </c:txPr>
        <c:crossAx val="581290568"/>
        <c:crosses val="autoZero"/>
        <c:auto val="1"/>
        <c:lblAlgn val="ctr"/>
        <c:lblOffset val="100"/>
        <c:tickLblSkip val="1"/>
        <c:noMultiLvlLbl val="1"/>
      </c:catAx>
      <c:valAx>
        <c:axId val="581290568"/>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900"/>
            </a:pPr>
            <a:endParaRPr lang="es-CO"/>
          </a:p>
        </c:txPr>
        <c:crossAx val="581299584"/>
        <c:crosses val="autoZero"/>
        <c:crossBetween val="between"/>
      </c:valAx>
      <c:catAx>
        <c:axId val="581299976"/>
        <c:scaling>
          <c:orientation val="minMax"/>
        </c:scaling>
        <c:delete val="1"/>
        <c:axPos val="b"/>
        <c:numFmt formatCode="General" sourceLinked="1"/>
        <c:majorTickMark val="out"/>
        <c:minorTickMark val="none"/>
        <c:tickLblPos val="nextTo"/>
        <c:crossAx val="581300368"/>
        <c:crosses val="autoZero"/>
        <c:auto val="1"/>
        <c:lblAlgn val="ctr"/>
        <c:lblOffset val="100"/>
        <c:noMultiLvlLbl val="0"/>
      </c:catAx>
      <c:valAx>
        <c:axId val="581300368"/>
        <c:scaling>
          <c:orientation val="minMax"/>
        </c:scaling>
        <c:delete val="0"/>
        <c:axPos val="r"/>
        <c:numFmt formatCode="#,##0_);\(#,##0\)" sourceLinked="1"/>
        <c:majorTickMark val="out"/>
        <c:minorTickMark val="none"/>
        <c:tickLblPos val="nextTo"/>
        <c:txPr>
          <a:bodyPr/>
          <a:lstStyle/>
          <a:p>
            <a:pPr>
              <a:defRPr sz="900"/>
            </a:pPr>
            <a:endParaRPr lang="es-CO"/>
          </a:p>
        </c:txPr>
        <c:crossAx val="581299976"/>
        <c:crosses val="max"/>
        <c:crossBetween val="between"/>
      </c:valAx>
    </c:plotArea>
    <c:legend>
      <c:legendPos val="b"/>
      <c:overlay val="0"/>
      <c:txPr>
        <a:bodyPr/>
        <a:lstStyle/>
        <a:p>
          <a:pPr>
            <a:defRPr sz="800" b="1"/>
          </a:pPr>
          <a:endParaRPr lang="es-CO"/>
        </a:p>
      </c:txPr>
    </c:legend>
    <c:plotVisOnly val="0"/>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4.jpe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95250</xdr:colOff>
      <xdr:row>14</xdr:row>
      <xdr:rowOff>81007</xdr:rowOff>
    </xdr:from>
    <xdr:to>
      <xdr:col>10</xdr:col>
      <xdr:colOff>638175</xdr:colOff>
      <xdr:row>19</xdr:row>
      <xdr:rowOff>3363</xdr:rowOff>
    </xdr:to>
    <xdr:sp macro="" textlink="">
      <xdr:nvSpPr>
        <xdr:cNvPr id="2" name="4 Título">
          <a:extLst>
            <a:ext uri="{FF2B5EF4-FFF2-40B4-BE49-F238E27FC236}">
              <a16:creationId xmlns:a16="http://schemas.microsoft.com/office/drawing/2014/main" id="{00000000-0008-0000-0000-000002000000}"/>
            </a:ext>
          </a:extLst>
        </xdr:cNvPr>
        <xdr:cNvSpPr txBox="1">
          <a:spLocks/>
        </xdr:cNvSpPr>
      </xdr:nvSpPr>
      <xdr:spPr>
        <a:xfrm>
          <a:off x="521074" y="2680772"/>
          <a:ext cx="8140513" cy="818826"/>
        </a:xfrm>
        <a:prstGeom prst="rect">
          <a:avLst/>
        </a:prstGeom>
      </xdr:spPr>
      <xdr:txBody>
        <a:bodyPr vert="horz" wrap="square" lIns="0" tIns="45720" rIns="0" bIns="45720" rtlCol="0" anchor="ctr">
          <a:normAutofit fontScale="92500" lnSpcReduction="20000"/>
        </a:bodyPr>
        <a:lstStyle>
          <a:defPPr>
            <a:defRPr lang="es-MX"/>
          </a:defPPr>
          <a:lvl1pPr algn="l" rtl="0" fontAlgn="base">
            <a:spcBef>
              <a:spcPct val="0"/>
            </a:spcBef>
            <a:spcAft>
              <a:spcPct val="0"/>
            </a:spcAft>
            <a:defRPr sz="1000" kern="1200">
              <a:solidFill>
                <a:schemeClr val="tx1"/>
              </a:solidFill>
              <a:latin typeface="Arial" charset="0"/>
              <a:ea typeface="+mn-ea"/>
              <a:cs typeface="Arial" charset="0"/>
            </a:defRPr>
          </a:lvl1pPr>
          <a:lvl2pPr marL="457200" algn="l" rtl="0" fontAlgn="base">
            <a:spcBef>
              <a:spcPct val="0"/>
            </a:spcBef>
            <a:spcAft>
              <a:spcPct val="0"/>
            </a:spcAft>
            <a:defRPr sz="1000" kern="1200">
              <a:solidFill>
                <a:schemeClr val="tx1"/>
              </a:solidFill>
              <a:latin typeface="Arial" charset="0"/>
              <a:ea typeface="+mn-ea"/>
              <a:cs typeface="Arial" charset="0"/>
            </a:defRPr>
          </a:lvl2pPr>
          <a:lvl3pPr marL="914400" algn="l" rtl="0" fontAlgn="base">
            <a:spcBef>
              <a:spcPct val="0"/>
            </a:spcBef>
            <a:spcAft>
              <a:spcPct val="0"/>
            </a:spcAft>
            <a:defRPr sz="1000" kern="1200">
              <a:solidFill>
                <a:schemeClr val="tx1"/>
              </a:solidFill>
              <a:latin typeface="Arial" charset="0"/>
              <a:ea typeface="+mn-ea"/>
              <a:cs typeface="Arial" charset="0"/>
            </a:defRPr>
          </a:lvl3pPr>
          <a:lvl4pPr marL="1371600" algn="l" rtl="0" fontAlgn="base">
            <a:spcBef>
              <a:spcPct val="0"/>
            </a:spcBef>
            <a:spcAft>
              <a:spcPct val="0"/>
            </a:spcAft>
            <a:defRPr sz="1000" kern="1200">
              <a:solidFill>
                <a:schemeClr val="tx1"/>
              </a:solidFill>
              <a:latin typeface="Arial" charset="0"/>
              <a:ea typeface="+mn-ea"/>
              <a:cs typeface="Arial" charset="0"/>
            </a:defRPr>
          </a:lvl4pPr>
          <a:lvl5pPr marL="1828800" algn="l" rtl="0" fontAlgn="base">
            <a:spcBef>
              <a:spcPct val="0"/>
            </a:spcBef>
            <a:spcAft>
              <a:spcPct val="0"/>
            </a:spcAft>
            <a:defRPr sz="1000" kern="1200">
              <a:solidFill>
                <a:schemeClr val="tx1"/>
              </a:solidFill>
              <a:latin typeface="Arial" charset="0"/>
              <a:ea typeface="+mn-ea"/>
              <a:cs typeface="Arial" charset="0"/>
            </a:defRPr>
          </a:lvl5pPr>
          <a:lvl6pPr marL="2286000" algn="l" defTabSz="914400" rtl="0" eaLnBrk="1" latinLnBrk="0" hangingPunct="1">
            <a:defRPr sz="1000" kern="1200">
              <a:solidFill>
                <a:schemeClr val="tx1"/>
              </a:solidFill>
              <a:latin typeface="Arial" charset="0"/>
              <a:ea typeface="+mn-ea"/>
              <a:cs typeface="Arial" charset="0"/>
            </a:defRPr>
          </a:lvl6pPr>
          <a:lvl7pPr marL="2743200" algn="l" defTabSz="914400" rtl="0" eaLnBrk="1" latinLnBrk="0" hangingPunct="1">
            <a:defRPr sz="1000" kern="1200">
              <a:solidFill>
                <a:schemeClr val="tx1"/>
              </a:solidFill>
              <a:latin typeface="Arial" charset="0"/>
              <a:ea typeface="+mn-ea"/>
              <a:cs typeface="Arial" charset="0"/>
            </a:defRPr>
          </a:lvl7pPr>
          <a:lvl8pPr marL="3200400" algn="l" defTabSz="914400" rtl="0" eaLnBrk="1" latinLnBrk="0" hangingPunct="1">
            <a:defRPr sz="1000" kern="1200">
              <a:solidFill>
                <a:schemeClr val="tx1"/>
              </a:solidFill>
              <a:latin typeface="Arial" charset="0"/>
              <a:ea typeface="+mn-ea"/>
              <a:cs typeface="Arial" charset="0"/>
            </a:defRPr>
          </a:lvl8pPr>
          <a:lvl9pPr marL="3657600" algn="l" defTabSz="914400" rtl="0" eaLnBrk="1" latinLnBrk="0" hangingPunct="1">
            <a:defRPr sz="1000" kern="1200">
              <a:solidFill>
                <a:schemeClr val="tx1"/>
              </a:solidFill>
              <a:latin typeface="Arial" charset="0"/>
              <a:ea typeface="+mn-ea"/>
              <a:cs typeface="Arial" charset="0"/>
            </a:defRPr>
          </a:lvl9pPr>
        </a:lstStyle>
        <a:p>
          <a:pPr algn="ctr"/>
          <a:r>
            <a:rPr lang="en-US" sz="2400">
              <a:solidFill>
                <a:schemeClr val="tx1"/>
              </a:solidFill>
              <a:latin typeface="+mj-lt"/>
            </a:rPr>
            <a:t>MAS Colombia-Latam</a:t>
          </a:r>
          <a:br>
            <a:rPr lang="en-US" sz="2400">
              <a:solidFill>
                <a:schemeClr val="tx1"/>
              </a:solidFill>
              <a:latin typeface="+mj-lt"/>
            </a:rPr>
          </a:br>
          <a:r>
            <a:rPr lang="en-US" sz="1800">
              <a:solidFill>
                <a:schemeClr val="tx1"/>
              </a:solidFill>
              <a:latin typeface="+mj-lt"/>
            </a:rPr>
            <a:t>Private Equity Fund</a:t>
          </a:r>
        </a:p>
      </xdr:txBody>
    </xdr:sp>
    <xdr:clientData/>
  </xdr:twoCellAnchor>
  <xdr:twoCellAnchor editAs="oneCell">
    <xdr:from>
      <xdr:col>3</xdr:col>
      <xdr:colOff>230896</xdr:colOff>
      <xdr:row>2</xdr:row>
      <xdr:rowOff>47625</xdr:rowOff>
    </xdr:from>
    <xdr:to>
      <xdr:col>8</xdr:col>
      <xdr:colOff>347887</xdr:colOff>
      <xdr:row>11</xdr:row>
      <xdr:rowOff>28575</xdr:rowOff>
    </xdr:to>
    <xdr:pic>
      <xdr:nvPicPr>
        <xdr:cNvPr id="4" name="Imagen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7602" y="406213"/>
          <a:ext cx="4319197" cy="1628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57149</xdr:colOff>
      <xdr:row>0</xdr:row>
      <xdr:rowOff>114300</xdr:rowOff>
    </xdr:from>
    <xdr:ext cx="1524001" cy="590549"/>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4" y="114300"/>
          <a:ext cx="1524001" cy="59054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34291</xdr:colOff>
      <xdr:row>4</xdr:row>
      <xdr:rowOff>22860</xdr:rowOff>
    </xdr:from>
    <xdr:ext cx="1096009" cy="525226"/>
    <xdr:pic>
      <xdr:nvPicPr>
        <xdr:cNvPr id="2" name="Picture 2">
          <a:extLst>
            <a:ext uri="{FF2B5EF4-FFF2-40B4-BE49-F238E27FC236}">
              <a16:creationId xmlns:a16="http://schemas.microsoft.com/office/drawing/2014/main" id="{37CFF688-6036-47AE-961C-31D72258C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466" y="784860"/>
          <a:ext cx="1096009" cy="525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34291</xdr:colOff>
      <xdr:row>4</xdr:row>
      <xdr:rowOff>22860</xdr:rowOff>
    </xdr:from>
    <xdr:to>
      <xdr:col>2</xdr:col>
      <xdr:colOff>219075</xdr:colOff>
      <xdr:row>6</xdr:row>
      <xdr:rowOff>163911</xdr:rowOff>
    </xdr:to>
    <xdr:pic>
      <xdr:nvPicPr>
        <xdr:cNvPr id="2" name="Picture 2">
          <a:extLst>
            <a:ext uri="{FF2B5EF4-FFF2-40B4-BE49-F238E27FC236}">
              <a16:creationId xmlns:a16="http://schemas.microsoft.com/office/drawing/2014/main" id="{F538C171-21EE-4B37-A565-DE19506B13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466" y="784860"/>
          <a:ext cx="1089659" cy="522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19050</xdr:colOff>
      <xdr:row>3</xdr:row>
      <xdr:rowOff>111216</xdr:rowOff>
    </xdr:to>
    <xdr:pic>
      <xdr:nvPicPr>
        <xdr:cNvPr id="2" name="Picture 1">
          <a:extLst>
            <a:ext uri="{FF2B5EF4-FFF2-40B4-BE49-F238E27FC236}">
              <a16:creationId xmlns:a16="http://schemas.microsoft.com/office/drawing/2014/main" id="{7942DA66-56FE-4849-AEE5-6B14233122B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19050</xdr:colOff>
      <xdr:row>3</xdr:row>
      <xdr:rowOff>111216</xdr:rowOff>
    </xdr:to>
    <xdr:pic>
      <xdr:nvPicPr>
        <xdr:cNvPr id="3" name="Picture 1">
          <a:extLst>
            <a:ext uri="{FF2B5EF4-FFF2-40B4-BE49-F238E27FC236}">
              <a16:creationId xmlns:a16="http://schemas.microsoft.com/office/drawing/2014/main" id="{1F09C33F-A605-40B3-A6CA-A453369D846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19050</xdr:colOff>
      <xdr:row>3</xdr:row>
      <xdr:rowOff>111216</xdr:rowOff>
    </xdr:to>
    <xdr:pic>
      <xdr:nvPicPr>
        <xdr:cNvPr id="4" name="Picture 1">
          <a:extLst>
            <a:ext uri="{FF2B5EF4-FFF2-40B4-BE49-F238E27FC236}">
              <a16:creationId xmlns:a16="http://schemas.microsoft.com/office/drawing/2014/main" id="{74D0CF7E-CF27-480A-B03D-5CA109F5BF9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19050</xdr:colOff>
      <xdr:row>3</xdr:row>
      <xdr:rowOff>111216</xdr:rowOff>
    </xdr:to>
    <xdr:pic>
      <xdr:nvPicPr>
        <xdr:cNvPr id="5" name="Picture 1">
          <a:extLst>
            <a:ext uri="{FF2B5EF4-FFF2-40B4-BE49-F238E27FC236}">
              <a16:creationId xmlns:a16="http://schemas.microsoft.com/office/drawing/2014/main" id="{4523A0C9-7377-4F58-9E19-F844C818872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19050</xdr:colOff>
      <xdr:row>3</xdr:row>
      <xdr:rowOff>111216</xdr:rowOff>
    </xdr:to>
    <xdr:pic>
      <xdr:nvPicPr>
        <xdr:cNvPr id="6" name="Picture 1">
          <a:extLst>
            <a:ext uri="{FF2B5EF4-FFF2-40B4-BE49-F238E27FC236}">
              <a16:creationId xmlns:a16="http://schemas.microsoft.com/office/drawing/2014/main" id="{B5B9DA63-275D-4CED-9935-0CCBA09A2B9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19050</xdr:colOff>
      <xdr:row>3</xdr:row>
      <xdr:rowOff>111216</xdr:rowOff>
    </xdr:to>
    <xdr:pic>
      <xdr:nvPicPr>
        <xdr:cNvPr id="7" name="Picture 1">
          <a:extLst>
            <a:ext uri="{FF2B5EF4-FFF2-40B4-BE49-F238E27FC236}">
              <a16:creationId xmlns:a16="http://schemas.microsoft.com/office/drawing/2014/main" id="{5510BF3C-9507-4C85-8B98-494A20045D2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114300</xdr:colOff>
      <xdr:row>94</xdr:row>
      <xdr:rowOff>73025</xdr:rowOff>
    </xdr:from>
    <xdr:to>
      <xdr:col>6</xdr:col>
      <xdr:colOff>600075</xdr:colOff>
      <xdr:row>108</xdr:row>
      <xdr:rowOff>0</xdr:rowOff>
    </xdr:to>
    <xdr:graphicFrame macro="">
      <xdr:nvGraphicFramePr>
        <xdr:cNvPr id="2" name="Chart 8">
          <a:extLst>
            <a:ext uri="{FF2B5EF4-FFF2-40B4-BE49-F238E27FC236}">
              <a16:creationId xmlns:a16="http://schemas.microsoft.com/office/drawing/2014/main" id="{BA21AC65-68D0-4B1F-A58D-34C2EFBA9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60</xdr:row>
      <xdr:rowOff>47625</xdr:rowOff>
    </xdr:from>
    <xdr:to>
      <xdr:col>6</xdr:col>
      <xdr:colOff>561975</xdr:colOff>
      <xdr:row>61</xdr:row>
      <xdr:rowOff>95250</xdr:rowOff>
    </xdr:to>
    <xdr:sp macro="" textlink="">
      <xdr:nvSpPr>
        <xdr:cNvPr id="3" name="Rectangle 9">
          <a:extLst>
            <a:ext uri="{FF2B5EF4-FFF2-40B4-BE49-F238E27FC236}">
              <a16:creationId xmlns:a16="http://schemas.microsoft.com/office/drawing/2014/main" id="{E823A42B-97AA-44DC-B84A-E90E3F4D1D71}"/>
            </a:ext>
          </a:extLst>
        </xdr:cNvPr>
        <xdr:cNvSpPr/>
      </xdr:nvSpPr>
      <xdr:spPr>
        <a:xfrm>
          <a:off x="409575" y="9658350"/>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MENSUALES</a:t>
          </a:r>
        </a:p>
      </xdr:txBody>
    </xdr:sp>
    <xdr:clientData/>
  </xdr:twoCellAnchor>
  <xdr:twoCellAnchor>
    <xdr:from>
      <xdr:col>1</xdr:col>
      <xdr:colOff>171450</xdr:colOff>
      <xdr:row>76</xdr:row>
      <xdr:rowOff>38100</xdr:rowOff>
    </xdr:from>
    <xdr:to>
      <xdr:col>6</xdr:col>
      <xdr:colOff>561975</xdr:colOff>
      <xdr:row>77</xdr:row>
      <xdr:rowOff>85725</xdr:rowOff>
    </xdr:to>
    <xdr:sp macro="" textlink="">
      <xdr:nvSpPr>
        <xdr:cNvPr id="4" name="Rectangle 10">
          <a:extLst>
            <a:ext uri="{FF2B5EF4-FFF2-40B4-BE49-F238E27FC236}">
              <a16:creationId xmlns:a16="http://schemas.microsoft.com/office/drawing/2014/main" id="{F98E18AD-F4BB-4ABF-AFE3-F54BB2E130F3}"/>
            </a:ext>
          </a:extLst>
        </xdr:cNvPr>
        <xdr:cNvSpPr/>
      </xdr:nvSpPr>
      <xdr:spPr>
        <a:xfrm>
          <a:off x="409575" y="122396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MENSUAL</a:t>
          </a:r>
        </a:p>
      </xdr:txBody>
    </xdr:sp>
    <xdr:clientData/>
  </xdr:twoCellAnchor>
  <xdr:twoCellAnchor>
    <xdr:from>
      <xdr:col>1</xdr:col>
      <xdr:colOff>171450</xdr:colOff>
      <xdr:row>92</xdr:row>
      <xdr:rowOff>38100</xdr:rowOff>
    </xdr:from>
    <xdr:to>
      <xdr:col>6</xdr:col>
      <xdr:colOff>561975</xdr:colOff>
      <xdr:row>93</xdr:row>
      <xdr:rowOff>85725</xdr:rowOff>
    </xdr:to>
    <xdr:sp macro="" textlink="">
      <xdr:nvSpPr>
        <xdr:cNvPr id="5" name="Rectangle 11">
          <a:extLst>
            <a:ext uri="{FF2B5EF4-FFF2-40B4-BE49-F238E27FC236}">
              <a16:creationId xmlns:a16="http://schemas.microsoft.com/office/drawing/2014/main" id="{3AD8FED2-8D18-4C6D-A895-A78BEB485E4B}"/>
            </a:ext>
          </a:extLst>
        </xdr:cNvPr>
        <xdr:cNvSpPr/>
      </xdr:nvSpPr>
      <xdr:spPr>
        <a:xfrm>
          <a:off x="409575" y="148304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TARIFAS</a:t>
          </a:r>
          <a:r>
            <a:rPr lang="es-CO" sz="1050" b="1" baseline="0">
              <a:solidFill>
                <a:schemeClr val="bg1"/>
              </a:solidFill>
              <a:latin typeface="+mj-lt"/>
            </a:rPr>
            <a:t> MENSUALES</a:t>
          </a:r>
          <a:endParaRPr lang="es-CO" sz="1050" b="1">
            <a:solidFill>
              <a:schemeClr val="bg1"/>
            </a:solidFill>
            <a:latin typeface="+mj-lt"/>
          </a:endParaRPr>
        </a:p>
      </xdr:txBody>
    </xdr:sp>
    <xdr:clientData/>
  </xdr:twoCellAnchor>
  <xdr:twoCellAnchor>
    <xdr:from>
      <xdr:col>7</xdr:col>
      <xdr:colOff>428625</xdr:colOff>
      <xdr:row>60</xdr:row>
      <xdr:rowOff>47625</xdr:rowOff>
    </xdr:from>
    <xdr:to>
      <xdr:col>14</xdr:col>
      <xdr:colOff>457200</xdr:colOff>
      <xdr:row>61</xdr:row>
      <xdr:rowOff>95250</xdr:rowOff>
    </xdr:to>
    <xdr:sp macro="" textlink="">
      <xdr:nvSpPr>
        <xdr:cNvPr id="6" name="Rectangle 14">
          <a:extLst>
            <a:ext uri="{FF2B5EF4-FFF2-40B4-BE49-F238E27FC236}">
              <a16:creationId xmlns:a16="http://schemas.microsoft.com/office/drawing/2014/main" id="{90F97891-451E-4010-816B-7001DAABE551}"/>
            </a:ext>
          </a:extLst>
        </xdr:cNvPr>
        <xdr:cNvSpPr/>
      </xdr:nvSpPr>
      <xdr:spPr>
        <a:xfrm>
          <a:off x="6305550" y="9658350"/>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12M</a:t>
          </a:r>
        </a:p>
      </xdr:txBody>
    </xdr:sp>
    <xdr:clientData/>
  </xdr:twoCellAnchor>
  <xdr:twoCellAnchor>
    <xdr:from>
      <xdr:col>7</xdr:col>
      <xdr:colOff>438150</xdr:colOff>
      <xdr:row>76</xdr:row>
      <xdr:rowOff>38100</xdr:rowOff>
    </xdr:from>
    <xdr:to>
      <xdr:col>14</xdr:col>
      <xdr:colOff>466725</xdr:colOff>
      <xdr:row>77</xdr:row>
      <xdr:rowOff>85725</xdr:rowOff>
    </xdr:to>
    <xdr:sp macro="" textlink="">
      <xdr:nvSpPr>
        <xdr:cNvPr id="7" name="Rectangle 15">
          <a:extLst>
            <a:ext uri="{FF2B5EF4-FFF2-40B4-BE49-F238E27FC236}">
              <a16:creationId xmlns:a16="http://schemas.microsoft.com/office/drawing/2014/main" id="{DDFD5AF1-009F-4C4C-BFD8-7E2248B524FE}"/>
            </a:ext>
          </a:extLst>
        </xdr:cNvPr>
        <xdr:cNvSpPr/>
      </xdr:nvSpPr>
      <xdr:spPr>
        <a:xfrm>
          <a:off x="6315075" y="122396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12M</a:t>
          </a:r>
        </a:p>
      </xdr:txBody>
    </xdr:sp>
    <xdr:clientData/>
  </xdr:twoCellAnchor>
  <xdr:twoCellAnchor>
    <xdr:from>
      <xdr:col>7</xdr:col>
      <xdr:colOff>428625</xdr:colOff>
      <xdr:row>92</xdr:row>
      <xdr:rowOff>38100</xdr:rowOff>
    </xdr:from>
    <xdr:to>
      <xdr:col>14</xdr:col>
      <xdr:colOff>457200</xdr:colOff>
      <xdr:row>93</xdr:row>
      <xdr:rowOff>85725</xdr:rowOff>
    </xdr:to>
    <xdr:sp macro="" textlink="">
      <xdr:nvSpPr>
        <xdr:cNvPr id="8" name="Rectangle 17">
          <a:extLst>
            <a:ext uri="{FF2B5EF4-FFF2-40B4-BE49-F238E27FC236}">
              <a16:creationId xmlns:a16="http://schemas.microsoft.com/office/drawing/2014/main" id="{80D0756C-90CC-4BCC-9A68-9EEDE3EA3419}"/>
            </a:ext>
          </a:extLst>
        </xdr:cNvPr>
        <xdr:cNvSpPr/>
      </xdr:nvSpPr>
      <xdr:spPr>
        <a:xfrm>
          <a:off x="6305550" y="148304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CABINAS EN OPERACIÓN Y DIAS DE OPERACIÓN</a:t>
          </a:r>
        </a:p>
      </xdr:txBody>
    </xdr:sp>
    <xdr:clientData/>
  </xdr:twoCellAnchor>
  <xdr:twoCellAnchor editAs="oneCell">
    <xdr:from>
      <xdr:col>1</xdr:col>
      <xdr:colOff>0</xdr:colOff>
      <xdr:row>0</xdr:row>
      <xdr:rowOff>1</xdr:rowOff>
    </xdr:from>
    <xdr:to>
      <xdr:col>1</xdr:col>
      <xdr:colOff>1371600</xdr:colOff>
      <xdr:row>3</xdr:row>
      <xdr:rowOff>149881</xdr:rowOff>
    </xdr:to>
    <xdr:pic>
      <xdr:nvPicPr>
        <xdr:cNvPr id="9" name="Picture 8">
          <a:extLst>
            <a:ext uri="{FF2B5EF4-FFF2-40B4-BE49-F238E27FC236}">
              <a16:creationId xmlns:a16="http://schemas.microsoft.com/office/drawing/2014/main" id="{0B0F8236-262C-4E6A-90B3-E6E55F979A0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964" r="8334" b="9460"/>
        <a:stretch/>
      </xdr:blipFill>
      <xdr:spPr bwMode="auto">
        <a:xfrm>
          <a:off x="238125" y="1"/>
          <a:ext cx="1371600" cy="6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98425</xdr:colOff>
      <xdr:row>62</xdr:row>
      <xdr:rowOff>9525</xdr:rowOff>
    </xdr:from>
    <xdr:to>
      <xdr:col>6</xdr:col>
      <xdr:colOff>584200</xdr:colOff>
      <xdr:row>75</xdr:row>
      <xdr:rowOff>95250</xdr:rowOff>
    </xdr:to>
    <xdr:graphicFrame macro="">
      <xdr:nvGraphicFramePr>
        <xdr:cNvPr id="10" name="Chart 1">
          <a:extLst>
            <a:ext uri="{FF2B5EF4-FFF2-40B4-BE49-F238E27FC236}">
              <a16:creationId xmlns:a16="http://schemas.microsoft.com/office/drawing/2014/main" id="{FAFA1894-EE41-48C3-AD17-6DE04A015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130175</xdr:colOff>
      <xdr:row>78</xdr:row>
      <xdr:rowOff>1</xdr:rowOff>
    </xdr:from>
    <xdr:to>
      <xdr:col>6</xdr:col>
      <xdr:colOff>615950</xdr:colOff>
      <xdr:row>91</xdr:row>
      <xdr:rowOff>85726</xdr:rowOff>
    </xdr:to>
    <xdr:graphicFrame macro="">
      <xdr:nvGraphicFramePr>
        <xdr:cNvPr id="11" name="Chart 7">
          <a:extLst>
            <a:ext uri="{FF2B5EF4-FFF2-40B4-BE49-F238E27FC236}">
              <a16:creationId xmlns:a16="http://schemas.microsoft.com/office/drawing/2014/main" id="{21E53CE2-7F54-46E0-926C-0C53795B3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60</xdr:row>
      <xdr:rowOff>47625</xdr:rowOff>
    </xdr:from>
    <xdr:to>
      <xdr:col>6</xdr:col>
      <xdr:colOff>561975</xdr:colOff>
      <xdr:row>61</xdr:row>
      <xdr:rowOff>95250</xdr:rowOff>
    </xdr:to>
    <xdr:sp macro="" textlink="">
      <xdr:nvSpPr>
        <xdr:cNvPr id="12" name="Rectangle 9">
          <a:extLst>
            <a:ext uri="{FF2B5EF4-FFF2-40B4-BE49-F238E27FC236}">
              <a16:creationId xmlns:a16="http://schemas.microsoft.com/office/drawing/2014/main" id="{F1E272D7-3DDC-44FA-AD3C-23FC2777DF2B}"/>
            </a:ext>
          </a:extLst>
        </xdr:cNvPr>
        <xdr:cNvSpPr/>
      </xdr:nvSpPr>
      <xdr:spPr>
        <a:xfrm>
          <a:off x="409575" y="9658350"/>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MENSUALES</a:t>
          </a:r>
        </a:p>
      </xdr:txBody>
    </xdr:sp>
    <xdr:clientData/>
  </xdr:twoCellAnchor>
  <xdr:twoCellAnchor>
    <xdr:from>
      <xdr:col>1</xdr:col>
      <xdr:colOff>171450</xdr:colOff>
      <xdr:row>76</xdr:row>
      <xdr:rowOff>38100</xdr:rowOff>
    </xdr:from>
    <xdr:to>
      <xdr:col>6</xdr:col>
      <xdr:colOff>561975</xdr:colOff>
      <xdr:row>77</xdr:row>
      <xdr:rowOff>85725</xdr:rowOff>
    </xdr:to>
    <xdr:sp macro="" textlink="">
      <xdr:nvSpPr>
        <xdr:cNvPr id="13" name="Rectangle 10">
          <a:extLst>
            <a:ext uri="{FF2B5EF4-FFF2-40B4-BE49-F238E27FC236}">
              <a16:creationId xmlns:a16="http://schemas.microsoft.com/office/drawing/2014/main" id="{2667AB0D-9D35-4ADA-A60B-FC6CFDE7EFDC}"/>
            </a:ext>
          </a:extLst>
        </xdr:cNvPr>
        <xdr:cNvSpPr/>
      </xdr:nvSpPr>
      <xdr:spPr>
        <a:xfrm>
          <a:off x="409575" y="122396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MENSUAL</a:t>
          </a:r>
        </a:p>
      </xdr:txBody>
    </xdr:sp>
    <xdr:clientData/>
  </xdr:twoCellAnchor>
  <xdr:twoCellAnchor>
    <xdr:from>
      <xdr:col>1</xdr:col>
      <xdr:colOff>171450</xdr:colOff>
      <xdr:row>92</xdr:row>
      <xdr:rowOff>38100</xdr:rowOff>
    </xdr:from>
    <xdr:to>
      <xdr:col>6</xdr:col>
      <xdr:colOff>561975</xdr:colOff>
      <xdr:row>93</xdr:row>
      <xdr:rowOff>85725</xdr:rowOff>
    </xdr:to>
    <xdr:sp macro="" textlink="">
      <xdr:nvSpPr>
        <xdr:cNvPr id="14" name="Rectangle 11">
          <a:extLst>
            <a:ext uri="{FF2B5EF4-FFF2-40B4-BE49-F238E27FC236}">
              <a16:creationId xmlns:a16="http://schemas.microsoft.com/office/drawing/2014/main" id="{AFE43B20-5DCA-42BC-9ACC-E57DA748047C}"/>
            </a:ext>
          </a:extLst>
        </xdr:cNvPr>
        <xdr:cNvSpPr/>
      </xdr:nvSpPr>
      <xdr:spPr>
        <a:xfrm>
          <a:off x="409575" y="148304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TARIFAS</a:t>
          </a:r>
          <a:r>
            <a:rPr lang="es-CO" sz="1050" b="1" baseline="0">
              <a:solidFill>
                <a:schemeClr val="bg1"/>
              </a:solidFill>
              <a:latin typeface="+mj-lt"/>
            </a:rPr>
            <a:t> MENSUALES</a:t>
          </a:r>
          <a:endParaRPr lang="es-CO" sz="1050" b="1">
            <a:solidFill>
              <a:schemeClr val="bg1"/>
            </a:solidFill>
            <a:latin typeface="+mj-lt"/>
          </a:endParaRPr>
        </a:p>
      </xdr:txBody>
    </xdr:sp>
    <xdr:clientData/>
  </xdr:twoCellAnchor>
  <xdr:twoCellAnchor>
    <xdr:from>
      <xdr:col>7</xdr:col>
      <xdr:colOff>388938</xdr:colOff>
      <xdr:row>62</xdr:row>
      <xdr:rowOff>71438</xdr:rowOff>
    </xdr:from>
    <xdr:to>
      <xdr:col>14</xdr:col>
      <xdr:colOff>512763</xdr:colOff>
      <xdr:row>76</xdr:row>
      <xdr:rowOff>7938</xdr:rowOff>
    </xdr:to>
    <xdr:graphicFrame macro="">
      <xdr:nvGraphicFramePr>
        <xdr:cNvPr id="15" name="Chart 13">
          <a:extLst>
            <a:ext uri="{FF2B5EF4-FFF2-40B4-BE49-F238E27FC236}">
              <a16:creationId xmlns:a16="http://schemas.microsoft.com/office/drawing/2014/main" id="{A495E7A4-FCB1-4EFB-9C07-89FDE4571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428625</xdr:colOff>
      <xdr:row>60</xdr:row>
      <xdr:rowOff>47625</xdr:rowOff>
    </xdr:from>
    <xdr:to>
      <xdr:col>14</xdr:col>
      <xdr:colOff>457200</xdr:colOff>
      <xdr:row>61</xdr:row>
      <xdr:rowOff>95250</xdr:rowOff>
    </xdr:to>
    <xdr:sp macro="" textlink="">
      <xdr:nvSpPr>
        <xdr:cNvPr id="16" name="Rectangle 14">
          <a:extLst>
            <a:ext uri="{FF2B5EF4-FFF2-40B4-BE49-F238E27FC236}">
              <a16:creationId xmlns:a16="http://schemas.microsoft.com/office/drawing/2014/main" id="{B155E39B-B7ED-4892-872B-05B111FB4A0C}"/>
            </a:ext>
          </a:extLst>
        </xdr:cNvPr>
        <xdr:cNvSpPr/>
      </xdr:nvSpPr>
      <xdr:spPr>
        <a:xfrm>
          <a:off x="6305550" y="9658350"/>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12M</a:t>
          </a:r>
        </a:p>
      </xdr:txBody>
    </xdr:sp>
    <xdr:clientData/>
  </xdr:twoCellAnchor>
  <xdr:twoCellAnchor>
    <xdr:from>
      <xdr:col>7</xdr:col>
      <xdr:colOff>438150</xdr:colOff>
      <xdr:row>76</xdr:row>
      <xdr:rowOff>38100</xdr:rowOff>
    </xdr:from>
    <xdr:to>
      <xdr:col>14</xdr:col>
      <xdr:colOff>466725</xdr:colOff>
      <xdr:row>77</xdr:row>
      <xdr:rowOff>85725</xdr:rowOff>
    </xdr:to>
    <xdr:sp macro="" textlink="">
      <xdr:nvSpPr>
        <xdr:cNvPr id="17" name="Rectangle 15">
          <a:extLst>
            <a:ext uri="{FF2B5EF4-FFF2-40B4-BE49-F238E27FC236}">
              <a16:creationId xmlns:a16="http://schemas.microsoft.com/office/drawing/2014/main" id="{77797A79-D6A4-48F2-ABAD-6B827537E786}"/>
            </a:ext>
          </a:extLst>
        </xdr:cNvPr>
        <xdr:cNvSpPr/>
      </xdr:nvSpPr>
      <xdr:spPr>
        <a:xfrm>
          <a:off x="6315075" y="122396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12M</a:t>
          </a:r>
        </a:p>
      </xdr:txBody>
    </xdr:sp>
    <xdr:clientData/>
  </xdr:twoCellAnchor>
  <xdr:twoCellAnchor>
    <xdr:from>
      <xdr:col>7</xdr:col>
      <xdr:colOff>390525</xdr:colOff>
      <xdr:row>78</xdr:row>
      <xdr:rowOff>47625</xdr:rowOff>
    </xdr:from>
    <xdr:to>
      <xdr:col>14</xdr:col>
      <xdr:colOff>514350</xdr:colOff>
      <xdr:row>91</xdr:row>
      <xdr:rowOff>133350</xdr:rowOff>
    </xdr:to>
    <xdr:graphicFrame macro="">
      <xdr:nvGraphicFramePr>
        <xdr:cNvPr id="18" name="Chart 16">
          <a:extLst>
            <a:ext uri="{FF2B5EF4-FFF2-40B4-BE49-F238E27FC236}">
              <a16:creationId xmlns:a16="http://schemas.microsoft.com/office/drawing/2014/main" id="{9E8B8386-CB2B-475A-BFBF-D053123AE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428625</xdr:colOff>
      <xdr:row>92</xdr:row>
      <xdr:rowOff>38100</xdr:rowOff>
    </xdr:from>
    <xdr:to>
      <xdr:col>14</xdr:col>
      <xdr:colOff>457200</xdr:colOff>
      <xdr:row>93</xdr:row>
      <xdr:rowOff>85725</xdr:rowOff>
    </xdr:to>
    <xdr:sp macro="" textlink="">
      <xdr:nvSpPr>
        <xdr:cNvPr id="19" name="Rectangle 17">
          <a:extLst>
            <a:ext uri="{FF2B5EF4-FFF2-40B4-BE49-F238E27FC236}">
              <a16:creationId xmlns:a16="http://schemas.microsoft.com/office/drawing/2014/main" id="{2963E8C3-4A46-4F1E-B08B-23E21446CF54}"/>
            </a:ext>
          </a:extLst>
        </xdr:cNvPr>
        <xdr:cNvSpPr/>
      </xdr:nvSpPr>
      <xdr:spPr>
        <a:xfrm>
          <a:off x="6305550" y="148304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CABINAS EN OPERACIÓN Y DIAS DE OPERACIÓN</a:t>
          </a:r>
        </a:p>
      </xdr:txBody>
    </xdr:sp>
    <xdr:clientData/>
  </xdr:twoCellAnchor>
  <xdr:twoCellAnchor>
    <xdr:from>
      <xdr:col>7</xdr:col>
      <xdr:colOff>381000</xdr:colOff>
      <xdr:row>93</xdr:row>
      <xdr:rowOff>128588</xdr:rowOff>
    </xdr:from>
    <xdr:to>
      <xdr:col>14</xdr:col>
      <xdr:colOff>504825</xdr:colOff>
      <xdr:row>107</xdr:row>
      <xdr:rowOff>55563</xdr:rowOff>
    </xdr:to>
    <xdr:graphicFrame macro="">
      <xdr:nvGraphicFramePr>
        <xdr:cNvPr id="20" name="Chart 18">
          <a:extLst>
            <a:ext uri="{FF2B5EF4-FFF2-40B4-BE49-F238E27FC236}">
              <a16:creationId xmlns:a16="http://schemas.microsoft.com/office/drawing/2014/main" id="{C5D114A4-5BF3-4FE6-9A50-11BC81A78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0</xdr:row>
      <xdr:rowOff>1</xdr:rowOff>
    </xdr:from>
    <xdr:to>
      <xdr:col>1</xdr:col>
      <xdr:colOff>1371600</xdr:colOff>
      <xdr:row>3</xdr:row>
      <xdr:rowOff>149881</xdr:rowOff>
    </xdr:to>
    <xdr:pic>
      <xdr:nvPicPr>
        <xdr:cNvPr id="21" name="Picture 13">
          <a:extLst>
            <a:ext uri="{FF2B5EF4-FFF2-40B4-BE49-F238E27FC236}">
              <a16:creationId xmlns:a16="http://schemas.microsoft.com/office/drawing/2014/main" id="{CECE0D80-6567-4E72-B960-281C6CDC44E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964" r="8334" b="9460"/>
        <a:stretch/>
      </xdr:blipFill>
      <xdr:spPr bwMode="auto">
        <a:xfrm>
          <a:off x="238125" y="1"/>
          <a:ext cx="1371600" cy="6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60</xdr:row>
      <xdr:rowOff>47625</xdr:rowOff>
    </xdr:from>
    <xdr:to>
      <xdr:col>6</xdr:col>
      <xdr:colOff>561975</xdr:colOff>
      <xdr:row>61</xdr:row>
      <xdr:rowOff>95250</xdr:rowOff>
    </xdr:to>
    <xdr:sp macro="" textlink="">
      <xdr:nvSpPr>
        <xdr:cNvPr id="22" name="Rectangle 9">
          <a:extLst>
            <a:ext uri="{FF2B5EF4-FFF2-40B4-BE49-F238E27FC236}">
              <a16:creationId xmlns:a16="http://schemas.microsoft.com/office/drawing/2014/main" id="{7800FD52-D356-4174-AD32-DC2FC796E8C7}"/>
            </a:ext>
          </a:extLst>
        </xdr:cNvPr>
        <xdr:cNvSpPr/>
      </xdr:nvSpPr>
      <xdr:spPr>
        <a:xfrm>
          <a:off x="409575" y="9658350"/>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MENSUALES</a:t>
          </a:r>
        </a:p>
      </xdr:txBody>
    </xdr:sp>
    <xdr:clientData/>
  </xdr:twoCellAnchor>
  <xdr:twoCellAnchor>
    <xdr:from>
      <xdr:col>1</xdr:col>
      <xdr:colOff>171450</xdr:colOff>
      <xdr:row>76</xdr:row>
      <xdr:rowOff>38100</xdr:rowOff>
    </xdr:from>
    <xdr:to>
      <xdr:col>6</xdr:col>
      <xdr:colOff>561975</xdr:colOff>
      <xdr:row>77</xdr:row>
      <xdr:rowOff>85725</xdr:rowOff>
    </xdr:to>
    <xdr:sp macro="" textlink="">
      <xdr:nvSpPr>
        <xdr:cNvPr id="23" name="Rectangle 10">
          <a:extLst>
            <a:ext uri="{FF2B5EF4-FFF2-40B4-BE49-F238E27FC236}">
              <a16:creationId xmlns:a16="http://schemas.microsoft.com/office/drawing/2014/main" id="{7F9B18BA-CB9B-4BB5-A3D5-6444B1EEAE97}"/>
            </a:ext>
          </a:extLst>
        </xdr:cNvPr>
        <xdr:cNvSpPr/>
      </xdr:nvSpPr>
      <xdr:spPr>
        <a:xfrm>
          <a:off x="409575" y="122396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MENSUAL</a:t>
          </a:r>
        </a:p>
      </xdr:txBody>
    </xdr:sp>
    <xdr:clientData/>
  </xdr:twoCellAnchor>
  <xdr:twoCellAnchor>
    <xdr:from>
      <xdr:col>1</xdr:col>
      <xdr:colOff>171450</xdr:colOff>
      <xdr:row>92</xdr:row>
      <xdr:rowOff>38100</xdr:rowOff>
    </xdr:from>
    <xdr:to>
      <xdr:col>6</xdr:col>
      <xdr:colOff>561975</xdr:colOff>
      <xdr:row>93</xdr:row>
      <xdr:rowOff>85725</xdr:rowOff>
    </xdr:to>
    <xdr:sp macro="" textlink="">
      <xdr:nvSpPr>
        <xdr:cNvPr id="24" name="Rectangle 11">
          <a:extLst>
            <a:ext uri="{FF2B5EF4-FFF2-40B4-BE49-F238E27FC236}">
              <a16:creationId xmlns:a16="http://schemas.microsoft.com/office/drawing/2014/main" id="{8178018A-8759-4468-BE57-F0B9EB5DCC99}"/>
            </a:ext>
          </a:extLst>
        </xdr:cNvPr>
        <xdr:cNvSpPr/>
      </xdr:nvSpPr>
      <xdr:spPr>
        <a:xfrm>
          <a:off x="409575" y="148304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TARIFAS</a:t>
          </a:r>
          <a:r>
            <a:rPr lang="es-CO" sz="1050" b="1" baseline="0">
              <a:solidFill>
                <a:schemeClr val="bg1"/>
              </a:solidFill>
              <a:latin typeface="+mj-lt"/>
            </a:rPr>
            <a:t> MENSUALES</a:t>
          </a:r>
          <a:endParaRPr lang="es-CO" sz="1050" b="1">
            <a:solidFill>
              <a:schemeClr val="bg1"/>
            </a:solidFill>
            <a:latin typeface="+mj-lt"/>
          </a:endParaRPr>
        </a:p>
      </xdr:txBody>
    </xdr:sp>
    <xdr:clientData/>
  </xdr:twoCellAnchor>
  <xdr:twoCellAnchor>
    <xdr:from>
      <xdr:col>7</xdr:col>
      <xdr:colOff>428625</xdr:colOff>
      <xdr:row>60</xdr:row>
      <xdr:rowOff>47625</xdr:rowOff>
    </xdr:from>
    <xdr:to>
      <xdr:col>14</xdr:col>
      <xdr:colOff>457200</xdr:colOff>
      <xdr:row>61</xdr:row>
      <xdr:rowOff>95250</xdr:rowOff>
    </xdr:to>
    <xdr:sp macro="" textlink="">
      <xdr:nvSpPr>
        <xdr:cNvPr id="25" name="Rectangle 14">
          <a:extLst>
            <a:ext uri="{FF2B5EF4-FFF2-40B4-BE49-F238E27FC236}">
              <a16:creationId xmlns:a16="http://schemas.microsoft.com/office/drawing/2014/main" id="{62A38CBD-DC41-497B-B608-8D22823BF452}"/>
            </a:ext>
          </a:extLst>
        </xdr:cNvPr>
        <xdr:cNvSpPr/>
      </xdr:nvSpPr>
      <xdr:spPr>
        <a:xfrm>
          <a:off x="6305550" y="9658350"/>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12M</a:t>
          </a:r>
        </a:p>
      </xdr:txBody>
    </xdr:sp>
    <xdr:clientData/>
  </xdr:twoCellAnchor>
  <xdr:twoCellAnchor>
    <xdr:from>
      <xdr:col>7</xdr:col>
      <xdr:colOff>438150</xdr:colOff>
      <xdr:row>76</xdr:row>
      <xdr:rowOff>38100</xdr:rowOff>
    </xdr:from>
    <xdr:to>
      <xdr:col>14</xdr:col>
      <xdr:colOff>466725</xdr:colOff>
      <xdr:row>77</xdr:row>
      <xdr:rowOff>85725</xdr:rowOff>
    </xdr:to>
    <xdr:sp macro="" textlink="">
      <xdr:nvSpPr>
        <xdr:cNvPr id="26" name="Rectangle 15">
          <a:extLst>
            <a:ext uri="{FF2B5EF4-FFF2-40B4-BE49-F238E27FC236}">
              <a16:creationId xmlns:a16="http://schemas.microsoft.com/office/drawing/2014/main" id="{DB10F4F5-4C6A-4146-AE54-C3B6CFF1F8C1}"/>
            </a:ext>
          </a:extLst>
        </xdr:cNvPr>
        <xdr:cNvSpPr/>
      </xdr:nvSpPr>
      <xdr:spPr>
        <a:xfrm>
          <a:off x="6315075" y="122396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12M</a:t>
          </a:r>
        </a:p>
      </xdr:txBody>
    </xdr:sp>
    <xdr:clientData/>
  </xdr:twoCellAnchor>
  <xdr:twoCellAnchor>
    <xdr:from>
      <xdr:col>7</xdr:col>
      <xdr:colOff>428625</xdr:colOff>
      <xdr:row>92</xdr:row>
      <xdr:rowOff>38100</xdr:rowOff>
    </xdr:from>
    <xdr:to>
      <xdr:col>14</xdr:col>
      <xdr:colOff>457200</xdr:colOff>
      <xdr:row>93</xdr:row>
      <xdr:rowOff>85725</xdr:rowOff>
    </xdr:to>
    <xdr:sp macro="" textlink="">
      <xdr:nvSpPr>
        <xdr:cNvPr id="27" name="Rectangle 17">
          <a:extLst>
            <a:ext uri="{FF2B5EF4-FFF2-40B4-BE49-F238E27FC236}">
              <a16:creationId xmlns:a16="http://schemas.microsoft.com/office/drawing/2014/main" id="{BE7D0DD3-1D52-48A2-BACC-FF7075603A98}"/>
            </a:ext>
          </a:extLst>
        </xdr:cNvPr>
        <xdr:cNvSpPr/>
      </xdr:nvSpPr>
      <xdr:spPr>
        <a:xfrm>
          <a:off x="6305550" y="148304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CABINAS EN OPERACIÓN Y DIAS DE OPERACIÓN</a:t>
          </a:r>
        </a:p>
      </xdr:txBody>
    </xdr:sp>
    <xdr:clientData/>
  </xdr:twoCellAnchor>
  <xdr:twoCellAnchor editAs="oneCell">
    <xdr:from>
      <xdr:col>1</xdr:col>
      <xdr:colOff>0</xdr:colOff>
      <xdr:row>0</xdr:row>
      <xdr:rowOff>1</xdr:rowOff>
    </xdr:from>
    <xdr:to>
      <xdr:col>1</xdr:col>
      <xdr:colOff>1371600</xdr:colOff>
      <xdr:row>3</xdr:row>
      <xdr:rowOff>149881</xdr:rowOff>
    </xdr:to>
    <xdr:pic>
      <xdr:nvPicPr>
        <xdr:cNvPr id="28" name="Picture 13">
          <a:extLst>
            <a:ext uri="{FF2B5EF4-FFF2-40B4-BE49-F238E27FC236}">
              <a16:creationId xmlns:a16="http://schemas.microsoft.com/office/drawing/2014/main" id="{BE810EE4-A97A-4585-B38C-BAB8C19F0E8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964" r="8334" b="9460"/>
        <a:stretch/>
      </xdr:blipFill>
      <xdr:spPr bwMode="auto">
        <a:xfrm>
          <a:off x="238125" y="1"/>
          <a:ext cx="1371600" cy="6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60</xdr:row>
      <xdr:rowOff>47625</xdr:rowOff>
    </xdr:from>
    <xdr:to>
      <xdr:col>6</xdr:col>
      <xdr:colOff>561975</xdr:colOff>
      <xdr:row>61</xdr:row>
      <xdr:rowOff>95250</xdr:rowOff>
    </xdr:to>
    <xdr:sp macro="" textlink="">
      <xdr:nvSpPr>
        <xdr:cNvPr id="29" name="Rectangle 9">
          <a:extLst>
            <a:ext uri="{FF2B5EF4-FFF2-40B4-BE49-F238E27FC236}">
              <a16:creationId xmlns:a16="http://schemas.microsoft.com/office/drawing/2014/main" id="{74495CFC-D4F0-4331-A62C-DB8FE4BC84DE}"/>
            </a:ext>
          </a:extLst>
        </xdr:cNvPr>
        <xdr:cNvSpPr/>
      </xdr:nvSpPr>
      <xdr:spPr>
        <a:xfrm>
          <a:off x="409575" y="9658350"/>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MENSUALES</a:t>
          </a:r>
        </a:p>
      </xdr:txBody>
    </xdr:sp>
    <xdr:clientData/>
  </xdr:twoCellAnchor>
  <xdr:twoCellAnchor>
    <xdr:from>
      <xdr:col>1</xdr:col>
      <xdr:colOff>171450</xdr:colOff>
      <xdr:row>76</xdr:row>
      <xdr:rowOff>38100</xdr:rowOff>
    </xdr:from>
    <xdr:to>
      <xdr:col>6</xdr:col>
      <xdr:colOff>561975</xdr:colOff>
      <xdr:row>77</xdr:row>
      <xdr:rowOff>85725</xdr:rowOff>
    </xdr:to>
    <xdr:sp macro="" textlink="">
      <xdr:nvSpPr>
        <xdr:cNvPr id="30" name="Rectangle 10">
          <a:extLst>
            <a:ext uri="{FF2B5EF4-FFF2-40B4-BE49-F238E27FC236}">
              <a16:creationId xmlns:a16="http://schemas.microsoft.com/office/drawing/2014/main" id="{A2FA1A38-B231-4078-AD24-749414F801B8}"/>
            </a:ext>
          </a:extLst>
        </xdr:cNvPr>
        <xdr:cNvSpPr/>
      </xdr:nvSpPr>
      <xdr:spPr>
        <a:xfrm>
          <a:off x="409575" y="122396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MENSUAL</a:t>
          </a:r>
        </a:p>
      </xdr:txBody>
    </xdr:sp>
    <xdr:clientData/>
  </xdr:twoCellAnchor>
  <xdr:twoCellAnchor>
    <xdr:from>
      <xdr:col>1</xdr:col>
      <xdr:colOff>171450</xdr:colOff>
      <xdr:row>92</xdr:row>
      <xdr:rowOff>38100</xdr:rowOff>
    </xdr:from>
    <xdr:to>
      <xdr:col>6</xdr:col>
      <xdr:colOff>561975</xdr:colOff>
      <xdr:row>93</xdr:row>
      <xdr:rowOff>85725</xdr:rowOff>
    </xdr:to>
    <xdr:sp macro="" textlink="">
      <xdr:nvSpPr>
        <xdr:cNvPr id="31" name="Rectangle 11">
          <a:extLst>
            <a:ext uri="{FF2B5EF4-FFF2-40B4-BE49-F238E27FC236}">
              <a16:creationId xmlns:a16="http://schemas.microsoft.com/office/drawing/2014/main" id="{4C1FF7C7-A1F5-4F7D-8C3E-FF054D2E3719}"/>
            </a:ext>
          </a:extLst>
        </xdr:cNvPr>
        <xdr:cNvSpPr/>
      </xdr:nvSpPr>
      <xdr:spPr>
        <a:xfrm>
          <a:off x="409575" y="14830425"/>
          <a:ext cx="536257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TARIFAS</a:t>
          </a:r>
          <a:r>
            <a:rPr lang="es-CO" sz="1050" b="1" baseline="0">
              <a:solidFill>
                <a:schemeClr val="bg1"/>
              </a:solidFill>
              <a:latin typeface="+mj-lt"/>
            </a:rPr>
            <a:t> MENSUALES</a:t>
          </a:r>
          <a:endParaRPr lang="es-CO" sz="1050" b="1">
            <a:solidFill>
              <a:schemeClr val="bg1"/>
            </a:solidFill>
            <a:latin typeface="+mj-lt"/>
          </a:endParaRPr>
        </a:p>
      </xdr:txBody>
    </xdr:sp>
    <xdr:clientData/>
  </xdr:twoCellAnchor>
  <xdr:twoCellAnchor>
    <xdr:from>
      <xdr:col>7</xdr:col>
      <xdr:colOff>388938</xdr:colOff>
      <xdr:row>62</xdr:row>
      <xdr:rowOff>71438</xdr:rowOff>
    </xdr:from>
    <xdr:to>
      <xdr:col>14</xdr:col>
      <xdr:colOff>512763</xdr:colOff>
      <xdr:row>76</xdr:row>
      <xdr:rowOff>7938</xdr:rowOff>
    </xdr:to>
    <xdr:graphicFrame macro="">
      <xdr:nvGraphicFramePr>
        <xdr:cNvPr id="32" name="Chart 13">
          <a:extLst>
            <a:ext uri="{FF2B5EF4-FFF2-40B4-BE49-F238E27FC236}">
              <a16:creationId xmlns:a16="http://schemas.microsoft.com/office/drawing/2014/main" id="{CA7D59D2-00C8-454F-A56F-7F1FE8325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428625</xdr:colOff>
      <xdr:row>60</xdr:row>
      <xdr:rowOff>47625</xdr:rowOff>
    </xdr:from>
    <xdr:to>
      <xdr:col>14</xdr:col>
      <xdr:colOff>457200</xdr:colOff>
      <xdr:row>61</xdr:row>
      <xdr:rowOff>95250</xdr:rowOff>
    </xdr:to>
    <xdr:sp macro="" textlink="">
      <xdr:nvSpPr>
        <xdr:cNvPr id="33" name="Rectangle 14">
          <a:extLst>
            <a:ext uri="{FF2B5EF4-FFF2-40B4-BE49-F238E27FC236}">
              <a16:creationId xmlns:a16="http://schemas.microsoft.com/office/drawing/2014/main" id="{E4BA156F-2B3D-436D-8190-9A59F3A9F74D}"/>
            </a:ext>
          </a:extLst>
        </xdr:cNvPr>
        <xdr:cNvSpPr/>
      </xdr:nvSpPr>
      <xdr:spPr>
        <a:xfrm>
          <a:off x="6305550" y="9658350"/>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INGRESOS 12M</a:t>
          </a:r>
        </a:p>
      </xdr:txBody>
    </xdr:sp>
    <xdr:clientData/>
  </xdr:twoCellAnchor>
  <xdr:twoCellAnchor>
    <xdr:from>
      <xdr:col>7</xdr:col>
      <xdr:colOff>438150</xdr:colOff>
      <xdr:row>76</xdr:row>
      <xdr:rowOff>38100</xdr:rowOff>
    </xdr:from>
    <xdr:to>
      <xdr:col>14</xdr:col>
      <xdr:colOff>466725</xdr:colOff>
      <xdr:row>77</xdr:row>
      <xdr:rowOff>85725</xdr:rowOff>
    </xdr:to>
    <xdr:sp macro="" textlink="">
      <xdr:nvSpPr>
        <xdr:cNvPr id="34" name="Rectangle 15">
          <a:extLst>
            <a:ext uri="{FF2B5EF4-FFF2-40B4-BE49-F238E27FC236}">
              <a16:creationId xmlns:a16="http://schemas.microsoft.com/office/drawing/2014/main" id="{1077E475-15BD-4866-9322-1ED109283950}"/>
            </a:ext>
          </a:extLst>
        </xdr:cNvPr>
        <xdr:cNvSpPr/>
      </xdr:nvSpPr>
      <xdr:spPr>
        <a:xfrm>
          <a:off x="6315075" y="122396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EBITDA 12M</a:t>
          </a:r>
        </a:p>
      </xdr:txBody>
    </xdr:sp>
    <xdr:clientData/>
  </xdr:twoCellAnchor>
  <xdr:twoCellAnchor>
    <xdr:from>
      <xdr:col>7</xdr:col>
      <xdr:colOff>390525</xdr:colOff>
      <xdr:row>78</xdr:row>
      <xdr:rowOff>47625</xdr:rowOff>
    </xdr:from>
    <xdr:to>
      <xdr:col>14</xdr:col>
      <xdr:colOff>514350</xdr:colOff>
      <xdr:row>91</xdr:row>
      <xdr:rowOff>133350</xdr:rowOff>
    </xdr:to>
    <xdr:graphicFrame macro="">
      <xdr:nvGraphicFramePr>
        <xdr:cNvPr id="35" name="Chart 16">
          <a:extLst>
            <a:ext uri="{FF2B5EF4-FFF2-40B4-BE49-F238E27FC236}">
              <a16:creationId xmlns:a16="http://schemas.microsoft.com/office/drawing/2014/main" id="{B077DBBE-4A81-4E44-9717-1988610CF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428625</xdr:colOff>
      <xdr:row>92</xdr:row>
      <xdr:rowOff>38100</xdr:rowOff>
    </xdr:from>
    <xdr:to>
      <xdr:col>14</xdr:col>
      <xdr:colOff>457200</xdr:colOff>
      <xdr:row>93</xdr:row>
      <xdr:rowOff>85725</xdr:rowOff>
    </xdr:to>
    <xdr:sp macro="" textlink="">
      <xdr:nvSpPr>
        <xdr:cNvPr id="36" name="Rectangle 17">
          <a:extLst>
            <a:ext uri="{FF2B5EF4-FFF2-40B4-BE49-F238E27FC236}">
              <a16:creationId xmlns:a16="http://schemas.microsoft.com/office/drawing/2014/main" id="{033912C1-B962-43FB-8668-697D1CEA043E}"/>
            </a:ext>
          </a:extLst>
        </xdr:cNvPr>
        <xdr:cNvSpPr/>
      </xdr:nvSpPr>
      <xdr:spPr>
        <a:xfrm>
          <a:off x="6305550" y="14830425"/>
          <a:ext cx="4695825" cy="209550"/>
        </a:xfrm>
        <a:prstGeom prst="rect">
          <a:avLst/>
        </a:prstGeom>
        <a:solidFill>
          <a:srgbClr val="C00000"/>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1050" b="1">
              <a:solidFill>
                <a:schemeClr val="bg1"/>
              </a:solidFill>
              <a:latin typeface="+mj-lt"/>
            </a:rPr>
            <a:t>CABINAS EN OPERACIÓN Y DIAS DE OPERACIÓN</a:t>
          </a:r>
        </a:p>
      </xdr:txBody>
    </xdr:sp>
    <xdr:clientData/>
  </xdr:twoCellAnchor>
  <xdr:twoCellAnchor>
    <xdr:from>
      <xdr:col>7</xdr:col>
      <xdr:colOff>381000</xdr:colOff>
      <xdr:row>93</xdr:row>
      <xdr:rowOff>128588</xdr:rowOff>
    </xdr:from>
    <xdr:to>
      <xdr:col>14</xdr:col>
      <xdr:colOff>504825</xdr:colOff>
      <xdr:row>107</xdr:row>
      <xdr:rowOff>55563</xdr:rowOff>
    </xdr:to>
    <xdr:graphicFrame macro="">
      <xdr:nvGraphicFramePr>
        <xdr:cNvPr id="37" name="Chart 18">
          <a:extLst>
            <a:ext uri="{FF2B5EF4-FFF2-40B4-BE49-F238E27FC236}">
              <a16:creationId xmlns:a16="http://schemas.microsoft.com/office/drawing/2014/main" id="{E8A1F0F8-30D3-4CF9-8D64-F5C83CC3E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0</xdr:colOff>
      <xdr:row>0</xdr:row>
      <xdr:rowOff>1</xdr:rowOff>
    </xdr:from>
    <xdr:to>
      <xdr:col>1</xdr:col>
      <xdr:colOff>1371600</xdr:colOff>
      <xdr:row>3</xdr:row>
      <xdr:rowOff>149881</xdr:rowOff>
    </xdr:to>
    <xdr:pic>
      <xdr:nvPicPr>
        <xdr:cNvPr id="38" name="Picture 13">
          <a:extLst>
            <a:ext uri="{FF2B5EF4-FFF2-40B4-BE49-F238E27FC236}">
              <a16:creationId xmlns:a16="http://schemas.microsoft.com/office/drawing/2014/main" id="{932FA176-FDCE-4880-85F8-7ACEA7484D8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964" r="8334" b="9460"/>
        <a:stretch/>
      </xdr:blipFill>
      <xdr:spPr bwMode="auto">
        <a:xfrm>
          <a:off x="238125" y="1"/>
          <a:ext cx="1371600" cy="6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19050</xdr:colOff>
      <xdr:row>3</xdr:row>
      <xdr:rowOff>111216</xdr:rowOff>
    </xdr:to>
    <xdr:pic>
      <xdr:nvPicPr>
        <xdr:cNvPr id="2" name="Picture 1">
          <a:extLst>
            <a:ext uri="{FF2B5EF4-FFF2-40B4-BE49-F238E27FC236}">
              <a16:creationId xmlns:a16="http://schemas.microsoft.com/office/drawing/2014/main" id="{41A03F4D-0612-4BE1-A2AB-F91A214F8B3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19050</xdr:colOff>
      <xdr:row>3</xdr:row>
      <xdr:rowOff>111216</xdr:rowOff>
    </xdr:to>
    <xdr:pic>
      <xdr:nvPicPr>
        <xdr:cNvPr id="3" name="Picture 1">
          <a:extLst>
            <a:ext uri="{FF2B5EF4-FFF2-40B4-BE49-F238E27FC236}">
              <a16:creationId xmlns:a16="http://schemas.microsoft.com/office/drawing/2014/main" id="{02C79DE5-2B59-4A51-823D-1E250FE470A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4" r="8334" b="9460"/>
        <a:stretch/>
      </xdr:blipFill>
      <xdr:spPr bwMode="auto">
        <a:xfrm>
          <a:off x="219075" y="0"/>
          <a:ext cx="1390650" cy="654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sequitypartners.sharepoint.com/Hmvmednas/Preingenieria/Documents%20and%20Settings/crendon.HMV/Local%20Settings/Temporary%20Internet%20Files/OLK3/85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asequitypartners.sharepoint.com/Users/jcortes/Documents/KKO/Modelo%20oct%2012/121024-%20Promotora%20M&#233;dica%20Mode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MAS%20Colombia%20LatAm\Inversiones\2.%20Portafolio\PMLA\2.%20Inversion\6.%20Modelo%20financiero\1.%20Modelo%20Valoraci&#243;n\PMLA%20EEFF%20(seguimiento%20filiales)%20NII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asequitypartners.sharepoint.com/Tgtfileserver/publico/Luis%20Eduardo%20Ni&#241;o%20T/Inversiones/INFORME%20SUPER/BASES%20DE%20DATOS/EEFF%20EMPRESAS%20-%20MEV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asequitypartners.sharepoint.com/MAS%20Colombia%20LatAm/Inversiones/2.%20Portafolio/Conboca/Modelo%20Financiero/Anual/130619%20-%20Conboca%20Model%20v%200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asequitypartners.sharepoint.com/MAS%20Colombia%20LatAm/Inversiones/2.%20Portafolio/TGT%20Gamas/2.%20Inversion/6.%20Modelo%20Financiero/Modelo%20Actual/131202-Conboca%20Fin%20Model%20v.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asequitypartners.sharepoint.com/MAS%20Colombia%20LatAm/Inversiones/1.%20Pipeline/OPL/1.%20Preinvestment/Model/131107-OPL%20Fin%20Model%20V.16.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asequitypartners.sharepoint.com/Tgtfileserver/publico/MAS%20Colombia%20LatAm/Inversiones/1.%20Pipeline/1.%20Pipeline%20Development/Meetings/Pipeline%20Meeting%20No.%2050/1%20-%20Pipeline%20MAS%20Colombia-LatAm%20new%20versi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asequitypartners.sharepoint.com/MAS%20Colombia%20LatAm/Inversiones/1.%20Pipeline/1.%20Pipeline%20Development/Meetings/Pipeline%20Meeting%20No.%2050/1%20-%20Pipeline%20MAS%20Colombia-LatAm%20new%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asequitypartners.sharepoint.com/Inversiones/1.%20Pipeline/Drift/Modelo/120508%20-%20Modelo%20Dri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MAS%20Colombia%20LatAm\Inversiones\2.%20Portafolio\Dientes\Dama-Seaf\Dama%20Salud\12%20%20EF%20DAMASALUD%20-%20DICIEMBRE%2015%20final%20Revisad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asequitypartners.sharepoint.com/Users/aechavarria/Desktop/Sonr&#237;a/140805%20Sonria%20Financial%20Model%20V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asequitypartners.sharepoint.com/MAS%20Colombia%20LatAm/Inversiones/2.%20Portafolio/Conboca/1.%20Pre-Investment/Modelos/120724%20-%20Modelo%20KKO%20v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asequitypartners.sharepoint.com/personal/jparboleda_mas-equity_com/Documents/JPA/Documents/Spectra%20-%20Information%20Request/TGT/Projections/200715-1000-%20%20Real%20+%20Forecast%20Junio%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asequitypartners.sharepoint.com/Access/MAS%20Colombia%20LatAm/Inversiones/2.%20Portafolio/Conboca/Target%20Companies/Archies/130225%20Archies%20FinModel%20V.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AS%20Colombia%20LatAm\Inversiones\2.%20Portafolio\Dientes\Dama-Seaf\Diciembre%20Malo\12.%20%20Estados%20Financieros%20Western%20Diciembre%202015%20ppto%20Ultim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asequitypartners.sharepoint.com/Users/jcortes/Documents/PMA/Modelo/57%20stars/130131-%20PMLA%20Model%20v35000%20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 val="46W9_Cuadro_de_costos"/>
      <sheetName val="46W9_ASPECTOS_ELECTRICOS"/>
      <sheetName val="46W9_OBRAS_CIVILES"/>
      <sheetName val="46W9_Costo_directos"/>
      <sheetName val="46W9_Resumen_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Inv Return"/>
      <sheetName val="DCF Valuation"/>
      <sheetName val="Consolidation =&gt;"/>
      <sheetName val="Ratios"/>
      <sheetName val="Financial Summary"/>
      <sheetName val="Consolidated BS"/>
      <sheetName val="Consolidated IS"/>
      <sheetName val="Consolidated CF"/>
      <sheetName val="Consolidated Projections"/>
      <sheetName val="BS Consolidation"/>
      <sheetName val="IS Consolidation"/>
      <sheetName val="Promotora =&gt;"/>
      <sheetName val="PMLA BS"/>
      <sheetName val="PMLA IS"/>
      <sheetName val="PMLA CF"/>
      <sheetName val="PMLA Drivers"/>
      <sheetName val="Cancerología =&gt;"/>
      <sheetName val="Cancerologia BS"/>
      <sheetName val="Cancerologia IS"/>
      <sheetName val="Cancerologia CF"/>
      <sheetName val="Cancerologia Drivers"/>
      <sheetName val="Laboratorio =&gt;"/>
      <sheetName val="Laboratorio BS"/>
      <sheetName val="Laboratorio IS"/>
      <sheetName val="Laboratorio CF"/>
      <sheetName val="Laboratorio Drivers"/>
      <sheetName val="Patologia =&gt;"/>
      <sheetName val="Patologia BS"/>
      <sheetName val="Patologia IS"/>
      <sheetName val="Patologia CF"/>
      <sheetName val="Patologia Drivers"/>
      <sheetName val="Salud Oral =&gt;"/>
      <sheetName val="Salud Oral BS"/>
      <sheetName val="Salud Oral IS"/>
      <sheetName val="Salud Oral CF"/>
      <sheetName val="Salud Oral Drivers"/>
      <sheetName val="CdS =&gt;"/>
      <sheetName val="CdS BS"/>
      <sheetName val="CdS IS"/>
      <sheetName val="CdS CF"/>
      <sheetName val="CdS Driver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s --&gt;"/>
      <sheetName val="Output 1 IT"/>
      <sheetName val="Output 1 Anual"/>
      <sheetName val="Output 2 combinado"/>
      <sheetName val="Proxi - Consolidado"/>
      <sheetName val="Grafica IT"/>
      <sheetName val="Filiales"/>
      <sheetName val="Filiales (2)"/>
      <sheetName val="Resumen empresas"/>
      <sheetName val="Grupo Empresarial &gt;&gt;"/>
      <sheetName val="Segto 1"/>
      <sheetName val="Segto 2"/>
      <sheetName val="Consolidated"/>
      <sheetName val="Combined-MM STUB-100%"/>
      <sheetName val="Combined-MM STUB-%"/>
      <sheetName val="CLA"/>
      <sheetName val="CLA-MM STUB"/>
      <sheetName val="CLA-MM ACUM"/>
      <sheetName val="CLA-MM"/>
      <sheetName val="CLA-MM BASE"/>
      <sheetName val="IDC"/>
      <sheetName val="IdC-MM STUB"/>
      <sheetName val="LAB"/>
      <sheetName val="LAB-MM STUB"/>
      <sheetName val="CDS"/>
      <sheetName val="CdS-MM STUB"/>
      <sheetName val="PAT"/>
      <sheetName val="PAT-MM STUB"/>
      <sheetName val="SO"/>
      <sheetName val="SO-MM STUB"/>
      <sheetName val="OTROS &gt;&gt;&gt;"/>
      <sheetName val="Owned Percentage"/>
      <sheetName val="FS"/>
      <sheetName val="FS-MM STUB"/>
      <sheetName val="Valoracion Multip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EMPRESAS"/>
      <sheetName val="BALANCES"/>
      <sheetName val="PYGS"/>
      <sheetName val="CONT. INV. NO NEGOCIABLES"/>
      <sheetName val="CONT. INV. PERMANENTES"/>
      <sheetName val="CONT. INV. NEGOCIABLES"/>
      <sheetName val="CONT. INV. DER. FIDUCIARIOS"/>
      <sheetName val="CONT. INV. DISP.-VENTA BB 033"/>
      <sheetName val="CONT. INV. DISP.-VENTA MB 033"/>
      <sheetName val="CONT. INV. NEGOCIABLE 033"/>
      <sheetName val="CONT. INV. DER. FIDUCIARIOS 033"/>
      <sheetName val="V. Intrin. Historicos"/>
      <sheetName val="EEFF SECTORES"/>
      <sheetName val="JUNTAS Y DEMAS"/>
      <sheetName val="BALANCE"/>
      <sheetName val="PYG"/>
      <sheetName val="VALOR INTRINSECO"/>
      <sheetName val="CONTABILIZACION CFC"/>
      <sheetName val="CONTABILIZACION CFC 033"/>
      <sheetName val="EFECTOS PYG"/>
      <sheetName val="EFECTOS PYG 033"/>
      <sheetName val="INDICADORES"/>
      <sheetName val="FORMATO C.I"/>
      <sheetName val="DATOS BASES"/>
      <sheetName val="ResumenContable"/>
      <sheetName val="HOJA 3.2 - Informe"/>
      <sheetName val="HOJA 3 - Informe"/>
      <sheetName val="Hoja1 Informe"/>
      <sheetName val="Hoja 2 Informe"/>
      <sheetName val="Formato_D&amp;F"/>
      <sheetName val="Datos"/>
      <sheetName val="Paramet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Inv Return"/>
      <sheetName val="Conboca Cons =&gt;"/>
      <sheetName val="Conboca DCF Valuation"/>
      <sheetName val="Conboca Cons Drivers"/>
      <sheetName val="Conboca Cons BS"/>
      <sheetName val="Conboca Cons IS"/>
      <sheetName val="Conboca Cons CF"/>
      <sheetName val="Conboca Operating Sumary"/>
      <sheetName val="Conboca Cons Ratios &amp; Summary"/>
      <sheetName val="Conboca =&gt;"/>
      <sheetName val="Conboca Drivers"/>
      <sheetName val="Conboca BS"/>
      <sheetName val="Conboca IS"/>
      <sheetName val="Conboca CF"/>
      <sheetName val="Avesco =&gt;"/>
      <sheetName val="Avesco Drivers"/>
      <sheetName val="Avesco BS"/>
      <sheetName val="Avesco IS"/>
      <sheetName val="Avesco CF"/>
      <sheetName val="Avesco Ratios &amp; Summary"/>
      <sheetName val="Avinco =&gt;"/>
      <sheetName val="Avinco Drivers"/>
      <sheetName val="Avinco BS"/>
      <sheetName val="Avinco IS"/>
      <sheetName val="Avinco CF"/>
      <sheetName val="Avinco Ratios &amp; Summary"/>
      <sheetName val="Arka =&gt;"/>
      <sheetName val="Arka Drivers"/>
      <sheetName val="Arka BS"/>
      <sheetName val="Arka IS"/>
      <sheetName val="Arka CF"/>
      <sheetName val="Arka Ratios &amp; Summary"/>
      <sheetName val="Mimos =&gt;"/>
      <sheetName val="Mimos Drivers"/>
      <sheetName val="Mimos BS"/>
      <sheetName val="Mimos IS"/>
      <sheetName val="Mimos CF"/>
      <sheetName val="Mimos Ratios &amp; Summary"/>
      <sheetName val="PdM =&gt;"/>
      <sheetName val="PdM Drivers"/>
      <sheetName val="PdM BS"/>
      <sheetName val="PdM IS"/>
      <sheetName val="PdM CF"/>
      <sheetName val="PdM Ratios &amp; Summary"/>
      <sheetName val="Colon =&gt;"/>
      <sheetName val="Colon Drivers"/>
      <sheetName val="Colon BS"/>
      <sheetName val="Colon IS"/>
      <sheetName val="Colon CF"/>
      <sheetName val="Colon Ratios &amp;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Inv Return"/>
      <sheetName val="Valuation"/>
      <sheetName val="Conboca Annual FS"/>
      <sheetName val="Conboca Ratios"/>
      <sheetName val="Conboca Drivers"/>
      <sheetName val="Avesco =&gt;"/>
      <sheetName val="Avesco Annual FS"/>
      <sheetName val="Avesco Monthly FS"/>
      <sheetName val="Avesco Drivers"/>
      <sheetName val="Avinco =&gt;"/>
      <sheetName val="Avinco Annual FS"/>
      <sheetName val="Avinco Monthly FS"/>
      <sheetName val="Avinco Drivers"/>
      <sheetName val="Arka =&gt;"/>
      <sheetName val="Arka Annual FS"/>
      <sheetName val="Arka Monthly FS"/>
      <sheetName val="Arka Drivers"/>
      <sheetName val="Mimos =&gt;"/>
      <sheetName val="Mimos Annual FS"/>
      <sheetName val="Mimos Monthly FS"/>
      <sheetName val="Mimos Drivers"/>
      <sheetName val="Palos=&gt;"/>
      <sheetName val="Palos Annual FS"/>
      <sheetName val="Palos Monthly FS"/>
      <sheetName val="Palos Drivers"/>
      <sheetName val="Colon=&gt;"/>
      <sheetName val="Colon Annual FS"/>
      <sheetName val="Colon Monthly FS"/>
      <sheetName val="Colon 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Investment return"/>
      <sheetName val="Valuation"/>
      <sheetName val="Comps"/>
      <sheetName val="M&amp;A"/>
      <sheetName val="Consolidated =&gt;"/>
      <sheetName val="Consolidated FinSta"/>
      <sheetName val="Consolidated Drivers"/>
      <sheetName val="Consolidated Ratios"/>
      <sheetName val="Operating Summary"/>
      <sheetName val="Carga =&gt;"/>
      <sheetName val="Carga FinSta"/>
      <sheetName val="Carga Drivers"/>
      <sheetName val="Cargo Ratios"/>
      <sheetName val="PCL =&gt;"/>
      <sheetName val="PCL FinSta"/>
      <sheetName val="PCL Drivers"/>
      <sheetName val="PCL Ratios"/>
      <sheetName val="Logistica =&gt;"/>
      <sheetName val="Logistica FinSta"/>
      <sheetName val="Logistica Drivers"/>
      <sheetName val="Logistica Ratios"/>
      <sheetName val="Trailers =&gt;"/>
      <sheetName val="Trailers FinSta"/>
      <sheetName val="Trailers Drivers"/>
      <sheetName val="Trailers Ratios"/>
      <sheetName val="Valuation Trailers"/>
      <sheetName val="Marias =&gt;"/>
      <sheetName val="Marias FinSta"/>
      <sheetName val="Marias Drivers"/>
      <sheetName val="Marias Valuation"/>
      <sheetName val="Charts=&gt;"/>
      <sheetName val="Value creation"/>
      <sheetName val="Rev. Value creation"/>
      <sheetName val="Margins  Value creation"/>
      <sheetName val="Gross margin buildup"/>
      <sheetName val="Gross Margin"/>
      <sheetName val="Revenue breakdown"/>
      <sheetName val="Gross Rev Composition"/>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ipeline"/>
      <sheetName val="Summary"/>
      <sheetName val="Workload"/>
      <sheetName val="Sheet1"/>
      <sheetName val="Data"/>
      <sheetName val="Sheet3"/>
      <sheetName val="Dealflow"/>
      <sheetName val="Proparco"/>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ipeline"/>
      <sheetName val="Summary"/>
      <sheetName val="Workload"/>
      <sheetName val="Sheet1"/>
      <sheetName val="Data"/>
      <sheetName val="Sheet3"/>
      <sheetName val="Dealflow"/>
      <sheetName val="Proparco"/>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Structure"/>
      <sheetName val="InvReturn"/>
      <sheetName val="DCF Valuation"/>
      <sheetName val="Financial Summary"/>
      <sheetName val="Drivers"/>
      <sheetName val="IncStat"/>
      <sheetName val="BceSheet"/>
      <sheetName val="CFlow"/>
      <sheetName val="Ratios"/>
      <sheetName val="Debt"/>
      <sheetName val="Coiled Tubing"/>
      <sheetName val="CTD Petros"/>
      <sheetName val="CTD Petros F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Balance"/>
      <sheetName val="P&amp;G"/>
      <sheetName val="BAL"/>
      <sheetName val="PYG"/>
      <sheetName val="Presupuesto"/>
      <sheetName val="2010"/>
      <sheetName val="2011"/>
      <sheetName val="2012"/>
      <sheetName val="Acumulado2013"/>
      <sheetName val="Acumulado2014"/>
      <sheetName val="Acumulado2015"/>
      <sheetName val="SUFICIENCIA PAT"/>
      <sheetName val="Reclasif x Gestion 2012"/>
      <sheetName val="Reclasif x Gestion 2011"/>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Summary"/>
      <sheetName val="Graphs"/>
      <sheetName val="Combinado"/>
      <sheetName val="Investment return"/>
      <sheetName val="Valuation Dama"/>
      <sheetName val="EF Dama"/>
      <sheetName val="_CIQHiddenCacheSheet"/>
      <sheetName val="Drivers Dama"/>
      <sheetName val="Dama Graphs"/>
      <sheetName val="Dama Summary"/>
      <sheetName val="Mexico EF COP"/>
      <sheetName val="Mexico EF MXN"/>
      <sheetName val="Valuation Mexico"/>
      <sheetName val="Mexico Drivers"/>
      <sheetName val="Mexico revenue"/>
      <sheetName val="Mexico Summary "/>
      <sheetName val="Mexico Graphs"/>
      <sheetName val="EF Colordent"/>
      <sheetName val="EF Malo - Western"/>
      <sheetName val="Valuation Franchises"/>
      <sheetName val="Franquicias Summary"/>
      <sheetName val="EF Franqucias Total"/>
      <sheetName val="Drivers Franquicias"/>
      <sheetName val="EF Sinu"/>
      <sheetName val="EF Norte"/>
      <sheetName val="EF Llano"/>
      <sheetName val="EF Rioacha"/>
      <sheetName val="EF Sur"/>
      <sheetName val="M&amp;A"/>
      <sheetName val="Public"/>
      <sheetName val="Participaciones"/>
      <sheetName val="Comp. accionista"/>
      <sheetName val="Proyecciones SZ y profit"/>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Control Panel"/>
      <sheetName val="Results ==&gt;"/>
      <sheetName val="Financial Summary"/>
      <sheetName val="Operating Summary"/>
      <sheetName val="InvReturn"/>
      <sheetName val="DCF Valuation"/>
      <sheetName val="Use or Funds"/>
      <sheetName val="Charts"/>
      <sheetName val="Consolidation ==&gt;"/>
      <sheetName val="Consolidated BS"/>
      <sheetName val="Consolidated IS"/>
      <sheetName val="Consolidated CF"/>
      <sheetName val="Consolidation Adjustments"/>
      <sheetName val="Target 1 Synergies"/>
      <sheetName val="Target 2 Synergies"/>
      <sheetName val="BS Consolidation"/>
      <sheetName val="Kokoriko"/>
      <sheetName val="Kokoriko DCF Valuation"/>
      <sheetName val="Kokoriko BS"/>
      <sheetName val="Kokoriko IS"/>
      <sheetName val="Kokoriko CF"/>
      <sheetName val="Drivers Kokoriko"/>
      <sheetName val="Kokoriko Leases Adjustments"/>
      <sheetName val="Projections per outlet"/>
      <sheetName val="PDM"/>
      <sheetName val="PDM BS"/>
      <sheetName val="PDM IS"/>
      <sheetName val="PDM CF"/>
      <sheetName val="Drivers PDM"/>
      <sheetName val="COLON"/>
      <sheetName val="COLON BS"/>
      <sheetName val="COLON IS"/>
      <sheetName val="COLON CF"/>
      <sheetName val="Drivers COLON"/>
      <sheetName val="Mimo's"/>
      <sheetName val="Mimos BS"/>
      <sheetName val="Mimos IS"/>
      <sheetName val="Mimos CF"/>
      <sheetName val="Drivers Mimos"/>
      <sheetName val="Stand Alone Chicken Companies"/>
      <sheetName val="AVESCO BS"/>
      <sheetName val="AVESCO IS"/>
      <sheetName val="AVINCO BS"/>
      <sheetName val="AVINCO IS"/>
      <sheetName val="ARKA BS"/>
      <sheetName val="ARKA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 Mes"/>
      <sheetName val="Ing - cos - gas"/>
      <sheetName val="Graficos Op"/>
      <sheetName val="Graficos P&amp;G real"/>
      <sheetName val="Otros Gra"/>
      <sheetName val="Flujo caja (4 und)"/>
      <sheetName val="P&amp;G"/>
      <sheetName val="Balance 2019"/>
      <sheetName val="PyG (proyectos res)"/>
      <sheetName val="P&amp;G (Proyectos)"/>
      <sheetName val="ArchivoMonitoreo"/>
      <sheetName val="Consolidado Comercial"/>
      <sheetName val="Costos Estructurales"/>
      <sheetName val="Gastos Estructurales"/>
      <sheetName val="Cobranzas"/>
      <sheetName val="Auxiliar EEFF"/>
      <sheetName val="Enero20"/>
      <sheetName val="TD Enero"/>
      <sheetName val="Febrero20"/>
      <sheetName val="TD Febrero"/>
      <sheetName val="Marzo20"/>
      <sheetName val="TD Marzo"/>
      <sheetName val="Abril20"/>
      <sheetName val="TD Abril"/>
      <sheetName val="Mayo20"/>
      <sheetName val="TD Mayo"/>
      <sheetName val="Junio20"/>
      <sheetName val="TD Junio"/>
      <sheetName val="Deuda"/>
      <sheetName val="Parametros"/>
      <sheetName val="JD Resultados"/>
      <sheetName val="Com. Acreedores"/>
      <sheetName val="BASE DE INGRESOS"/>
      <sheetName val="TARIFAS"/>
      <sheetName val="Mud Logging (Carta)"/>
      <sheetName val="INGRESOS"/>
      <sheetName val="NOMINA"/>
      <sheetName val="NOMINA (desp)"/>
      <sheetName val="Liquidaciones"/>
      <sheetName val="SALARIOS PROYECTOS - COSTO"/>
      <sheetName val="BONOS"/>
      <sheetName val="COSTOS ASOCIADOS"/>
      <sheetName val="Mov. Cel. y cajas"/>
      <sheetName val="Otros Costos "/>
      <sheetName val="SALARIOS GASTO"/>
      <sheetName val="PERSONAL"/>
      <sheetName val="Reporte de Seguimiento_BG"/>
      <sheetName val="Costos Grafica"/>
      <sheetName val="Gastos Grafica"/>
      <sheetName val="---&gt; MEP"/>
      <sheetName val="Reporte de Seguimiento_PyG"/>
      <sheetName val="Reporte de Seguimiento_BG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sheetData sheetId="45" refreshError="1"/>
      <sheetData sheetId="46" refreshError="1"/>
      <sheetData sheetId="47" refreshError="1"/>
      <sheetData sheetId="48" refreshError="1"/>
      <sheetData sheetId="49" refreshError="1"/>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EEFF"/>
      <sheetName val="Drivers"/>
      <sheetName val="Summary"/>
      <sheetName val="Valuation"/>
      <sheetName val="Cap IQ Comps"/>
      <sheetName val="Cap IQ M&amp;A"/>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BalanceGeneral"/>
      <sheetName val="P&amp;G"/>
      <sheetName val="PYG2014"/>
      <sheetName val="BAL"/>
      <sheetName val="PYGAÑOANTERIOR"/>
      <sheetName val="PresupuestoEne11"/>
      <sheetName val="2013"/>
      <sheetName val="2014"/>
      <sheetName val="201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Inv Return"/>
      <sheetName val="DCF Valuation"/>
      <sheetName val="Consolidation =&gt;"/>
      <sheetName val="Ratios"/>
      <sheetName val="Financial Summary"/>
      <sheetName val="Consolidated BS"/>
      <sheetName val="Consolidated IS"/>
      <sheetName val="Consolidated CF"/>
      <sheetName val="Consolidated Projections"/>
      <sheetName val="BS Consolidation"/>
      <sheetName val="IS Consolidation"/>
      <sheetName val="Promotora =&gt;"/>
      <sheetName val="PMLA BS"/>
      <sheetName val="PMLA IS"/>
      <sheetName val="PMLA CF"/>
      <sheetName val="PMLA Drivers"/>
      <sheetName val="Cancerología =&gt;"/>
      <sheetName val="Cancerologia BS"/>
      <sheetName val="Cancerologia IS"/>
      <sheetName val="Cancerologia CF"/>
      <sheetName val="Cancerologia Drivers"/>
      <sheetName val="Laboratorio =&gt;"/>
      <sheetName val="Laboratorio BS"/>
      <sheetName val="Laboratorio IS"/>
      <sheetName val="Laboratorio CF"/>
      <sheetName val="Laboratorio Drivers"/>
      <sheetName val="Patologia =&gt;"/>
      <sheetName val="Patologia BS"/>
      <sheetName val="Patologia IS"/>
      <sheetName val="Patologia CF"/>
      <sheetName val="Patologia Drivers"/>
      <sheetName val="Salud Oral =&gt;"/>
      <sheetName val="Salud Oral BS"/>
      <sheetName val="Salud Oral IS"/>
      <sheetName val="Salud Oral CF"/>
      <sheetName val="Salud Oral Drivers"/>
      <sheetName val="CdS =&gt;"/>
      <sheetName val="CdS BS"/>
      <sheetName val="CdS IS"/>
      <sheetName val="CdS CF"/>
      <sheetName val="CdS 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persons/person.xml><?xml version="1.0" encoding="utf-8"?>
<personList xmlns="http://schemas.microsoft.com/office/spreadsheetml/2018/threadedcomments" xmlns:x="http://schemas.openxmlformats.org/spreadsheetml/2006/main">
  <person displayName="Brayan  Avila Velandia" id="{426A1FA4-427F-4613-BBF1-98501D83BC28}" userId="S::brayan.avila@tgtgamasas.onmicrosoft.com::dbffe164-3e02-4555-86e1-3a84d0fae2a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T12" dT="2022-02-01T20:37:28.65" personId="{426A1FA4-427F-4613-BBF1-98501D83BC28}" id="{B8F11D73-6DD2-4302-9F6E-40CE65D8C33E}">
    <text>Ajuste contable ingresos causados</text>
  </threadedComment>
  <threadedComment ref="DT18" dT="2022-02-01T20:37:39.32" personId="{426A1FA4-427F-4613-BBF1-98501D83BC28}" id="{4E568483-C96D-412E-ABFB-F34B6041D5CD}">
    <text>Ajuste contable ingresos causados</text>
  </threadedComment>
  <threadedComment ref="DT99" dT="2022-02-01T20:41:46.75" personId="{426A1FA4-427F-4613-BBF1-98501D83BC28}" id="{DD05DF0F-DB22-40A0-BBB4-D8444A36FB0F}">
    <text>Ajuste contable gastos periodos anteriores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L45"/>
  <sheetViews>
    <sheetView showGridLines="0" zoomScale="85" zoomScaleNormal="85" zoomScaleSheetLayoutView="100" workbookViewId="0"/>
  </sheetViews>
  <sheetFormatPr baseColWidth="10" defaultColWidth="0" defaultRowHeight="14.25" customHeight="1" zeroHeight="1"/>
  <cols>
    <col min="1" max="1" width="6.453125" style="1" customWidth="1"/>
    <col min="2" max="8" width="12.453125" style="1" customWidth="1"/>
    <col min="9" max="9" width="13.1796875" style="1" customWidth="1"/>
    <col min="10" max="10" width="12.453125" style="1" customWidth="1"/>
    <col min="11" max="11" width="9.453125" style="1" customWidth="1"/>
    <col min="12" max="12" width="12.453125" style="1" customWidth="1"/>
    <col min="13" max="16384" width="11.453125" style="1" hidden="1"/>
  </cols>
  <sheetData>
    <row r="1" spans="2:9" ht="14"/>
    <row r="2" spans="2:9" ht="14"/>
    <row r="3" spans="2:9" ht="14"/>
    <row r="4" spans="2:9" ht="14.5">
      <c r="B4"/>
    </row>
    <row r="5" spans="2:9" ht="14.5">
      <c r="B5" s="2"/>
      <c r="H5"/>
    </row>
    <row r="6" spans="2:9" ht="14"/>
    <row r="7" spans="2:9" ht="14"/>
    <row r="8" spans="2:9" ht="14"/>
    <row r="9" spans="2:9" ht="14.5">
      <c r="C9"/>
    </row>
    <row r="10" spans="2:9" ht="14"/>
    <row r="11" spans="2:9" ht="14"/>
    <row r="12" spans="2:9" ht="14"/>
    <row r="13" spans="2:9" ht="20">
      <c r="D13" s="1583" t="s">
        <v>0</v>
      </c>
      <c r="E13" s="1583"/>
      <c r="F13" s="1583"/>
      <c r="G13" s="1583"/>
      <c r="H13" s="1583"/>
      <c r="I13" s="1583"/>
    </row>
    <row r="14" spans="2:9" ht="14"/>
    <row r="15" spans="2:9" ht="14">
      <c r="E15" s="11"/>
      <c r="F15" s="11"/>
      <c r="G15" s="11"/>
      <c r="H15" s="11"/>
    </row>
    <row r="16" spans="2:9" ht="14">
      <c r="E16" s="11"/>
      <c r="F16" s="11"/>
      <c r="G16" s="11"/>
      <c r="H16" s="11"/>
    </row>
    <row r="17" spans="2:11" ht="14">
      <c r="E17" s="11"/>
      <c r="F17" s="11"/>
      <c r="G17" s="11"/>
      <c r="H17" s="11"/>
    </row>
    <row r="18" spans="2:11" ht="14"/>
    <row r="19" spans="2:11" ht="14"/>
    <row r="20" spans="2:11" ht="14"/>
    <row r="21" spans="2:11" ht="6" customHeight="1"/>
    <row r="22" spans="2:11" ht="14">
      <c r="B22" s="470"/>
      <c r="C22" s="470"/>
      <c r="D22" s="470"/>
      <c r="E22" s="470"/>
      <c r="F22" s="470"/>
      <c r="G22" s="470"/>
      <c r="H22" s="470"/>
      <c r="I22" s="470"/>
      <c r="J22" s="470"/>
      <c r="K22" s="470"/>
    </row>
    <row r="23" spans="2:11" ht="6" customHeight="1"/>
    <row r="24" spans="2:11" ht="14"/>
    <row r="25" spans="2:11" ht="14"/>
    <row r="26" spans="2:11" ht="27.5">
      <c r="B26" s="442" t="s">
        <v>1</v>
      </c>
      <c r="C26" s="442"/>
      <c r="D26" s="442"/>
      <c r="E26" s="442"/>
      <c r="F26" s="442"/>
      <c r="G26" s="442"/>
      <c r="H26" s="442"/>
      <c r="I26" s="442"/>
      <c r="J26" s="442"/>
      <c r="K26" s="442"/>
    </row>
    <row r="27" spans="2:11" ht="27.5">
      <c r="B27" s="442" t="s">
        <v>2</v>
      </c>
      <c r="C27" s="442"/>
      <c r="D27" s="443"/>
      <c r="E27" s="443"/>
      <c r="F27" s="442"/>
      <c r="G27" s="442"/>
      <c r="H27" s="442"/>
      <c r="I27" s="442"/>
      <c r="J27" s="442"/>
      <c r="K27" s="442"/>
    </row>
    <row r="28" spans="2:11" ht="23.5">
      <c r="B28" s="1581" t="s">
        <v>3</v>
      </c>
      <c r="C28" s="1581"/>
      <c r="D28" s="1581"/>
      <c r="E28" s="1581"/>
      <c r="F28" s="1581"/>
      <c r="G28" s="1581"/>
      <c r="H28" s="1581"/>
      <c r="I28" s="1581"/>
      <c r="J28" s="1581"/>
      <c r="K28" s="1581"/>
    </row>
    <row r="29" spans="2:11" ht="14"/>
    <row r="30" spans="2:11" ht="15.5">
      <c r="B30" s="1582" t="s">
        <v>4</v>
      </c>
      <c r="C30" s="1582"/>
      <c r="D30" s="1582"/>
      <c r="E30" s="1582"/>
      <c r="F30" s="1582"/>
      <c r="G30" s="1582"/>
      <c r="H30" s="1582"/>
      <c r="I30" s="1582"/>
      <c r="J30" s="1582"/>
      <c r="K30" s="1582"/>
    </row>
    <row r="31" spans="2:11" ht="14"/>
    <row r="32" spans="2:11" ht="14"/>
    <row r="33" spans="1:11" ht="14">
      <c r="I33" s="3"/>
      <c r="J33" s="4"/>
    </row>
    <row r="34" spans="1:11" ht="14">
      <c r="I34" s="3"/>
      <c r="J34" s="5"/>
    </row>
    <row r="35" spans="1:11" ht="14">
      <c r="B35" s="470"/>
      <c r="C35" s="470"/>
      <c r="D35" s="470"/>
      <c r="E35" s="470"/>
      <c r="F35" s="470"/>
      <c r="G35" s="470"/>
      <c r="H35" s="470"/>
      <c r="I35" s="470"/>
      <c r="J35" s="470"/>
      <c r="K35" s="470"/>
    </row>
    <row r="36" spans="1:11" ht="14"/>
    <row r="37" spans="1:11" ht="14">
      <c r="I37" s="6" t="s">
        <v>5</v>
      </c>
    </row>
    <row r="38" spans="1:11" ht="14.5">
      <c r="B38" s="356" t="s">
        <v>6</v>
      </c>
      <c r="C38" s="357"/>
      <c r="D38" s="355" t="s">
        <v>7</v>
      </c>
      <c r="F38" s="359" t="s">
        <v>8</v>
      </c>
      <c r="G38" s="359"/>
      <c r="I38" s="7" t="s">
        <v>9</v>
      </c>
    </row>
    <row r="39" spans="1:11" ht="14">
      <c r="F39" s="31" t="s">
        <v>10</v>
      </c>
      <c r="G39" s="358">
        <v>0</v>
      </c>
      <c r="I39" s="8" t="s">
        <v>11</v>
      </c>
    </row>
    <row r="40" spans="1:11" ht="14.5">
      <c r="A40"/>
      <c r="B40" s="1415" t="s">
        <v>12</v>
      </c>
      <c r="C40" s="1416">
        <v>1</v>
      </c>
      <c r="F40" s="31" t="s">
        <v>13</v>
      </c>
      <c r="G40" s="358">
        <v>0.5</v>
      </c>
      <c r="I40" s="9" t="s">
        <v>14</v>
      </c>
    </row>
    <row r="41" spans="1:11" ht="14.25" customHeight="1">
      <c r="B41" s="49" t="s">
        <v>7</v>
      </c>
      <c r="C41" s="65">
        <v>2</v>
      </c>
      <c r="I41" s="10" t="s">
        <v>15</v>
      </c>
    </row>
    <row r="42" spans="1:11" ht="14.25" customHeight="1">
      <c r="B42" s="49" t="s">
        <v>16</v>
      </c>
      <c r="C42" s="65">
        <v>3</v>
      </c>
    </row>
    <row r="43" spans="1:11" ht="14.25" customHeight="1">
      <c r="B43" s="1276" t="s">
        <v>17</v>
      </c>
      <c r="C43" s="1277">
        <f>+IF(D38="Base",2,IF(D38="high",C40,IF(D38="Low",C42,0)))</f>
        <v>2</v>
      </c>
    </row>
    <row r="44" spans="1:11" ht="14.25" customHeight="1"/>
    <row r="45" spans="1:11" ht="14.25" customHeight="1"/>
  </sheetData>
  <mergeCells count="3">
    <mergeCell ref="B28:K28"/>
    <mergeCell ref="B30:K30"/>
    <mergeCell ref="D13:I13"/>
  </mergeCells>
  <dataValidations count="1">
    <dataValidation type="list" showInputMessage="1" showErrorMessage="1" sqref="D38" xr:uid="{00000000-0002-0000-0000-000000000000}">
      <formula1>"High,Base,Low"</formula1>
    </dataValidation>
  </dataValidations>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DB77-F113-401E-8D60-5E3C5F9B1B5B}">
  <sheetPr>
    <tabColor rgb="FFC00000"/>
  </sheetPr>
  <dimension ref="A1:NE568"/>
  <sheetViews>
    <sheetView showGridLines="0" zoomScaleNormal="100" workbookViewId="0">
      <pane xSplit="3" ySplit="7" topLeftCell="D8" activePane="bottomRight" state="frozen"/>
      <selection pane="topRight" activeCell="BV12" sqref="BV12:BV19"/>
      <selection pane="bottomLeft" activeCell="BV12" sqref="BV12:BV19"/>
      <selection pane="bottomRight" activeCell="D8" sqref="D8"/>
    </sheetView>
  </sheetViews>
  <sheetFormatPr baseColWidth="10" defaultColWidth="0" defaultRowHeight="14.5" outlineLevelRow="4" outlineLevelCol="1"/>
  <cols>
    <col min="1" max="1" width="9.453125" style="17" customWidth="1"/>
    <col min="2" max="2" width="13.453125" style="17" customWidth="1"/>
    <col min="3" max="3" width="33.26953125" style="17" customWidth="1"/>
    <col min="4" max="4" width="11.453125" style="17" customWidth="1"/>
    <col min="5" max="42" width="10.453125" style="17" customWidth="1"/>
    <col min="43" max="43" width="10.453125" style="657" customWidth="1"/>
    <col min="44" max="76" width="10.453125" style="17" customWidth="1"/>
    <col min="77" max="77" width="10.453125" style="17" customWidth="1" collapsed="1"/>
    <col min="78" max="78" width="10.453125" style="17" customWidth="1"/>
    <col min="79" max="79" width="11.81640625" style="17" customWidth="1"/>
    <col min="80" max="80" width="12.453125" style="17" customWidth="1"/>
    <col min="81" max="88" width="10.453125" style="17" customWidth="1"/>
    <col min="89" max="89" width="10.7265625" style="17" customWidth="1" collapsed="1"/>
    <col min="90" max="96" width="10.7265625" style="17" customWidth="1"/>
    <col min="97" max="100" width="10.453125" style="17" customWidth="1"/>
    <col min="101" max="101" width="10.453125" style="17" customWidth="1" collapsed="1"/>
    <col min="102" max="102" width="11.1796875" style="17" customWidth="1"/>
    <col min="103" max="136" width="10.453125" style="17" customWidth="1"/>
    <col min="137" max="137" width="11.81640625" style="17" customWidth="1"/>
    <col min="138" max="138" width="12" style="17" hidden="1" customWidth="1" outlineLevel="1"/>
    <col min="139" max="149" width="10" style="17" hidden="1" customWidth="1" outlineLevel="1"/>
    <col min="150" max="150" width="4.26953125" hidden="1" customWidth="1" outlineLevel="1"/>
    <col min="151" max="174" width="12" style="17" hidden="1" customWidth="1" outlineLevel="1"/>
    <col min="175" max="198" width="10.7265625" style="17" hidden="1" customWidth="1" outlineLevel="1"/>
    <col min="199" max="199" width="10.7265625" style="17" hidden="1" customWidth="1" outlineLevel="1" collapsed="1"/>
    <col min="200" max="210" width="10.7265625" style="17" hidden="1" customWidth="1" outlineLevel="1"/>
    <col min="211" max="211" width="8.1796875" style="17" customWidth="1" collapsed="1"/>
    <col min="212" max="219" width="13.26953125" style="17" customWidth="1"/>
    <col min="220" max="222" width="13.26953125" style="873" customWidth="1"/>
    <col min="223" max="224" width="13.26953125" style="17" customWidth="1"/>
    <col min="225" max="225" width="1.7265625" style="17" customWidth="1"/>
    <col min="226" max="234" width="10.7265625" style="17" customWidth="1"/>
    <col min="235" max="235" width="11.453125" style="17" hidden="1" customWidth="1" outlineLevel="1"/>
    <col min="236" max="236" width="10.7265625" style="17" hidden="1" customWidth="1" outlineLevel="1"/>
    <col min="237" max="237" width="11.453125" style="17" hidden="1" customWidth="1" outlineLevel="1"/>
    <col min="238" max="238" width="1.7265625" style="17" customWidth="1" collapsed="1"/>
    <col min="239" max="239" width="11.453125" style="17" customWidth="1"/>
    <col min="240" max="248" width="11.453125" style="17" hidden="1" customWidth="1" outlineLevel="1"/>
    <col min="249" max="249" width="1.7265625" style="17" customWidth="1" collapsed="1"/>
    <col min="250" max="259" width="11.453125" style="17" hidden="1" customWidth="1" outlineLevel="1"/>
    <col min="260" max="260" width="5.7265625" style="17" customWidth="1" collapsed="1"/>
    <col min="261" max="262" width="11.453125" style="17" customWidth="1"/>
    <col min="263" max="272" width="11.7265625" style="17" customWidth="1"/>
    <col min="273" max="273" width="11.453125" style="17" customWidth="1"/>
    <col min="274" max="274" width="11.7265625" style="17" customWidth="1"/>
    <col min="275" max="275" width="9.453125" style="50" customWidth="1"/>
    <col min="276" max="277" width="11.453125" style="17" customWidth="1"/>
    <col min="278" max="278" width="4.453125" style="17" customWidth="1"/>
    <col min="279" max="280" width="11.453125" style="17" customWidth="1"/>
    <col min="281" max="281" width="4" style="17" customWidth="1"/>
    <col min="282" max="283" width="11.453125" style="17" customWidth="1"/>
    <col min="284" max="284" width="1.7265625" style="17" customWidth="1"/>
    <col min="285" max="292" width="11.453125" style="17" hidden="1" customWidth="1" outlineLevel="1"/>
    <col min="293" max="293" width="1.7265625" style="17" customWidth="1" collapsed="1"/>
    <col min="294" max="301" width="11.453125" style="17" hidden="1" customWidth="1" outlineLevel="1"/>
    <col min="302" max="302" width="1.7265625" style="17" customWidth="1" collapsed="1"/>
    <col min="303" max="312" width="11.453125" style="17" hidden="1" customWidth="1" outlineLevel="1"/>
    <col min="313" max="313" width="5.7265625" style="17" customWidth="1" collapsed="1"/>
    <col min="314" max="327" width="11.7265625" style="17" customWidth="1"/>
    <col min="328" max="328" width="1.7265625" style="17" customWidth="1"/>
    <col min="329" max="329" width="1.7265625" style="17" customWidth="1" collapsed="1"/>
    <col min="330" max="336" width="11.453125" style="17" hidden="1" customWidth="1" outlineLevel="1"/>
    <col min="337" max="337" width="1.7265625" style="17" customWidth="1" collapsed="1"/>
    <col min="338" max="344" width="11.453125" style="17" hidden="1" customWidth="1" outlineLevel="1"/>
    <col min="345" max="345" width="1.7265625" style="17" customWidth="1" collapsed="1"/>
    <col min="346" max="354" width="11.453125" style="17" hidden="1" customWidth="1" outlineLevel="1"/>
    <col min="355" max="355" width="11.453125" style="17" customWidth="1" collapsed="1"/>
    <col min="356" max="356" width="11.453125" style="17" customWidth="1"/>
    <col min="357" max="367" width="11.453125" style="17" hidden="1" customWidth="1"/>
    <col min="368" max="369" width="0" style="17" hidden="1" customWidth="1"/>
    <col min="370" max="382" width="11.453125" style="17" hidden="1" customWidth="1"/>
    <col min="383" max="16384" width="11.453125" style="17" hidden="1"/>
  </cols>
  <sheetData>
    <row r="1" spans="1:367" ht="15" customHeight="1">
      <c r="A1" s="867"/>
      <c r="C1" s="53"/>
      <c r="P1" s="868"/>
      <c r="Q1" s="868"/>
      <c r="R1" s="868"/>
      <c r="S1" s="868"/>
      <c r="T1" s="868"/>
      <c r="U1" s="868"/>
      <c r="V1" s="868"/>
      <c r="W1" s="868"/>
      <c r="X1" s="868"/>
      <c r="Y1" s="868"/>
      <c r="Z1" s="868"/>
      <c r="AA1" s="868"/>
      <c r="AB1" s="868" t="s">
        <v>48</v>
      </c>
      <c r="AC1" s="868"/>
      <c r="AD1" s="868"/>
      <c r="AE1" s="868"/>
      <c r="AF1" s="868"/>
      <c r="AG1" s="868"/>
      <c r="AH1" s="868"/>
      <c r="AI1" s="868"/>
      <c r="AJ1" s="868"/>
      <c r="AK1" s="868"/>
      <c r="AL1" s="868"/>
      <c r="AM1" s="868"/>
      <c r="AN1" s="868" t="s">
        <v>48</v>
      </c>
      <c r="AO1" s="133" t="s">
        <v>532</v>
      </c>
      <c r="AP1" s="868"/>
      <c r="AQ1" s="869"/>
      <c r="AR1" s="868"/>
      <c r="AS1" s="868"/>
      <c r="AT1" s="868"/>
      <c r="AU1" s="868"/>
      <c r="AV1" s="868"/>
      <c r="AW1" s="868"/>
      <c r="AX1" s="868"/>
      <c r="AY1" s="868"/>
      <c r="AZ1" s="868"/>
      <c r="BA1" s="25"/>
      <c r="BB1" s="868"/>
      <c r="BC1" s="868"/>
      <c r="BD1" s="868"/>
      <c r="BE1" s="868"/>
      <c r="BF1" s="868"/>
      <c r="BG1" s="868"/>
      <c r="BH1" s="868"/>
      <c r="BI1" s="868"/>
      <c r="BJ1" s="868"/>
      <c r="BK1" s="868"/>
      <c r="BL1" s="868"/>
      <c r="BM1" s="25"/>
      <c r="BN1" s="870"/>
      <c r="BO1" s="868"/>
      <c r="BP1" s="868"/>
      <c r="BQ1" s="868"/>
      <c r="BR1" s="868"/>
      <c r="BS1" s="868"/>
      <c r="BT1" s="868"/>
      <c r="BU1" s="868"/>
      <c r="BV1" s="868"/>
      <c r="BW1" s="868"/>
      <c r="BX1" s="868"/>
      <c r="BY1" s="871"/>
      <c r="BZ1" s="868"/>
      <c r="CA1" s="868"/>
      <c r="CB1" s="868"/>
      <c r="CC1" s="868"/>
      <c r="CD1" s="868"/>
      <c r="CE1" s="868"/>
      <c r="CF1" s="868"/>
      <c r="CG1" s="868"/>
      <c r="CH1" s="868"/>
      <c r="CI1" s="868"/>
      <c r="CJ1" s="868"/>
      <c r="CK1" s="868"/>
      <c r="CL1" s="868"/>
      <c r="CM1" s="868"/>
      <c r="CN1" s="868"/>
      <c r="CO1" s="868"/>
      <c r="CP1" s="868"/>
      <c r="CQ1" s="868"/>
      <c r="CR1" s="868"/>
      <c r="CS1" s="868"/>
      <c r="CT1" s="868"/>
      <c r="CU1" s="868"/>
      <c r="CV1" s="868"/>
      <c r="CW1" s="868"/>
      <c r="CX1" s="868"/>
      <c r="CY1" s="868"/>
      <c r="CZ1" s="868"/>
      <c r="DA1" s="868"/>
      <c r="DB1" s="868"/>
      <c r="DC1" s="868"/>
      <c r="DD1" s="868"/>
      <c r="DE1" s="868"/>
      <c r="DF1" s="868"/>
      <c r="DG1" s="868"/>
      <c r="DH1" s="868"/>
      <c r="DI1" s="868"/>
      <c r="DJ1" s="868"/>
      <c r="DK1" s="868"/>
      <c r="DL1" s="868"/>
      <c r="DM1" s="868"/>
      <c r="DN1" s="868"/>
      <c r="DO1" s="868"/>
      <c r="DP1" s="868"/>
      <c r="DQ1" s="868"/>
      <c r="DR1" s="868"/>
      <c r="DS1" s="868"/>
      <c r="DT1" s="868"/>
      <c r="DU1" s="868"/>
      <c r="DV1" s="868"/>
      <c r="DW1" s="868"/>
      <c r="DX1" s="868"/>
      <c r="DY1" s="868"/>
      <c r="DZ1" s="868"/>
      <c r="EA1" s="868"/>
      <c r="EB1" s="868"/>
      <c r="EC1" s="868"/>
      <c r="ED1" s="868"/>
      <c r="EE1" s="868"/>
      <c r="EF1" s="868"/>
      <c r="EG1" s="868"/>
      <c r="EH1" s="871"/>
      <c r="EI1" s="868"/>
      <c r="EJ1" s="868"/>
      <c r="EK1" s="868"/>
      <c r="EL1" s="868"/>
      <c r="EM1" s="868"/>
      <c r="EN1" s="868"/>
      <c r="EO1" s="868"/>
      <c r="EP1" s="868"/>
      <c r="EQ1" s="868"/>
      <c r="ER1" s="868"/>
      <c r="ES1" s="868"/>
      <c r="EU1" s="868"/>
      <c r="EV1" s="868"/>
      <c r="EW1" s="868"/>
      <c r="EX1" s="868"/>
      <c r="EY1" s="868"/>
      <c r="EZ1" s="868"/>
      <c r="FA1" s="868"/>
      <c r="FB1" s="868"/>
      <c r="FC1" s="868"/>
      <c r="FD1" s="868"/>
      <c r="FE1" s="868"/>
      <c r="FF1" s="868"/>
      <c r="FG1" s="868"/>
      <c r="FH1" s="868"/>
      <c r="FI1" s="868"/>
      <c r="FJ1" s="868"/>
      <c r="FK1" s="868"/>
      <c r="FL1" s="868"/>
      <c r="FM1" s="868"/>
      <c r="FN1" s="868"/>
      <c r="FO1" s="868"/>
      <c r="FP1" s="868"/>
      <c r="FQ1" s="868"/>
      <c r="FR1" s="868"/>
      <c r="FS1" s="868"/>
      <c r="FT1" s="868"/>
      <c r="FU1" s="868"/>
      <c r="FV1" s="868"/>
      <c r="FW1" s="868"/>
      <c r="FX1" s="868"/>
      <c r="FY1" s="868"/>
      <c r="FZ1" s="868"/>
      <c r="GA1" s="868"/>
      <c r="GB1" s="868"/>
      <c r="GC1" s="868"/>
      <c r="GD1" s="868"/>
      <c r="GE1" s="871"/>
      <c r="GF1" s="868"/>
      <c r="GG1" s="868"/>
      <c r="GH1" s="868"/>
      <c r="GI1" s="868"/>
      <c r="GJ1" s="868"/>
      <c r="GK1" s="868"/>
      <c r="GL1" s="868"/>
      <c r="GM1" s="868"/>
      <c r="GN1" s="868"/>
      <c r="GO1" s="868"/>
      <c r="GP1" s="868"/>
      <c r="GQ1" s="868"/>
      <c r="GR1" s="868"/>
      <c r="GS1" s="868"/>
      <c r="GT1" s="868"/>
      <c r="GU1" s="868"/>
      <c r="GV1" s="868"/>
      <c r="GW1" s="868"/>
      <c r="GX1" s="868"/>
      <c r="GY1" s="868"/>
      <c r="GZ1" s="868"/>
      <c r="HA1" s="868"/>
      <c r="HB1" s="868"/>
      <c r="HC1" s="868"/>
      <c r="HD1" s="872" t="s">
        <v>533</v>
      </c>
      <c r="HE1" s="868"/>
      <c r="HF1" s="868"/>
      <c r="HG1" s="868"/>
      <c r="HH1" s="868"/>
      <c r="HI1" s="868"/>
      <c r="HJ1" s="868"/>
      <c r="HK1" s="868"/>
      <c r="HL1" s="1193"/>
      <c r="HM1" s="1193"/>
      <c r="HN1" s="1193"/>
      <c r="HO1" s="868"/>
      <c r="HP1" s="868"/>
      <c r="HQ1" s="868"/>
      <c r="IA1" s="868"/>
      <c r="IB1" s="868"/>
      <c r="IC1" s="868"/>
      <c r="ID1" s="868"/>
      <c r="IE1" s="868"/>
      <c r="IF1" s="868"/>
      <c r="IM1" s="868"/>
      <c r="IN1" s="868"/>
      <c r="IO1" s="868"/>
      <c r="IP1" s="868"/>
      <c r="IQ1" s="868"/>
      <c r="IR1" s="868"/>
      <c r="IS1" s="868"/>
      <c r="IT1" s="868"/>
      <c r="IU1" s="868"/>
      <c r="IV1" s="868"/>
      <c r="IW1" s="868"/>
      <c r="IY1" s="868"/>
      <c r="IZ1" s="868"/>
      <c r="JA1" s="872" t="s">
        <v>534</v>
      </c>
      <c r="JB1" s="868"/>
      <c r="JC1" s="868"/>
      <c r="JD1" s="868"/>
      <c r="JE1" s="868"/>
      <c r="JF1" s="868"/>
      <c r="JG1" s="868"/>
      <c r="JH1" s="868"/>
      <c r="JI1" s="868"/>
      <c r="JJ1" s="868"/>
      <c r="JK1" s="868"/>
      <c r="JL1" s="868"/>
      <c r="JM1" s="868"/>
      <c r="JN1" s="868" t="s">
        <v>48</v>
      </c>
      <c r="JP1" s="868"/>
      <c r="JQ1" s="868"/>
      <c r="JR1" s="868"/>
      <c r="JS1" s="868"/>
      <c r="JT1" s="868"/>
      <c r="JU1" s="868"/>
      <c r="JV1" s="868"/>
      <c r="JW1" s="868" t="s">
        <v>48</v>
      </c>
      <c r="JX1" s="25"/>
      <c r="KO1" s="868"/>
      <c r="KZ1" s="868" t="s">
        <v>48</v>
      </c>
      <c r="LB1" s="872" t="s">
        <v>535</v>
      </c>
      <c r="LC1" s="868"/>
      <c r="LD1" s="868"/>
      <c r="LE1" s="868"/>
      <c r="LF1" s="868"/>
      <c r="LG1" s="868"/>
      <c r="LH1" s="868"/>
      <c r="LI1" s="868"/>
      <c r="LJ1" s="868"/>
      <c r="LK1" s="868"/>
      <c r="LL1" s="868"/>
      <c r="LM1" s="868"/>
      <c r="LN1" s="868"/>
      <c r="LO1" s="868" t="s">
        <v>48</v>
      </c>
      <c r="LP1" s="868"/>
      <c r="MF1" s="868"/>
      <c r="MP1" s="868" t="s">
        <v>48</v>
      </c>
      <c r="NB1" s="17">
        <v>1</v>
      </c>
      <c r="NC1" s="17" t="s">
        <v>536</v>
      </c>
    </row>
    <row r="2" spans="1:367" ht="15" customHeight="1" outlineLevel="1">
      <c r="A2" s="867"/>
      <c r="BN2" s="873"/>
      <c r="BO2" s="78"/>
      <c r="NB2" s="17">
        <v>2</v>
      </c>
      <c r="NC2" s="17" t="s">
        <v>537</v>
      </c>
    </row>
    <row r="3" spans="1:367" ht="15" customHeight="1" outlineLevel="1" thickBot="1">
      <c r="A3" s="867"/>
      <c r="NB3" s="17">
        <v>3</v>
      </c>
      <c r="NC3" s="17" t="s">
        <v>538</v>
      </c>
    </row>
    <row r="4" spans="1:367" ht="15" customHeight="1" thickBot="1">
      <c r="A4" s="867"/>
      <c r="B4" s="874" t="s">
        <v>539</v>
      </c>
      <c r="E4" s="1619" t="s">
        <v>540</v>
      </c>
      <c r="F4" s="1620"/>
      <c r="G4" s="1620"/>
      <c r="H4" s="1620"/>
      <c r="I4" s="1620"/>
      <c r="J4" s="1620"/>
      <c r="K4" s="1620"/>
      <c r="L4" s="1620"/>
      <c r="M4" s="1620"/>
      <c r="N4" s="1620"/>
      <c r="O4" s="1620"/>
      <c r="P4" s="1621"/>
      <c r="Q4" s="1619" t="s">
        <v>541</v>
      </c>
      <c r="R4" s="1620"/>
      <c r="S4" s="1620"/>
      <c r="T4" s="1620"/>
      <c r="U4" s="1620"/>
      <c r="V4" s="1620"/>
      <c r="W4" s="1620"/>
      <c r="X4" s="1620"/>
      <c r="Y4" s="1620"/>
      <c r="Z4" s="1620"/>
      <c r="AA4" s="1620"/>
      <c r="AB4" s="1621"/>
      <c r="AC4" s="1619" t="s">
        <v>542</v>
      </c>
      <c r="AD4" s="1620"/>
      <c r="AE4" s="1620"/>
      <c r="AF4" s="1620"/>
      <c r="AG4" s="1620"/>
      <c r="AH4" s="1620"/>
      <c r="AI4" s="1620"/>
      <c r="AJ4" s="1620"/>
      <c r="AK4" s="1620"/>
      <c r="AL4" s="1620"/>
      <c r="AM4" s="1620"/>
      <c r="AN4" s="1621"/>
      <c r="AO4" s="1619" t="s">
        <v>543</v>
      </c>
      <c r="AP4" s="1620"/>
      <c r="AQ4" s="1620"/>
      <c r="AR4" s="1620"/>
      <c r="AS4" s="1620"/>
      <c r="AT4" s="1620"/>
      <c r="AU4" s="1620"/>
      <c r="AV4" s="1620"/>
      <c r="AW4" s="1620"/>
      <c r="AX4" s="1620"/>
      <c r="AY4" s="1620"/>
      <c r="AZ4" s="1621"/>
      <c r="BA4" s="1619" t="s">
        <v>544</v>
      </c>
      <c r="BB4" s="1620"/>
      <c r="BC4" s="1620"/>
      <c r="BD4" s="1620"/>
      <c r="BE4" s="1620"/>
      <c r="BF4" s="1620"/>
      <c r="BG4" s="1620"/>
      <c r="BH4" s="1620"/>
      <c r="BI4" s="1620"/>
      <c r="BJ4" s="1620"/>
      <c r="BK4" s="1620"/>
      <c r="BL4" s="1621"/>
      <c r="BM4" s="1619" t="s">
        <v>545</v>
      </c>
      <c r="BN4" s="1620"/>
      <c r="BO4" s="1620"/>
      <c r="BP4" s="1620"/>
      <c r="BQ4" s="1620"/>
      <c r="BR4" s="1620"/>
      <c r="BS4" s="1620"/>
      <c r="BT4" s="1620"/>
      <c r="BU4" s="1620"/>
      <c r="BV4" s="1620"/>
      <c r="BW4" s="1620"/>
      <c r="BX4" s="1621"/>
      <c r="BY4" s="1619" t="s">
        <v>546</v>
      </c>
      <c r="BZ4" s="1620"/>
      <c r="CA4" s="1620"/>
      <c r="CB4" s="1620"/>
      <c r="CC4" s="1620"/>
      <c r="CD4" s="1620"/>
      <c r="CE4" s="1620"/>
      <c r="CF4" s="1620"/>
      <c r="CG4" s="1620"/>
      <c r="CH4" s="1620"/>
      <c r="CI4" s="1620"/>
      <c r="CJ4" s="1621"/>
      <c r="CK4" s="1607" t="s">
        <v>547</v>
      </c>
      <c r="CL4" s="1608"/>
      <c r="CM4" s="1608"/>
      <c r="CN4" s="1608"/>
      <c r="CO4" s="1608"/>
      <c r="CP4" s="1608"/>
      <c r="CQ4" s="1608"/>
      <c r="CR4" s="1608"/>
      <c r="CS4" s="1608"/>
      <c r="CT4" s="1608"/>
      <c r="CU4" s="1608"/>
      <c r="CV4" s="1609"/>
      <c r="CW4" s="1192" t="s">
        <v>548</v>
      </c>
      <c r="CX4" s="1191"/>
      <c r="CY4" s="1191"/>
      <c r="CZ4" s="1191"/>
      <c r="DA4" s="1191"/>
      <c r="DB4" s="1191"/>
      <c r="DC4" s="1191"/>
      <c r="DD4" s="1191"/>
      <c r="DE4" s="1191"/>
      <c r="DF4" s="1191"/>
      <c r="DG4" s="1191"/>
      <c r="DH4" s="1190"/>
      <c r="DI4" s="1164" t="s">
        <v>549</v>
      </c>
      <c r="DJ4" s="1165"/>
      <c r="DK4" s="1165"/>
      <c r="DL4" s="1165"/>
      <c r="DM4" s="1165"/>
      <c r="DN4" s="1165"/>
      <c r="DO4" s="1165"/>
      <c r="DP4" s="1165"/>
      <c r="DQ4" s="1222"/>
      <c r="DR4" s="1222"/>
      <c r="DS4" s="1222"/>
      <c r="DT4" s="1223"/>
      <c r="DU4" s="1224" t="s">
        <v>550</v>
      </c>
      <c r="DV4" s="1225"/>
      <c r="DW4" s="1225"/>
      <c r="DX4" s="1225"/>
      <c r="DY4" s="1225"/>
      <c r="DZ4" s="1225"/>
      <c r="EA4" s="1225"/>
      <c r="EB4" s="1225"/>
      <c r="EC4" s="1225"/>
      <c r="ED4" s="1225"/>
      <c r="EE4" s="1225"/>
      <c r="EF4" s="1226"/>
      <c r="EH4" s="1613" t="s">
        <v>551</v>
      </c>
      <c r="EI4" s="1614"/>
      <c r="EJ4" s="1614"/>
      <c r="EK4" s="1614"/>
      <c r="EL4" s="1614"/>
      <c r="EM4" s="1614"/>
      <c r="EN4" s="1614"/>
      <c r="EO4" s="1614"/>
      <c r="EP4" s="1614"/>
      <c r="EQ4" s="1614"/>
      <c r="ER4" s="1614"/>
      <c r="ES4" s="1615"/>
      <c r="EU4" s="1610" t="s">
        <v>552</v>
      </c>
      <c r="EV4" s="1611"/>
      <c r="EW4" s="1611"/>
      <c r="EX4" s="1611"/>
      <c r="EY4" s="1611"/>
      <c r="EZ4" s="1611"/>
      <c r="FA4" s="1611"/>
      <c r="FB4" s="1611"/>
      <c r="FC4" s="1611"/>
      <c r="FD4" s="1611"/>
      <c r="FE4" s="1611"/>
      <c r="FF4" s="1612"/>
      <c r="FG4" s="1610" t="s">
        <v>553</v>
      </c>
      <c r="FH4" s="1611"/>
      <c r="FI4" s="1611"/>
      <c r="FJ4" s="1611"/>
      <c r="FK4" s="1611"/>
      <c r="FL4" s="1611"/>
      <c r="FM4" s="1611"/>
      <c r="FN4" s="1611"/>
      <c r="FO4" s="1611"/>
      <c r="FP4" s="1611"/>
      <c r="FQ4" s="1611"/>
      <c r="FR4" s="1612"/>
      <c r="FS4" s="1610" t="s">
        <v>554</v>
      </c>
      <c r="FT4" s="1611"/>
      <c r="FU4" s="1611"/>
      <c r="FV4" s="1611"/>
      <c r="FW4" s="1611"/>
      <c r="FX4" s="1611"/>
      <c r="FY4" s="1611"/>
      <c r="FZ4" s="1611"/>
      <c r="GA4" s="1611"/>
      <c r="GB4" s="1611"/>
      <c r="GC4" s="1611"/>
      <c r="GD4" s="1612"/>
      <c r="GE4" s="1610" t="s">
        <v>555</v>
      </c>
      <c r="GF4" s="1611"/>
      <c r="GG4" s="1611"/>
      <c r="GH4" s="1611"/>
      <c r="GI4" s="1611"/>
      <c r="GJ4" s="1611"/>
      <c r="GK4" s="1611"/>
      <c r="GL4" s="1611"/>
      <c r="GM4" s="1611"/>
      <c r="GN4" s="1611"/>
      <c r="GO4" s="1611"/>
      <c r="GP4" s="1612"/>
      <c r="GQ4" s="1610" t="s">
        <v>556</v>
      </c>
      <c r="GR4" s="1611"/>
      <c r="GS4" s="1611"/>
      <c r="GT4" s="1611"/>
      <c r="GU4" s="1611"/>
      <c r="GV4" s="1611"/>
      <c r="GW4" s="1611"/>
      <c r="GX4" s="1611"/>
      <c r="GY4" s="1611"/>
      <c r="GZ4" s="1611"/>
      <c r="HA4" s="1611"/>
      <c r="HB4" s="1612"/>
      <c r="HC4" s="875"/>
      <c r="HD4" s="1617" t="s">
        <v>557</v>
      </c>
      <c r="HE4" s="1606"/>
      <c r="HF4" s="1606"/>
      <c r="HG4" s="1606"/>
      <c r="HH4" s="1606"/>
      <c r="HI4" s="1606"/>
      <c r="HJ4" s="1606"/>
      <c r="HK4" s="1606"/>
      <c r="HL4" s="1606"/>
      <c r="HM4" s="1606"/>
      <c r="HN4" s="1606"/>
      <c r="HO4" s="1606"/>
      <c r="HP4" s="1618"/>
      <c r="HR4" s="876" t="s">
        <v>558</v>
      </c>
      <c r="HS4" s="877"/>
      <c r="HT4" s="877"/>
      <c r="HU4" s="877"/>
      <c r="HV4" s="877"/>
      <c r="HW4" s="877"/>
      <c r="HX4" s="877"/>
      <c r="HY4" s="877"/>
      <c r="HZ4" s="877"/>
      <c r="IA4" s="877"/>
      <c r="IB4" s="877"/>
      <c r="IC4" s="877"/>
      <c r="ID4" s="878"/>
      <c r="IE4" s="1616" t="s">
        <v>559</v>
      </c>
      <c r="IF4" s="1606"/>
      <c r="IG4" s="1606"/>
      <c r="IH4" s="1606"/>
      <c r="II4" s="1606"/>
      <c r="IJ4" s="1606"/>
      <c r="IK4" s="1606"/>
      <c r="IL4" s="1606"/>
      <c r="IM4" s="1606"/>
      <c r="IN4" s="1606"/>
      <c r="IO4" s="25"/>
      <c r="IP4" s="1616" t="s">
        <v>560</v>
      </c>
      <c r="IQ4" s="1606"/>
      <c r="IR4" s="1606"/>
      <c r="IS4" s="1606"/>
      <c r="IT4" s="1606"/>
      <c r="IU4" s="1606"/>
      <c r="IV4" s="1606"/>
      <c r="IW4" s="1606"/>
      <c r="IX4" s="1606"/>
      <c r="IY4" s="1606"/>
      <c r="IZ4" s="25"/>
      <c r="JA4" s="879" t="s">
        <v>561</v>
      </c>
      <c r="JB4" s="1513"/>
      <c r="JC4" s="1513"/>
      <c r="JD4" s="1513"/>
      <c r="JE4" s="1513"/>
      <c r="JF4" s="1513"/>
      <c r="JG4" s="1513"/>
      <c r="JH4" s="1513"/>
      <c r="JI4" s="1513"/>
      <c r="JJ4" s="1513"/>
      <c r="JK4" s="1513"/>
      <c r="JL4" s="1513"/>
      <c r="JM4" s="1513"/>
      <c r="JN4" s="880"/>
      <c r="JO4" s="32"/>
      <c r="JP4" s="1606" t="s">
        <v>562</v>
      </c>
      <c r="JQ4" s="1606"/>
      <c r="JR4" s="1606"/>
      <c r="JS4" s="1606"/>
      <c r="JT4" s="1606"/>
      <c r="JU4" s="1606"/>
      <c r="JV4" s="1606"/>
      <c r="JW4" s="1606"/>
      <c r="JX4" s="25"/>
      <c r="JY4" s="1606" t="s">
        <v>563</v>
      </c>
      <c r="JZ4" s="1606"/>
      <c r="KA4" s="1606"/>
      <c r="KB4" s="1606"/>
      <c r="KC4" s="1606"/>
      <c r="KD4" s="1606"/>
      <c r="KE4" s="1606"/>
      <c r="KF4" s="1606"/>
      <c r="KH4" s="1606" t="s">
        <v>564</v>
      </c>
      <c r="KI4" s="1606"/>
      <c r="KJ4" s="1606"/>
      <c r="KK4" s="1606"/>
      <c r="KL4" s="1606"/>
      <c r="KM4" s="1606"/>
      <c r="KN4" s="1606"/>
      <c r="KO4" s="1606"/>
      <c r="KQ4" s="1606" t="s">
        <v>565</v>
      </c>
      <c r="KR4" s="1606"/>
      <c r="KS4" s="1606"/>
      <c r="KT4" s="1606"/>
      <c r="KU4" s="1606"/>
      <c r="KV4" s="1606"/>
      <c r="KW4" s="1606"/>
      <c r="KX4" s="1606"/>
      <c r="KY4" s="1606"/>
      <c r="KZ4" s="1606"/>
      <c r="LB4" s="1606" t="s">
        <v>566</v>
      </c>
      <c r="LC4" s="1606"/>
      <c r="LD4" s="1606"/>
      <c r="LE4" s="1606"/>
      <c r="LF4" s="1606"/>
      <c r="LG4" s="1606"/>
      <c r="LH4" s="1606"/>
      <c r="LI4" s="1606"/>
      <c r="LJ4" s="1606"/>
      <c r="LK4" s="1606"/>
      <c r="LL4" s="1606"/>
      <c r="LM4" s="1606"/>
      <c r="LN4" s="1606"/>
      <c r="LO4" s="1606"/>
      <c r="LR4" s="1606" t="s">
        <v>567</v>
      </c>
      <c r="LS4" s="1606"/>
      <c r="LT4" s="1606"/>
      <c r="LU4" s="1606"/>
      <c r="LV4" s="1606"/>
      <c r="LW4" s="1606"/>
      <c r="LX4" s="1606"/>
      <c r="LZ4" s="1606" t="s">
        <v>568</v>
      </c>
      <c r="MA4" s="1606"/>
      <c r="MB4" s="1606"/>
      <c r="MC4" s="1606"/>
      <c r="MD4" s="1606"/>
      <c r="ME4" s="1606"/>
      <c r="MF4" s="1606"/>
      <c r="MH4" s="1606" t="s">
        <v>565</v>
      </c>
      <c r="MI4" s="1606"/>
      <c r="MJ4" s="1606"/>
      <c r="MK4" s="1606"/>
      <c r="ML4" s="1606"/>
      <c r="MM4" s="1606"/>
      <c r="MN4" s="1606"/>
      <c r="MO4" s="1606"/>
      <c r="MP4" s="1606"/>
      <c r="NB4" s="17">
        <v>4</v>
      </c>
      <c r="NC4" s="17" t="s">
        <v>569</v>
      </c>
    </row>
    <row r="5" spans="1:367">
      <c r="A5" s="867"/>
      <c r="E5" s="881">
        <v>1</v>
      </c>
      <c r="F5" s="881">
        <v>2</v>
      </c>
      <c r="G5" s="881">
        <v>3</v>
      </c>
      <c r="H5" s="881">
        <v>4</v>
      </c>
      <c r="I5" s="881">
        <v>5</v>
      </c>
      <c r="J5" s="881">
        <v>6</v>
      </c>
      <c r="K5" s="881">
        <v>7</v>
      </c>
      <c r="L5" s="881">
        <v>8</v>
      </c>
      <c r="M5" s="881">
        <v>9</v>
      </c>
      <c r="N5" s="881">
        <v>10</v>
      </c>
      <c r="O5" s="881">
        <v>11</v>
      </c>
      <c r="P5" s="881">
        <v>12</v>
      </c>
      <c r="Q5" s="881">
        <v>1</v>
      </c>
      <c r="R5" s="881">
        <v>2</v>
      </c>
      <c r="S5" s="881">
        <v>3</v>
      </c>
      <c r="T5" s="881">
        <v>4</v>
      </c>
      <c r="U5" s="881">
        <v>5</v>
      </c>
      <c r="V5" s="881">
        <v>6</v>
      </c>
      <c r="W5" s="881">
        <v>7</v>
      </c>
      <c r="X5" s="881">
        <v>8</v>
      </c>
      <c r="Y5" s="881">
        <v>9</v>
      </c>
      <c r="Z5" s="881">
        <v>10</v>
      </c>
      <c r="AA5" s="881">
        <v>11</v>
      </c>
      <c r="AB5" s="881">
        <v>12</v>
      </c>
      <c r="AC5" s="881">
        <v>1</v>
      </c>
      <c r="AD5" s="881">
        <v>2</v>
      </c>
      <c r="AE5" s="881">
        <v>3</v>
      </c>
      <c r="AF5" s="881">
        <v>4</v>
      </c>
      <c r="AG5" s="881">
        <v>5</v>
      </c>
      <c r="AH5" s="881">
        <v>6</v>
      </c>
      <c r="AI5" s="881">
        <v>7</v>
      </c>
      <c r="AJ5" s="881">
        <v>8</v>
      </c>
      <c r="AK5" s="881">
        <v>9</v>
      </c>
      <c r="AL5" s="881">
        <v>10</v>
      </c>
      <c r="AM5" s="881">
        <v>11</v>
      </c>
      <c r="AN5" s="881">
        <v>12</v>
      </c>
      <c r="AO5" s="881">
        <v>1</v>
      </c>
      <c r="AP5" s="881">
        <v>2</v>
      </c>
      <c r="AQ5" s="881">
        <v>3</v>
      </c>
      <c r="AR5" s="881">
        <v>4</v>
      </c>
      <c r="AS5" s="881">
        <v>5</v>
      </c>
      <c r="AT5" s="881">
        <v>6</v>
      </c>
      <c r="AU5" s="881">
        <v>7</v>
      </c>
      <c r="AV5" s="881">
        <v>8</v>
      </c>
      <c r="AW5" s="881">
        <v>9</v>
      </c>
      <c r="AX5" s="881">
        <v>10</v>
      </c>
      <c r="AY5" s="881">
        <v>11</v>
      </c>
      <c r="AZ5" s="881">
        <v>12</v>
      </c>
      <c r="BA5" s="881">
        <v>1</v>
      </c>
      <c r="BB5" s="881">
        <v>2</v>
      </c>
      <c r="BC5" s="881">
        <v>3</v>
      </c>
      <c r="BD5" s="881">
        <v>4</v>
      </c>
      <c r="BE5" s="881">
        <v>5</v>
      </c>
      <c r="BF5" s="881">
        <v>6</v>
      </c>
      <c r="BG5" s="881">
        <v>7</v>
      </c>
      <c r="BH5" s="881">
        <v>8</v>
      </c>
      <c r="BI5" s="881">
        <v>9</v>
      </c>
      <c r="BJ5" s="881">
        <v>10</v>
      </c>
      <c r="BK5" s="881">
        <v>11</v>
      </c>
      <c r="BL5" s="881">
        <v>12</v>
      </c>
      <c r="BM5" s="881">
        <v>1</v>
      </c>
      <c r="BN5" s="881">
        <v>2</v>
      </c>
      <c r="BO5" s="881">
        <v>3</v>
      </c>
      <c r="BP5" s="881">
        <v>4</v>
      </c>
      <c r="BQ5" s="881">
        <v>5</v>
      </c>
      <c r="BR5" s="881">
        <v>6</v>
      </c>
      <c r="BS5" s="881">
        <v>7</v>
      </c>
      <c r="BT5" s="881">
        <v>8</v>
      </c>
      <c r="BU5" s="881">
        <v>9</v>
      </c>
      <c r="BV5" s="881">
        <v>10</v>
      </c>
      <c r="BW5" s="881">
        <v>11</v>
      </c>
      <c r="BX5" s="881">
        <v>12</v>
      </c>
      <c r="BY5" s="881">
        <v>1</v>
      </c>
      <c r="BZ5" s="881">
        <v>2</v>
      </c>
      <c r="CA5" s="881">
        <v>3</v>
      </c>
      <c r="CB5" s="881">
        <v>4</v>
      </c>
      <c r="CC5" s="881">
        <v>5</v>
      </c>
      <c r="CD5" s="881">
        <v>6</v>
      </c>
      <c r="CE5" s="881">
        <v>7</v>
      </c>
      <c r="CF5" s="881">
        <v>8</v>
      </c>
      <c r="CG5" s="881">
        <v>9</v>
      </c>
      <c r="CH5" s="881">
        <v>10</v>
      </c>
      <c r="CI5" s="881">
        <v>11</v>
      </c>
      <c r="CJ5" s="881">
        <v>12</v>
      </c>
      <c r="CK5" s="881">
        <v>1</v>
      </c>
      <c r="CL5" s="881">
        <v>2</v>
      </c>
      <c r="CM5" s="881">
        <v>3</v>
      </c>
      <c r="CN5" s="881">
        <v>4</v>
      </c>
      <c r="CO5" s="881">
        <v>5</v>
      </c>
      <c r="CP5" s="881">
        <v>6</v>
      </c>
      <c r="CQ5" s="881">
        <v>7</v>
      </c>
      <c r="CR5" s="881">
        <v>8</v>
      </c>
      <c r="CS5" s="881">
        <v>9</v>
      </c>
      <c r="CT5" s="881">
        <v>10</v>
      </c>
      <c r="CU5" s="881">
        <v>11</v>
      </c>
      <c r="CV5" s="881">
        <v>12</v>
      </c>
      <c r="CW5" s="881">
        <v>1</v>
      </c>
      <c r="CX5" s="881">
        <v>2</v>
      </c>
      <c r="CY5" s="881">
        <v>3</v>
      </c>
      <c r="CZ5" s="881">
        <v>4</v>
      </c>
      <c r="DA5" s="881">
        <v>5</v>
      </c>
      <c r="DB5" s="881">
        <v>6</v>
      </c>
      <c r="DC5" s="881">
        <v>7</v>
      </c>
      <c r="DD5" s="881">
        <v>8</v>
      </c>
      <c r="DE5" s="881">
        <v>9</v>
      </c>
      <c r="DF5" s="881">
        <v>10</v>
      </c>
      <c r="DG5" s="881">
        <v>11</v>
      </c>
      <c r="DH5" s="881">
        <v>12</v>
      </c>
      <c r="DI5" s="881">
        <v>1</v>
      </c>
      <c r="DJ5" s="881">
        <v>2</v>
      </c>
      <c r="DK5" s="881">
        <v>3</v>
      </c>
      <c r="DL5" s="881">
        <v>4</v>
      </c>
      <c r="DM5" s="881">
        <v>5</v>
      </c>
      <c r="DN5" s="881">
        <v>6</v>
      </c>
      <c r="DO5" s="881">
        <v>7</v>
      </c>
      <c r="DP5" s="881">
        <v>8</v>
      </c>
      <c r="DQ5" s="1227">
        <v>9</v>
      </c>
      <c r="DR5" s="1227">
        <v>10</v>
      </c>
      <c r="DS5" s="1227">
        <v>11</v>
      </c>
      <c r="DT5" s="1227">
        <v>12</v>
      </c>
      <c r="DU5" s="881">
        <v>1</v>
      </c>
      <c r="DV5" s="881">
        <v>2</v>
      </c>
      <c r="DW5" s="881">
        <v>3</v>
      </c>
      <c r="DX5" s="881">
        <v>4</v>
      </c>
      <c r="DY5" s="881">
        <v>5</v>
      </c>
      <c r="DZ5" s="881">
        <v>6</v>
      </c>
      <c r="EA5" s="881">
        <v>7</v>
      </c>
      <c r="EB5" s="881">
        <v>8</v>
      </c>
      <c r="EC5" s="1227">
        <v>9</v>
      </c>
      <c r="ED5" s="1227">
        <v>10</v>
      </c>
      <c r="EE5" s="1227">
        <v>11</v>
      </c>
      <c r="EF5" s="1227">
        <v>12</v>
      </c>
      <c r="EH5" s="657">
        <v>1</v>
      </c>
      <c r="EI5" s="657">
        <v>2</v>
      </c>
      <c r="EJ5" s="657">
        <v>3</v>
      </c>
      <c r="EK5" s="657">
        <v>4</v>
      </c>
      <c r="EL5" s="657">
        <v>5</v>
      </c>
      <c r="EM5" s="657">
        <v>6</v>
      </c>
      <c r="EN5" s="657">
        <v>7</v>
      </c>
      <c r="EO5" s="657">
        <v>8</v>
      </c>
      <c r="EP5" s="657">
        <v>9</v>
      </c>
      <c r="EQ5" s="657">
        <v>10</v>
      </c>
      <c r="ER5" s="657">
        <v>11</v>
      </c>
      <c r="ES5" s="657">
        <v>12</v>
      </c>
      <c r="EU5" s="657">
        <v>1</v>
      </c>
      <c r="EV5" s="657">
        <v>2</v>
      </c>
      <c r="EW5" s="657">
        <v>3</v>
      </c>
      <c r="EX5" s="657">
        <v>4</v>
      </c>
      <c r="EY5" s="657">
        <v>5</v>
      </c>
      <c r="EZ5" s="657">
        <v>6</v>
      </c>
      <c r="FA5" s="657">
        <v>7</v>
      </c>
      <c r="FB5" s="657">
        <v>8</v>
      </c>
      <c r="FC5" s="657">
        <v>9</v>
      </c>
      <c r="FD5" s="657">
        <v>10</v>
      </c>
      <c r="FE5" s="657">
        <v>11</v>
      </c>
      <c r="FF5" s="657">
        <v>12</v>
      </c>
      <c r="FG5" s="657">
        <v>1</v>
      </c>
      <c r="FH5" s="657">
        <v>2</v>
      </c>
      <c r="FI5" s="657">
        <v>3</v>
      </c>
      <c r="FJ5" s="657">
        <v>4</v>
      </c>
      <c r="FK5" s="657">
        <v>5</v>
      </c>
      <c r="FL5" s="657">
        <v>6</v>
      </c>
      <c r="FM5" s="657">
        <v>7</v>
      </c>
      <c r="FN5" s="657">
        <v>8</v>
      </c>
      <c r="FO5" s="657">
        <v>9</v>
      </c>
      <c r="FP5" s="657">
        <v>10</v>
      </c>
      <c r="FQ5" s="657">
        <v>11</v>
      </c>
      <c r="FR5" s="657">
        <v>12</v>
      </c>
      <c r="FS5" s="657">
        <v>1</v>
      </c>
      <c r="FT5" s="657">
        <v>2</v>
      </c>
      <c r="FU5" s="657">
        <v>3</v>
      </c>
      <c r="FV5" s="657">
        <v>4</v>
      </c>
      <c r="FW5" s="657">
        <v>5</v>
      </c>
      <c r="FX5" s="657">
        <v>6</v>
      </c>
      <c r="FY5" s="657">
        <v>7</v>
      </c>
      <c r="FZ5" s="657">
        <v>8</v>
      </c>
      <c r="GA5" s="657">
        <v>9</v>
      </c>
      <c r="GB5" s="657">
        <v>10</v>
      </c>
      <c r="GC5" s="657">
        <v>11</v>
      </c>
      <c r="GD5" s="657">
        <v>12</v>
      </c>
      <c r="GE5" s="657">
        <v>1</v>
      </c>
      <c r="GF5" s="657">
        <v>2</v>
      </c>
      <c r="GG5" s="657">
        <v>3</v>
      </c>
      <c r="GH5" s="657">
        <v>4</v>
      </c>
      <c r="GI5" s="657">
        <v>5</v>
      </c>
      <c r="GJ5" s="657">
        <v>6</v>
      </c>
      <c r="GK5" s="657">
        <v>7</v>
      </c>
      <c r="GL5" s="657">
        <v>8</v>
      </c>
      <c r="GM5" s="657">
        <v>9</v>
      </c>
      <c r="GN5" s="657">
        <v>10</v>
      </c>
      <c r="GO5" s="657">
        <v>11</v>
      </c>
      <c r="GP5" s="657">
        <v>12</v>
      </c>
      <c r="GQ5" s="657">
        <v>1</v>
      </c>
      <c r="GR5" s="657">
        <v>2</v>
      </c>
      <c r="GS5" s="657">
        <v>3</v>
      </c>
      <c r="GT5" s="657">
        <v>4</v>
      </c>
      <c r="GU5" s="657">
        <v>5</v>
      </c>
      <c r="GV5" s="657">
        <v>6</v>
      </c>
      <c r="GW5" s="657">
        <v>7</v>
      </c>
      <c r="GX5" s="657">
        <v>8</v>
      </c>
      <c r="GY5" s="657">
        <v>9</v>
      </c>
      <c r="GZ5" s="657">
        <v>10</v>
      </c>
      <c r="HA5" s="657">
        <v>11</v>
      </c>
      <c r="HB5" s="657">
        <v>12</v>
      </c>
      <c r="HC5" s="875"/>
      <c r="HD5" s="133"/>
      <c r="HE5" s="133"/>
      <c r="HF5" s="133"/>
      <c r="HG5" s="133"/>
      <c r="HH5" s="133"/>
      <c r="HI5" s="133"/>
      <c r="HJ5" s="133"/>
      <c r="HK5" s="133"/>
      <c r="HL5" s="133"/>
      <c r="HM5" s="1189"/>
      <c r="HN5" s="1189"/>
      <c r="HO5" s="133"/>
      <c r="HP5" s="133"/>
      <c r="HR5" s="133"/>
      <c r="HS5" s="133"/>
      <c r="HT5" s="133"/>
      <c r="HU5" s="133"/>
      <c r="HV5" s="133"/>
      <c r="HW5" s="133"/>
      <c r="HX5" s="133"/>
      <c r="HY5" s="133"/>
      <c r="HZ5" s="133"/>
      <c r="IA5" s="133"/>
      <c r="IB5" s="133"/>
      <c r="IC5" s="133"/>
      <c r="IE5" s="133"/>
      <c r="IF5" s="133"/>
      <c r="IG5" s="133"/>
      <c r="IH5" s="133"/>
      <c r="II5" s="133"/>
      <c r="IJ5" s="133"/>
      <c r="IK5" s="133"/>
      <c r="IL5" s="133"/>
      <c r="IM5" s="133"/>
      <c r="IN5" s="133"/>
      <c r="IO5" s="133"/>
      <c r="IP5" s="133"/>
      <c r="IQ5" s="133"/>
      <c r="IR5" s="133"/>
      <c r="IS5" s="133"/>
      <c r="IT5" s="133"/>
      <c r="IU5" s="133"/>
      <c r="IV5" s="133"/>
      <c r="IW5" s="133"/>
      <c r="IX5" s="133"/>
      <c r="IY5" s="133"/>
      <c r="IZ5" s="133"/>
      <c r="JA5" s="882" t="s">
        <v>570</v>
      </c>
      <c r="JB5" s="882" t="s">
        <v>571</v>
      </c>
      <c r="JC5" s="882">
        <v>12</v>
      </c>
      <c r="JD5" s="882"/>
      <c r="JE5" s="882"/>
      <c r="JF5" s="882"/>
      <c r="JG5" s="882"/>
      <c r="JH5" s="882"/>
      <c r="JI5" s="882"/>
      <c r="JJ5" s="882"/>
      <c r="JK5" s="882"/>
      <c r="JL5" s="882" t="str">
        <f>+VLOOKUP(JC5,$NB$1:$NC$12,2,FALSE)</f>
        <v>Dic</v>
      </c>
      <c r="JM5" s="882"/>
      <c r="JN5" s="882"/>
      <c r="JO5" s="95"/>
      <c r="JP5" s="1605" t="str">
        <f>+JL5</f>
        <v>Dic</v>
      </c>
      <c r="JQ5" s="1605"/>
      <c r="JR5" s="1605"/>
      <c r="JS5" s="1605"/>
      <c r="JT5" s="1605"/>
      <c r="JU5" s="1605"/>
      <c r="JV5" s="1605"/>
      <c r="JW5" s="1605"/>
      <c r="JX5" s="70"/>
      <c r="LB5" s="882" t="s">
        <v>570</v>
      </c>
      <c r="LC5" s="882" t="s">
        <v>571</v>
      </c>
      <c r="LD5" s="883">
        <f>+JC5</f>
        <v>12</v>
      </c>
      <c r="LE5" s="882" t="str">
        <f>+VLOOKUP(LD5,$NB$1:$NC$12,2,FALSE)</f>
        <v>Dic</v>
      </c>
      <c r="LF5" s="882"/>
      <c r="LG5" s="882"/>
      <c r="LH5" s="882"/>
      <c r="LI5" s="882"/>
      <c r="LJ5" s="882"/>
      <c r="LK5" s="882"/>
      <c r="LL5" s="882"/>
      <c r="LM5" s="882"/>
      <c r="LN5" s="882"/>
      <c r="LO5" s="882"/>
      <c r="NB5" s="17">
        <v>5</v>
      </c>
      <c r="NC5" s="17" t="s">
        <v>572</v>
      </c>
    </row>
    <row r="6" spans="1:367" ht="15" customHeight="1" thickBot="1">
      <c r="A6" s="867"/>
      <c r="E6" s="881">
        <v>2012</v>
      </c>
      <c r="F6" s="881">
        <v>2012</v>
      </c>
      <c r="G6" s="881">
        <v>2012</v>
      </c>
      <c r="H6" s="881">
        <v>2012</v>
      </c>
      <c r="I6" s="881">
        <v>2012</v>
      </c>
      <c r="J6" s="881">
        <v>2012</v>
      </c>
      <c r="K6" s="881">
        <v>2012</v>
      </c>
      <c r="L6" s="881">
        <v>2012</v>
      </c>
      <c r="M6" s="881">
        <v>2012</v>
      </c>
      <c r="N6" s="881">
        <v>2012</v>
      </c>
      <c r="O6" s="881">
        <v>2012</v>
      </c>
      <c r="P6" s="881">
        <v>2012</v>
      </c>
      <c r="Q6" s="881">
        <v>2013</v>
      </c>
      <c r="R6" s="881">
        <v>2013</v>
      </c>
      <c r="S6" s="881">
        <v>2013</v>
      </c>
      <c r="T6" s="881">
        <v>2013</v>
      </c>
      <c r="U6" s="881">
        <v>2013</v>
      </c>
      <c r="V6" s="881">
        <v>2013</v>
      </c>
      <c r="W6" s="881">
        <v>2013</v>
      </c>
      <c r="X6" s="881">
        <v>2013</v>
      </c>
      <c r="Y6" s="881">
        <v>2013</v>
      </c>
      <c r="Z6" s="881">
        <v>2013</v>
      </c>
      <c r="AA6" s="881">
        <v>2013</v>
      </c>
      <c r="AB6" s="881">
        <v>2013</v>
      </c>
      <c r="AC6" s="881">
        <v>2014</v>
      </c>
      <c r="AD6" s="881">
        <v>2014</v>
      </c>
      <c r="AE6" s="881">
        <v>2014</v>
      </c>
      <c r="AF6" s="881">
        <v>2014</v>
      </c>
      <c r="AG6" s="881">
        <v>2014</v>
      </c>
      <c r="AH6" s="881">
        <v>2014</v>
      </c>
      <c r="AI6" s="881">
        <v>2014</v>
      </c>
      <c r="AJ6" s="881">
        <v>2014</v>
      </c>
      <c r="AK6" s="881">
        <v>2014</v>
      </c>
      <c r="AL6" s="881">
        <v>2014</v>
      </c>
      <c r="AM6" s="881">
        <v>2014</v>
      </c>
      <c r="AN6" s="881">
        <v>2014</v>
      </c>
      <c r="AO6" s="881">
        <v>2015</v>
      </c>
      <c r="AP6" s="881">
        <v>2015</v>
      </c>
      <c r="AQ6" s="881">
        <v>2015</v>
      </c>
      <c r="AR6" s="881">
        <v>2015</v>
      </c>
      <c r="AS6" s="881">
        <v>2015</v>
      </c>
      <c r="AT6" s="881">
        <v>2015</v>
      </c>
      <c r="AU6" s="881">
        <v>2015</v>
      </c>
      <c r="AV6" s="881">
        <v>2015</v>
      </c>
      <c r="AW6" s="881">
        <v>2015</v>
      </c>
      <c r="AX6" s="881">
        <v>2015</v>
      </c>
      <c r="AY6" s="881">
        <v>2015</v>
      </c>
      <c r="AZ6" s="881">
        <v>2015</v>
      </c>
      <c r="BA6" s="881">
        <v>2016</v>
      </c>
      <c r="BB6" s="881">
        <v>2016</v>
      </c>
      <c r="BC6" s="881">
        <v>2016</v>
      </c>
      <c r="BD6" s="881">
        <v>2016</v>
      </c>
      <c r="BE6" s="881">
        <v>2016</v>
      </c>
      <c r="BF6" s="881">
        <v>2016</v>
      </c>
      <c r="BG6" s="881">
        <v>2016</v>
      </c>
      <c r="BH6" s="881">
        <v>2016</v>
      </c>
      <c r="BI6" s="881">
        <v>2016</v>
      </c>
      <c r="BJ6" s="881">
        <v>2016</v>
      </c>
      <c r="BK6" s="881">
        <v>2016</v>
      </c>
      <c r="BL6" s="881">
        <v>2016</v>
      </c>
      <c r="BM6" s="881">
        <v>2017</v>
      </c>
      <c r="BN6" s="881">
        <v>2017</v>
      </c>
      <c r="BO6" s="881">
        <v>2017</v>
      </c>
      <c r="BP6" s="881">
        <v>2017</v>
      </c>
      <c r="BQ6" s="881">
        <v>2017</v>
      </c>
      <c r="BR6" s="881">
        <v>2017</v>
      </c>
      <c r="BS6" s="881">
        <v>2017</v>
      </c>
      <c r="BT6" s="881">
        <v>2017</v>
      </c>
      <c r="BU6" s="881">
        <v>2017</v>
      </c>
      <c r="BV6" s="881">
        <v>2017</v>
      </c>
      <c r="BW6" s="881">
        <v>2017</v>
      </c>
      <c r="BX6" s="881">
        <v>2017</v>
      </c>
      <c r="BY6" s="881">
        <v>2018</v>
      </c>
      <c r="BZ6" s="881">
        <v>2018</v>
      </c>
      <c r="CA6" s="881">
        <v>2018</v>
      </c>
      <c r="CB6" s="881">
        <v>2018</v>
      </c>
      <c r="CC6" s="881">
        <v>2018</v>
      </c>
      <c r="CD6" s="881">
        <v>2018</v>
      </c>
      <c r="CE6" s="881">
        <v>2018</v>
      </c>
      <c r="CF6" s="881">
        <v>2018</v>
      </c>
      <c r="CG6" s="881">
        <v>2018</v>
      </c>
      <c r="CH6" s="881">
        <v>2018</v>
      </c>
      <c r="CI6" s="881">
        <v>2018</v>
      </c>
      <c r="CJ6" s="881">
        <v>2018</v>
      </c>
      <c r="CK6" s="881">
        <v>2019</v>
      </c>
      <c r="CL6" s="881">
        <v>2019</v>
      </c>
      <c r="CM6" s="881">
        <v>2019</v>
      </c>
      <c r="CN6" s="881">
        <v>2019</v>
      </c>
      <c r="CO6" s="881">
        <v>2019</v>
      </c>
      <c r="CP6" s="881">
        <v>2019</v>
      </c>
      <c r="CQ6" s="881">
        <v>2019</v>
      </c>
      <c r="CR6" s="881">
        <v>2019</v>
      </c>
      <c r="CS6" s="881">
        <v>2019</v>
      </c>
      <c r="CT6" s="881">
        <v>2019</v>
      </c>
      <c r="CU6" s="881">
        <v>2019</v>
      </c>
      <c r="CV6" s="881">
        <v>2019</v>
      </c>
      <c r="CW6" s="881">
        <v>2020</v>
      </c>
      <c r="CX6" s="881">
        <v>2020</v>
      </c>
      <c r="CY6" s="881">
        <v>2020</v>
      </c>
      <c r="CZ6" s="881">
        <v>2020</v>
      </c>
      <c r="DA6" s="881">
        <v>2020</v>
      </c>
      <c r="DB6" s="881">
        <v>2020</v>
      </c>
      <c r="DC6" s="881">
        <v>2020</v>
      </c>
      <c r="DD6" s="881">
        <v>2020</v>
      </c>
      <c r="DE6" s="881">
        <v>2020</v>
      </c>
      <c r="DF6" s="881">
        <v>2020</v>
      </c>
      <c r="DG6" s="881">
        <v>2020</v>
      </c>
      <c r="DH6" s="881">
        <v>2020</v>
      </c>
      <c r="DI6" s="881">
        <v>2021</v>
      </c>
      <c r="DJ6" s="881">
        <v>2021</v>
      </c>
      <c r="DK6" s="881">
        <v>2021</v>
      </c>
      <c r="DL6" s="881">
        <v>2021</v>
      </c>
      <c r="DM6" s="881">
        <v>2021</v>
      </c>
      <c r="DN6" s="881">
        <v>2021</v>
      </c>
      <c r="DO6" s="881">
        <v>2021</v>
      </c>
      <c r="DP6" s="881">
        <v>2021</v>
      </c>
      <c r="DQ6" s="1227">
        <v>2021</v>
      </c>
      <c r="DR6" s="1227">
        <v>2021</v>
      </c>
      <c r="DS6" s="1227">
        <v>2021</v>
      </c>
      <c r="DT6" s="1227">
        <v>2021</v>
      </c>
      <c r="DU6" s="1227">
        <v>2022</v>
      </c>
      <c r="DV6" s="881">
        <v>2022</v>
      </c>
      <c r="DW6" s="881">
        <v>2022</v>
      </c>
      <c r="DX6" s="881">
        <v>2022</v>
      </c>
      <c r="DY6" s="881">
        <v>2022</v>
      </c>
      <c r="DZ6" s="881">
        <v>2022</v>
      </c>
      <c r="EA6" s="881">
        <v>2022</v>
      </c>
      <c r="EB6" s="881">
        <v>2022</v>
      </c>
      <c r="EC6" s="881">
        <v>2022</v>
      </c>
      <c r="ED6" s="881">
        <v>2022</v>
      </c>
      <c r="EE6" s="881">
        <v>2022</v>
      </c>
      <c r="EF6" s="881">
        <v>2022</v>
      </c>
      <c r="EH6" s="657">
        <v>2019</v>
      </c>
      <c r="EI6" s="657">
        <v>2019</v>
      </c>
      <c r="EJ6" s="657">
        <v>2019</v>
      </c>
      <c r="EK6" s="657">
        <v>2019</v>
      </c>
      <c r="EL6" s="657">
        <v>2019</v>
      </c>
      <c r="EM6" s="657">
        <v>2019</v>
      </c>
      <c r="EN6" s="657">
        <v>2019</v>
      </c>
      <c r="EO6" s="657">
        <v>2019</v>
      </c>
      <c r="EP6" s="657">
        <v>2019</v>
      </c>
      <c r="EQ6" s="657">
        <v>2019</v>
      </c>
      <c r="ER6" s="657">
        <v>2019</v>
      </c>
      <c r="ES6" s="657">
        <v>2019</v>
      </c>
      <c r="EU6" s="657">
        <v>2015</v>
      </c>
      <c r="EV6" s="657">
        <v>2015</v>
      </c>
      <c r="EW6" s="657">
        <v>2015</v>
      </c>
      <c r="EX6" s="657">
        <v>2015</v>
      </c>
      <c r="EY6" s="657">
        <v>2015</v>
      </c>
      <c r="EZ6" s="657">
        <v>2015</v>
      </c>
      <c r="FA6" s="657">
        <v>2015</v>
      </c>
      <c r="FB6" s="657">
        <v>2015</v>
      </c>
      <c r="FC6" s="657">
        <v>2015</v>
      </c>
      <c r="FD6" s="657">
        <v>2015</v>
      </c>
      <c r="FE6" s="657">
        <v>2015</v>
      </c>
      <c r="FF6" s="657">
        <v>2015</v>
      </c>
      <c r="FG6" s="657">
        <v>2016</v>
      </c>
      <c r="FH6" s="657">
        <v>2016</v>
      </c>
      <c r="FI6" s="657">
        <v>2016</v>
      </c>
      <c r="FJ6" s="657">
        <v>2016</v>
      </c>
      <c r="FK6" s="657">
        <v>2016</v>
      </c>
      <c r="FL6" s="657">
        <v>2016</v>
      </c>
      <c r="FM6" s="657">
        <v>2016</v>
      </c>
      <c r="FN6" s="657">
        <v>2016</v>
      </c>
      <c r="FO6" s="657">
        <v>2016</v>
      </c>
      <c r="FP6" s="657">
        <v>2016</v>
      </c>
      <c r="FQ6" s="657">
        <v>2016</v>
      </c>
      <c r="FR6" s="657">
        <v>2016</v>
      </c>
      <c r="FS6" s="657">
        <v>2017</v>
      </c>
      <c r="FT6" s="657">
        <v>2017</v>
      </c>
      <c r="FU6" s="657">
        <v>2017</v>
      </c>
      <c r="FV6" s="657">
        <v>2017</v>
      </c>
      <c r="FW6" s="657">
        <v>2017</v>
      </c>
      <c r="FX6" s="657">
        <v>2017</v>
      </c>
      <c r="FY6" s="657">
        <v>2017</v>
      </c>
      <c r="FZ6" s="657">
        <v>2017</v>
      </c>
      <c r="GA6" s="657">
        <v>2017</v>
      </c>
      <c r="GB6" s="657">
        <v>2017</v>
      </c>
      <c r="GC6" s="657">
        <v>2017</v>
      </c>
      <c r="GD6" s="657">
        <v>2017</v>
      </c>
      <c r="GE6" s="657">
        <v>2018</v>
      </c>
      <c r="GF6" s="657">
        <v>2018</v>
      </c>
      <c r="GG6" s="657">
        <v>2018</v>
      </c>
      <c r="GH6" s="657">
        <v>2018</v>
      </c>
      <c r="GI6" s="657">
        <v>2018</v>
      </c>
      <c r="GJ6" s="657">
        <v>2018</v>
      </c>
      <c r="GK6" s="657">
        <v>2018</v>
      </c>
      <c r="GL6" s="657">
        <v>2018</v>
      </c>
      <c r="GM6" s="657">
        <v>2018</v>
      </c>
      <c r="GN6" s="657">
        <v>2018</v>
      </c>
      <c r="GO6" s="657">
        <v>2018</v>
      </c>
      <c r="GP6" s="657">
        <v>2018</v>
      </c>
      <c r="GQ6" s="657">
        <v>2019</v>
      </c>
      <c r="GR6" s="657">
        <v>2019</v>
      </c>
      <c r="GS6" s="657">
        <v>2019</v>
      </c>
      <c r="GT6" s="657">
        <v>2019</v>
      </c>
      <c r="GU6" s="657">
        <v>2019</v>
      </c>
      <c r="GV6" s="657">
        <v>2019</v>
      </c>
      <c r="GW6" s="657">
        <v>2019</v>
      </c>
      <c r="GX6" s="657">
        <v>2019</v>
      </c>
      <c r="GY6" s="657">
        <v>2019</v>
      </c>
      <c r="GZ6" s="657">
        <v>2019</v>
      </c>
      <c r="HA6" s="657">
        <v>2019</v>
      </c>
      <c r="HB6" s="657">
        <v>2019</v>
      </c>
      <c r="NB6" s="17">
        <v>6</v>
      </c>
      <c r="NC6" s="17" t="s">
        <v>573</v>
      </c>
    </row>
    <row r="7" spans="1:367" ht="28.5" customHeight="1" thickBot="1">
      <c r="A7" s="884"/>
      <c r="B7" s="70"/>
      <c r="C7" s="70"/>
      <c r="D7" s="70"/>
      <c r="E7" s="885">
        <v>40909</v>
      </c>
      <c r="F7" s="886">
        <v>40940</v>
      </c>
      <c r="G7" s="886">
        <v>40969</v>
      </c>
      <c r="H7" s="886">
        <v>41000</v>
      </c>
      <c r="I7" s="886">
        <v>41030</v>
      </c>
      <c r="J7" s="886">
        <v>41061</v>
      </c>
      <c r="K7" s="886">
        <v>41091</v>
      </c>
      <c r="L7" s="886">
        <v>41122</v>
      </c>
      <c r="M7" s="886">
        <v>41153</v>
      </c>
      <c r="N7" s="886">
        <v>41183</v>
      </c>
      <c r="O7" s="886">
        <v>41214</v>
      </c>
      <c r="P7" s="887">
        <v>41244</v>
      </c>
      <c r="Q7" s="885">
        <v>41275</v>
      </c>
      <c r="R7" s="886">
        <v>41306</v>
      </c>
      <c r="S7" s="886">
        <v>41334</v>
      </c>
      <c r="T7" s="886">
        <v>41365</v>
      </c>
      <c r="U7" s="886">
        <v>41395</v>
      </c>
      <c r="V7" s="886">
        <v>41426</v>
      </c>
      <c r="W7" s="886">
        <v>41456</v>
      </c>
      <c r="X7" s="886">
        <v>41487</v>
      </c>
      <c r="Y7" s="886">
        <v>41518</v>
      </c>
      <c r="Z7" s="886">
        <v>41548</v>
      </c>
      <c r="AA7" s="886">
        <v>41579</v>
      </c>
      <c r="AB7" s="886">
        <v>41609</v>
      </c>
      <c r="AC7" s="885">
        <v>41640</v>
      </c>
      <c r="AD7" s="886">
        <v>41671</v>
      </c>
      <c r="AE7" s="886">
        <v>41699</v>
      </c>
      <c r="AF7" s="886">
        <v>41730</v>
      </c>
      <c r="AG7" s="886">
        <v>41760</v>
      </c>
      <c r="AH7" s="886">
        <v>41791</v>
      </c>
      <c r="AI7" s="886">
        <v>41821</v>
      </c>
      <c r="AJ7" s="886">
        <v>41852</v>
      </c>
      <c r="AK7" s="886">
        <v>41883</v>
      </c>
      <c r="AL7" s="886">
        <v>41913</v>
      </c>
      <c r="AM7" s="886">
        <v>41944</v>
      </c>
      <c r="AN7" s="886">
        <v>41974</v>
      </c>
      <c r="AO7" s="885">
        <v>42005</v>
      </c>
      <c r="AP7" s="886">
        <v>42036</v>
      </c>
      <c r="AQ7" s="886">
        <v>42064</v>
      </c>
      <c r="AR7" s="886">
        <v>42095</v>
      </c>
      <c r="AS7" s="886">
        <v>42125</v>
      </c>
      <c r="AT7" s="886">
        <v>42156</v>
      </c>
      <c r="AU7" s="886">
        <v>42186</v>
      </c>
      <c r="AV7" s="886">
        <v>42217</v>
      </c>
      <c r="AW7" s="886">
        <v>42248</v>
      </c>
      <c r="AX7" s="886">
        <v>42278</v>
      </c>
      <c r="AY7" s="886">
        <v>42309</v>
      </c>
      <c r="AZ7" s="887">
        <v>42339</v>
      </c>
      <c r="BA7" s="885">
        <v>42370</v>
      </c>
      <c r="BB7" s="886">
        <v>42401</v>
      </c>
      <c r="BC7" s="886">
        <v>42430</v>
      </c>
      <c r="BD7" s="886">
        <v>42461</v>
      </c>
      <c r="BE7" s="886">
        <v>42491</v>
      </c>
      <c r="BF7" s="886">
        <v>42522</v>
      </c>
      <c r="BG7" s="886">
        <v>42552</v>
      </c>
      <c r="BH7" s="886">
        <v>42583</v>
      </c>
      <c r="BI7" s="886">
        <v>42614</v>
      </c>
      <c r="BJ7" s="886">
        <v>42644</v>
      </c>
      <c r="BK7" s="886">
        <v>42675</v>
      </c>
      <c r="BL7" s="887">
        <v>42705</v>
      </c>
      <c r="BM7" s="885">
        <v>42736</v>
      </c>
      <c r="BN7" s="886">
        <v>42767</v>
      </c>
      <c r="BO7" s="886">
        <v>42795</v>
      </c>
      <c r="BP7" s="886">
        <v>42826</v>
      </c>
      <c r="BQ7" s="886">
        <v>42856</v>
      </c>
      <c r="BR7" s="886">
        <v>42887</v>
      </c>
      <c r="BS7" s="886">
        <v>42917</v>
      </c>
      <c r="BT7" s="886">
        <v>42948</v>
      </c>
      <c r="BU7" s="886">
        <v>42979</v>
      </c>
      <c r="BV7" s="886">
        <v>43009</v>
      </c>
      <c r="BW7" s="886">
        <v>43040</v>
      </c>
      <c r="BX7" s="887">
        <v>43070</v>
      </c>
      <c r="BY7" s="885">
        <v>43101</v>
      </c>
      <c r="BZ7" s="886">
        <v>43132</v>
      </c>
      <c r="CA7" s="886">
        <v>43160</v>
      </c>
      <c r="CB7" s="886">
        <v>43191</v>
      </c>
      <c r="CC7" s="886">
        <v>43221</v>
      </c>
      <c r="CD7" s="886">
        <v>43252</v>
      </c>
      <c r="CE7" s="886">
        <v>43282</v>
      </c>
      <c r="CF7" s="886">
        <v>43313</v>
      </c>
      <c r="CG7" s="886">
        <v>43344</v>
      </c>
      <c r="CH7" s="886">
        <v>43374</v>
      </c>
      <c r="CI7" s="886">
        <v>43405</v>
      </c>
      <c r="CJ7" s="887">
        <v>43435</v>
      </c>
      <c r="CK7" s="888">
        <v>43466</v>
      </c>
      <c r="CL7" s="889">
        <v>43497</v>
      </c>
      <c r="CM7" s="889">
        <v>43525</v>
      </c>
      <c r="CN7" s="889">
        <v>43556</v>
      </c>
      <c r="CO7" s="889">
        <v>43586</v>
      </c>
      <c r="CP7" s="889">
        <v>43617</v>
      </c>
      <c r="CQ7" s="889">
        <v>43647</v>
      </c>
      <c r="CR7" s="889">
        <v>43678</v>
      </c>
      <c r="CS7" s="889">
        <v>43709</v>
      </c>
      <c r="CT7" s="889">
        <v>43739</v>
      </c>
      <c r="CU7" s="889">
        <v>43770</v>
      </c>
      <c r="CV7" s="890">
        <v>43800</v>
      </c>
      <c r="CW7" s="891">
        <v>43831</v>
      </c>
      <c r="CX7" s="892">
        <v>43862</v>
      </c>
      <c r="CY7" s="892">
        <v>43891</v>
      </c>
      <c r="CZ7" s="892">
        <v>43922</v>
      </c>
      <c r="DA7" s="892">
        <v>43952</v>
      </c>
      <c r="DB7" s="892">
        <v>43983</v>
      </c>
      <c r="DC7" s="892">
        <v>44013</v>
      </c>
      <c r="DD7" s="892">
        <v>44044</v>
      </c>
      <c r="DE7" s="892">
        <v>44075</v>
      </c>
      <c r="DF7" s="892">
        <v>44105</v>
      </c>
      <c r="DG7" s="892">
        <v>44136</v>
      </c>
      <c r="DH7" s="893">
        <v>44166</v>
      </c>
      <c r="DI7" s="1166">
        <v>44197</v>
      </c>
      <c r="DJ7" s="1167">
        <v>44228</v>
      </c>
      <c r="DK7" s="1167">
        <v>44256</v>
      </c>
      <c r="DL7" s="1167">
        <v>44287</v>
      </c>
      <c r="DM7" s="1167">
        <v>44317</v>
      </c>
      <c r="DN7" s="1167">
        <v>44348</v>
      </c>
      <c r="DO7" s="1167">
        <v>44378</v>
      </c>
      <c r="DP7" s="1167">
        <v>44409</v>
      </c>
      <c r="DQ7" s="1167">
        <v>44440</v>
      </c>
      <c r="DR7" s="1167">
        <v>44470</v>
      </c>
      <c r="DS7" s="1167">
        <v>44501</v>
      </c>
      <c r="DT7" s="1167">
        <v>44531</v>
      </c>
      <c r="DU7" s="1228">
        <v>44562</v>
      </c>
      <c r="DV7" s="1228">
        <v>44593</v>
      </c>
      <c r="DW7" s="1228">
        <v>44621</v>
      </c>
      <c r="DX7" s="1228">
        <v>44652</v>
      </c>
      <c r="DY7" s="1228">
        <v>44682</v>
      </c>
      <c r="DZ7" s="1228">
        <v>44713</v>
      </c>
      <c r="EA7" s="1228">
        <v>44743</v>
      </c>
      <c r="EB7" s="1228">
        <v>44774</v>
      </c>
      <c r="EC7" s="1228">
        <v>44805</v>
      </c>
      <c r="ED7" s="1228">
        <v>44835</v>
      </c>
      <c r="EE7" s="1228">
        <v>44866</v>
      </c>
      <c r="EF7" s="1229">
        <v>44896</v>
      </c>
      <c r="EG7" s="894"/>
      <c r="EH7" s="895">
        <v>43466</v>
      </c>
      <c r="EI7" s="896">
        <v>43497</v>
      </c>
      <c r="EJ7" s="896">
        <v>43525</v>
      </c>
      <c r="EK7" s="896">
        <v>43556</v>
      </c>
      <c r="EL7" s="896">
        <v>43586</v>
      </c>
      <c r="EM7" s="896">
        <v>43617</v>
      </c>
      <c r="EN7" s="896">
        <v>43647</v>
      </c>
      <c r="EO7" s="896">
        <v>43678</v>
      </c>
      <c r="EP7" s="896">
        <v>43709</v>
      </c>
      <c r="EQ7" s="896">
        <v>43739</v>
      </c>
      <c r="ER7" s="896">
        <v>43770</v>
      </c>
      <c r="ES7" s="897">
        <v>43800</v>
      </c>
      <c r="EU7" s="898">
        <v>42005</v>
      </c>
      <c r="EV7" s="899">
        <v>42036</v>
      </c>
      <c r="EW7" s="899">
        <v>42064</v>
      </c>
      <c r="EX7" s="899">
        <v>42095</v>
      </c>
      <c r="EY7" s="899">
        <v>42125</v>
      </c>
      <c r="EZ7" s="899">
        <v>42156</v>
      </c>
      <c r="FA7" s="899">
        <v>42186</v>
      </c>
      <c r="FB7" s="899">
        <v>42217</v>
      </c>
      <c r="FC7" s="899">
        <v>42248</v>
      </c>
      <c r="FD7" s="899">
        <v>42278</v>
      </c>
      <c r="FE7" s="899">
        <v>42309</v>
      </c>
      <c r="FF7" s="900">
        <v>42339</v>
      </c>
      <c r="FG7" s="898">
        <v>42370</v>
      </c>
      <c r="FH7" s="899">
        <v>42401</v>
      </c>
      <c r="FI7" s="899">
        <v>42430</v>
      </c>
      <c r="FJ7" s="899">
        <v>42461</v>
      </c>
      <c r="FK7" s="899">
        <v>42491</v>
      </c>
      <c r="FL7" s="899">
        <v>42522</v>
      </c>
      <c r="FM7" s="899">
        <v>42552</v>
      </c>
      <c r="FN7" s="899">
        <v>42583</v>
      </c>
      <c r="FO7" s="899">
        <v>42614</v>
      </c>
      <c r="FP7" s="899">
        <v>42644</v>
      </c>
      <c r="FQ7" s="899">
        <v>42675</v>
      </c>
      <c r="FR7" s="900">
        <v>42705</v>
      </c>
      <c r="FS7" s="898">
        <v>42736</v>
      </c>
      <c r="FT7" s="899">
        <v>42767</v>
      </c>
      <c r="FU7" s="899">
        <v>42795</v>
      </c>
      <c r="FV7" s="899">
        <v>42826</v>
      </c>
      <c r="FW7" s="899">
        <v>42856</v>
      </c>
      <c r="FX7" s="899">
        <v>42887</v>
      </c>
      <c r="FY7" s="899">
        <v>42917</v>
      </c>
      <c r="FZ7" s="899">
        <v>42948</v>
      </c>
      <c r="GA7" s="899">
        <v>42979</v>
      </c>
      <c r="GB7" s="899">
        <v>43009</v>
      </c>
      <c r="GC7" s="899">
        <v>43040</v>
      </c>
      <c r="GD7" s="900">
        <v>43070</v>
      </c>
      <c r="GE7" s="898">
        <v>43101</v>
      </c>
      <c r="GF7" s="899">
        <v>43132</v>
      </c>
      <c r="GG7" s="899">
        <v>43160</v>
      </c>
      <c r="GH7" s="899">
        <v>43191</v>
      </c>
      <c r="GI7" s="899">
        <v>43221</v>
      </c>
      <c r="GJ7" s="899">
        <v>43252</v>
      </c>
      <c r="GK7" s="899">
        <v>43282</v>
      </c>
      <c r="GL7" s="899">
        <v>43313</v>
      </c>
      <c r="GM7" s="899">
        <v>43344</v>
      </c>
      <c r="GN7" s="899">
        <v>43374</v>
      </c>
      <c r="GO7" s="899">
        <v>43405</v>
      </c>
      <c r="GP7" s="900">
        <v>43435</v>
      </c>
      <c r="GQ7" s="901">
        <v>43466</v>
      </c>
      <c r="GR7" s="902">
        <v>43497</v>
      </c>
      <c r="GS7" s="902">
        <v>43525</v>
      </c>
      <c r="GT7" s="902">
        <v>43556</v>
      </c>
      <c r="GU7" s="902">
        <v>43586</v>
      </c>
      <c r="GV7" s="902">
        <v>43617</v>
      </c>
      <c r="GW7" s="902">
        <v>43647</v>
      </c>
      <c r="GX7" s="902">
        <v>43678</v>
      </c>
      <c r="GY7" s="902">
        <v>43709</v>
      </c>
      <c r="GZ7" s="902">
        <v>43739</v>
      </c>
      <c r="HA7" s="902">
        <v>43770</v>
      </c>
      <c r="HB7" s="903">
        <v>43800</v>
      </c>
      <c r="HC7" s="894"/>
      <c r="HD7" s="885">
        <v>2012</v>
      </c>
      <c r="HE7" s="886">
        <v>2013</v>
      </c>
      <c r="HF7" s="886">
        <v>2014</v>
      </c>
      <c r="HG7" s="886">
        <v>2015</v>
      </c>
      <c r="HH7" s="886">
        <v>2016</v>
      </c>
      <c r="HI7" s="886">
        <v>2017</v>
      </c>
      <c r="HJ7" s="886">
        <v>2018</v>
      </c>
      <c r="HK7" s="886">
        <v>2019</v>
      </c>
      <c r="HL7" s="886">
        <v>2020</v>
      </c>
      <c r="HM7" s="886">
        <v>2021</v>
      </c>
      <c r="HN7" s="886">
        <v>2022</v>
      </c>
      <c r="HO7" s="904">
        <v>2022</v>
      </c>
      <c r="HP7" s="905" t="s">
        <v>574</v>
      </c>
      <c r="HQ7" s="906"/>
      <c r="HR7" s="886" t="s">
        <v>575</v>
      </c>
      <c r="HS7" s="886" t="s">
        <v>576</v>
      </c>
      <c r="HT7" s="886" t="s">
        <v>577</v>
      </c>
      <c r="HU7" s="886" t="s">
        <v>578</v>
      </c>
      <c r="HV7" s="886" t="s">
        <v>579</v>
      </c>
      <c r="HW7" s="886" t="s">
        <v>580</v>
      </c>
      <c r="HX7" s="886" t="s">
        <v>581</v>
      </c>
      <c r="HY7" s="886" t="s">
        <v>582</v>
      </c>
      <c r="HZ7" s="886" t="s">
        <v>583</v>
      </c>
      <c r="IA7" s="904" t="s">
        <v>584</v>
      </c>
      <c r="IB7" s="889" t="s">
        <v>585</v>
      </c>
      <c r="IC7" s="907" t="s">
        <v>586</v>
      </c>
      <c r="ID7" s="906"/>
      <c r="IE7" s="886" t="s">
        <v>587</v>
      </c>
      <c r="IF7" s="886" t="s">
        <v>588</v>
      </c>
      <c r="IG7" s="886" t="s">
        <v>589</v>
      </c>
      <c r="IH7" s="886" t="s">
        <v>590</v>
      </c>
      <c r="II7" s="886" t="s">
        <v>591</v>
      </c>
      <c r="IJ7" s="886" t="s">
        <v>592</v>
      </c>
      <c r="IK7" s="886" t="s">
        <v>593</v>
      </c>
      <c r="IL7" s="904" t="s">
        <v>594</v>
      </c>
      <c r="IM7" s="889" t="s">
        <v>595</v>
      </c>
      <c r="IN7" s="907" t="s">
        <v>596</v>
      </c>
      <c r="IO7" s="894"/>
      <c r="IP7" s="886">
        <v>2013</v>
      </c>
      <c r="IQ7" s="886">
        <v>2014</v>
      </c>
      <c r="IR7" s="886">
        <v>2015</v>
      </c>
      <c r="IS7" s="886">
        <v>2016</v>
      </c>
      <c r="IT7" s="886">
        <v>2017</v>
      </c>
      <c r="IU7" s="886">
        <v>2018</v>
      </c>
      <c r="IV7" s="886">
        <v>2019</v>
      </c>
      <c r="IW7" s="886">
        <v>2020</v>
      </c>
      <c r="IX7" s="904">
        <v>2021</v>
      </c>
      <c r="IY7" s="905" t="s">
        <v>597</v>
      </c>
      <c r="IZ7" s="894"/>
      <c r="JA7" s="886">
        <v>2012</v>
      </c>
      <c r="JB7" s="886">
        <v>2013</v>
      </c>
      <c r="JC7" s="886">
        <v>2014</v>
      </c>
      <c r="JD7" s="886">
        <v>2015</v>
      </c>
      <c r="JE7" s="886">
        <v>2016</v>
      </c>
      <c r="JF7" s="886">
        <v>2017</v>
      </c>
      <c r="JG7" s="886">
        <v>2018</v>
      </c>
      <c r="JH7" s="886">
        <v>2019</v>
      </c>
      <c r="JI7" s="886">
        <v>2020</v>
      </c>
      <c r="JJ7" s="886">
        <v>2021</v>
      </c>
      <c r="JK7" s="886">
        <v>2022</v>
      </c>
      <c r="JL7" s="908">
        <v>2022</v>
      </c>
      <c r="JM7" s="904">
        <v>2021</v>
      </c>
      <c r="JN7" s="905" t="s">
        <v>597</v>
      </c>
      <c r="JO7" s="909"/>
      <c r="JP7" s="910" t="s">
        <v>598</v>
      </c>
      <c r="JQ7" s="911" t="s">
        <v>599</v>
      </c>
      <c r="JR7" s="894"/>
      <c r="JS7" s="885" t="s">
        <v>600</v>
      </c>
      <c r="JT7" s="887" t="s">
        <v>601</v>
      </c>
      <c r="JU7" s="894"/>
      <c r="JV7" s="888" t="s">
        <v>602</v>
      </c>
      <c r="JW7" s="904" t="s">
        <v>603</v>
      </c>
      <c r="JY7" s="912" t="s">
        <v>604</v>
      </c>
      <c r="JZ7" s="912" t="s">
        <v>576</v>
      </c>
      <c r="KA7" s="912" t="s">
        <v>577</v>
      </c>
      <c r="KB7" s="912" t="s">
        <v>578</v>
      </c>
      <c r="KC7" s="912" t="s">
        <v>579</v>
      </c>
      <c r="KD7" s="912" t="s">
        <v>580</v>
      </c>
      <c r="KE7" s="912" t="s">
        <v>581</v>
      </c>
      <c r="KF7" s="913" t="s">
        <v>605</v>
      </c>
      <c r="KH7" s="912" t="s">
        <v>606</v>
      </c>
      <c r="KI7" s="912" t="s">
        <v>607</v>
      </c>
      <c r="KJ7" s="912" t="s">
        <v>608</v>
      </c>
      <c r="KK7" s="912" t="s">
        <v>609</v>
      </c>
      <c r="KL7" s="912" t="s">
        <v>610</v>
      </c>
      <c r="KM7" s="912" t="s">
        <v>611</v>
      </c>
      <c r="KN7" s="912" t="s">
        <v>612</v>
      </c>
      <c r="KO7" s="913" t="s">
        <v>613</v>
      </c>
      <c r="KQ7" s="886">
        <v>2012</v>
      </c>
      <c r="KR7" s="886">
        <v>2013</v>
      </c>
      <c r="KS7" s="886">
        <v>2014</v>
      </c>
      <c r="KT7" s="886">
        <v>2015</v>
      </c>
      <c r="KU7" s="886">
        <v>2016</v>
      </c>
      <c r="KV7" s="886">
        <v>2017</v>
      </c>
      <c r="KW7" s="886">
        <v>2018</v>
      </c>
      <c r="KX7" s="886">
        <v>2019</v>
      </c>
      <c r="KY7" s="886">
        <v>2020</v>
      </c>
      <c r="KZ7" s="907">
        <v>2021</v>
      </c>
      <c r="LB7" s="886">
        <v>2012</v>
      </c>
      <c r="LC7" s="886">
        <v>2013</v>
      </c>
      <c r="LD7" s="886">
        <v>2014</v>
      </c>
      <c r="LE7" s="886">
        <v>2015</v>
      </c>
      <c r="LF7" s="886">
        <v>2016</v>
      </c>
      <c r="LG7" s="886">
        <v>2017</v>
      </c>
      <c r="LH7" s="886">
        <v>2018</v>
      </c>
      <c r="LI7" s="886">
        <v>2019</v>
      </c>
      <c r="LJ7" s="886">
        <v>2020</v>
      </c>
      <c r="LK7" s="886">
        <v>2021</v>
      </c>
      <c r="LL7" s="886">
        <v>2022</v>
      </c>
      <c r="LM7" s="908">
        <v>2022</v>
      </c>
      <c r="LN7" s="904">
        <v>2021</v>
      </c>
      <c r="LO7" s="905">
        <v>2021</v>
      </c>
      <c r="LP7" s="914"/>
      <c r="LR7" s="912" t="s">
        <v>604</v>
      </c>
      <c r="LS7" s="912" t="s">
        <v>576</v>
      </c>
      <c r="LT7" s="912" t="s">
        <v>577</v>
      </c>
      <c r="LU7" s="912" t="s">
        <v>578</v>
      </c>
      <c r="LV7" s="912" t="s">
        <v>579</v>
      </c>
      <c r="LW7" s="912" t="s">
        <v>580</v>
      </c>
      <c r="LX7" s="913" t="s">
        <v>614</v>
      </c>
      <c r="LZ7" s="912" t="s">
        <v>606</v>
      </c>
      <c r="MA7" s="912" t="s">
        <v>607</v>
      </c>
      <c r="MB7" s="912" t="s">
        <v>608</v>
      </c>
      <c r="MC7" s="912" t="s">
        <v>609</v>
      </c>
      <c r="MD7" s="912" t="s">
        <v>610</v>
      </c>
      <c r="ME7" s="912" t="s">
        <v>611</v>
      </c>
      <c r="MF7" s="913" t="s">
        <v>615</v>
      </c>
      <c r="MH7" s="886">
        <v>2012</v>
      </c>
      <c r="MI7" s="886">
        <v>2013</v>
      </c>
      <c r="MJ7" s="886">
        <v>2014</v>
      </c>
      <c r="MK7" s="886">
        <v>2015</v>
      </c>
      <c r="ML7" s="886">
        <v>2016</v>
      </c>
      <c r="MM7" s="886">
        <v>2017</v>
      </c>
      <c r="MN7" s="886">
        <v>2018</v>
      </c>
      <c r="MO7" s="886">
        <v>2019</v>
      </c>
      <c r="MP7" s="905">
        <v>2020</v>
      </c>
      <c r="NB7" s="17">
        <v>7</v>
      </c>
      <c r="NC7" s="17" t="s">
        <v>616</v>
      </c>
    </row>
    <row r="8" spans="1:367">
      <c r="A8" s="884"/>
      <c r="B8" s="70"/>
      <c r="C8" s="70"/>
      <c r="D8" s="70"/>
      <c r="E8" s="915"/>
      <c r="F8" s="915"/>
      <c r="G8" s="915"/>
      <c r="H8" s="915"/>
      <c r="I8" s="915"/>
      <c r="J8" s="915"/>
      <c r="K8" s="915"/>
      <c r="L8" s="915"/>
      <c r="M8" s="915"/>
      <c r="N8" s="915"/>
      <c r="O8" s="915"/>
      <c r="P8" s="915"/>
      <c r="Q8" s="1081"/>
      <c r="R8" s="915"/>
      <c r="S8" s="915"/>
      <c r="T8" s="915"/>
      <c r="U8" s="915"/>
      <c r="V8" s="915"/>
      <c r="W8" s="915"/>
      <c r="X8" s="915"/>
      <c r="Y8" s="915"/>
      <c r="Z8" s="915"/>
      <c r="AA8" s="915"/>
      <c r="AB8" s="915"/>
      <c r="AC8" s="915"/>
      <c r="AD8" s="915"/>
      <c r="AN8" s="916"/>
      <c r="DQ8" s="963"/>
      <c r="DR8" s="963"/>
      <c r="DS8" s="963"/>
      <c r="DT8" s="963"/>
      <c r="DU8" s="963"/>
      <c r="HL8" s="920"/>
      <c r="HM8" s="920"/>
      <c r="HN8" s="920"/>
      <c r="JO8" s="95"/>
      <c r="NB8" s="17">
        <v>8</v>
      </c>
      <c r="NC8" s="17" t="s">
        <v>617</v>
      </c>
    </row>
    <row r="9" spans="1:367">
      <c r="A9" s="917" t="s">
        <v>618</v>
      </c>
      <c r="C9" s="918" t="s">
        <v>619</v>
      </c>
      <c r="D9" s="70"/>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N9" s="916"/>
      <c r="AQ9" s="919"/>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963"/>
      <c r="DR9" s="963"/>
      <c r="DS9" s="963"/>
      <c r="DT9" s="963"/>
      <c r="DU9" s="963"/>
      <c r="DV9" s="77"/>
      <c r="DW9" s="77"/>
      <c r="DX9" s="77"/>
      <c r="DY9" s="77"/>
      <c r="DZ9" s="77"/>
      <c r="EA9" s="77"/>
      <c r="EB9" s="77"/>
      <c r="EC9" s="77"/>
      <c r="ED9" s="77"/>
      <c r="EE9" s="77"/>
      <c r="EF9" s="77"/>
      <c r="HD9" s="920"/>
      <c r="HE9" s="920"/>
      <c r="HF9" s="920"/>
      <c r="HL9" s="920"/>
      <c r="HM9" s="920"/>
      <c r="HN9" s="920"/>
      <c r="JO9" s="95"/>
      <c r="NB9" s="17">
        <v>9</v>
      </c>
      <c r="NC9" s="17" t="s">
        <v>620</v>
      </c>
    </row>
    <row r="10" spans="1:367">
      <c r="A10" s="884"/>
      <c r="B10" s="70"/>
      <c r="C10" s="918"/>
      <c r="D10" s="70"/>
      <c r="E10" s="915"/>
      <c r="F10" s="915"/>
      <c r="G10" s="915"/>
      <c r="H10" s="915"/>
      <c r="I10" s="915"/>
      <c r="J10" s="915"/>
      <c r="K10" s="915"/>
      <c r="L10" s="915"/>
      <c r="M10" s="915"/>
      <c r="N10" s="915"/>
      <c r="O10" s="915"/>
      <c r="P10" s="915"/>
      <c r="Q10" s="915"/>
      <c r="R10" s="915"/>
      <c r="S10" s="915"/>
      <c r="T10" s="915"/>
      <c r="V10" s="915"/>
      <c r="W10" s="915"/>
      <c r="X10" s="915"/>
      <c r="Y10" s="915"/>
      <c r="Z10" s="915"/>
      <c r="AA10" s="915"/>
      <c r="AB10" s="915"/>
      <c r="AC10" s="915"/>
      <c r="AD10" s="915"/>
      <c r="AG10" s="326"/>
      <c r="AJ10" s="920"/>
      <c r="AN10" s="916"/>
      <c r="AQ10" s="71"/>
      <c r="BM10" s="77"/>
      <c r="BN10" s="77"/>
      <c r="BO10" s="77"/>
      <c r="BP10" s="77"/>
      <c r="BQ10" s="77"/>
      <c r="BR10" s="77"/>
      <c r="BS10" s="77"/>
      <c r="BT10" s="77"/>
      <c r="BU10" s="77"/>
      <c r="BV10" s="77"/>
      <c r="BW10" s="77"/>
      <c r="BX10" s="77"/>
      <c r="DQ10" s="963"/>
      <c r="DR10" s="963"/>
      <c r="DS10" s="963"/>
      <c r="DT10" s="963"/>
      <c r="DU10" s="963"/>
      <c r="HL10" s="920"/>
      <c r="HM10" s="920"/>
      <c r="HN10" s="920"/>
      <c r="HP10" s="95"/>
      <c r="JO10" s="95"/>
      <c r="NB10" s="17">
        <v>10</v>
      </c>
      <c r="NC10" s="17" t="s">
        <v>621</v>
      </c>
    </row>
    <row r="11" spans="1:367">
      <c r="A11" s="884"/>
      <c r="B11" s="884"/>
      <c r="C11" s="1513" t="s">
        <v>622</v>
      </c>
      <c r="D11" s="1512" t="s">
        <v>59</v>
      </c>
      <c r="E11" s="1514">
        <f t="shared" ref="E11:AN11" si="0">SUM(E12:E14)</f>
        <v>835.97354164000001</v>
      </c>
      <c r="F11" s="1514">
        <f t="shared" si="0"/>
        <v>3016.6705547299998</v>
      </c>
      <c r="G11" s="1514">
        <f t="shared" si="0"/>
        <v>2589.3316354900003</v>
      </c>
      <c r="H11" s="1514">
        <f t="shared" si="0"/>
        <v>2843.5107886300002</v>
      </c>
      <c r="I11" s="1514">
        <f t="shared" si="0"/>
        <v>3503.3560199499984</v>
      </c>
      <c r="J11" s="1514">
        <f t="shared" si="0"/>
        <v>3205.8233163100003</v>
      </c>
      <c r="K11" s="1514">
        <f t="shared" si="0"/>
        <v>3311.9597569999996</v>
      </c>
      <c r="L11" s="1514">
        <f t="shared" si="0"/>
        <v>3557.3410814700005</v>
      </c>
      <c r="M11" s="1514">
        <f t="shared" si="0"/>
        <v>3468.6943789100014</v>
      </c>
      <c r="N11" s="1514">
        <f t="shared" si="0"/>
        <v>2885.5047947999988</v>
      </c>
      <c r="O11" s="1514">
        <f t="shared" si="0"/>
        <v>4063.8569845800025</v>
      </c>
      <c r="P11" s="1514">
        <f t="shared" si="0"/>
        <v>2999.3442447499956</v>
      </c>
      <c r="Q11" s="1514">
        <f t="shared" si="0"/>
        <v>2212.6551601000001</v>
      </c>
      <c r="R11" s="1514">
        <f t="shared" si="0"/>
        <v>3437.6140474100002</v>
      </c>
      <c r="S11" s="1514">
        <f t="shared" si="0"/>
        <v>1989.5428492399997</v>
      </c>
      <c r="T11" s="1514">
        <f t="shared" si="0"/>
        <v>1980.9788988500004</v>
      </c>
      <c r="U11" s="1514">
        <f t="shared" si="0"/>
        <v>4067.2925829099995</v>
      </c>
      <c r="V11" s="1514">
        <f t="shared" si="0"/>
        <v>3363.2457611200002</v>
      </c>
      <c r="W11" s="1514">
        <f t="shared" si="0"/>
        <v>2617.31935002</v>
      </c>
      <c r="X11" s="1514">
        <f t="shared" si="0"/>
        <v>3123.0083105199997</v>
      </c>
      <c r="Y11" s="1514">
        <f t="shared" si="0"/>
        <v>1305.5721921599986</v>
      </c>
      <c r="Z11" s="1514">
        <f t="shared" si="0"/>
        <v>2319.8687631699991</v>
      </c>
      <c r="AA11" s="1514">
        <f t="shared" si="0"/>
        <v>4824.5182406699996</v>
      </c>
      <c r="AB11" s="1514">
        <f t="shared" si="0"/>
        <v>5513.6640016800056</v>
      </c>
      <c r="AC11" s="1514">
        <f t="shared" si="0"/>
        <v>1501.6413520900001</v>
      </c>
      <c r="AD11" s="1514">
        <f t="shared" si="0"/>
        <v>3793.2044982100001</v>
      </c>
      <c r="AE11" s="1514">
        <f t="shared" si="0"/>
        <v>2634.9838081499997</v>
      </c>
      <c r="AF11" s="1514">
        <f t="shared" si="0"/>
        <v>2938.6630078600001</v>
      </c>
      <c r="AG11" s="1514">
        <f t="shared" si="0"/>
        <v>2877.8450223400005</v>
      </c>
      <c r="AH11" s="1514">
        <f t="shared" si="0"/>
        <v>2508.9330035600001</v>
      </c>
      <c r="AI11" s="1514">
        <f t="shared" si="0"/>
        <v>2448.53934028</v>
      </c>
      <c r="AJ11" s="1514">
        <f t="shared" si="0"/>
        <v>3163.2625131</v>
      </c>
      <c r="AK11" s="1514">
        <f t="shared" si="0"/>
        <v>2912.77122134</v>
      </c>
      <c r="AL11" s="1514">
        <f t="shared" si="0"/>
        <v>3610.7360158900001</v>
      </c>
      <c r="AM11" s="1514">
        <f t="shared" si="0"/>
        <v>5866.2540838000004</v>
      </c>
      <c r="AN11" s="1514">
        <f t="shared" si="0"/>
        <v>5126.1475260099987</v>
      </c>
      <c r="AO11" s="1514">
        <f>SUM(AO12:AO14)</f>
        <v>2827.5471428500005</v>
      </c>
      <c r="AP11" s="1514">
        <f t="shared" ref="AP11:DA11" si="1">SUM(AP12:AP14)</f>
        <v>1496.6152094700003</v>
      </c>
      <c r="AQ11" s="1514">
        <f t="shared" si="1"/>
        <v>1608.1179328899998</v>
      </c>
      <c r="AR11" s="1514">
        <f t="shared" si="1"/>
        <v>1331.6406091799997</v>
      </c>
      <c r="AS11" s="1514">
        <f t="shared" si="1"/>
        <v>1195.4859279</v>
      </c>
      <c r="AT11" s="1514">
        <f t="shared" si="1"/>
        <v>894.66701813999998</v>
      </c>
      <c r="AU11" s="1514">
        <f t="shared" si="1"/>
        <v>1502.2517050600002</v>
      </c>
      <c r="AV11" s="1514">
        <f t="shared" si="1"/>
        <v>1422.27380937</v>
      </c>
      <c r="AW11" s="1514">
        <f t="shared" si="1"/>
        <v>1507.7778365699996</v>
      </c>
      <c r="AX11" s="1514">
        <f t="shared" si="1"/>
        <v>1540.3695378399998</v>
      </c>
      <c r="AY11" s="1514">
        <f t="shared" si="1"/>
        <v>944.76474992999977</v>
      </c>
      <c r="AZ11" s="1514">
        <f t="shared" si="1"/>
        <v>581.27176664000001</v>
      </c>
      <c r="BA11" s="1514">
        <f t="shared" si="1"/>
        <v>531.03990862000001</v>
      </c>
      <c r="BB11" s="1514">
        <f t="shared" si="1"/>
        <v>357.29507659999996</v>
      </c>
      <c r="BC11" s="1514">
        <f t="shared" si="1"/>
        <v>230.76628560000003</v>
      </c>
      <c r="BD11" s="1514">
        <f t="shared" si="1"/>
        <v>100.57451838999999</v>
      </c>
      <c r="BE11" s="1514">
        <f t="shared" si="1"/>
        <v>474.90526982</v>
      </c>
      <c r="BF11" s="1514">
        <f t="shared" si="1"/>
        <v>312.04398333000006</v>
      </c>
      <c r="BG11" s="1514">
        <f t="shared" si="1"/>
        <v>362.04675835</v>
      </c>
      <c r="BH11" s="1514">
        <f t="shared" si="1"/>
        <v>420.45430316999989</v>
      </c>
      <c r="BI11" s="1514">
        <f t="shared" si="1"/>
        <v>242.55706863999981</v>
      </c>
      <c r="BJ11" s="1514">
        <f t="shared" si="1"/>
        <v>580.70009980000009</v>
      </c>
      <c r="BK11" s="1514">
        <f t="shared" si="1"/>
        <v>1033.18418956</v>
      </c>
      <c r="BL11" s="1514">
        <f t="shared" si="1"/>
        <v>1506.4593370100001</v>
      </c>
      <c r="BM11" s="1514">
        <f t="shared" si="1"/>
        <v>1188.8975061399999</v>
      </c>
      <c r="BN11" s="1514">
        <f t="shared" si="1"/>
        <v>1175.1836124399999</v>
      </c>
      <c r="BO11" s="1514">
        <f t="shared" si="1"/>
        <v>1117.3488631600001</v>
      </c>
      <c r="BP11" s="1514">
        <f t="shared" si="1"/>
        <v>1456.6482993600002</v>
      </c>
      <c r="BQ11" s="1515">
        <f t="shared" si="1"/>
        <v>989.2145380799999</v>
      </c>
      <c r="BR11" s="1515">
        <f t="shared" si="1"/>
        <v>1014.02128614</v>
      </c>
      <c r="BS11" s="1515">
        <f t="shared" si="1"/>
        <v>1096.10334334</v>
      </c>
      <c r="BT11" s="1515">
        <f t="shared" si="1"/>
        <v>1153.62019304</v>
      </c>
      <c r="BU11" s="1515">
        <f t="shared" si="1"/>
        <v>870.32745811000007</v>
      </c>
      <c r="BV11" s="1515">
        <f t="shared" si="1"/>
        <v>1220.6537592099999</v>
      </c>
      <c r="BW11" s="1515">
        <f t="shared" si="1"/>
        <v>1318.1125974000004</v>
      </c>
      <c r="BX11" s="1515">
        <f t="shared" si="1"/>
        <v>1028.6835040300002</v>
      </c>
      <c r="BY11" s="1515">
        <f t="shared" si="1"/>
        <v>976.94844864000015</v>
      </c>
      <c r="BZ11" s="1515">
        <f t="shared" si="1"/>
        <v>1028.9742511000002</v>
      </c>
      <c r="CA11" s="1515">
        <f t="shared" si="1"/>
        <v>957.86658106000004</v>
      </c>
      <c r="CB11" s="1515">
        <f t="shared" si="1"/>
        <v>804.32309081000005</v>
      </c>
      <c r="CC11" s="1515">
        <f t="shared" si="1"/>
        <v>644.19455078999999</v>
      </c>
      <c r="CD11" s="1515">
        <f t="shared" si="1"/>
        <v>877.14804474999983</v>
      </c>
      <c r="CE11" s="1515">
        <f t="shared" si="1"/>
        <v>1117.23890689</v>
      </c>
      <c r="CF11" s="1515">
        <f t="shared" si="1"/>
        <v>1688.7400678200001</v>
      </c>
      <c r="CG11" s="1515">
        <f t="shared" si="1"/>
        <v>1194.37995181</v>
      </c>
      <c r="CH11" s="1515">
        <f t="shared" si="1"/>
        <v>1444.8642172100001</v>
      </c>
      <c r="CI11" s="1515">
        <f t="shared" si="1"/>
        <v>1860.8430799499999</v>
      </c>
      <c r="CJ11" s="1515">
        <f t="shared" si="1"/>
        <v>1555.01265463</v>
      </c>
      <c r="CK11" s="1515">
        <f t="shared" si="1"/>
        <v>1571.8081952499997</v>
      </c>
      <c r="CL11" s="1515">
        <f t="shared" si="1"/>
        <v>1270.1321937699997</v>
      </c>
      <c r="CM11" s="1515">
        <f t="shared" si="1"/>
        <v>1816.16514104</v>
      </c>
      <c r="CN11" s="1515">
        <f t="shared" si="1"/>
        <v>1521.21518292</v>
      </c>
      <c r="CO11" s="1515">
        <f t="shared" si="1"/>
        <v>1773.13543863</v>
      </c>
      <c r="CP11" s="1515">
        <f t="shared" si="1"/>
        <v>1530.1148666599997</v>
      </c>
      <c r="CQ11" s="1515">
        <f t="shared" si="1"/>
        <v>1745.3978690599999</v>
      </c>
      <c r="CR11" s="1515">
        <f t="shared" si="1"/>
        <v>1910.6100684500002</v>
      </c>
      <c r="CS11" s="1515">
        <f t="shared" si="1"/>
        <v>1833.0731707800001</v>
      </c>
      <c r="CT11" s="1515">
        <f t="shared" si="1"/>
        <v>2331.2516409300001</v>
      </c>
      <c r="CU11" s="1515">
        <f t="shared" si="1"/>
        <v>2044.4513902599999</v>
      </c>
      <c r="CV11" s="1515">
        <f t="shared" si="1"/>
        <v>1881.9958014599997</v>
      </c>
      <c r="CW11" s="1515">
        <f t="shared" si="1"/>
        <v>1950.3991190700001</v>
      </c>
      <c r="CX11" s="1515">
        <f t="shared" si="1"/>
        <v>1586.2194889699997</v>
      </c>
      <c r="CY11" s="1515">
        <f t="shared" si="1"/>
        <v>1853.8857025900004</v>
      </c>
      <c r="CZ11" s="1515">
        <f t="shared" si="1"/>
        <v>358.79537143000016</v>
      </c>
      <c r="DA11" s="1515">
        <f t="shared" si="1"/>
        <v>382.44348857000011</v>
      </c>
      <c r="DB11" s="1515">
        <f t="shared" ref="DB11:EF11" si="2">SUM(DB12:DB14)</f>
        <v>370.84104293000001</v>
      </c>
      <c r="DC11" s="1515">
        <f t="shared" si="2"/>
        <v>537.19792596000002</v>
      </c>
      <c r="DD11" s="1515">
        <f t="shared" si="2"/>
        <v>1176.5695974400001</v>
      </c>
      <c r="DE11" s="1515">
        <f t="shared" si="2"/>
        <v>1087.4918451199999</v>
      </c>
      <c r="DF11" s="1515">
        <f t="shared" si="2"/>
        <v>1278.45467835</v>
      </c>
      <c r="DG11" s="1515">
        <f t="shared" si="2"/>
        <v>846.77065510999978</v>
      </c>
      <c r="DH11" s="1515">
        <f t="shared" si="2"/>
        <v>1190.81831444</v>
      </c>
      <c r="DI11" s="1515">
        <f t="shared" si="2"/>
        <v>1069.7575613500001</v>
      </c>
      <c r="DJ11" s="1515">
        <f t="shared" si="2"/>
        <v>775.3137264400001</v>
      </c>
      <c r="DK11" s="1515">
        <f t="shared" si="2"/>
        <v>1069.4791968100001</v>
      </c>
      <c r="DL11" s="1515">
        <f t="shared" si="2"/>
        <v>1322.2238326899999</v>
      </c>
      <c r="DM11" s="1515">
        <f t="shared" si="2"/>
        <v>1136.2984668899999</v>
      </c>
      <c r="DN11" s="1515">
        <f t="shared" si="2"/>
        <v>1070.4641066100003</v>
      </c>
      <c r="DO11" s="1515">
        <f t="shared" si="2"/>
        <v>1259.0619377899998</v>
      </c>
      <c r="DP11" s="1515">
        <f t="shared" si="2"/>
        <v>1409.9206328099999</v>
      </c>
      <c r="DQ11" s="1516">
        <f t="shared" si="2"/>
        <v>1311.12030142</v>
      </c>
      <c r="DR11" s="1516">
        <f t="shared" si="2"/>
        <v>1452.04899439</v>
      </c>
      <c r="DS11" s="1516">
        <f t="shared" si="2"/>
        <v>1338.7019990899998</v>
      </c>
      <c r="DT11" s="1516">
        <f t="shared" si="2"/>
        <v>1895.4612695299998</v>
      </c>
      <c r="DU11" s="1516">
        <f t="shared" si="2"/>
        <v>1874.7125502299998</v>
      </c>
      <c r="DV11" s="1516">
        <f t="shared" si="2"/>
        <v>1324.9971501800001</v>
      </c>
      <c r="DW11" s="1516">
        <f t="shared" si="2"/>
        <v>1637.8655479299998</v>
      </c>
      <c r="DX11" s="1516">
        <f t="shared" si="2"/>
        <v>1496.87466378</v>
      </c>
      <c r="DY11" s="1516">
        <f t="shared" si="2"/>
        <v>1649.9958556300001</v>
      </c>
      <c r="DZ11" s="1516">
        <f t="shared" si="2"/>
        <v>2455.7196617900004</v>
      </c>
      <c r="EA11" s="1516">
        <f t="shared" si="2"/>
        <v>2061.6440651199996</v>
      </c>
      <c r="EB11" s="1516">
        <f t="shared" si="2"/>
        <v>2597.9169767900003</v>
      </c>
      <c r="EC11" s="1516">
        <f t="shared" si="2"/>
        <v>2887.6627784699999</v>
      </c>
      <c r="ED11" s="1516">
        <f t="shared" si="2"/>
        <v>3962.86401914</v>
      </c>
      <c r="EE11" s="1516">
        <f t="shared" si="2"/>
        <v>4139.4728015999999</v>
      </c>
      <c r="EF11" s="1516">
        <f t="shared" si="2"/>
        <v>4101.84848788</v>
      </c>
      <c r="EG11" s="77"/>
      <c r="EH11" s="1515">
        <f t="shared" ref="EH11:ES11" si="3">SUM(EH12:EH19)</f>
        <v>1950.3991190700001</v>
      </c>
      <c r="EI11" s="1515">
        <f t="shared" si="3"/>
        <v>1586.2194889699997</v>
      </c>
      <c r="EJ11" s="1515">
        <f t="shared" si="3"/>
        <v>1853.8857025899997</v>
      </c>
      <c r="EK11" s="1515">
        <f t="shared" si="3"/>
        <v>358.7953714300001</v>
      </c>
      <c r="EL11" s="1515">
        <f t="shared" si="3"/>
        <v>382.44348857</v>
      </c>
      <c r="EM11" s="1515">
        <f t="shared" si="3"/>
        <v>370.84104293000001</v>
      </c>
      <c r="EN11" s="1515">
        <f t="shared" si="3"/>
        <v>492.66405237820015</v>
      </c>
      <c r="EO11" s="1515">
        <f t="shared" si="3"/>
        <v>882.48282197080027</v>
      </c>
      <c r="EP11" s="1515">
        <f t="shared" si="3"/>
        <v>804.4551666942001</v>
      </c>
      <c r="EQ11" s="1515">
        <f t="shared" si="3"/>
        <v>571.86928673080001</v>
      </c>
      <c r="ER11" s="1515">
        <f t="shared" si="3"/>
        <v>497.65957119699999</v>
      </c>
      <c r="ES11" s="1515">
        <f t="shared" si="3"/>
        <v>520.14632160400004</v>
      </c>
      <c r="EU11" s="1515">
        <v>2837.2043889999995</v>
      </c>
      <c r="EV11" s="1515">
        <v>1393.0557751024799</v>
      </c>
      <c r="EW11" s="1515">
        <v>1797.3272679249887</v>
      </c>
      <c r="EX11" s="1515">
        <v>2598.7213989249885</v>
      </c>
      <c r="EY11" s="1515">
        <v>2062.4111679249886</v>
      </c>
      <c r="EZ11" s="1515">
        <v>2365.110998924989</v>
      </c>
      <c r="FA11" s="1515">
        <v>3651.6794372949885</v>
      </c>
      <c r="FB11" s="1515">
        <v>4554.0275492949886</v>
      </c>
      <c r="FC11" s="1515">
        <v>3584.7368182949886</v>
      </c>
      <c r="FD11" s="1515">
        <v>3934.7402492949886</v>
      </c>
      <c r="FE11" s="1515">
        <v>3655.5343182949887</v>
      </c>
      <c r="FF11" s="1515">
        <v>4007.3877492949887</v>
      </c>
      <c r="FG11" s="1515">
        <f t="shared" ref="FG11:HB11" si="4">SUM(FG12:FG19)</f>
        <v>526.66035112099996</v>
      </c>
      <c r="FH11" s="1515">
        <f t="shared" si="4"/>
        <v>1011.0001314360001</v>
      </c>
      <c r="FI11" s="1515">
        <f t="shared" si="4"/>
        <v>1055.2088493537499</v>
      </c>
      <c r="FJ11" s="1515">
        <f t="shared" si="4"/>
        <v>1001.8022665574999</v>
      </c>
      <c r="FK11" s="1515">
        <f t="shared" si="4"/>
        <v>1122.5571211345</v>
      </c>
      <c r="FL11" s="1515">
        <f t="shared" si="4"/>
        <v>1542.0547941325003</v>
      </c>
      <c r="FM11" s="1515">
        <f t="shared" si="4"/>
        <v>1628.3747597077497</v>
      </c>
      <c r="FN11" s="1515">
        <f t="shared" si="4"/>
        <v>1722.6314388242499</v>
      </c>
      <c r="FO11" s="1515">
        <f t="shared" si="4"/>
        <v>1754.3460036554998</v>
      </c>
      <c r="FP11" s="1515">
        <f t="shared" si="4"/>
        <v>1769.59341402625</v>
      </c>
      <c r="FQ11" s="1515">
        <f t="shared" si="4"/>
        <v>1598.7046832220001</v>
      </c>
      <c r="FR11" s="1515">
        <f t="shared" si="4"/>
        <v>1154.26984631</v>
      </c>
      <c r="FS11" s="1515">
        <f t="shared" si="4"/>
        <v>956.80026999999995</v>
      </c>
      <c r="FT11" s="1515">
        <f t="shared" si="4"/>
        <v>1122.9616000000001</v>
      </c>
      <c r="FU11" s="1515">
        <f t="shared" si="4"/>
        <v>1148.49136</v>
      </c>
      <c r="FV11" s="1515">
        <f t="shared" si="4"/>
        <v>1042.459869</v>
      </c>
      <c r="FW11" s="1515">
        <f t="shared" si="4"/>
        <v>1111.559295</v>
      </c>
      <c r="FX11" s="1515">
        <f t="shared" si="4"/>
        <v>958.42984999999999</v>
      </c>
      <c r="FY11" s="1515">
        <f t="shared" si="4"/>
        <v>1079.7007409999999</v>
      </c>
      <c r="FZ11" s="1515">
        <f t="shared" si="4"/>
        <v>730.25059999999996</v>
      </c>
      <c r="GA11" s="1515">
        <f t="shared" si="4"/>
        <v>550.72499999999991</v>
      </c>
      <c r="GB11" s="1515">
        <f t="shared" si="4"/>
        <v>448.065</v>
      </c>
      <c r="GC11" s="1515">
        <f t="shared" si="4"/>
        <v>523.07699999999988</v>
      </c>
      <c r="GD11" s="1515">
        <f t="shared" si="4"/>
        <v>476.09699999999998</v>
      </c>
      <c r="GE11" s="1515">
        <f t="shared" si="4"/>
        <v>1464.597</v>
      </c>
      <c r="GF11" s="1515">
        <f t="shared" si="4"/>
        <v>1206.2969999999998</v>
      </c>
      <c r="GG11" s="1515">
        <f t="shared" si="4"/>
        <v>1106.943</v>
      </c>
      <c r="GH11" s="1515">
        <f t="shared" si="4"/>
        <v>968.25900000000013</v>
      </c>
      <c r="GI11" s="1515">
        <f t="shared" si="4"/>
        <v>1150.2154</v>
      </c>
      <c r="GJ11" s="1515">
        <f t="shared" si="4"/>
        <v>1164.6253999999999</v>
      </c>
      <c r="GK11" s="1515">
        <f t="shared" si="4"/>
        <v>1273.201</v>
      </c>
      <c r="GL11" s="1515">
        <f t="shared" si="4"/>
        <v>1293.3519999999999</v>
      </c>
      <c r="GM11" s="1515">
        <f t="shared" si="4"/>
        <v>1312.7520000000002</v>
      </c>
      <c r="GN11" s="1515">
        <f t="shared" si="4"/>
        <v>1550.8039999999999</v>
      </c>
      <c r="GO11" s="1515">
        <f t="shared" si="4"/>
        <v>1692.192</v>
      </c>
      <c r="GP11" s="1515">
        <f t="shared" si="4"/>
        <v>1549.059</v>
      </c>
      <c r="GQ11" s="1515">
        <f t="shared" si="4"/>
        <v>1464.597</v>
      </c>
      <c r="GR11" s="1515">
        <f t="shared" si="4"/>
        <v>1206.2969999999998</v>
      </c>
      <c r="GS11" s="1515">
        <f t="shared" si="4"/>
        <v>1106.943</v>
      </c>
      <c r="GT11" s="1515">
        <f t="shared" si="4"/>
        <v>968.25900000000013</v>
      </c>
      <c r="GU11" s="1515">
        <f t="shared" si="4"/>
        <v>1150.2154</v>
      </c>
      <c r="GV11" s="1515">
        <f t="shared" si="4"/>
        <v>1164.6253999999999</v>
      </c>
      <c r="GW11" s="1515">
        <f t="shared" si="4"/>
        <v>1273.201</v>
      </c>
      <c r="GX11" s="1515">
        <f t="shared" si="4"/>
        <v>1293.3519999999999</v>
      </c>
      <c r="GY11" s="1515">
        <f t="shared" si="4"/>
        <v>1312.7520000000002</v>
      </c>
      <c r="GZ11" s="1515">
        <f t="shared" si="4"/>
        <v>1550.8039999999999</v>
      </c>
      <c r="HA11" s="1515">
        <f t="shared" si="4"/>
        <v>1692.192</v>
      </c>
      <c r="HB11" s="1515">
        <f t="shared" si="4"/>
        <v>1549.059</v>
      </c>
      <c r="HD11" s="921">
        <f t="shared" ref="HD11:HG19" si="5">+SUMIF($E$6:$AZ$6,HD$7,$E11:$AZ11)</f>
        <v>36281.367098260002</v>
      </c>
      <c r="HE11" s="1517">
        <f t="shared" si="5"/>
        <v>36755.28015785</v>
      </c>
      <c r="HF11" s="1517">
        <f t="shared" si="5"/>
        <v>39382.981392629998</v>
      </c>
      <c r="HG11" s="1517">
        <f t="shared" si="5"/>
        <v>16852.783245840001</v>
      </c>
      <c r="HH11" s="1517">
        <f t="shared" ref="HH11:HH19" si="6">+SUMIF($E$6:$BL$6,HH$7,$E11:$BL11)</f>
        <v>6152.0267988899996</v>
      </c>
      <c r="HI11" s="1517">
        <f t="shared" ref="HI11:HI19" si="7">+SUMIF($E$6:$BX$6,HI$7,$E11:$BX11)</f>
        <v>13628.814960449999</v>
      </c>
      <c r="HJ11" s="1517">
        <f t="shared" ref="HJ11:HJ19" si="8">+SUMIF($E$6:$CJ$6,HJ$7,$E11:$CJ11)</f>
        <v>14150.533845460002</v>
      </c>
      <c r="HK11" s="1517">
        <f t="shared" ref="HK11:HK19" si="9">+SUMIF($E$6:$CV$6,HK$7,$E11:$CV11)</f>
        <v>21229.350959210002</v>
      </c>
      <c r="HL11" s="1516">
        <f>+SUMIF($E$6:SEW$6,HL$7,$E11:SEW11)</f>
        <v>12619.887229980002</v>
      </c>
      <c r="HM11" s="1516">
        <f>+SUMIF($E$6:SEX$6,HM$7,$E11:SEX11)</f>
        <v>15109.852025819999</v>
      </c>
      <c r="HN11" s="1516">
        <f>+SUMIF($E$6:SEY$6,HN$7,$E11:SEY11)</f>
        <v>30191.57455854</v>
      </c>
      <c r="HO11" s="1517"/>
      <c r="HP11" s="1518"/>
      <c r="HR11" s="1519">
        <f t="shared" ref="HR11:HR19" si="10">+IFERROR(HF11/HE11-1,"")</f>
        <v>7.1491802633390833E-2</v>
      </c>
      <c r="HS11" s="1519">
        <f t="shared" ref="HS11:HS19" si="11">+IFERROR(HG11/HF11-1,"")</f>
        <v>-0.57207954680155892</v>
      </c>
      <c r="HT11" s="1519">
        <f t="shared" ref="HT11:HT19" si="12">+IFERROR(HH11/HG11-1,"")</f>
        <v>-0.6349548493475945</v>
      </c>
      <c r="HU11" s="1519">
        <f t="shared" ref="HU11:HU19" si="13">+IFERROR(HI11/HH11-1,"")</f>
        <v>1.2153373848938736</v>
      </c>
      <c r="HV11" s="1519">
        <f t="shared" ref="HV11:HV19" si="14">+IFERROR(HJ11/HI11-1,"")</f>
        <v>3.8280575862538191E-2</v>
      </c>
      <c r="HW11" s="1519">
        <f t="shared" ref="HW11:HW19" si="15">+IFERROR(HK11/HJ11-1,"")</f>
        <v>0.50025088742649371</v>
      </c>
      <c r="HX11" s="1519">
        <f t="shared" ref="HX11:HZ19" si="16">+IFERROR(HL11/HK11-1,"")</f>
        <v>-0.40554531063018329</v>
      </c>
      <c r="HY11" s="1519">
        <f t="shared" si="16"/>
        <v>0.1973048372353754</v>
      </c>
      <c r="HZ11" s="1519">
        <f t="shared" si="16"/>
        <v>0.99813833430983112</v>
      </c>
      <c r="IA11" s="1519">
        <f t="shared" ref="IA11:IA42" si="17">+IFERROR(HO11/HL11-1,"")</f>
        <v>-1</v>
      </c>
      <c r="IB11" s="1519" t="str">
        <f t="shared" ref="IB11:IB19" si="18">+IFERROR(HP11/HO11-1,"")</f>
        <v/>
      </c>
      <c r="IC11" s="1519">
        <f t="shared" ref="IC11:IC42" si="19">+IFERROR(HP11/HL11-1,"")</f>
        <v>-1</v>
      </c>
      <c r="IE11" s="1517">
        <f t="shared" ref="IE11:IE19" si="20">+HF11-HE11</f>
        <v>2627.7012347799973</v>
      </c>
      <c r="IF11" s="1517">
        <f t="shared" ref="IF11:IF19" si="21">+HG11-HF11</f>
        <v>-22530.198146789997</v>
      </c>
      <c r="IG11" s="1517">
        <f t="shared" ref="IG11:IG19" si="22">+HH11-HG11</f>
        <v>-10700.756446950001</v>
      </c>
      <c r="IH11" s="1517">
        <f t="shared" ref="IH11:IH19" si="23">+HI11-HH11</f>
        <v>7476.7881615599999</v>
      </c>
      <c r="II11" s="1517">
        <f t="shared" ref="II11:II19" si="24">+HJ11-HI11</f>
        <v>521.71888501000285</v>
      </c>
      <c r="IJ11" s="1517">
        <f t="shared" ref="IJ11:IJ19" si="25">+HK11-HJ11</f>
        <v>7078.8171137499994</v>
      </c>
      <c r="IK11" s="1517">
        <f t="shared" ref="IK11:IK19" si="26">+HL11-HK11</f>
        <v>-8609.4637292299994</v>
      </c>
      <c r="IL11" s="1517">
        <f t="shared" ref="IL11:IL42" si="27">+HO11-HL11</f>
        <v>-12619.887229980002</v>
      </c>
      <c r="IM11" s="1517">
        <f t="shared" ref="IM11:IM19" si="28">+HP11-HO11</f>
        <v>0</v>
      </c>
      <c r="IN11" s="1517">
        <f t="shared" ref="IN11:IN42" si="29">+HP11-HL11</f>
        <v>-12619.887229980002</v>
      </c>
      <c r="IP11" s="1520">
        <f t="shared" ref="IP11:IP19" si="30">+HE11/HE$11</f>
        <v>1</v>
      </c>
      <c r="IQ11" s="1520">
        <f t="shared" ref="IQ11:IQ19" si="31">+HF11/HF$11</f>
        <v>1</v>
      </c>
      <c r="IR11" s="1520">
        <f t="shared" ref="IR11:IR19" si="32">+HG11/HG$11</f>
        <v>1</v>
      </c>
      <c r="IS11" s="1520">
        <f t="shared" ref="IS11:IS19" si="33">+HH11/HH$11</f>
        <v>1</v>
      </c>
      <c r="IT11" s="1520">
        <f t="shared" ref="IT11:IT19" si="34">+HI11/HI$11</f>
        <v>1</v>
      </c>
      <c r="IU11" s="1520">
        <f t="shared" ref="IU11:IU19" si="35">+HJ11/HJ$11</f>
        <v>1</v>
      </c>
      <c r="IV11" s="1520">
        <f t="shared" ref="IV11:IV19" si="36">+HK11/HK$11</f>
        <v>1</v>
      </c>
      <c r="IW11" s="1520">
        <f t="shared" ref="IW11:IW19" si="37">+HL11/HL$11</f>
        <v>1</v>
      </c>
      <c r="IX11" s="1520" t="e">
        <f t="shared" ref="IX11:IX19" si="38">+HO11/HO$11</f>
        <v>#DIV/0!</v>
      </c>
      <c r="IY11" s="1520" t="e">
        <f t="shared" ref="IY11:IY19" si="39">+HP11/HP$11</f>
        <v>#DIV/0!</v>
      </c>
      <c r="JA11" s="1521">
        <f>+IFERROR(SUMIFS($E11:$EG11,$E$6:$EG$6,JA$7,$E$5:$EG$5,"&lt;="&amp;$JC$5),"NA")</f>
        <v>36281.367098260002</v>
      </c>
      <c r="JB11" s="1521">
        <f t="shared" ref="JB11:JK12" si="40">+IFERROR(SUMIFS($E11:$EG11,$E$6:$EG$6,JB$7,$E$5:$EG$5,"&lt;="&amp;$JC$5),"NA")</f>
        <v>36755.28015785</v>
      </c>
      <c r="JC11" s="1521">
        <f t="shared" si="40"/>
        <v>39382.981392629998</v>
      </c>
      <c r="JD11" s="1521">
        <f t="shared" si="40"/>
        <v>16852.783245840001</v>
      </c>
      <c r="JE11" s="1521">
        <f t="shared" si="40"/>
        <v>6152.0267988899996</v>
      </c>
      <c r="JF11" s="1521">
        <f t="shared" si="40"/>
        <v>13628.814960449999</v>
      </c>
      <c r="JG11" s="1521">
        <f t="shared" si="40"/>
        <v>14150.533845460002</v>
      </c>
      <c r="JH11" s="1521">
        <f t="shared" si="40"/>
        <v>21229.350959210002</v>
      </c>
      <c r="JI11" s="1521">
        <f t="shared" si="40"/>
        <v>12619.887229980002</v>
      </c>
      <c r="JJ11" s="1521">
        <f t="shared" si="40"/>
        <v>15109.852025819999</v>
      </c>
      <c r="JK11" s="1521">
        <f t="shared" si="40"/>
        <v>30191.57455854</v>
      </c>
      <c r="JL11" s="1521">
        <f>+SUMIF($DU$5:$EF$5,"&lt;="&amp;$JC$5,$DU11:$EF11)</f>
        <v>30191.57455854</v>
      </c>
      <c r="JM11" s="1517"/>
      <c r="JN11" s="1517"/>
      <c r="JO11" s="922"/>
      <c r="JP11" s="1517">
        <f t="shared" ref="JP11:JP37" si="41">+JL11</f>
        <v>30191.57455854</v>
      </c>
      <c r="JQ11" s="1517">
        <f t="shared" ref="JQ11:JQ37" si="42">+JM11</f>
        <v>0</v>
      </c>
      <c r="JR11" s="97"/>
      <c r="JS11" s="1519" t="str">
        <f>+IFERROR(JP11/JQ11,"")</f>
        <v/>
      </c>
      <c r="JT11" s="1517">
        <f>+JP11-JQ11</f>
        <v>30191.57455854</v>
      </c>
      <c r="JV11" s="1520">
        <f t="shared" ref="JV11:JV37" si="43">+JP11/JP$11</f>
        <v>1</v>
      </c>
      <c r="JW11" s="1519" t="str">
        <f t="shared" ref="JW11:JW37" si="44">+IFERROR(JQ11/JQ$11,"")</f>
        <v/>
      </c>
      <c r="JY11" s="1519">
        <f t="shared" ref="JY11:KE12" si="45">+IFERROR(JC11/JB11-1,"NA")</f>
        <v>7.1491802633390833E-2</v>
      </c>
      <c r="JZ11" s="1519">
        <f t="shared" si="45"/>
        <v>-0.57207954680155892</v>
      </c>
      <c r="KA11" s="1519">
        <f t="shared" si="45"/>
        <v>-0.6349548493475945</v>
      </c>
      <c r="KB11" s="1519">
        <f t="shared" si="45"/>
        <v>1.2153373848938736</v>
      </c>
      <c r="KC11" s="1519">
        <f t="shared" si="45"/>
        <v>3.8280575862538191E-2</v>
      </c>
      <c r="KD11" s="1519">
        <f t="shared" si="45"/>
        <v>0.50025088742649371</v>
      </c>
      <c r="KE11" s="1519">
        <f t="shared" si="45"/>
        <v>-0.40554531063018329</v>
      </c>
      <c r="KF11" s="1519">
        <f>+IFERROR(JN11/JI11-1,"NA")</f>
        <v>-1</v>
      </c>
      <c r="KH11" s="1517">
        <f t="shared" ref="KH11:KH19" si="46">+JC11-JB11</f>
        <v>2627.7012347799973</v>
      </c>
      <c r="KI11" s="1517">
        <f t="shared" ref="KI11:KI19" si="47">+JD11-JC11</f>
        <v>-22530.198146789997</v>
      </c>
      <c r="KJ11" s="1517">
        <f t="shared" ref="KJ11:KJ19" si="48">+JE11-JD11</f>
        <v>-10700.756446950001</v>
      </c>
      <c r="KK11" s="1517">
        <f t="shared" ref="KK11:KK19" si="49">+JF11-JE11</f>
        <v>7476.7881615599999</v>
      </c>
      <c r="KL11" s="1517">
        <f t="shared" ref="KL11:KL19" si="50">+JG11-JF11</f>
        <v>521.71888501000285</v>
      </c>
      <c r="KM11" s="1517">
        <f t="shared" ref="KM11:KM19" si="51">+JH11-JG11</f>
        <v>7078.8171137499994</v>
      </c>
      <c r="KN11" s="1517">
        <f t="shared" ref="KN11:KN19" si="52">+JI11-JH11</f>
        <v>-8609.4637292299994</v>
      </c>
      <c r="KO11" s="1517">
        <f t="shared" ref="KO11:KO19" si="53">+JN11-JI11</f>
        <v>-12619.887229980002</v>
      </c>
      <c r="KQ11" s="1520">
        <f t="shared" ref="KQ11:KQ19" si="54">+JA11/JA$11</f>
        <v>1</v>
      </c>
      <c r="KR11" s="1520">
        <f t="shared" ref="KR11:KR19" si="55">+JB11/JB$11</f>
        <v>1</v>
      </c>
      <c r="KS11" s="1520">
        <f t="shared" ref="KS11:KS19" si="56">+JC11/JC$11</f>
        <v>1</v>
      </c>
      <c r="KT11" s="1520">
        <f t="shared" ref="KT11:KT19" si="57">+JD11/JD$11</f>
        <v>1</v>
      </c>
      <c r="KU11" s="1520">
        <f t="shared" ref="KU11:KU19" si="58">+JE11/JE$11</f>
        <v>1</v>
      </c>
      <c r="KV11" s="1520">
        <f t="shared" ref="KV11:KV19" si="59">+JF11/JF$11</f>
        <v>1</v>
      </c>
      <c r="KW11" s="1520">
        <f t="shared" ref="KW11:KW19" si="60">+JG11/JG$11</f>
        <v>1</v>
      </c>
      <c r="KX11" s="1520">
        <f t="shared" ref="KX11:KX19" si="61">+JH11/JH$11</f>
        <v>1</v>
      </c>
      <c r="KY11" s="1520">
        <f t="shared" ref="KY11:KY19" si="62">+JI11/JI$11</f>
        <v>1</v>
      </c>
      <c r="KZ11" s="1520" t="e">
        <f t="shared" ref="KZ11:KZ19" si="63">+JN11/JN$11</f>
        <v>#DIV/0!</v>
      </c>
      <c r="LB11" s="1517">
        <f>+SUMIFS($E11:$EG11,$E$6:$EG$6,LB$7,$E$5:$EG$5,$LD$5)</f>
        <v>2999.3442447499956</v>
      </c>
      <c r="LC11" s="1517">
        <f t="shared" ref="LC11:LM12" si="64">+SUMIFS($E11:$EG11,$E$6:$EG$6,LC$7,$E$5:$EG$5,$LD$5)</f>
        <v>5513.6640016800056</v>
      </c>
      <c r="LD11" s="1517">
        <f t="shared" si="64"/>
        <v>5126.1475260099987</v>
      </c>
      <c r="LE11" s="1517">
        <f t="shared" si="64"/>
        <v>581.27176664000001</v>
      </c>
      <c r="LF11" s="1517">
        <f t="shared" si="64"/>
        <v>1506.4593370100001</v>
      </c>
      <c r="LG11" s="1517">
        <f t="shared" si="64"/>
        <v>1028.6835040300002</v>
      </c>
      <c r="LH11" s="1517">
        <f t="shared" si="64"/>
        <v>1555.01265463</v>
      </c>
      <c r="LI11" s="1517">
        <f t="shared" si="64"/>
        <v>1881.9958014599997</v>
      </c>
      <c r="LJ11" s="1517">
        <f t="shared" si="64"/>
        <v>1190.81831444</v>
      </c>
      <c r="LK11" s="1517">
        <f t="shared" si="64"/>
        <v>1895.4612695299998</v>
      </c>
      <c r="LL11" s="1517">
        <f t="shared" si="64"/>
        <v>4101.84848788</v>
      </c>
      <c r="LM11" s="1517">
        <f t="shared" si="64"/>
        <v>4101.84848788</v>
      </c>
      <c r="LN11" s="1517"/>
      <c r="LO11" s="1517"/>
      <c r="LR11" s="1520">
        <f t="shared" ref="LR11:LR19" si="65">+IFERROR(LD11/LC11-1," ")</f>
        <v>-7.0282932647315999E-2</v>
      </c>
      <c r="LS11" s="1520">
        <f t="shared" ref="LS11:LS19" si="66">+IFERROR(LE11/LD11-1," ")</f>
        <v>-0.88660650835922383</v>
      </c>
      <c r="LT11" s="1520">
        <f t="shared" ref="LT11:LT19" si="67">+IFERROR(LF11/LE11-1," ")</f>
        <v>1.5916609466824458</v>
      </c>
      <c r="LU11" s="1520">
        <f t="shared" ref="LU11:LU19" si="68">+IFERROR(LG11/LF11-1," ")</f>
        <v>-0.3171514963877371</v>
      </c>
      <c r="LV11" s="1520">
        <f t="shared" ref="LV11:LV19" si="69">+IFERROR(LH11/LG11-1," ")</f>
        <v>0.51165314553799845</v>
      </c>
      <c r="LW11" s="1520">
        <f t="shared" ref="LW11:LW19" si="70">+IFERROR(LI11/LH11-1," ")</f>
        <v>0.21027683977774569</v>
      </c>
      <c r="LX11" s="1520">
        <f t="shared" ref="LX11:LX19" si="71">+IFERROR(LO11/LI11-1," ")</f>
        <v>-1</v>
      </c>
      <c r="LZ11" s="1517">
        <f t="shared" ref="LZ11:LZ19" si="72">+LD11-LC11</f>
        <v>-387.51647567000691</v>
      </c>
      <c r="MA11" s="1517">
        <f t="shared" ref="MA11:MA19" si="73">+LE11-LD11</f>
        <v>-4544.8757593699984</v>
      </c>
      <c r="MB11" s="1517">
        <f t="shared" ref="MB11:MB19" si="74">+LF11-LE11</f>
        <v>925.18757037000012</v>
      </c>
      <c r="MC11" s="1517">
        <f t="shared" ref="MC11:MC19" si="75">+LG11-LF11</f>
        <v>-477.7758329799999</v>
      </c>
      <c r="MD11" s="1517">
        <f t="shared" ref="MD11:MD19" si="76">+LH11-LG11</f>
        <v>526.32915059999982</v>
      </c>
      <c r="ME11" s="1517">
        <f t="shared" ref="ME11:ME19" si="77">+LI11-LH11</f>
        <v>326.98314682999967</v>
      </c>
      <c r="MF11" s="1517">
        <f t="shared" ref="MF11:MF19" si="78">+LO11-LI11</f>
        <v>-1881.9958014599997</v>
      </c>
      <c r="MH11" s="1520">
        <f t="shared" ref="MH11:MH19" si="79">+LB11/LB$11</f>
        <v>1</v>
      </c>
      <c r="MI11" s="1520">
        <f t="shared" ref="MI11:MI19" si="80">+LC11/LC$11</f>
        <v>1</v>
      </c>
      <c r="MJ11" s="1520">
        <f t="shared" ref="MJ11:MJ19" si="81">+LD11/LD$11</f>
        <v>1</v>
      </c>
      <c r="MK11" s="1520">
        <f t="shared" ref="MK11:MK19" si="82">+LE11/LE$11</f>
        <v>1</v>
      </c>
      <c r="ML11" s="1520">
        <f t="shared" ref="ML11:ML19" si="83">+LF11/LF$11</f>
        <v>1</v>
      </c>
      <c r="MM11" s="1520">
        <f t="shared" ref="MM11:MM19" si="84">+LG11/LG$11</f>
        <v>1</v>
      </c>
      <c r="MN11" s="1520">
        <f t="shared" ref="MN11:MN19" si="85">+LH11/LH$11</f>
        <v>1</v>
      </c>
      <c r="MO11" s="1520">
        <f t="shared" ref="MO11:MO19" si="86">+LI11/LI$11</f>
        <v>1</v>
      </c>
      <c r="MP11" s="1520" t="e">
        <f t="shared" ref="MP11:MP19" si="87">+LO11/LO$11</f>
        <v>#DIV/0!</v>
      </c>
      <c r="NB11" s="17">
        <v>11</v>
      </c>
      <c r="NC11" s="17" t="s">
        <v>623</v>
      </c>
    </row>
    <row r="12" spans="1:367" outlineLevel="1">
      <c r="A12" s="884">
        <v>4115</v>
      </c>
      <c r="B12" s="884"/>
      <c r="C12" s="47" t="s">
        <v>61</v>
      </c>
      <c r="D12" s="923" t="s">
        <v>59</v>
      </c>
      <c r="E12" s="924">
        <v>806.00994534000006</v>
      </c>
      <c r="F12" s="924">
        <v>2815.45580883</v>
      </c>
      <c r="G12" s="924">
        <v>2539.5062277200004</v>
      </c>
      <c r="H12" s="924">
        <v>2776.8382550300003</v>
      </c>
      <c r="I12" s="924">
        <v>3220.4018057999983</v>
      </c>
      <c r="J12" s="924">
        <v>3105.2472103500004</v>
      </c>
      <c r="K12" s="924">
        <v>3079.5271261199996</v>
      </c>
      <c r="L12" s="924">
        <v>3358.9268205900007</v>
      </c>
      <c r="M12" s="924">
        <v>3780.1017433000015</v>
      </c>
      <c r="N12" s="924">
        <v>2698.6643336999987</v>
      </c>
      <c r="O12" s="924">
        <v>3968.0127670300026</v>
      </c>
      <c r="P12" s="924">
        <v>2842.1425627499957</v>
      </c>
      <c r="Q12" s="924">
        <v>2007.81015819</v>
      </c>
      <c r="R12" s="924">
        <v>3153.6947178600003</v>
      </c>
      <c r="S12" s="924">
        <v>1771.1106629899996</v>
      </c>
      <c r="T12" s="924">
        <v>1799.7027402000003</v>
      </c>
      <c r="U12" s="924">
        <v>3638.2909794499992</v>
      </c>
      <c r="V12" s="924">
        <v>3154.8550032700005</v>
      </c>
      <c r="W12" s="924">
        <v>2389.2905699200001</v>
      </c>
      <c r="X12" s="924">
        <v>2826.9334321599999</v>
      </c>
      <c r="Y12" s="924">
        <v>1316.0914770499985</v>
      </c>
      <c r="Z12" s="924">
        <v>2055.0782477399989</v>
      </c>
      <c r="AA12" s="924">
        <v>4468.3473309399997</v>
      </c>
      <c r="AB12" s="924">
        <v>4976.5699636900063</v>
      </c>
      <c r="AC12" s="924">
        <v>1454.74166231</v>
      </c>
      <c r="AD12" s="924">
        <v>3586.7124426300002</v>
      </c>
      <c r="AE12" s="924">
        <v>2398.7299562799999</v>
      </c>
      <c r="AF12" s="924">
        <v>2701.7248327000002</v>
      </c>
      <c r="AG12" s="924">
        <v>2517.9466260000004</v>
      </c>
      <c r="AH12" s="924">
        <v>2055.7923256200002</v>
      </c>
      <c r="AI12" s="924">
        <v>2206.05538316</v>
      </c>
      <c r="AJ12" s="924">
        <v>2940.1640838499998</v>
      </c>
      <c r="AK12" s="924">
        <v>2595.7349299299999</v>
      </c>
      <c r="AL12" s="924">
        <v>3458.8198831</v>
      </c>
      <c r="AM12" s="924">
        <v>5531.3532719300001</v>
      </c>
      <c r="AN12" s="924">
        <v>4928.1485160799984</v>
      </c>
      <c r="AO12" s="924">
        <v>2664.6834696900005</v>
      </c>
      <c r="AP12" s="925">
        <v>1384.7325453700003</v>
      </c>
      <c r="AQ12" s="926">
        <v>1454.9750595399998</v>
      </c>
      <c r="AR12" s="926">
        <v>1017.1720344899998</v>
      </c>
      <c r="AS12" s="924">
        <v>896.22157375999996</v>
      </c>
      <c r="AT12" s="924">
        <v>662.16882564000002</v>
      </c>
      <c r="AU12" s="924">
        <v>1232.4711715800001</v>
      </c>
      <c r="AV12" s="924">
        <v>1194.46167621</v>
      </c>
      <c r="AW12" s="924">
        <v>1170.7436105399997</v>
      </c>
      <c r="AX12" s="924">
        <v>1262.9364039199997</v>
      </c>
      <c r="AY12" s="924">
        <v>760.17841794999981</v>
      </c>
      <c r="AZ12" s="924">
        <v>392.13785157000001</v>
      </c>
      <c r="BA12" s="924">
        <v>373.00147486999998</v>
      </c>
      <c r="BB12" s="924">
        <v>237.37286455999995</v>
      </c>
      <c r="BC12" s="924">
        <v>128.03406410000002</v>
      </c>
      <c r="BD12" s="924">
        <v>49.401375719999997</v>
      </c>
      <c r="BE12" s="924">
        <v>325.91743058000003</v>
      </c>
      <c r="BF12" s="924">
        <v>210.64934957000003</v>
      </c>
      <c r="BG12" s="924">
        <v>311.17049824999998</v>
      </c>
      <c r="BH12" s="924">
        <v>395.07319631999991</v>
      </c>
      <c r="BI12" s="924">
        <v>214.38890093999981</v>
      </c>
      <c r="BJ12" s="924">
        <v>543.54372692000004</v>
      </c>
      <c r="BK12" s="924">
        <v>988.26771884000016</v>
      </c>
      <c r="BL12" s="924">
        <v>1425.2714274300001</v>
      </c>
      <c r="BM12" s="924">
        <v>1134.8179341</v>
      </c>
      <c r="BN12" s="924">
        <v>1078.57976833</v>
      </c>
      <c r="BO12" s="924">
        <v>1046.23403975</v>
      </c>
      <c r="BP12" s="924">
        <v>1391.2855790100002</v>
      </c>
      <c r="BQ12" s="924">
        <v>944.86738002999994</v>
      </c>
      <c r="BR12" s="924">
        <v>907.06652005000001</v>
      </c>
      <c r="BS12" s="924">
        <v>1067.82475217</v>
      </c>
      <c r="BT12" s="924">
        <v>1064.59464486</v>
      </c>
      <c r="BU12" s="924">
        <v>802.80836103000001</v>
      </c>
      <c r="BV12" s="924">
        <v>1073.2787726899999</v>
      </c>
      <c r="BW12" s="924">
        <v>1196.9327283900004</v>
      </c>
      <c r="BX12" s="924">
        <v>944.36372681000023</v>
      </c>
      <c r="BY12" s="924">
        <v>918.26094842000009</v>
      </c>
      <c r="BZ12" s="924">
        <v>954.76169004000008</v>
      </c>
      <c r="CA12" s="924">
        <v>917.38053848000004</v>
      </c>
      <c r="CB12" s="924">
        <v>737.39982370000007</v>
      </c>
      <c r="CC12" s="924">
        <v>611.79216925000003</v>
      </c>
      <c r="CD12" s="924">
        <v>772.19654496999988</v>
      </c>
      <c r="CE12" s="924">
        <v>1052.5454931199999</v>
      </c>
      <c r="CF12" s="924">
        <v>1628.8507312200002</v>
      </c>
      <c r="CG12" s="924">
        <v>1092.21856727</v>
      </c>
      <c r="CH12" s="924">
        <v>1351.92794015</v>
      </c>
      <c r="CI12" s="924">
        <v>1738.41247299</v>
      </c>
      <c r="CJ12" s="924">
        <v>1451.10176058</v>
      </c>
      <c r="CK12" s="924">
        <v>1484.3489215999998</v>
      </c>
      <c r="CL12" s="924">
        <v>1147.3988774099998</v>
      </c>
      <c r="CM12" s="924">
        <v>1663.1164521399999</v>
      </c>
      <c r="CN12" s="924">
        <v>1443.6903451399999</v>
      </c>
      <c r="CO12" s="924">
        <v>1590.0110032299999</v>
      </c>
      <c r="CP12" s="924">
        <v>1622.8344388899998</v>
      </c>
      <c r="CQ12" s="924">
        <v>1670.4733395999999</v>
      </c>
      <c r="CR12" s="924">
        <v>1930.6500692200002</v>
      </c>
      <c r="CS12" s="924">
        <v>1764.24656562</v>
      </c>
      <c r="CT12" s="924">
        <v>2143.0498825</v>
      </c>
      <c r="CU12" s="924">
        <v>1906.7897882</v>
      </c>
      <c r="CV12" s="924">
        <v>1829.6563514899997</v>
      </c>
      <c r="CW12" s="924">
        <v>1834.9282884200002</v>
      </c>
      <c r="CX12" s="924">
        <v>1566.2589819699997</v>
      </c>
      <c r="CY12" s="924">
        <v>1724.5679357700003</v>
      </c>
      <c r="CZ12" s="924">
        <v>342.93000532000019</v>
      </c>
      <c r="DA12" s="924">
        <v>342.59946513000011</v>
      </c>
      <c r="DB12" s="924">
        <v>375.19689274000001</v>
      </c>
      <c r="DC12" s="924">
        <v>482.73311514</v>
      </c>
      <c r="DD12" s="924">
        <v>1160.6810653699999</v>
      </c>
      <c r="DE12" s="924">
        <v>1006.6267351499998</v>
      </c>
      <c r="DF12" s="924">
        <v>1175.92829244</v>
      </c>
      <c r="DG12" s="924">
        <v>826.57680589999984</v>
      </c>
      <c r="DH12" s="924">
        <v>1095.9814840199999</v>
      </c>
      <c r="DI12" s="924">
        <v>975.76875696000002</v>
      </c>
      <c r="DJ12" s="924">
        <v>677.56761331000007</v>
      </c>
      <c r="DK12" s="924">
        <v>1007.62349126</v>
      </c>
      <c r="DL12" s="924">
        <v>1152.0746019999999</v>
      </c>
      <c r="DM12" s="924">
        <v>1105.7272128</v>
      </c>
      <c r="DN12" s="924">
        <v>1065.8700522800002</v>
      </c>
      <c r="DO12" s="924">
        <v>1190.3682553699998</v>
      </c>
      <c r="DP12" s="924">
        <v>1315.6105136199999</v>
      </c>
      <c r="DQ12" s="960">
        <v>1174.3427436100001</v>
      </c>
      <c r="DR12" s="960">
        <v>1385.27471397</v>
      </c>
      <c r="DS12" s="960">
        <v>1311.8754129499998</v>
      </c>
      <c r="DT12" s="960">
        <v>1611.2291024699998</v>
      </c>
      <c r="DU12" s="960">
        <v>1749.9744678099999</v>
      </c>
      <c r="DV12" s="960">
        <v>1291.80588244</v>
      </c>
      <c r="DW12" s="960">
        <v>1538.0441455599998</v>
      </c>
      <c r="DX12" s="960">
        <v>1482.17315078</v>
      </c>
      <c r="DY12" s="960">
        <v>1423.0361830500001</v>
      </c>
      <c r="DZ12" s="960">
        <v>2344.9315060100002</v>
      </c>
      <c r="EA12" s="960">
        <v>1947.2807429799998</v>
      </c>
      <c r="EB12" s="960">
        <v>2345.4910009200003</v>
      </c>
      <c r="EC12" s="960">
        <v>2690.77713503</v>
      </c>
      <c r="ED12" s="960">
        <v>3682.95983243</v>
      </c>
      <c r="EE12" s="960">
        <v>3830.6815415299998</v>
      </c>
      <c r="EF12" s="960">
        <v>3858.5045831500001</v>
      </c>
      <c r="EH12" s="924">
        <v>1834.9282884200002</v>
      </c>
      <c r="EI12" s="924">
        <v>1566.2589819699997</v>
      </c>
      <c r="EJ12" s="924">
        <v>1724.5679357699998</v>
      </c>
      <c r="EK12" s="924">
        <v>342.93000532000008</v>
      </c>
      <c r="EL12" s="924">
        <v>342.59946513</v>
      </c>
      <c r="EM12" s="924">
        <v>375.19689274000001</v>
      </c>
      <c r="EN12" s="924">
        <v>464.6124948800001</v>
      </c>
      <c r="EO12" s="924">
        <v>828.82295768000017</v>
      </c>
      <c r="EP12" s="924">
        <v>764.72178968000003</v>
      </c>
      <c r="EQ12" s="924">
        <v>535.24405128000001</v>
      </c>
      <c r="ER12" s="924">
        <v>479.91627</v>
      </c>
      <c r="ES12" s="924">
        <v>479.91627</v>
      </c>
      <c r="EU12" s="924">
        <v>2346.0224999178708</v>
      </c>
      <c r="EV12" s="924">
        <v>1084.1125971215647</v>
      </c>
      <c r="EW12" s="924">
        <v>1428.7414120000001</v>
      </c>
      <c r="EX12" s="924">
        <v>2119.2564029999999</v>
      </c>
      <c r="EY12" s="924">
        <v>1672.590962</v>
      </c>
      <c r="EZ12" s="924">
        <v>1943.9716530000001</v>
      </c>
      <c r="FA12" s="924">
        <v>1828.3130570000001</v>
      </c>
      <c r="FB12" s="924">
        <v>2634.5620290000002</v>
      </c>
      <c r="FC12" s="924">
        <v>1774.750438</v>
      </c>
      <c r="FD12" s="924">
        <v>2088.454729</v>
      </c>
      <c r="FE12" s="924">
        <v>1870.747938</v>
      </c>
      <c r="FF12" s="924">
        <v>2104.9022289999998</v>
      </c>
      <c r="FG12" s="924">
        <v>446.26534096</v>
      </c>
      <c r="FH12" s="924">
        <v>904.26112222000006</v>
      </c>
      <c r="FI12" s="924">
        <v>943.12623017999999</v>
      </c>
      <c r="FJ12" s="924">
        <v>860.76040476999992</v>
      </c>
      <c r="FK12" s="924">
        <v>982.73107812000001</v>
      </c>
      <c r="FL12" s="924">
        <v>1382.5991659200001</v>
      </c>
      <c r="FM12" s="924">
        <v>1475.6108230699999</v>
      </c>
      <c r="FN12" s="924">
        <v>1581.7440380799999</v>
      </c>
      <c r="FO12" s="924">
        <v>1605.8868916299998</v>
      </c>
      <c r="FP12" s="924">
        <v>1641.2495051200001</v>
      </c>
      <c r="FQ12" s="924">
        <v>1449.2515671600001</v>
      </c>
      <c r="FR12" s="924">
        <v>1037.3682571600002</v>
      </c>
      <c r="FS12" s="924">
        <f>891.285+3.6</f>
        <v>894.88499999999999</v>
      </c>
      <c r="FT12" s="924">
        <f>1032.89+3.6</f>
        <v>1036.49</v>
      </c>
      <c r="FU12" s="924">
        <f>1054.780508+3.6</f>
        <v>1058.380508</v>
      </c>
      <c r="FV12" s="924">
        <f>963.770508+3.6</f>
        <v>967.37050799999997</v>
      </c>
      <c r="FW12" s="924">
        <f>1000.710262+6.75</f>
        <v>1007.4602619999999</v>
      </c>
      <c r="FX12" s="924">
        <f>897.960262+6.75</f>
        <v>904.71026199999994</v>
      </c>
      <c r="FY12" s="924">
        <f>996.705262+6.75</f>
        <v>1003.4552619999999</v>
      </c>
      <c r="FZ12" s="924">
        <f>678.997+6.75</f>
        <v>685.74699999999996</v>
      </c>
      <c r="GA12" s="924">
        <f>533.185+6.75</f>
        <v>539.93499999999995</v>
      </c>
      <c r="GB12" s="924">
        <f>430.525+6.75</f>
        <v>437.27499999999998</v>
      </c>
      <c r="GC12" s="924">
        <f>494.275+6.75</f>
        <v>501.02499999999998</v>
      </c>
      <c r="GD12" s="924">
        <f>442.945+6.75</f>
        <v>449.69499999999999</v>
      </c>
      <c r="GE12" s="924">
        <v>1289.376</v>
      </c>
      <c r="GF12" s="924">
        <v>1126.818</v>
      </c>
      <c r="GG12" s="924">
        <v>1049.1389999999999</v>
      </c>
      <c r="GH12" s="924">
        <v>908.46</v>
      </c>
      <c r="GI12" s="924">
        <v>1074.3389999999999</v>
      </c>
      <c r="GJ12" s="924">
        <v>1081.6289999999999</v>
      </c>
      <c r="GK12" s="924">
        <v>1173.9870000000001</v>
      </c>
      <c r="GL12" s="924">
        <v>1188.9179999999999</v>
      </c>
      <c r="GM12" s="924">
        <v>1209.7080000000001</v>
      </c>
      <c r="GN12" s="924">
        <v>1424.538</v>
      </c>
      <c r="GO12" s="924">
        <v>1571.2380000000001</v>
      </c>
      <c r="GP12" s="924">
        <v>1405.3589999999999</v>
      </c>
      <c r="GQ12" s="924">
        <v>1289.376</v>
      </c>
      <c r="GR12" s="924">
        <v>1126.818</v>
      </c>
      <c r="GS12" s="924">
        <v>1049.1389999999999</v>
      </c>
      <c r="GT12" s="924">
        <v>908.46</v>
      </c>
      <c r="GU12" s="924">
        <v>1074.3389999999999</v>
      </c>
      <c r="GV12" s="924">
        <v>1081.6289999999999</v>
      </c>
      <c r="GW12" s="924">
        <v>1173.9870000000001</v>
      </c>
      <c r="GX12" s="924">
        <v>1188.9179999999999</v>
      </c>
      <c r="GY12" s="924">
        <v>1209.7080000000001</v>
      </c>
      <c r="GZ12" s="924">
        <v>1424.538</v>
      </c>
      <c r="HA12" s="924">
        <v>1571.2380000000001</v>
      </c>
      <c r="HB12" s="924">
        <v>1405.3589999999999</v>
      </c>
      <c r="HD12" s="924">
        <f t="shared" si="5"/>
        <v>34990.834606559998</v>
      </c>
      <c r="HE12" s="924">
        <f t="shared" si="5"/>
        <v>33557.775283460003</v>
      </c>
      <c r="HF12" s="924">
        <f t="shared" si="5"/>
        <v>36375.923913590006</v>
      </c>
      <c r="HG12" s="924">
        <f t="shared" si="5"/>
        <v>14092.882640259997</v>
      </c>
      <c r="HH12" s="924">
        <f t="shared" si="6"/>
        <v>5202.0920280999999</v>
      </c>
      <c r="HI12" s="924">
        <f t="shared" si="7"/>
        <v>12652.654207220003</v>
      </c>
      <c r="HJ12" s="924">
        <f t="shared" si="8"/>
        <v>13226.848680190002</v>
      </c>
      <c r="HK12" s="924">
        <f t="shared" si="9"/>
        <v>20196.26603504</v>
      </c>
      <c r="HL12" s="960">
        <f>+SUMIF($E$6:SEW$6,HL$7,$E12:SEW12)</f>
        <v>11935.00906737</v>
      </c>
      <c r="HM12" s="960">
        <f>+SUMIF($E$6:SEX$6,HM$7,$E12:SEX12)</f>
        <v>13973.332470599998</v>
      </c>
      <c r="HN12" s="960">
        <f>+SUMIF($E$6:SEY$6,HN$7,$E12:SEY12)</f>
        <v>28185.660171689997</v>
      </c>
      <c r="HO12" s="924"/>
      <c r="HP12" s="924"/>
      <c r="HR12" s="927">
        <f t="shared" si="10"/>
        <v>8.397900654394741E-2</v>
      </c>
      <c r="HS12" s="927">
        <f t="shared" si="11"/>
        <v>-0.61257664069956697</v>
      </c>
      <c r="HT12" s="927">
        <f t="shared" si="12"/>
        <v>-0.63087097502402623</v>
      </c>
      <c r="HU12" s="927">
        <f t="shared" si="13"/>
        <v>1.4322242165026116</v>
      </c>
      <c r="HV12" s="927">
        <f t="shared" si="14"/>
        <v>4.5381345571140708E-2</v>
      </c>
      <c r="HW12" s="927">
        <f t="shared" si="15"/>
        <v>0.52691442409015932</v>
      </c>
      <c r="HX12" s="927">
        <f t="shared" si="16"/>
        <v>-0.40904872976702389</v>
      </c>
      <c r="HY12" s="927">
        <f t="shared" si="16"/>
        <v>0.17078524127834327</v>
      </c>
      <c r="HZ12" s="927">
        <f t="shared" si="16"/>
        <v>1.0171036673601552</v>
      </c>
      <c r="IA12" s="927">
        <f t="shared" si="17"/>
        <v>-1</v>
      </c>
      <c r="IB12" s="927" t="str">
        <f t="shared" si="18"/>
        <v/>
      </c>
      <c r="IC12" s="927">
        <f t="shared" si="19"/>
        <v>-1</v>
      </c>
      <c r="IE12" s="924">
        <f t="shared" si="20"/>
        <v>2818.1486301300029</v>
      </c>
      <c r="IF12" s="924">
        <f t="shared" si="21"/>
        <v>-22283.041273330011</v>
      </c>
      <c r="IG12" s="924">
        <f t="shared" si="22"/>
        <v>-8890.7906121599972</v>
      </c>
      <c r="IH12" s="924">
        <f t="shared" si="23"/>
        <v>7450.5621791200028</v>
      </c>
      <c r="II12" s="924">
        <f t="shared" si="24"/>
        <v>574.19447296999897</v>
      </c>
      <c r="IJ12" s="924">
        <f t="shared" si="25"/>
        <v>6969.4173548499984</v>
      </c>
      <c r="IK12" s="924">
        <f t="shared" si="26"/>
        <v>-8261.2569676700004</v>
      </c>
      <c r="IL12" s="924">
        <f t="shared" si="27"/>
        <v>-11935.00906737</v>
      </c>
      <c r="IM12" s="924">
        <f t="shared" si="28"/>
        <v>0</v>
      </c>
      <c r="IN12" s="924">
        <f t="shared" si="29"/>
        <v>-11935.00906737</v>
      </c>
      <c r="IP12" s="76">
        <f t="shared" si="30"/>
        <v>0.91300556380857589</v>
      </c>
      <c r="IQ12" s="76">
        <f t="shared" si="31"/>
        <v>0.92364576340574556</v>
      </c>
      <c r="IR12" s="76">
        <f t="shared" si="32"/>
        <v>0.83623472958027467</v>
      </c>
      <c r="IS12" s="76">
        <f t="shared" si="33"/>
        <v>0.84558994915929253</v>
      </c>
      <c r="IT12" s="76">
        <f t="shared" si="34"/>
        <v>0.92837522880288881</v>
      </c>
      <c r="IU12" s="76">
        <f t="shared" si="35"/>
        <v>0.93472435914024887</v>
      </c>
      <c r="IV12" s="76">
        <f t="shared" si="36"/>
        <v>0.95133695202670265</v>
      </c>
      <c r="IW12" s="76">
        <f t="shared" si="37"/>
        <v>0.94573024701972019</v>
      </c>
      <c r="IX12" s="76" t="e">
        <f t="shared" si="38"/>
        <v>#DIV/0!</v>
      </c>
      <c r="IY12" s="76" t="e">
        <f t="shared" si="39"/>
        <v>#DIV/0!</v>
      </c>
      <c r="JA12" s="924">
        <f>+IFERROR(SUMIFS($E12:$EG12,$E$6:$EG$6,JA$7,$E$5:$EG$5,"&lt;="&amp;$JC$5),"NA")</f>
        <v>34990.834606559998</v>
      </c>
      <c r="JB12" s="924">
        <f t="shared" si="40"/>
        <v>33557.775283460003</v>
      </c>
      <c r="JC12" s="924">
        <f t="shared" si="40"/>
        <v>36375.923913590006</v>
      </c>
      <c r="JD12" s="924">
        <f t="shared" si="40"/>
        <v>14092.882640259997</v>
      </c>
      <c r="JE12" s="924">
        <f t="shared" si="40"/>
        <v>5202.0920280999999</v>
      </c>
      <c r="JF12" s="924">
        <f t="shared" si="40"/>
        <v>12652.654207220003</v>
      </c>
      <c r="JG12" s="924">
        <f t="shared" si="40"/>
        <v>13226.848680190002</v>
      </c>
      <c r="JH12" s="924">
        <f t="shared" si="40"/>
        <v>20196.26603504</v>
      </c>
      <c r="JI12" s="924">
        <f t="shared" si="40"/>
        <v>11935.00906737</v>
      </c>
      <c r="JJ12" s="924">
        <f t="shared" si="40"/>
        <v>13973.332470599998</v>
      </c>
      <c r="JK12" s="924">
        <f t="shared" si="40"/>
        <v>28185.660171689997</v>
      </c>
      <c r="JL12" s="924">
        <f>+SUMIF($DU$5:$EF$5,"&lt;="&amp;$JC$5,$DU12:$EF12)</f>
        <v>28185.660171689997</v>
      </c>
      <c r="JM12" s="924"/>
      <c r="JN12" s="924"/>
      <c r="JO12" s="922"/>
      <c r="JP12" s="924">
        <f t="shared" si="41"/>
        <v>28185.660171689997</v>
      </c>
      <c r="JQ12" s="924">
        <f t="shared" si="42"/>
        <v>0</v>
      </c>
      <c r="JR12" s="145"/>
      <c r="JS12" s="927" t="str">
        <f t="shared" ref="JS12:JS20" si="88">+IFERROR(JP12/JQ12,"NA")</f>
        <v>NA</v>
      </c>
      <c r="JT12" s="928">
        <f t="shared" ref="JT12:JT37" si="89">+IFERROR(JP12-JQ12,"NA")</f>
        <v>28185.660171689997</v>
      </c>
      <c r="JV12" s="76">
        <f t="shared" si="43"/>
        <v>0.93356045796946985</v>
      </c>
      <c r="JW12" s="927" t="str">
        <f t="shared" si="44"/>
        <v/>
      </c>
      <c r="JY12" s="76">
        <f t="shared" si="45"/>
        <v>8.397900654394741E-2</v>
      </c>
      <c r="JZ12" s="76">
        <f t="shared" si="45"/>
        <v>-0.61257664069956697</v>
      </c>
      <c r="KA12" s="76">
        <f t="shared" si="45"/>
        <v>-0.63087097502402623</v>
      </c>
      <c r="KB12" s="76">
        <f t="shared" si="45"/>
        <v>1.4322242165026116</v>
      </c>
      <c r="KC12" s="76">
        <f t="shared" si="45"/>
        <v>4.5381345571140708E-2</v>
      </c>
      <c r="KD12" s="76">
        <f t="shared" si="45"/>
        <v>0.52691442409015932</v>
      </c>
      <c r="KE12" s="76">
        <f t="shared" si="45"/>
        <v>-0.40904872976702389</v>
      </c>
      <c r="KF12" s="76">
        <f>+IFERROR(JN12/JI12-1,"NA")</f>
        <v>-1</v>
      </c>
      <c r="KH12" s="924">
        <f t="shared" si="46"/>
        <v>2818.1486301300029</v>
      </c>
      <c r="KI12" s="924">
        <f t="shared" si="47"/>
        <v>-22283.041273330011</v>
      </c>
      <c r="KJ12" s="924">
        <f t="shared" si="48"/>
        <v>-8890.7906121599972</v>
      </c>
      <c r="KK12" s="924">
        <f t="shared" si="49"/>
        <v>7450.5621791200028</v>
      </c>
      <c r="KL12" s="924">
        <f t="shared" si="50"/>
        <v>574.19447296999897</v>
      </c>
      <c r="KM12" s="924">
        <f t="shared" si="51"/>
        <v>6969.4173548499984</v>
      </c>
      <c r="KN12" s="924">
        <f t="shared" si="52"/>
        <v>-8261.2569676700004</v>
      </c>
      <c r="KO12" s="924">
        <f t="shared" si="53"/>
        <v>-11935.00906737</v>
      </c>
      <c r="KQ12" s="76">
        <f t="shared" si="54"/>
        <v>0.96442988247369832</v>
      </c>
      <c r="KR12" s="76">
        <f t="shared" si="55"/>
        <v>0.91300556380857589</v>
      </c>
      <c r="KS12" s="76">
        <f t="shared" si="56"/>
        <v>0.92364576340574556</v>
      </c>
      <c r="KT12" s="76">
        <f t="shared" si="57"/>
        <v>0.83623472958027467</v>
      </c>
      <c r="KU12" s="76">
        <f t="shared" si="58"/>
        <v>0.84558994915929253</v>
      </c>
      <c r="KV12" s="76">
        <f t="shared" si="59"/>
        <v>0.92837522880288881</v>
      </c>
      <c r="KW12" s="76">
        <f t="shared" si="60"/>
        <v>0.93472435914024887</v>
      </c>
      <c r="KX12" s="76">
        <f t="shared" si="61"/>
        <v>0.95133695202670265</v>
      </c>
      <c r="KY12" s="76">
        <f t="shared" si="62"/>
        <v>0.94573024701972019</v>
      </c>
      <c r="KZ12" s="76" t="e">
        <f t="shared" si="63"/>
        <v>#DIV/0!</v>
      </c>
      <c r="LB12" s="924">
        <f>+SUMIFS($E12:$EG12,$E$6:$EG$6,LB$7,$E$5:$EG$5,$LD$5)</f>
        <v>2842.1425627499957</v>
      </c>
      <c r="LC12" s="924">
        <f t="shared" si="64"/>
        <v>4976.5699636900063</v>
      </c>
      <c r="LD12" s="924">
        <f t="shared" si="64"/>
        <v>4928.1485160799984</v>
      </c>
      <c r="LE12" s="924">
        <f t="shared" si="64"/>
        <v>392.13785157000001</v>
      </c>
      <c r="LF12" s="924">
        <f t="shared" si="64"/>
        <v>1425.2714274300001</v>
      </c>
      <c r="LG12" s="924">
        <f t="shared" si="64"/>
        <v>944.36372681000023</v>
      </c>
      <c r="LH12" s="924">
        <f t="shared" si="64"/>
        <v>1451.10176058</v>
      </c>
      <c r="LI12" s="924">
        <f t="shared" si="64"/>
        <v>1829.6563514899997</v>
      </c>
      <c r="LJ12" s="924">
        <f t="shared" si="64"/>
        <v>1095.9814840199999</v>
      </c>
      <c r="LK12" s="924">
        <f t="shared" si="64"/>
        <v>1611.2291024699998</v>
      </c>
      <c r="LL12" s="924">
        <f t="shared" si="64"/>
        <v>3858.5045831500001</v>
      </c>
      <c r="LM12" s="924">
        <f t="shared" si="64"/>
        <v>3858.5045831500001</v>
      </c>
      <c r="LN12" s="924"/>
      <c r="LO12" s="924"/>
      <c r="LR12" s="76">
        <f t="shared" si="65"/>
        <v>-9.7298838282793287E-3</v>
      </c>
      <c r="LS12" s="76">
        <f t="shared" si="66"/>
        <v>-0.92042897037487847</v>
      </c>
      <c r="LT12" s="76">
        <f t="shared" si="67"/>
        <v>2.6346183407790127</v>
      </c>
      <c r="LU12" s="76">
        <f t="shared" si="68"/>
        <v>-0.33741481893533498</v>
      </c>
      <c r="LV12" s="76">
        <f t="shared" si="69"/>
        <v>0.53659201363200193</v>
      </c>
      <c r="LW12" s="76">
        <f t="shared" si="70"/>
        <v>0.2608739105648199</v>
      </c>
      <c r="LX12" s="76">
        <f t="shared" si="71"/>
        <v>-1</v>
      </c>
      <c r="LZ12" s="924">
        <f t="shared" si="72"/>
        <v>-48.421447610007817</v>
      </c>
      <c r="MA12" s="924">
        <f t="shared" si="73"/>
        <v>-4536.0106645099986</v>
      </c>
      <c r="MB12" s="924">
        <f t="shared" si="74"/>
        <v>1033.1335758600001</v>
      </c>
      <c r="MC12" s="924">
        <f t="shared" si="75"/>
        <v>-480.9077006199999</v>
      </c>
      <c r="MD12" s="924">
        <f t="shared" si="76"/>
        <v>506.73803376999979</v>
      </c>
      <c r="ME12" s="924">
        <f t="shared" si="77"/>
        <v>378.55459090999966</v>
      </c>
      <c r="MF12" s="924">
        <f t="shared" si="78"/>
        <v>-1829.6563514899997</v>
      </c>
      <c r="MH12" s="76">
        <f t="shared" si="79"/>
        <v>0.94758798284819645</v>
      </c>
      <c r="MI12" s="76">
        <f t="shared" si="80"/>
        <v>0.90258854405594036</v>
      </c>
      <c r="MJ12" s="76">
        <f t="shared" si="81"/>
        <v>0.96137469533887654</v>
      </c>
      <c r="MK12" s="76">
        <f t="shared" si="82"/>
        <v>0.6746205029649468</v>
      </c>
      <c r="ML12" s="76">
        <f t="shared" si="83"/>
        <v>0.94610680316062123</v>
      </c>
      <c r="MM12" s="76">
        <f t="shared" si="84"/>
        <v>0.91803137030032422</v>
      </c>
      <c r="MN12" s="76">
        <f t="shared" si="85"/>
        <v>0.93317681773160577</v>
      </c>
      <c r="MO12" s="76">
        <f t="shared" si="86"/>
        <v>0.97218939068333921</v>
      </c>
      <c r="MP12" s="76" t="e">
        <f t="shared" si="87"/>
        <v>#DIV/0!</v>
      </c>
      <c r="NB12" s="17">
        <v>12</v>
      </c>
      <c r="NC12" s="17" t="s">
        <v>624</v>
      </c>
    </row>
    <row r="13" spans="1:367" outlineLevel="1">
      <c r="A13" s="884"/>
      <c r="B13" s="884"/>
      <c r="D13" s="31" t="s">
        <v>59</v>
      </c>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45"/>
      <c r="AQ13" s="143"/>
      <c r="AR13" s="143"/>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940"/>
      <c r="DR13" s="940"/>
      <c r="DS13" s="940"/>
      <c r="DT13" s="940"/>
      <c r="DU13" s="940"/>
      <c r="DV13" s="940"/>
      <c r="DW13" s="940"/>
      <c r="DX13" s="940"/>
      <c r="DY13" s="940"/>
      <c r="DZ13" s="940"/>
      <c r="EA13" s="940"/>
      <c r="EB13" s="940"/>
      <c r="EC13" s="940"/>
      <c r="ED13" s="940"/>
      <c r="EE13" s="940"/>
      <c r="EF13" s="940"/>
      <c r="EH13" s="102"/>
      <c r="EI13" s="102"/>
      <c r="EJ13" s="102"/>
      <c r="EK13" s="102"/>
      <c r="EL13" s="102"/>
      <c r="EM13" s="102"/>
      <c r="EN13" s="102"/>
      <c r="EO13" s="102"/>
      <c r="EP13" s="102"/>
      <c r="EQ13" s="102"/>
      <c r="ER13" s="102"/>
      <c r="ES13" s="102"/>
      <c r="EU13" s="102">
        <v>27.730757507004331</v>
      </c>
      <c r="EV13" s="102">
        <v>25.01125</v>
      </c>
      <c r="EW13" s="102">
        <v>25.01125</v>
      </c>
      <c r="EX13" s="102">
        <v>25.01125</v>
      </c>
      <c r="EY13" s="102">
        <v>25.01125</v>
      </c>
      <c r="EZ13" s="102">
        <v>25.01125</v>
      </c>
      <c r="FA13" s="102">
        <v>1435.01125</v>
      </c>
      <c r="FB13" s="102">
        <v>1435.01125</v>
      </c>
      <c r="FC13" s="102">
        <v>1435.01125</v>
      </c>
      <c r="FD13" s="102">
        <v>1435.01125</v>
      </c>
      <c r="FE13" s="102">
        <v>1435.01125</v>
      </c>
      <c r="FF13" s="102">
        <v>1435.01125</v>
      </c>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D13" s="102">
        <f t="shared" si="5"/>
        <v>0</v>
      </c>
      <c r="HE13" s="102">
        <f t="shared" si="5"/>
        <v>0</v>
      </c>
      <c r="HF13" s="102">
        <f t="shared" si="5"/>
        <v>0</v>
      </c>
      <c r="HG13" s="102">
        <f t="shared" si="5"/>
        <v>0</v>
      </c>
      <c r="HH13" s="102">
        <f t="shared" si="6"/>
        <v>0</v>
      </c>
      <c r="HI13" s="102">
        <f t="shared" si="7"/>
        <v>0</v>
      </c>
      <c r="HJ13" s="102">
        <f t="shared" si="8"/>
        <v>0</v>
      </c>
      <c r="HK13" s="102">
        <f t="shared" si="9"/>
        <v>0</v>
      </c>
      <c r="HL13" s="940">
        <f>+SUMIF($E$6:SEW$6,HL$7,$E13:SEW13)</f>
        <v>0</v>
      </c>
      <c r="HM13" s="940">
        <f>+SUMIF($E$6:SEX$6,HM$7,$E13:SEX13)</f>
        <v>0</v>
      </c>
      <c r="HN13" s="940">
        <f>+SUMIF($E$6:SEY$6,HN$7,$E13:SEY13)</f>
        <v>0</v>
      </c>
      <c r="HO13" s="102"/>
      <c r="HP13" s="102"/>
      <c r="HR13" s="929" t="str">
        <f t="shared" si="10"/>
        <v/>
      </c>
      <c r="HS13" s="929" t="str">
        <f t="shared" si="11"/>
        <v/>
      </c>
      <c r="HT13" s="929" t="str">
        <f t="shared" si="12"/>
        <v/>
      </c>
      <c r="HU13" s="929" t="str">
        <f t="shared" si="13"/>
        <v/>
      </c>
      <c r="HV13" s="929" t="str">
        <f t="shared" si="14"/>
        <v/>
      </c>
      <c r="HW13" s="929" t="str">
        <f t="shared" si="15"/>
        <v/>
      </c>
      <c r="HX13" s="929" t="str">
        <f t="shared" si="16"/>
        <v/>
      </c>
      <c r="HY13" s="929" t="str">
        <f t="shared" si="16"/>
        <v/>
      </c>
      <c r="HZ13" s="929" t="str">
        <f t="shared" si="16"/>
        <v/>
      </c>
      <c r="IA13" s="929" t="str">
        <f t="shared" si="17"/>
        <v/>
      </c>
      <c r="IB13" s="929" t="str">
        <f t="shared" si="18"/>
        <v/>
      </c>
      <c r="IC13" s="929" t="str">
        <f t="shared" si="19"/>
        <v/>
      </c>
      <c r="IE13" s="102">
        <f t="shared" si="20"/>
        <v>0</v>
      </c>
      <c r="IF13" s="102">
        <f t="shared" si="21"/>
        <v>0</v>
      </c>
      <c r="IG13" s="102">
        <f t="shared" si="22"/>
        <v>0</v>
      </c>
      <c r="IH13" s="102">
        <f t="shared" si="23"/>
        <v>0</v>
      </c>
      <c r="II13" s="102">
        <f t="shared" si="24"/>
        <v>0</v>
      </c>
      <c r="IJ13" s="102">
        <f t="shared" si="25"/>
        <v>0</v>
      </c>
      <c r="IK13" s="102">
        <f t="shared" si="26"/>
        <v>0</v>
      </c>
      <c r="IL13" s="102">
        <f t="shared" si="27"/>
        <v>0</v>
      </c>
      <c r="IM13" s="102">
        <f t="shared" si="28"/>
        <v>0</v>
      </c>
      <c r="IN13" s="102">
        <f t="shared" si="29"/>
        <v>0</v>
      </c>
      <c r="IP13" s="32">
        <f t="shared" si="30"/>
        <v>0</v>
      </c>
      <c r="IQ13" s="32">
        <f t="shared" si="31"/>
        <v>0</v>
      </c>
      <c r="IR13" s="32">
        <f t="shared" si="32"/>
        <v>0</v>
      </c>
      <c r="IS13" s="32">
        <f t="shared" si="33"/>
        <v>0</v>
      </c>
      <c r="IT13" s="32">
        <f t="shared" si="34"/>
        <v>0</v>
      </c>
      <c r="IU13" s="32">
        <f t="shared" si="35"/>
        <v>0</v>
      </c>
      <c r="IV13" s="32">
        <f t="shared" si="36"/>
        <v>0</v>
      </c>
      <c r="IW13" s="32">
        <f t="shared" si="37"/>
        <v>0</v>
      </c>
      <c r="IX13" s="32" t="e">
        <f t="shared" si="38"/>
        <v>#DIV/0!</v>
      </c>
      <c r="IY13" s="32" t="e">
        <f t="shared" si="39"/>
        <v>#DIV/0!</v>
      </c>
      <c r="JA13" s="102"/>
      <c r="JB13" s="102"/>
      <c r="JC13" s="102"/>
      <c r="JD13" s="102"/>
      <c r="JE13" s="102"/>
      <c r="JF13" s="102"/>
      <c r="JG13" s="102"/>
      <c r="JH13" s="102"/>
      <c r="JI13" s="102"/>
      <c r="JJ13" s="102"/>
      <c r="JK13" s="102"/>
      <c r="JL13" s="102"/>
      <c r="JM13" s="102"/>
      <c r="JN13" s="102"/>
      <c r="JO13" s="1188"/>
      <c r="JP13" s="102">
        <f t="shared" si="41"/>
        <v>0</v>
      </c>
      <c r="JQ13" s="102">
        <f t="shared" si="42"/>
        <v>0</v>
      </c>
      <c r="JR13" s="145"/>
      <c r="JS13" s="929" t="str">
        <f t="shared" si="88"/>
        <v>NA</v>
      </c>
      <c r="JT13" s="930">
        <f t="shared" si="89"/>
        <v>0</v>
      </c>
      <c r="JV13" s="32">
        <f t="shared" si="43"/>
        <v>0</v>
      </c>
      <c r="JW13" s="929" t="str">
        <f t="shared" si="44"/>
        <v/>
      </c>
      <c r="JY13" s="929" t="str">
        <f t="shared" ref="JY13:KE13" si="90">+IFERROR(JC13/JB13-1,"")</f>
        <v/>
      </c>
      <c r="JZ13" s="929" t="str">
        <f t="shared" si="90"/>
        <v/>
      </c>
      <c r="KA13" s="929" t="str">
        <f t="shared" si="90"/>
        <v/>
      </c>
      <c r="KB13" s="929" t="str">
        <f t="shared" si="90"/>
        <v/>
      </c>
      <c r="KC13" s="929" t="str">
        <f t="shared" si="90"/>
        <v/>
      </c>
      <c r="KD13" s="929" t="str">
        <f t="shared" si="90"/>
        <v/>
      </c>
      <c r="KE13" s="929" t="str">
        <f t="shared" si="90"/>
        <v/>
      </c>
      <c r="KF13" s="929" t="str">
        <f>+IFERROR(JN13/JI13-1,"")</f>
        <v/>
      </c>
      <c r="KH13" s="102">
        <f t="shared" si="46"/>
        <v>0</v>
      </c>
      <c r="KI13" s="102">
        <f t="shared" si="47"/>
        <v>0</v>
      </c>
      <c r="KJ13" s="102">
        <f t="shared" si="48"/>
        <v>0</v>
      </c>
      <c r="KK13" s="102">
        <f t="shared" si="49"/>
        <v>0</v>
      </c>
      <c r="KL13" s="102">
        <f t="shared" si="50"/>
        <v>0</v>
      </c>
      <c r="KM13" s="102">
        <f t="shared" si="51"/>
        <v>0</v>
      </c>
      <c r="KN13" s="102">
        <f t="shared" si="52"/>
        <v>0</v>
      </c>
      <c r="KO13" s="102">
        <f t="shared" si="53"/>
        <v>0</v>
      </c>
      <c r="KQ13" s="32">
        <f t="shared" si="54"/>
        <v>0</v>
      </c>
      <c r="KR13" s="32">
        <f t="shared" si="55"/>
        <v>0</v>
      </c>
      <c r="KS13" s="32">
        <f t="shared" si="56"/>
        <v>0</v>
      </c>
      <c r="KT13" s="32">
        <f t="shared" si="57"/>
        <v>0</v>
      </c>
      <c r="KU13" s="32">
        <f t="shared" si="58"/>
        <v>0</v>
      </c>
      <c r="KV13" s="32">
        <f t="shared" si="59"/>
        <v>0</v>
      </c>
      <c r="KW13" s="32">
        <f t="shared" si="60"/>
        <v>0</v>
      </c>
      <c r="KX13" s="32">
        <f t="shared" si="61"/>
        <v>0</v>
      </c>
      <c r="KY13" s="32">
        <f t="shared" si="62"/>
        <v>0</v>
      </c>
      <c r="KZ13" s="32" t="e">
        <f t="shared" si="63"/>
        <v>#DIV/0!</v>
      </c>
      <c r="LB13" s="102"/>
      <c r="LC13" s="102"/>
      <c r="LD13" s="102"/>
      <c r="LE13" s="102"/>
      <c r="LF13" s="102"/>
      <c r="LG13" s="102"/>
      <c r="LH13" s="102"/>
      <c r="LI13" s="102"/>
      <c r="LJ13" s="102"/>
      <c r="LK13" s="102"/>
      <c r="LL13" s="102"/>
      <c r="LM13" s="102"/>
      <c r="LN13" s="102"/>
      <c r="LO13" s="102"/>
      <c r="LR13" s="32" t="str">
        <f t="shared" si="65"/>
        <v xml:space="preserve"> </v>
      </c>
      <c r="LS13" s="32" t="str">
        <f t="shared" si="66"/>
        <v xml:space="preserve"> </v>
      </c>
      <c r="LT13" s="32" t="str">
        <f t="shared" si="67"/>
        <v xml:space="preserve"> </v>
      </c>
      <c r="LU13" s="32" t="str">
        <f t="shared" si="68"/>
        <v xml:space="preserve"> </v>
      </c>
      <c r="LV13" s="32" t="str">
        <f t="shared" si="69"/>
        <v xml:space="preserve"> </v>
      </c>
      <c r="LW13" s="32" t="str">
        <f t="shared" si="70"/>
        <v xml:space="preserve"> </v>
      </c>
      <c r="LX13" s="32" t="str">
        <f t="shared" si="71"/>
        <v xml:space="preserve"> </v>
      </c>
      <c r="LZ13" s="102">
        <f t="shared" si="72"/>
        <v>0</v>
      </c>
      <c r="MA13" s="102">
        <f t="shared" si="73"/>
        <v>0</v>
      </c>
      <c r="MB13" s="102">
        <f t="shared" si="74"/>
        <v>0</v>
      </c>
      <c r="MC13" s="102">
        <f t="shared" si="75"/>
        <v>0</v>
      </c>
      <c r="MD13" s="102">
        <f t="shared" si="76"/>
        <v>0</v>
      </c>
      <c r="ME13" s="102">
        <f t="shared" si="77"/>
        <v>0</v>
      </c>
      <c r="MF13" s="102">
        <f t="shared" si="78"/>
        <v>0</v>
      </c>
      <c r="MH13" s="32">
        <f t="shared" si="79"/>
        <v>0</v>
      </c>
      <c r="MI13" s="32">
        <f t="shared" si="80"/>
        <v>0</v>
      </c>
      <c r="MJ13" s="32">
        <f t="shared" si="81"/>
        <v>0</v>
      </c>
      <c r="MK13" s="32">
        <f t="shared" si="82"/>
        <v>0</v>
      </c>
      <c r="ML13" s="32">
        <f t="shared" si="83"/>
        <v>0</v>
      </c>
      <c r="MM13" s="32">
        <f t="shared" si="84"/>
        <v>0</v>
      </c>
      <c r="MN13" s="32">
        <f t="shared" si="85"/>
        <v>0</v>
      </c>
      <c r="MO13" s="32">
        <f t="shared" si="86"/>
        <v>0</v>
      </c>
      <c r="MP13" s="32" t="e">
        <f t="shared" si="87"/>
        <v>#DIV/0!</v>
      </c>
    </row>
    <row r="14" spans="1:367" outlineLevel="1">
      <c r="A14" s="884"/>
      <c r="B14" s="70"/>
      <c r="C14" s="186" t="s">
        <v>62</v>
      </c>
      <c r="D14" s="307" t="s">
        <v>59</v>
      </c>
      <c r="E14" s="931">
        <v>29.963596299999999</v>
      </c>
      <c r="F14" s="931">
        <v>201.21474589999997</v>
      </c>
      <c r="G14" s="931">
        <v>49.825407770000027</v>
      </c>
      <c r="H14" s="931">
        <v>66.67253359999998</v>
      </c>
      <c r="I14" s="931">
        <v>282.95421415000004</v>
      </c>
      <c r="J14" s="931">
        <v>100.57610596000004</v>
      </c>
      <c r="K14" s="931">
        <v>232.43263087999998</v>
      </c>
      <c r="L14" s="931">
        <v>198.41426088</v>
      </c>
      <c r="M14" s="931">
        <v>-311.40736439</v>
      </c>
      <c r="N14" s="931">
        <v>186.84046110000003</v>
      </c>
      <c r="O14" s="931">
        <v>95.844217549999826</v>
      </c>
      <c r="P14" s="931">
        <v>157.20168200000012</v>
      </c>
      <c r="Q14" s="931">
        <v>204.84500191000001</v>
      </c>
      <c r="R14" s="931">
        <v>283.91932955000004</v>
      </c>
      <c r="S14" s="931">
        <v>218.43218624999997</v>
      </c>
      <c r="T14" s="931">
        <v>181.27615864999999</v>
      </c>
      <c r="U14" s="931">
        <v>429.00160346000007</v>
      </c>
      <c r="V14" s="931">
        <v>208.39075784999997</v>
      </c>
      <c r="W14" s="931">
        <v>228.02878009999995</v>
      </c>
      <c r="X14" s="931">
        <v>296.07487835999984</v>
      </c>
      <c r="Y14" s="931">
        <v>-10.519284889999852</v>
      </c>
      <c r="Z14" s="931">
        <v>264.79051543000014</v>
      </c>
      <c r="AA14" s="931">
        <v>356.17090973000023</v>
      </c>
      <c r="AB14" s="931">
        <v>537.09403798999961</v>
      </c>
      <c r="AC14" s="931">
        <v>46.899689780000003</v>
      </c>
      <c r="AD14" s="931">
        <v>206.49205558000006</v>
      </c>
      <c r="AE14" s="931">
        <v>236.25385187000001</v>
      </c>
      <c r="AF14" s="931">
        <v>236.93817516000001</v>
      </c>
      <c r="AG14" s="931">
        <v>359.89839634000003</v>
      </c>
      <c r="AH14" s="931">
        <v>453.14067794000005</v>
      </c>
      <c r="AI14" s="931">
        <v>242.48395712000001</v>
      </c>
      <c r="AJ14" s="931">
        <v>223.09842925000001</v>
      </c>
      <c r="AK14" s="931">
        <v>317.03629140999999</v>
      </c>
      <c r="AL14" s="931">
        <v>151.91613279000006</v>
      </c>
      <c r="AM14" s="931">
        <v>334.90081186999998</v>
      </c>
      <c r="AN14" s="931">
        <f>+AN15+AN19</f>
        <v>197.99900993000006</v>
      </c>
      <c r="AO14" s="931">
        <f>+AO15+AO19</f>
        <v>162.86367316000005</v>
      </c>
      <c r="AP14" s="932">
        <f t="shared" ref="AP14:DA14" si="91">+AP15+AP19</f>
        <v>111.88266409999999</v>
      </c>
      <c r="AQ14" s="931">
        <f t="shared" si="91"/>
        <v>153.14287335</v>
      </c>
      <c r="AR14" s="931">
        <f t="shared" si="91"/>
        <v>314.46857468999997</v>
      </c>
      <c r="AS14" s="931">
        <f t="shared" si="91"/>
        <v>299.26435413999997</v>
      </c>
      <c r="AT14" s="931">
        <f t="shared" si="91"/>
        <v>232.49819250000002</v>
      </c>
      <c r="AU14" s="931">
        <f t="shared" si="91"/>
        <v>269.78053348000003</v>
      </c>
      <c r="AV14" s="931">
        <f t="shared" si="91"/>
        <v>227.81213316</v>
      </c>
      <c r="AW14" s="931">
        <f t="shared" si="91"/>
        <v>337.03422603000001</v>
      </c>
      <c r="AX14" s="931">
        <f t="shared" si="91"/>
        <v>277.43313392000005</v>
      </c>
      <c r="AY14" s="931">
        <f t="shared" si="91"/>
        <v>184.58633197999998</v>
      </c>
      <c r="AZ14" s="931">
        <f t="shared" si="91"/>
        <v>189.13391507</v>
      </c>
      <c r="BA14" s="931">
        <f t="shared" si="91"/>
        <v>158.03843375</v>
      </c>
      <c r="BB14" s="931">
        <f t="shared" si="91"/>
        <v>119.92221204000001</v>
      </c>
      <c r="BC14" s="931">
        <f t="shared" si="91"/>
        <v>102.73222150000001</v>
      </c>
      <c r="BD14" s="931">
        <f t="shared" si="91"/>
        <v>51.173142669999997</v>
      </c>
      <c r="BE14" s="931">
        <f t="shared" si="91"/>
        <v>148.98783923999997</v>
      </c>
      <c r="BF14" s="931">
        <f t="shared" si="91"/>
        <v>101.39463376000002</v>
      </c>
      <c r="BG14" s="931">
        <f t="shared" si="91"/>
        <v>50.87626010000001</v>
      </c>
      <c r="BH14" s="931">
        <f t="shared" si="91"/>
        <v>25.381106849999998</v>
      </c>
      <c r="BI14" s="931">
        <f t="shared" si="91"/>
        <v>28.168167700000005</v>
      </c>
      <c r="BJ14" s="931">
        <f t="shared" si="91"/>
        <v>37.156372879999999</v>
      </c>
      <c r="BK14" s="931">
        <f t="shared" si="91"/>
        <v>44.916470720000007</v>
      </c>
      <c r="BL14" s="931">
        <f t="shared" si="91"/>
        <v>81.187909579999996</v>
      </c>
      <c r="BM14" s="933">
        <f t="shared" si="91"/>
        <v>54.079572040000002</v>
      </c>
      <c r="BN14" s="933">
        <f t="shared" si="91"/>
        <v>96.603844110000011</v>
      </c>
      <c r="BO14" s="933">
        <f t="shared" si="91"/>
        <v>71.11482341</v>
      </c>
      <c r="BP14" s="933">
        <f t="shared" si="91"/>
        <v>65.362720350000004</v>
      </c>
      <c r="BQ14" s="931">
        <f t="shared" si="91"/>
        <v>44.347158050000004</v>
      </c>
      <c r="BR14" s="931">
        <f t="shared" si="91"/>
        <v>106.95476609000001</v>
      </c>
      <c r="BS14" s="931">
        <f t="shared" si="91"/>
        <v>28.278591170000013</v>
      </c>
      <c r="BT14" s="931">
        <f t="shared" si="91"/>
        <v>89.025548180000001</v>
      </c>
      <c r="BU14" s="931">
        <f t="shared" si="91"/>
        <v>67.519097080000009</v>
      </c>
      <c r="BV14" s="931">
        <f t="shared" si="91"/>
        <v>147.37498651999999</v>
      </c>
      <c r="BW14" s="931">
        <f t="shared" si="91"/>
        <v>121.17986901</v>
      </c>
      <c r="BX14" s="931">
        <f t="shared" si="91"/>
        <v>84.319777220000006</v>
      </c>
      <c r="BY14" s="931">
        <f t="shared" si="91"/>
        <v>58.687500220000004</v>
      </c>
      <c r="BZ14" s="931">
        <f t="shared" si="91"/>
        <v>74.212561059999999</v>
      </c>
      <c r="CA14" s="931">
        <f t="shared" si="91"/>
        <v>40.486042579999989</v>
      </c>
      <c r="CB14" s="931">
        <f t="shared" si="91"/>
        <v>66.923267109999998</v>
      </c>
      <c r="CC14" s="931">
        <f t="shared" si="91"/>
        <v>32.40238154</v>
      </c>
      <c r="CD14" s="931">
        <f t="shared" si="91"/>
        <v>104.95149977999999</v>
      </c>
      <c r="CE14" s="931">
        <f t="shared" si="91"/>
        <v>64.693413770000006</v>
      </c>
      <c r="CF14" s="931">
        <f t="shared" si="91"/>
        <v>59.889336599999993</v>
      </c>
      <c r="CG14" s="931">
        <f t="shared" si="91"/>
        <v>102.16138454000001</v>
      </c>
      <c r="CH14" s="931">
        <f t="shared" si="91"/>
        <v>92.936277059999995</v>
      </c>
      <c r="CI14" s="931">
        <f t="shared" si="91"/>
        <v>122.43060696000001</v>
      </c>
      <c r="CJ14" s="931">
        <f t="shared" si="91"/>
        <v>103.91089405</v>
      </c>
      <c r="CK14" s="931">
        <f t="shared" si="91"/>
        <v>87.45927365</v>
      </c>
      <c r="CL14" s="931">
        <f t="shared" si="91"/>
        <v>122.73331635999998</v>
      </c>
      <c r="CM14" s="931">
        <f t="shared" si="91"/>
        <v>153.0486889</v>
      </c>
      <c r="CN14" s="931">
        <f t="shared" si="91"/>
        <v>77.524837779999999</v>
      </c>
      <c r="CO14" s="931">
        <f t="shared" si="91"/>
        <v>183.12443540000001</v>
      </c>
      <c r="CP14" s="931">
        <f t="shared" si="91"/>
        <v>-92.719572230000011</v>
      </c>
      <c r="CQ14" s="931">
        <f t="shared" si="91"/>
        <v>74.924529460000002</v>
      </c>
      <c r="CR14" s="931">
        <f t="shared" si="91"/>
        <v>-20.040000769999981</v>
      </c>
      <c r="CS14" s="931">
        <f t="shared" si="91"/>
        <v>68.826605159999986</v>
      </c>
      <c r="CT14" s="931">
        <f t="shared" si="91"/>
        <v>188.20175842999996</v>
      </c>
      <c r="CU14" s="931">
        <f t="shared" si="91"/>
        <v>137.66160206000001</v>
      </c>
      <c r="CV14" s="931">
        <f t="shared" si="91"/>
        <v>52.33944996999999</v>
      </c>
      <c r="CW14" s="931">
        <f t="shared" si="91"/>
        <v>115.47083065000001</v>
      </c>
      <c r="CX14" s="931">
        <f t="shared" si="91"/>
        <v>19.960506999999993</v>
      </c>
      <c r="CY14" s="931">
        <f t="shared" si="91"/>
        <v>129.31776682</v>
      </c>
      <c r="CZ14" s="931">
        <f t="shared" si="91"/>
        <v>15.865366109999993</v>
      </c>
      <c r="DA14" s="931">
        <f t="shared" si="91"/>
        <v>39.844023440000001</v>
      </c>
      <c r="DB14" s="931">
        <f t="shared" ref="DB14:EF14" si="92">+DB15+DB19</f>
        <v>-4.3558498099999996</v>
      </c>
      <c r="DC14" s="931">
        <f t="shared" si="92"/>
        <v>54.464810820000004</v>
      </c>
      <c r="DD14" s="931">
        <f t="shared" si="92"/>
        <v>15.888532070000004</v>
      </c>
      <c r="DE14" s="931">
        <f t="shared" si="92"/>
        <v>80.865109969999992</v>
      </c>
      <c r="DF14" s="931">
        <f t="shared" si="92"/>
        <v>102.52638590999999</v>
      </c>
      <c r="DG14" s="931">
        <f t="shared" si="92"/>
        <v>20.193849209999996</v>
      </c>
      <c r="DH14" s="931">
        <f t="shared" si="92"/>
        <v>94.836830419999998</v>
      </c>
      <c r="DI14" s="931">
        <f t="shared" si="92"/>
        <v>93.988804390000013</v>
      </c>
      <c r="DJ14" s="931">
        <f t="shared" si="92"/>
        <v>97.746113130000026</v>
      </c>
      <c r="DK14" s="931">
        <f t="shared" si="92"/>
        <v>61.85570555000001</v>
      </c>
      <c r="DL14" s="931">
        <f t="shared" si="92"/>
        <v>170.14923069</v>
      </c>
      <c r="DM14" s="931">
        <f t="shared" si="92"/>
        <v>30.571254089999996</v>
      </c>
      <c r="DN14" s="931">
        <f t="shared" si="92"/>
        <v>4.5940543300000058</v>
      </c>
      <c r="DO14" s="931">
        <f t="shared" si="92"/>
        <v>68.693682419999988</v>
      </c>
      <c r="DP14" s="931">
        <f t="shared" si="92"/>
        <v>94.310119189999995</v>
      </c>
      <c r="DQ14" s="941">
        <f t="shared" si="92"/>
        <v>136.77755780999996</v>
      </c>
      <c r="DR14" s="941">
        <f t="shared" si="92"/>
        <v>66.774280420000025</v>
      </c>
      <c r="DS14" s="941">
        <f t="shared" si="92"/>
        <v>26.826586139999996</v>
      </c>
      <c r="DT14" s="941">
        <f t="shared" si="92"/>
        <v>284.23216705999994</v>
      </c>
      <c r="DU14" s="941">
        <f t="shared" si="92"/>
        <v>124.73808241999998</v>
      </c>
      <c r="DV14" s="941">
        <f t="shared" si="92"/>
        <v>33.191267740000001</v>
      </c>
      <c r="DW14" s="941">
        <f t="shared" si="92"/>
        <v>99.821402369999987</v>
      </c>
      <c r="DX14" s="941">
        <f t="shared" si="92"/>
        <v>14.701513000000006</v>
      </c>
      <c r="DY14" s="941">
        <f t="shared" si="92"/>
        <v>226.95967258000002</v>
      </c>
      <c r="DZ14" s="941">
        <f t="shared" si="92"/>
        <v>110.78815578000003</v>
      </c>
      <c r="EA14" s="941">
        <f t="shared" si="92"/>
        <v>114.36332213999998</v>
      </c>
      <c r="EB14" s="941">
        <f t="shared" si="92"/>
        <v>252.42597587</v>
      </c>
      <c r="EC14" s="941">
        <f t="shared" si="92"/>
        <v>196.88564344</v>
      </c>
      <c r="ED14" s="941">
        <f t="shared" si="92"/>
        <v>279.90418670999998</v>
      </c>
      <c r="EE14" s="941">
        <f t="shared" si="92"/>
        <v>308.79126007000002</v>
      </c>
      <c r="EF14" s="941">
        <f t="shared" si="92"/>
        <v>243.34390473000002</v>
      </c>
      <c r="EH14" s="933"/>
      <c r="EI14" s="933"/>
      <c r="EJ14" s="933"/>
      <c r="EK14" s="933"/>
      <c r="EL14" s="933"/>
      <c r="EM14" s="933"/>
      <c r="EN14" s="933"/>
      <c r="EO14" s="933"/>
      <c r="EP14" s="933"/>
      <c r="EQ14" s="933"/>
      <c r="ER14" s="933"/>
      <c r="ES14" s="933"/>
      <c r="EU14" s="931">
        <v>463.45113157512446</v>
      </c>
      <c r="EV14" s="931">
        <v>283.93192798091508</v>
      </c>
      <c r="EW14" s="931">
        <v>343.57460592498865</v>
      </c>
      <c r="EX14" s="931">
        <v>454.4537459249886</v>
      </c>
      <c r="EY14" s="931">
        <v>364.80895592498865</v>
      </c>
      <c r="EZ14" s="931">
        <v>396.12809592498866</v>
      </c>
      <c r="FA14" s="931">
        <v>388.35513029498867</v>
      </c>
      <c r="FB14" s="931">
        <v>484.45427029498865</v>
      </c>
      <c r="FC14" s="931">
        <v>374.97513029498862</v>
      </c>
      <c r="FD14" s="931">
        <v>411.27427029498864</v>
      </c>
      <c r="FE14" s="931">
        <v>349.77513029498868</v>
      </c>
      <c r="FF14" s="931">
        <v>467.47427029498863</v>
      </c>
      <c r="FG14" s="931"/>
      <c r="FH14" s="931"/>
      <c r="FI14" s="931"/>
      <c r="FJ14" s="931"/>
      <c r="FK14" s="931"/>
      <c r="FL14" s="931"/>
      <c r="FM14" s="931"/>
      <c r="FN14" s="931"/>
      <c r="FO14" s="931"/>
      <c r="FP14" s="931"/>
      <c r="FQ14" s="931"/>
      <c r="FR14" s="931"/>
      <c r="FS14" s="931"/>
      <c r="FT14" s="931"/>
      <c r="FU14" s="931"/>
      <c r="FV14" s="931"/>
      <c r="FW14" s="931"/>
      <c r="FX14" s="931"/>
      <c r="FY14" s="931"/>
      <c r="FZ14" s="931"/>
      <c r="GA14" s="931"/>
      <c r="GB14" s="931"/>
      <c r="GC14" s="931"/>
      <c r="GD14" s="931"/>
      <c r="GE14" s="933"/>
      <c r="GF14" s="933"/>
      <c r="GG14" s="933"/>
      <c r="GH14" s="933"/>
      <c r="GI14" s="933"/>
      <c r="GJ14" s="933"/>
      <c r="GK14" s="933"/>
      <c r="GL14" s="933"/>
      <c r="GM14" s="933"/>
      <c r="GN14" s="933"/>
      <c r="GO14" s="933"/>
      <c r="GP14" s="933"/>
      <c r="GQ14" s="933"/>
      <c r="GR14" s="933"/>
      <c r="GS14" s="933"/>
      <c r="GT14" s="933"/>
      <c r="GU14" s="933"/>
      <c r="GV14" s="933"/>
      <c r="GW14" s="933"/>
      <c r="GX14" s="933"/>
      <c r="GY14" s="933"/>
      <c r="GZ14" s="933"/>
      <c r="HA14" s="933"/>
      <c r="HB14" s="933"/>
      <c r="HD14" s="931">
        <f t="shared" si="5"/>
        <v>1290.5324917</v>
      </c>
      <c r="HE14" s="931">
        <f t="shared" si="5"/>
        <v>3197.5048743900006</v>
      </c>
      <c r="HF14" s="931">
        <f t="shared" si="5"/>
        <v>3007.0574790400005</v>
      </c>
      <c r="HG14" s="931">
        <f t="shared" si="5"/>
        <v>2759.9006055800005</v>
      </c>
      <c r="HH14" s="931">
        <f t="shared" si="6"/>
        <v>949.93477079000013</v>
      </c>
      <c r="HI14" s="931">
        <f t="shared" si="7"/>
        <v>976.16075323000007</v>
      </c>
      <c r="HJ14" s="931">
        <f t="shared" si="8"/>
        <v>923.68516526999997</v>
      </c>
      <c r="HK14" s="931">
        <f t="shared" si="9"/>
        <v>1033.08492417</v>
      </c>
      <c r="HL14" s="941">
        <f>+SUMIF($E$6:SEW$6,HL$7,$E14:SEW14)</f>
        <v>684.87816261</v>
      </c>
      <c r="HM14" s="941">
        <f>+SUMIF($E$6:SEX$6,HM$7,$E14:SEX14)</f>
        <v>1136.51955522</v>
      </c>
      <c r="HN14" s="941">
        <f>+SUMIF($E$6:SEY$6,HN$7,$E14:SEY14)</f>
        <v>2005.9143868500003</v>
      </c>
      <c r="HO14" s="931"/>
      <c r="HP14" s="931"/>
      <c r="HR14" s="934">
        <f t="shared" si="10"/>
        <v>-5.9561252548937071E-2</v>
      </c>
      <c r="HS14" s="934">
        <f t="shared" si="11"/>
        <v>-8.2192267751032388E-2</v>
      </c>
      <c r="HT14" s="934">
        <f t="shared" si="12"/>
        <v>-0.65580834002883637</v>
      </c>
      <c r="HU14" s="934">
        <f t="shared" si="13"/>
        <v>2.7608192948016308E-2</v>
      </c>
      <c r="HV14" s="934">
        <f t="shared" si="14"/>
        <v>-5.3757117141172261E-2</v>
      </c>
      <c r="HW14" s="934">
        <f t="shared" si="15"/>
        <v>0.11843836299787469</v>
      </c>
      <c r="HX14" s="934">
        <f t="shared" si="16"/>
        <v>-0.33705531211749695</v>
      </c>
      <c r="HY14" s="934">
        <f t="shared" si="16"/>
        <v>0.65944779271227061</v>
      </c>
      <c r="HZ14" s="934">
        <f t="shared" si="16"/>
        <v>0.76496249240666025</v>
      </c>
      <c r="IA14" s="934">
        <f t="shared" si="17"/>
        <v>-1</v>
      </c>
      <c r="IB14" s="934" t="str">
        <f t="shared" si="18"/>
        <v/>
      </c>
      <c r="IC14" s="934">
        <f t="shared" si="19"/>
        <v>-1</v>
      </c>
      <c r="IE14" s="931">
        <f t="shared" si="20"/>
        <v>-190.44739535000008</v>
      </c>
      <c r="IF14" s="931">
        <f t="shared" si="21"/>
        <v>-247.15687346000004</v>
      </c>
      <c r="IG14" s="931">
        <f t="shared" si="22"/>
        <v>-1809.9658347900004</v>
      </c>
      <c r="IH14" s="931">
        <f t="shared" si="23"/>
        <v>26.225982439999939</v>
      </c>
      <c r="II14" s="931">
        <f t="shared" si="24"/>
        <v>-52.475587960000098</v>
      </c>
      <c r="IJ14" s="931">
        <f t="shared" si="25"/>
        <v>109.39975890000005</v>
      </c>
      <c r="IK14" s="931">
        <f t="shared" si="26"/>
        <v>-348.20676156000002</v>
      </c>
      <c r="IL14" s="931">
        <f t="shared" si="27"/>
        <v>-684.87816261</v>
      </c>
      <c r="IM14" s="931">
        <f t="shared" si="28"/>
        <v>0</v>
      </c>
      <c r="IN14" s="931">
        <f t="shared" si="29"/>
        <v>-684.87816261</v>
      </c>
      <c r="IP14" s="230">
        <f t="shared" si="30"/>
        <v>8.6994436191424163E-2</v>
      </c>
      <c r="IQ14" s="230">
        <f t="shared" si="31"/>
        <v>7.6354236594254679E-2</v>
      </c>
      <c r="IR14" s="230">
        <f t="shared" si="32"/>
        <v>0.16376527041972511</v>
      </c>
      <c r="IS14" s="230">
        <f t="shared" si="33"/>
        <v>0.15441005084070755</v>
      </c>
      <c r="IT14" s="230">
        <f t="shared" si="34"/>
        <v>7.16247711971114E-2</v>
      </c>
      <c r="IU14" s="230">
        <f t="shared" si="35"/>
        <v>6.5275640859751113E-2</v>
      </c>
      <c r="IV14" s="230">
        <f t="shared" si="36"/>
        <v>4.8663047973297235E-2</v>
      </c>
      <c r="IW14" s="230">
        <f t="shared" si="37"/>
        <v>5.4269752980279626E-2</v>
      </c>
      <c r="IX14" s="230" t="e">
        <f t="shared" si="38"/>
        <v>#DIV/0!</v>
      </c>
      <c r="IY14" s="230" t="e">
        <f t="shared" si="39"/>
        <v>#DIV/0!</v>
      </c>
      <c r="JA14" s="931">
        <f t="shared" ref="JA14:JK28" si="93">+IFERROR(SUMIFS($E14:$EG14,$E$6:$EG$6,JA$7,$E$5:$EG$5,"&lt;="&amp;$JC$5),"NA")</f>
        <v>1290.5324917</v>
      </c>
      <c r="JB14" s="931">
        <f t="shared" si="93"/>
        <v>3197.5048743900006</v>
      </c>
      <c r="JC14" s="931">
        <f t="shared" si="93"/>
        <v>3007.0574790400005</v>
      </c>
      <c r="JD14" s="931">
        <f t="shared" si="93"/>
        <v>2759.9006055800005</v>
      </c>
      <c r="JE14" s="931">
        <f t="shared" si="93"/>
        <v>949.93477079000013</v>
      </c>
      <c r="JF14" s="931">
        <f t="shared" si="93"/>
        <v>976.16075323000007</v>
      </c>
      <c r="JG14" s="931">
        <f t="shared" si="93"/>
        <v>923.68516526999997</v>
      </c>
      <c r="JH14" s="931">
        <f t="shared" si="93"/>
        <v>1033.08492417</v>
      </c>
      <c r="JI14" s="931">
        <f t="shared" si="93"/>
        <v>684.87816261</v>
      </c>
      <c r="JJ14" s="931">
        <f t="shared" si="93"/>
        <v>1136.51955522</v>
      </c>
      <c r="JK14" s="931">
        <f t="shared" si="93"/>
        <v>2005.9143868500003</v>
      </c>
      <c r="JL14" s="931">
        <f t="shared" ref="JL14:JL19" si="94">+SUMIF($DU$5:$EF$5,"&lt;="&amp;$JC$5,$DU14:$EF14)</f>
        <v>2005.9143868500003</v>
      </c>
      <c r="JM14" s="931"/>
      <c r="JN14" s="931"/>
      <c r="JO14" s="922"/>
      <c r="JP14" s="931">
        <f t="shared" si="41"/>
        <v>2005.9143868500003</v>
      </c>
      <c r="JQ14" s="931">
        <f t="shared" si="42"/>
        <v>0</v>
      </c>
      <c r="JR14" s="145"/>
      <c r="JS14" s="934" t="str">
        <f t="shared" si="88"/>
        <v>NA</v>
      </c>
      <c r="JT14" s="935">
        <f t="shared" si="89"/>
        <v>2005.9143868500003</v>
      </c>
      <c r="JV14" s="230">
        <f t="shared" si="43"/>
        <v>6.6439542030530055E-2</v>
      </c>
      <c r="JW14" s="934" t="str">
        <f t="shared" si="44"/>
        <v/>
      </c>
      <c r="JY14" s="230">
        <f t="shared" ref="JY14:KE17" si="95">+IFERROR(JC14/JB14-1,"NA")</f>
        <v>-5.9561252548937071E-2</v>
      </c>
      <c r="JZ14" s="230">
        <f t="shared" si="95"/>
        <v>-8.2192267751032388E-2</v>
      </c>
      <c r="KA14" s="230">
        <f t="shared" si="95"/>
        <v>-0.65580834002883637</v>
      </c>
      <c r="KB14" s="230">
        <f t="shared" si="95"/>
        <v>2.7608192948016308E-2</v>
      </c>
      <c r="KC14" s="230">
        <f t="shared" si="95"/>
        <v>-5.3757117141172261E-2</v>
      </c>
      <c r="KD14" s="230">
        <f t="shared" si="95"/>
        <v>0.11843836299787469</v>
      </c>
      <c r="KE14" s="230">
        <f t="shared" si="95"/>
        <v>-0.33705531211749695</v>
      </c>
      <c r="KF14" s="230">
        <f>+IFERROR(JN14/JI14-1,"NA")</f>
        <v>-1</v>
      </c>
      <c r="KH14" s="931">
        <f t="shared" si="46"/>
        <v>-190.44739535000008</v>
      </c>
      <c r="KI14" s="931">
        <f t="shared" si="47"/>
        <v>-247.15687346000004</v>
      </c>
      <c r="KJ14" s="931">
        <f t="shared" si="48"/>
        <v>-1809.9658347900004</v>
      </c>
      <c r="KK14" s="931">
        <f t="shared" si="49"/>
        <v>26.225982439999939</v>
      </c>
      <c r="KL14" s="931">
        <f t="shared" si="50"/>
        <v>-52.475587960000098</v>
      </c>
      <c r="KM14" s="931">
        <f t="shared" si="51"/>
        <v>109.39975890000005</v>
      </c>
      <c r="KN14" s="931">
        <f t="shared" si="52"/>
        <v>-348.20676156000002</v>
      </c>
      <c r="KO14" s="931">
        <f t="shared" si="53"/>
        <v>-684.87816261</v>
      </c>
      <c r="KQ14" s="230">
        <f t="shared" si="54"/>
        <v>3.5570117526301591E-2</v>
      </c>
      <c r="KR14" s="230">
        <f t="shared" si="55"/>
        <v>8.6994436191424163E-2</v>
      </c>
      <c r="KS14" s="230">
        <f t="shared" si="56"/>
        <v>7.6354236594254679E-2</v>
      </c>
      <c r="KT14" s="230">
        <f t="shared" si="57"/>
        <v>0.16376527041972511</v>
      </c>
      <c r="KU14" s="230">
        <f t="shared" si="58"/>
        <v>0.15441005084070755</v>
      </c>
      <c r="KV14" s="230">
        <f t="shared" si="59"/>
        <v>7.16247711971114E-2</v>
      </c>
      <c r="KW14" s="230">
        <f t="shared" si="60"/>
        <v>6.5275640859751113E-2</v>
      </c>
      <c r="KX14" s="230">
        <f t="shared" si="61"/>
        <v>4.8663047973297235E-2</v>
      </c>
      <c r="KY14" s="230">
        <f t="shared" si="62"/>
        <v>5.4269752980279626E-2</v>
      </c>
      <c r="KZ14" s="230" t="e">
        <f t="shared" si="63"/>
        <v>#DIV/0!</v>
      </c>
      <c r="LB14" s="931">
        <f t="shared" ref="LB14:LM19" si="96">+SUMIFS($E14:$EG14,$E$6:$EG$6,LB$7,$E$5:$EG$5,$LD$5)</f>
        <v>157.20168200000012</v>
      </c>
      <c r="LC14" s="931">
        <f t="shared" si="96"/>
        <v>537.09403798999961</v>
      </c>
      <c r="LD14" s="931">
        <f t="shared" si="96"/>
        <v>197.99900993000006</v>
      </c>
      <c r="LE14" s="931">
        <f t="shared" si="96"/>
        <v>189.13391507</v>
      </c>
      <c r="LF14" s="931">
        <f t="shared" si="96"/>
        <v>81.187909579999996</v>
      </c>
      <c r="LG14" s="931">
        <f t="shared" si="96"/>
        <v>84.319777220000006</v>
      </c>
      <c r="LH14" s="931">
        <f t="shared" si="96"/>
        <v>103.91089405</v>
      </c>
      <c r="LI14" s="931">
        <f t="shared" si="96"/>
        <v>52.33944996999999</v>
      </c>
      <c r="LJ14" s="931">
        <f t="shared" si="96"/>
        <v>94.836830419999998</v>
      </c>
      <c r="LK14" s="931">
        <f t="shared" si="96"/>
        <v>284.23216705999994</v>
      </c>
      <c r="LL14" s="931">
        <f t="shared" si="96"/>
        <v>243.34390473000002</v>
      </c>
      <c r="LM14" s="931">
        <f t="shared" si="96"/>
        <v>243.34390473000002</v>
      </c>
      <c r="LN14" s="931"/>
      <c r="LO14" s="931"/>
      <c r="LR14" s="230">
        <f t="shared" si="65"/>
        <v>-0.63135131666889466</v>
      </c>
      <c r="LS14" s="230">
        <f t="shared" si="66"/>
        <v>-4.4773430246616841E-2</v>
      </c>
      <c r="LT14" s="230">
        <f t="shared" si="67"/>
        <v>-0.57073849208931304</v>
      </c>
      <c r="LU14" s="230">
        <f t="shared" si="68"/>
        <v>3.8575542296897858E-2</v>
      </c>
      <c r="LV14" s="230">
        <f t="shared" si="69"/>
        <v>0.23234308101745227</v>
      </c>
      <c r="LW14" s="230">
        <f t="shared" si="70"/>
        <v>-0.49630449772845553</v>
      </c>
      <c r="LX14" s="230">
        <f t="shared" si="71"/>
        <v>-1</v>
      </c>
      <c r="LZ14" s="931">
        <f t="shared" si="72"/>
        <v>-339.09502805999955</v>
      </c>
      <c r="MA14" s="931">
        <f t="shared" si="73"/>
        <v>-8.8650948600000561</v>
      </c>
      <c r="MB14" s="931">
        <f t="shared" si="74"/>
        <v>-107.94600549</v>
      </c>
      <c r="MC14" s="931">
        <f t="shared" si="75"/>
        <v>3.1318676400000101</v>
      </c>
      <c r="MD14" s="931">
        <f t="shared" si="76"/>
        <v>19.59111682999999</v>
      </c>
      <c r="ME14" s="931">
        <f t="shared" si="77"/>
        <v>-51.571444080000006</v>
      </c>
      <c r="MF14" s="931">
        <f t="shared" si="78"/>
        <v>-52.33944996999999</v>
      </c>
      <c r="MH14" s="230">
        <f t="shared" si="79"/>
        <v>5.2412017151803575E-2</v>
      </c>
      <c r="MI14" s="230">
        <f t="shared" si="80"/>
        <v>9.7411455944059672E-2</v>
      </c>
      <c r="MJ14" s="230">
        <f t="shared" si="81"/>
        <v>3.8625304661123377E-2</v>
      </c>
      <c r="MK14" s="230">
        <f t="shared" si="82"/>
        <v>0.32537949703505314</v>
      </c>
      <c r="ML14" s="230">
        <f t="shared" si="83"/>
        <v>5.3893196839378786E-2</v>
      </c>
      <c r="MM14" s="230">
        <f t="shared" si="84"/>
        <v>8.1968629699675763E-2</v>
      </c>
      <c r="MN14" s="230">
        <f t="shared" si="85"/>
        <v>6.6823182268394191E-2</v>
      </c>
      <c r="MO14" s="230">
        <f t="shared" si="86"/>
        <v>2.7810609316660805E-2</v>
      </c>
      <c r="MP14" s="230" t="e">
        <f t="shared" si="87"/>
        <v>#DIV/0!</v>
      </c>
    </row>
    <row r="15" spans="1:367" outlineLevel="2">
      <c r="A15" s="884"/>
      <c r="B15" s="70"/>
      <c r="C15" s="29" t="s">
        <v>385</v>
      </c>
      <c r="D15" s="31" t="s">
        <v>59</v>
      </c>
      <c r="E15" s="102">
        <v>29.963596299999999</v>
      </c>
      <c r="F15" s="102">
        <v>63.195764299999986</v>
      </c>
      <c r="G15" s="102">
        <v>49.825407770000027</v>
      </c>
      <c r="H15" s="102">
        <v>66.67253359999998</v>
      </c>
      <c r="I15" s="102">
        <v>62.695531750000001</v>
      </c>
      <c r="J15" s="102">
        <v>79.853098760000051</v>
      </c>
      <c r="K15" s="102">
        <v>69.186141379999981</v>
      </c>
      <c r="L15" s="102">
        <v>87.758138000000002</v>
      </c>
      <c r="M15" s="102">
        <v>-311.40736439</v>
      </c>
      <c r="N15" s="102">
        <v>59.307500000000061</v>
      </c>
      <c r="O15" s="102">
        <v>26.819975549999867</v>
      </c>
      <c r="P15" s="102">
        <v>61.160349200000041</v>
      </c>
      <c r="Q15" s="102">
        <v>123.36986531000001</v>
      </c>
      <c r="R15" s="102">
        <v>283.91932955000004</v>
      </c>
      <c r="S15" s="102">
        <v>154.74517664999996</v>
      </c>
      <c r="T15" s="102">
        <v>140.58412024999998</v>
      </c>
      <c r="U15" s="102">
        <v>345.87208328000008</v>
      </c>
      <c r="V15" s="102">
        <v>208.39075784999997</v>
      </c>
      <c r="W15" s="102">
        <v>197.93486009999998</v>
      </c>
      <c r="X15" s="102">
        <v>200.12913755999983</v>
      </c>
      <c r="Y15" s="102">
        <v>21.966342790000141</v>
      </c>
      <c r="Z15" s="102">
        <v>185.28047383000012</v>
      </c>
      <c r="AA15" s="102">
        <v>294.73442973000022</v>
      </c>
      <c r="AB15" s="102">
        <v>399.60143078999948</v>
      </c>
      <c r="AC15" s="102">
        <v>46.899689780000003</v>
      </c>
      <c r="AD15" s="102">
        <v>140.29764058000004</v>
      </c>
      <c r="AE15" s="102">
        <v>180.25948586999999</v>
      </c>
      <c r="AF15" s="102">
        <v>233.06789516000001</v>
      </c>
      <c r="AG15" s="102">
        <v>363.76867634000001</v>
      </c>
      <c r="AH15" s="102">
        <v>248.00936704000003</v>
      </c>
      <c r="AI15" s="102">
        <v>193.68132212</v>
      </c>
      <c r="AJ15" s="102">
        <v>177.11067265</v>
      </c>
      <c r="AK15" s="102">
        <v>267.98764500999999</v>
      </c>
      <c r="AL15" s="102">
        <v>102.33455919000005</v>
      </c>
      <c r="AM15" s="102">
        <v>287.92078427000001</v>
      </c>
      <c r="AN15" s="102">
        <f>SUM(AN16:AN18)</f>
        <v>158.69680343000005</v>
      </c>
      <c r="AO15" s="102">
        <f>SUM(AO16:AO18)</f>
        <v>132.14797526000004</v>
      </c>
      <c r="AP15" s="145">
        <v>52.125833999999998</v>
      </c>
      <c r="AQ15" s="102">
        <v>96.029778749999991</v>
      </c>
      <c r="AR15" s="102">
        <v>242.68713698999997</v>
      </c>
      <c r="AS15" s="102">
        <v>235.32027363999998</v>
      </c>
      <c r="AT15" s="102">
        <v>153.98955530000001</v>
      </c>
      <c r="AU15" s="102">
        <v>181.05980428000001</v>
      </c>
      <c r="AV15" s="102">
        <v>98.074661959999986</v>
      </c>
      <c r="AW15" s="102">
        <v>279.39800202999999</v>
      </c>
      <c r="AX15" s="102">
        <v>128.31973792000002</v>
      </c>
      <c r="AY15" s="102">
        <v>126.14100418</v>
      </c>
      <c r="AZ15" s="102">
        <v>179.45848307</v>
      </c>
      <c r="BA15" s="102">
        <f t="shared" ref="BA15:DL15" si="97">SUM(BA16:BA18)</f>
        <v>76.486102549999998</v>
      </c>
      <c r="BB15" s="102">
        <f t="shared" si="97"/>
        <v>85.539812040000001</v>
      </c>
      <c r="BC15" s="102">
        <f t="shared" si="97"/>
        <v>33.075263100000001</v>
      </c>
      <c r="BD15" s="102">
        <f t="shared" si="97"/>
        <v>9.6187746700000005</v>
      </c>
      <c r="BE15" s="102">
        <f t="shared" si="97"/>
        <v>104.79179123999998</v>
      </c>
      <c r="BF15" s="102">
        <f t="shared" si="97"/>
        <v>55.011760960000004</v>
      </c>
      <c r="BG15" s="102">
        <f t="shared" si="97"/>
        <v>49.738454500000003</v>
      </c>
      <c r="BH15" s="102">
        <f t="shared" si="97"/>
        <v>25.381106849999998</v>
      </c>
      <c r="BI15" s="102">
        <f t="shared" si="97"/>
        <v>28.168167700000005</v>
      </c>
      <c r="BJ15" s="102">
        <f t="shared" si="97"/>
        <v>37.156372879999999</v>
      </c>
      <c r="BK15" s="102">
        <f t="shared" si="97"/>
        <v>44.916470720000007</v>
      </c>
      <c r="BL15" s="102">
        <f t="shared" si="97"/>
        <v>81.187909579999996</v>
      </c>
      <c r="BM15" s="146">
        <f t="shared" si="97"/>
        <v>54.079572040000002</v>
      </c>
      <c r="BN15" s="146">
        <f t="shared" si="97"/>
        <v>96.603844110000011</v>
      </c>
      <c r="BO15" s="146">
        <f t="shared" si="97"/>
        <v>71.11482341</v>
      </c>
      <c r="BP15" s="146">
        <f t="shared" si="97"/>
        <v>65.362720350000004</v>
      </c>
      <c r="BQ15" s="102">
        <f t="shared" si="97"/>
        <v>44.347158050000004</v>
      </c>
      <c r="BR15" s="102">
        <f t="shared" si="97"/>
        <v>106.95476609000001</v>
      </c>
      <c r="BS15" s="102">
        <f t="shared" si="97"/>
        <v>28.278591170000013</v>
      </c>
      <c r="BT15" s="102">
        <f t="shared" si="97"/>
        <v>89.025548180000001</v>
      </c>
      <c r="BU15" s="102">
        <f t="shared" si="97"/>
        <v>67.519097080000009</v>
      </c>
      <c r="BV15" s="102">
        <f t="shared" si="97"/>
        <v>147.37498651999999</v>
      </c>
      <c r="BW15" s="102">
        <f t="shared" si="97"/>
        <v>121.17986901</v>
      </c>
      <c r="BX15" s="102">
        <f t="shared" si="97"/>
        <v>84.319777220000006</v>
      </c>
      <c r="BY15" s="102">
        <f t="shared" si="97"/>
        <v>58.687500220000004</v>
      </c>
      <c r="BZ15" s="102">
        <f t="shared" si="97"/>
        <v>74.212561059999999</v>
      </c>
      <c r="CA15" s="102">
        <f t="shared" si="97"/>
        <v>40.486042579999989</v>
      </c>
      <c r="CB15" s="102">
        <f t="shared" si="97"/>
        <v>66.923267109999998</v>
      </c>
      <c r="CC15" s="102">
        <f t="shared" si="97"/>
        <v>32.40238154</v>
      </c>
      <c r="CD15" s="102">
        <f t="shared" si="97"/>
        <v>104.95149977999999</v>
      </c>
      <c r="CE15" s="102">
        <f t="shared" si="97"/>
        <v>64.693413770000006</v>
      </c>
      <c r="CF15" s="102">
        <f t="shared" si="97"/>
        <v>59.889336599999993</v>
      </c>
      <c r="CG15" s="102">
        <f t="shared" si="97"/>
        <v>102.16138454000001</v>
      </c>
      <c r="CH15" s="102">
        <f t="shared" si="97"/>
        <v>92.936277059999995</v>
      </c>
      <c r="CI15" s="102">
        <f t="shared" si="97"/>
        <v>122.43060696000001</v>
      </c>
      <c r="CJ15" s="102">
        <f t="shared" si="97"/>
        <v>103.91089405</v>
      </c>
      <c r="CK15" s="102">
        <f t="shared" si="97"/>
        <v>87.45927365</v>
      </c>
      <c r="CL15" s="102">
        <f t="shared" si="97"/>
        <v>122.73331635999998</v>
      </c>
      <c r="CM15" s="102">
        <f t="shared" si="97"/>
        <v>153.0486889</v>
      </c>
      <c r="CN15" s="102">
        <f t="shared" si="97"/>
        <v>77.524837779999999</v>
      </c>
      <c r="CO15" s="102">
        <f t="shared" si="97"/>
        <v>183.12443540000001</v>
      </c>
      <c r="CP15" s="102">
        <f t="shared" si="97"/>
        <v>-92.719572230000011</v>
      </c>
      <c r="CQ15" s="102">
        <f t="shared" si="97"/>
        <v>74.924529460000002</v>
      </c>
      <c r="CR15" s="102">
        <f t="shared" si="97"/>
        <v>-20.040000769999981</v>
      </c>
      <c r="CS15" s="102">
        <f t="shared" si="97"/>
        <v>68.826605159999986</v>
      </c>
      <c r="CT15" s="102">
        <f t="shared" si="97"/>
        <v>185.95165636999997</v>
      </c>
      <c r="CU15" s="102">
        <f t="shared" si="97"/>
        <v>137.66160206000001</v>
      </c>
      <c r="CV15" s="102">
        <f t="shared" si="97"/>
        <v>52.33944996999999</v>
      </c>
      <c r="CW15" s="102">
        <f t="shared" si="97"/>
        <v>115.47083065000001</v>
      </c>
      <c r="CX15" s="102">
        <f t="shared" si="97"/>
        <v>19.960506999999993</v>
      </c>
      <c r="CY15" s="102">
        <f t="shared" si="97"/>
        <v>129.31776682</v>
      </c>
      <c r="CZ15" s="102">
        <f t="shared" si="97"/>
        <v>15.865366109999993</v>
      </c>
      <c r="DA15" s="102">
        <f t="shared" si="97"/>
        <v>39.844023440000001</v>
      </c>
      <c r="DB15" s="102">
        <f t="shared" si="97"/>
        <v>-4.3558498099999996</v>
      </c>
      <c r="DC15" s="102">
        <f t="shared" si="97"/>
        <v>54.464810820000004</v>
      </c>
      <c r="DD15" s="102">
        <f t="shared" si="97"/>
        <v>15.888532070000004</v>
      </c>
      <c r="DE15" s="102">
        <f t="shared" si="97"/>
        <v>80.865109969999992</v>
      </c>
      <c r="DF15" s="102">
        <f t="shared" si="97"/>
        <v>102.52638590999999</v>
      </c>
      <c r="DG15" s="102">
        <f t="shared" si="97"/>
        <v>20.193849209999996</v>
      </c>
      <c r="DH15" s="102">
        <f t="shared" si="97"/>
        <v>94.836830419999998</v>
      </c>
      <c r="DI15" s="102">
        <f t="shared" si="97"/>
        <v>93.988804390000013</v>
      </c>
      <c r="DJ15" s="102">
        <f t="shared" si="97"/>
        <v>97.746113130000026</v>
      </c>
      <c r="DK15" s="102">
        <f t="shared" si="97"/>
        <v>61.85570555000001</v>
      </c>
      <c r="DL15" s="102">
        <f t="shared" si="97"/>
        <v>170.14923069</v>
      </c>
      <c r="DM15" s="102">
        <f t="shared" ref="DM15:EF15" si="98">SUM(DM16:DM18)</f>
        <v>30.571254089999996</v>
      </c>
      <c r="DN15" s="102">
        <f t="shared" si="98"/>
        <v>4.5940543300000058</v>
      </c>
      <c r="DO15" s="102">
        <f t="shared" si="98"/>
        <v>68.693682419999988</v>
      </c>
      <c r="DP15" s="102">
        <f t="shared" si="98"/>
        <v>94.310119189999995</v>
      </c>
      <c r="DQ15" s="940">
        <f t="shared" si="98"/>
        <v>136.77755780999996</v>
      </c>
      <c r="DR15" s="940">
        <f t="shared" si="98"/>
        <v>66.774280420000025</v>
      </c>
      <c r="DS15" s="940">
        <f t="shared" si="98"/>
        <v>26.826586139999996</v>
      </c>
      <c r="DT15" s="940">
        <f t="shared" si="98"/>
        <v>284.23216705999994</v>
      </c>
      <c r="DU15" s="940">
        <f t="shared" si="98"/>
        <v>124.73808241999998</v>
      </c>
      <c r="DV15" s="940">
        <f t="shared" si="98"/>
        <v>33.191267740000001</v>
      </c>
      <c r="DW15" s="940">
        <f t="shared" si="98"/>
        <v>99.821402369999987</v>
      </c>
      <c r="DX15" s="940">
        <f t="shared" si="98"/>
        <v>14.701513000000006</v>
      </c>
      <c r="DY15" s="940">
        <f t="shared" si="98"/>
        <v>226.95967258000002</v>
      </c>
      <c r="DZ15" s="940">
        <f t="shared" si="98"/>
        <v>110.78815578000003</v>
      </c>
      <c r="EA15" s="940">
        <f t="shared" si="98"/>
        <v>114.36332213999998</v>
      </c>
      <c r="EB15" s="940">
        <f t="shared" si="98"/>
        <v>252.42597587</v>
      </c>
      <c r="EC15" s="940">
        <f t="shared" si="98"/>
        <v>196.88564344</v>
      </c>
      <c r="ED15" s="940">
        <f t="shared" si="98"/>
        <v>279.90418670999998</v>
      </c>
      <c r="EE15" s="940">
        <f t="shared" si="98"/>
        <v>308.79126007000002</v>
      </c>
      <c r="EF15" s="940">
        <f t="shared" si="98"/>
        <v>243.34390473000002</v>
      </c>
      <c r="EH15" s="102"/>
      <c r="EI15" s="102"/>
      <c r="EJ15" s="102"/>
      <c r="EK15" s="102"/>
      <c r="EL15" s="102"/>
      <c r="EM15" s="102"/>
      <c r="EN15" s="102"/>
      <c r="EO15" s="102"/>
      <c r="EP15" s="102"/>
      <c r="EQ15" s="102"/>
      <c r="ER15" s="102"/>
      <c r="ES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D15" s="102">
        <f t="shared" si="5"/>
        <v>345.03067221999999</v>
      </c>
      <c r="HE15" s="102">
        <f t="shared" si="5"/>
        <v>2556.5280076899999</v>
      </c>
      <c r="HF15" s="102">
        <f t="shared" si="5"/>
        <v>2400.0345414399999</v>
      </c>
      <c r="HG15" s="102">
        <f t="shared" si="5"/>
        <v>1904.7522473800002</v>
      </c>
      <c r="HH15" s="102">
        <f t="shared" si="6"/>
        <v>631.07198678999998</v>
      </c>
      <c r="HI15" s="102">
        <f t="shared" si="7"/>
        <v>976.16075323000007</v>
      </c>
      <c r="HJ15" s="102">
        <f t="shared" si="8"/>
        <v>923.68516526999997</v>
      </c>
      <c r="HK15" s="102">
        <f t="shared" si="9"/>
        <v>1030.83482211</v>
      </c>
      <c r="HL15" s="940">
        <f>+SUMIF($E$6:SEW$6,HL$7,$E15:SEW15)</f>
        <v>684.87816261</v>
      </c>
      <c r="HM15" s="940">
        <f>+SUMIF($E$6:SEX$6,HM$7,$E15:SEX15)</f>
        <v>1136.51955522</v>
      </c>
      <c r="HN15" s="940">
        <f>+SUMIF($E$6:SEY$6,HN$7,$E15:SEY15)</f>
        <v>2005.9143868500003</v>
      </c>
      <c r="HO15" s="102"/>
      <c r="HP15" s="102"/>
      <c r="HR15" s="929">
        <f t="shared" si="10"/>
        <v>-6.1213280581816409E-2</v>
      </c>
      <c r="HS15" s="929">
        <f t="shared" si="11"/>
        <v>-0.206364652469891</v>
      </c>
      <c r="HT15" s="929">
        <f t="shared" si="12"/>
        <v>-0.66868552712929263</v>
      </c>
      <c r="HU15" s="929">
        <f t="shared" si="13"/>
        <v>0.54682948009675214</v>
      </c>
      <c r="HV15" s="929">
        <f t="shared" si="14"/>
        <v>-5.3757117141172261E-2</v>
      </c>
      <c r="HW15" s="929">
        <f t="shared" si="15"/>
        <v>0.11600235758758703</v>
      </c>
      <c r="HX15" s="929">
        <f t="shared" si="16"/>
        <v>-0.33560823914724436</v>
      </c>
      <c r="HY15" s="929">
        <f t="shared" si="16"/>
        <v>0.65944779271227061</v>
      </c>
      <c r="HZ15" s="929">
        <f t="shared" si="16"/>
        <v>0.76496249240666025</v>
      </c>
      <c r="IA15" s="929">
        <f t="shared" si="17"/>
        <v>-1</v>
      </c>
      <c r="IB15" s="929" t="str">
        <f t="shared" si="18"/>
        <v/>
      </c>
      <c r="IC15" s="929">
        <f t="shared" si="19"/>
        <v>-1</v>
      </c>
      <c r="IE15" s="102">
        <f t="shared" si="20"/>
        <v>-156.49346624999998</v>
      </c>
      <c r="IF15" s="102">
        <f t="shared" si="21"/>
        <v>-495.28229405999969</v>
      </c>
      <c r="IG15" s="102">
        <f t="shared" si="22"/>
        <v>-1273.6802605900002</v>
      </c>
      <c r="IH15" s="102">
        <f t="shared" si="23"/>
        <v>345.08876644000009</v>
      </c>
      <c r="II15" s="102">
        <f t="shared" si="24"/>
        <v>-52.475587960000098</v>
      </c>
      <c r="IJ15" s="102">
        <f t="shared" si="25"/>
        <v>107.14965684000003</v>
      </c>
      <c r="IK15" s="102">
        <f t="shared" si="26"/>
        <v>-345.9566595</v>
      </c>
      <c r="IL15" s="102">
        <f t="shared" si="27"/>
        <v>-684.87816261</v>
      </c>
      <c r="IM15" s="102">
        <f t="shared" si="28"/>
        <v>0</v>
      </c>
      <c r="IN15" s="102">
        <f t="shared" si="29"/>
        <v>-684.87816261</v>
      </c>
      <c r="IP15" s="32">
        <f t="shared" si="30"/>
        <v>6.9555394400768564E-2</v>
      </c>
      <c r="IQ15" s="32">
        <f t="shared" si="31"/>
        <v>6.0940905349769543E-2</v>
      </c>
      <c r="IR15" s="32">
        <f t="shared" si="32"/>
        <v>0.11302300751124748</v>
      </c>
      <c r="IS15" s="32">
        <f t="shared" si="33"/>
        <v>0.1025795249955451</v>
      </c>
      <c r="IT15" s="32">
        <f t="shared" si="34"/>
        <v>7.16247711971114E-2</v>
      </c>
      <c r="IU15" s="32">
        <f t="shared" si="35"/>
        <v>6.5275640859751113E-2</v>
      </c>
      <c r="IV15" s="32">
        <f t="shared" si="36"/>
        <v>4.8557057824831398E-2</v>
      </c>
      <c r="IW15" s="32">
        <f t="shared" si="37"/>
        <v>5.4269752980279626E-2</v>
      </c>
      <c r="IX15" s="32" t="e">
        <f t="shared" si="38"/>
        <v>#DIV/0!</v>
      </c>
      <c r="IY15" s="32" t="e">
        <f t="shared" si="39"/>
        <v>#DIV/0!</v>
      </c>
      <c r="JA15" s="102">
        <f t="shared" si="93"/>
        <v>345.03067221999999</v>
      </c>
      <c r="JB15" s="102">
        <f t="shared" si="93"/>
        <v>2556.5280076899999</v>
      </c>
      <c r="JC15" s="102">
        <f t="shared" si="93"/>
        <v>2400.0345414399999</v>
      </c>
      <c r="JD15" s="102">
        <f t="shared" si="93"/>
        <v>1904.7522473800002</v>
      </c>
      <c r="JE15" s="102">
        <f t="shared" si="93"/>
        <v>631.07198678999998</v>
      </c>
      <c r="JF15" s="102">
        <f t="shared" si="93"/>
        <v>976.16075323000007</v>
      </c>
      <c r="JG15" s="102">
        <f t="shared" si="93"/>
        <v>923.68516526999997</v>
      </c>
      <c r="JH15" s="102">
        <f t="shared" si="93"/>
        <v>1030.83482211</v>
      </c>
      <c r="JI15" s="102">
        <f t="shared" si="93"/>
        <v>684.87816261</v>
      </c>
      <c r="JJ15" s="102">
        <f t="shared" si="93"/>
        <v>1136.51955522</v>
      </c>
      <c r="JK15" s="102">
        <f t="shared" si="93"/>
        <v>2005.9143868500003</v>
      </c>
      <c r="JL15" s="102">
        <f t="shared" si="94"/>
        <v>2005.9143868500003</v>
      </c>
      <c r="JM15" s="102"/>
      <c r="JN15" s="102"/>
      <c r="JO15" s="922"/>
      <c r="JP15" s="102">
        <f t="shared" si="41"/>
        <v>2005.9143868500003</v>
      </c>
      <c r="JQ15" s="102">
        <f t="shared" si="42"/>
        <v>0</v>
      </c>
      <c r="JR15" s="145"/>
      <c r="JS15" s="929" t="str">
        <f t="shared" si="88"/>
        <v>NA</v>
      </c>
      <c r="JT15" s="930">
        <f t="shared" si="89"/>
        <v>2005.9143868500003</v>
      </c>
      <c r="JV15" s="32">
        <f t="shared" si="43"/>
        <v>6.6439542030530055E-2</v>
      </c>
      <c r="JW15" s="929" t="str">
        <f t="shared" si="44"/>
        <v/>
      </c>
      <c r="JY15" s="32">
        <f t="shared" si="95"/>
        <v>-6.1213280581816409E-2</v>
      </c>
      <c r="JZ15" s="32">
        <f t="shared" si="95"/>
        <v>-0.206364652469891</v>
      </c>
      <c r="KA15" s="32">
        <f t="shared" si="95"/>
        <v>-0.66868552712929263</v>
      </c>
      <c r="KB15" s="32">
        <f t="shared" si="95"/>
        <v>0.54682948009675214</v>
      </c>
      <c r="KC15" s="32">
        <f t="shared" si="95"/>
        <v>-5.3757117141172261E-2</v>
      </c>
      <c r="KD15" s="32">
        <f t="shared" si="95"/>
        <v>0.11600235758758703</v>
      </c>
      <c r="KE15" s="32">
        <f t="shared" si="95"/>
        <v>-0.33560823914724436</v>
      </c>
      <c r="KF15" s="32">
        <f>+IFERROR(JN15/JI15-1,"NA")</f>
        <v>-1</v>
      </c>
      <c r="KH15" s="102">
        <f t="shared" si="46"/>
        <v>-156.49346624999998</v>
      </c>
      <c r="KI15" s="102">
        <f t="shared" si="47"/>
        <v>-495.28229405999969</v>
      </c>
      <c r="KJ15" s="102">
        <f t="shared" si="48"/>
        <v>-1273.6802605900002</v>
      </c>
      <c r="KK15" s="102">
        <f t="shared" si="49"/>
        <v>345.08876644000009</v>
      </c>
      <c r="KL15" s="102">
        <f t="shared" si="50"/>
        <v>-52.475587960000098</v>
      </c>
      <c r="KM15" s="102">
        <f t="shared" si="51"/>
        <v>107.14965684000003</v>
      </c>
      <c r="KN15" s="102">
        <f t="shared" si="52"/>
        <v>-345.9566595</v>
      </c>
      <c r="KO15" s="102">
        <f t="shared" si="53"/>
        <v>-684.87816261</v>
      </c>
      <c r="KQ15" s="32">
        <f t="shared" si="54"/>
        <v>9.5098586358546323E-3</v>
      </c>
      <c r="KR15" s="32">
        <f t="shared" si="55"/>
        <v>6.9555394400768564E-2</v>
      </c>
      <c r="KS15" s="32">
        <f t="shared" si="56"/>
        <v>6.0940905349769543E-2</v>
      </c>
      <c r="KT15" s="32">
        <f t="shared" si="57"/>
        <v>0.11302300751124748</v>
      </c>
      <c r="KU15" s="32">
        <f t="shared" si="58"/>
        <v>0.1025795249955451</v>
      </c>
      <c r="KV15" s="32">
        <f t="shared" si="59"/>
        <v>7.16247711971114E-2</v>
      </c>
      <c r="KW15" s="32">
        <f t="shared" si="60"/>
        <v>6.5275640859751113E-2</v>
      </c>
      <c r="KX15" s="32">
        <f t="shared" si="61"/>
        <v>4.8557057824831398E-2</v>
      </c>
      <c r="KY15" s="32">
        <f t="shared" si="62"/>
        <v>5.4269752980279626E-2</v>
      </c>
      <c r="KZ15" s="32" t="e">
        <f t="shared" si="63"/>
        <v>#DIV/0!</v>
      </c>
      <c r="LB15" s="102">
        <f t="shared" si="96"/>
        <v>61.160349200000041</v>
      </c>
      <c r="LC15" s="102">
        <f t="shared" si="96"/>
        <v>399.60143078999948</v>
      </c>
      <c r="LD15" s="102">
        <f t="shared" si="96"/>
        <v>158.69680343000005</v>
      </c>
      <c r="LE15" s="102">
        <f t="shared" si="96"/>
        <v>179.45848307</v>
      </c>
      <c r="LF15" s="102">
        <f t="shared" si="96"/>
        <v>81.187909579999996</v>
      </c>
      <c r="LG15" s="102">
        <f t="shared" si="96"/>
        <v>84.319777220000006</v>
      </c>
      <c r="LH15" s="102">
        <f t="shared" si="96"/>
        <v>103.91089405</v>
      </c>
      <c r="LI15" s="102">
        <f t="shared" si="96"/>
        <v>52.33944996999999</v>
      </c>
      <c r="LJ15" s="102">
        <f t="shared" si="96"/>
        <v>94.836830419999998</v>
      </c>
      <c r="LK15" s="102">
        <f t="shared" si="96"/>
        <v>284.23216705999994</v>
      </c>
      <c r="LL15" s="102">
        <f t="shared" si="96"/>
        <v>243.34390473000002</v>
      </c>
      <c r="LM15" s="102">
        <f t="shared" si="96"/>
        <v>243.34390473000002</v>
      </c>
      <c r="LN15" s="102"/>
      <c r="LO15" s="102"/>
      <c r="LR15" s="32">
        <f t="shared" si="65"/>
        <v>-0.60286227425096683</v>
      </c>
      <c r="LS15" s="32">
        <f t="shared" si="66"/>
        <v>0.13082607331254636</v>
      </c>
      <c r="LT15" s="32">
        <f t="shared" si="67"/>
        <v>-0.54759503038743707</v>
      </c>
      <c r="LU15" s="32">
        <f t="shared" si="68"/>
        <v>3.8575542296897858E-2</v>
      </c>
      <c r="LV15" s="32">
        <f t="shared" si="69"/>
        <v>0.23234308101745227</v>
      </c>
      <c r="LW15" s="32">
        <f t="shared" si="70"/>
        <v>-0.49630449772845553</v>
      </c>
      <c r="LX15" s="32">
        <f t="shared" si="71"/>
        <v>-1</v>
      </c>
      <c r="LZ15" s="102">
        <f t="shared" si="72"/>
        <v>-240.90462735999944</v>
      </c>
      <c r="MA15" s="102">
        <f t="shared" si="73"/>
        <v>20.761679639999954</v>
      </c>
      <c r="MB15" s="102">
        <f t="shared" si="74"/>
        <v>-98.270573490000004</v>
      </c>
      <c r="MC15" s="102">
        <f t="shared" si="75"/>
        <v>3.1318676400000101</v>
      </c>
      <c r="MD15" s="102">
        <f t="shared" si="76"/>
        <v>19.59111682999999</v>
      </c>
      <c r="ME15" s="102">
        <f t="shared" si="77"/>
        <v>-51.571444080000006</v>
      </c>
      <c r="MF15" s="102">
        <f t="shared" si="78"/>
        <v>-52.33944996999999</v>
      </c>
      <c r="MH15" s="32">
        <f t="shared" si="79"/>
        <v>2.0391240287624252E-2</v>
      </c>
      <c r="MI15" s="32">
        <f t="shared" si="80"/>
        <v>7.2474751937775223E-2</v>
      </c>
      <c r="MJ15" s="32">
        <f t="shared" si="81"/>
        <v>3.0958298141981821E-2</v>
      </c>
      <c r="MK15" s="32">
        <f t="shared" si="82"/>
        <v>0.30873421585112754</v>
      </c>
      <c r="ML15" s="32">
        <f t="shared" si="83"/>
        <v>5.3893196839378786E-2</v>
      </c>
      <c r="MM15" s="32">
        <f t="shared" si="84"/>
        <v>8.1968629699675763E-2</v>
      </c>
      <c r="MN15" s="32">
        <f t="shared" si="85"/>
        <v>6.6823182268394191E-2</v>
      </c>
      <c r="MO15" s="32">
        <f t="shared" si="86"/>
        <v>2.7810609316660805E-2</v>
      </c>
      <c r="MP15" s="32" t="e">
        <f t="shared" si="87"/>
        <v>#DIV/0!</v>
      </c>
    </row>
    <row r="16" spans="1:367" outlineLevel="2">
      <c r="A16" s="884">
        <v>4135</v>
      </c>
      <c r="B16" s="884"/>
      <c r="C16" s="40" t="s">
        <v>625</v>
      </c>
      <c r="D16" s="31" t="s">
        <v>59</v>
      </c>
      <c r="E16" s="102">
        <v>21.142002300000001</v>
      </c>
      <c r="F16" s="102">
        <v>51.692941299999987</v>
      </c>
      <c r="G16" s="102">
        <v>38.045752520000022</v>
      </c>
      <c r="H16" s="102">
        <v>66.67253359999998</v>
      </c>
      <c r="I16" s="102">
        <v>63.582999999999998</v>
      </c>
      <c r="J16" s="102">
        <v>79.853098760000051</v>
      </c>
      <c r="K16" s="102">
        <v>69.174415379999971</v>
      </c>
      <c r="L16" s="102">
        <v>56.659735000000012</v>
      </c>
      <c r="M16" s="102">
        <v>65.139999999999986</v>
      </c>
      <c r="N16" s="102">
        <v>37.11850000000004</v>
      </c>
      <c r="O16" s="102">
        <v>28.227946299999871</v>
      </c>
      <c r="P16" s="102">
        <v>61.160349200000041</v>
      </c>
      <c r="Q16" s="102">
        <v>166.79830931000001</v>
      </c>
      <c r="R16" s="102">
        <v>205.76976255000002</v>
      </c>
      <c r="S16" s="102">
        <v>128.26546664999995</v>
      </c>
      <c r="T16" s="102">
        <v>106.27531624</v>
      </c>
      <c r="U16" s="102">
        <v>264.13164634000009</v>
      </c>
      <c r="V16" s="102">
        <v>183.13586784999995</v>
      </c>
      <c r="W16" s="102">
        <v>155.64896109999995</v>
      </c>
      <c r="X16" s="102">
        <v>188.59275755999988</v>
      </c>
      <c r="Y16" s="102">
        <v>83.821412510000073</v>
      </c>
      <c r="Z16" s="102">
        <v>185.28047383000012</v>
      </c>
      <c r="AA16" s="102">
        <v>251.42247333000023</v>
      </c>
      <c r="AB16" s="102">
        <v>299.82982478999952</v>
      </c>
      <c r="AC16" s="102">
        <v>50.809689779999999</v>
      </c>
      <c r="AD16" s="102">
        <v>119.49460378000001</v>
      </c>
      <c r="AE16" s="102">
        <v>133.77032087000001</v>
      </c>
      <c r="AF16" s="102">
        <v>160.97389676</v>
      </c>
      <c r="AG16" s="102">
        <v>325.51129874000003</v>
      </c>
      <c r="AH16" s="102">
        <v>201.43995205000002</v>
      </c>
      <c r="AI16" s="102">
        <v>153.66707830000001</v>
      </c>
      <c r="AJ16" s="102">
        <v>111.22953903</v>
      </c>
      <c r="AK16" s="102">
        <v>187.88988547999998</v>
      </c>
      <c r="AL16" s="102">
        <v>162.53435330000002</v>
      </c>
      <c r="AM16" s="102">
        <v>160.82386536000001</v>
      </c>
      <c r="AN16" s="102">
        <v>89.973029440000005</v>
      </c>
      <c r="AO16" s="102">
        <v>104.49969126000002</v>
      </c>
      <c r="AP16" s="145">
        <v>0</v>
      </c>
      <c r="AQ16" s="143">
        <v>43.36941075</v>
      </c>
      <c r="AR16" s="143">
        <v>115.47035474999998</v>
      </c>
      <c r="AS16" s="102">
        <v>152.74680264</v>
      </c>
      <c r="AT16" s="102">
        <v>95.883857680000006</v>
      </c>
      <c r="AU16" s="102">
        <v>159.17693929000001</v>
      </c>
      <c r="AV16" s="102">
        <v>59.728838840000002</v>
      </c>
      <c r="AW16" s="102">
        <v>249.85835850999999</v>
      </c>
      <c r="AX16" s="102">
        <v>118.67445554000001</v>
      </c>
      <c r="AY16" s="102">
        <v>50.702601799999997</v>
      </c>
      <c r="AZ16" s="102">
        <v>109.10093608</v>
      </c>
      <c r="BA16" s="102">
        <v>28.8005034</v>
      </c>
      <c r="BB16" s="102">
        <v>45.4135834</v>
      </c>
      <c r="BC16" s="102">
        <v>25.110596100000002</v>
      </c>
      <c r="BD16" s="102">
        <v>6.0962618700000011</v>
      </c>
      <c r="BE16" s="102">
        <v>71.247046239999989</v>
      </c>
      <c r="BF16" s="102">
        <v>40.357252539999998</v>
      </c>
      <c r="BG16" s="102">
        <v>10.610996349999999</v>
      </c>
      <c r="BH16" s="102">
        <v>7.8633170399999992</v>
      </c>
      <c r="BI16" s="102">
        <v>15.339855350000002</v>
      </c>
      <c r="BJ16" s="102">
        <v>36.112292060000001</v>
      </c>
      <c r="BK16" s="102">
        <v>37.226572590000004</v>
      </c>
      <c r="BL16" s="102">
        <v>43.878845140000003</v>
      </c>
      <c r="BM16" s="102">
        <v>25.228000329999997</v>
      </c>
      <c r="BN16" s="102">
        <v>78.838129860000009</v>
      </c>
      <c r="BO16" s="102">
        <v>26.394481400000007</v>
      </c>
      <c r="BP16" s="102">
        <v>8.8533542300000043</v>
      </c>
      <c r="BQ16" s="102">
        <v>22.977751700000002</v>
      </c>
      <c r="BR16" s="102">
        <v>85.191499030000003</v>
      </c>
      <c r="BS16" s="102">
        <v>8.9835746500000067</v>
      </c>
      <c r="BT16" s="102">
        <v>54.007644130000003</v>
      </c>
      <c r="BU16" s="102">
        <v>22.870611400000005</v>
      </c>
      <c r="BV16" s="102">
        <v>102.76223566</v>
      </c>
      <c r="BW16" s="102">
        <v>74.244537550000004</v>
      </c>
      <c r="BX16" s="102">
        <v>58.273237590000001</v>
      </c>
      <c r="BY16" s="102">
        <v>28.119578360000006</v>
      </c>
      <c r="BZ16" s="102">
        <v>43.781139799999998</v>
      </c>
      <c r="CA16" s="102">
        <v>4.0142447399999943</v>
      </c>
      <c r="CB16" s="102">
        <v>24.935324089999998</v>
      </c>
      <c r="CC16" s="102">
        <v>15.169416199999999</v>
      </c>
      <c r="CD16" s="102">
        <v>57.703453719999999</v>
      </c>
      <c r="CE16" s="102">
        <v>53.099356760000006</v>
      </c>
      <c r="CF16" s="102">
        <v>33.761645239999993</v>
      </c>
      <c r="CG16" s="102">
        <v>66.28897984000001</v>
      </c>
      <c r="CH16" s="102">
        <v>60.268908549999999</v>
      </c>
      <c r="CI16" s="102">
        <v>81.934043860000017</v>
      </c>
      <c r="CJ16" s="102">
        <v>70.322487340000009</v>
      </c>
      <c r="CK16" s="102">
        <v>38.123651180000003</v>
      </c>
      <c r="CL16" s="102">
        <v>78.312254419999988</v>
      </c>
      <c r="CM16" s="102">
        <v>72.146328400000002</v>
      </c>
      <c r="CN16" s="102">
        <v>38.761566389999999</v>
      </c>
      <c r="CO16" s="102">
        <v>119.76387136000001</v>
      </c>
      <c r="CP16" s="102">
        <v>60.903104019999994</v>
      </c>
      <c r="CQ16" s="102">
        <v>77.046015310000001</v>
      </c>
      <c r="CR16" s="102">
        <v>18.549274860000015</v>
      </c>
      <c r="CS16" s="102">
        <v>76.114040129999992</v>
      </c>
      <c r="CT16" s="102">
        <v>160.81246675999998</v>
      </c>
      <c r="CU16" s="102">
        <v>107.98665509</v>
      </c>
      <c r="CV16" s="102">
        <v>86.030316800000008</v>
      </c>
      <c r="CW16" s="102">
        <v>128.07611483000002</v>
      </c>
      <c r="CX16" s="102">
        <v>84.622979389999998</v>
      </c>
      <c r="CY16" s="102">
        <v>117.63821735000001</v>
      </c>
      <c r="CZ16" s="102">
        <v>25.853954719999997</v>
      </c>
      <c r="DA16" s="102">
        <v>42.1913597</v>
      </c>
      <c r="DB16" s="102">
        <v>0</v>
      </c>
      <c r="DC16" s="102">
        <v>40.280212820000003</v>
      </c>
      <c r="DD16" s="102">
        <v>26.313048070000001</v>
      </c>
      <c r="DE16" s="102">
        <v>56.411685869999999</v>
      </c>
      <c r="DF16" s="102">
        <v>110.98544321</v>
      </c>
      <c r="DG16" s="102">
        <v>30.007655379999999</v>
      </c>
      <c r="DH16" s="102">
        <v>27.222494409999999</v>
      </c>
      <c r="DI16" s="102">
        <v>103.10359208000001</v>
      </c>
      <c r="DJ16" s="102">
        <v>100.63790758000002</v>
      </c>
      <c r="DK16" s="102">
        <v>48.695888109999999</v>
      </c>
      <c r="DL16" s="102">
        <v>170.91618653</v>
      </c>
      <c r="DM16" s="102">
        <v>28.087389549999997</v>
      </c>
      <c r="DN16" s="102">
        <v>9.5199988800000011</v>
      </c>
      <c r="DO16" s="102">
        <v>71.317794120000002</v>
      </c>
      <c r="DP16" s="102">
        <v>74.941098459999992</v>
      </c>
      <c r="DQ16" s="940">
        <v>138.64581390999999</v>
      </c>
      <c r="DR16" s="940">
        <v>74.63963437000001</v>
      </c>
      <c r="DS16" s="940">
        <v>40.003684440000001</v>
      </c>
      <c r="DT16" s="940">
        <v>254.78346624</v>
      </c>
      <c r="DU16" s="940">
        <v>107.25391938999998</v>
      </c>
      <c r="DV16" s="940">
        <v>62.429932959999995</v>
      </c>
      <c r="DW16" s="940">
        <v>91.927164680000004</v>
      </c>
      <c r="DX16" s="940">
        <v>42.306160090000006</v>
      </c>
      <c r="DY16" s="940">
        <v>210.56085739000002</v>
      </c>
      <c r="DZ16" s="940">
        <v>107.53422449000001</v>
      </c>
      <c r="EA16" s="940">
        <v>126.92593005999998</v>
      </c>
      <c r="EB16" s="940">
        <v>180.43323023000002</v>
      </c>
      <c r="EC16" s="940">
        <v>173.30682213</v>
      </c>
      <c r="ED16" s="940">
        <v>326.15581020999997</v>
      </c>
      <c r="EE16" s="940">
        <v>236.90347082</v>
      </c>
      <c r="EF16" s="940">
        <v>205.48403173999998</v>
      </c>
      <c r="EH16" s="102">
        <v>128.07611482999999</v>
      </c>
      <c r="EI16" s="102">
        <v>84.622979389999998</v>
      </c>
      <c r="EJ16" s="102">
        <v>117.63821734999999</v>
      </c>
      <c r="EK16" s="102">
        <v>25.853954720000001</v>
      </c>
      <c r="EL16" s="102">
        <v>42.191359699999992</v>
      </c>
      <c r="EM16" s="102">
        <v>0</v>
      </c>
      <c r="EN16" s="102">
        <v>32.310285300000004</v>
      </c>
      <c r="EO16" s="102">
        <v>38.877985100000004</v>
      </c>
      <c r="EP16" s="102">
        <v>37.665398900000007</v>
      </c>
      <c r="EQ16" s="102">
        <v>29.1240764</v>
      </c>
      <c r="ER16" s="102">
        <v>21.852640300000001</v>
      </c>
      <c r="ES16" s="102">
        <v>21.852640300000001</v>
      </c>
      <c r="EU16" s="102">
        <v>289.20163538498684</v>
      </c>
      <c r="EV16" s="102">
        <v>133.18110590382614</v>
      </c>
      <c r="EW16" s="102">
        <v>181.60249654362499</v>
      </c>
      <c r="EX16" s="102">
        <v>260.85163654362498</v>
      </c>
      <c r="EY16" s="102">
        <v>218.57559654362501</v>
      </c>
      <c r="EZ16" s="102">
        <v>228.32473654362499</v>
      </c>
      <c r="FA16" s="102">
        <v>219.775596543625</v>
      </c>
      <c r="FB16" s="102">
        <v>273.82473654362502</v>
      </c>
      <c r="FC16" s="102">
        <v>219.775596543625</v>
      </c>
      <c r="FD16" s="102">
        <v>228.32473654362499</v>
      </c>
      <c r="FE16" s="102">
        <v>194.57559654362501</v>
      </c>
      <c r="FF16" s="102">
        <v>253.52473654362501</v>
      </c>
      <c r="FG16" s="102">
        <v>32.946757480000002</v>
      </c>
      <c r="FH16" s="102">
        <v>74.239009215999985</v>
      </c>
      <c r="FI16" s="102">
        <v>56.355345436000007</v>
      </c>
      <c r="FJ16" s="102">
        <v>87.501651219999999</v>
      </c>
      <c r="FK16" s="102">
        <v>81.71974822</v>
      </c>
      <c r="FL16" s="102">
        <v>83.183957509999985</v>
      </c>
      <c r="FM16" s="102">
        <v>83.193792353999996</v>
      </c>
      <c r="FN16" s="102">
        <v>80.459298574000002</v>
      </c>
      <c r="FO16" s="102">
        <v>79.596733003999987</v>
      </c>
      <c r="FP16" s="102">
        <v>73.986845736000006</v>
      </c>
      <c r="FQ16" s="102">
        <v>86.843116062000007</v>
      </c>
      <c r="FR16" s="102">
        <v>58.464550150000008</v>
      </c>
      <c r="FS16" s="102">
        <v>36.944000000000003</v>
      </c>
      <c r="FT16" s="102">
        <v>56.646599999999999</v>
      </c>
      <c r="FU16" s="102">
        <v>66.073361000000006</v>
      </c>
      <c r="FV16" s="102">
        <v>56.761361000000001</v>
      </c>
      <c r="FW16" s="102">
        <v>66.674049999999994</v>
      </c>
      <c r="FX16" s="102">
        <v>50.094588000000002</v>
      </c>
      <c r="FY16" s="102">
        <v>45.857987999999999</v>
      </c>
      <c r="FZ16" s="102">
        <v>26.147600000000001</v>
      </c>
      <c r="GA16" s="102">
        <v>10.79</v>
      </c>
      <c r="GB16" s="102">
        <v>10.79</v>
      </c>
      <c r="GC16" s="102">
        <v>19.501999999999999</v>
      </c>
      <c r="GD16" s="102">
        <v>19.501999999999999</v>
      </c>
      <c r="GE16" s="102">
        <v>94.343999999999994</v>
      </c>
      <c r="GF16" s="102">
        <v>71.513999999999996</v>
      </c>
      <c r="GG16" s="102">
        <v>57.804000000000002</v>
      </c>
      <c r="GH16" s="102">
        <v>51.834000000000003</v>
      </c>
      <c r="GI16" s="102">
        <v>59.601399999999998</v>
      </c>
      <c r="GJ16" s="102">
        <v>59.331400000000002</v>
      </c>
      <c r="GK16" s="102">
        <v>83.513999999999996</v>
      </c>
      <c r="GL16" s="102">
        <v>87.584000000000003</v>
      </c>
      <c r="GM16" s="102">
        <v>87.343999999999994</v>
      </c>
      <c r="GN16" s="102">
        <v>94.494</v>
      </c>
      <c r="GO16" s="102">
        <v>97.403999999999996</v>
      </c>
      <c r="GP16" s="102">
        <v>84.414000000000001</v>
      </c>
      <c r="GQ16" s="102">
        <v>94.343999999999994</v>
      </c>
      <c r="GR16" s="102">
        <v>71.513999999999996</v>
      </c>
      <c r="GS16" s="102">
        <v>57.804000000000002</v>
      </c>
      <c r="GT16" s="102">
        <v>51.834000000000003</v>
      </c>
      <c r="GU16" s="102">
        <v>59.601399999999998</v>
      </c>
      <c r="GV16" s="102">
        <v>59.331400000000002</v>
      </c>
      <c r="GW16" s="102">
        <v>83.513999999999996</v>
      </c>
      <c r="GX16" s="102">
        <v>87.584000000000003</v>
      </c>
      <c r="GY16" s="102">
        <v>87.343999999999994</v>
      </c>
      <c r="GZ16" s="102">
        <v>94.494</v>
      </c>
      <c r="HA16" s="102">
        <v>97.403999999999996</v>
      </c>
      <c r="HB16" s="102">
        <v>84.414000000000001</v>
      </c>
      <c r="HD16" s="102">
        <f t="shared" si="5"/>
        <v>638.47027435999996</v>
      </c>
      <c r="HE16" s="102">
        <f t="shared" si="5"/>
        <v>2218.9722720599998</v>
      </c>
      <c r="HF16" s="102">
        <f t="shared" si="5"/>
        <v>1858.1175128900004</v>
      </c>
      <c r="HG16" s="102">
        <f t="shared" si="5"/>
        <v>1259.2122471399998</v>
      </c>
      <c r="HH16" s="102">
        <f t="shared" si="6"/>
        <v>368.05712207999994</v>
      </c>
      <c r="HI16" s="102">
        <f t="shared" si="7"/>
        <v>568.62505753000005</v>
      </c>
      <c r="HJ16" s="102">
        <f t="shared" si="8"/>
        <v>539.39857849999999</v>
      </c>
      <c r="HK16" s="102">
        <f t="shared" si="9"/>
        <v>934.54954471999997</v>
      </c>
      <c r="HL16" s="940">
        <f>+SUMIF($E$6:SEW$6,HL$7,$E16:SEW16)</f>
        <v>689.6031657499999</v>
      </c>
      <c r="HM16" s="940">
        <f>+SUMIF($E$6:SEX$6,HM$7,$E16:SEX16)</f>
        <v>1115.29245427</v>
      </c>
      <c r="HN16" s="940">
        <f>+SUMIF($E$6:SEY$6,HN$7,$E16:SEY16)</f>
        <v>1871.22155419</v>
      </c>
      <c r="HO16" s="102"/>
      <c r="HP16" s="102"/>
      <c r="HR16" s="929">
        <f t="shared" si="10"/>
        <v>-0.16262247334663493</v>
      </c>
      <c r="HS16" s="929">
        <f t="shared" si="11"/>
        <v>-0.32231829343156049</v>
      </c>
      <c r="HT16" s="929">
        <f t="shared" si="12"/>
        <v>-0.70770843206460721</v>
      </c>
      <c r="HU16" s="929">
        <f t="shared" si="13"/>
        <v>0.54493697694676091</v>
      </c>
      <c r="HV16" s="929">
        <f t="shared" si="14"/>
        <v>-5.1398507053055931E-2</v>
      </c>
      <c r="HW16" s="929">
        <f t="shared" si="15"/>
        <v>0.73257695138697887</v>
      </c>
      <c r="HX16" s="929">
        <f t="shared" si="16"/>
        <v>-0.2621010093620969</v>
      </c>
      <c r="HY16" s="929">
        <f t="shared" si="16"/>
        <v>0.61729601843841331</v>
      </c>
      <c r="HZ16" s="929">
        <f t="shared" si="16"/>
        <v>0.67778554138500247</v>
      </c>
      <c r="IA16" s="929">
        <f t="shared" si="17"/>
        <v>-1</v>
      </c>
      <c r="IB16" s="929" t="str">
        <f t="shared" si="18"/>
        <v/>
      </c>
      <c r="IC16" s="929">
        <f t="shared" si="19"/>
        <v>-1</v>
      </c>
      <c r="IE16" s="102">
        <f t="shared" si="20"/>
        <v>-360.8547591699994</v>
      </c>
      <c r="IF16" s="102">
        <f t="shared" si="21"/>
        <v>-598.90526575000058</v>
      </c>
      <c r="IG16" s="102">
        <f t="shared" si="22"/>
        <v>-891.15512505999982</v>
      </c>
      <c r="IH16" s="102">
        <f t="shared" si="23"/>
        <v>200.56793545000011</v>
      </c>
      <c r="II16" s="102">
        <f t="shared" si="24"/>
        <v>-29.226479030000064</v>
      </c>
      <c r="IJ16" s="102">
        <f t="shared" si="25"/>
        <v>395.15096621999999</v>
      </c>
      <c r="IK16" s="102">
        <f t="shared" si="26"/>
        <v>-244.94637897000007</v>
      </c>
      <c r="IL16" s="102">
        <f t="shared" si="27"/>
        <v>-689.6031657499999</v>
      </c>
      <c r="IM16" s="102">
        <f t="shared" si="28"/>
        <v>0</v>
      </c>
      <c r="IN16" s="102">
        <f t="shared" si="29"/>
        <v>-689.6031657499999</v>
      </c>
      <c r="IP16" s="32">
        <f t="shared" si="30"/>
        <v>6.0371523833592199E-2</v>
      </c>
      <c r="IQ16" s="32">
        <f t="shared" si="31"/>
        <v>4.7180722413202633E-2</v>
      </c>
      <c r="IR16" s="32">
        <f t="shared" si="32"/>
        <v>7.4718355346487242E-2</v>
      </c>
      <c r="IS16" s="32">
        <f t="shared" si="33"/>
        <v>5.9826969893305389E-2</v>
      </c>
      <c r="IT16" s="32">
        <f t="shared" si="34"/>
        <v>4.1722267062845576E-2</v>
      </c>
      <c r="IU16" s="32">
        <f t="shared" si="35"/>
        <v>3.8118602760210236E-2</v>
      </c>
      <c r="IV16" s="32">
        <f t="shared" si="36"/>
        <v>4.4021578733878394E-2</v>
      </c>
      <c r="IW16" s="32">
        <f t="shared" si="37"/>
        <v>5.4644162279974089E-2</v>
      </c>
      <c r="IX16" s="32" t="e">
        <f t="shared" si="38"/>
        <v>#DIV/0!</v>
      </c>
      <c r="IY16" s="32" t="e">
        <f t="shared" si="39"/>
        <v>#DIV/0!</v>
      </c>
      <c r="JA16" s="102">
        <f t="shared" si="93"/>
        <v>638.47027435999996</v>
      </c>
      <c r="JB16" s="102">
        <f t="shared" si="93"/>
        <v>2218.9722720599998</v>
      </c>
      <c r="JC16" s="102">
        <f t="shared" si="93"/>
        <v>1858.1175128900004</v>
      </c>
      <c r="JD16" s="102">
        <f t="shared" si="93"/>
        <v>1259.2122471399998</v>
      </c>
      <c r="JE16" s="102">
        <f t="shared" si="93"/>
        <v>368.05712207999994</v>
      </c>
      <c r="JF16" s="102">
        <f t="shared" si="93"/>
        <v>568.62505753000005</v>
      </c>
      <c r="JG16" s="102">
        <f t="shared" si="93"/>
        <v>539.39857849999999</v>
      </c>
      <c r="JH16" s="102">
        <f t="shared" si="93"/>
        <v>934.54954471999997</v>
      </c>
      <c r="JI16" s="102">
        <f t="shared" si="93"/>
        <v>689.6031657499999</v>
      </c>
      <c r="JJ16" s="102">
        <f t="shared" si="93"/>
        <v>1115.29245427</v>
      </c>
      <c r="JK16" s="102">
        <f t="shared" si="93"/>
        <v>1871.22155419</v>
      </c>
      <c r="JL16" s="102">
        <f t="shared" si="94"/>
        <v>1871.22155419</v>
      </c>
      <c r="JM16" s="102"/>
      <c r="JN16" s="102"/>
      <c r="JO16" s="922"/>
      <c r="JP16" s="102">
        <f t="shared" si="41"/>
        <v>1871.22155419</v>
      </c>
      <c r="JQ16" s="102">
        <f t="shared" si="42"/>
        <v>0</v>
      </c>
      <c r="JR16" s="145"/>
      <c r="JS16" s="929" t="str">
        <f t="shared" si="88"/>
        <v>NA</v>
      </c>
      <c r="JT16" s="930">
        <f t="shared" si="89"/>
        <v>1871.22155419</v>
      </c>
      <c r="JV16" s="32">
        <f t="shared" si="43"/>
        <v>6.1978269817024353E-2</v>
      </c>
      <c r="JW16" s="929" t="str">
        <f t="shared" si="44"/>
        <v/>
      </c>
      <c r="JY16" s="32">
        <f t="shared" si="95"/>
        <v>-0.16262247334663493</v>
      </c>
      <c r="JZ16" s="32">
        <f t="shared" si="95"/>
        <v>-0.32231829343156049</v>
      </c>
      <c r="KA16" s="32">
        <f t="shared" si="95"/>
        <v>-0.70770843206460721</v>
      </c>
      <c r="KB16" s="32">
        <f t="shared" si="95"/>
        <v>0.54493697694676091</v>
      </c>
      <c r="KC16" s="32">
        <f t="shared" si="95"/>
        <v>-5.1398507053055931E-2</v>
      </c>
      <c r="KD16" s="32">
        <f t="shared" si="95"/>
        <v>0.73257695138697887</v>
      </c>
      <c r="KE16" s="32">
        <f t="shared" si="95"/>
        <v>-0.2621010093620969</v>
      </c>
      <c r="KF16" s="32">
        <f>+IFERROR(JN16/JI16-1,"NA")</f>
        <v>-1</v>
      </c>
      <c r="KH16" s="102">
        <f t="shared" si="46"/>
        <v>-360.8547591699994</v>
      </c>
      <c r="KI16" s="102">
        <f t="shared" si="47"/>
        <v>-598.90526575000058</v>
      </c>
      <c r="KJ16" s="102">
        <f t="shared" si="48"/>
        <v>-891.15512505999982</v>
      </c>
      <c r="KK16" s="102">
        <f t="shared" si="49"/>
        <v>200.56793545000011</v>
      </c>
      <c r="KL16" s="102">
        <f t="shared" si="50"/>
        <v>-29.226479030000064</v>
      </c>
      <c r="KM16" s="102">
        <f t="shared" si="51"/>
        <v>395.15096621999999</v>
      </c>
      <c r="KN16" s="102">
        <f t="shared" si="52"/>
        <v>-244.94637897000007</v>
      </c>
      <c r="KO16" s="102">
        <f t="shared" si="53"/>
        <v>-689.6031657499999</v>
      </c>
      <c r="KQ16" s="32">
        <f t="shared" si="54"/>
        <v>1.7597745769359942E-2</v>
      </c>
      <c r="KR16" s="32">
        <f t="shared" si="55"/>
        <v>6.0371523833592199E-2</v>
      </c>
      <c r="KS16" s="32">
        <f t="shared" si="56"/>
        <v>4.7180722413202633E-2</v>
      </c>
      <c r="KT16" s="32">
        <f t="shared" si="57"/>
        <v>7.4718355346487242E-2</v>
      </c>
      <c r="KU16" s="32">
        <f t="shared" si="58"/>
        <v>5.9826969893305389E-2</v>
      </c>
      <c r="KV16" s="32">
        <f t="shared" si="59"/>
        <v>4.1722267062845576E-2</v>
      </c>
      <c r="KW16" s="32">
        <f t="shared" si="60"/>
        <v>3.8118602760210236E-2</v>
      </c>
      <c r="KX16" s="32">
        <f t="shared" si="61"/>
        <v>4.4021578733878394E-2</v>
      </c>
      <c r="KY16" s="32">
        <f t="shared" si="62"/>
        <v>5.4644162279974089E-2</v>
      </c>
      <c r="KZ16" s="32" t="e">
        <f t="shared" si="63"/>
        <v>#DIV/0!</v>
      </c>
      <c r="LB16" s="102">
        <f t="shared" si="96"/>
        <v>61.160349200000041</v>
      </c>
      <c r="LC16" s="102">
        <f t="shared" si="96"/>
        <v>299.82982478999952</v>
      </c>
      <c r="LD16" s="102">
        <f t="shared" si="96"/>
        <v>89.973029440000005</v>
      </c>
      <c r="LE16" s="102">
        <f t="shared" si="96"/>
        <v>109.10093608</v>
      </c>
      <c r="LF16" s="102">
        <f t="shared" si="96"/>
        <v>43.878845140000003</v>
      </c>
      <c r="LG16" s="102">
        <f t="shared" si="96"/>
        <v>58.273237590000001</v>
      </c>
      <c r="LH16" s="102">
        <f t="shared" si="96"/>
        <v>70.322487340000009</v>
      </c>
      <c r="LI16" s="102">
        <f t="shared" si="96"/>
        <v>86.030316800000008</v>
      </c>
      <c r="LJ16" s="102">
        <f t="shared" si="96"/>
        <v>27.222494409999999</v>
      </c>
      <c r="LK16" s="102">
        <f t="shared" si="96"/>
        <v>254.78346624</v>
      </c>
      <c r="LL16" s="102">
        <f t="shared" si="96"/>
        <v>205.48403173999998</v>
      </c>
      <c r="LM16" s="102">
        <f t="shared" si="96"/>
        <v>205.48403173999998</v>
      </c>
      <c r="LN16" s="102"/>
      <c r="LO16" s="102"/>
      <c r="LR16" s="32">
        <f t="shared" si="65"/>
        <v>-0.69991968109571157</v>
      </c>
      <c r="LS16" s="32">
        <f t="shared" si="66"/>
        <v>0.21259600525906208</v>
      </c>
      <c r="LT16" s="32">
        <f t="shared" si="67"/>
        <v>-0.59781421941398238</v>
      </c>
      <c r="LU16" s="32">
        <f t="shared" si="68"/>
        <v>0.32804857110694674</v>
      </c>
      <c r="LV16" s="32">
        <f t="shared" si="69"/>
        <v>0.20677158586547661</v>
      </c>
      <c r="LW16" s="32">
        <f t="shared" si="70"/>
        <v>0.22336851346077546</v>
      </c>
      <c r="LX16" s="32">
        <f t="shared" si="71"/>
        <v>-1</v>
      </c>
      <c r="LZ16" s="102">
        <f t="shared" si="72"/>
        <v>-209.85679534999952</v>
      </c>
      <c r="MA16" s="102">
        <f t="shared" si="73"/>
        <v>19.127906639999992</v>
      </c>
      <c r="MB16" s="102">
        <f t="shared" si="74"/>
        <v>-65.222090939999987</v>
      </c>
      <c r="MC16" s="102">
        <f t="shared" si="75"/>
        <v>14.394392449999998</v>
      </c>
      <c r="MD16" s="102">
        <f t="shared" si="76"/>
        <v>12.049249750000008</v>
      </c>
      <c r="ME16" s="102">
        <f t="shared" si="77"/>
        <v>15.707829459999999</v>
      </c>
      <c r="MF16" s="102">
        <f t="shared" si="78"/>
        <v>-86.030316800000008</v>
      </c>
      <c r="MH16" s="32">
        <f t="shared" si="79"/>
        <v>2.0391240287624252E-2</v>
      </c>
      <c r="MI16" s="32">
        <f t="shared" si="80"/>
        <v>5.4379415339534977E-2</v>
      </c>
      <c r="MJ16" s="32">
        <f t="shared" si="81"/>
        <v>1.7551783085343945E-2</v>
      </c>
      <c r="MK16" s="32">
        <f t="shared" si="82"/>
        <v>0.18769350644819752</v>
      </c>
      <c r="ML16" s="32">
        <f t="shared" si="83"/>
        <v>2.9127135437382688E-2</v>
      </c>
      <c r="MM16" s="32">
        <f t="shared" si="84"/>
        <v>5.6648364012553014E-2</v>
      </c>
      <c r="MN16" s="32">
        <f t="shared" si="85"/>
        <v>4.522309650060858E-2</v>
      </c>
      <c r="MO16" s="32">
        <f t="shared" si="86"/>
        <v>4.571227881234384E-2</v>
      </c>
      <c r="MP16" s="32" t="e">
        <f t="shared" si="87"/>
        <v>#DIV/0!</v>
      </c>
    </row>
    <row r="17" spans="1:354" outlineLevel="2">
      <c r="A17" s="884">
        <v>4145</v>
      </c>
      <c r="B17" s="884"/>
      <c r="C17" s="40" t="s">
        <v>626</v>
      </c>
      <c r="D17" s="31" t="s">
        <v>59</v>
      </c>
      <c r="E17" s="102">
        <v>8.8215939999999993</v>
      </c>
      <c r="F17" s="102">
        <v>11.502823000000001</v>
      </c>
      <c r="G17" s="102">
        <v>15.665075249999997</v>
      </c>
      <c r="H17" s="102">
        <v>0</v>
      </c>
      <c r="I17" s="102">
        <v>-0.88746824999999774</v>
      </c>
      <c r="J17" s="102">
        <v>0</v>
      </c>
      <c r="K17" s="102">
        <v>1.1726000000003012E-2</v>
      </c>
      <c r="L17" s="102">
        <v>31.098402999999998</v>
      </c>
      <c r="M17" s="102">
        <v>10.75</v>
      </c>
      <c r="N17" s="102">
        <v>28</v>
      </c>
      <c r="O17" s="102">
        <v>0</v>
      </c>
      <c r="P17" s="102">
        <v>0</v>
      </c>
      <c r="Q17" s="102">
        <v>20</v>
      </c>
      <c r="R17" s="102">
        <v>78.149567000000005</v>
      </c>
      <c r="S17" s="102">
        <v>26.479709999999997</v>
      </c>
      <c r="T17" s="102">
        <v>34.308804009999989</v>
      </c>
      <c r="U17" s="102">
        <v>81.740436939999995</v>
      </c>
      <c r="V17" s="102">
        <v>25.254890000000017</v>
      </c>
      <c r="W17" s="102">
        <v>47.933039000000008</v>
      </c>
      <c r="X17" s="102">
        <v>11.536379999999951</v>
      </c>
      <c r="Y17" s="102">
        <v>12.178890280000076</v>
      </c>
      <c r="Z17" s="102">
        <v>0</v>
      </c>
      <c r="AA17" s="102">
        <v>43.311956399999985</v>
      </c>
      <c r="AB17" s="102">
        <v>99.771605999999963</v>
      </c>
      <c r="AC17" s="102">
        <v>-3.91</v>
      </c>
      <c r="AD17" s="102">
        <v>21.283150800000001</v>
      </c>
      <c r="AE17" s="102">
        <v>46.489165</v>
      </c>
      <c r="AF17" s="102">
        <v>72.093998400000004</v>
      </c>
      <c r="AG17" s="102">
        <v>38.257377599999998</v>
      </c>
      <c r="AH17" s="102">
        <v>46.569414990000006</v>
      </c>
      <c r="AI17" s="102">
        <v>40.014243819999997</v>
      </c>
      <c r="AJ17" s="102">
        <v>65.88113362</v>
      </c>
      <c r="AK17" s="102">
        <v>80.097759530000005</v>
      </c>
      <c r="AL17" s="102">
        <v>92.000409040000008</v>
      </c>
      <c r="AM17" s="102">
        <v>127.09691891</v>
      </c>
      <c r="AN17" s="102">
        <v>68.723773990000041</v>
      </c>
      <c r="AO17" s="102">
        <v>27.648284000000011</v>
      </c>
      <c r="AP17" s="145">
        <v>52.125833999999998</v>
      </c>
      <c r="AQ17" s="143">
        <v>52.660367999999998</v>
      </c>
      <c r="AR17" s="143">
        <v>127.21678223999999</v>
      </c>
      <c r="AS17" s="102">
        <v>82.573470999999998</v>
      </c>
      <c r="AT17" s="102">
        <v>58.105697620000001</v>
      </c>
      <c r="AU17" s="102">
        <v>21.882864989999998</v>
      </c>
      <c r="AV17" s="102">
        <v>38.345823119999991</v>
      </c>
      <c r="AW17" s="102">
        <v>29.539643520000002</v>
      </c>
      <c r="AX17" s="102">
        <v>9.6452823799999994</v>
      </c>
      <c r="AY17" s="102">
        <v>75.438402379999999</v>
      </c>
      <c r="AZ17" s="102">
        <v>70.357546989999989</v>
      </c>
      <c r="BA17" s="102">
        <v>47.685599150000002</v>
      </c>
      <c r="BB17" s="102">
        <v>40.126228640000001</v>
      </c>
      <c r="BC17" s="102">
        <v>7.9646670000000004</v>
      </c>
      <c r="BD17" s="102">
        <v>3.5225127999999999</v>
      </c>
      <c r="BE17" s="102">
        <v>33.544744999999999</v>
      </c>
      <c r="BF17" s="102">
        <v>14.654508420000003</v>
      </c>
      <c r="BG17" s="102">
        <v>39.127458150000002</v>
      </c>
      <c r="BH17" s="102">
        <v>17.51778981</v>
      </c>
      <c r="BI17" s="102">
        <v>12.828312350000001</v>
      </c>
      <c r="BJ17" s="102">
        <v>1.0440808200000002</v>
      </c>
      <c r="BK17" s="102">
        <v>7.6898981299999996</v>
      </c>
      <c r="BL17" s="102">
        <v>37.30906444</v>
      </c>
      <c r="BM17" s="102">
        <v>28.851571710000002</v>
      </c>
      <c r="BN17" s="102">
        <v>17.765714249999998</v>
      </c>
      <c r="BO17" s="102">
        <v>44.720342009999996</v>
      </c>
      <c r="BP17" s="102">
        <v>56.509366119999996</v>
      </c>
      <c r="BQ17" s="102">
        <v>21.369406350000002</v>
      </c>
      <c r="BR17" s="102">
        <v>21.763267060000004</v>
      </c>
      <c r="BS17" s="102">
        <v>19.295016520000004</v>
      </c>
      <c r="BT17" s="102">
        <v>35.017904049999999</v>
      </c>
      <c r="BU17" s="102">
        <v>44.64848568</v>
      </c>
      <c r="BV17" s="102">
        <v>44.612750859999998</v>
      </c>
      <c r="BW17" s="102">
        <v>46.935331459999993</v>
      </c>
      <c r="BX17" s="102">
        <v>26.046539630000002</v>
      </c>
      <c r="BY17" s="102">
        <v>30.567921859999998</v>
      </c>
      <c r="BZ17" s="102">
        <v>30.43142126</v>
      </c>
      <c r="CA17" s="102">
        <v>36.471797839999994</v>
      </c>
      <c r="CB17" s="102">
        <v>41.987943020000003</v>
      </c>
      <c r="CC17" s="102">
        <v>17.23296534</v>
      </c>
      <c r="CD17" s="102">
        <v>47.248046059999993</v>
      </c>
      <c r="CE17" s="102">
        <v>11.594057009999998</v>
      </c>
      <c r="CF17" s="102">
        <v>26.12769136</v>
      </c>
      <c r="CG17" s="102">
        <v>35.872404700000004</v>
      </c>
      <c r="CH17" s="102">
        <v>32.667368509999996</v>
      </c>
      <c r="CI17" s="102">
        <v>40.496563099999996</v>
      </c>
      <c r="CJ17" s="102">
        <v>33.588406709999994</v>
      </c>
      <c r="CK17" s="102">
        <v>49.335622469999997</v>
      </c>
      <c r="CL17" s="102">
        <v>44.421061939999994</v>
      </c>
      <c r="CM17" s="102">
        <v>80.9023605</v>
      </c>
      <c r="CN17" s="102">
        <v>38.76327139</v>
      </c>
      <c r="CO17" s="102">
        <v>63.360564039999993</v>
      </c>
      <c r="CP17" s="102">
        <v>22.47492175</v>
      </c>
      <c r="CQ17" s="102">
        <v>41.494114840000002</v>
      </c>
      <c r="CR17" s="102">
        <v>5.3691563700000051</v>
      </c>
      <c r="CS17" s="102">
        <v>37.360989089999997</v>
      </c>
      <c r="CT17" s="102">
        <v>76.028441470000004</v>
      </c>
      <c r="CU17" s="102">
        <v>69.922946920000001</v>
      </c>
      <c r="CV17" s="102">
        <v>38.741981319999994</v>
      </c>
      <c r="CW17" s="102">
        <v>34.567566820000003</v>
      </c>
      <c r="CX17" s="102">
        <v>-19.78091439</v>
      </c>
      <c r="CY17" s="102">
        <v>59.170817469999996</v>
      </c>
      <c r="CZ17" s="102">
        <v>19.52461139</v>
      </c>
      <c r="DA17" s="102">
        <v>4.3425167400000024</v>
      </c>
      <c r="DB17" s="102">
        <v>7.5746441899999999</v>
      </c>
      <c r="DC17" s="102">
        <v>0</v>
      </c>
      <c r="DD17" s="102">
        <v>17.8</v>
      </c>
      <c r="DE17" s="102">
        <v>49.787512100000001</v>
      </c>
      <c r="DF17" s="102">
        <v>22.562262700000002</v>
      </c>
      <c r="DG17" s="102">
        <v>10.607556829999998</v>
      </c>
      <c r="DH17" s="102">
        <v>30.801465009999998</v>
      </c>
      <c r="DI17" s="102">
        <v>22.100202310000004</v>
      </c>
      <c r="DJ17" s="102">
        <v>23.666267550000001</v>
      </c>
      <c r="DK17" s="102">
        <v>43.874077440000001</v>
      </c>
      <c r="DL17" s="102">
        <v>34.311926159999999</v>
      </c>
      <c r="DM17" s="102">
        <v>29.231120539999999</v>
      </c>
      <c r="DN17" s="102">
        <v>21.103698450000003</v>
      </c>
      <c r="DO17" s="102">
        <v>30.930341299999998</v>
      </c>
      <c r="DP17" s="102">
        <v>46.772056730000003</v>
      </c>
      <c r="DQ17" s="940">
        <v>22.6804369</v>
      </c>
      <c r="DR17" s="940">
        <v>22.34407805</v>
      </c>
      <c r="DS17" s="940">
        <v>15.324356699999999</v>
      </c>
      <c r="DT17" s="940">
        <v>58.94652881999999</v>
      </c>
      <c r="DU17" s="940">
        <v>53.31680403</v>
      </c>
      <c r="DV17" s="940">
        <v>7.0823517800000015</v>
      </c>
      <c r="DW17" s="940">
        <v>42.280198689999999</v>
      </c>
      <c r="DX17" s="940">
        <v>11.54785191</v>
      </c>
      <c r="DY17" s="940">
        <v>52.281422190000001</v>
      </c>
      <c r="DZ17" s="940">
        <v>51.873600290000006</v>
      </c>
      <c r="EA17" s="940">
        <v>30.587549079999999</v>
      </c>
      <c r="EB17" s="940">
        <v>115.80315064</v>
      </c>
      <c r="EC17" s="940">
        <v>69.803615309999998</v>
      </c>
      <c r="ED17" s="940">
        <v>36.7326865</v>
      </c>
      <c r="EE17" s="940">
        <v>146.61899925</v>
      </c>
      <c r="EF17" s="940">
        <v>89.493682989999996</v>
      </c>
      <c r="EH17" s="102">
        <v>34.567566820000003</v>
      </c>
      <c r="EI17" s="102">
        <v>-19.78091439</v>
      </c>
      <c r="EJ17" s="102">
        <v>59.170817469999996</v>
      </c>
      <c r="EK17" s="102">
        <v>19.524611389999993</v>
      </c>
      <c r="EL17" s="102">
        <v>4.3425167400000007</v>
      </c>
      <c r="EM17" s="102">
        <v>7.5746441900000017</v>
      </c>
      <c r="EN17" s="102">
        <v>0</v>
      </c>
      <c r="EO17" s="102">
        <v>22.59635214</v>
      </c>
      <c r="EP17" s="102">
        <v>8.0950000000000006</v>
      </c>
      <c r="EQ17" s="102">
        <v>12.360091240000001</v>
      </c>
      <c r="ER17" s="102">
        <v>0</v>
      </c>
      <c r="ES17" s="102">
        <v>22.713889300000002</v>
      </c>
      <c r="EU17" s="102">
        <v>105.6556681901376</v>
      </c>
      <c r="EV17" s="102">
        <v>95.750822077088927</v>
      </c>
      <c r="EW17" s="102">
        <v>106.97210938136365</v>
      </c>
      <c r="EX17" s="102">
        <v>138.60210938136362</v>
      </c>
      <c r="EY17" s="102">
        <v>91.233359381363641</v>
      </c>
      <c r="EZ17" s="102">
        <v>112.80335938136365</v>
      </c>
      <c r="FA17" s="102">
        <v>113.57953375136366</v>
      </c>
      <c r="FB17" s="102">
        <v>155.62953375136362</v>
      </c>
      <c r="FC17" s="102">
        <v>100.19953375136365</v>
      </c>
      <c r="FD17" s="102">
        <v>127.94953375136365</v>
      </c>
      <c r="FE17" s="102">
        <v>100.19953375136365</v>
      </c>
      <c r="FF17" s="102">
        <v>158.94953375136365</v>
      </c>
      <c r="FG17" s="102">
        <v>20.448252681000003</v>
      </c>
      <c r="FH17" s="102">
        <v>5.5</v>
      </c>
      <c r="FI17" s="102">
        <v>28.72727373775</v>
      </c>
      <c r="FJ17" s="102">
        <v>26.540210567499997</v>
      </c>
      <c r="FK17" s="102">
        <v>31.106294794499998</v>
      </c>
      <c r="FL17" s="102">
        <v>38.1116707025</v>
      </c>
      <c r="FM17" s="102">
        <v>22.086144283749999</v>
      </c>
      <c r="FN17" s="102">
        <v>11.82810217025</v>
      </c>
      <c r="FO17" s="102">
        <v>20.262379021499999</v>
      </c>
      <c r="FP17" s="102">
        <v>5.7570631702500004</v>
      </c>
      <c r="FQ17" s="102">
        <v>14.01</v>
      </c>
      <c r="FR17" s="102">
        <v>21.741039000000001</v>
      </c>
      <c r="FS17" s="102">
        <v>24.971270000000001</v>
      </c>
      <c r="FT17" s="102">
        <v>29.824999999999999</v>
      </c>
      <c r="FU17" s="102">
        <v>24.037490999999999</v>
      </c>
      <c r="FV17" s="102">
        <v>18.327999999999999</v>
      </c>
      <c r="FW17" s="102">
        <v>37.424982999999997</v>
      </c>
      <c r="FX17" s="102">
        <v>3.625</v>
      </c>
      <c r="FY17" s="102">
        <v>30.387491000000001</v>
      </c>
      <c r="FZ17" s="102">
        <v>18.356000000000002</v>
      </c>
      <c r="GA17" s="102">
        <v>0</v>
      </c>
      <c r="GB17" s="102">
        <v>0</v>
      </c>
      <c r="GC17" s="102">
        <v>2.5499999999999998</v>
      </c>
      <c r="GD17" s="102">
        <v>6.9</v>
      </c>
      <c r="GE17" s="102">
        <v>80.876999999999995</v>
      </c>
      <c r="GF17" s="102">
        <v>7.9649999999999999</v>
      </c>
      <c r="GG17" s="102">
        <v>0</v>
      </c>
      <c r="GH17" s="102">
        <v>7.9649999999999999</v>
      </c>
      <c r="GI17" s="102">
        <v>16.274999999999999</v>
      </c>
      <c r="GJ17" s="102">
        <v>23.664999999999999</v>
      </c>
      <c r="GK17" s="102">
        <v>15.7</v>
      </c>
      <c r="GL17" s="102">
        <v>16.850000000000001</v>
      </c>
      <c r="GM17" s="102">
        <v>15.7</v>
      </c>
      <c r="GN17" s="102">
        <v>31.771999999999998</v>
      </c>
      <c r="GO17" s="102">
        <v>23.55</v>
      </c>
      <c r="GP17" s="102">
        <v>59.286000000000001</v>
      </c>
      <c r="GQ17" s="102">
        <v>80.876999999999995</v>
      </c>
      <c r="GR17" s="102">
        <v>7.9649999999999999</v>
      </c>
      <c r="GS17" s="102">
        <v>0</v>
      </c>
      <c r="GT17" s="102">
        <v>7.9649999999999999</v>
      </c>
      <c r="GU17" s="102">
        <v>16.274999999999999</v>
      </c>
      <c r="GV17" s="102">
        <v>23.664999999999999</v>
      </c>
      <c r="GW17" s="102">
        <v>15.7</v>
      </c>
      <c r="GX17" s="102">
        <v>16.850000000000001</v>
      </c>
      <c r="GY17" s="102">
        <v>15.7</v>
      </c>
      <c r="GZ17" s="102">
        <v>31.771999999999998</v>
      </c>
      <c r="HA17" s="102">
        <v>23.55</v>
      </c>
      <c r="HB17" s="102">
        <v>59.286000000000001</v>
      </c>
      <c r="HD17" s="102">
        <f t="shared" si="5"/>
        <v>104.962153</v>
      </c>
      <c r="HE17" s="102">
        <f t="shared" si="5"/>
        <v>480.66527962999999</v>
      </c>
      <c r="HF17" s="102">
        <f t="shared" si="5"/>
        <v>694.59734570000012</v>
      </c>
      <c r="HG17" s="102">
        <f t="shared" si="5"/>
        <v>645.54000023999993</v>
      </c>
      <c r="HH17" s="102">
        <f t="shared" si="6"/>
        <v>263.01486471000004</v>
      </c>
      <c r="HI17" s="102">
        <f t="shared" si="7"/>
        <v>407.53569569999996</v>
      </c>
      <c r="HJ17" s="102">
        <f t="shared" si="8"/>
        <v>384.28658677000004</v>
      </c>
      <c r="HK17" s="102">
        <f t="shared" si="9"/>
        <v>568.17543209999997</v>
      </c>
      <c r="HL17" s="940">
        <f>+SUMIF($E$6:SEW$6,HL$7,$E17:SEW17)</f>
        <v>236.95803885999999</v>
      </c>
      <c r="HM17" s="940">
        <f>+SUMIF($E$6:SEX$6,HM$7,$E17:SEX17)</f>
        <v>371.28509094999998</v>
      </c>
      <c r="HN17" s="940">
        <f>+SUMIF($E$6:SEY$6,HN$7,$E17:SEY17)</f>
        <v>707.42191266000009</v>
      </c>
      <c r="HO17" s="102"/>
      <c r="HP17" s="102"/>
      <c r="HR17" s="929">
        <f t="shared" si="10"/>
        <v>0.44507493080148808</v>
      </c>
      <c r="HS17" s="929">
        <f t="shared" si="11"/>
        <v>-7.0627026958419048E-2</v>
      </c>
      <c r="HT17" s="929">
        <f t="shared" si="12"/>
        <v>-0.59256612353654936</v>
      </c>
      <c r="HU17" s="929">
        <f t="shared" si="13"/>
        <v>0.5494778066986763</v>
      </c>
      <c r="HV17" s="929">
        <f t="shared" si="14"/>
        <v>-5.7048030823573126E-2</v>
      </c>
      <c r="HW17" s="929">
        <f t="shared" si="15"/>
        <v>0.47852007241683792</v>
      </c>
      <c r="HX17" s="929">
        <f t="shared" si="16"/>
        <v>-0.58294916416186238</v>
      </c>
      <c r="HY17" s="929">
        <f t="shared" si="16"/>
        <v>0.56688117751245981</v>
      </c>
      <c r="HZ17" s="929">
        <f t="shared" si="16"/>
        <v>0.90533347528157759</v>
      </c>
      <c r="IA17" s="929">
        <f t="shared" si="17"/>
        <v>-1</v>
      </c>
      <c r="IB17" s="929" t="str">
        <f t="shared" si="18"/>
        <v/>
      </c>
      <c r="IC17" s="929">
        <f t="shared" si="19"/>
        <v>-1</v>
      </c>
      <c r="IE17" s="102">
        <f t="shared" si="20"/>
        <v>213.93206607000013</v>
      </c>
      <c r="IF17" s="102">
        <f t="shared" si="21"/>
        <v>-49.057345460000192</v>
      </c>
      <c r="IG17" s="102">
        <f t="shared" si="22"/>
        <v>-382.52513552999989</v>
      </c>
      <c r="IH17" s="102">
        <f t="shared" si="23"/>
        <v>144.52083098999992</v>
      </c>
      <c r="II17" s="102">
        <f t="shared" si="24"/>
        <v>-23.24910892999992</v>
      </c>
      <c r="IJ17" s="102">
        <f t="shared" si="25"/>
        <v>183.88884532999992</v>
      </c>
      <c r="IK17" s="102">
        <f t="shared" si="26"/>
        <v>-331.21739323999998</v>
      </c>
      <c r="IL17" s="102">
        <f t="shared" si="27"/>
        <v>-236.95803885999999</v>
      </c>
      <c r="IM17" s="102">
        <f t="shared" si="28"/>
        <v>0</v>
      </c>
      <c r="IN17" s="102">
        <f t="shared" si="29"/>
        <v>-236.95803885999999</v>
      </c>
      <c r="IP17" s="32">
        <f t="shared" si="30"/>
        <v>1.3077448398317868E-2</v>
      </c>
      <c r="IQ17" s="32">
        <f t="shared" si="31"/>
        <v>1.7636992455578409E-2</v>
      </c>
      <c r="IR17" s="32">
        <f t="shared" si="32"/>
        <v>3.8304652164760221E-2</v>
      </c>
      <c r="IS17" s="32">
        <f t="shared" si="33"/>
        <v>4.27525551022397E-2</v>
      </c>
      <c r="IT17" s="32">
        <f t="shared" si="34"/>
        <v>2.9902504134265821E-2</v>
      </c>
      <c r="IU17" s="32">
        <f t="shared" si="35"/>
        <v>2.7157038099540884E-2</v>
      </c>
      <c r="IV17" s="32">
        <f t="shared" si="36"/>
        <v>2.676367417881452E-2</v>
      </c>
      <c r="IW17" s="32">
        <f t="shared" si="37"/>
        <v>1.8776557550932684E-2</v>
      </c>
      <c r="IX17" s="32" t="e">
        <f t="shared" si="38"/>
        <v>#DIV/0!</v>
      </c>
      <c r="IY17" s="32" t="e">
        <f t="shared" si="39"/>
        <v>#DIV/0!</v>
      </c>
      <c r="JA17" s="102">
        <f t="shared" si="93"/>
        <v>104.962153</v>
      </c>
      <c r="JB17" s="102">
        <f t="shared" si="93"/>
        <v>480.66527962999999</v>
      </c>
      <c r="JC17" s="102">
        <f t="shared" si="93"/>
        <v>694.59734570000012</v>
      </c>
      <c r="JD17" s="102">
        <f t="shared" si="93"/>
        <v>645.54000023999993</v>
      </c>
      <c r="JE17" s="102">
        <f t="shared" si="93"/>
        <v>263.01486471000004</v>
      </c>
      <c r="JF17" s="102">
        <f t="shared" si="93"/>
        <v>407.53569569999996</v>
      </c>
      <c r="JG17" s="102">
        <f t="shared" si="93"/>
        <v>384.28658677000004</v>
      </c>
      <c r="JH17" s="102">
        <f t="shared" si="93"/>
        <v>568.17543209999997</v>
      </c>
      <c r="JI17" s="102">
        <f t="shared" si="93"/>
        <v>236.95803885999999</v>
      </c>
      <c r="JJ17" s="102">
        <f t="shared" si="93"/>
        <v>371.28509094999998</v>
      </c>
      <c r="JK17" s="102">
        <f t="shared" si="93"/>
        <v>707.42191266000009</v>
      </c>
      <c r="JL17" s="102">
        <f t="shared" si="94"/>
        <v>707.42191266000009</v>
      </c>
      <c r="JM17" s="102"/>
      <c r="JN17" s="102"/>
      <c r="JO17" s="922"/>
      <c r="JP17" s="102">
        <f t="shared" si="41"/>
        <v>707.42191266000009</v>
      </c>
      <c r="JQ17" s="102">
        <f t="shared" si="42"/>
        <v>0</v>
      </c>
      <c r="JR17" s="145"/>
      <c r="JS17" s="929" t="str">
        <f t="shared" si="88"/>
        <v>NA</v>
      </c>
      <c r="JT17" s="930">
        <f t="shared" si="89"/>
        <v>707.42191266000009</v>
      </c>
      <c r="JV17" s="32">
        <f t="shared" si="43"/>
        <v>2.3431103644109164E-2</v>
      </c>
      <c r="JW17" s="929" t="str">
        <f t="shared" si="44"/>
        <v/>
      </c>
      <c r="JY17" s="32">
        <f t="shared" si="95"/>
        <v>0.44507493080148808</v>
      </c>
      <c r="JZ17" s="32">
        <f t="shared" si="95"/>
        <v>-7.0627026958419048E-2</v>
      </c>
      <c r="KA17" s="32">
        <f t="shared" si="95"/>
        <v>-0.59256612353654936</v>
      </c>
      <c r="KB17" s="32">
        <f t="shared" si="95"/>
        <v>0.5494778066986763</v>
      </c>
      <c r="KC17" s="32">
        <f t="shared" si="95"/>
        <v>-5.7048030823573126E-2</v>
      </c>
      <c r="KD17" s="32">
        <f t="shared" si="95"/>
        <v>0.47852007241683792</v>
      </c>
      <c r="KE17" s="32">
        <f t="shared" si="95"/>
        <v>-0.58294916416186238</v>
      </c>
      <c r="KF17" s="32">
        <f>+IFERROR(JN17/JI17-1,"NA")</f>
        <v>-1</v>
      </c>
      <c r="KH17" s="102">
        <f t="shared" si="46"/>
        <v>213.93206607000013</v>
      </c>
      <c r="KI17" s="102">
        <f t="shared" si="47"/>
        <v>-49.057345460000192</v>
      </c>
      <c r="KJ17" s="102">
        <f t="shared" si="48"/>
        <v>-382.52513552999989</v>
      </c>
      <c r="KK17" s="102">
        <f t="shared" si="49"/>
        <v>144.52083098999992</v>
      </c>
      <c r="KL17" s="102">
        <f t="shared" si="50"/>
        <v>-23.24910892999992</v>
      </c>
      <c r="KM17" s="102">
        <f t="shared" si="51"/>
        <v>183.88884532999992</v>
      </c>
      <c r="KN17" s="102">
        <f t="shared" si="52"/>
        <v>-331.21739323999998</v>
      </c>
      <c r="KO17" s="102">
        <f t="shared" si="53"/>
        <v>-236.95803885999999</v>
      </c>
      <c r="KQ17" s="32">
        <f t="shared" si="54"/>
        <v>2.893004354431667E-3</v>
      </c>
      <c r="KR17" s="32">
        <f t="shared" si="55"/>
        <v>1.3077448398317868E-2</v>
      </c>
      <c r="KS17" s="32">
        <f t="shared" si="56"/>
        <v>1.7636992455578409E-2</v>
      </c>
      <c r="KT17" s="32">
        <f t="shared" si="57"/>
        <v>3.8304652164760221E-2</v>
      </c>
      <c r="KU17" s="32">
        <f t="shared" si="58"/>
        <v>4.27525551022397E-2</v>
      </c>
      <c r="KV17" s="32">
        <f t="shared" si="59"/>
        <v>2.9902504134265821E-2</v>
      </c>
      <c r="KW17" s="32">
        <f t="shared" si="60"/>
        <v>2.7157038099540884E-2</v>
      </c>
      <c r="KX17" s="32">
        <f t="shared" si="61"/>
        <v>2.676367417881452E-2</v>
      </c>
      <c r="KY17" s="32">
        <f t="shared" si="62"/>
        <v>1.8776557550932684E-2</v>
      </c>
      <c r="KZ17" s="32" t="e">
        <f t="shared" si="63"/>
        <v>#DIV/0!</v>
      </c>
      <c r="LB17" s="102">
        <f t="shared" si="96"/>
        <v>0</v>
      </c>
      <c r="LC17" s="102">
        <f t="shared" si="96"/>
        <v>99.771605999999963</v>
      </c>
      <c r="LD17" s="102">
        <f t="shared" si="96"/>
        <v>68.723773990000041</v>
      </c>
      <c r="LE17" s="102">
        <f t="shared" si="96"/>
        <v>70.357546989999989</v>
      </c>
      <c r="LF17" s="102">
        <f t="shared" si="96"/>
        <v>37.30906444</v>
      </c>
      <c r="LG17" s="102">
        <f t="shared" si="96"/>
        <v>26.046539630000002</v>
      </c>
      <c r="LH17" s="102">
        <f t="shared" si="96"/>
        <v>33.588406709999994</v>
      </c>
      <c r="LI17" s="102">
        <f t="shared" si="96"/>
        <v>38.741981319999994</v>
      </c>
      <c r="LJ17" s="102">
        <f t="shared" si="96"/>
        <v>30.801465009999998</v>
      </c>
      <c r="LK17" s="102">
        <f t="shared" si="96"/>
        <v>58.94652881999999</v>
      </c>
      <c r="LL17" s="102">
        <f t="shared" si="96"/>
        <v>89.493682989999996</v>
      </c>
      <c r="LM17" s="102">
        <f t="shared" si="96"/>
        <v>89.493682989999996</v>
      </c>
      <c r="LN17" s="102"/>
      <c r="LO17" s="102"/>
      <c r="LR17" s="32">
        <f t="shared" si="65"/>
        <v>-0.31118905723538148</v>
      </c>
      <c r="LS17" s="32">
        <f t="shared" si="66"/>
        <v>2.3773039592349443E-2</v>
      </c>
      <c r="LT17" s="32">
        <f t="shared" si="67"/>
        <v>-0.46972192698385595</v>
      </c>
      <c r="LU17" s="32">
        <f t="shared" si="68"/>
        <v>-0.30187100585468341</v>
      </c>
      <c r="LV17" s="32">
        <f t="shared" si="69"/>
        <v>0.28955351409956154</v>
      </c>
      <c r="LW17" s="32">
        <f t="shared" si="70"/>
        <v>0.15343313704920902</v>
      </c>
      <c r="LX17" s="32">
        <f t="shared" si="71"/>
        <v>-1</v>
      </c>
      <c r="LZ17" s="102">
        <f t="shared" si="72"/>
        <v>-31.047832009999922</v>
      </c>
      <c r="MA17" s="102">
        <f t="shared" si="73"/>
        <v>1.6337729999999482</v>
      </c>
      <c r="MB17" s="102">
        <f t="shared" si="74"/>
        <v>-33.048482549999989</v>
      </c>
      <c r="MC17" s="102">
        <f t="shared" si="75"/>
        <v>-11.262524809999999</v>
      </c>
      <c r="MD17" s="102">
        <f t="shared" si="76"/>
        <v>7.5418670799999923</v>
      </c>
      <c r="ME17" s="102">
        <f t="shared" si="77"/>
        <v>5.1535746099999997</v>
      </c>
      <c r="MF17" s="102">
        <f t="shared" si="78"/>
        <v>-38.741981319999994</v>
      </c>
      <c r="MH17" s="32">
        <f t="shared" si="79"/>
        <v>0</v>
      </c>
      <c r="MI17" s="32">
        <f t="shared" si="80"/>
        <v>1.8095336598240242E-2</v>
      </c>
      <c r="MJ17" s="32">
        <f t="shared" si="81"/>
        <v>1.3406515056637876E-2</v>
      </c>
      <c r="MK17" s="32">
        <f t="shared" si="82"/>
        <v>0.12104070940293001</v>
      </c>
      <c r="ML17" s="32">
        <f t="shared" si="83"/>
        <v>2.4766061401996102E-2</v>
      </c>
      <c r="MM17" s="32">
        <f t="shared" si="84"/>
        <v>2.5320265687122739E-2</v>
      </c>
      <c r="MN17" s="32">
        <f t="shared" si="85"/>
        <v>2.1600085767785618E-2</v>
      </c>
      <c r="MO17" s="32">
        <f t="shared" si="86"/>
        <v>2.0585583288732657E-2</v>
      </c>
      <c r="MP17" s="32" t="e">
        <f t="shared" si="87"/>
        <v>#DIV/0!</v>
      </c>
    </row>
    <row r="18" spans="1:354" outlineLevel="2">
      <c r="A18" s="884">
        <v>4175</v>
      </c>
      <c r="B18" s="70" t="s">
        <v>627</v>
      </c>
      <c r="C18" s="40" t="s">
        <v>628</v>
      </c>
      <c r="D18" s="31" t="s">
        <v>59</v>
      </c>
      <c r="E18" s="102">
        <v>0</v>
      </c>
      <c r="F18" s="102">
        <v>0</v>
      </c>
      <c r="G18" s="102">
        <v>-3.8854199999999999</v>
      </c>
      <c r="H18" s="102">
        <v>0</v>
      </c>
      <c r="I18" s="102">
        <v>0</v>
      </c>
      <c r="J18" s="102">
        <v>0</v>
      </c>
      <c r="K18" s="102">
        <v>0</v>
      </c>
      <c r="L18" s="102">
        <v>0</v>
      </c>
      <c r="M18" s="102">
        <v>-387.29736438999998</v>
      </c>
      <c r="N18" s="102">
        <v>-5.8109999999999786</v>
      </c>
      <c r="O18" s="102">
        <v>-1.407970750000004</v>
      </c>
      <c r="P18" s="102">
        <v>0</v>
      </c>
      <c r="Q18" s="102">
        <v>-63.428443999999999</v>
      </c>
      <c r="R18" s="102">
        <v>0</v>
      </c>
      <c r="S18" s="102">
        <v>0</v>
      </c>
      <c r="T18" s="102">
        <v>0</v>
      </c>
      <c r="U18" s="102">
        <v>0</v>
      </c>
      <c r="V18" s="102">
        <v>0</v>
      </c>
      <c r="W18" s="102">
        <v>-5.6471399999999932</v>
      </c>
      <c r="X18" s="102">
        <v>0</v>
      </c>
      <c r="Y18" s="102">
        <v>-74.033960000000008</v>
      </c>
      <c r="Z18" s="102">
        <v>0</v>
      </c>
      <c r="AA18" s="102">
        <v>0</v>
      </c>
      <c r="AB18" s="102">
        <v>0</v>
      </c>
      <c r="AC18" s="102">
        <v>0</v>
      </c>
      <c r="AD18" s="102">
        <v>-0.48011399999999999</v>
      </c>
      <c r="AE18" s="102">
        <v>0</v>
      </c>
      <c r="AF18" s="102">
        <v>0</v>
      </c>
      <c r="AG18" s="102">
        <v>0</v>
      </c>
      <c r="AH18" s="102">
        <v>0</v>
      </c>
      <c r="AI18" s="102">
        <v>0</v>
      </c>
      <c r="AJ18" s="102">
        <v>0</v>
      </c>
      <c r="AK18" s="102">
        <v>0</v>
      </c>
      <c r="AL18" s="102">
        <v>-152.20020314999999</v>
      </c>
      <c r="AM18" s="102">
        <v>0</v>
      </c>
      <c r="AN18" s="102">
        <v>0</v>
      </c>
      <c r="AO18" s="102">
        <v>0</v>
      </c>
      <c r="AP18" s="145">
        <v>0</v>
      </c>
      <c r="AQ18" s="143">
        <v>0</v>
      </c>
      <c r="AR18" s="143">
        <v>0</v>
      </c>
      <c r="AS18" s="102">
        <v>0</v>
      </c>
      <c r="AT18" s="102">
        <v>0</v>
      </c>
      <c r="AU18" s="102">
        <v>0</v>
      </c>
      <c r="AV18" s="102">
        <v>0</v>
      </c>
      <c r="AW18" s="102">
        <v>0</v>
      </c>
      <c r="AX18" s="102">
        <v>0</v>
      </c>
      <c r="AY18" s="102">
        <v>0</v>
      </c>
      <c r="AZ18" s="102">
        <v>0</v>
      </c>
      <c r="BA18" s="102">
        <v>0</v>
      </c>
      <c r="BB18" s="102">
        <v>0</v>
      </c>
      <c r="BC18" s="102">
        <v>0</v>
      </c>
      <c r="BD18" s="102">
        <v>0</v>
      </c>
      <c r="BE18" s="102">
        <v>0</v>
      </c>
      <c r="BF18" s="102">
        <v>0</v>
      </c>
      <c r="BG18" s="102">
        <v>0</v>
      </c>
      <c r="BH18" s="102">
        <v>0</v>
      </c>
      <c r="BI18" s="102">
        <v>0</v>
      </c>
      <c r="BJ18" s="102">
        <v>0</v>
      </c>
      <c r="BK18" s="102">
        <v>0</v>
      </c>
      <c r="BL18" s="102">
        <v>0</v>
      </c>
      <c r="BM18" s="102">
        <v>0</v>
      </c>
      <c r="BN18" s="102">
        <v>0</v>
      </c>
      <c r="BO18" s="102">
        <v>0</v>
      </c>
      <c r="BP18" s="102">
        <v>0</v>
      </c>
      <c r="BQ18" s="102">
        <v>0</v>
      </c>
      <c r="BR18" s="102">
        <v>0</v>
      </c>
      <c r="BS18" s="102">
        <v>0</v>
      </c>
      <c r="BT18" s="102">
        <v>0</v>
      </c>
      <c r="BU18" s="102">
        <v>0</v>
      </c>
      <c r="BV18" s="102">
        <v>0</v>
      </c>
      <c r="BW18" s="102">
        <v>0</v>
      </c>
      <c r="BX18" s="102">
        <v>0</v>
      </c>
      <c r="BY18" s="102">
        <v>0</v>
      </c>
      <c r="BZ18" s="102">
        <v>0</v>
      </c>
      <c r="CA18" s="102">
        <v>0</v>
      </c>
      <c r="CB18" s="102">
        <v>0</v>
      </c>
      <c r="CC18" s="102">
        <v>0</v>
      </c>
      <c r="CD18" s="102">
        <v>0</v>
      </c>
      <c r="CE18" s="102">
        <v>0</v>
      </c>
      <c r="CF18" s="102">
        <v>0</v>
      </c>
      <c r="CG18" s="102">
        <v>0</v>
      </c>
      <c r="CH18" s="102">
        <v>0</v>
      </c>
      <c r="CI18" s="102">
        <v>0</v>
      </c>
      <c r="CJ18" s="102">
        <v>0</v>
      </c>
      <c r="CK18" s="102">
        <v>0</v>
      </c>
      <c r="CL18" s="102">
        <v>0</v>
      </c>
      <c r="CM18" s="102">
        <v>0</v>
      </c>
      <c r="CN18" s="102">
        <v>0</v>
      </c>
      <c r="CO18" s="102">
        <v>0</v>
      </c>
      <c r="CP18" s="102">
        <v>-176.097598</v>
      </c>
      <c r="CQ18" s="102">
        <v>-43.615600690000001</v>
      </c>
      <c r="CR18" s="102">
        <v>-43.958432000000002</v>
      </c>
      <c r="CS18" s="102">
        <v>-44.648424060000004</v>
      </c>
      <c r="CT18" s="102">
        <v>-50.889251860000002</v>
      </c>
      <c r="CU18" s="102">
        <v>-40.247999950000001</v>
      </c>
      <c r="CV18" s="102">
        <v>-72.432848150000012</v>
      </c>
      <c r="CW18" s="102">
        <v>-47.172851000000001</v>
      </c>
      <c r="CX18" s="102">
        <v>-44.881557999999998</v>
      </c>
      <c r="CY18" s="102">
        <v>-47.491267999999998</v>
      </c>
      <c r="CZ18" s="102">
        <v>-29.513200000000001</v>
      </c>
      <c r="DA18" s="102">
        <v>-6.6898530000000003</v>
      </c>
      <c r="DB18" s="102">
        <v>-11.930493999999999</v>
      </c>
      <c r="DC18" s="102">
        <v>14.184597999999999</v>
      </c>
      <c r="DD18" s="102">
        <v>-28.224516000000001</v>
      </c>
      <c r="DE18" s="102">
        <v>-25.334088000000001</v>
      </c>
      <c r="DF18" s="102">
        <v>-31.021319999999999</v>
      </c>
      <c r="DG18" s="102">
        <v>-20.421362999999999</v>
      </c>
      <c r="DH18" s="102">
        <v>36.812871000000001</v>
      </c>
      <c r="DI18" s="102">
        <v>-31.21499</v>
      </c>
      <c r="DJ18" s="102">
        <v>-26.558062</v>
      </c>
      <c r="DK18" s="102">
        <v>-30.714259999999999</v>
      </c>
      <c r="DL18" s="102">
        <v>-35.078882</v>
      </c>
      <c r="DM18" s="102">
        <v>-26.747256</v>
      </c>
      <c r="DN18" s="102">
        <v>-26.029643</v>
      </c>
      <c r="DO18" s="102">
        <v>-33.554453000000002</v>
      </c>
      <c r="DP18" s="102">
        <v>-27.403036</v>
      </c>
      <c r="DQ18" s="940">
        <v>-24.548693</v>
      </c>
      <c r="DR18" s="940">
        <v>-30.209432</v>
      </c>
      <c r="DS18" s="940">
        <v>-28.501455</v>
      </c>
      <c r="DT18" s="940">
        <v>-29.497827999999998</v>
      </c>
      <c r="DU18" s="940">
        <v>-35.832641000000002</v>
      </c>
      <c r="DV18" s="940">
        <v>-36.321016999999998</v>
      </c>
      <c r="DW18" s="940">
        <v>-34.385961000000002</v>
      </c>
      <c r="DX18" s="940">
        <v>-39.152498999999999</v>
      </c>
      <c r="DY18" s="940">
        <v>-35.882607</v>
      </c>
      <c r="DZ18" s="940">
        <v>-48.619669000000002</v>
      </c>
      <c r="EA18" s="940">
        <v>-43.150157</v>
      </c>
      <c r="EB18" s="940">
        <v>-43.810405000000003</v>
      </c>
      <c r="EC18" s="940">
        <v>-46.224794000000003</v>
      </c>
      <c r="ED18" s="940">
        <v>-82.984309999999994</v>
      </c>
      <c r="EE18" s="940">
        <v>-74.731210000000004</v>
      </c>
      <c r="EF18" s="940">
        <v>-51.633809999999997</v>
      </c>
      <c r="EH18" s="102">
        <v>-47.172851000000001</v>
      </c>
      <c r="EI18" s="102">
        <v>-44.881557999999998</v>
      </c>
      <c r="EJ18" s="102">
        <v>-47.491267999999998</v>
      </c>
      <c r="EK18" s="102">
        <v>-29.513200000000001</v>
      </c>
      <c r="EL18" s="102">
        <v>-6.6898530000000003</v>
      </c>
      <c r="EM18" s="102">
        <v>-11.930493999999999</v>
      </c>
      <c r="EN18" s="102">
        <v>-4.258727801800001</v>
      </c>
      <c r="EO18" s="102">
        <v>-7.8144729492000007</v>
      </c>
      <c r="EP18" s="102">
        <v>-6.0270218858000018</v>
      </c>
      <c r="EQ18" s="102">
        <v>-4.8589321892000008</v>
      </c>
      <c r="ER18" s="102">
        <v>-4.1093391030000008</v>
      </c>
      <c r="ES18" s="102">
        <v>-4.3364779960000011</v>
      </c>
      <c r="EU18" s="102">
        <v>0</v>
      </c>
      <c r="EV18" s="102">
        <v>0</v>
      </c>
      <c r="EW18" s="102">
        <v>0</v>
      </c>
      <c r="EX18" s="102">
        <v>0</v>
      </c>
      <c r="EY18" s="102">
        <v>0</v>
      </c>
      <c r="EZ18" s="102">
        <v>0</v>
      </c>
      <c r="FA18" s="102">
        <v>0</v>
      </c>
      <c r="FB18" s="102">
        <v>0</v>
      </c>
      <c r="FC18" s="102">
        <v>0</v>
      </c>
      <c r="FD18" s="102">
        <v>0</v>
      </c>
      <c r="FE18" s="102">
        <v>0</v>
      </c>
      <c r="FF18" s="102">
        <v>0</v>
      </c>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D18" s="102">
        <f t="shared" si="5"/>
        <v>-398.40175513999998</v>
      </c>
      <c r="HE18" s="102">
        <f t="shared" si="5"/>
        <v>-143.109544</v>
      </c>
      <c r="HF18" s="102">
        <f t="shared" si="5"/>
        <v>-152.68031714999998</v>
      </c>
      <c r="HG18" s="102">
        <f t="shared" si="5"/>
        <v>0</v>
      </c>
      <c r="HH18" s="102">
        <f t="shared" si="6"/>
        <v>0</v>
      </c>
      <c r="HI18" s="102">
        <f t="shared" si="7"/>
        <v>0</v>
      </c>
      <c r="HJ18" s="102">
        <f t="shared" si="8"/>
        <v>0</v>
      </c>
      <c r="HK18" s="102">
        <f t="shared" si="9"/>
        <v>-471.89015471000005</v>
      </c>
      <c r="HL18" s="940">
        <f>+SUMIF($E$6:SEW$6,HL$7,$E18:SEW18)</f>
        <v>-241.68304199999997</v>
      </c>
      <c r="HM18" s="940">
        <f>+SUMIF($E$6:SEX$6,HM$7,$E18:SEX18)</f>
        <v>-350.05799000000002</v>
      </c>
      <c r="HN18" s="940">
        <f>+SUMIF($E$6:SEY$6,HN$7,$E18:SEY18)</f>
        <v>-572.72908000000007</v>
      </c>
      <c r="HO18" s="102"/>
      <c r="HP18" s="102"/>
      <c r="HR18" s="929">
        <f t="shared" si="10"/>
        <v>6.6877252784761643E-2</v>
      </c>
      <c r="HS18" s="929">
        <f t="shared" si="11"/>
        <v>-1</v>
      </c>
      <c r="HT18" s="929" t="str">
        <f t="shared" si="12"/>
        <v/>
      </c>
      <c r="HU18" s="929" t="str">
        <f t="shared" si="13"/>
        <v/>
      </c>
      <c r="HV18" s="929" t="str">
        <f t="shared" si="14"/>
        <v/>
      </c>
      <c r="HW18" s="929" t="str">
        <f t="shared" si="15"/>
        <v/>
      </c>
      <c r="HX18" s="929">
        <f t="shared" si="16"/>
        <v>-0.48784046543940673</v>
      </c>
      <c r="HY18" s="929">
        <f t="shared" si="16"/>
        <v>0.44841767590793591</v>
      </c>
      <c r="HZ18" s="929">
        <f t="shared" si="16"/>
        <v>0.63609772198029257</v>
      </c>
      <c r="IA18" s="929">
        <f t="shared" si="17"/>
        <v>-1</v>
      </c>
      <c r="IB18" s="929" t="str">
        <f t="shared" si="18"/>
        <v/>
      </c>
      <c r="IC18" s="929">
        <f t="shared" si="19"/>
        <v>-1</v>
      </c>
      <c r="IE18" s="102">
        <f t="shared" si="20"/>
        <v>-9.5707731499999795</v>
      </c>
      <c r="IF18" s="102">
        <f t="shared" si="21"/>
        <v>152.68031714999998</v>
      </c>
      <c r="IG18" s="102">
        <f t="shared" si="22"/>
        <v>0</v>
      </c>
      <c r="IH18" s="102">
        <f t="shared" si="23"/>
        <v>0</v>
      </c>
      <c r="II18" s="102">
        <f t="shared" si="24"/>
        <v>0</v>
      </c>
      <c r="IJ18" s="102">
        <f t="shared" si="25"/>
        <v>-471.89015471000005</v>
      </c>
      <c r="IK18" s="102">
        <f t="shared" si="26"/>
        <v>230.20711271000008</v>
      </c>
      <c r="IL18" s="102">
        <f t="shared" si="27"/>
        <v>241.68304199999997</v>
      </c>
      <c r="IM18" s="102">
        <f t="shared" si="28"/>
        <v>0</v>
      </c>
      <c r="IN18" s="102">
        <f t="shared" si="29"/>
        <v>241.68304199999997</v>
      </c>
      <c r="IP18" s="32">
        <f t="shared" si="30"/>
        <v>-3.8935778311415051E-3</v>
      </c>
      <c r="IQ18" s="32">
        <f t="shared" si="31"/>
        <v>-3.8768095190114802E-3</v>
      </c>
      <c r="IR18" s="32">
        <f t="shared" si="32"/>
        <v>0</v>
      </c>
      <c r="IS18" s="32">
        <f t="shared" si="33"/>
        <v>0</v>
      </c>
      <c r="IT18" s="32">
        <f t="shared" si="34"/>
        <v>0</v>
      </c>
      <c r="IU18" s="32">
        <f t="shared" si="35"/>
        <v>0</v>
      </c>
      <c r="IV18" s="32">
        <f t="shared" si="36"/>
        <v>-2.2228195087861523E-2</v>
      </c>
      <c r="IW18" s="32">
        <f t="shared" si="37"/>
        <v>-1.9150966850627154E-2</v>
      </c>
      <c r="IX18" s="32" t="e">
        <f t="shared" si="38"/>
        <v>#DIV/0!</v>
      </c>
      <c r="IY18" s="32" t="e">
        <f t="shared" si="39"/>
        <v>#DIV/0!</v>
      </c>
      <c r="JA18" s="102">
        <f t="shared" si="93"/>
        <v>-398.40175513999998</v>
      </c>
      <c r="JB18" s="102">
        <f t="shared" si="93"/>
        <v>-143.109544</v>
      </c>
      <c r="JC18" s="102">
        <f t="shared" si="93"/>
        <v>-152.68031714999998</v>
      </c>
      <c r="JD18" s="102">
        <f t="shared" si="93"/>
        <v>0</v>
      </c>
      <c r="JE18" s="102">
        <f t="shared" si="93"/>
        <v>0</v>
      </c>
      <c r="JF18" s="102">
        <f t="shared" si="93"/>
        <v>0</v>
      </c>
      <c r="JG18" s="102">
        <f t="shared" si="93"/>
        <v>0</v>
      </c>
      <c r="JH18" s="102">
        <f t="shared" si="93"/>
        <v>-471.89015471000005</v>
      </c>
      <c r="JI18" s="102">
        <f t="shared" si="93"/>
        <v>-241.68304199999997</v>
      </c>
      <c r="JJ18" s="102">
        <f t="shared" si="93"/>
        <v>-350.05799000000002</v>
      </c>
      <c r="JK18" s="102">
        <f t="shared" si="93"/>
        <v>-572.72908000000007</v>
      </c>
      <c r="JL18" s="102">
        <f t="shared" si="94"/>
        <v>-572.72908000000007</v>
      </c>
      <c r="JM18" s="102"/>
      <c r="JN18" s="102"/>
      <c r="JO18" s="922"/>
      <c r="JP18" s="102">
        <f t="shared" si="41"/>
        <v>-572.72908000000007</v>
      </c>
      <c r="JQ18" s="102">
        <f t="shared" si="42"/>
        <v>0</v>
      </c>
      <c r="JR18" s="145"/>
      <c r="JS18" s="929" t="str">
        <f t="shared" si="88"/>
        <v>NA</v>
      </c>
      <c r="JT18" s="930">
        <f t="shared" si="89"/>
        <v>-572.72908000000007</v>
      </c>
      <c r="JV18" s="32">
        <f t="shared" si="43"/>
        <v>-1.8969831430603466E-2</v>
      </c>
      <c r="JW18" s="929" t="str">
        <f t="shared" si="44"/>
        <v/>
      </c>
      <c r="JY18" s="929">
        <f t="shared" ref="JY18:KE19" si="99">+IFERROR(JC18/JB18-1,"")</f>
        <v>6.6877252784761643E-2</v>
      </c>
      <c r="JZ18" s="929">
        <f t="shared" si="99"/>
        <v>-1</v>
      </c>
      <c r="KA18" s="929" t="str">
        <f t="shared" si="99"/>
        <v/>
      </c>
      <c r="KB18" s="929" t="str">
        <f t="shared" si="99"/>
        <v/>
      </c>
      <c r="KC18" s="929" t="str">
        <f t="shared" si="99"/>
        <v/>
      </c>
      <c r="KD18" s="929" t="str">
        <f t="shared" si="99"/>
        <v/>
      </c>
      <c r="KE18" s="929">
        <f t="shared" si="99"/>
        <v>-0.48784046543940673</v>
      </c>
      <c r="KF18" s="929">
        <f>+IFERROR(JN18/JI18-1,"")</f>
        <v>-1</v>
      </c>
      <c r="KH18" s="102">
        <f t="shared" si="46"/>
        <v>-9.5707731499999795</v>
      </c>
      <c r="KI18" s="102">
        <f t="shared" si="47"/>
        <v>152.68031714999998</v>
      </c>
      <c r="KJ18" s="102">
        <f t="shared" si="48"/>
        <v>0</v>
      </c>
      <c r="KK18" s="102">
        <f t="shared" si="49"/>
        <v>0</v>
      </c>
      <c r="KL18" s="102">
        <f t="shared" si="50"/>
        <v>0</v>
      </c>
      <c r="KM18" s="102">
        <f t="shared" si="51"/>
        <v>-471.89015471000005</v>
      </c>
      <c r="KN18" s="102">
        <f t="shared" si="52"/>
        <v>230.20711271000008</v>
      </c>
      <c r="KO18" s="102">
        <f t="shared" si="53"/>
        <v>241.68304199999997</v>
      </c>
      <c r="KQ18" s="32">
        <f t="shared" si="54"/>
        <v>-1.0980891487936979E-2</v>
      </c>
      <c r="KR18" s="32">
        <f t="shared" si="55"/>
        <v>-3.8935778311415051E-3</v>
      </c>
      <c r="KS18" s="32">
        <f t="shared" si="56"/>
        <v>-3.8768095190114802E-3</v>
      </c>
      <c r="KT18" s="32">
        <f t="shared" si="57"/>
        <v>0</v>
      </c>
      <c r="KU18" s="32">
        <f t="shared" si="58"/>
        <v>0</v>
      </c>
      <c r="KV18" s="32">
        <f t="shared" si="59"/>
        <v>0</v>
      </c>
      <c r="KW18" s="32">
        <f t="shared" si="60"/>
        <v>0</v>
      </c>
      <c r="KX18" s="32">
        <f t="shared" si="61"/>
        <v>-2.2228195087861523E-2</v>
      </c>
      <c r="KY18" s="32">
        <f t="shared" si="62"/>
        <v>-1.9150966850627154E-2</v>
      </c>
      <c r="KZ18" s="32" t="e">
        <f t="shared" si="63"/>
        <v>#DIV/0!</v>
      </c>
      <c r="LB18" s="102">
        <f t="shared" si="96"/>
        <v>0</v>
      </c>
      <c r="LC18" s="102">
        <f t="shared" si="96"/>
        <v>0</v>
      </c>
      <c r="LD18" s="102">
        <f t="shared" si="96"/>
        <v>0</v>
      </c>
      <c r="LE18" s="102">
        <f t="shared" si="96"/>
        <v>0</v>
      </c>
      <c r="LF18" s="102">
        <f t="shared" si="96"/>
        <v>0</v>
      </c>
      <c r="LG18" s="102">
        <f t="shared" si="96"/>
        <v>0</v>
      </c>
      <c r="LH18" s="102">
        <f t="shared" si="96"/>
        <v>0</v>
      </c>
      <c r="LI18" s="102">
        <f t="shared" si="96"/>
        <v>-72.432848150000012</v>
      </c>
      <c r="LJ18" s="102">
        <f t="shared" si="96"/>
        <v>36.812871000000001</v>
      </c>
      <c r="LK18" s="102">
        <f t="shared" si="96"/>
        <v>-29.497827999999998</v>
      </c>
      <c r="LL18" s="102">
        <f t="shared" si="96"/>
        <v>-51.633809999999997</v>
      </c>
      <c r="LM18" s="102">
        <f t="shared" si="96"/>
        <v>-51.633809999999997</v>
      </c>
      <c r="LN18" s="102"/>
      <c r="LO18" s="102"/>
      <c r="LR18" s="32" t="str">
        <f t="shared" si="65"/>
        <v xml:space="preserve"> </v>
      </c>
      <c r="LS18" s="32" t="str">
        <f t="shared" si="66"/>
        <v xml:space="preserve"> </v>
      </c>
      <c r="LT18" s="32" t="str">
        <f t="shared" si="67"/>
        <v xml:space="preserve"> </v>
      </c>
      <c r="LU18" s="32" t="str">
        <f t="shared" si="68"/>
        <v xml:space="preserve"> </v>
      </c>
      <c r="LV18" s="32" t="str">
        <f t="shared" si="69"/>
        <v xml:space="preserve"> </v>
      </c>
      <c r="LW18" s="32" t="str">
        <f t="shared" si="70"/>
        <v xml:space="preserve"> </v>
      </c>
      <c r="LX18" s="32">
        <f t="shared" si="71"/>
        <v>-1</v>
      </c>
      <c r="LZ18" s="102">
        <f t="shared" si="72"/>
        <v>0</v>
      </c>
      <c r="MA18" s="102">
        <f t="shared" si="73"/>
        <v>0</v>
      </c>
      <c r="MB18" s="102">
        <f t="shared" si="74"/>
        <v>0</v>
      </c>
      <c r="MC18" s="102">
        <f t="shared" si="75"/>
        <v>0</v>
      </c>
      <c r="MD18" s="102">
        <f t="shared" si="76"/>
        <v>0</v>
      </c>
      <c r="ME18" s="102">
        <f t="shared" si="77"/>
        <v>-72.432848150000012</v>
      </c>
      <c r="MF18" s="102">
        <f t="shared" si="78"/>
        <v>72.432848150000012</v>
      </c>
      <c r="MH18" s="32">
        <f t="shared" si="79"/>
        <v>0</v>
      </c>
      <c r="MI18" s="32">
        <f t="shared" si="80"/>
        <v>0</v>
      </c>
      <c r="MJ18" s="32">
        <f t="shared" si="81"/>
        <v>0</v>
      </c>
      <c r="MK18" s="32">
        <f t="shared" si="82"/>
        <v>0</v>
      </c>
      <c r="ML18" s="32">
        <f t="shared" si="83"/>
        <v>0</v>
      </c>
      <c r="MM18" s="32">
        <f t="shared" si="84"/>
        <v>0</v>
      </c>
      <c r="MN18" s="32">
        <f t="shared" si="85"/>
        <v>0</v>
      </c>
      <c r="MO18" s="32">
        <f t="shared" si="86"/>
        <v>-3.8487252784415692E-2</v>
      </c>
      <c r="MP18" s="32" t="e">
        <f t="shared" si="87"/>
        <v>#DIV/0!</v>
      </c>
    </row>
    <row r="19" spans="1:354" outlineLevel="2">
      <c r="A19" s="884">
        <v>4155</v>
      </c>
      <c r="B19" s="884"/>
      <c r="C19" s="399" t="s">
        <v>64</v>
      </c>
      <c r="D19" s="307" t="s">
        <v>59</v>
      </c>
      <c r="E19" s="931">
        <v>0</v>
      </c>
      <c r="F19" s="931">
        <v>138.01898159999999</v>
      </c>
      <c r="G19" s="931">
        <v>0</v>
      </c>
      <c r="H19" s="931">
        <v>0</v>
      </c>
      <c r="I19" s="931">
        <v>220.25868240000003</v>
      </c>
      <c r="J19" s="931">
        <v>20.723007199999984</v>
      </c>
      <c r="K19" s="931">
        <v>163.2464895</v>
      </c>
      <c r="L19" s="931">
        <v>110.65612288</v>
      </c>
      <c r="M19" s="931">
        <v>0</v>
      </c>
      <c r="N19" s="931">
        <v>127.53296109999997</v>
      </c>
      <c r="O19" s="931">
        <v>69.024241999999958</v>
      </c>
      <c r="P19" s="931">
        <v>96.041332800000077</v>
      </c>
      <c r="Q19" s="931">
        <v>81.475136599999999</v>
      </c>
      <c r="R19" s="931">
        <v>0</v>
      </c>
      <c r="S19" s="931">
        <v>63.687009599999996</v>
      </c>
      <c r="T19" s="931">
        <v>40.692038400000001</v>
      </c>
      <c r="U19" s="931">
        <v>83.129520179999986</v>
      </c>
      <c r="V19" s="931">
        <v>0</v>
      </c>
      <c r="W19" s="931">
        <v>30.093919999999969</v>
      </c>
      <c r="X19" s="931">
        <v>95.94574080000001</v>
      </c>
      <c r="Y19" s="931">
        <v>-32.485627679999993</v>
      </c>
      <c r="Z19" s="931">
        <v>79.510041600000022</v>
      </c>
      <c r="AA19" s="931">
        <v>61.436480000000017</v>
      </c>
      <c r="AB19" s="931">
        <v>137.49260720000007</v>
      </c>
      <c r="AC19" s="931">
        <v>0</v>
      </c>
      <c r="AD19" s="931">
        <v>66.194415000000006</v>
      </c>
      <c r="AE19" s="931">
        <v>55.994365999999999</v>
      </c>
      <c r="AF19" s="931">
        <v>3.8702800000000002</v>
      </c>
      <c r="AG19" s="931">
        <v>-3.8702800000000002</v>
      </c>
      <c r="AH19" s="931">
        <v>205.13131090000002</v>
      </c>
      <c r="AI19" s="931">
        <v>48.802635000000002</v>
      </c>
      <c r="AJ19" s="931">
        <v>45.987756600000004</v>
      </c>
      <c r="AK19" s="931">
        <v>49.048646399999996</v>
      </c>
      <c r="AL19" s="931">
        <v>49.581573599999999</v>
      </c>
      <c r="AM19" s="931">
        <v>46.9800276</v>
      </c>
      <c r="AN19" s="931">
        <v>39.302206500000011</v>
      </c>
      <c r="AO19" s="931">
        <v>30.715697900000009</v>
      </c>
      <c r="AP19" s="932">
        <v>59.756830099999988</v>
      </c>
      <c r="AQ19" s="936">
        <v>57.113094600000004</v>
      </c>
      <c r="AR19" s="936">
        <v>71.781437699999998</v>
      </c>
      <c r="AS19" s="931">
        <v>63.944080499999998</v>
      </c>
      <c r="AT19" s="931">
        <v>78.50863720000001</v>
      </c>
      <c r="AU19" s="931">
        <v>88.720729200000008</v>
      </c>
      <c r="AV19" s="931">
        <v>129.73747120000002</v>
      </c>
      <c r="AW19" s="931">
        <v>57.636223999999999</v>
      </c>
      <c r="AX19" s="931">
        <v>149.11339599999999</v>
      </c>
      <c r="AY19" s="931">
        <v>58.445327799999994</v>
      </c>
      <c r="AZ19" s="931">
        <v>9.6754320000000007</v>
      </c>
      <c r="BA19" s="931">
        <v>81.552331199999998</v>
      </c>
      <c r="BB19" s="931">
        <v>34.382399999999997</v>
      </c>
      <c r="BC19" s="931">
        <v>69.656958400000008</v>
      </c>
      <c r="BD19" s="931">
        <v>41.554367999999997</v>
      </c>
      <c r="BE19" s="931">
        <v>44.196047999999998</v>
      </c>
      <c r="BF19" s="931">
        <v>46.382872800000015</v>
      </c>
      <c r="BG19" s="931">
        <v>1.137805600000009</v>
      </c>
      <c r="BH19" s="931">
        <v>0</v>
      </c>
      <c r="BI19" s="931">
        <v>0</v>
      </c>
      <c r="BJ19" s="931">
        <v>0</v>
      </c>
      <c r="BK19" s="931">
        <v>0</v>
      </c>
      <c r="BL19" s="931">
        <v>0</v>
      </c>
      <c r="BM19" s="102">
        <v>0</v>
      </c>
      <c r="BN19" s="931">
        <v>0</v>
      </c>
      <c r="BO19" s="931">
        <v>0</v>
      </c>
      <c r="BP19" s="931">
        <v>0</v>
      </c>
      <c r="BQ19" s="931">
        <v>0</v>
      </c>
      <c r="BR19" s="931">
        <v>0</v>
      </c>
      <c r="BS19" s="931">
        <v>0</v>
      </c>
      <c r="BT19" s="931">
        <v>0</v>
      </c>
      <c r="BU19" s="931">
        <v>0</v>
      </c>
      <c r="BV19" s="931">
        <v>0</v>
      </c>
      <c r="BW19" s="931">
        <v>0</v>
      </c>
      <c r="BX19" s="931">
        <v>0</v>
      </c>
      <c r="BY19" s="931">
        <v>0</v>
      </c>
      <c r="BZ19" s="931">
        <v>0</v>
      </c>
      <c r="CA19" s="931">
        <v>0</v>
      </c>
      <c r="CB19" s="931">
        <v>0</v>
      </c>
      <c r="CC19" s="931">
        <v>0</v>
      </c>
      <c r="CD19" s="931">
        <v>0</v>
      </c>
      <c r="CE19" s="931">
        <v>0</v>
      </c>
      <c r="CF19" s="931">
        <v>0</v>
      </c>
      <c r="CG19" s="931">
        <v>0</v>
      </c>
      <c r="CH19" s="931">
        <v>0</v>
      </c>
      <c r="CI19" s="931">
        <v>0</v>
      </c>
      <c r="CJ19" s="931">
        <v>0</v>
      </c>
      <c r="CK19" s="931">
        <v>0</v>
      </c>
      <c r="CL19" s="931">
        <v>0</v>
      </c>
      <c r="CM19" s="931">
        <v>0</v>
      </c>
      <c r="CN19" s="931">
        <v>0</v>
      </c>
      <c r="CO19" s="931">
        <v>0</v>
      </c>
      <c r="CP19" s="931">
        <v>0</v>
      </c>
      <c r="CQ19" s="931">
        <v>0</v>
      </c>
      <c r="CR19" s="931">
        <v>0</v>
      </c>
      <c r="CS19" s="931">
        <v>0</v>
      </c>
      <c r="CT19" s="931">
        <v>2.2501020600000001</v>
      </c>
      <c r="CU19" s="931">
        <v>0</v>
      </c>
      <c r="CV19" s="931">
        <v>0</v>
      </c>
      <c r="CW19" s="931">
        <v>0</v>
      </c>
      <c r="CX19" s="931">
        <v>0</v>
      </c>
      <c r="CY19" s="931">
        <v>0</v>
      </c>
      <c r="CZ19" s="931">
        <v>0</v>
      </c>
      <c r="DA19" s="931">
        <v>0</v>
      </c>
      <c r="DB19" s="931">
        <v>0</v>
      </c>
      <c r="DC19" s="931">
        <v>0</v>
      </c>
      <c r="DD19" s="931">
        <v>0</v>
      </c>
      <c r="DE19" s="931">
        <v>0</v>
      </c>
      <c r="DF19" s="931">
        <v>0</v>
      </c>
      <c r="DG19" s="931">
        <v>0</v>
      </c>
      <c r="DH19" s="931">
        <v>0</v>
      </c>
      <c r="DI19" s="931">
        <v>0</v>
      </c>
      <c r="DJ19" s="931">
        <v>0</v>
      </c>
      <c r="DK19" s="931">
        <v>0</v>
      </c>
      <c r="DL19" s="931">
        <v>0</v>
      </c>
      <c r="DM19" s="931">
        <v>0</v>
      </c>
      <c r="DN19" s="931">
        <v>0</v>
      </c>
      <c r="DO19" s="931">
        <v>0</v>
      </c>
      <c r="DP19" s="931">
        <v>0</v>
      </c>
      <c r="DQ19" s="941">
        <v>0</v>
      </c>
      <c r="DR19" s="941">
        <v>0</v>
      </c>
      <c r="DS19" s="941">
        <v>0</v>
      </c>
      <c r="DT19" s="941">
        <v>0</v>
      </c>
      <c r="DU19" s="941">
        <v>0</v>
      </c>
      <c r="DV19" s="941">
        <v>0</v>
      </c>
      <c r="DW19" s="941">
        <v>0</v>
      </c>
      <c r="DX19" s="941">
        <v>0</v>
      </c>
      <c r="DY19" s="941">
        <v>0</v>
      </c>
      <c r="DZ19" s="941">
        <v>0</v>
      </c>
      <c r="EA19" s="941">
        <v>0</v>
      </c>
      <c r="EB19" s="941">
        <v>0</v>
      </c>
      <c r="EC19" s="941">
        <v>0</v>
      </c>
      <c r="ED19" s="941">
        <v>0</v>
      </c>
      <c r="EE19" s="941">
        <v>0</v>
      </c>
      <c r="EF19" s="941">
        <v>0</v>
      </c>
      <c r="EH19" s="931">
        <v>0</v>
      </c>
      <c r="EI19" s="931">
        <v>0</v>
      </c>
      <c r="EJ19" s="931">
        <v>0</v>
      </c>
      <c r="EK19" s="931">
        <v>0</v>
      </c>
      <c r="EL19" s="931">
        <v>0</v>
      </c>
      <c r="EM19" s="931">
        <v>0</v>
      </c>
      <c r="EN19" s="931">
        <v>0</v>
      </c>
      <c r="EO19" s="931">
        <v>0</v>
      </c>
      <c r="EP19" s="931">
        <v>0</v>
      </c>
      <c r="EQ19" s="931">
        <v>0</v>
      </c>
      <c r="ER19" s="931">
        <v>0</v>
      </c>
      <c r="ES19" s="931">
        <v>0</v>
      </c>
      <c r="EU19" s="931">
        <v>68.593828000000002</v>
      </c>
      <c r="EV19" s="931">
        <v>55</v>
      </c>
      <c r="EW19" s="931">
        <v>55</v>
      </c>
      <c r="EX19" s="931">
        <v>55</v>
      </c>
      <c r="EY19" s="931">
        <v>55</v>
      </c>
      <c r="EZ19" s="931">
        <v>55</v>
      </c>
      <c r="FA19" s="931">
        <v>55</v>
      </c>
      <c r="FB19" s="931">
        <v>55</v>
      </c>
      <c r="FC19" s="931">
        <v>55</v>
      </c>
      <c r="FD19" s="931">
        <v>55</v>
      </c>
      <c r="FE19" s="931">
        <v>55</v>
      </c>
      <c r="FF19" s="931">
        <v>55</v>
      </c>
      <c r="FG19" s="931">
        <v>27</v>
      </c>
      <c r="FH19" s="931">
        <v>27</v>
      </c>
      <c r="FI19" s="931">
        <v>27</v>
      </c>
      <c r="FJ19" s="931">
        <v>27</v>
      </c>
      <c r="FK19" s="931">
        <v>27</v>
      </c>
      <c r="FL19" s="931">
        <v>38.159999999999997</v>
      </c>
      <c r="FM19" s="931">
        <v>47.484000000000002</v>
      </c>
      <c r="FN19" s="931">
        <v>48.6</v>
      </c>
      <c r="FO19" s="931">
        <v>48.6</v>
      </c>
      <c r="FP19" s="931">
        <v>48.6</v>
      </c>
      <c r="FQ19" s="931">
        <v>48.6</v>
      </c>
      <c r="FR19" s="931">
        <v>36.695999999999998</v>
      </c>
      <c r="FS19" s="931"/>
      <c r="FT19" s="931"/>
      <c r="FU19" s="931"/>
      <c r="FV19" s="931"/>
      <c r="FW19" s="931"/>
      <c r="FX19" s="931"/>
      <c r="FY19" s="931"/>
      <c r="FZ19" s="931"/>
      <c r="GA19" s="931"/>
      <c r="GB19" s="931"/>
      <c r="GC19" s="931"/>
      <c r="GD19" s="931"/>
      <c r="GE19" s="931">
        <v>0</v>
      </c>
      <c r="GF19" s="931">
        <v>0</v>
      </c>
      <c r="GG19" s="931">
        <v>0</v>
      </c>
      <c r="GH19" s="931">
        <v>0</v>
      </c>
      <c r="GI19" s="931">
        <v>0</v>
      </c>
      <c r="GJ19" s="931">
        <v>0</v>
      </c>
      <c r="GK19" s="931">
        <v>0</v>
      </c>
      <c r="GL19" s="931">
        <v>0</v>
      </c>
      <c r="GM19" s="931">
        <v>0</v>
      </c>
      <c r="GN19" s="931">
        <v>0</v>
      </c>
      <c r="GO19" s="931">
        <v>0</v>
      </c>
      <c r="GP19" s="931">
        <v>0</v>
      </c>
      <c r="GQ19" s="931">
        <v>0</v>
      </c>
      <c r="GR19" s="931">
        <v>0</v>
      </c>
      <c r="GS19" s="931">
        <v>0</v>
      </c>
      <c r="GT19" s="931">
        <v>0</v>
      </c>
      <c r="GU19" s="931">
        <v>0</v>
      </c>
      <c r="GV19" s="931">
        <v>0</v>
      </c>
      <c r="GW19" s="931">
        <v>0</v>
      </c>
      <c r="GX19" s="931">
        <v>0</v>
      </c>
      <c r="GY19" s="931">
        <v>0</v>
      </c>
      <c r="GZ19" s="931">
        <v>0</v>
      </c>
      <c r="HA19" s="931">
        <v>0</v>
      </c>
      <c r="HB19" s="931">
        <v>0</v>
      </c>
      <c r="HD19" s="931">
        <f t="shared" si="5"/>
        <v>945.50181947999999</v>
      </c>
      <c r="HE19" s="931">
        <f t="shared" si="5"/>
        <v>640.97686670000007</v>
      </c>
      <c r="HF19" s="931">
        <f t="shared" si="5"/>
        <v>607.02293759999998</v>
      </c>
      <c r="HG19" s="931">
        <f t="shared" si="5"/>
        <v>855.14835819999985</v>
      </c>
      <c r="HH19" s="931">
        <f t="shared" si="6"/>
        <v>318.86278400000009</v>
      </c>
      <c r="HI19" s="931">
        <f t="shared" si="7"/>
        <v>0</v>
      </c>
      <c r="HJ19" s="931">
        <f t="shared" si="8"/>
        <v>0</v>
      </c>
      <c r="HK19" s="931">
        <f t="shared" si="9"/>
        <v>2.2501020600000001</v>
      </c>
      <c r="HL19" s="941">
        <f>+SUMIF($E$6:SEW$6,HL$7,$E19:SEW19)</f>
        <v>0</v>
      </c>
      <c r="HM19" s="941">
        <f>+SUMIF($E$6:SEX$6,HM$7,$E19:SEX19)</f>
        <v>0</v>
      </c>
      <c r="HN19" s="941">
        <f>+SUMIF($E$6:SEY$6,HN$7,$E19:SEY19)</f>
        <v>0</v>
      </c>
      <c r="HO19" s="931"/>
      <c r="HP19" s="931"/>
      <c r="HR19" s="934">
        <f t="shared" si="10"/>
        <v>-5.2972159938950991E-2</v>
      </c>
      <c r="HS19" s="934">
        <f t="shared" si="11"/>
        <v>0.40875789897004355</v>
      </c>
      <c r="HT19" s="934">
        <f t="shared" si="12"/>
        <v>-0.62712577187053986</v>
      </c>
      <c r="HU19" s="934">
        <f t="shared" si="13"/>
        <v>-1</v>
      </c>
      <c r="HV19" s="934" t="str">
        <f t="shared" si="14"/>
        <v/>
      </c>
      <c r="HW19" s="934" t="str">
        <f t="shared" si="15"/>
        <v/>
      </c>
      <c r="HX19" s="934">
        <f t="shared" si="16"/>
        <v>-1</v>
      </c>
      <c r="HY19" s="934" t="str">
        <f t="shared" si="16"/>
        <v/>
      </c>
      <c r="HZ19" s="934" t="str">
        <f t="shared" si="16"/>
        <v/>
      </c>
      <c r="IA19" s="934" t="str">
        <f t="shared" si="17"/>
        <v/>
      </c>
      <c r="IB19" s="934" t="str">
        <f t="shared" si="18"/>
        <v/>
      </c>
      <c r="IC19" s="934" t="str">
        <f t="shared" si="19"/>
        <v/>
      </c>
      <c r="IE19" s="931">
        <f t="shared" si="20"/>
        <v>-33.953929100000096</v>
      </c>
      <c r="IF19" s="931">
        <f t="shared" si="21"/>
        <v>248.12542059999987</v>
      </c>
      <c r="IG19" s="931">
        <f t="shared" si="22"/>
        <v>-536.2855741999997</v>
      </c>
      <c r="IH19" s="931">
        <f t="shared" si="23"/>
        <v>-318.86278400000009</v>
      </c>
      <c r="II19" s="931">
        <f t="shared" si="24"/>
        <v>0</v>
      </c>
      <c r="IJ19" s="931">
        <f t="shared" si="25"/>
        <v>2.2501020600000001</v>
      </c>
      <c r="IK19" s="931">
        <f t="shared" si="26"/>
        <v>-2.2501020600000001</v>
      </c>
      <c r="IL19" s="931">
        <f t="shared" si="27"/>
        <v>0</v>
      </c>
      <c r="IM19" s="931">
        <f t="shared" si="28"/>
        <v>0</v>
      </c>
      <c r="IN19" s="931">
        <f t="shared" si="29"/>
        <v>0</v>
      </c>
      <c r="IP19" s="230">
        <f t="shared" si="30"/>
        <v>1.7439041790655582E-2</v>
      </c>
      <c r="IQ19" s="230">
        <f t="shared" si="31"/>
        <v>1.5413331244485119E-2</v>
      </c>
      <c r="IR19" s="230">
        <f t="shared" si="32"/>
        <v>5.0742262908477602E-2</v>
      </c>
      <c r="IS19" s="230">
        <f t="shared" si="33"/>
        <v>5.1830525845162442E-2</v>
      </c>
      <c r="IT19" s="230">
        <f t="shared" si="34"/>
        <v>0</v>
      </c>
      <c r="IU19" s="230">
        <f t="shared" si="35"/>
        <v>0</v>
      </c>
      <c r="IV19" s="230">
        <f t="shared" si="36"/>
        <v>1.0599014846583573E-4</v>
      </c>
      <c r="IW19" s="230">
        <f t="shared" si="37"/>
        <v>0</v>
      </c>
      <c r="IX19" s="230" t="e">
        <f t="shared" si="38"/>
        <v>#DIV/0!</v>
      </c>
      <c r="IY19" s="230" t="e">
        <f t="shared" si="39"/>
        <v>#DIV/0!</v>
      </c>
      <c r="JA19" s="931">
        <f t="shared" si="93"/>
        <v>945.50181947999999</v>
      </c>
      <c r="JB19" s="931">
        <f t="shared" si="93"/>
        <v>640.97686670000007</v>
      </c>
      <c r="JC19" s="931">
        <f t="shared" si="93"/>
        <v>607.02293759999998</v>
      </c>
      <c r="JD19" s="931">
        <f t="shared" si="93"/>
        <v>855.14835819999985</v>
      </c>
      <c r="JE19" s="931">
        <f t="shared" si="93"/>
        <v>318.86278400000009</v>
      </c>
      <c r="JF19" s="931">
        <f t="shared" si="93"/>
        <v>0</v>
      </c>
      <c r="JG19" s="931">
        <f t="shared" si="93"/>
        <v>0</v>
      </c>
      <c r="JH19" s="931">
        <f t="shared" si="93"/>
        <v>2.2501020600000001</v>
      </c>
      <c r="JI19" s="931">
        <f t="shared" si="93"/>
        <v>0</v>
      </c>
      <c r="JJ19" s="931">
        <f t="shared" si="93"/>
        <v>0</v>
      </c>
      <c r="JK19" s="931">
        <f t="shared" si="93"/>
        <v>0</v>
      </c>
      <c r="JL19" s="931">
        <f t="shared" si="94"/>
        <v>0</v>
      </c>
      <c r="JM19" s="931"/>
      <c r="JN19" s="931"/>
      <c r="JO19" s="1188"/>
      <c r="JP19" s="931">
        <f t="shared" si="41"/>
        <v>0</v>
      </c>
      <c r="JQ19" s="931">
        <f t="shared" si="42"/>
        <v>0</v>
      </c>
      <c r="JR19" s="145"/>
      <c r="JS19" s="934" t="str">
        <f t="shared" si="88"/>
        <v>NA</v>
      </c>
      <c r="JT19" s="935">
        <f t="shared" si="89"/>
        <v>0</v>
      </c>
      <c r="JV19" s="230">
        <f t="shared" si="43"/>
        <v>0</v>
      </c>
      <c r="JW19" s="934" t="str">
        <f t="shared" si="44"/>
        <v/>
      </c>
      <c r="JY19" s="934">
        <f t="shared" si="99"/>
        <v>-5.2972159938950991E-2</v>
      </c>
      <c r="JZ19" s="934">
        <f t="shared" si="99"/>
        <v>0.40875789897004355</v>
      </c>
      <c r="KA19" s="934">
        <f t="shared" si="99"/>
        <v>-0.62712577187053986</v>
      </c>
      <c r="KB19" s="934">
        <f t="shared" si="99"/>
        <v>-1</v>
      </c>
      <c r="KC19" s="934" t="str">
        <f t="shared" si="99"/>
        <v/>
      </c>
      <c r="KD19" s="934" t="str">
        <f t="shared" si="99"/>
        <v/>
      </c>
      <c r="KE19" s="934">
        <f t="shared" si="99"/>
        <v>-1</v>
      </c>
      <c r="KF19" s="934" t="str">
        <f>+IFERROR(JN19/JI19-1,"")</f>
        <v/>
      </c>
      <c r="KH19" s="931">
        <f t="shared" si="46"/>
        <v>-33.953929100000096</v>
      </c>
      <c r="KI19" s="931">
        <f t="shared" si="47"/>
        <v>248.12542059999987</v>
      </c>
      <c r="KJ19" s="931">
        <f t="shared" si="48"/>
        <v>-536.2855741999997</v>
      </c>
      <c r="KK19" s="931">
        <f t="shared" si="49"/>
        <v>-318.86278400000009</v>
      </c>
      <c r="KL19" s="931">
        <f t="shared" si="50"/>
        <v>0</v>
      </c>
      <c r="KM19" s="931">
        <f t="shared" si="51"/>
        <v>2.2501020600000001</v>
      </c>
      <c r="KN19" s="931">
        <f t="shared" si="52"/>
        <v>-2.2501020600000001</v>
      </c>
      <c r="KO19" s="931">
        <f t="shared" si="53"/>
        <v>0</v>
      </c>
      <c r="KQ19" s="230">
        <f t="shared" si="54"/>
        <v>2.6060258890446959E-2</v>
      </c>
      <c r="KR19" s="230">
        <f t="shared" si="55"/>
        <v>1.7439041790655582E-2</v>
      </c>
      <c r="KS19" s="230">
        <f t="shared" si="56"/>
        <v>1.5413331244485119E-2</v>
      </c>
      <c r="KT19" s="230">
        <f t="shared" si="57"/>
        <v>5.0742262908477602E-2</v>
      </c>
      <c r="KU19" s="230">
        <f t="shared" si="58"/>
        <v>5.1830525845162442E-2</v>
      </c>
      <c r="KV19" s="230">
        <f t="shared" si="59"/>
        <v>0</v>
      </c>
      <c r="KW19" s="230">
        <f t="shared" si="60"/>
        <v>0</v>
      </c>
      <c r="KX19" s="230">
        <f t="shared" si="61"/>
        <v>1.0599014846583573E-4</v>
      </c>
      <c r="KY19" s="230">
        <f t="shared" si="62"/>
        <v>0</v>
      </c>
      <c r="KZ19" s="230" t="e">
        <f t="shared" si="63"/>
        <v>#DIV/0!</v>
      </c>
      <c r="LB19" s="931">
        <f t="shared" si="96"/>
        <v>96.041332800000077</v>
      </c>
      <c r="LC19" s="931">
        <f t="shared" si="96"/>
        <v>137.49260720000007</v>
      </c>
      <c r="LD19" s="931">
        <f t="shared" si="96"/>
        <v>39.302206500000011</v>
      </c>
      <c r="LE19" s="931">
        <f t="shared" si="96"/>
        <v>9.6754320000000007</v>
      </c>
      <c r="LF19" s="931">
        <f t="shared" si="96"/>
        <v>0</v>
      </c>
      <c r="LG19" s="931">
        <f t="shared" si="96"/>
        <v>0</v>
      </c>
      <c r="LH19" s="931">
        <f t="shared" si="96"/>
        <v>0</v>
      </c>
      <c r="LI19" s="931">
        <f t="shared" si="96"/>
        <v>0</v>
      </c>
      <c r="LJ19" s="931">
        <f t="shared" si="96"/>
        <v>0</v>
      </c>
      <c r="LK19" s="931">
        <f t="shared" si="96"/>
        <v>0</v>
      </c>
      <c r="LL19" s="931">
        <f t="shared" si="96"/>
        <v>0</v>
      </c>
      <c r="LM19" s="931">
        <f t="shared" si="96"/>
        <v>0</v>
      </c>
      <c r="LN19" s="931"/>
      <c r="LO19" s="931"/>
      <c r="LR19" s="230">
        <f t="shared" si="65"/>
        <v>-0.71415040197157609</v>
      </c>
      <c r="LS19" s="230">
        <f t="shared" si="66"/>
        <v>-0.75381962333336172</v>
      </c>
      <c r="LT19" s="230">
        <f t="shared" si="67"/>
        <v>-1</v>
      </c>
      <c r="LU19" s="230" t="str">
        <f t="shared" si="68"/>
        <v xml:space="preserve"> </v>
      </c>
      <c r="LV19" s="230" t="str">
        <f t="shared" si="69"/>
        <v xml:space="preserve"> </v>
      </c>
      <c r="LW19" s="230" t="str">
        <f t="shared" si="70"/>
        <v xml:space="preserve"> </v>
      </c>
      <c r="LX19" s="230" t="str">
        <f t="shared" si="71"/>
        <v xml:space="preserve"> </v>
      </c>
      <c r="LZ19" s="931">
        <f t="shared" si="72"/>
        <v>-98.190400700000055</v>
      </c>
      <c r="MA19" s="931">
        <f t="shared" si="73"/>
        <v>-29.62677450000001</v>
      </c>
      <c r="MB19" s="931">
        <f t="shared" si="74"/>
        <v>-9.6754320000000007</v>
      </c>
      <c r="MC19" s="931">
        <f t="shared" si="75"/>
        <v>0</v>
      </c>
      <c r="MD19" s="931">
        <f t="shared" si="76"/>
        <v>0</v>
      </c>
      <c r="ME19" s="931">
        <f t="shared" si="77"/>
        <v>0</v>
      </c>
      <c r="MF19" s="931">
        <f t="shared" si="78"/>
        <v>0</v>
      </c>
      <c r="MH19" s="230">
        <f t="shared" si="79"/>
        <v>3.2020776864179326E-2</v>
      </c>
      <c r="MI19" s="230">
        <f t="shared" si="80"/>
        <v>2.4936704006284435E-2</v>
      </c>
      <c r="MJ19" s="230">
        <f t="shared" si="81"/>
        <v>7.667006519141554E-3</v>
      </c>
      <c r="MK19" s="230">
        <f t="shared" si="82"/>
        <v>1.664528118392563E-2</v>
      </c>
      <c r="ML19" s="230">
        <f t="shared" si="83"/>
        <v>0</v>
      </c>
      <c r="MM19" s="230">
        <f t="shared" si="84"/>
        <v>0</v>
      </c>
      <c r="MN19" s="230">
        <f t="shared" si="85"/>
        <v>0</v>
      </c>
      <c r="MO19" s="230">
        <f t="shared" si="86"/>
        <v>0</v>
      </c>
      <c r="MP19" s="230" t="e">
        <f t="shared" si="87"/>
        <v>#DIV/0!</v>
      </c>
    </row>
    <row r="20" spans="1:354" outlineLevel="1">
      <c r="A20" s="884"/>
      <c r="B20" s="70"/>
      <c r="E20" s="66"/>
      <c r="F20" s="66"/>
      <c r="G20" s="66"/>
      <c r="H20" s="66"/>
      <c r="I20" s="66"/>
      <c r="J20" s="66"/>
      <c r="K20" s="66"/>
      <c r="L20" s="66"/>
      <c r="M20" s="66"/>
      <c r="N20" s="66"/>
      <c r="O20" s="66"/>
      <c r="P20" s="66"/>
      <c r="Q20" s="102"/>
      <c r="R20" s="66"/>
      <c r="S20" s="66"/>
      <c r="T20" s="66"/>
      <c r="U20" s="66"/>
      <c r="V20" s="66"/>
      <c r="W20" s="66"/>
      <c r="X20" s="66"/>
      <c r="Y20" s="66"/>
      <c r="Z20" s="66"/>
      <c r="AA20" s="66"/>
      <c r="AB20" s="66"/>
      <c r="AC20" s="102"/>
      <c r="AD20" s="66"/>
      <c r="AE20" s="66"/>
      <c r="AF20" s="66"/>
      <c r="AG20" s="66"/>
      <c r="AH20" s="66"/>
      <c r="AI20" s="66"/>
      <c r="AJ20" s="66"/>
      <c r="AK20" s="66"/>
      <c r="AL20" s="66"/>
      <c r="AM20" s="66"/>
      <c r="AN20" s="937"/>
      <c r="AO20" s="66"/>
      <c r="AP20" s="88"/>
      <c r="AQ20" s="938"/>
      <c r="AR20" s="938"/>
      <c r="AS20" s="66"/>
      <c r="AT20" s="66"/>
      <c r="AU20" s="66"/>
      <c r="AV20" s="66"/>
      <c r="AW20" s="66"/>
      <c r="AX20" s="66"/>
      <c r="AY20" s="66"/>
      <c r="AZ20" s="66"/>
      <c r="BA20" s="66"/>
      <c r="BB20" s="66"/>
      <c r="BC20" s="66"/>
      <c r="BD20" s="66"/>
      <c r="BE20" s="66"/>
      <c r="BF20" s="66"/>
      <c r="BG20" s="66"/>
      <c r="BH20" s="66"/>
      <c r="BI20" s="66"/>
      <c r="BJ20" s="66"/>
      <c r="BK20" s="66"/>
      <c r="BL20" s="66"/>
      <c r="BM20" s="1522"/>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873"/>
      <c r="DR20" s="873"/>
      <c r="DS20" s="873"/>
      <c r="DT20" s="873"/>
      <c r="DU20" s="873"/>
      <c r="DV20" s="873"/>
      <c r="DW20" s="873"/>
      <c r="DX20" s="873"/>
      <c r="DY20" s="873"/>
      <c r="DZ20" s="873"/>
      <c r="EA20" s="873"/>
      <c r="EB20" s="873"/>
      <c r="EC20" s="873"/>
      <c r="ED20" s="873"/>
      <c r="EE20" s="873"/>
      <c r="EF20" s="873"/>
      <c r="EH20" s="66"/>
      <c r="EI20" s="66"/>
      <c r="EJ20" s="66"/>
      <c r="EK20" s="66"/>
      <c r="EL20" s="66"/>
      <c r="EM20" s="66"/>
      <c r="EN20" s="66"/>
      <c r="EO20" s="66"/>
      <c r="EP20" s="66"/>
      <c r="EQ20" s="66"/>
      <c r="ER20" s="66"/>
      <c r="ES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D20" s="66"/>
      <c r="HE20" s="66"/>
      <c r="HF20" s="66"/>
      <c r="HG20" s="66"/>
      <c r="HH20" s="66"/>
      <c r="HI20" s="66"/>
      <c r="HJ20" s="66"/>
      <c r="HK20" s="66"/>
      <c r="HO20" s="66"/>
      <c r="HP20" s="66"/>
      <c r="HR20" s="50"/>
      <c r="HS20" s="50"/>
      <c r="HT20" s="50"/>
      <c r="HU20" s="922"/>
      <c r="HV20" s="922"/>
      <c r="HW20" s="922"/>
      <c r="HX20" s="922"/>
      <c r="HY20" s="922"/>
      <c r="HZ20" s="922"/>
      <c r="IA20" s="922" t="str">
        <f t="shared" si="17"/>
        <v/>
      </c>
      <c r="IB20" s="50"/>
      <c r="IC20" s="922" t="str">
        <f t="shared" si="19"/>
        <v/>
      </c>
      <c r="IE20" s="66"/>
      <c r="IF20" s="66"/>
      <c r="IG20" s="66"/>
      <c r="IH20" s="66"/>
      <c r="II20" s="66">
        <f t="shared" ref="II20:II51" si="100">+HJ20-HI20</f>
        <v>0</v>
      </c>
      <c r="IJ20" s="66">
        <f t="shared" ref="IJ20:IJ51" si="101">+HK20-HJ20</f>
        <v>0</v>
      </c>
      <c r="IK20" s="66">
        <f t="shared" ref="IK20:IK51" si="102">+HL20-HK20</f>
        <v>0</v>
      </c>
      <c r="IL20" s="66">
        <f t="shared" si="27"/>
        <v>0</v>
      </c>
      <c r="IM20" s="66"/>
      <c r="IN20" s="66">
        <f t="shared" si="29"/>
        <v>0</v>
      </c>
      <c r="IP20" s="50"/>
      <c r="IQ20" s="50"/>
      <c r="IR20" s="50"/>
      <c r="IS20" s="50"/>
      <c r="IT20" s="50"/>
      <c r="IU20" s="50"/>
      <c r="IV20" s="50"/>
      <c r="IW20" s="50"/>
      <c r="IX20" s="50"/>
      <c r="IY20" s="50"/>
      <c r="JA20" s="66"/>
      <c r="JB20" s="66"/>
      <c r="JC20" s="66"/>
      <c r="JD20" s="66"/>
      <c r="JE20" s="66"/>
      <c r="JF20" s="66"/>
      <c r="JG20" s="66"/>
      <c r="JH20" s="66"/>
      <c r="JI20" s="66"/>
      <c r="JJ20" s="66"/>
      <c r="JK20" s="66"/>
      <c r="JL20" s="66"/>
      <c r="JM20" s="66"/>
      <c r="JN20" s="66"/>
      <c r="JO20" s="1188"/>
      <c r="JP20" s="66">
        <f t="shared" si="41"/>
        <v>0</v>
      </c>
      <c r="JQ20" s="66">
        <f t="shared" si="42"/>
        <v>0</v>
      </c>
      <c r="JR20" s="88"/>
      <c r="JS20" s="50" t="str">
        <f t="shared" si="88"/>
        <v>NA</v>
      </c>
      <c r="JT20" s="66">
        <f t="shared" si="89"/>
        <v>0</v>
      </c>
      <c r="JV20" s="50">
        <f t="shared" si="43"/>
        <v>0</v>
      </c>
      <c r="JW20" s="50" t="str">
        <f t="shared" si="44"/>
        <v/>
      </c>
      <c r="JY20" s="50"/>
      <c r="JZ20" s="50"/>
      <c r="KA20" s="50"/>
      <c r="KB20" s="50"/>
      <c r="KC20" s="50"/>
      <c r="KD20" s="50"/>
      <c r="KE20" s="50"/>
      <c r="KF20" s="50"/>
      <c r="KH20" s="66"/>
      <c r="KI20" s="66"/>
      <c r="KJ20" s="66"/>
      <c r="KK20" s="66"/>
      <c r="KL20" s="66"/>
      <c r="KM20" s="66"/>
      <c r="KN20" s="66"/>
      <c r="KO20" s="66"/>
      <c r="KQ20" s="50"/>
      <c r="KR20" s="50"/>
      <c r="KS20" s="50"/>
      <c r="KT20" s="50"/>
      <c r="KU20" s="50"/>
      <c r="KV20" s="50"/>
      <c r="KW20" s="50"/>
      <c r="KX20" s="50"/>
      <c r="KY20" s="50"/>
      <c r="KZ20" s="50"/>
      <c r="LB20" s="66"/>
      <c r="LC20" s="66"/>
      <c r="LD20" s="66"/>
      <c r="LE20" s="66"/>
      <c r="LF20" s="66"/>
      <c r="LG20" s="66"/>
      <c r="LH20" s="66"/>
      <c r="LI20" s="66"/>
      <c r="LJ20" s="66"/>
      <c r="LK20" s="66"/>
      <c r="LL20" s="66"/>
      <c r="LM20" s="66"/>
      <c r="LN20" s="66"/>
      <c r="LO20" s="66"/>
      <c r="LR20" s="50"/>
      <c r="LS20" s="50"/>
      <c r="LT20" s="50"/>
      <c r="LU20" s="50"/>
      <c r="LV20" s="50"/>
      <c r="LW20" s="50"/>
      <c r="LX20" s="50"/>
      <c r="LZ20" s="66"/>
      <c r="MA20" s="66"/>
      <c r="MB20" s="66"/>
      <c r="MC20" s="66"/>
      <c r="MD20" s="66"/>
      <c r="ME20" s="66"/>
      <c r="MF20" s="66"/>
      <c r="MH20" s="50"/>
      <c r="MI20" s="50"/>
      <c r="MJ20" s="50"/>
      <c r="MK20" s="50"/>
      <c r="ML20" s="50"/>
      <c r="MM20" s="50"/>
      <c r="MN20" s="50"/>
      <c r="MO20" s="50"/>
      <c r="MP20" s="50"/>
    </row>
    <row r="21" spans="1:354">
      <c r="A21" s="884"/>
      <c r="B21" s="70"/>
      <c r="C21" s="1513" t="s">
        <v>65</v>
      </c>
      <c r="D21" s="1512" t="s">
        <v>59</v>
      </c>
      <c r="E21" s="1515">
        <f t="shared" ref="E21:AN21" si="103">SUM(E22:E31)</f>
        <v>-1876.344002</v>
      </c>
      <c r="F21" s="1515">
        <f t="shared" si="103"/>
        <v>-1657.1526757699994</v>
      </c>
      <c r="G21" s="1515">
        <f t="shared" si="103"/>
        <v>-1954.23225555</v>
      </c>
      <c r="H21" s="1515">
        <f t="shared" si="103"/>
        <v>-1945.3591224999996</v>
      </c>
      <c r="I21" s="1515">
        <f t="shared" si="103"/>
        <v>-1744.8587165799997</v>
      </c>
      <c r="J21" s="1515">
        <f t="shared" si="103"/>
        <v>-2372.010763400001</v>
      </c>
      <c r="K21" s="1515">
        <f t="shared" si="103"/>
        <v>-2231.4430820000011</v>
      </c>
      <c r="L21" s="1515">
        <f t="shared" si="103"/>
        <v>-1792.891263459999</v>
      </c>
      <c r="M21" s="1515">
        <f t="shared" si="103"/>
        <v>-1770.46982177</v>
      </c>
      <c r="N21" s="1515">
        <f t="shared" si="103"/>
        <v>-1471.9113394200008</v>
      </c>
      <c r="O21" s="1515">
        <f t="shared" si="103"/>
        <v>-1990.47733965</v>
      </c>
      <c r="P21" s="1515">
        <f t="shared" si="103"/>
        <v>-2109.0602694399977</v>
      </c>
      <c r="Q21" s="1515">
        <f t="shared" si="103"/>
        <v>-2264.6006395599998</v>
      </c>
      <c r="R21" s="1515">
        <f t="shared" si="103"/>
        <v>-1752.0168910400002</v>
      </c>
      <c r="S21" s="1515">
        <f t="shared" si="103"/>
        <v>-1662.8636656399997</v>
      </c>
      <c r="T21" s="1515">
        <f t="shared" si="103"/>
        <v>-2182.7728719999982</v>
      </c>
      <c r="U21" s="1515">
        <f t="shared" si="103"/>
        <v>-2092.7743762499995</v>
      </c>
      <c r="V21" s="1515">
        <f t="shared" si="103"/>
        <v>-1730.3394475600032</v>
      </c>
      <c r="W21" s="1515">
        <f t="shared" si="103"/>
        <v>-1612.6294193900012</v>
      </c>
      <c r="X21" s="1515">
        <f t="shared" si="103"/>
        <v>-1777.2850452399978</v>
      </c>
      <c r="Y21" s="1515">
        <f t="shared" si="103"/>
        <v>-1498.8909736999969</v>
      </c>
      <c r="Z21" s="1515">
        <f t="shared" si="103"/>
        <v>-1754.4030069100024</v>
      </c>
      <c r="AA21" s="1515">
        <f t="shared" si="103"/>
        <v>-1724.7912783799995</v>
      </c>
      <c r="AB21" s="1515">
        <f t="shared" si="103"/>
        <v>-2424.8931180699983</v>
      </c>
      <c r="AC21" s="1515">
        <f t="shared" si="103"/>
        <v>-1548.3303602300002</v>
      </c>
      <c r="AD21" s="1515">
        <f t="shared" si="103"/>
        <v>-1676.7299510699997</v>
      </c>
      <c r="AE21" s="1515">
        <f t="shared" si="103"/>
        <v>-1771.9694496</v>
      </c>
      <c r="AF21" s="1515">
        <f t="shared" si="103"/>
        <v>-1611.4433354599996</v>
      </c>
      <c r="AG21" s="1515">
        <f t="shared" si="103"/>
        <v>-1603.56049996</v>
      </c>
      <c r="AH21" s="1515">
        <f t="shared" si="103"/>
        <v>-1573.6733636399997</v>
      </c>
      <c r="AI21" s="1515">
        <f t="shared" si="103"/>
        <v>-1703.77773652</v>
      </c>
      <c r="AJ21" s="1515">
        <f t="shared" si="103"/>
        <v>-1875.9664800600001</v>
      </c>
      <c r="AK21" s="1515">
        <f t="shared" si="103"/>
        <v>-1657.0987809500004</v>
      </c>
      <c r="AL21" s="1515">
        <f t="shared" si="103"/>
        <v>-1988.1955200300001</v>
      </c>
      <c r="AM21" s="1515">
        <f t="shared" si="103"/>
        <v>-1982.50276841</v>
      </c>
      <c r="AN21" s="1515">
        <f t="shared" si="103"/>
        <v>-4206.6386509500007</v>
      </c>
      <c r="AO21" s="1515">
        <f>SUM(AO22:AO31)</f>
        <v>-1201.3524067200001</v>
      </c>
      <c r="AP21" s="1515">
        <f t="shared" ref="AP21:BL21" si="104">SUM(AP22:AP31)</f>
        <v>-1365.4770351600002</v>
      </c>
      <c r="AQ21" s="1515">
        <f t="shared" si="104"/>
        <v>-1122.54638028</v>
      </c>
      <c r="AR21" s="1515">
        <f t="shared" si="104"/>
        <v>-919.79053943999998</v>
      </c>
      <c r="AS21" s="1515">
        <f t="shared" si="104"/>
        <v>-1777.7238921100002</v>
      </c>
      <c r="AT21" s="1515">
        <f t="shared" si="104"/>
        <v>-1124.27646564</v>
      </c>
      <c r="AU21" s="1515">
        <f t="shared" si="104"/>
        <v>-886.66492490999985</v>
      </c>
      <c r="AV21" s="1515">
        <f t="shared" si="104"/>
        <v>-791.58499073999985</v>
      </c>
      <c r="AW21" s="1515">
        <f t="shared" si="104"/>
        <v>-915.54179320000003</v>
      </c>
      <c r="AX21" s="1515">
        <f t="shared" si="104"/>
        <v>-959.42100876999984</v>
      </c>
      <c r="AY21" s="1515">
        <f t="shared" si="104"/>
        <v>-970.18678792999992</v>
      </c>
      <c r="AZ21" s="1515">
        <f t="shared" si="104"/>
        <v>-744.69806033999976</v>
      </c>
      <c r="BA21" s="1515">
        <f t="shared" si="104"/>
        <v>-350.37521592000002</v>
      </c>
      <c r="BB21" s="1515">
        <f t="shared" si="104"/>
        <v>-550.71930070000008</v>
      </c>
      <c r="BC21" s="1515">
        <f t="shared" si="104"/>
        <v>-352.65181291000005</v>
      </c>
      <c r="BD21" s="1515">
        <f t="shared" si="104"/>
        <v>-303.35796110999996</v>
      </c>
      <c r="BE21" s="1515">
        <f t="shared" si="104"/>
        <v>-402.93740029000003</v>
      </c>
      <c r="BF21" s="1515">
        <f t="shared" si="104"/>
        <v>-596.48719266000001</v>
      </c>
      <c r="BG21" s="1515">
        <f t="shared" si="104"/>
        <v>-374.19505484000007</v>
      </c>
      <c r="BH21" s="1515">
        <f t="shared" si="104"/>
        <v>-270.25584464000002</v>
      </c>
      <c r="BI21" s="1515">
        <f t="shared" si="104"/>
        <v>-284.02517209999996</v>
      </c>
      <c r="BJ21" s="1515">
        <f t="shared" si="104"/>
        <v>-488.29468494000002</v>
      </c>
      <c r="BK21" s="1515">
        <f t="shared" si="104"/>
        <v>-466.6077019</v>
      </c>
      <c r="BL21" s="1515">
        <f t="shared" si="104"/>
        <v>-696.12919715999988</v>
      </c>
      <c r="BM21" s="1515">
        <f>SUM(BM22:BM31)</f>
        <v>-731.18417226999998</v>
      </c>
      <c r="BN21" s="1515">
        <f t="shared" ref="BN21:DY21" si="105">SUM(BN22:BN31)</f>
        <v>-722.72536294999998</v>
      </c>
      <c r="BO21" s="1515">
        <f t="shared" si="105"/>
        <v>-667.92393067000012</v>
      </c>
      <c r="BP21" s="1515">
        <f t="shared" si="105"/>
        <v>-775.80947658999992</v>
      </c>
      <c r="BQ21" s="1515">
        <f t="shared" si="105"/>
        <v>-675.17240512000001</v>
      </c>
      <c r="BR21" s="1515">
        <f t="shared" si="105"/>
        <v>-635.08392104999996</v>
      </c>
      <c r="BS21" s="1515">
        <f t="shared" si="105"/>
        <v>-732.83041006999997</v>
      </c>
      <c r="BT21" s="1515">
        <f t="shared" si="105"/>
        <v>-742.59520885999984</v>
      </c>
      <c r="BU21" s="1515">
        <f t="shared" si="105"/>
        <v>-553.23498256999994</v>
      </c>
      <c r="BV21" s="1515">
        <f t="shared" si="105"/>
        <v>-647.93485313000008</v>
      </c>
      <c r="BW21" s="1515">
        <f t="shared" si="105"/>
        <v>-736.01888019</v>
      </c>
      <c r="BX21" s="1515">
        <f t="shared" si="105"/>
        <v>-706.98460834999992</v>
      </c>
      <c r="BY21" s="1515">
        <f t="shared" si="105"/>
        <v>-706.81998206000003</v>
      </c>
      <c r="BZ21" s="1515">
        <f t="shared" si="105"/>
        <v>-727.10186700999998</v>
      </c>
      <c r="CA21" s="1515">
        <f t="shared" si="105"/>
        <v>-612.83807980999995</v>
      </c>
      <c r="CB21" s="1515">
        <f t="shared" si="105"/>
        <v>-606.97499547999996</v>
      </c>
      <c r="CC21" s="1515">
        <f t="shared" si="105"/>
        <v>-505.01884984999992</v>
      </c>
      <c r="CD21" s="1515">
        <f t="shared" si="105"/>
        <v>-616.18498879000003</v>
      </c>
      <c r="CE21" s="1515">
        <f t="shared" si="105"/>
        <v>-800.13194665000003</v>
      </c>
      <c r="CF21" s="1515">
        <f t="shared" si="105"/>
        <v>-864.28348872999993</v>
      </c>
      <c r="CG21" s="1515">
        <f t="shared" si="105"/>
        <v>-931.31570858999999</v>
      </c>
      <c r="CH21" s="1515">
        <f t="shared" si="105"/>
        <v>-1021.5246572399999</v>
      </c>
      <c r="CI21" s="1515">
        <f t="shared" si="105"/>
        <v>-1050.0185907599998</v>
      </c>
      <c r="CJ21" s="1515">
        <f t="shared" si="105"/>
        <v>-1039.0879904500002</v>
      </c>
      <c r="CK21" s="1515">
        <f t="shared" si="105"/>
        <v>-1138.5757875100001</v>
      </c>
      <c r="CL21" s="1515">
        <f t="shared" si="105"/>
        <v>-1023.9439324299999</v>
      </c>
      <c r="CM21" s="1515">
        <f t="shared" si="105"/>
        <v>-1099.1507333</v>
      </c>
      <c r="CN21" s="1515">
        <f t="shared" si="105"/>
        <v>-1082.14053831</v>
      </c>
      <c r="CO21" s="1515">
        <f t="shared" si="105"/>
        <v>-1058.2629419100001</v>
      </c>
      <c r="CP21" s="1515">
        <f t="shared" si="105"/>
        <v>-1171.1272481799999</v>
      </c>
      <c r="CQ21" s="1515">
        <f t="shared" si="105"/>
        <v>-1167.63665563</v>
      </c>
      <c r="CR21" s="1515">
        <f t="shared" si="105"/>
        <v>-1309.3484524600001</v>
      </c>
      <c r="CS21" s="1515">
        <f t="shared" si="105"/>
        <v>-1166.7183660900002</v>
      </c>
      <c r="CT21" s="1515">
        <f t="shared" si="105"/>
        <v>-1272.54003354</v>
      </c>
      <c r="CU21" s="1515">
        <f t="shared" si="105"/>
        <v>-1335.4168156699998</v>
      </c>
      <c r="CV21" s="1515">
        <f t="shared" si="105"/>
        <v>-1351.35788245</v>
      </c>
      <c r="CW21" s="1515">
        <f t="shared" si="105"/>
        <v>-1264.65353151</v>
      </c>
      <c r="CX21" s="1515">
        <f t="shared" si="105"/>
        <v>-1074.4219493500002</v>
      </c>
      <c r="CY21" s="1515">
        <f t="shared" si="105"/>
        <v>-957.06310079000002</v>
      </c>
      <c r="CZ21" s="1515">
        <f t="shared" si="105"/>
        <v>-233.07126712000002</v>
      </c>
      <c r="DA21" s="1515">
        <f t="shared" si="105"/>
        <v>-189.48939859000004</v>
      </c>
      <c r="DB21" s="1515">
        <f t="shared" si="105"/>
        <v>-375.31922624000003</v>
      </c>
      <c r="DC21" s="1515">
        <f t="shared" si="105"/>
        <v>-467.79739499999999</v>
      </c>
      <c r="DD21" s="1515">
        <f t="shared" si="105"/>
        <v>-670.43345223999995</v>
      </c>
      <c r="DE21" s="1515">
        <f t="shared" si="105"/>
        <v>-688.90767149999999</v>
      </c>
      <c r="DF21" s="1515">
        <f t="shared" si="105"/>
        <v>-765.22796818999996</v>
      </c>
      <c r="DG21" s="1515">
        <f t="shared" si="105"/>
        <v>-697.44089790999999</v>
      </c>
      <c r="DH21" s="1515">
        <f t="shared" si="105"/>
        <v>-749.35346598000012</v>
      </c>
      <c r="DI21" s="1515">
        <f t="shared" si="105"/>
        <v>-728.35875410999995</v>
      </c>
      <c r="DJ21" s="1515">
        <f t="shared" si="105"/>
        <v>-580.35648208999987</v>
      </c>
      <c r="DK21" s="1515">
        <f t="shared" si="105"/>
        <v>-653.75895646999993</v>
      </c>
      <c r="DL21" s="1515">
        <f t="shared" si="105"/>
        <v>-785.63752148999993</v>
      </c>
      <c r="DM21" s="1515">
        <f t="shared" si="105"/>
        <v>-746.38999621000005</v>
      </c>
      <c r="DN21" s="1515">
        <f t="shared" si="105"/>
        <v>-720.56650279999997</v>
      </c>
      <c r="DO21" s="1515">
        <f t="shared" si="105"/>
        <v>-824.47820650000017</v>
      </c>
      <c r="DP21" s="1515">
        <f t="shared" si="105"/>
        <v>-788.96689478999997</v>
      </c>
      <c r="DQ21" s="1516">
        <f t="shared" si="105"/>
        <v>-800.3526076600001</v>
      </c>
      <c r="DR21" s="1516">
        <f t="shared" si="105"/>
        <v>-843.08065551999994</v>
      </c>
      <c r="DS21" s="1516">
        <f t="shared" si="105"/>
        <v>-874.27371072000005</v>
      </c>
      <c r="DT21" s="1516">
        <f t="shared" si="105"/>
        <v>-1209.6515544800002</v>
      </c>
      <c r="DU21" s="1516">
        <f t="shared" si="105"/>
        <v>-1234.18532493</v>
      </c>
      <c r="DV21" s="1516">
        <f t="shared" si="105"/>
        <v>-1063.7269641200003</v>
      </c>
      <c r="DW21" s="1516">
        <f t="shared" si="105"/>
        <v>-1164.3605958099997</v>
      </c>
      <c r="DX21" s="1516">
        <f t="shared" si="105"/>
        <v>-1199.2211544100001</v>
      </c>
      <c r="DY21" s="1516">
        <f t="shared" si="105"/>
        <v>-1238.1341380199999</v>
      </c>
      <c r="DZ21" s="1516">
        <f t="shared" ref="DZ21:EF21" si="106">SUM(DZ22:DZ31)</f>
        <v>-1660.57160716</v>
      </c>
      <c r="EA21" s="1516">
        <f t="shared" si="106"/>
        <v>-1348.98058062</v>
      </c>
      <c r="EB21" s="1516">
        <f t="shared" si="106"/>
        <v>-1709.6097079400001</v>
      </c>
      <c r="EC21" s="1516">
        <f t="shared" si="106"/>
        <v>-1829.5110519799994</v>
      </c>
      <c r="ED21" s="1516">
        <f t="shared" si="106"/>
        <v>-2270.3407290699997</v>
      </c>
      <c r="EE21" s="1516">
        <f t="shared" si="106"/>
        <v>-2694.5325599100001</v>
      </c>
      <c r="EF21" s="1516">
        <f t="shared" si="106"/>
        <v>-3738.8903134000002</v>
      </c>
      <c r="EG21" s="77"/>
      <c r="EH21" s="1515">
        <f t="shared" ref="EH21:ES21" si="107">SUM(EH22:EH37)</f>
        <v>-1264.65353151</v>
      </c>
      <c r="EI21" s="1515">
        <f t="shared" si="107"/>
        <v>-1074.4162024900002</v>
      </c>
      <c r="EJ21" s="1515">
        <f t="shared" si="107"/>
        <v>-957.06310079000002</v>
      </c>
      <c r="EK21" s="1515">
        <f t="shared" si="107"/>
        <v>-233.07126712000002</v>
      </c>
      <c r="EL21" s="1515">
        <f t="shared" si="107"/>
        <v>-189.48939858999998</v>
      </c>
      <c r="EM21" s="1515">
        <f t="shared" si="107"/>
        <v>-375.31922623999998</v>
      </c>
      <c r="EN21" s="1515">
        <f t="shared" si="107"/>
        <v>-452.71010739224982</v>
      </c>
      <c r="EO21" s="1515">
        <f t="shared" si="107"/>
        <v>-561.54128882649979</v>
      </c>
      <c r="EP21" s="1515">
        <f t="shared" si="107"/>
        <v>-560.88459999724978</v>
      </c>
      <c r="EQ21" s="1515">
        <f t="shared" si="107"/>
        <v>-486.53567537649991</v>
      </c>
      <c r="ER21" s="1515">
        <f t="shared" si="107"/>
        <v>-441.44628401874996</v>
      </c>
      <c r="ES21" s="1515">
        <f t="shared" si="107"/>
        <v>-460.63020763499992</v>
      </c>
      <c r="EU21" s="1515">
        <v>-1722.1145497933335</v>
      </c>
      <c r="EV21" s="1515">
        <v>-1153.274943368787</v>
      </c>
      <c r="EW21" s="1515">
        <v>-1455.0633434531983</v>
      </c>
      <c r="EX21" s="1515">
        <v>-1373.2112623340383</v>
      </c>
      <c r="EY21" s="1515">
        <v>-1223.4179847877053</v>
      </c>
      <c r="EZ21" s="1515">
        <v>-1306.5121208398207</v>
      </c>
      <c r="FA21" s="1515">
        <v>-1756.8386417328134</v>
      </c>
      <c r="FB21" s="1515">
        <v>-1851.5739984651518</v>
      </c>
      <c r="FC21" s="1515">
        <v>-1684.0873321144527</v>
      </c>
      <c r="FD21" s="1515">
        <v>-1792.743863314972</v>
      </c>
      <c r="FE21" s="1515">
        <v>-1700.0452624272398</v>
      </c>
      <c r="FF21" s="1515">
        <v>-2155.0795151156508</v>
      </c>
      <c r="FG21" s="1515">
        <f t="shared" ref="FG21:HB21" si="108">SUM(FG22:FG37)</f>
        <v>-382.47901056226584</v>
      </c>
      <c r="FH21" s="1515">
        <f t="shared" si="108"/>
        <v>-661.72806884711076</v>
      </c>
      <c r="FI21" s="1515">
        <f t="shared" si="108"/>
        <v>-726.95161012019128</v>
      </c>
      <c r="FJ21" s="1515">
        <f t="shared" si="108"/>
        <v>-698.34972377680822</v>
      </c>
      <c r="FK21" s="1515">
        <f t="shared" si="108"/>
        <v>-733.73683098004597</v>
      </c>
      <c r="FL21" s="1515">
        <f t="shared" si="108"/>
        <v>-937.27073001717565</v>
      </c>
      <c r="FM21" s="1515">
        <f t="shared" si="108"/>
        <v>-974.56393002148548</v>
      </c>
      <c r="FN21" s="1515">
        <f t="shared" si="108"/>
        <v>-1012.7682103277299</v>
      </c>
      <c r="FO21" s="1515">
        <f t="shared" si="108"/>
        <v>-1052.895742688384</v>
      </c>
      <c r="FP21" s="1515">
        <f t="shared" si="108"/>
        <v>-1037.8393307852032</v>
      </c>
      <c r="FQ21" s="1515">
        <f t="shared" si="108"/>
        <v>-974.44946273305413</v>
      </c>
      <c r="FR21" s="1515">
        <f t="shared" si="108"/>
        <v>-722.12567584067392</v>
      </c>
      <c r="FS21" s="1515">
        <f t="shared" si="108"/>
        <v>-634.37745899999993</v>
      </c>
      <c r="FT21" s="1515">
        <f t="shared" si="108"/>
        <v>-598.89863199999991</v>
      </c>
      <c r="FU21" s="1515">
        <f t="shared" si="108"/>
        <v>-616.77478100000019</v>
      </c>
      <c r="FV21" s="1515">
        <f t="shared" si="108"/>
        <v>-567.75869699999998</v>
      </c>
      <c r="FW21" s="1515">
        <f t="shared" si="108"/>
        <v>-608.90049599999986</v>
      </c>
      <c r="FX21" s="1515">
        <f t="shared" si="108"/>
        <v>-480.00263699999994</v>
      </c>
      <c r="FY21" s="1515">
        <f t="shared" si="108"/>
        <v>-588.23819200000003</v>
      </c>
      <c r="FZ21" s="1515">
        <f t="shared" si="108"/>
        <v>-443.557526</v>
      </c>
      <c r="GA21" s="1515">
        <f t="shared" si="108"/>
        <v>-370.77814000000001</v>
      </c>
      <c r="GB21" s="1515">
        <f t="shared" si="108"/>
        <v>-351.66978599999999</v>
      </c>
      <c r="GC21" s="1515">
        <f t="shared" si="108"/>
        <v>-365.57036800000003</v>
      </c>
      <c r="GD21" s="1515">
        <f t="shared" si="108"/>
        <v>-376.04620600000004</v>
      </c>
      <c r="GE21" s="1515">
        <f t="shared" si="108"/>
        <v>-1047.9850173878076</v>
      </c>
      <c r="GF21" s="1515">
        <f t="shared" si="108"/>
        <v>-891.03759770866282</v>
      </c>
      <c r="GG21" s="1515">
        <f t="shared" si="108"/>
        <v>-844.09325786909085</v>
      </c>
      <c r="GH21" s="1515">
        <f t="shared" si="108"/>
        <v>-793.41308685304796</v>
      </c>
      <c r="GI21" s="1515">
        <f t="shared" si="108"/>
        <v>-857.24378386909075</v>
      </c>
      <c r="GJ21" s="1515">
        <f t="shared" si="108"/>
        <v>-864.51141386909092</v>
      </c>
      <c r="GK21" s="1515">
        <f t="shared" si="108"/>
        <v>-912.84215770866297</v>
      </c>
      <c r="GL21" s="1515">
        <f t="shared" si="108"/>
        <v>-918.5010627086632</v>
      </c>
      <c r="GM21" s="1515">
        <f t="shared" si="108"/>
        <v>-911.12646270866287</v>
      </c>
      <c r="GN21" s="1515">
        <f t="shared" si="108"/>
        <v>-1027.0112322273797</v>
      </c>
      <c r="GO21" s="1515">
        <f t="shared" si="108"/>
        <v>-1100.643191906524</v>
      </c>
      <c r="GP21" s="1515">
        <f t="shared" si="108"/>
        <v>-1035.0278572273794</v>
      </c>
      <c r="GQ21" s="1515">
        <f t="shared" si="108"/>
        <v>-1047.9850173878076</v>
      </c>
      <c r="GR21" s="1515">
        <f t="shared" si="108"/>
        <v>-891.03759770866282</v>
      </c>
      <c r="GS21" s="1515">
        <f t="shared" si="108"/>
        <v>-844.09325786909085</v>
      </c>
      <c r="GT21" s="1515">
        <f t="shared" si="108"/>
        <v>-793.41308685304796</v>
      </c>
      <c r="GU21" s="1515">
        <f t="shared" si="108"/>
        <v>-857.24378386909075</v>
      </c>
      <c r="GV21" s="1515">
        <f t="shared" si="108"/>
        <v>-864.51141386909092</v>
      </c>
      <c r="GW21" s="1515">
        <f t="shared" si="108"/>
        <v>-912.84215770866297</v>
      </c>
      <c r="GX21" s="1515">
        <f t="shared" si="108"/>
        <v>-918.5010627086632</v>
      </c>
      <c r="GY21" s="1515">
        <f t="shared" si="108"/>
        <v>-911.12646270866287</v>
      </c>
      <c r="GZ21" s="1515">
        <f t="shared" si="108"/>
        <v>-1027.0112322273797</v>
      </c>
      <c r="HA21" s="1515">
        <f t="shared" si="108"/>
        <v>-1100.643191906524</v>
      </c>
      <c r="HB21" s="1515">
        <f t="shared" si="108"/>
        <v>-1035.0278572273794</v>
      </c>
      <c r="HD21" s="1515">
        <f t="shared" ref="HD21:HG37" si="109">+SUMIF($E$6:$AZ$6,HD$7,$E21:$AZ21)</f>
        <v>-22916.210651539994</v>
      </c>
      <c r="HE21" s="1515">
        <f t="shared" si="109"/>
        <v>-22478.260733739993</v>
      </c>
      <c r="HF21" s="1515">
        <f t="shared" si="109"/>
        <v>-23199.886896880002</v>
      </c>
      <c r="HG21" s="1515">
        <f t="shared" si="109"/>
        <v>-12779.264285239999</v>
      </c>
      <c r="HH21" s="1515">
        <f t="shared" ref="HH21:HH37" si="110">+SUMIF($E$6:$BL$6,HH$7,$E21:$BL21)</f>
        <v>-5136.0365391699997</v>
      </c>
      <c r="HI21" s="1515">
        <f t="shared" ref="HI21:HI37" si="111">+SUMIF($E$6:$BX$6,HI$7,$E21:$BX21)</f>
        <v>-8327.4982118200005</v>
      </c>
      <c r="HJ21" s="1515">
        <f t="shared" ref="HJ21:HJ39" si="112">+SUMIF($E$6:$CJ$6,HJ$7,$E21:$CJ21)</f>
        <v>-9481.3011454199986</v>
      </c>
      <c r="HK21" s="1515">
        <f t="shared" ref="HK21:HK39" si="113">+SUMIF($E$6:$CV$6,HK$7,$E21:$CV21)</f>
        <v>-14176.21938748</v>
      </c>
      <c r="HL21" s="1516">
        <f>+SUMIF($E$6:SEW$6,HL$7,$E21:SEW21)</f>
        <v>-8133.1793244199989</v>
      </c>
      <c r="HM21" s="1516">
        <f>+SUMIF($E$6:SEX$6,HM$7,$E21:SEX21)</f>
        <v>-9555.8718428400007</v>
      </c>
      <c r="HN21" s="1516">
        <f>+SUMIF($E$6:SEY$6,HN$7,$E21:SEY21)</f>
        <v>-21152.064727370001</v>
      </c>
      <c r="HO21" s="1515"/>
      <c r="HP21" s="1515"/>
      <c r="HR21" s="1519">
        <f t="shared" ref="HR21:HR37" si="114">+IFERROR(HF21/HE21-1,"")</f>
        <v>3.210329178435245E-2</v>
      </c>
      <c r="HS21" s="1519">
        <f t="shared" ref="HS21:HS37" si="115">+IFERROR(HG21/HF21-1,"")</f>
        <v>-0.44916695749242652</v>
      </c>
      <c r="HT21" s="1519">
        <f t="shared" ref="HT21:HT37" si="116">+IFERROR(HH21/HG21-1,"")</f>
        <v>-0.59809606996686793</v>
      </c>
      <c r="HU21" s="1519">
        <f t="shared" ref="HU21:HU37" si="117">+IFERROR(HI21/HH21-1,"")</f>
        <v>0.62138609184539639</v>
      </c>
      <c r="HV21" s="1519">
        <f t="shared" ref="HV21:HV37" si="118">+IFERROR(HJ21/HI21-1,"")</f>
        <v>0.13855336912138827</v>
      </c>
      <c r="HW21" s="1519">
        <f t="shared" ref="HW21:HW37" si="119">+IFERROR(HK21/HJ21-1,"")</f>
        <v>0.49517657651111624</v>
      </c>
      <c r="HX21" s="1519">
        <f t="shared" ref="HX21:HZ37" si="120">+IFERROR(HL21/HK21-1,"")</f>
        <v>-0.42628008906218162</v>
      </c>
      <c r="HY21" s="1519">
        <f t="shared" si="120"/>
        <v>0.17492452356833499</v>
      </c>
      <c r="HZ21" s="1519">
        <f t="shared" si="120"/>
        <v>1.2135149021717746</v>
      </c>
      <c r="IA21" s="1519">
        <f t="shared" si="17"/>
        <v>-1</v>
      </c>
      <c r="IB21" s="1519" t="str">
        <f t="shared" ref="IB21:IB37" si="121">+IFERROR(HP21/HO21-1,"")</f>
        <v/>
      </c>
      <c r="IC21" s="1519">
        <f t="shared" si="19"/>
        <v>-1</v>
      </c>
      <c r="IE21" s="1515">
        <f t="shared" ref="IE21:IE37" si="122">+HF21-HE21</f>
        <v>-721.62616314000843</v>
      </c>
      <c r="IF21" s="1515">
        <f t="shared" ref="IF21:IF37" si="123">+HG21-HF21</f>
        <v>10420.622611640003</v>
      </c>
      <c r="IG21" s="1515">
        <f t="shared" ref="IG21:IG37" si="124">+HH21-HG21</f>
        <v>7643.2277460699988</v>
      </c>
      <c r="IH21" s="1515">
        <f t="shared" ref="IH21:IH37" si="125">+HI21-HH21</f>
        <v>-3191.4616726500008</v>
      </c>
      <c r="II21" s="1515">
        <f t="shared" si="100"/>
        <v>-1153.8029335999981</v>
      </c>
      <c r="IJ21" s="1515">
        <f t="shared" si="101"/>
        <v>-4694.9182420600009</v>
      </c>
      <c r="IK21" s="1515">
        <f t="shared" si="102"/>
        <v>6043.0400630600006</v>
      </c>
      <c r="IL21" s="1515">
        <f t="shared" si="27"/>
        <v>8133.1793244199989</v>
      </c>
      <c r="IM21" s="1515">
        <f t="shared" ref="IM21:IM37" si="126">+HP21-HO21</f>
        <v>0</v>
      </c>
      <c r="IN21" s="1515">
        <f t="shared" si="29"/>
        <v>8133.1793244199989</v>
      </c>
      <c r="IP21" s="1520">
        <f t="shared" ref="IP21:IW25" si="127">+HE21/HE$11</f>
        <v>-0.61156548493724927</v>
      </c>
      <c r="IQ21" s="1520">
        <f t="shared" si="127"/>
        <v>-0.58908406820671921</v>
      </c>
      <c r="IR21" s="1520">
        <f t="shared" si="127"/>
        <v>-0.75828805834754187</v>
      </c>
      <c r="IS21" s="1520">
        <f t="shared" si="127"/>
        <v>-0.83485275780929413</v>
      </c>
      <c r="IT21" s="1520">
        <f t="shared" si="127"/>
        <v>-0.61102144507691236</v>
      </c>
      <c r="IU21" s="1520">
        <f t="shared" si="127"/>
        <v>-0.67003133938031179</v>
      </c>
      <c r="IV21" s="1520">
        <f t="shared" si="127"/>
        <v>-0.66776508687044345</v>
      </c>
      <c r="IW21" s="1520">
        <f t="shared" si="127"/>
        <v>-0.64447321724862094</v>
      </c>
      <c r="IX21" s="1520" t="e">
        <f t="shared" ref="IX21:IX37" si="128">+HO21/HO$11</f>
        <v>#DIV/0!</v>
      </c>
      <c r="IY21" s="1520" t="e">
        <f t="shared" ref="IY21:IY37" si="129">+HP21/HP$11</f>
        <v>#DIV/0!</v>
      </c>
      <c r="JA21" s="1515">
        <f t="shared" si="93"/>
        <v>-22916.210651539994</v>
      </c>
      <c r="JB21" s="1515">
        <f t="shared" si="93"/>
        <v>-22478.260733739993</v>
      </c>
      <c r="JC21" s="1515">
        <f t="shared" si="93"/>
        <v>-23199.886896880002</v>
      </c>
      <c r="JD21" s="1515">
        <f t="shared" si="93"/>
        <v>-12779.264285239999</v>
      </c>
      <c r="JE21" s="1515">
        <f t="shared" si="93"/>
        <v>-5136.0365391699997</v>
      </c>
      <c r="JF21" s="1515">
        <f t="shared" si="93"/>
        <v>-8327.4982118200005</v>
      </c>
      <c r="JG21" s="1515">
        <f t="shared" si="93"/>
        <v>-9481.3011454199986</v>
      </c>
      <c r="JH21" s="1515">
        <f t="shared" si="93"/>
        <v>-14176.21938748</v>
      </c>
      <c r="JI21" s="1515">
        <f t="shared" si="93"/>
        <v>-8133.1793244199989</v>
      </c>
      <c r="JJ21" s="1515">
        <f t="shared" si="93"/>
        <v>-9555.8718428400007</v>
      </c>
      <c r="JK21" s="1515">
        <f t="shared" si="93"/>
        <v>-21152.064727370001</v>
      </c>
      <c r="JL21" s="1515">
        <f t="shared" ref="JL21:JL37" si="130">+SUMIF($DU$5:$EF$5,"&lt;="&amp;$JC$5,$DU21:$EF21)</f>
        <v>-21152.064727370001</v>
      </c>
      <c r="JM21" s="1515"/>
      <c r="JN21" s="1515"/>
      <c r="JO21" s="922"/>
      <c r="JP21" s="1515">
        <f t="shared" si="41"/>
        <v>-21152.064727370001</v>
      </c>
      <c r="JQ21" s="1515">
        <f t="shared" si="42"/>
        <v>0</v>
      </c>
      <c r="JR21" s="939"/>
      <c r="JS21" s="1519" t="str">
        <f t="shared" ref="JS21:JS37" si="131">+IFERROR(JP21/JQ21,"")</f>
        <v/>
      </c>
      <c r="JT21" s="1523">
        <f t="shared" si="89"/>
        <v>-21152.064727370001</v>
      </c>
      <c r="JV21" s="1520">
        <f t="shared" si="43"/>
        <v>-0.70059495195777788</v>
      </c>
      <c r="JW21" s="1519" t="str">
        <f t="shared" si="44"/>
        <v/>
      </c>
      <c r="JY21" s="1520">
        <f t="shared" ref="JY21:KE21" si="132">+IFERROR(JC21/JB21-1,"NA")</f>
        <v>3.210329178435245E-2</v>
      </c>
      <c r="JZ21" s="1520">
        <f t="shared" si="132"/>
        <v>-0.44916695749242652</v>
      </c>
      <c r="KA21" s="1520">
        <f t="shared" si="132"/>
        <v>-0.59809606996686793</v>
      </c>
      <c r="KB21" s="1520">
        <f t="shared" si="132"/>
        <v>0.62138609184539639</v>
      </c>
      <c r="KC21" s="1520">
        <f t="shared" si="132"/>
        <v>0.13855336912138827</v>
      </c>
      <c r="KD21" s="1520">
        <f t="shared" si="132"/>
        <v>0.49517657651111624</v>
      </c>
      <c r="KE21" s="1520">
        <f t="shared" si="132"/>
        <v>-0.42628008906218162</v>
      </c>
      <c r="KF21" s="1520">
        <f>+IFERROR(JN21/JI21-1,"NA")</f>
        <v>-1</v>
      </c>
      <c r="KH21" s="1515">
        <f t="shared" ref="KH21:KH37" si="133">+JC21-JB21</f>
        <v>-721.62616314000843</v>
      </c>
      <c r="KI21" s="1515">
        <f t="shared" ref="KI21:KI37" si="134">+JD21-JC21</f>
        <v>10420.622611640003</v>
      </c>
      <c r="KJ21" s="1515">
        <f t="shared" ref="KJ21:KJ37" si="135">+JE21-JD21</f>
        <v>7643.2277460699988</v>
      </c>
      <c r="KK21" s="1515">
        <f t="shared" ref="KK21:KK37" si="136">+JF21-JE21</f>
        <v>-3191.4616726500008</v>
      </c>
      <c r="KL21" s="1515">
        <f t="shared" ref="KL21:KL37" si="137">+JG21-JF21</f>
        <v>-1153.8029335999981</v>
      </c>
      <c r="KM21" s="1515">
        <f t="shared" ref="KM21:KM37" si="138">+JH21-JG21</f>
        <v>-4694.9182420600009</v>
      </c>
      <c r="KN21" s="1515">
        <f t="shared" ref="KN21:KN37" si="139">+JI21-JH21</f>
        <v>6043.0400630600006</v>
      </c>
      <c r="KO21" s="1515">
        <f t="shared" ref="KO21:KO37" si="140">+JN21-JI21</f>
        <v>8133.1793244199989</v>
      </c>
      <c r="KQ21" s="1520">
        <f t="shared" ref="KQ21:KQ37" si="141">+JA21/JA$11</f>
        <v>-0.63162478385879295</v>
      </c>
      <c r="KR21" s="1520">
        <f t="shared" ref="KR21:KR37" si="142">+JB21/JB$11</f>
        <v>-0.61156548493724927</v>
      </c>
      <c r="KS21" s="1520">
        <f t="shared" ref="KS21:KS37" si="143">+JC21/JC$11</f>
        <v>-0.58908406820671921</v>
      </c>
      <c r="KT21" s="1520">
        <f t="shared" ref="KT21:KT37" si="144">+JD21/JD$11</f>
        <v>-0.75828805834754187</v>
      </c>
      <c r="KU21" s="1520">
        <f t="shared" ref="KU21:KU37" si="145">+JE21/JE$11</f>
        <v>-0.83485275780929413</v>
      </c>
      <c r="KV21" s="1520">
        <f t="shared" ref="KV21:KV37" si="146">+JF21/JF$11</f>
        <v>-0.61102144507691236</v>
      </c>
      <c r="KW21" s="1520">
        <f t="shared" ref="KW21:KW37" si="147">+JG21/JG$11</f>
        <v>-0.67003133938031179</v>
      </c>
      <c r="KX21" s="1520">
        <f t="shared" ref="KX21:KX37" si="148">+JH21/JH$11</f>
        <v>-0.66776508687044345</v>
      </c>
      <c r="KY21" s="1520">
        <f t="shared" ref="KY21:KY37" si="149">+JI21/JI$11</f>
        <v>-0.64447321724862094</v>
      </c>
      <c r="KZ21" s="1520" t="e">
        <f t="shared" ref="KZ21:KZ37" si="150">+JN21/JN$11</f>
        <v>#DIV/0!</v>
      </c>
      <c r="LB21" s="1515">
        <f t="shared" ref="LB21:LM37" si="151">+SUMIFS($E21:$EG21,$E$6:$EG$6,LB$7,$E$5:$EG$5,$LD$5)</f>
        <v>-2109.0602694399977</v>
      </c>
      <c r="LC21" s="1515">
        <f t="shared" si="151"/>
        <v>-2424.8931180699983</v>
      </c>
      <c r="LD21" s="1515">
        <f t="shared" si="151"/>
        <v>-4206.6386509500007</v>
      </c>
      <c r="LE21" s="1515">
        <f t="shared" si="151"/>
        <v>-744.69806033999976</v>
      </c>
      <c r="LF21" s="1515">
        <f t="shared" si="151"/>
        <v>-696.12919715999988</v>
      </c>
      <c r="LG21" s="1515">
        <f t="shared" si="151"/>
        <v>-706.98460834999992</v>
      </c>
      <c r="LH21" s="1515">
        <f t="shared" si="151"/>
        <v>-1039.0879904500002</v>
      </c>
      <c r="LI21" s="1515">
        <f t="shared" si="151"/>
        <v>-1351.35788245</v>
      </c>
      <c r="LJ21" s="1515">
        <f t="shared" si="151"/>
        <v>-749.35346598000012</v>
      </c>
      <c r="LK21" s="1515">
        <f t="shared" si="151"/>
        <v>-1209.6515544800002</v>
      </c>
      <c r="LL21" s="1515">
        <f t="shared" si="151"/>
        <v>-3738.8903134000002</v>
      </c>
      <c r="LM21" s="1515">
        <f t="shared" si="151"/>
        <v>-3738.8903134000002</v>
      </c>
      <c r="LN21" s="1515"/>
      <c r="LO21" s="1515"/>
      <c r="LR21" s="1520">
        <f t="shared" ref="LR21:LR37" si="152">+IFERROR(LD21/LC21-1," ")</f>
        <v>0.7347728110582108</v>
      </c>
      <c r="LS21" s="1520">
        <f t="shared" ref="LS21:LS37" si="153">+IFERROR(LE21/LD21-1," ")</f>
        <v>-0.82297075595693925</v>
      </c>
      <c r="LT21" s="1520">
        <f t="shared" ref="LT21:LT37" si="154">+IFERROR(LF21/LE21-1," ")</f>
        <v>-6.521953764432431E-2</v>
      </c>
      <c r="LU21" s="1520">
        <f t="shared" ref="LU21:LU37" si="155">+IFERROR(LG21/LF21-1," ")</f>
        <v>1.559396048073669E-2</v>
      </c>
      <c r="LV21" s="1520">
        <f t="shared" ref="LV21:LV37" si="156">+IFERROR(LH21/LG21-1," ")</f>
        <v>0.46974626912328654</v>
      </c>
      <c r="LW21" s="1520">
        <f t="shared" ref="LW21:LW37" si="157">+IFERROR(LI21/LH21-1," ")</f>
        <v>0.3005230498956728</v>
      </c>
      <c r="LX21" s="1520">
        <f t="shared" ref="LX21:LX37" si="158">+IFERROR(LO21/LI21-1," ")</f>
        <v>-1</v>
      </c>
      <c r="LZ21" s="1515">
        <f t="shared" ref="LZ21:LZ37" si="159">+LD21-LC21</f>
        <v>-1781.7455328800024</v>
      </c>
      <c r="MA21" s="1515">
        <f t="shared" ref="MA21:MA37" si="160">+LE21-LD21</f>
        <v>3461.940590610001</v>
      </c>
      <c r="MB21" s="1515">
        <f t="shared" ref="MB21:MB37" si="161">+LF21-LE21</f>
        <v>48.56886317999988</v>
      </c>
      <c r="MC21" s="1515">
        <f t="shared" ref="MC21:MC37" si="162">+LG21-LF21</f>
        <v>-10.855411190000041</v>
      </c>
      <c r="MD21" s="1515">
        <f t="shared" ref="MD21:MD37" si="163">+LH21-LG21</f>
        <v>-332.10338210000032</v>
      </c>
      <c r="ME21" s="1515">
        <f t="shared" ref="ME21:ME37" si="164">+LI21-LH21</f>
        <v>-312.2698919999998</v>
      </c>
      <c r="MF21" s="1515">
        <f t="shared" ref="MF21:MF37" si="165">+LO21-LI21</f>
        <v>1351.35788245</v>
      </c>
      <c r="MH21" s="1520">
        <f t="shared" ref="MH21:MO25" si="166">+LB21/LB$11</f>
        <v>-0.70317379311549955</v>
      </c>
      <c r="MI21" s="1520">
        <f t="shared" si="166"/>
        <v>-0.43979704191824831</v>
      </c>
      <c r="MJ21" s="1520">
        <f t="shared" si="166"/>
        <v>-0.82062379781416295</v>
      </c>
      <c r="MK21" s="1520">
        <f t="shared" si="166"/>
        <v>-1.2811529874307741</v>
      </c>
      <c r="ML21" s="1520">
        <f t="shared" si="166"/>
        <v>-0.46209624120466974</v>
      </c>
      <c r="MM21" s="1520">
        <f t="shared" si="166"/>
        <v>-0.68727126038309805</v>
      </c>
      <c r="MN21" s="1520">
        <f t="shared" si="166"/>
        <v>-0.66821835009261776</v>
      </c>
      <c r="MO21" s="1520">
        <f t="shared" si="166"/>
        <v>-0.71804511009092287</v>
      </c>
      <c r="MP21" s="1520" t="e">
        <f>+LO21/LO$11</f>
        <v>#DIV/0!</v>
      </c>
    </row>
    <row r="22" spans="1:354" outlineLevel="1">
      <c r="A22" s="884">
        <v>7405</v>
      </c>
      <c r="B22" s="70" t="s">
        <v>629</v>
      </c>
      <c r="C22" s="17" t="s">
        <v>66</v>
      </c>
      <c r="D22" s="31" t="s">
        <v>59</v>
      </c>
      <c r="E22" s="924">
        <v>-1428.4799442000001</v>
      </c>
      <c r="F22" s="924">
        <v>-1165.1135199999997</v>
      </c>
      <c r="G22" s="924">
        <v>-1016.0093590000001</v>
      </c>
      <c r="H22" s="924">
        <v>-1270.7279429999999</v>
      </c>
      <c r="I22" s="924">
        <v>-1105.1101529999996</v>
      </c>
      <c r="J22" s="924">
        <v>-1276.3197050000008</v>
      </c>
      <c r="K22" s="924">
        <v>-1379.4259200000015</v>
      </c>
      <c r="L22" s="924">
        <v>-1047.383534999999</v>
      </c>
      <c r="M22" s="924">
        <v>-1152.296241</v>
      </c>
      <c r="N22" s="924">
        <v>-1146.3374445000009</v>
      </c>
      <c r="O22" s="924">
        <v>-1289.5766329199996</v>
      </c>
      <c r="P22" s="924">
        <v>-1490.3228286999984</v>
      </c>
      <c r="Q22" s="924">
        <v>-1488.24116736</v>
      </c>
      <c r="R22" s="924">
        <v>-1236.6299660500003</v>
      </c>
      <c r="S22" s="924">
        <v>-1203.3514060399998</v>
      </c>
      <c r="T22" s="924">
        <v>-1334.8159249699984</v>
      </c>
      <c r="U22" s="924">
        <v>-1261.894793909999</v>
      </c>
      <c r="V22" s="924">
        <v>-1100.9214561200033</v>
      </c>
      <c r="W22" s="924">
        <v>-1078.7046894900013</v>
      </c>
      <c r="X22" s="924">
        <v>-1133.723102609998</v>
      </c>
      <c r="Y22" s="924">
        <v>-1055.9669978499969</v>
      </c>
      <c r="Z22" s="924">
        <v>-1134.2091384800024</v>
      </c>
      <c r="AA22" s="924">
        <v>-1114.2101722099997</v>
      </c>
      <c r="AB22" s="924">
        <v>-1391.6781389599983</v>
      </c>
      <c r="AC22" s="924">
        <v>-1091.9094776899999</v>
      </c>
      <c r="AD22" s="924">
        <v>-1054.6537151999996</v>
      </c>
      <c r="AE22" s="924">
        <v>-1178.5834021000001</v>
      </c>
      <c r="AF22" s="924">
        <v>-1211.9773600699998</v>
      </c>
      <c r="AG22" s="924">
        <v>-1141.15643402</v>
      </c>
      <c r="AH22" s="924">
        <v>-1128.4934284699998</v>
      </c>
      <c r="AI22" s="924">
        <v>-1122.1178882500001</v>
      </c>
      <c r="AJ22" s="924">
        <v>-1307.5411665699999</v>
      </c>
      <c r="AK22" s="924">
        <v>-1239.0624308900003</v>
      </c>
      <c r="AL22" s="924">
        <v>-1216.7152860599999</v>
      </c>
      <c r="AM22" s="924">
        <v>-1303.5401415400004</v>
      </c>
      <c r="AN22" s="102">
        <v>-1876.5990893600001</v>
      </c>
      <c r="AO22" s="924">
        <v>-1212.84791376</v>
      </c>
      <c r="AP22" s="925">
        <v>-981.59974509000006</v>
      </c>
      <c r="AQ22" s="143">
        <v>-912.59735926999997</v>
      </c>
      <c r="AR22" s="143">
        <v>-693.71668336999994</v>
      </c>
      <c r="AS22" s="924">
        <v>-1007.2015797000001</v>
      </c>
      <c r="AT22" s="924">
        <v>-844.89326065</v>
      </c>
      <c r="AU22" s="924">
        <v>-653.71802165999998</v>
      </c>
      <c r="AV22" s="924">
        <v>-653.06712901000003</v>
      </c>
      <c r="AW22" s="924">
        <v>-584.62742643000001</v>
      </c>
      <c r="AX22" s="924">
        <v>-637.16741366999986</v>
      </c>
      <c r="AY22" s="924">
        <v>-665.06385599999999</v>
      </c>
      <c r="AZ22" s="924">
        <v>-552.68313618999991</v>
      </c>
      <c r="BA22" s="102">
        <v>-273.50406575</v>
      </c>
      <c r="BB22" s="102">
        <v>-339.48502336000001</v>
      </c>
      <c r="BC22" s="102">
        <v>-263.71064826000003</v>
      </c>
      <c r="BD22" s="102">
        <v>-214.02001539</v>
      </c>
      <c r="BE22" s="924">
        <v>-289.68414356</v>
      </c>
      <c r="BF22" s="924">
        <v>-551.17423174999999</v>
      </c>
      <c r="BG22" s="924">
        <v>-253.67744385999998</v>
      </c>
      <c r="BH22" s="924">
        <v>-235.20167743000002</v>
      </c>
      <c r="BI22" s="924">
        <v>-239.64778206</v>
      </c>
      <c r="BJ22" s="924">
        <v>-245.25389409000002</v>
      </c>
      <c r="BK22" s="102">
        <v>-364.22982601999996</v>
      </c>
      <c r="BL22" s="102">
        <v>-315.58988805000001</v>
      </c>
      <c r="BM22" s="102">
        <v>-520.91652350000004</v>
      </c>
      <c r="BN22" s="102">
        <v>-451.98688994000003</v>
      </c>
      <c r="BO22" s="102">
        <v>-447.75257727000002</v>
      </c>
      <c r="BP22" s="102">
        <v>-543.90587762999996</v>
      </c>
      <c r="BQ22" s="924">
        <v>-439.42869340000004</v>
      </c>
      <c r="BR22" s="924">
        <v>-438.94840569000002</v>
      </c>
      <c r="BS22" s="924">
        <v>-494.42836240999998</v>
      </c>
      <c r="BT22" s="924">
        <v>-525.35773413999993</v>
      </c>
      <c r="BU22" s="924">
        <v>-409.87662475000002</v>
      </c>
      <c r="BV22" s="924">
        <v>-471.42553591000006</v>
      </c>
      <c r="BW22" s="102">
        <v>-542.21240229</v>
      </c>
      <c r="BX22" s="102">
        <v>-524.20635630999993</v>
      </c>
      <c r="BY22" s="102">
        <v>-493.63856786000002</v>
      </c>
      <c r="BZ22" s="102">
        <v>-522.47544647999996</v>
      </c>
      <c r="CA22" s="102">
        <v>-436.83433456999995</v>
      </c>
      <c r="CB22" s="102">
        <v>-412.24712489999996</v>
      </c>
      <c r="CC22" s="102">
        <v>-380.14663364999996</v>
      </c>
      <c r="CD22" s="102">
        <v>-442.86788484999994</v>
      </c>
      <c r="CE22" s="102">
        <v>-545.85737967999989</v>
      </c>
      <c r="CF22" s="102">
        <v>-607.79651777999993</v>
      </c>
      <c r="CG22" s="102">
        <v>-605.23871501999997</v>
      </c>
      <c r="CH22" s="102">
        <v>-674.31774335</v>
      </c>
      <c r="CI22" s="102">
        <v>-660.4629228</v>
      </c>
      <c r="CJ22" s="102">
        <v>-715.46802622000007</v>
      </c>
      <c r="CK22" s="102">
        <v>-720.40207732999988</v>
      </c>
      <c r="CL22" s="102">
        <v>-620.86464543</v>
      </c>
      <c r="CM22" s="102">
        <v>-722.1410527999999</v>
      </c>
      <c r="CN22" s="102">
        <v>-701.50968670000009</v>
      </c>
      <c r="CO22" s="102">
        <v>-708.51985689000003</v>
      </c>
      <c r="CP22" s="102">
        <v>-772.24711439000009</v>
      </c>
      <c r="CQ22" s="102">
        <v>-758.49905866000006</v>
      </c>
      <c r="CR22" s="102">
        <v>-771.32144350999999</v>
      </c>
      <c r="CS22" s="102">
        <v>-758.98774771000001</v>
      </c>
      <c r="CT22" s="102">
        <v>-801.37444459000005</v>
      </c>
      <c r="CU22" s="102">
        <v>-767.81090780999989</v>
      </c>
      <c r="CV22" s="102">
        <v>-896.83419391000007</v>
      </c>
      <c r="CW22" s="102">
        <v>-759.27582700000005</v>
      </c>
      <c r="CX22" s="102">
        <v>-669.60146386000008</v>
      </c>
      <c r="CY22" s="102">
        <v>-626.60759700000006</v>
      </c>
      <c r="CZ22" s="102">
        <v>-168.42519999999999</v>
      </c>
      <c r="DA22" s="102">
        <v>-157.41386499999999</v>
      </c>
      <c r="DB22" s="102">
        <v>-207.958213</v>
      </c>
      <c r="DC22" s="102">
        <v>-315.75372099999998</v>
      </c>
      <c r="DD22" s="102">
        <v>-357.72998000000001</v>
      </c>
      <c r="DE22" s="102">
        <v>-381.22316599999999</v>
      </c>
      <c r="DF22" s="102">
        <v>-357.03950300000002</v>
      </c>
      <c r="DG22" s="102">
        <v>-402.11645073</v>
      </c>
      <c r="DH22" s="102">
        <v>-419.53460033000005</v>
      </c>
      <c r="DI22" s="102">
        <v>-422.11999474999999</v>
      </c>
      <c r="DJ22" s="102">
        <v>-369.20315063999999</v>
      </c>
      <c r="DK22" s="102">
        <v>-368.59895599999999</v>
      </c>
      <c r="DL22" s="102">
        <v>-410.06698544</v>
      </c>
      <c r="DM22" s="102">
        <v>-486.66759500000001</v>
      </c>
      <c r="DN22" s="102">
        <v>-491.66031800000002</v>
      </c>
      <c r="DO22" s="102">
        <v>-489.95595234000001</v>
      </c>
      <c r="DP22" s="102">
        <v>-478.62828500000001</v>
      </c>
      <c r="DQ22" s="940">
        <v>-479.89920799999999</v>
      </c>
      <c r="DR22" s="940">
        <v>-509.06246499999997</v>
      </c>
      <c r="DS22" s="940">
        <v>-544.46613300000001</v>
      </c>
      <c r="DT22" s="940">
        <v>-661.92078900000001</v>
      </c>
      <c r="DU22" s="940">
        <v>-731.16017799999997</v>
      </c>
      <c r="DV22" s="940">
        <v>-695.74788599999999</v>
      </c>
      <c r="DW22" s="940">
        <v>-773.29324599999995</v>
      </c>
      <c r="DX22" s="940">
        <v>-773.97290499999997</v>
      </c>
      <c r="DY22" s="940">
        <v>-778.55841599999997</v>
      </c>
      <c r="DZ22" s="940">
        <v>-816.21431299999995</v>
      </c>
      <c r="EA22" s="940">
        <v>-840.61992399999997</v>
      </c>
      <c r="EB22" s="940">
        <v>-949.82106599999997</v>
      </c>
      <c r="EC22" s="940">
        <v>-1008.66845299</v>
      </c>
      <c r="ED22" s="940">
        <v>-1277.7789479999999</v>
      </c>
      <c r="EE22" s="940">
        <v>-1275.182411</v>
      </c>
      <c r="EF22" s="940">
        <v>-1172.80806444</v>
      </c>
      <c r="EH22" s="102">
        <v>-759.27582700000016</v>
      </c>
      <c r="EI22" s="102">
        <v>-669.59571700000004</v>
      </c>
      <c r="EJ22" s="102">
        <v>-626.60759700000006</v>
      </c>
      <c r="EK22" s="102">
        <v>-168.42519999999999</v>
      </c>
      <c r="EL22" s="102">
        <v>-157.41386499999999</v>
      </c>
      <c r="EM22" s="102">
        <v>-207.958213</v>
      </c>
      <c r="EN22" s="102">
        <v>-352.49357263999991</v>
      </c>
      <c r="EO22" s="102">
        <v>-405.34157263999992</v>
      </c>
      <c r="EP22" s="102">
        <v>-407.37357263999991</v>
      </c>
      <c r="EQ22" s="102">
        <v>-361.40557263999995</v>
      </c>
      <c r="ER22" s="102">
        <v>-336.70157263999994</v>
      </c>
      <c r="ES22" s="102">
        <v>-336.70157263999994</v>
      </c>
      <c r="EU22" s="924">
        <v>-1388.9279641400001</v>
      </c>
      <c r="EV22" s="924">
        <v>-914.65161484378712</v>
      </c>
      <c r="EW22" s="924">
        <v>-1093.5415286415314</v>
      </c>
      <c r="EX22" s="924">
        <v>-910.40569990237191</v>
      </c>
      <c r="EY22" s="924">
        <v>-807.24419259437184</v>
      </c>
      <c r="EZ22" s="924">
        <v>-857.21489174148746</v>
      </c>
      <c r="FA22" s="924">
        <v>-843.11518003333333</v>
      </c>
      <c r="FB22" s="924">
        <v>-1046.8595597813382</v>
      </c>
      <c r="FC22" s="924">
        <v>-993.3066410506392</v>
      </c>
      <c r="FD22" s="924">
        <v>-1057.4197353461586</v>
      </c>
      <c r="FE22" s="924">
        <v>-1016.1145713634263</v>
      </c>
      <c r="FF22" s="924">
        <v>-1379.4052835751704</v>
      </c>
      <c r="FG22" s="924">
        <v>-267.42457164181877</v>
      </c>
      <c r="FH22" s="924">
        <v>-450.30909480299283</v>
      </c>
      <c r="FI22" s="924">
        <v>-478.400190390153</v>
      </c>
      <c r="FJ22" s="924">
        <v>-460.97162779009801</v>
      </c>
      <c r="FK22" s="924">
        <v>-502.4769243270066</v>
      </c>
      <c r="FL22" s="924">
        <v>-642.91280833513792</v>
      </c>
      <c r="FM22" s="924">
        <v>-664.8440848189573</v>
      </c>
      <c r="FN22" s="924">
        <v>-702.77229121143409</v>
      </c>
      <c r="FO22" s="924">
        <v>-715.44394972745954</v>
      </c>
      <c r="FP22" s="924">
        <v>-727.80373866493733</v>
      </c>
      <c r="FQ22" s="924">
        <v>-661.34285273452724</v>
      </c>
      <c r="FR22" s="924">
        <v>-500.39753188361203</v>
      </c>
      <c r="FS22" s="924">
        <v>-366.35020400000002</v>
      </c>
      <c r="FT22" s="924">
        <v>-353.09926400000001</v>
      </c>
      <c r="FU22" s="924">
        <v>-368.35002400000002</v>
      </c>
      <c r="FV22" s="924">
        <v>-340.40722399999999</v>
      </c>
      <c r="FW22" s="924">
        <v>-363.37410399999999</v>
      </c>
      <c r="FX22" s="924">
        <v>-294.28850399999999</v>
      </c>
      <c r="FY22" s="924">
        <v>-344.84842400000002</v>
      </c>
      <c r="FZ22" s="924">
        <v>-257.65486399999998</v>
      </c>
      <c r="GA22" s="924">
        <v>-228.401804</v>
      </c>
      <c r="GB22" s="924">
        <v>-202.00180399999999</v>
      </c>
      <c r="GC22" s="924">
        <v>-215.20180400000001</v>
      </c>
      <c r="GD22" s="924">
        <v>-202.00180399999999</v>
      </c>
      <c r="GE22" s="102">
        <v>-651.92156238780763</v>
      </c>
      <c r="GF22" s="102">
        <v>-599.31914270866309</v>
      </c>
      <c r="GG22" s="102">
        <v>-586.82961286909085</v>
      </c>
      <c r="GH22" s="102">
        <v>-561.23370185304805</v>
      </c>
      <c r="GI22" s="102">
        <v>-587.25105286909081</v>
      </c>
      <c r="GJ22" s="102">
        <v>-586.39153286909084</v>
      </c>
      <c r="GK22" s="102">
        <v>-599.31914270866309</v>
      </c>
      <c r="GL22" s="102">
        <v>-600.33578270866315</v>
      </c>
      <c r="GM22" s="102">
        <v>-599.74058270866306</v>
      </c>
      <c r="GN22" s="102">
        <v>-683.17717222737963</v>
      </c>
      <c r="GO22" s="102">
        <v>-742.32871190652395</v>
      </c>
      <c r="GP22" s="102">
        <v>-684.60917222737942</v>
      </c>
      <c r="GQ22" s="102">
        <v>-651.92156238780763</v>
      </c>
      <c r="GR22" s="102">
        <v>-599.31914270866309</v>
      </c>
      <c r="GS22" s="102">
        <v>-586.82961286909085</v>
      </c>
      <c r="GT22" s="102">
        <v>-561.23370185304805</v>
      </c>
      <c r="GU22" s="102">
        <v>-587.25105286909081</v>
      </c>
      <c r="GV22" s="102">
        <v>-586.39153286909084</v>
      </c>
      <c r="GW22" s="102">
        <v>-599.31914270866309</v>
      </c>
      <c r="GX22" s="102">
        <v>-600.33578270866315</v>
      </c>
      <c r="GY22" s="102">
        <v>-599.74058270866306</v>
      </c>
      <c r="GZ22" s="102">
        <v>-683.17717222737963</v>
      </c>
      <c r="HA22" s="102">
        <v>-742.32871190652395</v>
      </c>
      <c r="HB22" s="102">
        <v>-684.60917222737942</v>
      </c>
      <c r="HD22" s="924">
        <f t="shared" si="109"/>
        <v>-14767.10322632</v>
      </c>
      <c r="HE22" s="924">
        <f t="shared" si="109"/>
        <v>-14534.346954049997</v>
      </c>
      <c r="HF22" s="924">
        <f t="shared" si="109"/>
        <v>-14872.349820220003</v>
      </c>
      <c r="HG22" s="924">
        <f t="shared" si="109"/>
        <v>-9399.1835248000007</v>
      </c>
      <c r="HH22" s="924">
        <f t="shared" si="110"/>
        <v>-3585.1786395799995</v>
      </c>
      <c r="HI22" s="924">
        <f t="shared" si="111"/>
        <v>-5810.4459832399998</v>
      </c>
      <c r="HJ22" s="924">
        <f t="shared" si="112"/>
        <v>-6497.3512971600003</v>
      </c>
      <c r="HK22" s="924">
        <f t="shared" si="113"/>
        <v>-9000.5122297300004</v>
      </c>
      <c r="HL22" s="960">
        <f>+SUMIF($E$6:SEW$6,HL$7,$E22:SEW22)</f>
        <v>-4822.6795869200005</v>
      </c>
      <c r="HM22" s="960">
        <f>+SUMIF($E$6:SEX$6,HM$7,$E22:SEX22)</f>
        <v>-5712.2498321699995</v>
      </c>
      <c r="HN22" s="960">
        <f>+SUMIF($E$6:SEY$6,HN$7,$E22:SEY22)</f>
        <v>-11093.825810429998</v>
      </c>
      <c r="HO22" s="924"/>
      <c r="HP22" s="924"/>
      <c r="HR22" s="927">
        <f t="shared" si="114"/>
        <v>2.3255456006285868E-2</v>
      </c>
      <c r="HS22" s="927">
        <f t="shared" si="115"/>
        <v>-0.36800951844064667</v>
      </c>
      <c r="HT22" s="927">
        <f t="shared" si="116"/>
        <v>-0.61856488596904091</v>
      </c>
      <c r="HU22" s="927">
        <f t="shared" si="117"/>
        <v>0.62068520633624225</v>
      </c>
      <c r="HV22" s="927">
        <f t="shared" si="118"/>
        <v>0.11821903445989368</v>
      </c>
      <c r="HW22" s="927">
        <f t="shared" si="119"/>
        <v>0.38525867204750575</v>
      </c>
      <c r="HX22" s="927">
        <f t="shared" si="120"/>
        <v>-0.46417720860486267</v>
      </c>
      <c r="HY22" s="927">
        <f t="shared" si="120"/>
        <v>0.18445559760235319</v>
      </c>
      <c r="HZ22" s="927">
        <f t="shared" si="120"/>
        <v>0.94211145106999239</v>
      </c>
      <c r="IA22" s="927">
        <f t="shared" si="17"/>
        <v>-1</v>
      </c>
      <c r="IB22" s="927" t="str">
        <f t="shared" si="121"/>
        <v/>
      </c>
      <c r="IC22" s="927">
        <f t="shared" si="19"/>
        <v>-1</v>
      </c>
      <c r="IE22" s="924">
        <f t="shared" si="122"/>
        <v>-338.00286617000529</v>
      </c>
      <c r="IF22" s="924">
        <f t="shared" si="123"/>
        <v>5473.1662954200019</v>
      </c>
      <c r="IG22" s="924">
        <f t="shared" si="124"/>
        <v>5814.0048852200016</v>
      </c>
      <c r="IH22" s="924">
        <f t="shared" si="125"/>
        <v>-2225.2673436600003</v>
      </c>
      <c r="II22" s="924">
        <f t="shared" si="100"/>
        <v>-686.90531392000048</v>
      </c>
      <c r="IJ22" s="924">
        <f t="shared" si="101"/>
        <v>-2503.1609325700001</v>
      </c>
      <c r="IK22" s="924">
        <f t="shared" si="102"/>
        <v>4177.8326428099999</v>
      </c>
      <c r="IL22" s="924">
        <f t="shared" si="27"/>
        <v>4822.6795869200005</v>
      </c>
      <c r="IM22" s="924">
        <f t="shared" si="126"/>
        <v>0</v>
      </c>
      <c r="IN22" s="924">
        <f t="shared" si="29"/>
        <v>4822.6795869200005</v>
      </c>
      <c r="IP22" s="76">
        <f t="shared" si="127"/>
        <v>-0.39543561881804423</v>
      </c>
      <c r="IQ22" s="76">
        <f t="shared" si="127"/>
        <v>-0.377633924459644</v>
      </c>
      <c r="IR22" s="76">
        <f t="shared" si="127"/>
        <v>-0.55772292253982014</v>
      </c>
      <c r="IS22" s="76">
        <f t="shared" si="127"/>
        <v>-0.58276382024650275</v>
      </c>
      <c r="IT22" s="76">
        <f t="shared" si="127"/>
        <v>-0.42633537839508162</v>
      </c>
      <c r="IU22" s="76">
        <f t="shared" si="127"/>
        <v>-0.45915944713595264</v>
      </c>
      <c r="IV22" s="76">
        <f t="shared" si="127"/>
        <v>-0.42396549225756136</v>
      </c>
      <c r="IW22" s="76">
        <f t="shared" si="127"/>
        <v>-0.3821491824002331</v>
      </c>
      <c r="IX22" s="76" t="e">
        <f t="shared" si="128"/>
        <v>#DIV/0!</v>
      </c>
      <c r="IY22" s="76" t="e">
        <f t="shared" si="129"/>
        <v>#DIV/0!</v>
      </c>
      <c r="JA22" s="924">
        <f t="shared" si="93"/>
        <v>-14767.10322632</v>
      </c>
      <c r="JB22" s="924">
        <f t="shared" si="93"/>
        <v>-14534.346954049997</v>
      </c>
      <c r="JC22" s="924">
        <f t="shared" si="93"/>
        <v>-14872.349820220003</v>
      </c>
      <c r="JD22" s="924">
        <f t="shared" si="93"/>
        <v>-9399.1835248000007</v>
      </c>
      <c r="JE22" s="924">
        <f t="shared" si="93"/>
        <v>-3585.1786395799995</v>
      </c>
      <c r="JF22" s="924">
        <f t="shared" si="93"/>
        <v>-5810.4459832399998</v>
      </c>
      <c r="JG22" s="924">
        <f t="shared" si="93"/>
        <v>-6497.3512971600003</v>
      </c>
      <c r="JH22" s="924">
        <f t="shared" si="93"/>
        <v>-9000.5122297300004</v>
      </c>
      <c r="JI22" s="924">
        <f t="shared" si="93"/>
        <v>-4822.6795869200005</v>
      </c>
      <c r="JJ22" s="924">
        <f t="shared" si="93"/>
        <v>-5712.2498321699995</v>
      </c>
      <c r="JK22" s="924">
        <f t="shared" si="93"/>
        <v>-11093.825810429998</v>
      </c>
      <c r="JL22" s="924">
        <f t="shared" si="130"/>
        <v>-11093.825810429998</v>
      </c>
      <c r="JM22" s="924"/>
      <c r="JN22" s="924"/>
      <c r="JO22" s="922">
        <f t="shared" ref="JO22:JO31" si="167">+JJ22/JI22-1</f>
        <v>0.18445559760235319</v>
      </c>
      <c r="JP22" s="924">
        <f t="shared" si="41"/>
        <v>-11093.825810429998</v>
      </c>
      <c r="JQ22" s="924">
        <f t="shared" si="42"/>
        <v>0</v>
      </c>
      <c r="JR22" s="145"/>
      <c r="JS22" s="927" t="str">
        <f t="shared" si="131"/>
        <v/>
      </c>
      <c r="JT22" s="928">
        <f t="shared" si="89"/>
        <v>-11093.825810429998</v>
      </c>
      <c r="JV22" s="76">
        <f t="shared" si="43"/>
        <v>-0.36744773906771933</v>
      </c>
      <c r="JW22" s="927" t="str">
        <f t="shared" si="44"/>
        <v/>
      </c>
      <c r="JY22" s="927">
        <f t="shared" ref="JY22:JY37" si="168">+IFERROR(JC22/JB22-1,"")</f>
        <v>2.3255456006285868E-2</v>
      </c>
      <c r="JZ22" s="927">
        <f t="shared" ref="JZ22:JZ37" si="169">+IFERROR(JD22/JC22-1,"")</f>
        <v>-0.36800951844064667</v>
      </c>
      <c r="KA22" s="927">
        <f t="shared" ref="KA22:KA37" si="170">+IFERROR(JE22/JD22-1,"")</f>
        <v>-0.61856488596904091</v>
      </c>
      <c r="KB22" s="927">
        <f t="shared" ref="KB22:KB37" si="171">+IFERROR(JF22/JE22-1,"")</f>
        <v>0.62068520633624225</v>
      </c>
      <c r="KC22" s="927">
        <f t="shared" ref="KC22:KC37" si="172">+IFERROR(JG22/JF22-1,"")</f>
        <v>0.11821903445989368</v>
      </c>
      <c r="KD22" s="927">
        <f t="shared" ref="KD22:KD37" si="173">+IFERROR(JH22/JG22-1,"")</f>
        <v>0.38525867204750575</v>
      </c>
      <c r="KE22" s="927">
        <f t="shared" ref="KE22:KE37" si="174">+IFERROR(JI22/JH22-1,"")</f>
        <v>-0.46417720860486267</v>
      </c>
      <c r="KF22" s="927">
        <f t="shared" ref="KF22:KF37" si="175">+IFERROR(JN22/JI22-1,"")</f>
        <v>-1</v>
      </c>
      <c r="KH22" s="924">
        <f t="shared" si="133"/>
        <v>-338.00286617000529</v>
      </c>
      <c r="KI22" s="924">
        <f t="shared" si="134"/>
        <v>5473.1662954200019</v>
      </c>
      <c r="KJ22" s="924">
        <f t="shared" si="135"/>
        <v>5814.0048852200016</v>
      </c>
      <c r="KK22" s="924">
        <f t="shared" si="136"/>
        <v>-2225.2673436600003</v>
      </c>
      <c r="KL22" s="924">
        <f t="shared" si="137"/>
        <v>-686.90531392000048</v>
      </c>
      <c r="KM22" s="924">
        <f t="shared" si="138"/>
        <v>-2503.1609325700001</v>
      </c>
      <c r="KN22" s="924">
        <f t="shared" si="139"/>
        <v>4177.8326428099999</v>
      </c>
      <c r="KO22" s="924">
        <f t="shared" si="140"/>
        <v>4822.6795869200005</v>
      </c>
      <c r="KQ22" s="76">
        <f t="shared" si="141"/>
        <v>-0.40701617406881579</v>
      </c>
      <c r="KR22" s="76">
        <f t="shared" si="142"/>
        <v>-0.39543561881804423</v>
      </c>
      <c r="KS22" s="76">
        <f t="shared" si="143"/>
        <v>-0.377633924459644</v>
      </c>
      <c r="KT22" s="76">
        <f t="shared" si="144"/>
        <v>-0.55772292253982014</v>
      </c>
      <c r="KU22" s="76">
        <f t="shared" si="145"/>
        <v>-0.58276382024650275</v>
      </c>
      <c r="KV22" s="76">
        <f t="shared" si="146"/>
        <v>-0.42633537839508162</v>
      </c>
      <c r="KW22" s="76">
        <f t="shared" si="147"/>
        <v>-0.45915944713595264</v>
      </c>
      <c r="KX22" s="76">
        <f t="shared" si="148"/>
        <v>-0.42396549225756136</v>
      </c>
      <c r="KY22" s="76">
        <f t="shared" si="149"/>
        <v>-0.3821491824002331</v>
      </c>
      <c r="KZ22" s="76" t="e">
        <f t="shared" si="150"/>
        <v>#DIV/0!</v>
      </c>
      <c r="LB22" s="924">
        <f t="shared" si="151"/>
        <v>-1490.3228286999984</v>
      </c>
      <c r="LC22" s="924">
        <f t="shared" si="151"/>
        <v>-1391.6781389599983</v>
      </c>
      <c r="LD22" s="924">
        <f t="shared" si="151"/>
        <v>-1876.5990893600001</v>
      </c>
      <c r="LE22" s="924">
        <f t="shared" si="151"/>
        <v>-552.68313618999991</v>
      </c>
      <c r="LF22" s="924">
        <f t="shared" si="151"/>
        <v>-315.58988805000001</v>
      </c>
      <c r="LG22" s="924">
        <f t="shared" si="151"/>
        <v>-524.20635630999993</v>
      </c>
      <c r="LH22" s="924">
        <f t="shared" si="151"/>
        <v>-715.46802622000007</v>
      </c>
      <c r="LI22" s="924">
        <f t="shared" si="151"/>
        <v>-896.83419391000007</v>
      </c>
      <c r="LJ22" s="924">
        <f t="shared" si="151"/>
        <v>-419.53460033000005</v>
      </c>
      <c r="LK22" s="924">
        <f t="shared" si="151"/>
        <v>-661.92078900000001</v>
      </c>
      <c r="LL22" s="924">
        <f t="shared" si="151"/>
        <v>-1172.80806444</v>
      </c>
      <c r="LM22" s="924">
        <f t="shared" si="151"/>
        <v>-1172.80806444</v>
      </c>
      <c r="LN22" s="924"/>
      <c r="LO22" s="924"/>
      <c r="LR22" s="76">
        <f t="shared" si="152"/>
        <v>0.34844331948936369</v>
      </c>
      <c r="LS22" s="76">
        <f t="shared" si="153"/>
        <v>-0.70548683556140468</v>
      </c>
      <c r="LT22" s="76">
        <f t="shared" si="154"/>
        <v>-0.42898585575531767</v>
      </c>
      <c r="LU22" s="76">
        <f t="shared" si="155"/>
        <v>0.66103660528865893</v>
      </c>
      <c r="LV22" s="76">
        <f t="shared" si="156"/>
        <v>0.36485950162133052</v>
      </c>
      <c r="LW22" s="76">
        <f t="shared" si="157"/>
        <v>0.25349304377472137</v>
      </c>
      <c r="LX22" s="76">
        <f t="shared" si="158"/>
        <v>-1</v>
      </c>
      <c r="LZ22" s="924">
        <f t="shared" si="159"/>
        <v>-484.92095040000186</v>
      </c>
      <c r="MA22" s="924">
        <f t="shared" si="160"/>
        <v>1323.9159531700002</v>
      </c>
      <c r="MB22" s="924">
        <f t="shared" si="161"/>
        <v>237.0932481399999</v>
      </c>
      <c r="MC22" s="924">
        <f t="shared" si="162"/>
        <v>-208.61646825999992</v>
      </c>
      <c r="MD22" s="924">
        <f t="shared" si="163"/>
        <v>-191.26166991000014</v>
      </c>
      <c r="ME22" s="924">
        <f t="shared" si="164"/>
        <v>-181.36616769</v>
      </c>
      <c r="MF22" s="924">
        <f t="shared" si="165"/>
        <v>896.83419391000007</v>
      </c>
      <c r="MH22" s="76">
        <f t="shared" si="166"/>
        <v>-0.49688288742068726</v>
      </c>
      <c r="MI22" s="76">
        <f t="shared" si="166"/>
        <v>-0.25240532222056983</v>
      </c>
      <c r="MJ22" s="76">
        <f t="shared" si="166"/>
        <v>-0.36608370707986132</v>
      </c>
      <c r="MK22" s="76">
        <f t="shared" si="166"/>
        <v>-0.95081710124120666</v>
      </c>
      <c r="ML22" s="76">
        <f t="shared" si="166"/>
        <v>-0.20949114277214975</v>
      </c>
      <c r="MM22" s="76">
        <f t="shared" si="166"/>
        <v>-0.50958954261087497</v>
      </c>
      <c r="MN22" s="76">
        <f t="shared" si="166"/>
        <v>-0.46010431110622613</v>
      </c>
      <c r="MO22" s="76">
        <f t="shared" si="166"/>
        <v>-0.47653357845658378</v>
      </c>
      <c r="MP22" s="76" t="e">
        <f>+LO22/LO$11</f>
        <v>#DIV/0!</v>
      </c>
    </row>
    <row r="23" spans="1:354" outlineLevel="1">
      <c r="A23" s="884">
        <v>7410</v>
      </c>
      <c r="B23" s="70" t="s">
        <v>630</v>
      </c>
      <c r="C23" s="17" t="s">
        <v>67</v>
      </c>
      <c r="D23" s="31" t="s">
        <v>59</v>
      </c>
      <c r="E23" s="102">
        <v>-21.8445</v>
      </c>
      <c r="F23" s="102">
        <v>-23.0733</v>
      </c>
      <c r="G23" s="102">
        <v>-13.936999999999998</v>
      </c>
      <c r="H23" s="102">
        <v>-24.186999999999998</v>
      </c>
      <c r="I23" s="102">
        <v>-13.045424000000011</v>
      </c>
      <c r="J23" s="102">
        <v>-42.645133999999999</v>
      </c>
      <c r="K23" s="102">
        <v>-27.515423999999996</v>
      </c>
      <c r="L23" s="102">
        <v>-30.281134000000009</v>
      </c>
      <c r="M23" s="102">
        <v>-28.765133999999989</v>
      </c>
      <c r="N23" s="102">
        <v>-28.690424000000007</v>
      </c>
      <c r="O23" s="102">
        <v>-22.99042399999999</v>
      </c>
      <c r="P23" s="102">
        <v>-23.190424000000007</v>
      </c>
      <c r="Q23" s="102">
        <v>-30.640134</v>
      </c>
      <c r="R23" s="102">
        <v>-26.692024</v>
      </c>
      <c r="S23" s="102">
        <v>-26.987454399999997</v>
      </c>
      <c r="T23" s="102">
        <v>-22.566472930000003</v>
      </c>
      <c r="U23" s="102">
        <v>-22.236656789999998</v>
      </c>
      <c r="V23" s="102">
        <v>-22.989948620000007</v>
      </c>
      <c r="W23" s="102">
        <v>-14.014119040000026</v>
      </c>
      <c r="X23" s="102">
        <v>-14.016320599999972</v>
      </c>
      <c r="Y23" s="102">
        <v>-14.037748999999963</v>
      </c>
      <c r="Z23" s="102">
        <v>-16.520798939999992</v>
      </c>
      <c r="AA23" s="102">
        <v>-15.32528099000001</v>
      </c>
      <c r="AB23" s="102">
        <v>-14.016255610000002</v>
      </c>
      <c r="AC23" s="102">
        <v>-14.410681</v>
      </c>
      <c r="AD23" s="102">
        <v>-21.174334000000002</v>
      </c>
      <c r="AE23" s="102">
        <v>-14.344476580000002</v>
      </c>
      <c r="AF23" s="102">
        <v>-23.034220929999996</v>
      </c>
      <c r="AG23" s="102">
        <v>-21.028325769999999</v>
      </c>
      <c r="AH23" s="102">
        <v>-22.982032049999997</v>
      </c>
      <c r="AI23" s="102">
        <v>-19.912396829999999</v>
      </c>
      <c r="AJ23" s="102">
        <v>-24.639948039999997</v>
      </c>
      <c r="AK23" s="102">
        <v>-21.653968459999998</v>
      </c>
      <c r="AL23" s="102">
        <v>-89.608204520000001</v>
      </c>
      <c r="AM23" s="102">
        <v>-28.010164840000002</v>
      </c>
      <c r="AN23" s="102">
        <v>-372.14138224999999</v>
      </c>
      <c r="AO23" s="102">
        <v>-28.5</v>
      </c>
      <c r="AP23" s="145">
        <v>-28.792704899999997</v>
      </c>
      <c r="AQ23" s="143">
        <v>-1.71339284</v>
      </c>
      <c r="AR23" s="143">
        <v>-64.964013129999998</v>
      </c>
      <c r="AS23" s="102">
        <v>25.58167559</v>
      </c>
      <c r="AT23" s="102">
        <v>-2.3552591199999999</v>
      </c>
      <c r="AU23" s="102">
        <v>-1.63791898</v>
      </c>
      <c r="AV23" s="102">
        <v>-39.658742140000001</v>
      </c>
      <c r="AW23" s="102">
        <v>32.270913280000002</v>
      </c>
      <c r="AX23" s="102">
        <v>-1.6755091200000001</v>
      </c>
      <c r="AY23" s="102">
        <v>-85.088313580000005</v>
      </c>
      <c r="AZ23" s="102">
        <v>-2.44786854</v>
      </c>
      <c r="BA23" s="102">
        <v>-1.02564072</v>
      </c>
      <c r="BB23" s="102">
        <v>-1.0314719999999999</v>
      </c>
      <c r="BC23" s="102">
        <v>-5.2233775199999997</v>
      </c>
      <c r="BD23" s="102">
        <v>-1.23169248</v>
      </c>
      <c r="BE23" s="102">
        <v>-1.3258814399999994</v>
      </c>
      <c r="BF23" s="102">
        <v>-32.962827609999998</v>
      </c>
      <c r="BG23" s="102">
        <v>0.68165543999999989</v>
      </c>
      <c r="BH23" s="102">
        <v>-0.08</v>
      </c>
      <c r="BI23" s="102">
        <v>-9.4043243599999986</v>
      </c>
      <c r="BJ23" s="102">
        <v>-8.5399999999999991</v>
      </c>
      <c r="BK23" s="102">
        <v>-0.24047029000000003</v>
      </c>
      <c r="BL23" s="102">
        <v>-10.791</v>
      </c>
      <c r="BM23" s="102">
        <v>0</v>
      </c>
      <c r="BN23" s="102">
        <v>0</v>
      </c>
      <c r="BO23" s="102">
        <v>0</v>
      </c>
      <c r="BP23" s="102">
        <v>-0.24</v>
      </c>
      <c r="BQ23" s="102">
        <v>-0.04</v>
      </c>
      <c r="BR23" s="102">
        <v>0</v>
      </c>
      <c r="BS23" s="102">
        <v>0</v>
      </c>
      <c r="BT23" s="102">
        <v>-4.76</v>
      </c>
      <c r="BU23" s="102">
        <v>4.5999999999999996</v>
      </c>
      <c r="BV23" s="102">
        <v>-16.059999999999999</v>
      </c>
      <c r="BW23" s="102">
        <v>-0.13600000000000001</v>
      </c>
      <c r="BX23" s="102">
        <v>-0.46200000000000002</v>
      </c>
      <c r="BY23" s="102">
        <v>-0.04</v>
      </c>
      <c r="BZ23" s="102">
        <v>-0.192</v>
      </c>
      <c r="CA23" s="102">
        <v>0</v>
      </c>
      <c r="CB23" s="102">
        <v>0</v>
      </c>
      <c r="CC23" s="102">
        <v>0</v>
      </c>
      <c r="CD23" s="102">
        <v>0</v>
      </c>
      <c r="CE23" s="102">
        <v>0</v>
      </c>
      <c r="CF23" s="102">
        <v>-0.2</v>
      </c>
      <c r="CG23" s="102">
        <v>0</v>
      </c>
      <c r="CH23" s="102">
        <v>-0.56000000000000005</v>
      </c>
      <c r="CI23" s="102">
        <v>-0.52</v>
      </c>
      <c r="CJ23" s="102">
        <v>-0.56000000000000005</v>
      </c>
      <c r="CK23" s="102">
        <v>-17.299199999999999</v>
      </c>
      <c r="CL23" s="102">
        <v>0</v>
      </c>
      <c r="CM23" s="102">
        <v>-12.7033</v>
      </c>
      <c r="CN23" s="102">
        <v>8.8039999999999993E-2</v>
      </c>
      <c r="CO23" s="102">
        <v>-6.7156399999999996</v>
      </c>
      <c r="CP23" s="102">
        <v>5.8134674999999998</v>
      </c>
      <c r="CQ23" s="102">
        <v>0</v>
      </c>
      <c r="CR23" s="102">
        <v>-6.9345800000000004</v>
      </c>
      <c r="CS23" s="102">
        <v>-3.1696080000000002</v>
      </c>
      <c r="CT23" s="102">
        <v>-4.1494920000000004</v>
      </c>
      <c r="CU23" s="102">
        <v>-1.2270000000000001</v>
      </c>
      <c r="CV23" s="102">
        <v>7.0615800000000002</v>
      </c>
      <c r="CW23" s="102">
        <v>0</v>
      </c>
      <c r="CX23" s="102">
        <v>-6.9</v>
      </c>
      <c r="CY23" s="102">
        <v>-13.161619999999999</v>
      </c>
      <c r="CZ23" s="102">
        <v>-1.7124550000000001</v>
      </c>
      <c r="DA23" s="102">
        <v>0</v>
      </c>
      <c r="DB23" s="102">
        <v>-0.8</v>
      </c>
      <c r="DC23" s="102">
        <v>-0.08</v>
      </c>
      <c r="DD23" s="102">
        <v>-55.909825299999994</v>
      </c>
      <c r="DE23" s="102">
        <v>-55.617000699999991</v>
      </c>
      <c r="DF23" s="102">
        <v>-106.22762515000001</v>
      </c>
      <c r="DG23" s="102">
        <v>-10.695903480000004</v>
      </c>
      <c r="DH23" s="102">
        <v>-108.07746225</v>
      </c>
      <c r="DI23" s="102">
        <v>-27.805576799999997</v>
      </c>
      <c r="DJ23" s="102">
        <v>23.990570999999999</v>
      </c>
      <c r="DK23" s="102">
        <v>-9.9875109999999996</v>
      </c>
      <c r="DL23" s="102">
        <v>-24.829829</v>
      </c>
      <c r="DM23" s="102">
        <v>-4.0977959999999998</v>
      </c>
      <c r="DN23" s="102">
        <v>0.37662000000000001</v>
      </c>
      <c r="DO23" s="102">
        <v>-7.6004060000000004</v>
      </c>
      <c r="DP23" s="102">
        <v>-30.492719860000001</v>
      </c>
      <c r="DQ23" s="940">
        <v>-8.2528279999999992</v>
      </c>
      <c r="DR23" s="940">
        <v>-10.095956839999999</v>
      </c>
      <c r="DS23" s="940">
        <v>-13.811959999999999</v>
      </c>
      <c r="DT23" s="940">
        <v>-39.226419999999997</v>
      </c>
      <c r="DU23" s="940">
        <v>-22.806920000000002</v>
      </c>
      <c r="DV23" s="940">
        <v>-13.090820000000001</v>
      </c>
      <c r="DW23" s="940">
        <v>-0.41</v>
      </c>
      <c r="DX23" s="940">
        <v>-17.372540000000001</v>
      </c>
      <c r="DY23" s="940">
        <v>-9.3415400000000002</v>
      </c>
      <c r="DZ23" s="940">
        <v>-132.145263</v>
      </c>
      <c r="EA23" s="940">
        <v>-4.2589389999999998</v>
      </c>
      <c r="EB23" s="940">
        <v>-92.159178999999995</v>
      </c>
      <c r="EC23" s="940">
        <v>-59.710881100000002</v>
      </c>
      <c r="ED23" s="940">
        <v>-108.97228800000001</v>
      </c>
      <c r="EE23" s="940">
        <v>-354.05857450000002</v>
      </c>
      <c r="EF23" s="940">
        <v>-329.83839</v>
      </c>
      <c r="EH23" s="102">
        <v>0</v>
      </c>
      <c r="EI23" s="102">
        <v>-6.9</v>
      </c>
      <c r="EJ23" s="102">
        <v>-13.161619999999999</v>
      </c>
      <c r="EK23" s="102">
        <v>-1.7124550000000001</v>
      </c>
      <c r="EL23" s="102">
        <v>0</v>
      </c>
      <c r="EM23" s="102">
        <v>-0.8</v>
      </c>
      <c r="EN23" s="102">
        <v>0</v>
      </c>
      <c r="EO23" s="102">
        <v>0</v>
      </c>
      <c r="EP23" s="102">
        <v>-2.5049999999999999</v>
      </c>
      <c r="EQ23" s="102">
        <v>-2.5049999999999999</v>
      </c>
      <c r="ER23" s="102">
        <v>-2.5049999999999999</v>
      </c>
      <c r="ES23" s="102">
        <v>-2.5049999999999999</v>
      </c>
      <c r="EU23" s="102">
        <v>-16.72</v>
      </c>
      <c r="EV23" s="102">
        <v>-16.72</v>
      </c>
      <c r="EW23" s="102">
        <v>-16.72</v>
      </c>
      <c r="EX23" s="102">
        <v>-16.72</v>
      </c>
      <c r="EY23" s="102">
        <v>-16.72</v>
      </c>
      <c r="EZ23" s="102">
        <v>-16.72</v>
      </c>
      <c r="FA23" s="102">
        <v>-170.40549999999999</v>
      </c>
      <c r="FB23" s="102">
        <v>-134.40549999999999</v>
      </c>
      <c r="FC23" s="102">
        <v>-134.40549999999999</v>
      </c>
      <c r="FD23" s="102">
        <v>-134.40549999999999</v>
      </c>
      <c r="FE23" s="102">
        <v>-134.40549999999999</v>
      </c>
      <c r="FF23" s="102">
        <v>-134.40549999999999</v>
      </c>
      <c r="FG23" s="102">
        <v>-9.3252135348000014</v>
      </c>
      <c r="FH23" s="102">
        <v>-9.2053607200080005</v>
      </c>
      <c r="FI23" s="102">
        <v>-9.3599131840389997</v>
      </c>
      <c r="FJ23" s="102">
        <v>-8.6621860893470011</v>
      </c>
      <c r="FK23" s="102">
        <v>-9.3582392439640003</v>
      </c>
      <c r="FL23" s="102">
        <v>-12.112363529921002</v>
      </c>
      <c r="FM23" s="102">
        <v>-11.0663381141475</v>
      </c>
      <c r="FN23" s="102">
        <v>-10.989061882132001</v>
      </c>
      <c r="FO23" s="102">
        <v>-13.209369818183001</v>
      </c>
      <c r="FP23" s="102">
        <v>-10.989061882132001</v>
      </c>
      <c r="FQ23" s="102">
        <v>-10.989061882132001</v>
      </c>
      <c r="FR23" s="102">
        <v>-10.989061882132001</v>
      </c>
      <c r="FS23" s="102">
        <v>-5.7649999999999997</v>
      </c>
      <c r="FT23" s="102">
        <v>-6.2290000000000001</v>
      </c>
      <c r="FU23" s="102">
        <v>-6.7729999999999997</v>
      </c>
      <c r="FV23" s="102">
        <v>-6.4530000000000003</v>
      </c>
      <c r="FW23" s="102">
        <v>-6.3250000000000002</v>
      </c>
      <c r="FX23" s="102">
        <v>-5.6849999999999996</v>
      </c>
      <c r="FY23" s="102">
        <v>-6.133</v>
      </c>
      <c r="FZ23" s="102">
        <v>-5.2690000000000001</v>
      </c>
      <c r="GA23" s="102">
        <v>-4.8049999999999997</v>
      </c>
      <c r="GB23" s="102">
        <v>-4.8049999999999997</v>
      </c>
      <c r="GC23" s="102">
        <v>-4.5650000000000004</v>
      </c>
      <c r="GD23" s="102">
        <v>-4.5650000000000004</v>
      </c>
      <c r="GE23" s="102">
        <v>-0.80500000000000005</v>
      </c>
      <c r="GF23" s="102">
        <v>-0.80500000000000005</v>
      </c>
      <c r="GG23" s="102">
        <v>-0.80500000000000005</v>
      </c>
      <c r="GH23" s="102">
        <v>-0.80500000000000005</v>
      </c>
      <c r="GI23" s="102">
        <v>-0.80500000000000005</v>
      </c>
      <c r="GJ23" s="102">
        <v>-0.80500000000000005</v>
      </c>
      <c r="GK23" s="102">
        <v>-0.80500000000000005</v>
      </c>
      <c r="GL23" s="102">
        <v>-0.80500000000000005</v>
      </c>
      <c r="GM23" s="102">
        <v>-0.80500000000000005</v>
      </c>
      <c r="GN23" s="102">
        <v>-0.80500000000000005</v>
      </c>
      <c r="GO23" s="102">
        <v>-0.80500000000000005</v>
      </c>
      <c r="GP23" s="102">
        <v>-0.80500000000000005</v>
      </c>
      <c r="GQ23" s="102">
        <v>-0.80500000000000005</v>
      </c>
      <c r="GR23" s="102">
        <v>-0.80500000000000005</v>
      </c>
      <c r="GS23" s="102">
        <v>-0.80500000000000005</v>
      </c>
      <c r="GT23" s="102">
        <v>-0.80500000000000005</v>
      </c>
      <c r="GU23" s="102">
        <v>-0.80500000000000005</v>
      </c>
      <c r="GV23" s="102">
        <v>-0.80500000000000005</v>
      </c>
      <c r="GW23" s="102">
        <v>-0.80500000000000005</v>
      </c>
      <c r="GX23" s="102">
        <v>-0.80500000000000005</v>
      </c>
      <c r="GY23" s="102">
        <v>-0.80500000000000005</v>
      </c>
      <c r="GZ23" s="102">
        <v>-0.80500000000000005</v>
      </c>
      <c r="HA23" s="102">
        <v>-0.80500000000000005</v>
      </c>
      <c r="HB23" s="102">
        <v>-0.80500000000000005</v>
      </c>
      <c r="HD23" s="102">
        <f t="shared" si="109"/>
        <v>-300.165322</v>
      </c>
      <c r="HE23" s="102">
        <f t="shared" si="109"/>
        <v>-240.04321491999997</v>
      </c>
      <c r="HF23" s="102">
        <f t="shared" si="109"/>
        <v>-672.94013526999993</v>
      </c>
      <c r="HG23" s="102">
        <f t="shared" si="109"/>
        <v>-198.98113347999998</v>
      </c>
      <c r="HH23" s="102">
        <f t="shared" si="110"/>
        <v>-71.175030979999988</v>
      </c>
      <c r="HI23" s="102">
        <f t="shared" si="111"/>
        <v>-17.097999999999999</v>
      </c>
      <c r="HJ23" s="102">
        <f t="shared" si="112"/>
        <v>-2.0720000000000001</v>
      </c>
      <c r="HK23" s="102">
        <f t="shared" si="113"/>
        <v>-39.23573249999999</v>
      </c>
      <c r="HL23" s="940">
        <f>+SUMIF($E$6:SEW$6,HL$7,$E23:SEW23)</f>
        <v>-359.18189187999997</v>
      </c>
      <c r="HM23" s="940">
        <f>+SUMIF($E$6:SEX$6,HM$7,$E23:SEX23)</f>
        <v>-151.83381249999999</v>
      </c>
      <c r="HN23" s="940">
        <f>+SUMIF($E$6:SEY$6,HN$7,$E23:SEY23)</f>
        <v>-1144.1653345999998</v>
      </c>
      <c r="HO23" s="102"/>
      <c r="HP23" s="102"/>
      <c r="HR23" s="929">
        <f t="shared" si="114"/>
        <v>1.8034124417733408</v>
      </c>
      <c r="HS23" s="929">
        <f t="shared" si="115"/>
        <v>-0.70431079519404216</v>
      </c>
      <c r="HT23" s="929">
        <f t="shared" si="116"/>
        <v>-0.64230261565399149</v>
      </c>
      <c r="HU23" s="929">
        <f t="shared" si="117"/>
        <v>-0.75977530652842995</v>
      </c>
      <c r="HV23" s="929">
        <f t="shared" si="118"/>
        <v>-0.87881623581705459</v>
      </c>
      <c r="HW23" s="929">
        <f t="shared" si="119"/>
        <v>17.93616433397683</v>
      </c>
      <c r="HX23" s="929">
        <f t="shared" si="120"/>
        <v>8.1544586781959545</v>
      </c>
      <c r="HY23" s="929">
        <f t="shared" si="120"/>
        <v>-0.57727876618366225</v>
      </c>
      <c r="HZ23" s="929">
        <f t="shared" si="120"/>
        <v>6.5356425275825822</v>
      </c>
      <c r="IA23" s="929">
        <f t="shared" si="17"/>
        <v>-1</v>
      </c>
      <c r="IB23" s="929" t="str">
        <f t="shared" si="121"/>
        <v/>
      </c>
      <c r="IC23" s="929">
        <f t="shared" si="19"/>
        <v>-1</v>
      </c>
      <c r="IE23" s="102">
        <f t="shared" si="122"/>
        <v>-432.89692034999996</v>
      </c>
      <c r="IF23" s="102">
        <f t="shared" si="123"/>
        <v>473.95900178999995</v>
      </c>
      <c r="IG23" s="102">
        <f t="shared" si="124"/>
        <v>127.80610249999999</v>
      </c>
      <c r="IH23" s="102">
        <f t="shared" si="125"/>
        <v>54.077030979999989</v>
      </c>
      <c r="II23" s="102">
        <f t="shared" si="100"/>
        <v>15.026</v>
      </c>
      <c r="IJ23" s="102">
        <f t="shared" si="101"/>
        <v>-37.163732499999988</v>
      </c>
      <c r="IK23" s="102">
        <f t="shared" si="102"/>
        <v>-319.94615937999998</v>
      </c>
      <c r="IL23" s="102">
        <f t="shared" si="27"/>
        <v>359.18189187999997</v>
      </c>
      <c r="IM23" s="102">
        <f t="shared" si="126"/>
        <v>0</v>
      </c>
      <c r="IN23" s="102">
        <f t="shared" si="29"/>
        <v>359.18189187999997</v>
      </c>
      <c r="IP23" s="32">
        <f t="shared" si="127"/>
        <v>-6.5308498231847322E-3</v>
      </c>
      <c r="IQ23" s="32">
        <f t="shared" si="127"/>
        <v>-1.708707953217406E-2</v>
      </c>
      <c r="IR23" s="32">
        <f t="shared" si="127"/>
        <v>-1.1807019088619511E-2</v>
      </c>
      <c r="IS23" s="32">
        <f t="shared" si="127"/>
        <v>-1.1569362960649324E-2</v>
      </c>
      <c r="IT23" s="32">
        <f t="shared" si="127"/>
        <v>-1.2545478128228585E-3</v>
      </c>
      <c r="IU23" s="32">
        <f t="shared" si="127"/>
        <v>-1.4642557112181119E-4</v>
      </c>
      <c r="IV23" s="32">
        <f t="shared" si="127"/>
        <v>-1.8481833276668413E-3</v>
      </c>
      <c r="IW23" s="32">
        <f t="shared" si="127"/>
        <v>-2.846157698039661E-2</v>
      </c>
      <c r="IX23" s="32" t="e">
        <f t="shared" si="128"/>
        <v>#DIV/0!</v>
      </c>
      <c r="IY23" s="32" t="e">
        <f t="shared" si="129"/>
        <v>#DIV/0!</v>
      </c>
      <c r="JA23" s="102">
        <f t="shared" si="93"/>
        <v>-300.165322</v>
      </c>
      <c r="JB23" s="102">
        <f t="shared" si="93"/>
        <v>-240.04321491999997</v>
      </c>
      <c r="JC23" s="102">
        <f t="shared" si="93"/>
        <v>-672.94013526999993</v>
      </c>
      <c r="JD23" s="102">
        <f t="shared" si="93"/>
        <v>-198.98113347999998</v>
      </c>
      <c r="JE23" s="102">
        <f t="shared" si="93"/>
        <v>-71.175030979999988</v>
      </c>
      <c r="JF23" s="102">
        <f t="shared" si="93"/>
        <v>-17.097999999999999</v>
      </c>
      <c r="JG23" s="102">
        <f t="shared" si="93"/>
        <v>-2.0720000000000001</v>
      </c>
      <c r="JH23" s="102">
        <f t="shared" si="93"/>
        <v>-39.23573249999999</v>
      </c>
      <c r="JI23" s="102">
        <f t="shared" si="93"/>
        <v>-359.18189187999997</v>
      </c>
      <c r="JJ23" s="102">
        <f t="shared" si="93"/>
        <v>-151.83381249999999</v>
      </c>
      <c r="JK23" s="102">
        <f t="shared" si="93"/>
        <v>-1144.1653345999998</v>
      </c>
      <c r="JL23" s="102">
        <f t="shared" si="130"/>
        <v>-1144.1653345999998</v>
      </c>
      <c r="JM23" s="102"/>
      <c r="JN23" s="102"/>
      <c r="JO23" s="922">
        <f t="shared" si="167"/>
        <v>-0.57727876618366225</v>
      </c>
      <c r="JP23" s="102">
        <f t="shared" si="41"/>
        <v>-1144.1653345999998</v>
      </c>
      <c r="JQ23" s="102">
        <f t="shared" si="42"/>
        <v>0</v>
      </c>
      <c r="JR23" s="145"/>
      <c r="JS23" s="929" t="str">
        <f t="shared" si="131"/>
        <v/>
      </c>
      <c r="JT23" s="930">
        <f t="shared" si="89"/>
        <v>-1144.1653345999998</v>
      </c>
      <c r="JV23" s="32">
        <f t="shared" si="43"/>
        <v>-3.7896842126650884E-2</v>
      </c>
      <c r="JW23" s="929" t="str">
        <f t="shared" si="44"/>
        <v/>
      </c>
      <c r="JY23" s="929">
        <f t="shared" si="168"/>
        <v>1.8034124417733408</v>
      </c>
      <c r="JZ23" s="929">
        <f t="shared" si="169"/>
        <v>-0.70431079519404216</v>
      </c>
      <c r="KA23" s="929">
        <f t="shared" si="170"/>
        <v>-0.64230261565399149</v>
      </c>
      <c r="KB23" s="929">
        <f t="shared" si="171"/>
        <v>-0.75977530652842995</v>
      </c>
      <c r="KC23" s="929">
        <f t="shared" si="172"/>
        <v>-0.87881623581705459</v>
      </c>
      <c r="KD23" s="929">
        <f t="shared" si="173"/>
        <v>17.93616433397683</v>
      </c>
      <c r="KE23" s="929">
        <f t="shared" si="174"/>
        <v>8.1544586781959545</v>
      </c>
      <c r="KF23" s="929">
        <f t="shared" si="175"/>
        <v>-1</v>
      </c>
      <c r="KH23" s="102">
        <f t="shared" si="133"/>
        <v>-432.89692034999996</v>
      </c>
      <c r="KI23" s="102">
        <f t="shared" si="134"/>
        <v>473.95900178999995</v>
      </c>
      <c r="KJ23" s="102">
        <f t="shared" si="135"/>
        <v>127.80610249999999</v>
      </c>
      <c r="KK23" s="102">
        <f t="shared" si="136"/>
        <v>54.077030979999989</v>
      </c>
      <c r="KL23" s="102">
        <f t="shared" si="137"/>
        <v>15.026</v>
      </c>
      <c r="KM23" s="102">
        <f t="shared" si="138"/>
        <v>-37.163732499999988</v>
      </c>
      <c r="KN23" s="102">
        <f t="shared" si="139"/>
        <v>-319.94615937999998</v>
      </c>
      <c r="KO23" s="102">
        <f t="shared" si="140"/>
        <v>359.18189187999997</v>
      </c>
      <c r="KQ23" s="32">
        <f t="shared" si="141"/>
        <v>-8.2732638267755763E-3</v>
      </c>
      <c r="KR23" s="32">
        <f t="shared" si="142"/>
        <v>-6.5308498231847322E-3</v>
      </c>
      <c r="KS23" s="32">
        <f t="shared" si="143"/>
        <v>-1.708707953217406E-2</v>
      </c>
      <c r="KT23" s="32">
        <f t="shared" si="144"/>
        <v>-1.1807019088619511E-2</v>
      </c>
      <c r="KU23" s="32">
        <f t="shared" si="145"/>
        <v>-1.1569362960649324E-2</v>
      </c>
      <c r="KV23" s="32">
        <f t="shared" si="146"/>
        <v>-1.2545478128228585E-3</v>
      </c>
      <c r="KW23" s="32">
        <f t="shared" si="147"/>
        <v>-1.4642557112181119E-4</v>
      </c>
      <c r="KX23" s="32">
        <f t="shared" si="148"/>
        <v>-1.8481833276668413E-3</v>
      </c>
      <c r="KY23" s="32">
        <f t="shared" si="149"/>
        <v>-2.846157698039661E-2</v>
      </c>
      <c r="KZ23" s="32" t="e">
        <f t="shared" si="150"/>
        <v>#DIV/0!</v>
      </c>
      <c r="LB23" s="102">
        <f t="shared" si="151"/>
        <v>-23.190424000000007</v>
      </c>
      <c r="LC23" s="102">
        <f t="shared" si="151"/>
        <v>-14.016255610000002</v>
      </c>
      <c r="LD23" s="102">
        <f t="shared" si="151"/>
        <v>-372.14138224999999</v>
      </c>
      <c r="LE23" s="102">
        <f t="shared" si="151"/>
        <v>-2.44786854</v>
      </c>
      <c r="LF23" s="102">
        <f t="shared" si="151"/>
        <v>-10.791</v>
      </c>
      <c r="LG23" s="102">
        <f t="shared" si="151"/>
        <v>-0.46200000000000002</v>
      </c>
      <c r="LH23" s="102">
        <f t="shared" si="151"/>
        <v>-0.56000000000000005</v>
      </c>
      <c r="LI23" s="102">
        <f t="shared" si="151"/>
        <v>7.0615800000000002</v>
      </c>
      <c r="LJ23" s="102">
        <f t="shared" si="151"/>
        <v>-108.07746225</v>
      </c>
      <c r="LK23" s="102">
        <f t="shared" si="151"/>
        <v>-39.226419999999997</v>
      </c>
      <c r="LL23" s="102">
        <f t="shared" si="151"/>
        <v>-329.83839</v>
      </c>
      <c r="LM23" s="102">
        <f t="shared" si="151"/>
        <v>-329.83839</v>
      </c>
      <c r="LN23" s="102"/>
      <c r="LO23" s="102"/>
      <c r="LR23" s="32">
        <f t="shared" si="152"/>
        <v>25.550698888831121</v>
      </c>
      <c r="LS23" s="32">
        <f t="shared" si="153"/>
        <v>-0.99342220818012772</v>
      </c>
      <c r="LT23" s="32">
        <f t="shared" si="154"/>
        <v>3.408324966666715</v>
      </c>
      <c r="LU23" s="32">
        <f t="shared" si="155"/>
        <v>-0.95718654434250761</v>
      </c>
      <c r="LV23" s="32">
        <f t="shared" si="156"/>
        <v>0.21212121212121215</v>
      </c>
      <c r="LW23" s="32">
        <f t="shared" si="157"/>
        <v>-13.609964285714286</v>
      </c>
      <c r="LX23" s="32">
        <f t="shared" si="158"/>
        <v>-1</v>
      </c>
      <c r="LZ23" s="102">
        <f t="shared" si="159"/>
        <v>-358.12512663999996</v>
      </c>
      <c r="MA23" s="102">
        <f t="shared" si="160"/>
        <v>369.69351370999999</v>
      </c>
      <c r="MB23" s="102">
        <f t="shared" si="161"/>
        <v>-8.3431314600000004</v>
      </c>
      <c r="MC23" s="102">
        <f t="shared" si="162"/>
        <v>10.329000000000001</v>
      </c>
      <c r="MD23" s="102">
        <f t="shared" si="163"/>
        <v>-9.8000000000000032E-2</v>
      </c>
      <c r="ME23" s="102">
        <f t="shared" si="164"/>
        <v>7.6215799999999998</v>
      </c>
      <c r="MF23" s="102">
        <f t="shared" si="165"/>
        <v>-7.0615800000000002</v>
      </c>
      <c r="MH23" s="32">
        <f t="shared" si="166"/>
        <v>-7.7318313963434361E-3</v>
      </c>
      <c r="MI23" s="32">
        <f t="shared" si="166"/>
        <v>-2.5420946226917831E-3</v>
      </c>
      <c r="MJ23" s="32">
        <f t="shared" si="166"/>
        <v>-7.25966976880318E-2</v>
      </c>
      <c r="MK23" s="32">
        <f t="shared" si="166"/>
        <v>-4.2112290334514772E-3</v>
      </c>
      <c r="ML23" s="32">
        <f t="shared" si="166"/>
        <v>-7.1631538501515943E-3</v>
      </c>
      <c r="MM23" s="32">
        <f t="shared" si="166"/>
        <v>-4.4911772978769026E-4</v>
      </c>
      <c r="MN23" s="32">
        <f t="shared" si="166"/>
        <v>-3.6012568665124242E-4</v>
      </c>
      <c r="MO23" s="32">
        <f t="shared" si="166"/>
        <v>3.7521762771850096E-3</v>
      </c>
      <c r="MP23" s="32" t="e">
        <f>+LO23/LO$11</f>
        <v>#DIV/0!</v>
      </c>
    </row>
    <row r="24" spans="1:354" outlineLevel="1">
      <c r="A24" s="884">
        <v>7415</v>
      </c>
      <c r="B24" s="70" t="s">
        <v>631</v>
      </c>
      <c r="C24" s="17" t="s">
        <v>68</v>
      </c>
      <c r="D24" s="31" t="s">
        <v>59</v>
      </c>
      <c r="E24" s="102">
        <v>-57.256008009999995</v>
      </c>
      <c r="F24" s="102">
        <v>-117.37430821000001</v>
      </c>
      <c r="G24" s="102">
        <v>-291.94854938000003</v>
      </c>
      <c r="H24" s="102">
        <v>-148.5750392999999</v>
      </c>
      <c r="I24" s="102">
        <v>-126.17763820000005</v>
      </c>
      <c r="J24" s="102">
        <v>-119.25104110000007</v>
      </c>
      <c r="K24" s="102">
        <v>-111.90626052999994</v>
      </c>
      <c r="L24" s="102">
        <v>-123.44358699999998</v>
      </c>
      <c r="M24" s="102">
        <v>-79.361859999999979</v>
      </c>
      <c r="N24" s="102">
        <v>308.73658882999996</v>
      </c>
      <c r="O24" s="102">
        <v>-80.176939830000038</v>
      </c>
      <c r="P24" s="102">
        <v>-92.758029369999917</v>
      </c>
      <c r="Q24" s="102">
        <v>-282.50600156000002</v>
      </c>
      <c r="R24" s="102">
        <v>-133.91675124</v>
      </c>
      <c r="S24" s="102">
        <v>-159.71923006999998</v>
      </c>
      <c r="T24" s="102">
        <v>-204.27415629000006</v>
      </c>
      <c r="U24" s="102">
        <v>-268.46794008999996</v>
      </c>
      <c r="V24" s="102">
        <v>-124.41613959000006</v>
      </c>
      <c r="W24" s="102">
        <v>-122.07010648000005</v>
      </c>
      <c r="X24" s="102">
        <v>-112.75524346999987</v>
      </c>
      <c r="Y24" s="102">
        <v>-143.13266218000012</v>
      </c>
      <c r="Z24" s="102">
        <v>-183.90810423999983</v>
      </c>
      <c r="AA24" s="102">
        <v>-142.66854374000013</v>
      </c>
      <c r="AB24" s="102">
        <v>-220.32374596999989</v>
      </c>
      <c r="AC24" s="102">
        <v>-130.92108112</v>
      </c>
      <c r="AD24" s="102">
        <v>-228.74380185999999</v>
      </c>
      <c r="AE24" s="102">
        <v>-156.88065140999998</v>
      </c>
      <c r="AF24" s="102">
        <v>-63.014418250000006</v>
      </c>
      <c r="AG24" s="102">
        <v>-103.04576940000001</v>
      </c>
      <c r="AH24" s="102">
        <v>-105.86069623</v>
      </c>
      <c r="AI24" s="102">
        <v>-137.61481380000001</v>
      </c>
      <c r="AJ24" s="102">
        <v>-128.66960360000002</v>
      </c>
      <c r="AK24" s="102">
        <v>-112.82630606000001</v>
      </c>
      <c r="AL24" s="102">
        <v>-131.81652830000002</v>
      </c>
      <c r="AM24" s="102">
        <v>-141.51738759</v>
      </c>
      <c r="AN24" s="102">
        <v>976.82005762000006</v>
      </c>
      <c r="AO24" s="102">
        <v>0</v>
      </c>
      <c r="AP24" s="145">
        <v>0</v>
      </c>
      <c r="AQ24" s="143">
        <v>-5.8888667799999999</v>
      </c>
      <c r="AR24" s="143">
        <v>0</v>
      </c>
      <c r="AS24" s="102">
        <v>-31.284262160000001</v>
      </c>
      <c r="AT24" s="102">
        <v>-11.831862599999999</v>
      </c>
      <c r="AU24" s="102">
        <v>48.997491539999999</v>
      </c>
      <c r="AV24" s="102">
        <v>-2.0448000000000001E-2</v>
      </c>
      <c r="AW24" s="102">
        <v>0</v>
      </c>
      <c r="AX24" s="102">
        <v>0</v>
      </c>
      <c r="AY24" s="102">
        <v>0</v>
      </c>
      <c r="AZ24" s="102">
        <v>0</v>
      </c>
      <c r="BA24" s="102">
        <v>-8.0036958800000004</v>
      </c>
      <c r="BB24" s="102">
        <v>-9.2853024899999994</v>
      </c>
      <c r="BC24" s="102">
        <v>-6.8281425100000002</v>
      </c>
      <c r="BD24" s="102">
        <v>-2.6888151800000002</v>
      </c>
      <c r="BE24" s="145">
        <v>-0.45949318</v>
      </c>
      <c r="BF24" s="145">
        <v>-2.45427068</v>
      </c>
      <c r="BG24" s="145">
        <v>-38.639650539999998</v>
      </c>
      <c r="BH24" s="145">
        <v>-5.1288716699999997</v>
      </c>
      <c r="BI24" s="145">
        <v>-4.8963491100000001</v>
      </c>
      <c r="BJ24" s="145">
        <v>-5.5765183600000006</v>
      </c>
      <c r="BK24" s="102">
        <v>-4.9392729500000003</v>
      </c>
      <c r="BL24" s="102">
        <v>-6.8196585500000033</v>
      </c>
      <c r="BM24" s="102">
        <v>-16.000713090000001</v>
      </c>
      <c r="BN24" s="102">
        <v>-14.960549480000001</v>
      </c>
      <c r="BO24" s="102">
        <v>-10.683518579999999</v>
      </c>
      <c r="BP24" s="102">
        <v>-18.81278683</v>
      </c>
      <c r="BQ24" s="145">
        <v>-13.974035929999999</v>
      </c>
      <c r="BR24" s="145">
        <v>-13.31395244</v>
      </c>
      <c r="BS24" s="145">
        <v>-15.637304539999999</v>
      </c>
      <c r="BT24" s="145">
        <v>-16.152157689999999</v>
      </c>
      <c r="BU24" s="145">
        <v>-10.247737770000002</v>
      </c>
      <c r="BV24" s="145">
        <v>-14.490755160000001</v>
      </c>
      <c r="BW24" s="102">
        <v>-15.535969</v>
      </c>
      <c r="BX24" s="102">
        <v>11.288153279999998</v>
      </c>
      <c r="BY24" s="102">
        <v>-15.692319019999999</v>
      </c>
      <c r="BZ24" s="102">
        <v>-7.2517035099999996</v>
      </c>
      <c r="CA24" s="102">
        <v>-19.083005460000003</v>
      </c>
      <c r="CB24" s="102">
        <v>-11.360271560000001</v>
      </c>
      <c r="CC24" s="102">
        <v>-5.8858868800000002</v>
      </c>
      <c r="CD24" s="102">
        <v>-12.026714979999998</v>
      </c>
      <c r="CE24" s="102">
        <v>-10.76875624</v>
      </c>
      <c r="CF24" s="102">
        <v>-9.6662524800000007</v>
      </c>
      <c r="CG24" s="102">
        <v>-5.2691551700000003</v>
      </c>
      <c r="CH24" s="102">
        <v>-18.78836012</v>
      </c>
      <c r="CI24" s="102">
        <v>-12.754557480000001</v>
      </c>
      <c r="CJ24" s="102">
        <v>-19.16943113</v>
      </c>
      <c r="CK24" s="102">
        <v>-10.59867942</v>
      </c>
      <c r="CL24" s="102">
        <v>-24.763127399999998</v>
      </c>
      <c r="CM24" s="102">
        <v>-11.13521828</v>
      </c>
      <c r="CN24" s="102">
        <v>-24.469676639999999</v>
      </c>
      <c r="CO24" s="102">
        <v>-20.54873044</v>
      </c>
      <c r="CP24" s="102">
        <v>-9.9957090600000011</v>
      </c>
      <c r="CQ24" s="102">
        <v>-14.442250720000001</v>
      </c>
      <c r="CR24" s="102">
        <v>-32.770377170000003</v>
      </c>
      <c r="CS24" s="102">
        <v>-10.509271810000001</v>
      </c>
      <c r="CT24" s="102">
        <v>-26.917174230000001</v>
      </c>
      <c r="CU24" s="102">
        <v>-24.25622808</v>
      </c>
      <c r="CV24" s="102">
        <v>-23.106468490000008</v>
      </c>
      <c r="CW24" s="102">
        <v>-12.8678299</v>
      </c>
      <c r="CX24" s="102">
        <v>-13.623067929999999</v>
      </c>
      <c r="CY24" s="102">
        <v>-20.28649416</v>
      </c>
      <c r="CZ24" s="102">
        <v>-5.3169425599999993</v>
      </c>
      <c r="DA24" s="102">
        <v>2.2055375299999995</v>
      </c>
      <c r="DB24" s="102">
        <v>-3.6694541800000002</v>
      </c>
      <c r="DC24" s="102">
        <v>-5.3764846799999999</v>
      </c>
      <c r="DD24" s="102">
        <v>-8.3657350000000008</v>
      </c>
      <c r="DE24" s="102">
        <v>-10.409687999999999</v>
      </c>
      <c r="DF24" s="102">
        <v>-14.115298279999999</v>
      </c>
      <c r="DG24" s="102">
        <v>-8.0392939999999999</v>
      </c>
      <c r="DH24" s="102">
        <v>-28.342790290000003</v>
      </c>
      <c r="DI24" s="102">
        <v>-11.300038000000001</v>
      </c>
      <c r="DJ24" s="102">
        <v>-7.473992</v>
      </c>
      <c r="DK24" s="102">
        <v>-12.43576092</v>
      </c>
      <c r="DL24" s="102">
        <v>-14.286414000000001</v>
      </c>
      <c r="DM24" s="102">
        <v>-9.3710780000000007</v>
      </c>
      <c r="DN24" s="102">
        <v>-11.295349999999999</v>
      </c>
      <c r="DO24" s="102">
        <v>-14.298577999999999</v>
      </c>
      <c r="DP24" s="102">
        <v>-15.399357999999999</v>
      </c>
      <c r="DQ24" s="940">
        <v>-14.264811</v>
      </c>
      <c r="DR24" s="940">
        <v>-13.952749000000001</v>
      </c>
      <c r="DS24" s="940">
        <v>-12.101906</v>
      </c>
      <c r="DT24" s="940">
        <v>-19.903307999999999</v>
      </c>
      <c r="DU24" s="940">
        <v>-21.669544999999999</v>
      </c>
      <c r="DV24" s="940">
        <v>-14.728186000000001</v>
      </c>
      <c r="DW24" s="940">
        <v>-17.747202000000001</v>
      </c>
      <c r="DX24" s="940">
        <v>-16.90109584</v>
      </c>
      <c r="DY24" s="940">
        <v>-17.232880999999999</v>
      </c>
      <c r="DZ24" s="940">
        <v>-23.398454000000001</v>
      </c>
      <c r="EA24" s="940">
        <v>-20.507110999999998</v>
      </c>
      <c r="EB24" s="940">
        <v>-26.702902000000002</v>
      </c>
      <c r="EC24" s="940">
        <v>-32.066267000000003</v>
      </c>
      <c r="ED24" s="940">
        <v>-46.201264000000002</v>
      </c>
      <c r="EE24" s="940">
        <v>-48.362743999999999</v>
      </c>
      <c r="EF24" s="940">
        <v>-65.16777313999998</v>
      </c>
      <c r="EH24" s="102">
        <v>-12.867829900000002</v>
      </c>
      <c r="EI24" s="102">
        <v>-13.623067929999999</v>
      </c>
      <c r="EJ24" s="102">
        <v>-20.286494159999997</v>
      </c>
      <c r="EK24" s="102">
        <v>-5.3169425600000002</v>
      </c>
      <c r="EL24" s="102">
        <v>2.2055375300000013</v>
      </c>
      <c r="EM24" s="102">
        <v>-3.6694541800000002</v>
      </c>
      <c r="EN24" s="102">
        <v>-4.9692278018000007</v>
      </c>
      <c r="EO24" s="102">
        <v>-8.9029729492000005</v>
      </c>
      <c r="EP24" s="102">
        <v>-8.4888218858000002</v>
      </c>
      <c r="EQ24" s="102">
        <v>-5.7672821892000012</v>
      </c>
      <c r="ER24" s="102">
        <v>-5.3152891030000013</v>
      </c>
      <c r="ES24" s="102">
        <v>-5.5424279960000007</v>
      </c>
      <c r="EU24" s="145">
        <v>0</v>
      </c>
      <c r="EV24" s="145">
        <v>0</v>
      </c>
      <c r="EW24" s="145">
        <v>0</v>
      </c>
      <c r="EX24" s="145">
        <v>0</v>
      </c>
      <c r="EY24" s="145">
        <v>0</v>
      </c>
      <c r="EZ24" s="145">
        <v>0</v>
      </c>
      <c r="FA24" s="145">
        <v>0</v>
      </c>
      <c r="FB24" s="145">
        <v>0</v>
      </c>
      <c r="FC24" s="145">
        <v>0</v>
      </c>
      <c r="FD24" s="145">
        <v>0</v>
      </c>
      <c r="FE24" s="145">
        <v>0</v>
      </c>
      <c r="FF24" s="145">
        <v>0</v>
      </c>
      <c r="FG24" s="145">
        <v>-3.2877509548500043</v>
      </c>
      <c r="FH24" s="145">
        <v>-3.2625309679100001</v>
      </c>
      <c r="FI24" s="145">
        <v>-6.2033175319599989</v>
      </c>
      <c r="FJ24" s="145">
        <v>-7.7876341935225</v>
      </c>
      <c r="FK24" s="145">
        <v>-9.3989698147674989</v>
      </c>
      <c r="FL24" s="145">
        <v>-8.4445453021224992</v>
      </c>
      <c r="FM24" s="145">
        <v>-5.7866228473299994</v>
      </c>
      <c r="FN24" s="145">
        <v>-7.680666613632499</v>
      </c>
      <c r="FO24" s="145">
        <v>-8.6446029708462504</v>
      </c>
      <c r="FP24" s="145">
        <v>-7.6495176917299998</v>
      </c>
      <c r="FQ24" s="145">
        <v>-8.0338785585499988</v>
      </c>
      <c r="FR24" s="145">
        <v>-6.6937149272900003</v>
      </c>
      <c r="FS24" s="145">
        <v>-6.6019220000000001</v>
      </c>
      <c r="FT24" s="145">
        <v>-7.7484349999999997</v>
      </c>
      <c r="FU24" s="145">
        <v>-7.9245900000000002</v>
      </c>
      <c r="FV24" s="145">
        <v>-7.1929730000000003</v>
      </c>
      <c r="FW24" s="145">
        <v>-7.669759</v>
      </c>
      <c r="FX24" s="145">
        <v>-6.6131659999999997</v>
      </c>
      <c r="FY24" s="145">
        <v>-7.449935</v>
      </c>
      <c r="FZ24" s="145">
        <v>-5.038729</v>
      </c>
      <c r="GA24" s="145">
        <v>-3.8000029999999998</v>
      </c>
      <c r="GB24" s="145">
        <v>-3.0916489999999999</v>
      </c>
      <c r="GC24" s="145">
        <v>-3.6092309999999999</v>
      </c>
      <c r="GD24" s="145">
        <v>-3.285069</v>
      </c>
      <c r="GE24" s="102">
        <v>-14.64597</v>
      </c>
      <c r="GF24" s="102">
        <v>-12.06297</v>
      </c>
      <c r="GG24" s="102">
        <v>-11.069430000000001</v>
      </c>
      <c r="GH24" s="102">
        <v>-9.6825899999999994</v>
      </c>
      <c r="GI24" s="102">
        <v>-11.502154000000001</v>
      </c>
      <c r="GJ24" s="102">
        <v>-11.646254000000001</v>
      </c>
      <c r="GK24" s="102">
        <v>-12.732010000000001</v>
      </c>
      <c r="GL24" s="102">
        <v>-12.93352</v>
      </c>
      <c r="GM24" s="102">
        <v>-18.20712</v>
      </c>
      <c r="GN24" s="102">
        <v>-20.674040000000002</v>
      </c>
      <c r="GO24" s="102">
        <v>-22.145520000000001</v>
      </c>
      <c r="GP24" s="102">
        <v>-20.049389999999999</v>
      </c>
      <c r="GQ24" s="102">
        <v>-14.64597</v>
      </c>
      <c r="GR24" s="102">
        <v>-12.06297</v>
      </c>
      <c r="GS24" s="102">
        <v>-11.069430000000001</v>
      </c>
      <c r="GT24" s="102">
        <v>-9.6825899999999994</v>
      </c>
      <c r="GU24" s="102">
        <v>-11.502154000000001</v>
      </c>
      <c r="GV24" s="102">
        <v>-11.646254000000001</v>
      </c>
      <c r="GW24" s="102">
        <v>-12.732010000000001</v>
      </c>
      <c r="GX24" s="102">
        <v>-12.93352</v>
      </c>
      <c r="GY24" s="102">
        <v>-18.20712</v>
      </c>
      <c r="GZ24" s="102">
        <v>-20.674040000000002</v>
      </c>
      <c r="HA24" s="102">
        <v>-22.145520000000001</v>
      </c>
      <c r="HB24" s="102">
        <v>-20.049389999999999</v>
      </c>
      <c r="HD24" s="102">
        <f t="shared" si="109"/>
        <v>-1039.4926720999999</v>
      </c>
      <c r="HE24" s="102">
        <f t="shared" si="109"/>
        <v>-2098.15862492</v>
      </c>
      <c r="HF24" s="102">
        <f t="shared" si="109"/>
        <v>-464.09100000000024</v>
      </c>
      <c r="HG24" s="102">
        <f t="shared" si="109"/>
        <v>-2.7948000000000285E-2</v>
      </c>
      <c r="HH24" s="102">
        <f t="shared" si="110"/>
        <v>-95.720041099999989</v>
      </c>
      <c r="HI24" s="102">
        <f t="shared" si="111"/>
        <v>-148.52132723</v>
      </c>
      <c r="HJ24" s="102">
        <f t="shared" si="112"/>
        <v>-147.71641402999998</v>
      </c>
      <c r="HK24" s="102">
        <f t="shared" si="113"/>
        <v>-233.51291173999999</v>
      </c>
      <c r="HL24" s="940">
        <f>+SUMIF($E$6:SEW$6,HL$7,$E24:SEW24)</f>
        <v>-128.20754145000001</v>
      </c>
      <c r="HM24" s="940">
        <f>+SUMIF($E$6:SEX$6,HM$7,$E24:SEX24)</f>
        <v>-156.08334291999998</v>
      </c>
      <c r="HN24" s="940">
        <f>+SUMIF($E$6:SEY$6,HN$7,$E24:SEY24)</f>
        <v>-350.68542497999999</v>
      </c>
      <c r="HO24" s="102"/>
      <c r="HP24" s="102"/>
      <c r="HR24" s="929">
        <f t="shared" si="114"/>
        <v>-0.77881033660279364</v>
      </c>
      <c r="HS24" s="929">
        <f t="shared" si="115"/>
        <v>-0.99993977905195319</v>
      </c>
      <c r="HT24" s="929">
        <f t="shared" si="116"/>
        <v>3423.9334871904612</v>
      </c>
      <c r="HU24" s="929">
        <f t="shared" si="117"/>
        <v>0.5516220586955014</v>
      </c>
      <c r="HV24" s="929">
        <f t="shared" si="118"/>
        <v>-5.4195125711038461E-3</v>
      </c>
      <c r="HW24" s="929">
        <f t="shared" si="119"/>
        <v>0.58081898530636855</v>
      </c>
      <c r="HX24" s="929">
        <f t="shared" si="120"/>
        <v>-0.45096165991561965</v>
      </c>
      <c r="HY24" s="929">
        <f t="shared" si="120"/>
        <v>0.21742715876718788</v>
      </c>
      <c r="HZ24" s="929">
        <f t="shared" si="120"/>
        <v>1.2467831507154656</v>
      </c>
      <c r="IA24" s="929">
        <f t="shared" si="17"/>
        <v>-1</v>
      </c>
      <c r="IB24" s="929" t="str">
        <f t="shared" si="121"/>
        <v/>
      </c>
      <c r="IC24" s="929">
        <f t="shared" si="19"/>
        <v>-1</v>
      </c>
      <c r="IE24" s="102">
        <f t="shared" si="122"/>
        <v>1634.0676249199996</v>
      </c>
      <c r="IF24" s="102">
        <f t="shared" si="123"/>
        <v>464.06305200000025</v>
      </c>
      <c r="IG24" s="102">
        <f t="shared" si="124"/>
        <v>-95.692093099999994</v>
      </c>
      <c r="IH24" s="102">
        <f t="shared" si="125"/>
        <v>-52.801286130000008</v>
      </c>
      <c r="II24" s="102">
        <f t="shared" si="100"/>
        <v>0.80491320000001565</v>
      </c>
      <c r="IJ24" s="102">
        <f t="shared" si="101"/>
        <v>-85.796497710000011</v>
      </c>
      <c r="IK24" s="102">
        <f t="shared" si="102"/>
        <v>105.30537028999998</v>
      </c>
      <c r="IL24" s="102">
        <f t="shared" si="27"/>
        <v>128.20754145000001</v>
      </c>
      <c r="IM24" s="102">
        <f t="shared" si="126"/>
        <v>0</v>
      </c>
      <c r="IN24" s="102">
        <f t="shared" si="29"/>
        <v>128.20754145000001</v>
      </c>
      <c r="IP24" s="32">
        <f t="shared" si="127"/>
        <v>-5.7084549917976513E-2</v>
      </c>
      <c r="IQ24" s="32">
        <f t="shared" si="127"/>
        <v>-1.1784049444434614E-2</v>
      </c>
      <c r="IR24" s="32">
        <f t="shared" si="127"/>
        <v>-1.6583610904091503E-6</v>
      </c>
      <c r="IS24" s="32">
        <f t="shared" si="127"/>
        <v>-1.5559106653643089E-2</v>
      </c>
      <c r="IT24" s="32">
        <f t="shared" si="127"/>
        <v>-1.0897596574683855E-2</v>
      </c>
      <c r="IU24" s="32">
        <f t="shared" si="127"/>
        <v>-1.0438928710621945E-2</v>
      </c>
      <c r="IV24" s="32">
        <f t="shared" si="127"/>
        <v>-1.099953136526269E-2</v>
      </c>
      <c r="IW24" s="32">
        <f t="shared" si="127"/>
        <v>-1.0159166965092063E-2</v>
      </c>
      <c r="IX24" s="32" t="e">
        <f t="shared" si="128"/>
        <v>#DIV/0!</v>
      </c>
      <c r="IY24" s="32" t="e">
        <f t="shared" si="129"/>
        <v>#DIV/0!</v>
      </c>
      <c r="JA24" s="102">
        <f t="shared" si="93"/>
        <v>-1039.4926720999999</v>
      </c>
      <c r="JB24" s="102">
        <f t="shared" si="93"/>
        <v>-2098.15862492</v>
      </c>
      <c r="JC24" s="102">
        <f t="shared" si="93"/>
        <v>-464.09100000000024</v>
      </c>
      <c r="JD24" s="102">
        <f t="shared" si="93"/>
        <v>-2.7948000000000285E-2</v>
      </c>
      <c r="JE24" s="102">
        <f t="shared" si="93"/>
        <v>-95.720041099999989</v>
      </c>
      <c r="JF24" s="102">
        <f t="shared" si="93"/>
        <v>-148.52132723</v>
      </c>
      <c r="JG24" s="102">
        <f t="shared" si="93"/>
        <v>-147.71641402999998</v>
      </c>
      <c r="JH24" s="102">
        <f t="shared" si="93"/>
        <v>-233.51291173999999</v>
      </c>
      <c r="JI24" s="102">
        <f t="shared" si="93"/>
        <v>-128.20754145000001</v>
      </c>
      <c r="JJ24" s="102">
        <f t="shared" si="93"/>
        <v>-156.08334291999998</v>
      </c>
      <c r="JK24" s="102">
        <f t="shared" si="93"/>
        <v>-350.68542497999999</v>
      </c>
      <c r="JL24" s="102">
        <f t="shared" si="130"/>
        <v>-350.68542497999999</v>
      </c>
      <c r="JM24" s="102"/>
      <c r="JN24" s="102"/>
      <c r="JO24" s="922">
        <f t="shared" si="167"/>
        <v>0.21742715876718788</v>
      </c>
      <c r="JP24" s="102">
        <f t="shared" si="41"/>
        <v>-350.68542497999999</v>
      </c>
      <c r="JQ24" s="102">
        <f t="shared" si="42"/>
        <v>0</v>
      </c>
      <c r="JR24" s="145"/>
      <c r="JS24" s="929" t="str">
        <f t="shared" si="131"/>
        <v/>
      </c>
      <c r="JT24" s="930">
        <f t="shared" si="89"/>
        <v>-350.68542497999999</v>
      </c>
      <c r="JV24" s="32">
        <f t="shared" si="43"/>
        <v>-1.1615340707058453E-2</v>
      </c>
      <c r="JW24" s="929" t="str">
        <f t="shared" si="44"/>
        <v/>
      </c>
      <c r="JY24" s="929">
        <f t="shared" si="168"/>
        <v>-0.77881033660279364</v>
      </c>
      <c r="JZ24" s="929">
        <f t="shared" si="169"/>
        <v>-0.99993977905195319</v>
      </c>
      <c r="KA24" s="929">
        <f t="shared" si="170"/>
        <v>3423.9334871904612</v>
      </c>
      <c r="KB24" s="929">
        <f t="shared" si="171"/>
        <v>0.5516220586955014</v>
      </c>
      <c r="KC24" s="929">
        <f t="shared" si="172"/>
        <v>-5.4195125711038461E-3</v>
      </c>
      <c r="KD24" s="929">
        <f t="shared" si="173"/>
        <v>0.58081898530636855</v>
      </c>
      <c r="KE24" s="929">
        <f t="shared" si="174"/>
        <v>-0.45096165991561965</v>
      </c>
      <c r="KF24" s="929">
        <f t="shared" si="175"/>
        <v>-1</v>
      </c>
      <c r="KH24" s="102">
        <f t="shared" si="133"/>
        <v>1634.0676249199996</v>
      </c>
      <c r="KI24" s="102">
        <f t="shared" si="134"/>
        <v>464.06305200000025</v>
      </c>
      <c r="KJ24" s="102">
        <f t="shared" si="135"/>
        <v>-95.692093099999994</v>
      </c>
      <c r="KK24" s="102">
        <f t="shared" si="136"/>
        <v>-52.801286130000008</v>
      </c>
      <c r="KL24" s="102">
        <f t="shared" si="137"/>
        <v>0.80491320000001565</v>
      </c>
      <c r="KM24" s="102">
        <f t="shared" si="138"/>
        <v>-85.796497710000011</v>
      </c>
      <c r="KN24" s="102">
        <f t="shared" si="139"/>
        <v>105.30537028999998</v>
      </c>
      <c r="KO24" s="102">
        <f t="shared" si="140"/>
        <v>128.20754145000001</v>
      </c>
      <c r="KQ24" s="32">
        <f t="shared" si="141"/>
        <v>-2.8650868344755741E-2</v>
      </c>
      <c r="KR24" s="32">
        <f t="shared" si="142"/>
        <v>-5.7084549917976513E-2</v>
      </c>
      <c r="KS24" s="32">
        <f t="shared" si="143"/>
        <v>-1.1784049444434614E-2</v>
      </c>
      <c r="KT24" s="32">
        <f t="shared" si="144"/>
        <v>-1.6583610904091503E-6</v>
      </c>
      <c r="KU24" s="32">
        <f t="shared" si="145"/>
        <v>-1.5559106653643089E-2</v>
      </c>
      <c r="KV24" s="32">
        <f t="shared" si="146"/>
        <v>-1.0897596574683855E-2</v>
      </c>
      <c r="KW24" s="32">
        <f t="shared" si="147"/>
        <v>-1.0438928710621945E-2</v>
      </c>
      <c r="KX24" s="32">
        <f t="shared" si="148"/>
        <v>-1.099953136526269E-2</v>
      </c>
      <c r="KY24" s="32">
        <f t="shared" si="149"/>
        <v>-1.0159166965092063E-2</v>
      </c>
      <c r="KZ24" s="32" t="e">
        <f t="shared" si="150"/>
        <v>#DIV/0!</v>
      </c>
      <c r="LB24" s="102">
        <f t="shared" si="151"/>
        <v>-92.758029369999917</v>
      </c>
      <c r="LC24" s="102">
        <f t="shared" si="151"/>
        <v>-220.32374596999989</v>
      </c>
      <c r="LD24" s="102">
        <f t="shared" si="151"/>
        <v>976.82005762000006</v>
      </c>
      <c r="LE24" s="102">
        <f t="shared" si="151"/>
        <v>0</v>
      </c>
      <c r="LF24" s="102">
        <f t="shared" si="151"/>
        <v>-6.8196585500000033</v>
      </c>
      <c r="LG24" s="102">
        <f t="shared" si="151"/>
        <v>11.288153279999998</v>
      </c>
      <c r="LH24" s="102">
        <f t="shared" si="151"/>
        <v>-19.16943113</v>
      </c>
      <c r="LI24" s="102">
        <f t="shared" si="151"/>
        <v>-23.106468490000008</v>
      </c>
      <c r="LJ24" s="102">
        <f t="shared" si="151"/>
        <v>-28.342790290000003</v>
      </c>
      <c r="LK24" s="102">
        <f t="shared" si="151"/>
        <v>-19.903307999999999</v>
      </c>
      <c r="LL24" s="102">
        <f t="shared" si="151"/>
        <v>-65.16777313999998</v>
      </c>
      <c r="LM24" s="102">
        <f t="shared" si="151"/>
        <v>-65.16777313999998</v>
      </c>
      <c r="LN24" s="102"/>
      <c r="LO24" s="102"/>
      <c r="LR24" s="32">
        <f t="shared" si="152"/>
        <v>-5.4335668555354335</v>
      </c>
      <c r="LS24" s="32">
        <f t="shared" si="153"/>
        <v>-1</v>
      </c>
      <c r="LT24" s="32" t="str">
        <f t="shared" si="154"/>
        <v xml:space="preserve"> </v>
      </c>
      <c r="LU24" s="32">
        <f t="shared" si="155"/>
        <v>-2.6552373109647833</v>
      </c>
      <c r="LV24" s="32">
        <f t="shared" si="156"/>
        <v>-2.6981901870489136</v>
      </c>
      <c r="LW24" s="32">
        <f t="shared" si="157"/>
        <v>0.20538102217538312</v>
      </c>
      <c r="LX24" s="32">
        <f t="shared" si="158"/>
        <v>-1</v>
      </c>
      <c r="LZ24" s="102">
        <f t="shared" si="159"/>
        <v>1197.1438035900001</v>
      </c>
      <c r="MA24" s="102">
        <f t="shared" si="160"/>
        <v>-976.82005762000006</v>
      </c>
      <c r="MB24" s="102">
        <f t="shared" si="161"/>
        <v>-6.8196585500000033</v>
      </c>
      <c r="MC24" s="102">
        <f t="shared" si="162"/>
        <v>18.107811830000003</v>
      </c>
      <c r="MD24" s="102">
        <f t="shared" si="163"/>
        <v>-30.457584409999996</v>
      </c>
      <c r="ME24" s="102">
        <f t="shared" si="164"/>
        <v>-3.9370373600000086</v>
      </c>
      <c r="MF24" s="102">
        <f t="shared" si="165"/>
        <v>23.106468490000008</v>
      </c>
      <c r="MH24" s="32">
        <f t="shared" si="166"/>
        <v>-3.0926103108158423E-2</v>
      </c>
      <c r="MI24" s="32">
        <f t="shared" si="166"/>
        <v>-3.9959588742235208E-2</v>
      </c>
      <c r="MJ24" s="32">
        <f t="shared" si="166"/>
        <v>0.19055636863036601</v>
      </c>
      <c r="MK24" s="32">
        <f t="shared" si="166"/>
        <v>0</v>
      </c>
      <c r="ML24" s="32">
        <f t="shared" si="166"/>
        <v>-4.5269449911177614E-3</v>
      </c>
      <c r="MM24" s="32">
        <f t="shared" si="166"/>
        <v>1.0973397780539108E-2</v>
      </c>
      <c r="MN24" s="32">
        <f t="shared" si="166"/>
        <v>-1.2327508122151698E-2</v>
      </c>
      <c r="MO24" s="32">
        <f t="shared" si="166"/>
        <v>-1.2277640827930996E-2</v>
      </c>
      <c r="MP24" s="32" t="e">
        <f>+LO24/LO$11</f>
        <v>#DIV/0!</v>
      </c>
    </row>
    <row r="25" spans="1:354" outlineLevel="1">
      <c r="A25" s="884">
        <v>7420</v>
      </c>
      <c r="B25" s="70" t="s">
        <v>632</v>
      </c>
      <c r="C25" s="17" t="s">
        <v>69</v>
      </c>
      <c r="D25" s="31" t="s">
        <v>59</v>
      </c>
      <c r="E25" s="102">
        <v>-152.41358758999999</v>
      </c>
      <c r="F25" s="102">
        <v>-191.45554530999996</v>
      </c>
      <c r="G25" s="102">
        <v>-247.07953201999999</v>
      </c>
      <c r="H25" s="102">
        <v>-264.01480184000002</v>
      </c>
      <c r="I25" s="102">
        <v>-208.02428186999998</v>
      </c>
      <c r="J25" s="102">
        <v>-314.45864843000004</v>
      </c>
      <c r="K25" s="102">
        <v>-232.69541791000006</v>
      </c>
      <c r="L25" s="102">
        <v>-281.46522032999997</v>
      </c>
      <c r="M25" s="102">
        <v>-209.58086924000008</v>
      </c>
      <c r="N25" s="102">
        <v>-275.27010049</v>
      </c>
      <c r="O25" s="102">
        <v>-196.73749231000011</v>
      </c>
      <c r="P25" s="102">
        <v>-180.48338845999979</v>
      </c>
      <c r="Q25" s="102">
        <v>-309.33830261999998</v>
      </c>
      <c r="R25" s="102">
        <v>-144.95431920000004</v>
      </c>
      <c r="S25" s="102">
        <v>-107.51580185</v>
      </c>
      <c r="T25" s="102">
        <v>-313.38024736</v>
      </c>
      <c r="U25" s="102">
        <v>-322.37483001999999</v>
      </c>
      <c r="V25" s="102">
        <v>-231.80621885000005</v>
      </c>
      <c r="W25" s="102">
        <v>-246.03461924999988</v>
      </c>
      <c r="X25" s="102">
        <v>-163.95322992000001</v>
      </c>
      <c r="Y25" s="102">
        <v>-142.1646360499999</v>
      </c>
      <c r="Z25" s="102">
        <v>-176.38581865000015</v>
      </c>
      <c r="AA25" s="102">
        <v>-247.67930487999956</v>
      </c>
      <c r="AB25" s="102">
        <v>-227.1940599200002</v>
      </c>
      <c r="AC25" s="102">
        <v>-120.38394732</v>
      </c>
      <c r="AD25" s="102">
        <v>-173.05141209999999</v>
      </c>
      <c r="AE25" s="102">
        <v>-156.56683246</v>
      </c>
      <c r="AF25" s="102">
        <v>-138.32868864</v>
      </c>
      <c r="AG25" s="102">
        <v>-136.2093495</v>
      </c>
      <c r="AH25" s="102">
        <v>-173.84052749</v>
      </c>
      <c r="AI25" s="102">
        <v>-238.71035993999999</v>
      </c>
      <c r="AJ25" s="102">
        <v>-209.81295564000001</v>
      </c>
      <c r="AK25" s="102">
        <v>-114.92943047</v>
      </c>
      <c r="AL25" s="102">
        <v>-285.62391174000004</v>
      </c>
      <c r="AM25" s="102">
        <v>-186.43658187999998</v>
      </c>
      <c r="AN25" s="102">
        <v>1600.07785874</v>
      </c>
      <c r="AO25" s="102">
        <v>-19.050697230000004</v>
      </c>
      <c r="AP25" s="145">
        <v>-76.172110309999994</v>
      </c>
      <c r="AQ25" s="143">
        <v>-29.748116229999997</v>
      </c>
      <c r="AR25" s="143">
        <v>-7.0083839499999998</v>
      </c>
      <c r="AS25" s="102">
        <v>-0.19277999999999995</v>
      </c>
      <c r="AT25" s="102">
        <v>0</v>
      </c>
      <c r="AU25" s="102">
        <v>-0.77149800000000002</v>
      </c>
      <c r="AV25" s="102">
        <v>0</v>
      </c>
      <c r="AW25" s="102">
        <v>1.4473</v>
      </c>
      <c r="AX25" s="102">
        <v>0</v>
      </c>
      <c r="AY25" s="102">
        <v>-0.38026799999999999</v>
      </c>
      <c r="AZ25" s="102">
        <v>-46.987231999999999</v>
      </c>
      <c r="BA25" s="102">
        <v>-0.33056099999999999</v>
      </c>
      <c r="BB25" s="102">
        <v>-27.577082000000001</v>
      </c>
      <c r="BC25" s="102">
        <v>-4.3294620000000004</v>
      </c>
      <c r="BD25" s="102">
        <v>-2.1120000000000001</v>
      </c>
      <c r="BE25" s="102">
        <v>-2.1120000000000001</v>
      </c>
      <c r="BF25" s="102">
        <v>0</v>
      </c>
      <c r="BG25" s="102">
        <v>0</v>
      </c>
      <c r="BH25" s="102">
        <v>-1.3180000000000001</v>
      </c>
      <c r="BI25" s="102">
        <v>0</v>
      </c>
      <c r="BJ25" s="102">
        <v>0</v>
      </c>
      <c r="BK25" s="102">
        <v>0</v>
      </c>
      <c r="BL25" s="102">
        <v>-0.17550025</v>
      </c>
      <c r="BM25" s="102">
        <v>0</v>
      </c>
      <c r="BN25" s="102">
        <v>-0.23416000000000001</v>
      </c>
      <c r="BO25" s="102">
        <v>-0.21168000000000001</v>
      </c>
      <c r="BP25" s="102">
        <v>0</v>
      </c>
      <c r="BQ25" s="102">
        <v>-1.38</v>
      </c>
      <c r="BR25" s="102">
        <v>-0.32</v>
      </c>
      <c r="BS25" s="102">
        <v>-0.16</v>
      </c>
      <c r="BT25" s="102">
        <v>0</v>
      </c>
      <c r="BU25" s="102">
        <v>0</v>
      </c>
      <c r="BV25" s="102">
        <v>0.32</v>
      </c>
      <c r="BW25" s="102">
        <v>0</v>
      </c>
      <c r="BX25" s="102">
        <v>0</v>
      </c>
      <c r="BY25" s="102">
        <v>0</v>
      </c>
      <c r="BZ25" s="102">
        <v>0</v>
      </c>
      <c r="CA25" s="102">
        <v>0</v>
      </c>
      <c r="CB25" s="102">
        <v>0</v>
      </c>
      <c r="CC25" s="102">
        <v>0</v>
      </c>
      <c r="CD25" s="102">
        <v>0</v>
      </c>
      <c r="CE25" s="102">
        <v>0</v>
      </c>
      <c r="CF25" s="102">
        <v>0</v>
      </c>
      <c r="CG25" s="102">
        <v>0</v>
      </c>
      <c r="CH25" s="102">
        <v>0</v>
      </c>
      <c r="CI25" s="102">
        <v>0</v>
      </c>
      <c r="CJ25" s="102">
        <v>0</v>
      </c>
      <c r="CK25" s="102">
        <v>-37.381777</v>
      </c>
      <c r="CL25" s="102">
        <v>-10.599285400000001</v>
      </c>
      <c r="CM25" s="102">
        <v>-35.657856799999998</v>
      </c>
      <c r="CN25" s="102">
        <v>-16.577662</v>
      </c>
      <c r="CO25" s="102">
        <v>-12.510043</v>
      </c>
      <c r="CP25" s="102">
        <v>-26.3886638</v>
      </c>
      <c r="CQ25" s="102">
        <v>-14.644641</v>
      </c>
      <c r="CR25" s="102">
        <v>-21.307867399999999</v>
      </c>
      <c r="CS25" s="102">
        <v>-18.5494922</v>
      </c>
      <c r="CT25" s="102">
        <v>-26.182074399999998</v>
      </c>
      <c r="CU25" s="102">
        <v>-22.7294576</v>
      </c>
      <c r="CV25" s="102">
        <v>-15.803347199999999</v>
      </c>
      <c r="CW25" s="102">
        <v>-21.464802199999998</v>
      </c>
      <c r="CX25" s="102">
        <v>-21.721527600000002</v>
      </c>
      <c r="CY25" s="102">
        <v>-24.3807498</v>
      </c>
      <c r="CZ25" s="102">
        <v>-4.1012661999999995</v>
      </c>
      <c r="DA25" s="102">
        <v>-3.4615779999999998</v>
      </c>
      <c r="DB25" s="102">
        <v>-11.248749999999999</v>
      </c>
      <c r="DC25" s="102">
        <v>-16.8230796</v>
      </c>
      <c r="DD25" s="102">
        <v>-107.2812816</v>
      </c>
      <c r="DE25" s="102">
        <v>-43.292439799999997</v>
      </c>
      <c r="DF25" s="102">
        <v>-90.970118599999992</v>
      </c>
      <c r="DG25" s="102">
        <v>-61.611089700000001</v>
      </c>
      <c r="DH25" s="102">
        <v>-57.743930349999999</v>
      </c>
      <c r="DI25" s="102">
        <v>-23.753157249999997</v>
      </c>
      <c r="DJ25" s="102">
        <v>-21.878167300000001</v>
      </c>
      <c r="DK25" s="102">
        <v>-5.5804412000000001</v>
      </c>
      <c r="DL25" s="102">
        <v>-43.037034599999998</v>
      </c>
      <c r="DM25" s="102">
        <v>-11.713023300000001</v>
      </c>
      <c r="DN25" s="102">
        <v>-17.472556399999998</v>
      </c>
      <c r="DO25" s="102">
        <v>-29.015855600000002</v>
      </c>
      <c r="DP25" s="102">
        <v>-24.273484399999997</v>
      </c>
      <c r="DQ25" s="940">
        <v>-35.811039999999998</v>
      </c>
      <c r="DR25" s="940">
        <v>-21.809411600000001</v>
      </c>
      <c r="DS25" s="940">
        <v>-36.139129600000004</v>
      </c>
      <c r="DT25" s="940">
        <v>-46.779068840000001</v>
      </c>
      <c r="DU25" s="940">
        <v>-64.720528009999995</v>
      </c>
      <c r="DV25" s="940">
        <v>-9.3070238199999995</v>
      </c>
      <c r="DW25" s="940">
        <v>-21.94176964</v>
      </c>
      <c r="DX25" s="940">
        <v>-33.213977759999999</v>
      </c>
      <c r="DY25" s="940">
        <v>-17.290976100000002</v>
      </c>
      <c r="DZ25" s="940">
        <v>-132.91605559000001</v>
      </c>
      <c r="EA25" s="940">
        <v>-12.12816241</v>
      </c>
      <c r="EB25" s="940">
        <v>-56.972929629999996</v>
      </c>
      <c r="EC25" s="940">
        <v>-20.567940100000001</v>
      </c>
      <c r="ED25" s="940">
        <v>-187.25521499999999</v>
      </c>
      <c r="EE25" s="940">
        <v>-299.61761744</v>
      </c>
      <c r="EF25" s="940">
        <v>-110.99484902</v>
      </c>
      <c r="EH25" s="102">
        <v>-21.464802199999998</v>
      </c>
      <c r="EI25" s="102">
        <v>-21.721527600000005</v>
      </c>
      <c r="EJ25" s="102">
        <v>-24.380749799999997</v>
      </c>
      <c r="EK25" s="102">
        <v>-4.1012662000000013</v>
      </c>
      <c r="EL25" s="102">
        <v>-3.4615779999999998</v>
      </c>
      <c r="EM25" s="102">
        <v>-11.248749999999999</v>
      </c>
      <c r="EN25" s="102">
        <v>-7.5</v>
      </c>
      <c r="EO25" s="102">
        <v>-10</v>
      </c>
      <c r="EP25" s="102">
        <v>-10.25</v>
      </c>
      <c r="EQ25" s="102">
        <v>-9</v>
      </c>
      <c r="ER25" s="102">
        <v>-7.75</v>
      </c>
      <c r="ES25" s="102">
        <v>-7.75</v>
      </c>
      <c r="EU25" s="102">
        <v>0</v>
      </c>
      <c r="EV25" s="102">
        <v>0</v>
      </c>
      <c r="EW25" s="102">
        <v>0</v>
      </c>
      <c r="EX25" s="102">
        <v>0</v>
      </c>
      <c r="EY25" s="102">
        <v>0</v>
      </c>
      <c r="EZ25" s="102">
        <v>0</v>
      </c>
      <c r="FA25" s="102">
        <v>-38.601965100359998</v>
      </c>
      <c r="FB25" s="102">
        <v>-38.601965100359998</v>
      </c>
      <c r="FC25" s="102">
        <v>-38.601965100359998</v>
      </c>
      <c r="FD25" s="102">
        <v>-38.601965100359998</v>
      </c>
      <c r="FE25" s="102">
        <v>-38.601965100359998</v>
      </c>
      <c r="FF25" s="102">
        <v>-38.601965100359998</v>
      </c>
      <c r="FG25" s="102">
        <v>0</v>
      </c>
      <c r="FH25" s="102">
        <v>0</v>
      </c>
      <c r="FI25" s="102">
        <v>0</v>
      </c>
      <c r="FJ25" s="102">
        <v>0</v>
      </c>
      <c r="FK25" s="102">
        <v>0</v>
      </c>
      <c r="FL25" s="102">
        <v>0</v>
      </c>
      <c r="FM25" s="102">
        <v>0</v>
      </c>
      <c r="FN25" s="102">
        <v>0</v>
      </c>
      <c r="FO25" s="102">
        <v>0</v>
      </c>
      <c r="FP25" s="102">
        <v>0</v>
      </c>
      <c r="FQ25" s="102">
        <v>0</v>
      </c>
      <c r="FR25" s="102">
        <v>0</v>
      </c>
      <c r="FS25" s="102"/>
      <c r="FT25" s="102"/>
      <c r="FU25" s="102"/>
      <c r="FV25" s="102"/>
      <c r="FW25" s="102"/>
      <c r="FX25" s="102"/>
      <c r="FY25" s="102"/>
      <c r="FZ25" s="102"/>
      <c r="GA25" s="102"/>
      <c r="GB25" s="102"/>
      <c r="GC25" s="102"/>
      <c r="GD25" s="102"/>
      <c r="GE25" s="102">
        <v>0</v>
      </c>
      <c r="GF25" s="102">
        <v>0</v>
      </c>
      <c r="GG25" s="102">
        <v>0</v>
      </c>
      <c r="GH25" s="102">
        <v>0</v>
      </c>
      <c r="GI25" s="102">
        <v>0</v>
      </c>
      <c r="GJ25" s="102">
        <v>0</v>
      </c>
      <c r="GK25" s="102">
        <v>0</v>
      </c>
      <c r="GL25" s="102">
        <v>0</v>
      </c>
      <c r="GM25" s="102">
        <v>0</v>
      </c>
      <c r="GN25" s="102">
        <v>0</v>
      </c>
      <c r="GO25" s="102">
        <v>0</v>
      </c>
      <c r="GP25" s="102">
        <v>0</v>
      </c>
      <c r="GQ25" s="102">
        <v>0</v>
      </c>
      <c r="GR25" s="102">
        <v>0</v>
      </c>
      <c r="GS25" s="102">
        <v>0</v>
      </c>
      <c r="GT25" s="102">
        <v>0</v>
      </c>
      <c r="GU25" s="102">
        <v>0</v>
      </c>
      <c r="GV25" s="102">
        <v>0</v>
      </c>
      <c r="GW25" s="102">
        <v>0</v>
      </c>
      <c r="GX25" s="102">
        <v>0</v>
      </c>
      <c r="GY25" s="102">
        <v>0</v>
      </c>
      <c r="GZ25" s="102">
        <v>0</v>
      </c>
      <c r="HA25" s="102">
        <v>0</v>
      </c>
      <c r="HB25" s="102">
        <v>0</v>
      </c>
      <c r="HD25" s="102">
        <f t="shared" si="109"/>
        <v>-2753.6788858</v>
      </c>
      <c r="HE25" s="102">
        <f t="shared" si="109"/>
        <v>-2632.7813885699998</v>
      </c>
      <c r="HF25" s="102">
        <f t="shared" si="109"/>
        <v>-333.8161384399998</v>
      </c>
      <c r="HG25" s="102">
        <f t="shared" si="109"/>
        <v>-178.86378571999998</v>
      </c>
      <c r="HH25" s="102">
        <f t="shared" si="110"/>
        <v>-37.95460525</v>
      </c>
      <c r="HI25" s="102">
        <f t="shared" si="111"/>
        <v>-1.9858399999999998</v>
      </c>
      <c r="HJ25" s="102">
        <f t="shared" si="112"/>
        <v>0</v>
      </c>
      <c r="HK25" s="102">
        <f t="shared" si="113"/>
        <v>-258.33216779999998</v>
      </c>
      <c r="HL25" s="940">
        <f>+SUMIF($E$6:SEW$6,HL$7,$E25:SEW25)</f>
        <v>-464.10061344999997</v>
      </c>
      <c r="HM25" s="940">
        <f>+SUMIF($E$6:SEX$6,HM$7,$E25:SEX25)</f>
        <v>-317.26237008999999</v>
      </c>
      <c r="HN25" s="940">
        <f>+SUMIF($E$6:SEY$6,HN$7,$E25:SEY25)</f>
        <v>-966.92704451999998</v>
      </c>
      <c r="HO25" s="102"/>
      <c r="HP25" s="102"/>
      <c r="HR25" s="929">
        <f t="shared" si="114"/>
        <v>-0.87320780225459105</v>
      </c>
      <c r="HS25" s="929">
        <f t="shared" si="115"/>
        <v>-0.46418472589170823</v>
      </c>
      <c r="HT25" s="929">
        <f t="shared" si="116"/>
        <v>-0.78780162179159308</v>
      </c>
      <c r="HU25" s="929">
        <f t="shared" si="117"/>
        <v>-0.94767854949565045</v>
      </c>
      <c r="HV25" s="929">
        <f t="shared" si="118"/>
        <v>-1</v>
      </c>
      <c r="HW25" s="929" t="str">
        <f t="shared" si="119"/>
        <v/>
      </c>
      <c r="HX25" s="929">
        <f t="shared" si="120"/>
        <v>0.79652660914186013</v>
      </c>
      <c r="HY25" s="929">
        <f t="shared" si="120"/>
        <v>-0.3163931249054891</v>
      </c>
      <c r="HZ25" s="929">
        <f t="shared" si="120"/>
        <v>2.0477205482821841</v>
      </c>
      <c r="IA25" s="929">
        <f t="shared" si="17"/>
        <v>-1</v>
      </c>
      <c r="IB25" s="929" t="str">
        <f t="shared" si="121"/>
        <v/>
      </c>
      <c r="IC25" s="929">
        <f t="shared" si="19"/>
        <v>-1</v>
      </c>
      <c r="IE25" s="102">
        <f t="shared" si="122"/>
        <v>2298.9652501299997</v>
      </c>
      <c r="IF25" s="102">
        <f t="shared" si="123"/>
        <v>154.95235271999982</v>
      </c>
      <c r="IG25" s="102">
        <f t="shared" si="124"/>
        <v>140.90918046999997</v>
      </c>
      <c r="IH25" s="102">
        <f t="shared" si="125"/>
        <v>35.968765249999997</v>
      </c>
      <c r="II25" s="102">
        <f t="shared" si="100"/>
        <v>1.9858399999999998</v>
      </c>
      <c r="IJ25" s="102">
        <f t="shared" si="101"/>
        <v>-258.33216779999998</v>
      </c>
      <c r="IK25" s="102">
        <f t="shared" si="102"/>
        <v>-205.76844564999999</v>
      </c>
      <c r="IL25" s="102">
        <f t="shared" si="27"/>
        <v>464.10061344999997</v>
      </c>
      <c r="IM25" s="102">
        <f t="shared" si="126"/>
        <v>0</v>
      </c>
      <c r="IN25" s="102">
        <f t="shared" si="29"/>
        <v>464.10061344999997</v>
      </c>
      <c r="IP25" s="32">
        <f t="shared" si="127"/>
        <v>-7.1630018252158645E-2</v>
      </c>
      <c r="IQ25" s="32">
        <f t="shared" si="127"/>
        <v>-8.4761520493333974E-3</v>
      </c>
      <c r="IR25" s="32">
        <f t="shared" si="127"/>
        <v>-1.061330838418938E-2</v>
      </c>
      <c r="IS25" s="32">
        <f t="shared" si="127"/>
        <v>-6.169447320490881E-3</v>
      </c>
      <c r="IT25" s="32">
        <f t="shared" si="127"/>
        <v>-1.4570892669412477E-4</v>
      </c>
      <c r="IU25" s="32">
        <f t="shared" si="127"/>
        <v>0</v>
      </c>
      <c r="IV25" s="32">
        <f t="shared" si="127"/>
        <v>-1.2168632394667103E-2</v>
      </c>
      <c r="IW25" s="32">
        <f t="shared" si="127"/>
        <v>-3.6775337607413423E-2</v>
      </c>
      <c r="IX25" s="32" t="e">
        <f t="shared" si="128"/>
        <v>#DIV/0!</v>
      </c>
      <c r="IY25" s="32" t="e">
        <f t="shared" si="129"/>
        <v>#DIV/0!</v>
      </c>
      <c r="JA25" s="102">
        <f t="shared" si="93"/>
        <v>-2753.6788858</v>
      </c>
      <c r="JB25" s="102">
        <f t="shared" si="93"/>
        <v>-2632.7813885699998</v>
      </c>
      <c r="JC25" s="102">
        <f t="shared" si="93"/>
        <v>-333.8161384399998</v>
      </c>
      <c r="JD25" s="102">
        <f t="shared" si="93"/>
        <v>-178.86378571999998</v>
      </c>
      <c r="JE25" s="102">
        <f t="shared" si="93"/>
        <v>-37.95460525</v>
      </c>
      <c r="JF25" s="102">
        <f t="shared" si="93"/>
        <v>-1.9858399999999998</v>
      </c>
      <c r="JG25" s="102">
        <f t="shared" si="93"/>
        <v>0</v>
      </c>
      <c r="JH25" s="102">
        <f t="shared" si="93"/>
        <v>-258.33216779999998</v>
      </c>
      <c r="JI25" s="102">
        <f t="shared" si="93"/>
        <v>-464.10061344999997</v>
      </c>
      <c r="JJ25" s="102">
        <f t="shared" si="93"/>
        <v>-317.26237008999999</v>
      </c>
      <c r="JK25" s="102">
        <f t="shared" si="93"/>
        <v>-966.92704451999998</v>
      </c>
      <c r="JL25" s="102">
        <f t="shared" si="130"/>
        <v>-966.92704451999998</v>
      </c>
      <c r="JM25" s="102"/>
      <c r="JN25" s="102"/>
      <c r="JO25" s="922">
        <f t="shared" si="167"/>
        <v>-0.3163931249054891</v>
      </c>
      <c r="JP25" s="102">
        <f t="shared" si="41"/>
        <v>-966.92704451999998</v>
      </c>
      <c r="JQ25" s="102">
        <f t="shared" si="42"/>
        <v>0</v>
      </c>
      <c r="JR25" s="145"/>
      <c r="JS25" s="929" t="str">
        <f t="shared" si="131"/>
        <v/>
      </c>
      <c r="JT25" s="930">
        <f t="shared" si="89"/>
        <v>-966.92704451999998</v>
      </c>
      <c r="JV25" s="32">
        <f t="shared" si="43"/>
        <v>-3.2026386786988381E-2</v>
      </c>
      <c r="JW25" s="929" t="str">
        <f t="shared" si="44"/>
        <v/>
      </c>
      <c r="JY25" s="929">
        <f t="shared" si="168"/>
        <v>-0.87320780225459105</v>
      </c>
      <c r="JZ25" s="929">
        <f t="shared" si="169"/>
        <v>-0.46418472589170823</v>
      </c>
      <c r="KA25" s="929">
        <f t="shared" si="170"/>
        <v>-0.78780162179159308</v>
      </c>
      <c r="KB25" s="929">
        <f t="shared" si="171"/>
        <v>-0.94767854949565045</v>
      </c>
      <c r="KC25" s="929">
        <f t="shared" si="172"/>
        <v>-1</v>
      </c>
      <c r="KD25" s="929" t="str">
        <f t="shared" si="173"/>
        <v/>
      </c>
      <c r="KE25" s="929">
        <f t="shared" si="174"/>
        <v>0.79652660914186013</v>
      </c>
      <c r="KF25" s="929">
        <f t="shared" si="175"/>
        <v>-1</v>
      </c>
      <c r="KH25" s="102">
        <f t="shared" si="133"/>
        <v>2298.9652501299997</v>
      </c>
      <c r="KI25" s="102">
        <f t="shared" si="134"/>
        <v>154.95235271999982</v>
      </c>
      <c r="KJ25" s="102">
        <f t="shared" si="135"/>
        <v>140.90918046999997</v>
      </c>
      <c r="KK25" s="102">
        <f t="shared" si="136"/>
        <v>35.968765249999997</v>
      </c>
      <c r="KL25" s="102">
        <f t="shared" si="137"/>
        <v>1.9858399999999998</v>
      </c>
      <c r="KM25" s="102">
        <f t="shared" si="138"/>
        <v>-258.33216779999998</v>
      </c>
      <c r="KN25" s="102">
        <f t="shared" si="139"/>
        <v>-205.76844564999999</v>
      </c>
      <c r="KO25" s="102">
        <f t="shared" si="140"/>
        <v>464.10061344999997</v>
      </c>
      <c r="KQ25" s="32">
        <f t="shared" si="141"/>
        <v>-7.589788108982426E-2</v>
      </c>
      <c r="KR25" s="32">
        <f t="shared" si="142"/>
        <v>-7.1630018252158645E-2</v>
      </c>
      <c r="KS25" s="32">
        <f t="shared" si="143"/>
        <v>-8.4761520493333974E-3</v>
      </c>
      <c r="KT25" s="32">
        <f t="shared" si="144"/>
        <v>-1.061330838418938E-2</v>
      </c>
      <c r="KU25" s="32">
        <f t="shared" si="145"/>
        <v>-6.169447320490881E-3</v>
      </c>
      <c r="KV25" s="32">
        <f t="shared" si="146"/>
        <v>-1.4570892669412477E-4</v>
      </c>
      <c r="KW25" s="32">
        <f t="shared" si="147"/>
        <v>0</v>
      </c>
      <c r="KX25" s="32">
        <f t="shared" si="148"/>
        <v>-1.2168632394667103E-2</v>
      </c>
      <c r="KY25" s="32">
        <f t="shared" si="149"/>
        <v>-3.6775337607413423E-2</v>
      </c>
      <c r="KZ25" s="32" t="e">
        <f t="shared" si="150"/>
        <v>#DIV/0!</v>
      </c>
      <c r="LB25" s="102">
        <f t="shared" si="151"/>
        <v>-180.48338845999979</v>
      </c>
      <c r="LC25" s="102">
        <f t="shared" si="151"/>
        <v>-227.1940599200002</v>
      </c>
      <c r="LD25" s="102">
        <f t="shared" si="151"/>
        <v>1600.07785874</v>
      </c>
      <c r="LE25" s="102">
        <f t="shared" si="151"/>
        <v>-46.987231999999999</v>
      </c>
      <c r="LF25" s="102">
        <f t="shared" si="151"/>
        <v>-0.17550025</v>
      </c>
      <c r="LG25" s="102">
        <f t="shared" si="151"/>
        <v>0</v>
      </c>
      <c r="LH25" s="102">
        <f t="shared" si="151"/>
        <v>0</v>
      </c>
      <c r="LI25" s="102">
        <f t="shared" si="151"/>
        <v>-15.803347199999999</v>
      </c>
      <c r="LJ25" s="102">
        <f t="shared" si="151"/>
        <v>-57.743930349999999</v>
      </c>
      <c r="LK25" s="102">
        <f t="shared" si="151"/>
        <v>-46.779068840000001</v>
      </c>
      <c r="LL25" s="102">
        <f t="shared" si="151"/>
        <v>-110.99484902</v>
      </c>
      <c r="LM25" s="102">
        <f t="shared" si="151"/>
        <v>-110.99484902</v>
      </c>
      <c r="LN25" s="102"/>
      <c r="LO25" s="102"/>
      <c r="LR25" s="32">
        <f t="shared" si="152"/>
        <v>-8.0427803407510794</v>
      </c>
      <c r="LS25" s="32">
        <f t="shared" si="153"/>
        <v>-1.0293655910200523</v>
      </c>
      <c r="LT25" s="32">
        <f t="shared" si="154"/>
        <v>-0.99626493746215994</v>
      </c>
      <c r="LU25" s="32">
        <f t="shared" si="155"/>
        <v>-1</v>
      </c>
      <c r="LV25" s="32" t="str">
        <f t="shared" si="156"/>
        <v xml:space="preserve"> </v>
      </c>
      <c r="LW25" s="32" t="str">
        <f t="shared" si="157"/>
        <v xml:space="preserve"> </v>
      </c>
      <c r="LX25" s="32">
        <f t="shared" si="158"/>
        <v>-1</v>
      </c>
      <c r="LZ25" s="102">
        <f t="shared" si="159"/>
        <v>1827.2719186600002</v>
      </c>
      <c r="MA25" s="102">
        <f t="shared" si="160"/>
        <v>-1647.06509074</v>
      </c>
      <c r="MB25" s="102">
        <f t="shared" si="161"/>
        <v>46.81173175</v>
      </c>
      <c r="MC25" s="102">
        <f t="shared" si="162"/>
        <v>0.17550025</v>
      </c>
      <c r="MD25" s="102">
        <f t="shared" si="163"/>
        <v>0</v>
      </c>
      <c r="ME25" s="102">
        <f t="shared" si="164"/>
        <v>-15.803347199999999</v>
      </c>
      <c r="MF25" s="102">
        <f t="shared" si="165"/>
        <v>15.803347199999999</v>
      </c>
      <c r="MH25" s="32">
        <f t="shared" si="166"/>
        <v>-6.0174282687262402E-2</v>
      </c>
      <c r="MI25" s="32">
        <f t="shared" si="166"/>
        <v>-4.1205641085632801E-2</v>
      </c>
      <c r="MJ25" s="32">
        <f t="shared" si="166"/>
        <v>0.31214042331423902</v>
      </c>
      <c r="MK25" s="32">
        <f t="shared" si="166"/>
        <v>-8.0835221486167036E-2</v>
      </c>
      <c r="ML25" s="32">
        <f t="shared" si="166"/>
        <v>-1.1649849796034355E-4</v>
      </c>
      <c r="MM25" s="32">
        <f t="shared" si="166"/>
        <v>0</v>
      </c>
      <c r="MN25" s="32">
        <f t="shared" si="166"/>
        <v>0</v>
      </c>
      <c r="MO25" s="32">
        <f t="shared" si="166"/>
        <v>-8.3971213898246765E-3</v>
      </c>
      <c r="MP25" s="32" t="e">
        <f>+LO25/LO$11</f>
        <v>#DIV/0!</v>
      </c>
    </row>
    <row r="26" spans="1:354" outlineLevel="1">
      <c r="A26" s="884">
        <v>7425</v>
      </c>
      <c r="B26" s="70"/>
      <c r="C26" s="17" t="s">
        <v>633</v>
      </c>
      <c r="D26" s="31"/>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45"/>
      <c r="AC26" s="145"/>
      <c r="AD26" s="145"/>
      <c r="AE26" s="145"/>
      <c r="AF26" s="145"/>
      <c r="AG26" s="145"/>
      <c r="AH26" s="145"/>
      <c r="AI26" s="145"/>
      <c r="AJ26" s="145"/>
      <c r="AK26" s="145"/>
      <c r="AL26" s="145"/>
      <c r="AM26" s="145"/>
      <c r="AN26" s="145"/>
      <c r="AO26" s="102"/>
      <c r="AP26" s="145"/>
      <c r="AQ26" s="143"/>
      <c r="AR26" s="143"/>
      <c r="AS26" s="102"/>
      <c r="AT26" s="102"/>
      <c r="AU26" s="102"/>
      <c r="AV26" s="102"/>
      <c r="AW26" s="102"/>
      <c r="AX26" s="102"/>
      <c r="AY26" s="102"/>
      <c r="AZ26" s="102"/>
      <c r="BA26" s="102">
        <v>0</v>
      </c>
      <c r="BB26" s="102">
        <v>0</v>
      </c>
      <c r="BC26" s="102">
        <v>0</v>
      </c>
      <c r="BD26" s="102">
        <v>0</v>
      </c>
      <c r="BE26" s="102">
        <v>0</v>
      </c>
      <c r="BF26" s="102">
        <v>0</v>
      </c>
      <c r="BG26" s="102">
        <v>0</v>
      </c>
      <c r="BH26" s="102">
        <v>0</v>
      </c>
      <c r="BI26" s="102">
        <v>0</v>
      </c>
      <c r="BJ26" s="102">
        <v>0</v>
      </c>
      <c r="BK26" s="102">
        <v>0</v>
      </c>
      <c r="BL26" s="102">
        <v>0</v>
      </c>
      <c r="BM26" s="102">
        <v>0</v>
      </c>
      <c r="BN26" s="102">
        <v>0</v>
      </c>
      <c r="BO26" s="102">
        <v>0</v>
      </c>
      <c r="BP26" s="102">
        <v>0</v>
      </c>
      <c r="BQ26" s="102">
        <v>0</v>
      </c>
      <c r="BR26" s="102">
        <v>0</v>
      </c>
      <c r="BS26" s="102">
        <v>0</v>
      </c>
      <c r="BT26" s="102">
        <v>0</v>
      </c>
      <c r="BU26" s="102">
        <v>0</v>
      </c>
      <c r="BV26" s="102">
        <v>0</v>
      </c>
      <c r="BW26" s="102">
        <v>0</v>
      </c>
      <c r="BX26" s="102">
        <v>0</v>
      </c>
      <c r="BY26" s="102">
        <v>0</v>
      </c>
      <c r="BZ26" s="102">
        <v>0</v>
      </c>
      <c r="CA26" s="102">
        <v>0</v>
      </c>
      <c r="CB26" s="102">
        <v>0</v>
      </c>
      <c r="CC26" s="102">
        <v>0</v>
      </c>
      <c r="CD26" s="102">
        <v>0</v>
      </c>
      <c r="CE26" s="102">
        <v>0</v>
      </c>
      <c r="CF26" s="102">
        <v>0</v>
      </c>
      <c r="CG26" s="102">
        <v>0</v>
      </c>
      <c r="CH26" s="102">
        <v>0</v>
      </c>
      <c r="CI26" s="102">
        <v>0</v>
      </c>
      <c r="CJ26" s="102">
        <v>0</v>
      </c>
      <c r="CK26" s="102">
        <v>0</v>
      </c>
      <c r="CL26" s="102">
        <v>0</v>
      </c>
      <c r="CM26" s="102">
        <v>0</v>
      </c>
      <c r="CN26" s="102">
        <v>0</v>
      </c>
      <c r="CO26" s="102">
        <v>0</v>
      </c>
      <c r="CP26" s="102">
        <v>0</v>
      </c>
      <c r="CQ26" s="102">
        <v>0</v>
      </c>
      <c r="CR26" s="102">
        <v>0</v>
      </c>
      <c r="CS26" s="102">
        <v>0</v>
      </c>
      <c r="CT26" s="102">
        <v>0</v>
      </c>
      <c r="CU26" s="102">
        <v>0</v>
      </c>
      <c r="CV26" s="102">
        <v>0</v>
      </c>
      <c r="CW26" s="102">
        <v>0</v>
      </c>
      <c r="CX26" s="102">
        <v>0</v>
      </c>
      <c r="CY26" s="102">
        <v>0</v>
      </c>
      <c r="CZ26" s="102">
        <v>0</v>
      </c>
      <c r="DA26" s="102">
        <v>0</v>
      </c>
      <c r="DB26" s="102">
        <v>0</v>
      </c>
      <c r="DC26" s="102">
        <v>0</v>
      </c>
      <c r="DD26" s="102">
        <v>0</v>
      </c>
      <c r="DE26" s="102">
        <v>0</v>
      </c>
      <c r="DF26" s="102">
        <v>0</v>
      </c>
      <c r="DG26" s="102">
        <v>0</v>
      </c>
      <c r="DH26" s="102">
        <v>0</v>
      </c>
      <c r="DI26" s="102">
        <v>0</v>
      </c>
      <c r="DJ26" s="102">
        <v>0</v>
      </c>
      <c r="DK26" s="102">
        <v>0</v>
      </c>
      <c r="DL26" s="102">
        <v>0</v>
      </c>
      <c r="DM26" s="102">
        <v>0</v>
      </c>
      <c r="DN26" s="102">
        <v>0</v>
      </c>
      <c r="DO26" s="102">
        <v>0</v>
      </c>
      <c r="DP26" s="102">
        <v>0</v>
      </c>
      <c r="DQ26" s="940">
        <v>0</v>
      </c>
      <c r="DR26" s="940">
        <v>0</v>
      </c>
      <c r="DS26" s="940">
        <v>0</v>
      </c>
      <c r="DT26" s="940">
        <v>0</v>
      </c>
      <c r="DU26" s="940">
        <v>0</v>
      </c>
      <c r="DV26" s="940">
        <v>0</v>
      </c>
      <c r="DW26" s="940">
        <v>0</v>
      </c>
      <c r="DX26" s="940">
        <v>0</v>
      </c>
      <c r="DY26" s="940">
        <v>0</v>
      </c>
      <c r="DZ26" s="940">
        <v>0</v>
      </c>
      <c r="EA26" s="940">
        <v>0</v>
      </c>
      <c r="EB26" s="940">
        <v>0</v>
      </c>
      <c r="EC26" s="940">
        <v>0</v>
      </c>
      <c r="ED26" s="940">
        <v>0</v>
      </c>
      <c r="EE26" s="940">
        <v>0</v>
      </c>
      <c r="EF26" s="940">
        <v>0</v>
      </c>
      <c r="EH26" s="102">
        <v>0</v>
      </c>
      <c r="EI26" s="102">
        <v>0</v>
      </c>
      <c r="EJ26" s="102">
        <v>0</v>
      </c>
      <c r="EK26" s="102">
        <v>0</v>
      </c>
      <c r="EL26" s="102">
        <v>0</v>
      </c>
      <c r="EM26" s="102">
        <v>0</v>
      </c>
      <c r="EN26" s="102">
        <v>0</v>
      </c>
      <c r="EO26" s="102">
        <v>0</v>
      </c>
      <c r="EP26" s="102">
        <v>0</v>
      </c>
      <c r="EQ26" s="102">
        <v>0</v>
      </c>
      <c r="ER26" s="102">
        <v>0</v>
      </c>
      <c r="ES26" s="102">
        <v>0</v>
      </c>
      <c r="EU26" s="102">
        <v>0</v>
      </c>
      <c r="EV26" s="102">
        <v>0</v>
      </c>
      <c r="EW26" s="102">
        <v>0</v>
      </c>
      <c r="EX26" s="102">
        <v>0</v>
      </c>
      <c r="EY26" s="102">
        <v>0</v>
      </c>
      <c r="EZ26" s="102">
        <v>0</v>
      </c>
      <c r="FA26" s="102">
        <v>0</v>
      </c>
      <c r="FB26" s="102">
        <v>0</v>
      </c>
      <c r="FC26" s="102">
        <v>0</v>
      </c>
      <c r="FD26" s="102">
        <v>0</v>
      </c>
      <c r="FE26" s="102">
        <v>0</v>
      </c>
      <c r="FF26" s="102">
        <v>0</v>
      </c>
      <c r="FG26" s="102">
        <v>-1.36</v>
      </c>
      <c r="FH26" s="102">
        <v>-1.36</v>
      </c>
      <c r="FI26" s="102">
        <v>-1.36</v>
      </c>
      <c r="FJ26" s="102">
        <v>-1.36</v>
      </c>
      <c r="FK26" s="102">
        <v>-1.36</v>
      </c>
      <c r="FL26" s="102">
        <v>-1.36</v>
      </c>
      <c r="FM26" s="102">
        <v>-1.36</v>
      </c>
      <c r="FN26" s="102">
        <v>-1.36</v>
      </c>
      <c r="FO26" s="102">
        <v>-1.36</v>
      </c>
      <c r="FP26" s="102">
        <v>-1.36</v>
      </c>
      <c r="FQ26" s="102">
        <v>-1.36</v>
      </c>
      <c r="FR26" s="102">
        <v>-1.36</v>
      </c>
      <c r="FS26" s="102"/>
      <c r="FT26" s="102"/>
      <c r="FU26" s="102"/>
      <c r="FV26" s="102"/>
      <c r="FW26" s="102"/>
      <c r="FX26" s="102"/>
      <c r="FY26" s="102"/>
      <c r="FZ26" s="102"/>
      <c r="GA26" s="102"/>
      <c r="GB26" s="102"/>
      <c r="GC26" s="102"/>
      <c r="GD26" s="102"/>
      <c r="GE26" s="102">
        <v>0</v>
      </c>
      <c r="GF26" s="102">
        <v>0</v>
      </c>
      <c r="GG26" s="102">
        <v>0</v>
      </c>
      <c r="GH26" s="102">
        <v>0</v>
      </c>
      <c r="GI26" s="102">
        <v>0</v>
      </c>
      <c r="GJ26" s="102">
        <v>0</v>
      </c>
      <c r="GK26" s="102">
        <v>0</v>
      </c>
      <c r="GL26" s="102">
        <v>0</v>
      </c>
      <c r="GM26" s="102">
        <v>0</v>
      </c>
      <c r="GN26" s="102">
        <v>0</v>
      </c>
      <c r="GO26" s="102">
        <v>0</v>
      </c>
      <c r="GP26" s="102">
        <v>0</v>
      </c>
      <c r="GQ26" s="102">
        <v>0</v>
      </c>
      <c r="GR26" s="102">
        <v>0</v>
      </c>
      <c r="GS26" s="102">
        <v>0</v>
      </c>
      <c r="GT26" s="102">
        <v>0</v>
      </c>
      <c r="GU26" s="102">
        <v>0</v>
      </c>
      <c r="GV26" s="102">
        <v>0</v>
      </c>
      <c r="GW26" s="102">
        <v>0</v>
      </c>
      <c r="GX26" s="102">
        <v>0</v>
      </c>
      <c r="GY26" s="102">
        <v>0</v>
      </c>
      <c r="GZ26" s="102">
        <v>0</v>
      </c>
      <c r="HA26" s="102">
        <v>0</v>
      </c>
      <c r="HB26" s="102">
        <v>0</v>
      </c>
      <c r="HD26" s="102">
        <f t="shared" si="109"/>
        <v>0</v>
      </c>
      <c r="HE26" s="102">
        <f t="shared" si="109"/>
        <v>0</v>
      </c>
      <c r="HF26" s="102">
        <f t="shared" si="109"/>
        <v>0</v>
      </c>
      <c r="HG26" s="102">
        <f t="shared" si="109"/>
        <v>0</v>
      </c>
      <c r="HH26" s="102">
        <f t="shared" si="110"/>
        <v>0</v>
      </c>
      <c r="HI26" s="102">
        <f t="shared" si="111"/>
        <v>0</v>
      </c>
      <c r="HJ26" s="102">
        <f t="shared" si="112"/>
        <v>0</v>
      </c>
      <c r="HK26" s="102">
        <f t="shared" si="113"/>
        <v>0</v>
      </c>
      <c r="HL26" s="940">
        <f>+SUMIF($E$6:SEW$6,HL$7,$E26:SEW26)</f>
        <v>0</v>
      </c>
      <c r="HM26" s="940">
        <f>+SUMIF($E$6:SEX$6,HM$7,$E26:SEX26)</f>
        <v>0</v>
      </c>
      <c r="HN26" s="940">
        <f>+SUMIF($E$6:SEY$6,HN$7,$E26:SEY26)</f>
        <v>0</v>
      </c>
      <c r="HO26" s="102"/>
      <c r="HP26" s="102"/>
      <c r="HR26" s="929" t="str">
        <f t="shared" si="114"/>
        <v/>
      </c>
      <c r="HS26" s="929" t="str">
        <f t="shared" si="115"/>
        <v/>
      </c>
      <c r="HT26" s="929" t="str">
        <f t="shared" si="116"/>
        <v/>
      </c>
      <c r="HU26" s="929" t="str">
        <f t="shared" si="117"/>
        <v/>
      </c>
      <c r="HV26" s="929" t="str">
        <f t="shared" si="118"/>
        <v/>
      </c>
      <c r="HW26" s="929" t="str">
        <f t="shared" si="119"/>
        <v/>
      </c>
      <c r="HX26" s="929" t="str">
        <f t="shared" si="120"/>
        <v/>
      </c>
      <c r="HY26" s="929" t="str">
        <f t="shared" si="120"/>
        <v/>
      </c>
      <c r="HZ26" s="929" t="str">
        <f t="shared" si="120"/>
        <v/>
      </c>
      <c r="IA26" s="929" t="str">
        <f t="shared" si="17"/>
        <v/>
      </c>
      <c r="IB26" s="929" t="str">
        <f t="shared" si="121"/>
        <v/>
      </c>
      <c r="IC26" s="929" t="str">
        <f t="shared" si="19"/>
        <v/>
      </c>
      <c r="IE26" s="102">
        <f t="shared" si="122"/>
        <v>0</v>
      </c>
      <c r="IF26" s="102">
        <f t="shared" si="123"/>
        <v>0</v>
      </c>
      <c r="IG26" s="102">
        <f t="shared" si="124"/>
        <v>0</v>
      </c>
      <c r="IH26" s="102">
        <f t="shared" si="125"/>
        <v>0</v>
      </c>
      <c r="II26" s="102">
        <f t="shared" si="100"/>
        <v>0</v>
      </c>
      <c r="IJ26" s="102">
        <f t="shared" si="101"/>
        <v>0</v>
      </c>
      <c r="IK26" s="102">
        <f t="shared" si="102"/>
        <v>0</v>
      </c>
      <c r="IL26" s="102">
        <f t="shared" si="27"/>
        <v>0</v>
      </c>
      <c r="IM26" s="102">
        <f t="shared" si="126"/>
        <v>0</v>
      </c>
      <c r="IN26" s="102">
        <f t="shared" si="29"/>
        <v>0</v>
      </c>
      <c r="IP26" s="32"/>
      <c r="IQ26" s="32"/>
      <c r="IR26" s="32"/>
      <c r="IS26" s="32"/>
      <c r="IT26" s="32">
        <f t="shared" ref="IT26:IT37" si="176">+HI26/HI$11</f>
        <v>0</v>
      </c>
      <c r="IU26" s="32">
        <f t="shared" ref="IU26:IU37" si="177">+HJ26/HJ$11</f>
        <v>0</v>
      </c>
      <c r="IV26" s="32">
        <f t="shared" ref="IV26:IV37" si="178">+HK26/HK$11</f>
        <v>0</v>
      </c>
      <c r="IW26" s="32">
        <f t="shared" ref="IW26:IW37" si="179">+HL26/HL$11</f>
        <v>0</v>
      </c>
      <c r="IX26" s="32" t="e">
        <f t="shared" si="128"/>
        <v>#DIV/0!</v>
      </c>
      <c r="IY26" s="32" t="e">
        <f t="shared" si="129"/>
        <v>#DIV/0!</v>
      </c>
      <c r="JA26" s="102">
        <f t="shared" si="93"/>
        <v>0</v>
      </c>
      <c r="JB26" s="102">
        <f t="shared" si="93"/>
        <v>0</v>
      </c>
      <c r="JC26" s="102">
        <f t="shared" si="93"/>
        <v>0</v>
      </c>
      <c r="JD26" s="102">
        <f t="shared" si="93"/>
        <v>0</v>
      </c>
      <c r="JE26" s="102">
        <f t="shared" si="93"/>
        <v>0</v>
      </c>
      <c r="JF26" s="102">
        <f t="shared" si="93"/>
        <v>0</v>
      </c>
      <c r="JG26" s="102">
        <f t="shared" si="93"/>
        <v>0</v>
      </c>
      <c r="JH26" s="102">
        <f t="shared" si="93"/>
        <v>0</v>
      </c>
      <c r="JI26" s="102">
        <f t="shared" si="93"/>
        <v>0</v>
      </c>
      <c r="JJ26" s="102">
        <f t="shared" si="93"/>
        <v>0</v>
      </c>
      <c r="JK26" s="102">
        <f t="shared" si="93"/>
        <v>0</v>
      </c>
      <c r="JL26" s="102">
        <f t="shared" si="130"/>
        <v>0</v>
      </c>
      <c r="JM26" s="102"/>
      <c r="JN26" s="102"/>
      <c r="JO26" s="1188" t="e">
        <f t="shared" si="167"/>
        <v>#DIV/0!</v>
      </c>
      <c r="JP26" s="102">
        <f t="shared" si="41"/>
        <v>0</v>
      </c>
      <c r="JQ26" s="102">
        <f t="shared" si="42"/>
        <v>0</v>
      </c>
      <c r="JR26" s="145"/>
      <c r="JS26" s="929" t="str">
        <f t="shared" si="131"/>
        <v/>
      </c>
      <c r="JT26" s="930">
        <f t="shared" si="89"/>
        <v>0</v>
      </c>
      <c r="JV26" s="32">
        <f t="shared" si="43"/>
        <v>0</v>
      </c>
      <c r="JW26" s="929" t="str">
        <f t="shared" si="44"/>
        <v/>
      </c>
      <c r="JY26" s="929" t="str">
        <f t="shared" si="168"/>
        <v/>
      </c>
      <c r="JZ26" s="929" t="str">
        <f t="shared" si="169"/>
        <v/>
      </c>
      <c r="KA26" s="929" t="str">
        <f t="shared" si="170"/>
        <v/>
      </c>
      <c r="KB26" s="929" t="str">
        <f t="shared" si="171"/>
        <v/>
      </c>
      <c r="KC26" s="929" t="str">
        <f t="shared" si="172"/>
        <v/>
      </c>
      <c r="KD26" s="929" t="str">
        <f t="shared" si="173"/>
        <v/>
      </c>
      <c r="KE26" s="929" t="str">
        <f t="shared" si="174"/>
        <v/>
      </c>
      <c r="KF26" s="929" t="str">
        <f t="shared" si="175"/>
        <v/>
      </c>
      <c r="KH26" s="102">
        <f t="shared" si="133"/>
        <v>0</v>
      </c>
      <c r="KI26" s="102">
        <f t="shared" si="134"/>
        <v>0</v>
      </c>
      <c r="KJ26" s="102">
        <f t="shared" si="135"/>
        <v>0</v>
      </c>
      <c r="KK26" s="102">
        <f t="shared" si="136"/>
        <v>0</v>
      </c>
      <c r="KL26" s="102">
        <f t="shared" si="137"/>
        <v>0</v>
      </c>
      <c r="KM26" s="102">
        <f t="shared" si="138"/>
        <v>0</v>
      </c>
      <c r="KN26" s="102">
        <f t="shared" si="139"/>
        <v>0</v>
      </c>
      <c r="KO26" s="102">
        <f t="shared" si="140"/>
        <v>0</v>
      </c>
      <c r="KQ26" s="32">
        <f t="shared" si="141"/>
        <v>0</v>
      </c>
      <c r="KR26" s="32">
        <f t="shared" si="142"/>
        <v>0</v>
      </c>
      <c r="KS26" s="32">
        <f t="shared" si="143"/>
        <v>0</v>
      </c>
      <c r="KT26" s="32">
        <f t="shared" si="144"/>
        <v>0</v>
      </c>
      <c r="KU26" s="32">
        <f t="shared" si="145"/>
        <v>0</v>
      </c>
      <c r="KV26" s="32">
        <f t="shared" si="146"/>
        <v>0</v>
      </c>
      <c r="KW26" s="32">
        <f t="shared" si="147"/>
        <v>0</v>
      </c>
      <c r="KX26" s="32">
        <f t="shared" si="148"/>
        <v>0</v>
      </c>
      <c r="KY26" s="32">
        <f t="shared" si="149"/>
        <v>0</v>
      </c>
      <c r="KZ26" s="32" t="e">
        <f t="shared" si="150"/>
        <v>#DIV/0!</v>
      </c>
      <c r="LB26" s="102">
        <f t="shared" si="151"/>
        <v>0</v>
      </c>
      <c r="LC26" s="102">
        <f t="shared" si="151"/>
        <v>0</v>
      </c>
      <c r="LD26" s="102">
        <f t="shared" si="151"/>
        <v>0</v>
      </c>
      <c r="LE26" s="102">
        <f t="shared" si="151"/>
        <v>0</v>
      </c>
      <c r="LF26" s="102">
        <f t="shared" si="151"/>
        <v>0</v>
      </c>
      <c r="LG26" s="102">
        <f t="shared" si="151"/>
        <v>0</v>
      </c>
      <c r="LH26" s="102">
        <f t="shared" si="151"/>
        <v>0</v>
      </c>
      <c r="LI26" s="102">
        <f t="shared" si="151"/>
        <v>0</v>
      </c>
      <c r="LJ26" s="102">
        <f t="shared" si="151"/>
        <v>0</v>
      </c>
      <c r="LK26" s="102">
        <f t="shared" si="151"/>
        <v>0</v>
      </c>
      <c r="LL26" s="102">
        <f t="shared" si="151"/>
        <v>0</v>
      </c>
      <c r="LM26" s="102">
        <f t="shared" si="151"/>
        <v>0</v>
      </c>
      <c r="LN26" s="102"/>
      <c r="LO26" s="102"/>
      <c r="LR26" s="32" t="str">
        <f t="shared" si="152"/>
        <v xml:space="preserve"> </v>
      </c>
      <c r="LS26" s="32" t="str">
        <f t="shared" si="153"/>
        <v xml:space="preserve"> </v>
      </c>
      <c r="LT26" s="32" t="str">
        <f t="shared" si="154"/>
        <v xml:space="preserve"> </v>
      </c>
      <c r="LU26" s="32" t="str">
        <f t="shared" si="155"/>
        <v xml:space="preserve"> </v>
      </c>
      <c r="LV26" s="32" t="str">
        <f t="shared" si="156"/>
        <v xml:space="preserve"> </v>
      </c>
      <c r="LW26" s="32" t="str">
        <f t="shared" si="157"/>
        <v xml:space="preserve"> </v>
      </c>
      <c r="LX26" s="32" t="str">
        <f t="shared" si="158"/>
        <v xml:space="preserve"> </v>
      </c>
      <c r="LZ26" s="102">
        <f t="shared" si="159"/>
        <v>0</v>
      </c>
      <c r="MA26" s="102">
        <f t="shared" si="160"/>
        <v>0</v>
      </c>
      <c r="MB26" s="102">
        <f t="shared" si="161"/>
        <v>0</v>
      </c>
      <c r="MC26" s="102">
        <f t="shared" si="162"/>
        <v>0</v>
      </c>
      <c r="MD26" s="102">
        <f t="shared" si="163"/>
        <v>0</v>
      </c>
      <c r="ME26" s="102">
        <f t="shared" si="164"/>
        <v>0</v>
      </c>
      <c r="MF26" s="102">
        <f t="shared" si="165"/>
        <v>0</v>
      </c>
      <c r="MH26" s="32"/>
      <c r="MI26" s="32"/>
      <c r="MJ26" s="32"/>
      <c r="MK26" s="32"/>
      <c r="ML26" s="32"/>
      <c r="MM26" s="32"/>
      <c r="MN26" s="32"/>
      <c r="MO26" s="32"/>
      <c r="MP26" s="32"/>
    </row>
    <row r="27" spans="1:354" outlineLevel="1">
      <c r="A27" s="884">
        <v>7430</v>
      </c>
      <c r="B27" s="70" t="s">
        <v>634</v>
      </c>
      <c r="C27" s="17" t="s">
        <v>70</v>
      </c>
      <c r="D27" s="31" t="s">
        <v>59</v>
      </c>
      <c r="E27" s="102">
        <v>-64.973253639999996</v>
      </c>
      <c r="F27" s="102">
        <v>-39.035599400000009</v>
      </c>
      <c r="G27" s="102">
        <v>-54.857001979999993</v>
      </c>
      <c r="H27" s="102">
        <v>-53.636713979999996</v>
      </c>
      <c r="I27" s="102">
        <v>-54.869461119999983</v>
      </c>
      <c r="J27" s="102">
        <v>-63.364586670000051</v>
      </c>
      <c r="K27" s="102">
        <v>-92.330430519999993</v>
      </c>
      <c r="L27" s="102">
        <v>-59.217141239999989</v>
      </c>
      <c r="M27" s="102">
        <v>-69.479407359999925</v>
      </c>
      <c r="N27" s="102">
        <v>-80.233145280000144</v>
      </c>
      <c r="O27" s="102">
        <v>-75.215940969999906</v>
      </c>
      <c r="P27" s="102">
        <v>-70.665634680000039</v>
      </c>
      <c r="Q27" s="102">
        <v>-74.618755399999998</v>
      </c>
      <c r="R27" s="102">
        <v>-34.329774760000006</v>
      </c>
      <c r="S27" s="102">
        <v>-73.472734000000017</v>
      </c>
      <c r="T27" s="102">
        <v>-159.47640469999999</v>
      </c>
      <c r="U27" s="102">
        <v>-66.000458569999978</v>
      </c>
      <c r="V27" s="102">
        <v>-99.094488510000019</v>
      </c>
      <c r="W27" s="102">
        <v>-75.717738080000061</v>
      </c>
      <c r="X27" s="102">
        <v>-70.737796890000027</v>
      </c>
      <c r="Y27" s="102">
        <v>-62.463051099999916</v>
      </c>
      <c r="Z27" s="102">
        <v>-57.51191947999996</v>
      </c>
      <c r="AA27" s="102">
        <v>-33.95245809000005</v>
      </c>
      <c r="AB27" s="145">
        <v>-43.682757349999974</v>
      </c>
      <c r="AC27" s="145">
        <v>-77.891613240000012</v>
      </c>
      <c r="AD27" s="145">
        <v>-63.292108410000004</v>
      </c>
      <c r="AE27" s="145">
        <v>-58.069371590000003</v>
      </c>
      <c r="AF27" s="145">
        <v>-70.69626864</v>
      </c>
      <c r="AG27" s="145">
        <v>-78.530180400000006</v>
      </c>
      <c r="AH27" s="145">
        <v>-61.020840379999996</v>
      </c>
      <c r="AI27" s="145">
        <v>-73.552944120000006</v>
      </c>
      <c r="AJ27" s="145">
        <v>-79.896394459999996</v>
      </c>
      <c r="AK27" s="145">
        <v>-91.917294150000004</v>
      </c>
      <c r="AL27" s="145">
        <v>-136.24228772999999</v>
      </c>
      <c r="AM27" s="145">
        <v>-134.64897909000001</v>
      </c>
      <c r="AN27" s="145">
        <v>778.96759999000005</v>
      </c>
      <c r="AO27" s="102">
        <v>-3.7516619500000004</v>
      </c>
      <c r="AP27" s="145">
        <v>-10.01572895</v>
      </c>
      <c r="AQ27" s="143">
        <v>-4.7414619500000006</v>
      </c>
      <c r="AR27" s="143">
        <v>-4.4690022699999998</v>
      </c>
      <c r="AS27" s="102">
        <v>-4.4159619499999998</v>
      </c>
      <c r="AT27" s="102">
        <v>-4.4159619499999998</v>
      </c>
      <c r="AU27" s="102">
        <v>-4.9774499500000005</v>
      </c>
      <c r="AV27" s="102">
        <v>-3.4056703100000001</v>
      </c>
      <c r="AW27" s="102">
        <v>-9.4608422100000009</v>
      </c>
      <c r="AX27" s="102">
        <v>-3.4945940699999998</v>
      </c>
      <c r="AY27" s="102">
        <v>-11.122229949999999</v>
      </c>
      <c r="AZ27" s="102">
        <v>-2.7314419500000002</v>
      </c>
      <c r="BA27" s="102">
        <v>-5.77568372</v>
      </c>
      <c r="BB27" s="102">
        <v>-3.0895338499999996</v>
      </c>
      <c r="BC27" s="102">
        <v>-0.7472067</v>
      </c>
      <c r="BD27" s="102">
        <v>-69.915793280000003</v>
      </c>
      <c r="BE27" s="102">
        <v>-3.825526</v>
      </c>
      <c r="BF27" s="102">
        <v>-6.0471769999999996</v>
      </c>
      <c r="BG27" s="102">
        <v>-0.84885793999999992</v>
      </c>
      <c r="BH27" s="102">
        <v>-1.4055686499999984</v>
      </c>
      <c r="BI27" s="102">
        <v>1.3416811399999999</v>
      </c>
      <c r="BJ27" s="102">
        <v>-12.378349829999999</v>
      </c>
      <c r="BK27" s="102">
        <v>-1.2804789699999999</v>
      </c>
      <c r="BL27" s="102">
        <v>-63.657950870000008</v>
      </c>
      <c r="BM27" s="102">
        <v>-3.6473434199999999</v>
      </c>
      <c r="BN27" s="102">
        <v>-5.1181489500000001</v>
      </c>
      <c r="BO27" s="102">
        <v>-7.7987109500000003</v>
      </c>
      <c r="BP27" s="102">
        <v>-3.4791109500000004</v>
      </c>
      <c r="BQ27" s="145">
        <v>-2.9129319500000004</v>
      </c>
      <c r="BR27" s="145">
        <v>-3.0757929500000003</v>
      </c>
      <c r="BS27" s="145">
        <v>-11.59339295</v>
      </c>
      <c r="BT27" s="145">
        <v>-3.2246427400000002</v>
      </c>
      <c r="BU27" s="145">
        <v>-3.0766239500000001</v>
      </c>
      <c r="BV27" s="145">
        <v>-3.3098499500000003</v>
      </c>
      <c r="BW27" s="102">
        <v>-16.874133950000001</v>
      </c>
      <c r="BX27" s="102">
        <v>-2.80942895</v>
      </c>
      <c r="BY27" s="102">
        <v>-9.8078611099999993</v>
      </c>
      <c r="BZ27" s="102">
        <v>-3.3979210000000002</v>
      </c>
      <c r="CA27" s="102">
        <v>-14.748839859999999</v>
      </c>
      <c r="CB27" s="102">
        <v>-22.661177039999998</v>
      </c>
      <c r="CC27" s="102">
        <v>3.6720860000000002</v>
      </c>
      <c r="CD27" s="102">
        <v>-0.86013399999999995</v>
      </c>
      <c r="CE27" s="102">
        <v>-6.8239660000000004</v>
      </c>
      <c r="CF27" s="102">
        <v>-11.31346374</v>
      </c>
      <c r="CG27" s="102">
        <v>-4.5304419999999999</v>
      </c>
      <c r="CH27" s="102">
        <v>-6.003768</v>
      </c>
      <c r="CI27" s="102">
        <v>-7.8027810000000004</v>
      </c>
      <c r="CJ27" s="102">
        <v>-28.098300999999999</v>
      </c>
      <c r="CK27" s="102">
        <v>-3.395337</v>
      </c>
      <c r="CL27" s="102">
        <v>-5.0587850000000003</v>
      </c>
      <c r="CM27" s="102">
        <v>-5.5848740000000001</v>
      </c>
      <c r="CN27" s="102">
        <v>-6.3635570000000001</v>
      </c>
      <c r="CO27" s="102">
        <v>-5.2448309999999996</v>
      </c>
      <c r="CP27" s="102">
        <v>-6.396846</v>
      </c>
      <c r="CQ27" s="102">
        <v>-5.200958</v>
      </c>
      <c r="CR27" s="102">
        <v>-5.3276709999999996</v>
      </c>
      <c r="CS27" s="102">
        <v>-4.4645496799999993</v>
      </c>
      <c r="CT27" s="102">
        <v>-4.6515226100000007</v>
      </c>
      <c r="CU27" s="102">
        <v>-6.44701682</v>
      </c>
      <c r="CV27" s="102">
        <v>-6.138306</v>
      </c>
      <c r="CW27" s="102">
        <v>-26.815888000000001</v>
      </c>
      <c r="CX27" s="102">
        <v>-6.3024990000000001</v>
      </c>
      <c r="CY27" s="102">
        <v>-5.6606839999999998</v>
      </c>
      <c r="CZ27" s="102">
        <v>-5.3088819999999997</v>
      </c>
      <c r="DA27" s="102">
        <v>-4.5761729999999998</v>
      </c>
      <c r="DB27" s="102">
        <v>-3.9213010000000001</v>
      </c>
      <c r="DC27" s="102">
        <v>-4.2637522199999998</v>
      </c>
      <c r="DD27" s="102">
        <v>-3.6943790000000001</v>
      </c>
      <c r="DE27" s="102">
        <v>-9.4286630000000002</v>
      </c>
      <c r="DF27" s="102">
        <v>-4.1333529999999996</v>
      </c>
      <c r="DG27" s="102">
        <v>-2.3107350000000002</v>
      </c>
      <c r="DH27" s="102">
        <v>-3.9123030000000001</v>
      </c>
      <c r="DI27" s="102">
        <v>-4.1466381999999999</v>
      </c>
      <c r="DJ27" s="102">
        <v>-4.0953030000000004</v>
      </c>
      <c r="DK27" s="102">
        <v>-4.1093618200000002</v>
      </c>
      <c r="DL27" s="102">
        <v>-4.1973029999999998</v>
      </c>
      <c r="DM27" s="102">
        <v>-3.8528099999999998</v>
      </c>
      <c r="DN27" s="102">
        <v>-4.0495840000000003</v>
      </c>
      <c r="DO27" s="102">
        <v>-4.1318250000000001</v>
      </c>
      <c r="DP27" s="102">
        <v>-4.1455679999999999</v>
      </c>
      <c r="DQ27" s="940">
        <v>-4.4303679999999996</v>
      </c>
      <c r="DR27" s="940">
        <v>-3.232542</v>
      </c>
      <c r="DS27" s="940">
        <v>-12.233828000000001</v>
      </c>
      <c r="DT27" s="940">
        <v>-4.6284000000000001</v>
      </c>
      <c r="DU27" s="940">
        <v>-4.9868569999999997</v>
      </c>
      <c r="DV27" s="940">
        <v>-4.8500870000000003</v>
      </c>
      <c r="DW27" s="940">
        <v>-6.4913090000000002</v>
      </c>
      <c r="DX27" s="940">
        <v>-4.2776529199999995</v>
      </c>
      <c r="DY27" s="940">
        <v>-7.4950869999999998</v>
      </c>
      <c r="DZ27" s="940">
        <v>-7.7904274800000008</v>
      </c>
      <c r="EA27" s="940">
        <v>-7.0032436100000002</v>
      </c>
      <c r="EB27" s="940">
        <v>-6.8730097599999995</v>
      </c>
      <c r="EC27" s="940">
        <v>-25.190795559999998</v>
      </c>
      <c r="ED27" s="940">
        <v>-6.8957426699999997</v>
      </c>
      <c r="EE27" s="940">
        <v>-10.750648210000001</v>
      </c>
      <c r="EF27" s="940">
        <v>-7.8163099999999996</v>
      </c>
      <c r="EH27" s="102">
        <v>-26.815888000000001</v>
      </c>
      <c r="EI27" s="102">
        <v>-6.3024990000000001</v>
      </c>
      <c r="EJ27" s="102">
        <v>-5.6606839999999998</v>
      </c>
      <c r="EK27" s="102">
        <v>-5.3088819999999997</v>
      </c>
      <c r="EL27" s="102">
        <v>-4.5761729999999998</v>
      </c>
      <c r="EM27" s="102">
        <v>-3.9213010000000001</v>
      </c>
      <c r="EN27" s="102">
        <v>-1.2423069504500002</v>
      </c>
      <c r="EO27" s="102">
        <v>-2.2257432373000001</v>
      </c>
      <c r="EP27" s="102">
        <v>-2.0262054714500004</v>
      </c>
      <c r="EQ27" s="102">
        <v>-1.4418205473000003</v>
      </c>
      <c r="ER27" s="102">
        <v>-1.2544222757500003</v>
      </c>
      <c r="ES27" s="102">
        <v>-1.3112069990000002</v>
      </c>
      <c r="EU27" s="145">
        <v>-192.5215862883332</v>
      </c>
      <c r="EV27" s="145">
        <v>-111.36947733333332</v>
      </c>
      <c r="EW27" s="145">
        <v>-165.079216</v>
      </c>
      <c r="EX27" s="145">
        <v>-211.27921599999999</v>
      </c>
      <c r="EY27" s="145">
        <v>-182.804216</v>
      </c>
      <c r="EZ27" s="145">
        <v>-201.10421600000001</v>
      </c>
      <c r="FA27" s="145">
        <v>-224.51829050000001</v>
      </c>
      <c r="FB27" s="145">
        <v>-271.3682905</v>
      </c>
      <c r="FC27" s="145">
        <v>-205.66829050000001</v>
      </c>
      <c r="FD27" s="145">
        <v>-234.16829050000001</v>
      </c>
      <c r="FE27" s="145">
        <v>-205.66829050000001</v>
      </c>
      <c r="FF27" s="145">
        <v>-262.31829049999999</v>
      </c>
      <c r="FG27" s="145">
        <v>-2.5858042441509004</v>
      </c>
      <c r="FH27" s="145">
        <v>-3.9979502675783998</v>
      </c>
      <c r="FI27" s="145">
        <v>-4.1723587388941246</v>
      </c>
      <c r="FJ27" s="145">
        <v>-4.1323467594740002</v>
      </c>
      <c r="FK27" s="145">
        <v>-4.3541408994270494</v>
      </c>
      <c r="FL27" s="145">
        <v>-3.638604179049</v>
      </c>
      <c r="FM27" s="145">
        <v>-3.4430513790489998</v>
      </c>
      <c r="FN27" s="145">
        <v>-3.3805213003647254</v>
      </c>
      <c r="FO27" s="145">
        <v>-3.0400355056875998</v>
      </c>
      <c r="FP27" s="145">
        <v>-2.8781509253157251</v>
      </c>
      <c r="FQ27" s="145">
        <v>-3.0006537039999999</v>
      </c>
      <c r="FR27" s="145">
        <v>-3.2701991040000005</v>
      </c>
      <c r="FS27" s="145"/>
      <c r="FT27" s="145"/>
      <c r="FU27" s="145"/>
      <c r="FV27" s="145"/>
      <c r="FW27" s="145"/>
      <c r="FX27" s="145"/>
      <c r="FY27" s="145"/>
      <c r="FZ27" s="145"/>
      <c r="GA27" s="145"/>
      <c r="GB27" s="145"/>
      <c r="GC27" s="145"/>
      <c r="GD27" s="145"/>
      <c r="GE27" s="102">
        <v>-7.3229850000000001</v>
      </c>
      <c r="GF27" s="102">
        <v>-6.031485</v>
      </c>
      <c r="GG27" s="102">
        <v>-5.5347150000000003</v>
      </c>
      <c r="GH27" s="102">
        <v>-4.8412949999999997</v>
      </c>
      <c r="GI27" s="102">
        <v>-5.7510770000000004</v>
      </c>
      <c r="GJ27" s="102">
        <v>-5.8231270000000004</v>
      </c>
      <c r="GK27" s="102">
        <v>-6.3660050000000004</v>
      </c>
      <c r="GL27" s="102">
        <v>-6.4667599999999998</v>
      </c>
      <c r="GM27" s="102">
        <v>-6.5637600000000003</v>
      </c>
      <c r="GN27" s="102">
        <v>-7.7540199999999997</v>
      </c>
      <c r="GO27" s="102">
        <v>-8.46096</v>
      </c>
      <c r="GP27" s="102">
        <v>-7.7452949999999996</v>
      </c>
      <c r="GQ27" s="102">
        <v>-7.3229850000000001</v>
      </c>
      <c r="GR27" s="102">
        <v>-6.031485</v>
      </c>
      <c r="GS27" s="102">
        <v>-5.5347150000000003</v>
      </c>
      <c r="GT27" s="102">
        <v>-4.8412949999999997</v>
      </c>
      <c r="GU27" s="102">
        <v>-5.7510770000000004</v>
      </c>
      <c r="GV27" s="102">
        <v>-5.8231270000000004</v>
      </c>
      <c r="GW27" s="102">
        <v>-6.3660050000000004</v>
      </c>
      <c r="GX27" s="102">
        <v>-6.4667599999999998</v>
      </c>
      <c r="GY27" s="102">
        <v>-6.5637600000000003</v>
      </c>
      <c r="GZ27" s="102">
        <v>-7.7540199999999997</v>
      </c>
      <c r="HA27" s="102">
        <v>-8.46096</v>
      </c>
      <c r="HB27" s="102">
        <v>-7.7452949999999996</v>
      </c>
      <c r="HD27" s="102">
        <f t="shared" si="109"/>
        <v>-777.87831684000002</v>
      </c>
      <c r="HE27" s="102">
        <f t="shared" si="109"/>
        <v>-851.05833693</v>
      </c>
      <c r="HF27" s="102">
        <f t="shared" si="109"/>
        <v>-146.79068222000001</v>
      </c>
      <c r="HG27" s="102">
        <f t="shared" si="109"/>
        <v>-67.002007460000002</v>
      </c>
      <c r="HH27" s="102">
        <f t="shared" si="110"/>
        <v>-167.63044567</v>
      </c>
      <c r="HI27" s="102">
        <f t="shared" si="111"/>
        <v>-66.920111659999989</v>
      </c>
      <c r="HJ27" s="102">
        <f t="shared" si="112"/>
        <v>-112.37656874999999</v>
      </c>
      <c r="HK27" s="102">
        <f t="shared" si="113"/>
        <v>-64.274254110000001</v>
      </c>
      <c r="HL27" s="940">
        <f>+SUMIF($E$6:SEW$6,HL$7,$E27:SEW27)</f>
        <v>-80.328612219999982</v>
      </c>
      <c r="HM27" s="940">
        <f>+SUMIF($E$6:SEX$6,HM$7,$E27:SEX27)</f>
        <v>-57.253531020000004</v>
      </c>
      <c r="HN27" s="940">
        <f>+SUMIF($E$6:SEY$6,HN$7,$E27:SEY27)</f>
        <v>-100.42117021</v>
      </c>
      <c r="HO27" s="102"/>
      <c r="HP27" s="102"/>
      <c r="HR27" s="929">
        <f t="shared" si="114"/>
        <v>-0.82751983518601779</v>
      </c>
      <c r="HS27" s="929">
        <f t="shared" si="115"/>
        <v>-0.5435540836333066</v>
      </c>
      <c r="HT27" s="929">
        <f t="shared" si="116"/>
        <v>1.5018719889859251</v>
      </c>
      <c r="HU27" s="929">
        <f t="shared" si="117"/>
        <v>-0.60078784380410233</v>
      </c>
      <c r="HV27" s="929">
        <f t="shared" si="118"/>
        <v>0.67926451349857198</v>
      </c>
      <c r="HW27" s="929">
        <f t="shared" si="119"/>
        <v>-0.42804576768144109</v>
      </c>
      <c r="HX27" s="929">
        <f t="shared" si="120"/>
        <v>0.24977898743911187</v>
      </c>
      <c r="HY27" s="929">
        <f t="shared" si="120"/>
        <v>-0.28725855660002064</v>
      </c>
      <c r="HZ27" s="929">
        <f t="shared" si="120"/>
        <v>0.75397339554342113</v>
      </c>
      <c r="IA27" s="929">
        <f t="shared" si="17"/>
        <v>-1</v>
      </c>
      <c r="IB27" s="929" t="str">
        <f t="shared" si="121"/>
        <v/>
      </c>
      <c r="IC27" s="929">
        <f t="shared" si="19"/>
        <v>-1</v>
      </c>
      <c r="IE27" s="102">
        <f t="shared" si="122"/>
        <v>704.26765470999999</v>
      </c>
      <c r="IF27" s="102">
        <f t="shared" si="123"/>
        <v>79.788674760000006</v>
      </c>
      <c r="IG27" s="102">
        <f t="shared" si="124"/>
        <v>-100.62843821</v>
      </c>
      <c r="IH27" s="102">
        <f t="shared" si="125"/>
        <v>100.71033401000001</v>
      </c>
      <c r="II27" s="102">
        <f t="shared" si="100"/>
        <v>-45.456457090000001</v>
      </c>
      <c r="IJ27" s="102">
        <f t="shared" si="101"/>
        <v>48.102314639999989</v>
      </c>
      <c r="IK27" s="102">
        <f t="shared" si="102"/>
        <v>-16.054358109999981</v>
      </c>
      <c r="IL27" s="102">
        <f t="shared" si="27"/>
        <v>80.328612219999982</v>
      </c>
      <c r="IM27" s="102">
        <f t="shared" si="126"/>
        <v>0</v>
      </c>
      <c r="IN27" s="102">
        <f t="shared" si="29"/>
        <v>80.328612219999982</v>
      </c>
      <c r="IP27" s="32">
        <f t="shared" ref="IP27:IP37" si="180">+HE27/HE$11</f>
        <v>-2.3154723165624828E-2</v>
      </c>
      <c r="IQ27" s="32">
        <f t="shared" ref="IQ27:IQ37" si="181">+HF27/HF$11</f>
        <v>-3.7272618026696664E-3</v>
      </c>
      <c r="IR27" s="32">
        <f t="shared" ref="IR27:IR37" si="182">+HG27/HG$11</f>
        <v>-3.9757235634380458E-3</v>
      </c>
      <c r="IS27" s="32">
        <f t="shared" ref="IS27:IS37" si="183">+HH27/HH$11</f>
        <v>-2.7248003162184745E-2</v>
      </c>
      <c r="IT27" s="32">
        <f t="shared" si="176"/>
        <v>-4.9101929884731816E-3</v>
      </c>
      <c r="IU27" s="32">
        <f t="shared" si="177"/>
        <v>-7.9415073648302255E-3</v>
      </c>
      <c r="IV27" s="32">
        <f t="shared" si="178"/>
        <v>-3.027612772217875E-3</v>
      </c>
      <c r="IW27" s="32">
        <f t="shared" si="179"/>
        <v>-6.365240097325915E-3</v>
      </c>
      <c r="IX27" s="32" t="e">
        <f t="shared" si="128"/>
        <v>#DIV/0!</v>
      </c>
      <c r="IY27" s="32" t="e">
        <f t="shared" si="129"/>
        <v>#DIV/0!</v>
      </c>
      <c r="JA27" s="102">
        <f t="shared" si="93"/>
        <v>-777.87831684000002</v>
      </c>
      <c r="JB27" s="102">
        <f t="shared" si="93"/>
        <v>-851.05833693</v>
      </c>
      <c r="JC27" s="102">
        <f t="shared" si="93"/>
        <v>-146.79068222000001</v>
      </c>
      <c r="JD27" s="102">
        <f t="shared" si="93"/>
        <v>-67.002007460000002</v>
      </c>
      <c r="JE27" s="102">
        <f t="shared" si="93"/>
        <v>-167.63044567</v>
      </c>
      <c r="JF27" s="102">
        <f t="shared" si="93"/>
        <v>-66.920111659999989</v>
      </c>
      <c r="JG27" s="102">
        <f t="shared" si="93"/>
        <v>-112.37656874999999</v>
      </c>
      <c r="JH27" s="102">
        <f t="shared" si="93"/>
        <v>-64.274254110000001</v>
      </c>
      <c r="JI27" s="102">
        <f t="shared" si="93"/>
        <v>-80.328612219999982</v>
      </c>
      <c r="JJ27" s="102">
        <f t="shared" si="93"/>
        <v>-57.253531020000004</v>
      </c>
      <c r="JK27" s="102">
        <f t="shared" si="93"/>
        <v>-100.42117021</v>
      </c>
      <c r="JL27" s="102">
        <f t="shared" si="130"/>
        <v>-100.42117021</v>
      </c>
      <c r="JM27" s="102"/>
      <c r="JN27" s="102"/>
      <c r="JO27" s="922">
        <f t="shared" si="167"/>
        <v>-0.28725855660002064</v>
      </c>
      <c r="JP27" s="102">
        <f t="shared" si="41"/>
        <v>-100.42117021</v>
      </c>
      <c r="JQ27" s="102">
        <f t="shared" si="42"/>
        <v>0</v>
      </c>
      <c r="JR27" s="145"/>
      <c r="JS27" s="929" t="str">
        <f t="shared" si="131"/>
        <v/>
      </c>
      <c r="JT27" s="930">
        <f t="shared" si="89"/>
        <v>-100.42117021</v>
      </c>
      <c r="JV27" s="32">
        <f t="shared" si="43"/>
        <v>-3.3261322630023225E-3</v>
      </c>
      <c r="JW27" s="929" t="str">
        <f t="shared" si="44"/>
        <v/>
      </c>
      <c r="JY27" s="929">
        <f t="shared" si="168"/>
        <v>-0.82751983518601779</v>
      </c>
      <c r="JZ27" s="929">
        <f t="shared" si="169"/>
        <v>-0.5435540836333066</v>
      </c>
      <c r="KA27" s="929">
        <f t="shared" si="170"/>
        <v>1.5018719889859251</v>
      </c>
      <c r="KB27" s="929">
        <f t="shared" si="171"/>
        <v>-0.60078784380410233</v>
      </c>
      <c r="KC27" s="929">
        <f t="shared" si="172"/>
        <v>0.67926451349857198</v>
      </c>
      <c r="KD27" s="929">
        <f t="shared" si="173"/>
        <v>-0.42804576768144109</v>
      </c>
      <c r="KE27" s="929">
        <f t="shared" si="174"/>
        <v>0.24977898743911187</v>
      </c>
      <c r="KF27" s="929">
        <f t="shared" si="175"/>
        <v>-1</v>
      </c>
      <c r="KH27" s="102">
        <f t="shared" si="133"/>
        <v>704.26765470999999</v>
      </c>
      <c r="KI27" s="102">
        <f t="shared" si="134"/>
        <v>79.788674760000006</v>
      </c>
      <c r="KJ27" s="102">
        <f t="shared" si="135"/>
        <v>-100.62843821</v>
      </c>
      <c r="KK27" s="102">
        <f t="shared" si="136"/>
        <v>100.71033401000001</v>
      </c>
      <c r="KL27" s="102">
        <f t="shared" si="137"/>
        <v>-45.456457090000001</v>
      </c>
      <c r="KM27" s="102">
        <f t="shared" si="138"/>
        <v>48.102314639999989</v>
      </c>
      <c r="KN27" s="102">
        <f t="shared" si="139"/>
        <v>-16.054358109999981</v>
      </c>
      <c r="KO27" s="102">
        <f t="shared" si="140"/>
        <v>80.328612219999982</v>
      </c>
      <c r="KQ27" s="32">
        <f t="shared" si="141"/>
        <v>-2.1440160034027655E-2</v>
      </c>
      <c r="KR27" s="32">
        <f t="shared" si="142"/>
        <v>-2.3154723165624828E-2</v>
      </c>
      <c r="KS27" s="32">
        <f t="shared" si="143"/>
        <v>-3.7272618026696664E-3</v>
      </c>
      <c r="KT27" s="32">
        <f t="shared" si="144"/>
        <v>-3.9757235634380458E-3</v>
      </c>
      <c r="KU27" s="32">
        <f t="shared" si="145"/>
        <v>-2.7248003162184745E-2</v>
      </c>
      <c r="KV27" s="32">
        <f t="shared" si="146"/>
        <v>-4.9101929884731816E-3</v>
      </c>
      <c r="KW27" s="32">
        <f t="shared" si="147"/>
        <v>-7.9415073648302255E-3</v>
      </c>
      <c r="KX27" s="32">
        <f t="shared" si="148"/>
        <v>-3.027612772217875E-3</v>
      </c>
      <c r="KY27" s="32">
        <f t="shared" si="149"/>
        <v>-6.365240097325915E-3</v>
      </c>
      <c r="KZ27" s="32" t="e">
        <f t="shared" si="150"/>
        <v>#DIV/0!</v>
      </c>
      <c r="LB27" s="102">
        <f t="shared" si="151"/>
        <v>-70.665634680000039</v>
      </c>
      <c r="LC27" s="102">
        <f t="shared" si="151"/>
        <v>-43.682757349999974</v>
      </c>
      <c r="LD27" s="102">
        <f t="shared" si="151"/>
        <v>778.96759999000005</v>
      </c>
      <c r="LE27" s="102">
        <f t="shared" si="151"/>
        <v>-2.7314419500000002</v>
      </c>
      <c r="LF27" s="102">
        <f t="shared" si="151"/>
        <v>-63.657950870000008</v>
      </c>
      <c r="LG27" s="102">
        <f t="shared" si="151"/>
        <v>-2.80942895</v>
      </c>
      <c r="LH27" s="102">
        <f t="shared" si="151"/>
        <v>-28.098300999999999</v>
      </c>
      <c r="LI27" s="102">
        <f t="shared" si="151"/>
        <v>-6.138306</v>
      </c>
      <c r="LJ27" s="102">
        <f t="shared" si="151"/>
        <v>-3.9123030000000001</v>
      </c>
      <c r="LK27" s="102">
        <f t="shared" si="151"/>
        <v>-4.6284000000000001</v>
      </c>
      <c r="LL27" s="102">
        <f t="shared" si="151"/>
        <v>-7.8163099999999996</v>
      </c>
      <c r="LM27" s="102">
        <f t="shared" si="151"/>
        <v>-7.8163099999999996</v>
      </c>
      <c r="LN27" s="102"/>
      <c r="LO27" s="102"/>
      <c r="LR27" s="32">
        <f t="shared" si="152"/>
        <v>-18.832381636275084</v>
      </c>
      <c r="LS27" s="32">
        <f t="shared" si="153"/>
        <v>-1.0035064898078367</v>
      </c>
      <c r="LT27" s="32">
        <f t="shared" si="154"/>
        <v>22.305620999926433</v>
      </c>
      <c r="LU27" s="32">
        <f t="shared" si="155"/>
        <v>-0.95586680200031393</v>
      </c>
      <c r="LV27" s="32">
        <f t="shared" si="156"/>
        <v>9.0014278702438801</v>
      </c>
      <c r="LW27" s="32">
        <f t="shared" si="157"/>
        <v>-0.78154173805740068</v>
      </c>
      <c r="LX27" s="32">
        <f t="shared" si="158"/>
        <v>-1</v>
      </c>
      <c r="LZ27" s="102">
        <f t="shared" si="159"/>
        <v>822.65035734000003</v>
      </c>
      <c r="MA27" s="102">
        <f t="shared" si="160"/>
        <v>-781.69904194000003</v>
      </c>
      <c r="MB27" s="102">
        <f t="shared" si="161"/>
        <v>-60.926508920000011</v>
      </c>
      <c r="MC27" s="102">
        <f t="shared" si="162"/>
        <v>60.84852192000001</v>
      </c>
      <c r="MD27" s="102">
        <f t="shared" si="163"/>
        <v>-25.288872049999998</v>
      </c>
      <c r="ME27" s="102">
        <f t="shared" si="164"/>
        <v>21.959994999999999</v>
      </c>
      <c r="MF27" s="102">
        <f t="shared" si="165"/>
        <v>6.138306</v>
      </c>
      <c r="MH27" s="32">
        <f t="shared" ref="MH27:MH37" si="184">+LB27/LB$11</f>
        <v>-2.3560361503582671E-2</v>
      </c>
      <c r="MI27" s="32">
        <f t="shared" ref="MI27:MI37" si="185">+LC27/LC$11</f>
        <v>-7.9226368049793924E-3</v>
      </c>
      <c r="MJ27" s="32">
        <f t="shared" ref="MJ27:MJ37" si="186">+LD27/LD$11</f>
        <v>0.15195965313864451</v>
      </c>
      <c r="MK27" s="32">
        <f t="shared" ref="MK27:MK37" si="187">+LE27/LE$11</f>
        <v>-4.6990789967125109E-3</v>
      </c>
      <c r="ML27" s="32">
        <f t="shared" ref="ML27:ML37" si="188">+LF27/LF$11</f>
        <v>-4.2256667210379163E-2</v>
      </c>
      <c r="MM27" s="32">
        <f t="shared" ref="MM27:MM37" si="189">+LG27/LG$11</f>
        <v>-2.7310916710472171E-3</v>
      </c>
      <c r="MN27" s="32">
        <f t="shared" ref="MN27:MN37" si="190">+LH27/LH$11</f>
        <v>-1.8069499895282663E-2</v>
      </c>
      <c r="MO27" s="32">
        <f t="shared" ref="MO27:MO37" si="191">+LI27/LI$11</f>
        <v>-3.2615938862552585E-3</v>
      </c>
      <c r="MP27" s="32" t="e">
        <f t="shared" ref="MP27:MP37" si="192">+LO27/LO$11</f>
        <v>#DIV/0!</v>
      </c>
    </row>
    <row r="28" spans="1:354" outlineLevel="1">
      <c r="A28" s="884">
        <v>7435</v>
      </c>
      <c r="B28" s="70" t="s">
        <v>635</v>
      </c>
      <c r="C28" s="17" t="s">
        <v>71</v>
      </c>
      <c r="D28" s="31" t="s">
        <v>59</v>
      </c>
      <c r="E28" s="102">
        <v>-47.2</v>
      </c>
      <c r="F28" s="102">
        <v>-9.0399999999999991</v>
      </c>
      <c r="G28" s="102">
        <v>-172.23985299999998</v>
      </c>
      <c r="H28" s="102">
        <v>-94.228195000000028</v>
      </c>
      <c r="I28" s="102">
        <v>-92.475953000000004</v>
      </c>
      <c r="J28" s="102">
        <v>-397.65624799999995</v>
      </c>
      <c r="K28" s="102">
        <v>-101.00298800000007</v>
      </c>
      <c r="L28" s="102">
        <v>-128.12962999999991</v>
      </c>
      <c r="M28" s="102">
        <v>-77.615731000000096</v>
      </c>
      <c r="N28" s="102">
        <v>-64.445299999999861</v>
      </c>
      <c r="O28" s="102">
        <v>-135.00683300000014</v>
      </c>
      <c r="P28" s="102">
        <v>-43.674999999999955</v>
      </c>
      <c r="Q28" s="102">
        <v>-42.719974000000001</v>
      </c>
      <c r="R28" s="102">
        <v>-95.716439999999977</v>
      </c>
      <c r="S28" s="102">
        <v>-47.759339000000011</v>
      </c>
      <c r="T28" s="102">
        <v>-49.490755000000007</v>
      </c>
      <c r="U28" s="102">
        <v>-69.396132000000023</v>
      </c>
      <c r="V28" s="102">
        <v>-82.935555999999963</v>
      </c>
      <c r="W28" s="102">
        <v>-20.634999999999991</v>
      </c>
      <c r="X28" s="102">
        <v>-213.50133499999993</v>
      </c>
      <c r="Y28" s="102">
        <v>-30.096074000000044</v>
      </c>
      <c r="Z28" s="102">
        <v>-141.33510799999999</v>
      </c>
      <c r="AA28" s="102">
        <v>-96.936863000000017</v>
      </c>
      <c r="AB28" s="145">
        <v>-89.944253900000035</v>
      </c>
      <c r="AC28" s="145">
        <v>-72.324038999999999</v>
      </c>
      <c r="AD28" s="145">
        <v>-106.12400199999999</v>
      </c>
      <c r="AE28" s="145">
        <v>-108.759238</v>
      </c>
      <c r="AF28" s="145">
        <v>-49.381425999999998</v>
      </c>
      <c r="AG28" s="145">
        <v>-49.808405</v>
      </c>
      <c r="AH28" s="145">
        <v>-18.76656307</v>
      </c>
      <c r="AI28" s="145">
        <v>-57.06724272999999</v>
      </c>
      <c r="AJ28" s="145">
        <v>-67.305300420000009</v>
      </c>
      <c r="AK28" s="145">
        <v>-21.770917000000001</v>
      </c>
      <c r="AL28" s="145">
        <v>-23.820077050000002</v>
      </c>
      <c r="AM28" s="145">
        <v>-68.319367999999997</v>
      </c>
      <c r="AN28" s="145">
        <v>-2086.4579648899999</v>
      </c>
      <c r="AO28" s="102">
        <v>-100.09123424000001</v>
      </c>
      <c r="AP28" s="145">
        <v>-185.96030000000002</v>
      </c>
      <c r="AQ28" s="143">
        <v>-102.74118200000001</v>
      </c>
      <c r="AR28" s="143">
        <v>-84.906248000000005</v>
      </c>
      <c r="AS28" s="102">
        <v>-35.480792879999996</v>
      </c>
      <c r="AT28" s="102">
        <v>-61.565874999999998</v>
      </c>
      <c r="AU28" s="102">
        <v>-118.12266996</v>
      </c>
      <c r="AV28" s="102">
        <v>-176.76026799000002</v>
      </c>
      <c r="AW28" s="102">
        <v>-55.186079480000004</v>
      </c>
      <c r="AX28" s="102">
        <v>-268.92482155000005</v>
      </c>
      <c r="AY28" s="102">
        <v>-144.81172103999998</v>
      </c>
      <c r="AZ28" s="102">
        <v>-141.33765584999998</v>
      </c>
      <c r="BA28" s="102">
        <v>-6.8073762599999998</v>
      </c>
      <c r="BB28" s="102">
        <v>-151.66544911000003</v>
      </c>
      <c r="BC28" s="102">
        <v>-26.431852980000002</v>
      </c>
      <c r="BD28" s="102">
        <v>-20.077459899999997</v>
      </c>
      <c r="BE28" s="102">
        <v>-26.748355</v>
      </c>
      <c r="BF28" s="102">
        <v>-27.791022999999999</v>
      </c>
      <c r="BG28" s="102">
        <v>-32.863374</v>
      </c>
      <c r="BH28" s="102">
        <v>-27.02697460000001</v>
      </c>
      <c r="BI28" s="102">
        <v>-49.04877252</v>
      </c>
      <c r="BJ28" s="102">
        <v>-86.496214040000012</v>
      </c>
      <c r="BK28" s="102">
        <v>-65.091867120000003</v>
      </c>
      <c r="BL28" s="102">
        <v>-203.09878938</v>
      </c>
      <c r="BM28" s="102">
        <v>-131.32144124999999</v>
      </c>
      <c r="BN28" s="102">
        <v>-169.78795239999999</v>
      </c>
      <c r="BO28" s="102">
        <v>-90.63171792</v>
      </c>
      <c r="BP28" s="102">
        <v>-122.68620373</v>
      </c>
      <c r="BQ28" s="102">
        <v>-141.6549594</v>
      </c>
      <c r="BR28" s="102">
        <v>-92.578647799999999</v>
      </c>
      <c r="BS28" s="102">
        <v>-80.81430288</v>
      </c>
      <c r="BT28" s="102">
        <v>-118.5782641</v>
      </c>
      <c r="BU28" s="102">
        <v>-93.789485999999997</v>
      </c>
      <c r="BV28" s="102">
        <v>-97.296824000000001</v>
      </c>
      <c r="BW28" s="102">
        <v>-108.61589635</v>
      </c>
      <c r="BX28" s="102">
        <v>-107.916944</v>
      </c>
      <c r="BY28" s="102">
        <v>-131.261079</v>
      </c>
      <c r="BZ28" s="102">
        <v>-132.38845659999998</v>
      </c>
      <c r="CA28" s="102">
        <v>-84.864886980000009</v>
      </c>
      <c r="CB28" s="102">
        <v>-92.436694000000003</v>
      </c>
      <c r="CC28" s="102">
        <v>-97.321460999999999</v>
      </c>
      <c r="CD28" s="102">
        <v>-97.143718000000007</v>
      </c>
      <c r="CE28" s="102">
        <v>-137.34851234000001</v>
      </c>
      <c r="CF28" s="102">
        <v>-163.63954637999998</v>
      </c>
      <c r="CG28" s="102">
        <v>-191.60365972</v>
      </c>
      <c r="CH28" s="102">
        <v>-187.16816843999999</v>
      </c>
      <c r="CI28" s="102">
        <v>-230.89448608000001</v>
      </c>
      <c r="CJ28" s="102">
        <v>-135.12796558000002</v>
      </c>
      <c r="CK28" s="102">
        <v>-240.84177443999999</v>
      </c>
      <c r="CL28" s="102">
        <v>-209.12012736000003</v>
      </c>
      <c r="CM28" s="102">
        <v>-204.76555263999998</v>
      </c>
      <c r="CN28" s="102">
        <v>-195.29283315999999</v>
      </c>
      <c r="CO28" s="102">
        <v>-186.5519328</v>
      </c>
      <c r="CP28" s="102">
        <v>-214.91680213999999</v>
      </c>
      <c r="CQ28" s="102">
        <v>-228.13928537000001</v>
      </c>
      <c r="CR28" s="102">
        <v>-259.54865067999998</v>
      </c>
      <c r="CS28" s="102">
        <v>-203.85905486999999</v>
      </c>
      <c r="CT28" s="102">
        <v>-217.62720677000002</v>
      </c>
      <c r="CU28" s="102">
        <v>-302.30971419999997</v>
      </c>
      <c r="CV28" s="102">
        <v>-252.06431795999998</v>
      </c>
      <c r="CW28" s="102">
        <v>-268.26067181000002</v>
      </c>
      <c r="CX28" s="102">
        <v>-232.87762262000001</v>
      </c>
      <c r="CY28" s="102">
        <v>-177.80823596000002</v>
      </c>
      <c r="CZ28" s="102">
        <v>-36.947538360000003</v>
      </c>
      <c r="DA28" s="102">
        <v>-12.685855119999999</v>
      </c>
      <c r="DB28" s="102">
        <v>-108.70078906000001</v>
      </c>
      <c r="DC28" s="102">
        <v>-95.013756000000001</v>
      </c>
      <c r="DD28" s="102">
        <v>-102.12979934000001</v>
      </c>
      <c r="DE28" s="102">
        <v>-122.486132</v>
      </c>
      <c r="DF28" s="102">
        <v>-110.52679816</v>
      </c>
      <c r="DG28" s="102">
        <v>-134.688647</v>
      </c>
      <c r="DH28" s="102">
        <v>-139.11828276</v>
      </c>
      <c r="DI28" s="102">
        <v>-122.23228</v>
      </c>
      <c r="DJ28" s="102">
        <v>-112.168846</v>
      </c>
      <c r="DK28" s="102">
        <v>-144.51239088</v>
      </c>
      <c r="DL28" s="102">
        <v>-150.65756805999999</v>
      </c>
      <c r="DM28" s="102">
        <v>-153.15436066000001</v>
      </c>
      <c r="DN28" s="102">
        <v>-135.43835148000002</v>
      </c>
      <c r="DO28" s="102">
        <v>-168.75494</v>
      </c>
      <c r="DP28" s="102">
        <v>-144.33651522</v>
      </c>
      <c r="DQ28" s="940">
        <v>-127.46196090000001</v>
      </c>
      <c r="DR28" s="940">
        <v>-158.48994024999999</v>
      </c>
      <c r="DS28" s="940">
        <v>-161.89848446000002</v>
      </c>
      <c r="DT28" s="940">
        <v>-228.68213349000001</v>
      </c>
      <c r="DU28" s="940">
        <v>-220.42112501</v>
      </c>
      <c r="DV28" s="940">
        <v>-188.52701218000001</v>
      </c>
      <c r="DW28" s="940">
        <v>-234.58805041999997</v>
      </c>
      <c r="DX28" s="940">
        <v>-214.30303171</v>
      </c>
      <c r="DY28" s="940">
        <v>-213.17199153999999</v>
      </c>
      <c r="DZ28" s="940">
        <v>-246.95997515000002</v>
      </c>
      <c r="EA28" s="940">
        <v>-229.79036363</v>
      </c>
      <c r="EB28" s="940">
        <v>-304.62057810000005</v>
      </c>
      <c r="EC28" s="940">
        <v>-337.74436477999996</v>
      </c>
      <c r="ED28" s="940">
        <v>-385.09560776999996</v>
      </c>
      <c r="EE28" s="940">
        <v>-360.55683900000002</v>
      </c>
      <c r="EF28" s="940">
        <v>-343.47023799999999</v>
      </c>
      <c r="EH28" s="102">
        <v>-268.26067181000002</v>
      </c>
      <c r="EI28" s="102">
        <v>-232.87762262000001</v>
      </c>
      <c r="EJ28" s="102">
        <v>-177.80823596000002</v>
      </c>
      <c r="EK28" s="102">
        <v>-36.947538360000003</v>
      </c>
      <c r="EL28" s="102">
        <v>-12.685855119999998</v>
      </c>
      <c r="EM28" s="102">
        <v>-108.70078905999999</v>
      </c>
      <c r="EN28" s="102">
        <v>-59.2</v>
      </c>
      <c r="EO28" s="102">
        <v>-104.8</v>
      </c>
      <c r="EP28" s="102">
        <v>-95.9</v>
      </c>
      <c r="EQ28" s="102">
        <v>-80.8</v>
      </c>
      <c r="ER28" s="102">
        <v>-67.7</v>
      </c>
      <c r="ES28" s="102">
        <v>-86.6</v>
      </c>
      <c r="EU28" s="102">
        <v>-95.617184524999999</v>
      </c>
      <c r="EV28" s="102">
        <v>-84.507184525</v>
      </c>
      <c r="EW28" s="102">
        <v>-145.25593214499997</v>
      </c>
      <c r="EX28" s="102">
        <v>-195.499679765</v>
      </c>
      <c r="EY28" s="102">
        <v>-177.03624286000002</v>
      </c>
      <c r="EZ28" s="102">
        <v>-189.73967976499998</v>
      </c>
      <c r="FA28" s="102">
        <v>-234.59791992787999</v>
      </c>
      <c r="FB28" s="102">
        <v>-265.47823064288002</v>
      </c>
      <c r="FC28" s="102">
        <v>-222.08448302288002</v>
      </c>
      <c r="FD28" s="102">
        <v>-236.00791992787998</v>
      </c>
      <c r="FE28" s="102">
        <v>-215.23448302288003</v>
      </c>
      <c r="FF28" s="102">
        <v>-247.30135683288003</v>
      </c>
      <c r="FG28" s="102">
        <v>-35.019017629628117</v>
      </c>
      <c r="FH28" s="102">
        <v>-103.68082313701338</v>
      </c>
      <c r="FI28" s="102">
        <v>-111.29908957706759</v>
      </c>
      <c r="FJ28" s="102">
        <v>-108.3680633081516</v>
      </c>
      <c r="FK28" s="102">
        <v>-119.80454248651969</v>
      </c>
      <c r="FL28" s="102">
        <v>-123.5067381603521</v>
      </c>
      <c r="FM28" s="102">
        <v>-129.5300396264538</v>
      </c>
      <c r="FN28" s="102">
        <v>-131.81792743730153</v>
      </c>
      <c r="FO28" s="102">
        <v>-119.71772530854226</v>
      </c>
      <c r="FP28" s="102">
        <v>-115.02040297059203</v>
      </c>
      <c r="FQ28" s="102">
        <v>-111.57276384263761</v>
      </c>
      <c r="FR28" s="102">
        <v>-89.278531250547999</v>
      </c>
      <c r="FS28" s="102">
        <v>-119.1</v>
      </c>
      <c r="FT28" s="102">
        <v>-113.5</v>
      </c>
      <c r="FU28" s="102">
        <v>-116.17</v>
      </c>
      <c r="FV28" s="102">
        <v>-101.27</v>
      </c>
      <c r="FW28" s="102">
        <v>-117.45</v>
      </c>
      <c r="FX28" s="102">
        <v>-72.45</v>
      </c>
      <c r="FY28" s="102">
        <v>-112.77</v>
      </c>
      <c r="FZ28" s="102">
        <v>-84.1</v>
      </c>
      <c r="GA28" s="102">
        <v>-53.4</v>
      </c>
      <c r="GB28" s="102">
        <v>-61.4</v>
      </c>
      <c r="GC28" s="102">
        <v>-61.4</v>
      </c>
      <c r="GD28" s="102">
        <v>-85.4</v>
      </c>
      <c r="GE28" s="102">
        <v>-196.11</v>
      </c>
      <c r="GF28" s="102">
        <v>-130.43</v>
      </c>
      <c r="GG28" s="102">
        <v>-121.73</v>
      </c>
      <c r="GH28" s="102">
        <v>-113.13</v>
      </c>
      <c r="GI28" s="102">
        <v>-129.33000000000001</v>
      </c>
      <c r="GJ28" s="102">
        <v>-141.05000000000001</v>
      </c>
      <c r="GK28" s="102">
        <v>-143.85</v>
      </c>
      <c r="GL28" s="102">
        <v>-147.05000000000001</v>
      </c>
      <c r="GM28" s="102">
        <v>-139.13</v>
      </c>
      <c r="GN28" s="102">
        <v>-154.93</v>
      </c>
      <c r="GO28" s="102">
        <v>-161.63</v>
      </c>
      <c r="GP28" s="102">
        <v>-174.43</v>
      </c>
      <c r="GQ28" s="102">
        <v>-196.11</v>
      </c>
      <c r="GR28" s="102">
        <v>-130.43</v>
      </c>
      <c r="GS28" s="102">
        <v>-121.73</v>
      </c>
      <c r="GT28" s="102">
        <v>-113.13</v>
      </c>
      <c r="GU28" s="102">
        <v>-129.33000000000001</v>
      </c>
      <c r="GV28" s="102">
        <v>-141.05000000000001</v>
      </c>
      <c r="GW28" s="102">
        <v>-143.85</v>
      </c>
      <c r="GX28" s="102">
        <v>-147.05000000000001</v>
      </c>
      <c r="GY28" s="102">
        <v>-139.13</v>
      </c>
      <c r="GZ28" s="102">
        <v>-154.93</v>
      </c>
      <c r="HA28" s="102">
        <v>-161.63</v>
      </c>
      <c r="HB28" s="102">
        <v>-174.43</v>
      </c>
      <c r="HD28" s="102">
        <f t="shared" si="109"/>
        <v>-1362.715731</v>
      </c>
      <c r="HE28" s="102">
        <f t="shared" si="109"/>
        <v>-980.46682989999999</v>
      </c>
      <c r="HF28" s="102">
        <f t="shared" si="109"/>
        <v>-2729.9045431599998</v>
      </c>
      <c r="HG28" s="102">
        <f t="shared" si="109"/>
        <v>-1475.8888479899999</v>
      </c>
      <c r="HH28" s="102">
        <f t="shared" si="110"/>
        <v>-723.14750791000006</v>
      </c>
      <c r="HI28" s="102">
        <f t="shared" si="111"/>
        <v>-1355.67263983</v>
      </c>
      <c r="HJ28" s="102">
        <f t="shared" si="112"/>
        <v>-1681.19863412</v>
      </c>
      <c r="HK28" s="102">
        <f t="shared" si="113"/>
        <v>-2715.03725239</v>
      </c>
      <c r="HL28" s="940">
        <f>+SUMIF($E$6:SEW$6,HL$7,$E28:SEW28)</f>
        <v>-1541.2441281900001</v>
      </c>
      <c r="HM28" s="940">
        <f>+SUMIF($E$6:SEX$6,HM$7,$E28:SEX28)</f>
        <v>-1807.7877714000001</v>
      </c>
      <c r="HN28" s="940">
        <f>+SUMIF($E$6:SEY$6,HN$7,$E28:SEY28)</f>
        <v>-3279.2491772899994</v>
      </c>
      <c r="HO28" s="102"/>
      <c r="HP28" s="102"/>
      <c r="HR28" s="929">
        <f t="shared" si="114"/>
        <v>1.7842905643614979</v>
      </c>
      <c r="HS28" s="929">
        <f t="shared" si="115"/>
        <v>-0.45936247049811296</v>
      </c>
      <c r="HT28" s="929">
        <f t="shared" si="116"/>
        <v>-0.51002576590042792</v>
      </c>
      <c r="HU28" s="929">
        <f t="shared" si="117"/>
        <v>0.87468341521094106</v>
      </c>
      <c r="HV28" s="929">
        <f t="shared" si="118"/>
        <v>0.24012138677580785</v>
      </c>
      <c r="HW28" s="929">
        <f t="shared" si="119"/>
        <v>0.61494138603743775</v>
      </c>
      <c r="HX28" s="929">
        <f t="shared" si="120"/>
        <v>-0.4323303936867644</v>
      </c>
      <c r="HY28" s="929">
        <f t="shared" si="120"/>
        <v>0.17294057335551538</v>
      </c>
      <c r="HZ28" s="929">
        <f t="shared" si="120"/>
        <v>0.81395694183198253</v>
      </c>
      <c r="IA28" s="929">
        <f t="shared" si="17"/>
        <v>-1</v>
      </c>
      <c r="IB28" s="929" t="str">
        <f t="shared" si="121"/>
        <v/>
      </c>
      <c r="IC28" s="929">
        <f t="shared" si="19"/>
        <v>-1</v>
      </c>
      <c r="IE28" s="102">
        <f t="shared" si="122"/>
        <v>-1749.4377132599998</v>
      </c>
      <c r="IF28" s="102">
        <f t="shared" si="123"/>
        <v>1254.0156951699998</v>
      </c>
      <c r="IG28" s="102">
        <f t="shared" si="124"/>
        <v>752.74134007999987</v>
      </c>
      <c r="IH28" s="102">
        <f t="shared" si="125"/>
        <v>-632.52513191999992</v>
      </c>
      <c r="II28" s="102">
        <f t="shared" si="100"/>
        <v>-325.52599428999997</v>
      </c>
      <c r="IJ28" s="102">
        <f t="shared" si="101"/>
        <v>-1033.8386182700001</v>
      </c>
      <c r="IK28" s="102">
        <f t="shared" si="102"/>
        <v>1173.7931242</v>
      </c>
      <c r="IL28" s="102">
        <f t="shared" si="27"/>
        <v>1541.2441281900001</v>
      </c>
      <c r="IM28" s="102">
        <f t="shared" si="126"/>
        <v>0</v>
      </c>
      <c r="IN28" s="102">
        <f t="shared" si="29"/>
        <v>1541.2441281900001</v>
      </c>
      <c r="IP28" s="32">
        <f t="shared" si="180"/>
        <v>-2.667553683958513E-2</v>
      </c>
      <c r="IQ28" s="32">
        <f t="shared" si="181"/>
        <v>-6.9316858364381354E-2</v>
      </c>
      <c r="IR28" s="32">
        <f t="shared" si="182"/>
        <v>-8.7575377103026195E-2</v>
      </c>
      <c r="IS28" s="32">
        <f t="shared" si="183"/>
        <v>-0.11754622200938339</v>
      </c>
      <c r="IT28" s="32">
        <f t="shared" si="176"/>
        <v>-9.9471057737894331E-2</v>
      </c>
      <c r="IU28" s="32">
        <f t="shared" si="177"/>
        <v>-0.11880814197404917</v>
      </c>
      <c r="IV28" s="32">
        <f t="shared" si="178"/>
        <v>-0.12789073286350877</v>
      </c>
      <c r="IW28" s="32">
        <f t="shared" si="179"/>
        <v>-0.12212820131455662</v>
      </c>
      <c r="IX28" s="32" t="e">
        <f t="shared" si="128"/>
        <v>#DIV/0!</v>
      </c>
      <c r="IY28" s="32" t="e">
        <f t="shared" si="129"/>
        <v>#DIV/0!</v>
      </c>
      <c r="JA28" s="102">
        <f t="shared" si="93"/>
        <v>-1362.715731</v>
      </c>
      <c r="JB28" s="102">
        <f t="shared" si="93"/>
        <v>-980.46682989999999</v>
      </c>
      <c r="JC28" s="102">
        <f t="shared" si="93"/>
        <v>-2729.9045431599998</v>
      </c>
      <c r="JD28" s="102">
        <f t="shared" si="93"/>
        <v>-1475.8888479899999</v>
      </c>
      <c r="JE28" s="102">
        <f t="shared" si="93"/>
        <v>-723.14750791000006</v>
      </c>
      <c r="JF28" s="102">
        <f t="shared" si="93"/>
        <v>-1355.67263983</v>
      </c>
      <c r="JG28" s="102">
        <f t="shared" si="93"/>
        <v>-1681.19863412</v>
      </c>
      <c r="JH28" s="102">
        <f t="shared" si="93"/>
        <v>-2715.03725239</v>
      </c>
      <c r="JI28" s="102">
        <f t="shared" si="93"/>
        <v>-1541.2441281900001</v>
      </c>
      <c r="JJ28" s="102">
        <f t="shared" si="93"/>
        <v>-1807.7877714000001</v>
      </c>
      <c r="JK28" s="102">
        <f t="shared" si="93"/>
        <v>-3279.2491772899994</v>
      </c>
      <c r="JL28" s="102">
        <f t="shared" si="130"/>
        <v>-3279.2491772899994</v>
      </c>
      <c r="JM28" s="102"/>
      <c r="JN28" s="102"/>
      <c r="JO28" s="922">
        <f t="shared" si="167"/>
        <v>0.17294057335551538</v>
      </c>
      <c r="JP28" s="102">
        <f t="shared" si="41"/>
        <v>-3279.2491772899994</v>
      </c>
      <c r="JQ28" s="102">
        <f t="shared" si="42"/>
        <v>0</v>
      </c>
      <c r="JR28" s="145"/>
      <c r="JS28" s="929" t="str">
        <f t="shared" si="131"/>
        <v/>
      </c>
      <c r="JT28" s="930">
        <f t="shared" si="89"/>
        <v>-3279.2491772899994</v>
      </c>
      <c r="JV28" s="32">
        <f t="shared" si="43"/>
        <v>-0.10861471205921024</v>
      </c>
      <c r="JW28" s="929" t="str">
        <f t="shared" si="44"/>
        <v/>
      </c>
      <c r="JY28" s="929">
        <f t="shared" si="168"/>
        <v>1.7842905643614979</v>
      </c>
      <c r="JZ28" s="929">
        <f t="shared" si="169"/>
        <v>-0.45936247049811296</v>
      </c>
      <c r="KA28" s="929">
        <f t="shared" si="170"/>
        <v>-0.51002576590042792</v>
      </c>
      <c r="KB28" s="929">
        <f t="shared" si="171"/>
        <v>0.87468341521094106</v>
      </c>
      <c r="KC28" s="929">
        <f t="shared" si="172"/>
        <v>0.24012138677580785</v>
      </c>
      <c r="KD28" s="929">
        <f t="shared" si="173"/>
        <v>0.61494138603743775</v>
      </c>
      <c r="KE28" s="929">
        <f t="shared" si="174"/>
        <v>-0.4323303936867644</v>
      </c>
      <c r="KF28" s="929">
        <f t="shared" si="175"/>
        <v>-1</v>
      </c>
      <c r="KH28" s="102">
        <f t="shared" si="133"/>
        <v>-1749.4377132599998</v>
      </c>
      <c r="KI28" s="102">
        <f t="shared" si="134"/>
        <v>1254.0156951699998</v>
      </c>
      <c r="KJ28" s="102">
        <f t="shared" si="135"/>
        <v>752.74134007999987</v>
      </c>
      <c r="KK28" s="102">
        <f t="shared" si="136"/>
        <v>-632.52513191999992</v>
      </c>
      <c r="KL28" s="102">
        <f t="shared" si="137"/>
        <v>-325.52599428999997</v>
      </c>
      <c r="KM28" s="102">
        <f t="shared" si="138"/>
        <v>-1033.8386182700001</v>
      </c>
      <c r="KN28" s="102">
        <f t="shared" si="139"/>
        <v>1173.7931242</v>
      </c>
      <c r="KO28" s="102">
        <f t="shared" si="140"/>
        <v>1541.2441281900001</v>
      </c>
      <c r="KQ28" s="32">
        <f t="shared" si="141"/>
        <v>-3.7559657752404642E-2</v>
      </c>
      <c r="KR28" s="32">
        <f t="shared" si="142"/>
        <v>-2.667553683958513E-2</v>
      </c>
      <c r="KS28" s="32">
        <f t="shared" si="143"/>
        <v>-6.9316858364381354E-2</v>
      </c>
      <c r="KT28" s="32">
        <f t="shared" si="144"/>
        <v>-8.7575377103026195E-2</v>
      </c>
      <c r="KU28" s="32">
        <f t="shared" si="145"/>
        <v>-0.11754622200938339</v>
      </c>
      <c r="KV28" s="32">
        <f t="shared" si="146"/>
        <v>-9.9471057737894331E-2</v>
      </c>
      <c r="KW28" s="32">
        <f t="shared" si="147"/>
        <v>-0.11880814197404917</v>
      </c>
      <c r="KX28" s="32">
        <f t="shared" si="148"/>
        <v>-0.12789073286350877</v>
      </c>
      <c r="KY28" s="32">
        <f t="shared" si="149"/>
        <v>-0.12212820131455662</v>
      </c>
      <c r="KZ28" s="32" t="e">
        <f t="shared" si="150"/>
        <v>#DIV/0!</v>
      </c>
      <c r="LB28" s="102">
        <f t="shared" si="151"/>
        <v>-43.674999999999955</v>
      </c>
      <c r="LC28" s="102">
        <f t="shared" si="151"/>
        <v>-89.944253900000035</v>
      </c>
      <c r="LD28" s="102">
        <f t="shared" si="151"/>
        <v>-2086.4579648899999</v>
      </c>
      <c r="LE28" s="102">
        <f t="shared" si="151"/>
        <v>-141.33765584999998</v>
      </c>
      <c r="LF28" s="102">
        <f t="shared" si="151"/>
        <v>-203.09878938</v>
      </c>
      <c r="LG28" s="102">
        <f t="shared" si="151"/>
        <v>-107.916944</v>
      </c>
      <c r="LH28" s="102">
        <f t="shared" si="151"/>
        <v>-135.12796558000002</v>
      </c>
      <c r="LI28" s="102">
        <f t="shared" si="151"/>
        <v>-252.06431795999998</v>
      </c>
      <c r="LJ28" s="102">
        <f t="shared" si="151"/>
        <v>-139.11828276</v>
      </c>
      <c r="LK28" s="102">
        <f t="shared" si="151"/>
        <v>-228.68213349000001</v>
      </c>
      <c r="LL28" s="102">
        <f t="shared" si="151"/>
        <v>-343.47023799999999</v>
      </c>
      <c r="LM28" s="102">
        <f t="shared" si="151"/>
        <v>-343.47023799999999</v>
      </c>
      <c r="LN28" s="102"/>
      <c r="LO28" s="102"/>
      <c r="LR28" s="32">
        <f t="shared" si="152"/>
        <v>22.19723466948453</v>
      </c>
      <c r="LS28" s="32">
        <f t="shared" si="153"/>
        <v>-0.93225952392601807</v>
      </c>
      <c r="LT28" s="32">
        <f t="shared" si="154"/>
        <v>0.43697578793542746</v>
      </c>
      <c r="LU28" s="32">
        <f t="shared" si="155"/>
        <v>-0.4686480193730439</v>
      </c>
      <c r="LV28" s="32">
        <f t="shared" si="156"/>
        <v>0.25214781452669777</v>
      </c>
      <c r="LW28" s="32">
        <f t="shared" si="157"/>
        <v>0.86537491982568149</v>
      </c>
      <c r="LX28" s="32">
        <f t="shared" si="158"/>
        <v>-1</v>
      </c>
      <c r="LZ28" s="102">
        <f t="shared" si="159"/>
        <v>-1996.5137109899997</v>
      </c>
      <c r="MA28" s="102">
        <f t="shared" si="160"/>
        <v>1945.1203090399999</v>
      </c>
      <c r="MB28" s="102">
        <f t="shared" si="161"/>
        <v>-61.761133530000023</v>
      </c>
      <c r="MC28" s="102">
        <f t="shared" si="162"/>
        <v>95.181845379999999</v>
      </c>
      <c r="MD28" s="102">
        <f t="shared" si="163"/>
        <v>-27.211021580000022</v>
      </c>
      <c r="ME28" s="102">
        <f t="shared" si="164"/>
        <v>-116.93635237999996</v>
      </c>
      <c r="MF28" s="102">
        <f t="shared" si="165"/>
        <v>252.06431795999998</v>
      </c>
      <c r="MH28" s="32">
        <f t="shared" si="184"/>
        <v>-1.4561516263579273E-2</v>
      </c>
      <c r="MI28" s="32">
        <f t="shared" si="185"/>
        <v>-1.6312973346325445E-2</v>
      </c>
      <c r="MJ28" s="32">
        <f t="shared" si="186"/>
        <v>-0.40702261382516641</v>
      </c>
      <c r="MK28" s="32">
        <f t="shared" si="187"/>
        <v>-0.24315245288274057</v>
      </c>
      <c r="ML28" s="32">
        <f t="shared" si="188"/>
        <v>-0.13481863359359417</v>
      </c>
      <c r="MM28" s="32">
        <f t="shared" si="189"/>
        <v>-0.10490782011884264</v>
      </c>
      <c r="MN28" s="32">
        <f t="shared" si="190"/>
        <v>-8.689830605407671E-2</v>
      </c>
      <c r="MO28" s="32">
        <f t="shared" si="191"/>
        <v>-0.13393458038772219</v>
      </c>
      <c r="MP28" s="32" t="e">
        <f t="shared" si="192"/>
        <v>#DIV/0!</v>
      </c>
    </row>
    <row r="29" spans="1:354" outlineLevel="1">
      <c r="A29" s="884">
        <v>7445</v>
      </c>
      <c r="B29" s="70" t="s">
        <v>636</v>
      </c>
      <c r="C29" s="17" t="s">
        <v>72</v>
      </c>
      <c r="D29" s="31" t="s">
        <v>59</v>
      </c>
      <c r="E29" s="102">
        <v>-12.054714560000001</v>
      </c>
      <c r="F29" s="102">
        <v>-12.287807950000001</v>
      </c>
      <c r="G29" s="102">
        <v>-8.6758783499999979</v>
      </c>
      <c r="H29" s="102">
        <v>-16.577594649999995</v>
      </c>
      <c r="I29" s="102">
        <v>-12.554175260000008</v>
      </c>
      <c r="J29" s="102">
        <v>-19.242788689999998</v>
      </c>
      <c r="K29" s="102">
        <v>-206.13977804000001</v>
      </c>
      <c r="L29" s="102">
        <v>-11.403914860000043</v>
      </c>
      <c r="M29" s="102">
        <v>-84.079650139999956</v>
      </c>
      <c r="N29" s="102">
        <v>-38.783266589999982</v>
      </c>
      <c r="O29" s="102">
        <v>-55.566764560000024</v>
      </c>
      <c r="P29" s="102">
        <v>-43.287368099999981</v>
      </c>
      <c r="Q29" s="102">
        <v>0</v>
      </c>
      <c r="R29" s="102">
        <v>-58.702928</v>
      </c>
      <c r="S29" s="102">
        <v>0</v>
      </c>
      <c r="T29" s="102">
        <v>-39.428235000000001</v>
      </c>
      <c r="U29" s="102">
        <v>-40.586594000000005</v>
      </c>
      <c r="V29" s="102">
        <v>-34.907572789999989</v>
      </c>
      <c r="W29" s="102">
        <v>-15.271402219999999</v>
      </c>
      <c r="X29" s="102">
        <v>-38.814540960000016</v>
      </c>
      <c r="Y29" s="102">
        <v>-12.331631129999977</v>
      </c>
      <c r="Z29" s="102">
        <v>-22.838739000000032</v>
      </c>
      <c r="AA29" s="102">
        <v>-49.304575</v>
      </c>
      <c r="AB29" s="145">
        <v>-66.064156799999978</v>
      </c>
      <c r="AC29" s="145">
        <v>-15.60572172</v>
      </c>
      <c r="AD29" s="145">
        <v>0</v>
      </c>
      <c r="AE29" s="145">
        <v>-73.497630319999999</v>
      </c>
      <c r="AF29" s="145">
        <v>-31.624669369999999</v>
      </c>
      <c r="AG29" s="145">
        <v>-29.91180168</v>
      </c>
      <c r="AH29" s="145">
        <v>-25.772214089999999</v>
      </c>
      <c r="AI29" s="145">
        <v>-26.04429025</v>
      </c>
      <c r="AJ29" s="145">
        <v>-33.62541512</v>
      </c>
      <c r="AK29" s="145">
        <v>-27.949599170000003</v>
      </c>
      <c r="AL29" s="145">
        <v>-38.159878720000002</v>
      </c>
      <c r="AM29" s="145">
        <v>-60.87724472</v>
      </c>
      <c r="AN29" s="145">
        <v>-1273.0526789500002</v>
      </c>
      <c r="AO29" s="102">
        <v>-35.404596000000005</v>
      </c>
      <c r="AP29" s="145">
        <v>-35.732735919999982</v>
      </c>
      <c r="AQ29" s="143">
        <v>-2.7751092799999997</v>
      </c>
      <c r="AR29" s="143">
        <v>-37.284881779999999</v>
      </c>
      <c r="AS29" s="102">
        <v>-19.214790230000002</v>
      </c>
      <c r="AT29" s="102">
        <v>-40.871221319999997</v>
      </c>
      <c r="AU29" s="102">
        <v>-132.14131755</v>
      </c>
      <c r="AV29" s="102">
        <v>-107.34413473000001</v>
      </c>
      <c r="AW29" s="102">
        <v>-74.575021349999986</v>
      </c>
      <c r="AX29" s="102">
        <v>-9.7529857399999997</v>
      </c>
      <c r="AY29" s="102">
        <v>-42.359442980000004</v>
      </c>
      <c r="AZ29" s="102">
        <v>-7.9913820799999939</v>
      </c>
      <c r="BA29" s="102">
        <v>-52.19315959</v>
      </c>
      <c r="BB29" s="102">
        <v>-2.8558728900000006</v>
      </c>
      <c r="BC29" s="102">
        <v>-2.6209634199999998</v>
      </c>
      <c r="BD29" s="102">
        <v>-9.8108924000000002</v>
      </c>
      <c r="BE29" s="102">
        <v>-11.498517720000001</v>
      </c>
      <c r="BF29" s="102">
        <v>-11.414848619999999</v>
      </c>
      <c r="BG29" s="102">
        <v>-10.829832919999999</v>
      </c>
      <c r="BH29" s="102">
        <v>-7.4779173499999994</v>
      </c>
      <c r="BI29" s="102">
        <v>-14.951199050000001</v>
      </c>
      <c r="BJ29" s="102">
        <v>-37.72161088</v>
      </c>
      <c r="BK29" s="102">
        <v>-45.043555159999997</v>
      </c>
      <c r="BL29" s="102">
        <v>-51.115732139999999</v>
      </c>
      <c r="BM29" s="102">
        <v>-23.37605404</v>
      </c>
      <c r="BN29" s="102">
        <v>-64.915392850000003</v>
      </c>
      <c r="BO29" s="102">
        <v>-82.342958769999996</v>
      </c>
      <c r="BP29" s="102">
        <v>-44.528901840000003</v>
      </c>
      <c r="BQ29" s="102">
        <v>-47.583368189999995</v>
      </c>
      <c r="BR29" s="102">
        <v>-40.662542860000002</v>
      </c>
      <c r="BS29" s="102">
        <v>-96.511243530000002</v>
      </c>
      <c r="BT29" s="102">
        <v>-29.506081350000002</v>
      </c>
      <c r="BU29" s="102">
        <v>-16.804099999999998</v>
      </c>
      <c r="BV29" s="102">
        <v>-20.019071109999999</v>
      </c>
      <c r="BW29" s="102">
        <v>-6.6398745999999997</v>
      </c>
      <c r="BX29" s="102">
        <v>-14.9451</v>
      </c>
      <c r="BY29" s="102">
        <v>-46.811208069999992</v>
      </c>
      <c r="BZ29" s="102">
        <v>-23.929342490000003</v>
      </c>
      <c r="CA29" s="102">
        <v>-39.15526594</v>
      </c>
      <c r="CB29" s="102">
        <v>-26.671920980000003</v>
      </c>
      <c r="CC29" s="102">
        <v>-5.2934493200000041</v>
      </c>
      <c r="CD29" s="102">
        <v>-29.45147639</v>
      </c>
      <c r="CE29" s="102">
        <v>-47.601944390000007</v>
      </c>
      <c r="CF29" s="102">
        <v>-34.920863420000003</v>
      </c>
      <c r="CG29" s="102">
        <v>-46.710052299999994</v>
      </c>
      <c r="CH29" s="102">
        <v>-42.049010330000009</v>
      </c>
      <c r="CI29" s="102">
        <v>-69.876301400000003</v>
      </c>
      <c r="CJ29" s="102">
        <v>-55.447850559999999</v>
      </c>
      <c r="CK29" s="102">
        <v>-31.817040619999997</v>
      </c>
      <c r="CL29" s="102">
        <v>-76.686659840000004</v>
      </c>
      <c r="CM29" s="102">
        <v>-36.500364779999998</v>
      </c>
      <c r="CN29" s="102">
        <v>-57.963143810000005</v>
      </c>
      <c r="CO29" s="102">
        <v>-59.315975780000002</v>
      </c>
      <c r="CP29" s="102">
        <v>-27.876727290000002</v>
      </c>
      <c r="CQ29" s="102">
        <v>-37.306641280000001</v>
      </c>
      <c r="CR29" s="102">
        <v>-102.11260919</v>
      </c>
      <c r="CS29" s="102">
        <v>-29.68123482</v>
      </c>
      <c r="CT29" s="102">
        <v>-34.781015580000009</v>
      </c>
      <c r="CU29" s="102">
        <v>-105.81318518</v>
      </c>
      <c r="CV29" s="102">
        <v>-42.470247890000003</v>
      </c>
      <c r="CW29" s="102">
        <v>-57.031595920000001</v>
      </c>
      <c r="CX29" s="102">
        <v>-32.559062840000003</v>
      </c>
      <c r="CY29" s="102">
        <v>-11.622195869999999</v>
      </c>
      <c r="CZ29" s="102">
        <v>-4.9408859999999999</v>
      </c>
      <c r="DA29" s="102">
        <v>-12.367589000000001</v>
      </c>
      <c r="DB29" s="102">
        <v>-13.879588999999999</v>
      </c>
      <c r="DC29" s="102">
        <v>-12.57874</v>
      </c>
      <c r="DD29" s="102">
        <v>-18.130051000000002</v>
      </c>
      <c r="DE29" s="102">
        <v>-46.416269</v>
      </c>
      <c r="DF29" s="102">
        <v>-50.471666999999997</v>
      </c>
      <c r="DG29" s="102">
        <v>-25.819970000000001</v>
      </c>
      <c r="DH29" s="102">
        <v>63.465735000000002</v>
      </c>
      <c r="DI29" s="102">
        <v>-70.016314109999982</v>
      </c>
      <c r="DJ29" s="102">
        <v>-68.765385149999986</v>
      </c>
      <c r="DK29" s="102">
        <v>-48.373445650000008</v>
      </c>
      <c r="DL29" s="102">
        <v>-93.955098390000003</v>
      </c>
      <c r="DM29" s="102">
        <v>-32.890311249999996</v>
      </c>
      <c r="DN29" s="102">
        <v>-15.724032919999999</v>
      </c>
      <c r="DO29" s="102">
        <v>-63.10109156</v>
      </c>
      <c r="DP29" s="102">
        <v>-45.985965310000005</v>
      </c>
      <c r="DQ29" s="940">
        <v>-77.45876976000001</v>
      </c>
      <c r="DR29" s="940">
        <v>-58.075824829999995</v>
      </c>
      <c r="DS29" s="940">
        <v>-34.382239159999997</v>
      </c>
      <c r="DT29" s="940">
        <v>-156.63146892</v>
      </c>
      <c r="DU29" s="940">
        <v>-84.713969890000001</v>
      </c>
      <c r="DV29" s="940">
        <v>-77.69350412</v>
      </c>
      <c r="DW29" s="940">
        <v>-48.27412528</v>
      </c>
      <c r="DX29" s="940">
        <v>-69.751509999999996</v>
      </c>
      <c r="DY29" s="940">
        <v>-109.70248306000001</v>
      </c>
      <c r="DZ29" s="940">
        <v>-216.38705393999999</v>
      </c>
      <c r="EA29" s="940">
        <v>-137.11204232000003</v>
      </c>
      <c r="EB29" s="940">
        <v>-197.01274741</v>
      </c>
      <c r="EC29" s="940">
        <v>-257.83526218999998</v>
      </c>
      <c r="ED29" s="940">
        <v>-119.02390583</v>
      </c>
      <c r="EE29" s="940">
        <v>-211.82256876</v>
      </c>
      <c r="EF29" s="940">
        <v>-1629.84383989</v>
      </c>
      <c r="EH29" s="102">
        <v>-57.031595920000001</v>
      </c>
      <c r="EI29" s="102">
        <v>-32.559062840000003</v>
      </c>
      <c r="EJ29" s="102">
        <v>-11.622195869999999</v>
      </c>
      <c r="EK29" s="102">
        <v>-4.9408859999999999</v>
      </c>
      <c r="EL29" s="102">
        <v>-12.367589000000001</v>
      </c>
      <c r="EM29" s="102">
        <v>-13.879588999999999</v>
      </c>
      <c r="EN29" s="102">
        <v>-20.405000000000001</v>
      </c>
      <c r="EO29" s="102">
        <v>-21.754999999999999</v>
      </c>
      <c r="EP29" s="102">
        <v>-21.265000000000001</v>
      </c>
      <c r="EQ29" s="102">
        <v>-16.7</v>
      </c>
      <c r="ER29" s="102">
        <v>-11.86</v>
      </c>
      <c r="ES29" s="102">
        <v>-11.86</v>
      </c>
      <c r="EU29" s="102">
        <v>-9.52</v>
      </c>
      <c r="EV29" s="102">
        <v>-8.9600000000000009</v>
      </c>
      <c r="EW29" s="102">
        <v>-12.4</v>
      </c>
      <c r="EX29" s="102">
        <v>-14.24</v>
      </c>
      <c r="EY29" s="102">
        <v>-14.88</v>
      </c>
      <c r="EZ29" s="102">
        <v>-16</v>
      </c>
      <c r="FA29" s="102">
        <v>-61.847438337879993</v>
      </c>
      <c r="FB29" s="102">
        <v>-63.447438337879994</v>
      </c>
      <c r="FC29" s="102">
        <v>-61.607438337879991</v>
      </c>
      <c r="FD29" s="102">
        <v>-62.727438337879995</v>
      </c>
      <c r="FE29" s="102">
        <v>-61.607438337879991</v>
      </c>
      <c r="FF29" s="102">
        <v>-62.96743833787999</v>
      </c>
      <c r="FG29" s="102">
        <v>-24.980077999410799</v>
      </c>
      <c r="FH29" s="102">
        <v>-38.386124650956802</v>
      </c>
      <c r="FI29" s="102">
        <v>-42.588131234807506</v>
      </c>
      <c r="FJ29" s="102">
        <v>-38.912533292382001</v>
      </c>
      <c r="FK29" s="102">
        <v>-42.966169281052593</v>
      </c>
      <c r="FL29" s="102">
        <v>-73.06907389106199</v>
      </c>
      <c r="FM29" s="102">
        <v>-82.433817727324609</v>
      </c>
      <c r="FN29" s="102">
        <v>-71.359303482402311</v>
      </c>
      <c r="FO29" s="102">
        <v>-73.151444256130816</v>
      </c>
      <c r="FP29" s="102">
        <v>-76.377461235219101</v>
      </c>
      <c r="FQ29" s="102">
        <v>-67.373549123492808</v>
      </c>
      <c r="FR29" s="102">
        <v>-54.392032510951999</v>
      </c>
      <c r="FS29" s="102">
        <v>-43.25</v>
      </c>
      <c r="FT29" s="102">
        <v>-43.25</v>
      </c>
      <c r="FU29" s="102">
        <v>-43.25</v>
      </c>
      <c r="FV29" s="102">
        <v>-43.25</v>
      </c>
      <c r="FW29" s="102">
        <v>-43.25</v>
      </c>
      <c r="FX29" s="102">
        <v>-43.25</v>
      </c>
      <c r="FY29" s="102">
        <v>-43.25</v>
      </c>
      <c r="FZ29" s="102">
        <v>-43.25</v>
      </c>
      <c r="GA29" s="102">
        <v>-43.25</v>
      </c>
      <c r="GB29" s="102">
        <v>-43.25</v>
      </c>
      <c r="GC29" s="102">
        <v>-43.25</v>
      </c>
      <c r="GD29" s="102">
        <v>-43.25</v>
      </c>
      <c r="GE29" s="102">
        <v>-63.16</v>
      </c>
      <c r="GF29" s="102">
        <v>-51.93</v>
      </c>
      <c r="GG29" s="102">
        <v>-42.25</v>
      </c>
      <c r="GH29" s="102">
        <v>-37.31</v>
      </c>
      <c r="GI29" s="102">
        <v>-42.25</v>
      </c>
      <c r="GJ29" s="102">
        <v>-41.98</v>
      </c>
      <c r="GK29" s="102">
        <v>-52.4</v>
      </c>
      <c r="GL29" s="102">
        <v>-51.51</v>
      </c>
      <c r="GM29" s="102">
        <v>-49.68</v>
      </c>
      <c r="GN29" s="102">
        <v>-55.71</v>
      </c>
      <c r="GO29" s="102">
        <v>-57.06</v>
      </c>
      <c r="GP29" s="102">
        <v>-51.04</v>
      </c>
      <c r="GQ29" s="102">
        <v>-63.16</v>
      </c>
      <c r="GR29" s="102">
        <v>-51.93</v>
      </c>
      <c r="GS29" s="102">
        <v>-42.25</v>
      </c>
      <c r="GT29" s="102">
        <v>-37.31</v>
      </c>
      <c r="GU29" s="102">
        <v>-42.25</v>
      </c>
      <c r="GV29" s="102">
        <v>-41.98</v>
      </c>
      <c r="GW29" s="102">
        <v>-52.4</v>
      </c>
      <c r="GX29" s="102">
        <v>-51.51</v>
      </c>
      <c r="GY29" s="102">
        <v>-49.68</v>
      </c>
      <c r="GZ29" s="102">
        <v>-55.71</v>
      </c>
      <c r="HA29" s="102">
        <v>-57.06</v>
      </c>
      <c r="HB29" s="102">
        <v>-51.04</v>
      </c>
      <c r="HD29" s="102">
        <f t="shared" si="109"/>
        <v>-520.65370174999998</v>
      </c>
      <c r="HE29" s="102">
        <f t="shared" si="109"/>
        <v>-378.2503749</v>
      </c>
      <c r="HF29" s="102">
        <f t="shared" si="109"/>
        <v>-1636.1211441100002</v>
      </c>
      <c r="HG29" s="102">
        <f t="shared" si="109"/>
        <v>-545.44761896</v>
      </c>
      <c r="HH29" s="102">
        <f t="shared" si="110"/>
        <v>-257.53410213999996</v>
      </c>
      <c r="HI29" s="102">
        <f t="shared" si="111"/>
        <v>-487.83468914000002</v>
      </c>
      <c r="HJ29" s="102">
        <f t="shared" si="112"/>
        <v>-467.91868559</v>
      </c>
      <c r="HK29" s="102">
        <f t="shared" si="113"/>
        <v>-642.32484606000003</v>
      </c>
      <c r="HL29" s="940">
        <f>+SUMIF($E$6:SEW$6,HL$7,$E29:SEW29)</f>
        <v>-222.35188063000004</v>
      </c>
      <c r="HM29" s="940">
        <f>+SUMIF($E$6:SEX$6,HM$7,$E29:SEX29)</f>
        <v>-765.35994700999993</v>
      </c>
      <c r="HN29" s="940">
        <f>+SUMIF($E$6:SEY$6,HN$7,$E29:SEY29)</f>
        <v>-3159.1730126900002</v>
      </c>
      <c r="HO29" s="102"/>
      <c r="HP29" s="102"/>
      <c r="HR29" s="929">
        <f t="shared" si="114"/>
        <v>3.3254977461490949</v>
      </c>
      <c r="HS29" s="929">
        <f t="shared" si="115"/>
        <v>-0.66662149626046985</v>
      </c>
      <c r="HT29" s="929">
        <f t="shared" si="116"/>
        <v>-0.52784815042178046</v>
      </c>
      <c r="HU29" s="929">
        <f t="shared" si="117"/>
        <v>0.89425278084066995</v>
      </c>
      <c r="HV29" s="929">
        <f t="shared" si="118"/>
        <v>-4.0825312330924679E-2</v>
      </c>
      <c r="HW29" s="929">
        <f t="shared" si="119"/>
        <v>0.37272749697971741</v>
      </c>
      <c r="HX29" s="929">
        <f t="shared" si="120"/>
        <v>-0.65383266427587328</v>
      </c>
      <c r="HY29" s="929">
        <f t="shared" si="120"/>
        <v>2.4421114174589826</v>
      </c>
      <c r="HZ29" s="929">
        <f t="shared" si="120"/>
        <v>3.1276957659357674</v>
      </c>
      <c r="IA29" s="929">
        <f t="shared" si="17"/>
        <v>-1</v>
      </c>
      <c r="IB29" s="929" t="str">
        <f t="shared" si="121"/>
        <v/>
      </c>
      <c r="IC29" s="929">
        <f t="shared" si="19"/>
        <v>-1</v>
      </c>
      <c r="IE29" s="102">
        <f t="shared" si="122"/>
        <v>-1257.8707692100002</v>
      </c>
      <c r="IF29" s="102">
        <f t="shared" si="123"/>
        <v>1090.6735251500002</v>
      </c>
      <c r="IG29" s="102">
        <f t="shared" si="124"/>
        <v>287.91351682000004</v>
      </c>
      <c r="IH29" s="102">
        <f t="shared" si="125"/>
        <v>-230.30058700000006</v>
      </c>
      <c r="II29" s="102">
        <f t="shared" si="100"/>
        <v>19.916003550000028</v>
      </c>
      <c r="IJ29" s="102">
        <f t="shared" si="101"/>
        <v>-174.40616047000003</v>
      </c>
      <c r="IK29" s="102">
        <f t="shared" si="102"/>
        <v>419.97296542999999</v>
      </c>
      <c r="IL29" s="102">
        <f t="shared" si="27"/>
        <v>222.35188063000004</v>
      </c>
      <c r="IM29" s="102">
        <f t="shared" si="126"/>
        <v>0</v>
      </c>
      <c r="IN29" s="102">
        <f t="shared" si="29"/>
        <v>222.35188063000004</v>
      </c>
      <c r="IP29" s="32">
        <f t="shared" si="180"/>
        <v>-1.029104861330285E-2</v>
      </c>
      <c r="IQ29" s="32">
        <f t="shared" si="181"/>
        <v>-4.1543861999644813E-2</v>
      </c>
      <c r="IR29" s="32">
        <f t="shared" si="182"/>
        <v>-3.2365432522526522E-2</v>
      </c>
      <c r="IS29" s="32">
        <f t="shared" si="183"/>
        <v>-4.1861667798076957E-2</v>
      </c>
      <c r="IT29" s="32">
        <f t="shared" si="176"/>
        <v>-3.5794358537823492E-2</v>
      </c>
      <c r="IU29" s="32">
        <f t="shared" si="177"/>
        <v>-3.3067210799267832E-2</v>
      </c>
      <c r="IV29" s="32">
        <f t="shared" si="178"/>
        <v>-3.0256452366073775E-2</v>
      </c>
      <c r="IW29" s="32">
        <f t="shared" si="179"/>
        <v>-1.7619165415502083E-2</v>
      </c>
      <c r="IX29" s="32" t="e">
        <f t="shared" si="128"/>
        <v>#DIV/0!</v>
      </c>
      <c r="IY29" s="32" t="e">
        <f t="shared" si="129"/>
        <v>#DIV/0!</v>
      </c>
      <c r="JA29" s="102">
        <f t="shared" ref="JA29:JK37" si="193">+IFERROR(SUMIFS($E29:$EG29,$E$6:$EG$6,JA$7,$E$5:$EG$5,"&lt;="&amp;$JC$5),"NA")</f>
        <v>-520.65370174999998</v>
      </c>
      <c r="JB29" s="102">
        <f t="shared" si="193"/>
        <v>-378.2503749</v>
      </c>
      <c r="JC29" s="102">
        <f t="shared" si="193"/>
        <v>-1636.1211441100002</v>
      </c>
      <c r="JD29" s="102">
        <f t="shared" si="193"/>
        <v>-545.44761896</v>
      </c>
      <c r="JE29" s="102">
        <f t="shared" si="193"/>
        <v>-257.53410213999996</v>
      </c>
      <c r="JF29" s="102">
        <f t="shared" si="193"/>
        <v>-487.83468914000002</v>
      </c>
      <c r="JG29" s="102">
        <f t="shared" si="193"/>
        <v>-467.91868559</v>
      </c>
      <c r="JH29" s="102">
        <f t="shared" si="193"/>
        <v>-642.32484606000003</v>
      </c>
      <c r="JI29" s="102">
        <f t="shared" si="193"/>
        <v>-222.35188063000004</v>
      </c>
      <c r="JJ29" s="102">
        <f t="shared" si="193"/>
        <v>-765.35994700999993</v>
      </c>
      <c r="JK29" s="102">
        <f t="shared" si="193"/>
        <v>-3159.1730126900002</v>
      </c>
      <c r="JL29" s="102">
        <f t="shared" si="130"/>
        <v>-3159.1730126900002</v>
      </c>
      <c r="JM29" s="102"/>
      <c r="JN29" s="102"/>
      <c r="JO29" s="922">
        <f t="shared" si="167"/>
        <v>2.4421114174589826</v>
      </c>
      <c r="JP29" s="102">
        <f t="shared" si="41"/>
        <v>-3159.1730126900002</v>
      </c>
      <c r="JQ29" s="102">
        <f t="shared" si="42"/>
        <v>0</v>
      </c>
      <c r="JR29" s="145"/>
      <c r="JS29" s="929" t="str">
        <f t="shared" si="131"/>
        <v/>
      </c>
      <c r="JT29" s="930">
        <f t="shared" si="89"/>
        <v>-3159.1730126900002</v>
      </c>
      <c r="JV29" s="32">
        <f t="shared" si="43"/>
        <v>-0.1046375705435474</v>
      </c>
      <c r="JW29" s="929" t="str">
        <f t="shared" si="44"/>
        <v/>
      </c>
      <c r="JY29" s="929">
        <f t="shared" si="168"/>
        <v>3.3254977461490949</v>
      </c>
      <c r="JZ29" s="929">
        <f t="shared" si="169"/>
        <v>-0.66662149626046985</v>
      </c>
      <c r="KA29" s="929">
        <f t="shared" si="170"/>
        <v>-0.52784815042178046</v>
      </c>
      <c r="KB29" s="929">
        <f t="shared" si="171"/>
        <v>0.89425278084066995</v>
      </c>
      <c r="KC29" s="929">
        <f t="shared" si="172"/>
        <v>-4.0825312330924679E-2</v>
      </c>
      <c r="KD29" s="929">
        <f t="shared" si="173"/>
        <v>0.37272749697971741</v>
      </c>
      <c r="KE29" s="929">
        <f t="shared" si="174"/>
        <v>-0.65383266427587328</v>
      </c>
      <c r="KF29" s="929">
        <f t="shared" si="175"/>
        <v>-1</v>
      </c>
      <c r="KH29" s="102">
        <f t="shared" si="133"/>
        <v>-1257.8707692100002</v>
      </c>
      <c r="KI29" s="102">
        <f t="shared" si="134"/>
        <v>1090.6735251500002</v>
      </c>
      <c r="KJ29" s="102">
        <f t="shared" si="135"/>
        <v>287.91351682000004</v>
      </c>
      <c r="KK29" s="102">
        <f t="shared" si="136"/>
        <v>-230.30058700000006</v>
      </c>
      <c r="KL29" s="102">
        <f t="shared" si="137"/>
        <v>19.916003550000028</v>
      </c>
      <c r="KM29" s="102">
        <f t="shared" si="138"/>
        <v>-174.40616047000003</v>
      </c>
      <c r="KN29" s="102">
        <f t="shared" si="139"/>
        <v>419.97296542999999</v>
      </c>
      <c r="KO29" s="102">
        <f t="shared" si="140"/>
        <v>222.35188063000004</v>
      </c>
      <c r="KQ29" s="32">
        <f t="shared" si="141"/>
        <v>-1.4350443309920637E-2</v>
      </c>
      <c r="KR29" s="32">
        <f t="shared" si="142"/>
        <v>-1.029104861330285E-2</v>
      </c>
      <c r="KS29" s="32">
        <f t="shared" si="143"/>
        <v>-4.1543861999644813E-2</v>
      </c>
      <c r="KT29" s="32">
        <f t="shared" si="144"/>
        <v>-3.2365432522526522E-2</v>
      </c>
      <c r="KU29" s="32">
        <f t="shared" si="145"/>
        <v>-4.1861667798076957E-2</v>
      </c>
      <c r="KV29" s="32">
        <f t="shared" si="146"/>
        <v>-3.5794358537823492E-2</v>
      </c>
      <c r="KW29" s="32">
        <f t="shared" si="147"/>
        <v>-3.3067210799267832E-2</v>
      </c>
      <c r="KX29" s="32">
        <f t="shared" si="148"/>
        <v>-3.0256452366073775E-2</v>
      </c>
      <c r="KY29" s="32">
        <f t="shared" si="149"/>
        <v>-1.7619165415502083E-2</v>
      </c>
      <c r="KZ29" s="32" t="e">
        <f t="shared" si="150"/>
        <v>#DIV/0!</v>
      </c>
      <c r="LB29" s="102">
        <f t="shared" si="151"/>
        <v>-43.287368099999981</v>
      </c>
      <c r="LC29" s="102">
        <f t="shared" si="151"/>
        <v>-66.064156799999978</v>
      </c>
      <c r="LD29" s="102">
        <f t="shared" si="151"/>
        <v>-1273.0526789500002</v>
      </c>
      <c r="LE29" s="102">
        <f t="shared" si="151"/>
        <v>-7.9913820799999939</v>
      </c>
      <c r="LF29" s="102">
        <f t="shared" si="151"/>
        <v>-51.115732139999999</v>
      </c>
      <c r="LG29" s="102">
        <f t="shared" si="151"/>
        <v>-14.9451</v>
      </c>
      <c r="LH29" s="102">
        <f t="shared" si="151"/>
        <v>-55.447850559999999</v>
      </c>
      <c r="LI29" s="102">
        <f t="shared" si="151"/>
        <v>-42.470247890000003</v>
      </c>
      <c r="LJ29" s="102">
        <f t="shared" si="151"/>
        <v>63.465735000000002</v>
      </c>
      <c r="LK29" s="102">
        <f t="shared" si="151"/>
        <v>-156.63146892</v>
      </c>
      <c r="LL29" s="102">
        <f t="shared" si="151"/>
        <v>-1629.84383989</v>
      </c>
      <c r="LM29" s="102">
        <f t="shared" si="151"/>
        <v>-1629.84383989</v>
      </c>
      <c r="LN29" s="102"/>
      <c r="LO29" s="102"/>
      <c r="LR29" s="32">
        <f t="shared" si="152"/>
        <v>18.269945165636333</v>
      </c>
      <c r="LS29" s="32">
        <f t="shared" si="153"/>
        <v>-0.99372266190383318</v>
      </c>
      <c r="LT29" s="32">
        <f t="shared" si="154"/>
        <v>5.3963569290382418</v>
      </c>
      <c r="LU29" s="32">
        <f t="shared" si="155"/>
        <v>-0.70762230385222447</v>
      </c>
      <c r="LV29" s="32">
        <f t="shared" si="156"/>
        <v>2.7101023452502826</v>
      </c>
      <c r="LW29" s="32">
        <f t="shared" si="157"/>
        <v>-0.23405059959821095</v>
      </c>
      <c r="LX29" s="32">
        <f t="shared" si="158"/>
        <v>-1</v>
      </c>
      <c r="LZ29" s="102">
        <f t="shared" si="159"/>
        <v>-1206.9885221500003</v>
      </c>
      <c r="MA29" s="102">
        <f t="shared" si="160"/>
        <v>1265.0612968700002</v>
      </c>
      <c r="MB29" s="102">
        <f t="shared" si="161"/>
        <v>-43.124350060000005</v>
      </c>
      <c r="MC29" s="102">
        <f t="shared" si="162"/>
        <v>36.170632139999995</v>
      </c>
      <c r="MD29" s="102">
        <f t="shared" si="163"/>
        <v>-40.502750559999996</v>
      </c>
      <c r="ME29" s="102">
        <f t="shared" si="164"/>
        <v>12.977602669999996</v>
      </c>
      <c r="MF29" s="102">
        <f t="shared" si="165"/>
        <v>42.470247890000003</v>
      </c>
      <c r="MH29" s="32">
        <f t="shared" si="184"/>
        <v>-1.4432277380553932E-2</v>
      </c>
      <c r="MI29" s="32">
        <f t="shared" si="185"/>
        <v>-1.198189747867667E-2</v>
      </c>
      <c r="MJ29" s="32">
        <f t="shared" si="186"/>
        <v>-0.24834491642906281</v>
      </c>
      <c r="MK29" s="32">
        <f t="shared" si="187"/>
        <v>-1.3748099492589512E-2</v>
      </c>
      <c r="ML29" s="32">
        <f t="shared" si="188"/>
        <v>-3.3931040078024145E-2</v>
      </c>
      <c r="MM29" s="32">
        <f t="shared" si="189"/>
        <v>-1.4528375288852834E-2</v>
      </c>
      <c r="MN29" s="32">
        <f t="shared" si="190"/>
        <v>-3.5657491529027634E-2</v>
      </c>
      <c r="MO29" s="32">
        <f t="shared" si="191"/>
        <v>-2.2566600763430381E-2</v>
      </c>
      <c r="MP29" s="32" t="e">
        <f t="shared" si="192"/>
        <v>#DIV/0!</v>
      </c>
    </row>
    <row r="30" spans="1:354" outlineLevel="1">
      <c r="A30" s="884">
        <v>7455</v>
      </c>
      <c r="B30" s="70" t="s">
        <v>637</v>
      </c>
      <c r="C30" s="17" t="s">
        <v>73</v>
      </c>
      <c r="D30" s="31" t="s">
        <v>59</v>
      </c>
      <c r="E30" s="102">
        <v>-20.724874</v>
      </c>
      <c r="F30" s="102">
        <v>-47.427752999999996</v>
      </c>
      <c r="G30" s="102">
        <v>-38.717566000000005</v>
      </c>
      <c r="H30" s="102">
        <v>-18.545338000000001</v>
      </c>
      <c r="I30" s="102">
        <v>-18.827173999999999</v>
      </c>
      <c r="J30" s="102">
        <v>-33.471992999999998</v>
      </c>
      <c r="K30" s="102">
        <v>-18.183975000000004</v>
      </c>
      <c r="L30" s="102">
        <v>-34.668939999999992</v>
      </c>
      <c r="M30" s="102">
        <v>14.636779999999987</v>
      </c>
      <c r="N30" s="102">
        <v>-74.819232</v>
      </c>
      <c r="O30" s="102">
        <v>-12.999478000000011</v>
      </c>
      <c r="P30" s="102">
        <v>-26.465269999999975</v>
      </c>
      <c r="Q30" s="102">
        <v>0</v>
      </c>
      <c r="R30" s="102">
        <v>0</v>
      </c>
      <c r="S30" s="102">
        <v>0</v>
      </c>
      <c r="T30" s="102">
        <v>0</v>
      </c>
      <c r="U30" s="102">
        <v>0</v>
      </c>
      <c r="V30" s="102">
        <v>0</v>
      </c>
      <c r="W30" s="102">
        <v>-1.6</v>
      </c>
      <c r="X30" s="102">
        <v>0.16280000000000006</v>
      </c>
      <c r="Y30" s="102">
        <v>-1.2232499999999999</v>
      </c>
      <c r="Z30" s="102">
        <v>-0.62639999999999985</v>
      </c>
      <c r="AA30" s="102">
        <v>-3.1499999999999861E-2</v>
      </c>
      <c r="AB30" s="145">
        <v>-2.1133500000000005</v>
      </c>
      <c r="AC30" s="145">
        <v>-6.4113899999999999</v>
      </c>
      <c r="AD30" s="145">
        <v>-12.068822000000001</v>
      </c>
      <c r="AE30" s="145">
        <v>-6.827534</v>
      </c>
      <c r="AF30" s="145">
        <v>-2.7381190000000002</v>
      </c>
      <c r="AG30" s="145">
        <v>-9.4382660000000005</v>
      </c>
      <c r="AH30" s="145">
        <v>-9.6906780000000001</v>
      </c>
      <c r="AI30" s="145">
        <v>-9.0796029699999998</v>
      </c>
      <c r="AJ30" s="145">
        <v>-6.6816869499999996</v>
      </c>
      <c r="AK30" s="145">
        <v>-9.4039649500000007</v>
      </c>
      <c r="AL30" s="145">
        <v>-51.798112949999997</v>
      </c>
      <c r="AM30" s="145">
        <v>-12.993933949999999</v>
      </c>
      <c r="AN30" s="145">
        <v>-905.71432875000005</v>
      </c>
      <c r="AO30" s="102">
        <v>-36.908057460000002</v>
      </c>
      <c r="AP30" s="145">
        <v>-45.369495700000002</v>
      </c>
      <c r="AQ30" s="143">
        <v>-6.4046620000000001</v>
      </c>
      <c r="AR30" s="143">
        <v>-19.03089314</v>
      </c>
      <c r="AS30" s="102">
        <v>-455.74126794</v>
      </c>
      <c r="AT30" s="102">
        <v>-19.402380999999998</v>
      </c>
      <c r="AU30" s="102">
        <v>-24.35122535</v>
      </c>
      <c r="AV30" s="102">
        <v>-36.401608960000004</v>
      </c>
      <c r="AW30" s="102">
        <v>12.896813009999995</v>
      </c>
      <c r="AX30" s="102">
        <v>-41.637872210000005</v>
      </c>
      <c r="AY30" s="102">
        <v>-29.518637389999999</v>
      </c>
      <c r="AZ30" s="102">
        <v>9.4806562699999972</v>
      </c>
      <c r="BA30" s="102">
        <v>-2.5608430000000002</v>
      </c>
      <c r="BB30" s="102">
        <v>-9.8323180000000008</v>
      </c>
      <c r="BC30" s="102">
        <v>-8.1441999999999997</v>
      </c>
      <c r="BD30" s="102">
        <v>-2.6158000000000001</v>
      </c>
      <c r="BE30" s="102">
        <v>-8.5209969999999995</v>
      </c>
      <c r="BF30" s="102">
        <v>-1.561393</v>
      </c>
      <c r="BG30" s="102">
        <v>-4.8205520000000002</v>
      </c>
      <c r="BH30" s="102">
        <v>27.988213350000002</v>
      </c>
      <c r="BI30" s="102">
        <v>-9.6592229800000009</v>
      </c>
      <c r="BJ30" s="102">
        <v>-7.4379999000000003</v>
      </c>
      <c r="BK30" s="102">
        <v>-16.655596389999999</v>
      </c>
      <c r="BL30" s="102">
        <v>-28.827345359999995</v>
      </c>
      <c r="BM30" s="102">
        <v>-30.40469697</v>
      </c>
      <c r="BN30" s="102">
        <v>-10.1493907</v>
      </c>
      <c r="BO30" s="102">
        <v>-25.130054809999997</v>
      </c>
      <c r="BP30" s="102">
        <v>-27.226796610000005</v>
      </c>
      <c r="BQ30" s="102">
        <v>-20.949066999999999</v>
      </c>
      <c r="BR30" s="102">
        <v>-42.59482637</v>
      </c>
      <c r="BS30" s="102">
        <v>-30.335692820000002</v>
      </c>
      <c r="BT30" s="102">
        <v>-43.123389840000002</v>
      </c>
      <c r="BU30" s="102">
        <v>-19.571501100000003</v>
      </c>
      <c r="BV30" s="102">
        <v>-21.263544</v>
      </c>
      <c r="BW30" s="102">
        <v>-42.203513000000001</v>
      </c>
      <c r="BX30" s="102">
        <v>-45.949652999999998</v>
      </c>
      <c r="BY30" s="102">
        <v>-6.42584</v>
      </c>
      <c r="BZ30" s="102">
        <v>-29.02505493</v>
      </c>
      <c r="CA30" s="102">
        <v>-16.391691999999999</v>
      </c>
      <c r="CB30" s="102">
        <v>-36.799337000000001</v>
      </c>
      <c r="CC30" s="102">
        <v>-17.375069</v>
      </c>
      <c r="CD30" s="102">
        <v>-30.227572569999996</v>
      </c>
      <c r="CE30" s="102">
        <v>-46.279831000000001</v>
      </c>
      <c r="CF30" s="102">
        <v>-32.552003929999998</v>
      </c>
      <c r="CG30" s="102">
        <v>-71.600127379999989</v>
      </c>
      <c r="CH30" s="102">
        <v>-88.409075999999999</v>
      </c>
      <c r="CI30" s="102">
        <v>-56.208365000000001</v>
      </c>
      <c r="CJ30" s="102">
        <v>-80.287329959999994</v>
      </c>
      <c r="CK30" s="102">
        <v>-77.000163799999996</v>
      </c>
      <c r="CL30" s="102">
        <v>-70.175060000000002</v>
      </c>
      <c r="CM30" s="102">
        <v>-57.749899999999997</v>
      </c>
      <c r="CN30" s="102">
        <v>-73.123362</v>
      </c>
      <c r="CO30" s="102">
        <v>-53.296160999999998</v>
      </c>
      <c r="CP30" s="102">
        <v>-114.506394</v>
      </c>
      <c r="CQ30" s="102">
        <v>-104.81707</v>
      </c>
      <c r="CR30" s="102">
        <v>-109.08443751</v>
      </c>
      <c r="CS30" s="102">
        <v>-135.00478799999999</v>
      </c>
      <c r="CT30" s="102">
        <v>-153.82795236000001</v>
      </c>
      <c r="CU30" s="102">
        <v>-96.66095498</v>
      </c>
      <c r="CV30" s="102">
        <v>-113.27750899999999</v>
      </c>
      <c r="CW30" s="102">
        <v>-116.43096668000001</v>
      </c>
      <c r="CX30" s="102">
        <v>-88.475126500000002</v>
      </c>
      <c r="CY30" s="102">
        <v>-74.341858999999999</v>
      </c>
      <c r="CZ30" s="102">
        <v>-6.1052569999999999</v>
      </c>
      <c r="DA30" s="102">
        <v>-0.69071300000000002</v>
      </c>
      <c r="DB30" s="102">
        <v>-23.935549999999999</v>
      </c>
      <c r="DC30" s="102">
        <v>-14.737956000000001</v>
      </c>
      <c r="DD30" s="102">
        <v>-16.861633000000001</v>
      </c>
      <c r="DE30" s="102">
        <v>-17.856712999999999</v>
      </c>
      <c r="DF30" s="102">
        <v>-29.940314000000001</v>
      </c>
      <c r="DG30" s="102">
        <v>-47.011386999999999</v>
      </c>
      <c r="DH30" s="102">
        <v>-55.007277999999999</v>
      </c>
      <c r="DI30" s="102">
        <v>-44.885711999999998</v>
      </c>
      <c r="DJ30" s="102">
        <v>-16.460049999999999</v>
      </c>
      <c r="DK30" s="102">
        <v>-59.346240000000002</v>
      </c>
      <c r="DL30" s="102">
        <v>-41.823248</v>
      </c>
      <c r="DM30" s="102">
        <v>-41.274115999999999</v>
      </c>
      <c r="DN30" s="102">
        <v>-42.336049000000003</v>
      </c>
      <c r="DO30" s="102">
        <v>-45.191715000000002</v>
      </c>
      <c r="DP30" s="102">
        <v>-41.426791999999999</v>
      </c>
      <c r="DQ30" s="940">
        <v>-48.958840000000002</v>
      </c>
      <c r="DR30" s="940">
        <v>-61.846150000000002</v>
      </c>
      <c r="DS30" s="940">
        <v>-55.461274000000003</v>
      </c>
      <c r="DT30" s="940">
        <v>-33.922722</v>
      </c>
      <c r="DU30" s="940">
        <v>-78.529179999999997</v>
      </c>
      <c r="DV30" s="940">
        <v>-55.118200999999999</v>
      </c>
      <c r="DW30" s="940">
        <v>-51.218727469999997</v>
      </c>
      <c r="DX30" s="940">
        <v>-59.479917180000001</v>
      </c>
      <c r="DY30" s="940">
        <v>-73.963019319999987</v>
      </c>
      <c r="DZ30" s="940">
        <v>-69.003940999999998</v>
      </c>
      <c r="EA30" s="940">
        <v>-81.799546650000011</v>
      </c>
      <c r="EB30" s="940">
        <v>-63.205905039999998</v>
      </c>
      <c r="EC30" s="940">
        <v>-82.672128260000008</v>
      </c>
      <c r="ED30" s="940">
        <v>-126.92900299999999</v>
      </c>
      <c r="EE30" s="940">
        <v>-115.431793</v>
      </c>
      <c r="EF30" s="940">
        <v>-56.04877055</v>
      </c>
      <c r="EH30" s="102">
        <v>-116.43096668000001</v>
      </c>
      <c r="EI30" s="102">
        <v>-88.475126500000016</v>
      </c>
      <c r="EJ30" s="102">
        <v>-74.341858999999999</v>
      </c>
      <c r="EK30" s="102">
        <v>-6.1052569999999999</v>
      </c>
      <c r="EL30" s="102">
        <v>-0.69071300000000002</v>
      </c>
      <c r="EM30" s="102">
        <v>-23.935549999999999</v>
      </c>
      <c r="EN30" s="102">
        <v>-5.32</v>
      </c>
      <c r="EO30" s="102">
        <v>-6.04</v>
      </c>
      <c r="EP30" s="102">
        <v>-10.68</v>
      </c>
      <c r="EQ30" s="102">
        <v>-7.16</v>
      </c>
      <c r="ER30" s="102">
        <v>-6.8</v>
      </c>
      <c r="ES30" s="102">
        <v>-6.8</v>
      </c>
      <c r="EU30" s="102">
        <v>-18.807814839999995</v>
      </c>
      <c r="EV30" s="102">
        <v>-17.066666666666666</v>
      </c>
      <c r="EW30" s="102">
        <v>-22.066666666666663</v>
      </c>
      <c r="EX30" s="102">
        <v>-25.066666666666663</v>
      </c>
      <c r="EY30" s="102">
        <v>-24.733333333333327</v>
      </c>
      <c r="EZ30" s="102">
        <v>-25.733333333333331</v>
      </c>
      <c r="FA30" s="102">
        <v>-183.75234783336001</v>
      </c>
      <c r="FB30" s="102">
        <v>-31.413014102693342</v>
      </c>
      <c r="FC30" s="102">
        <v>-28.413014102693335</v>
      </c>
      <c r="FD30" s="102">
        <v>-29.413014102693335</v>
      </c>
      <c r="FE30" s="102">
        <v>-28.413014102693335</v>
      </c>
      <c r="FF30" s="102">
        <v>-30.079680769360007</v>
      </c>
      <c r="FG30" s="102">
        <v>-25.218144046203598</v>
      </c>
      <c r="FH30" s="102">
        <v>-32.719022510329602</v>
      </c>
      <c r="FI30" s="102">
        <v>-25.909261323654501</v>
      </c>
      <c r="FJ30" s="102">
        <v>-21.353759216589999</v>
      </c>
      <c r="FK30" s="102">
        <v>-23.633042085636198</v>
      </c>
      <c r="FL30" s="102">
        <v>-42.456682788821993</v>
      </c>
      <c r="FM30" s="102">
        <v>-44.955445755550201</v>
      </c>
      <c r="FN30" s="102">
        <v>-49.91112778862211</v>
      </c>
      <c r="FO30" s="102">
        <v>-54.978559982239609</v>
      </c>
      <c r="FP30" s="102">
        <v>-58.912003022563702</v>
      </c>
      <c r="FQ30" s="102">
        <v>-50.092626941089605</v>
      </c>
      <c r="FR30" s="102">
        <v>-32.126215128120002</v>
      </c>
      <c r="FS30" s="102">
        <v>-32.362000000000002</v>
      </c>
      <c r="FT30" s="102">
        <v>-30.364000000000001</v>
      </c>
      <c r="FU30" s="102">
        <v>-29.295999999999999</v>
      </c>
      <c r="FV30" s="102">
        <v>-26.536000000000001</v>
      </c>
      <c r="FW30" s="102">
        <v>-27.952000000000002</v>
      </c>
      <c r="FX30" s="102">
        <v>-27.952000000000002</v>
      </c>
      <c r="FY30" s="102">
        <v>-32.936</v>
      </c>
      <c r="FZ30" s="102">
        <v>-26.884</v>
      </c>
      <c r="GA30" s="102">
        <v>-20.972000000000001</v>
      </c>
      <c r="GB30" s="102">
        <v>-20.972000000000001</v>
      </c>
      <c r="GC30" s="102">
        <v>-20.172000000000001</v>
      </c>
      <c r="GD30" s="102">
        <v>-20.172000000000001</v>
      </c>
      <c r="GE30" s="102">
        <v>-103.5825</v>
      </c>
      <c r="GF30" s="102">
        <v>-81.314999999999998</v>
      </c>
      <c r="GG30" s="102">
        <v>-67.357500000000002</v>
      </c>
      <c r="GH30" s="102">
        <v>-59.047499999999999</v>
      </c>
      <c r="GI30" s="102">
        <v>-71.737499999999997</v>
      </c>
      <c r="GJ30" s="102">
        <v>-68.137500000000003</v>
      </c>
      <c r="GK30" s="102">
        <v>-88.064999999999998</v>
      </c>
      <c r="GL30" s="102">
        <v>-90.094999999999999</v>
      </c>
      <c r="GM30" s="102">
        <v>-87.694999999999993</v>
      </c>
      <c r="GN30" s="102">
        <v>-92.775000000000006</v>
      </c>
      <c r="GO30" s="102">
        <v>-95.894999999999996</v>
      </c>
      <c r="GP30" s="102">
        <v>-85.185000000000002</v>
      </c>
      <c r="GQ30" s="102">
        <v>-103.5825</v>
      </c>
      <c r="GR30" s="102">
        <v>-81.314999999999998</v>
      </c>
      <c r="GS30" s="102">
        <v>-67.357500000000002</v>
      </c>
      <c r="GT30" s="102">
        <v>-59.047499999999999</v>
      </c>
      <c r="GU30" s="102">
        <v>-71.737499999999997</v>
      </c>
      <c r="GV30" s="102">
        <v>-68.137500000000003</v>
      </c>
      <c r="GW30" s="102">
        <v>-88.064999999999998</v>
      </c>
      <c r="GX30" s="102">
        <v>-90.094999999999999</v>
      </c>
      <c r="GY30" s="102">
        <v>-87.694999999999993</v>
      </c>
      <c r="GZ30" s="102">
        <v>-92.775000000000006</v>
      </c>
      <c r="HA30" s="102">
        <v>-95.894999999999996</v>
      </c>
      <c r="HB30" s="102">
        <v>-85.185000000000002</v>
      </c>
      <c r="HD30" s="102">
        <f t="shared" si="109"/>
        <v>-330.21481299999999</v>
      </c>
      <c r="HE30" s="102">
        <f t="shared" si="109"/>
        <v>-5.4317000000000002</v>
      </c>
      <c r="HF30" s="102">
        <f t="shared" si="109"/>
        <v>-1042.8464395200001</v>
      </c>
      <c r="HG30" s="102">
        <f t="shared" si="109"/>
        <v>-692.38863186999993</v>
      </c>
      <c r="HH30" s="102">
        <f t="shared" si="110"/>
        <v>-72.648054279999997</v>
      </c>
      <c r="HI30" s="102">
        <f t="shared" si="111"/>
        <v>-358.90212622000001</v>
      </c>
      <c r="HJ30" s="102">
        <f t="shared" si="112"/>
        <v>-511.58129876999999</v>
      </c>
      <c r="HK30" s="102">
        <f t="shared" si="113"/>
        <v>-1158.52375265</v>
      </c>
      <c r="HL30" s="940">
        <f>+SUMIF($E$6:SEW$6,HL$7,$E30:SEW30)</f>
        <v>-491.39475318000001</v>
      </c>
      <c r="HM30" s="940">
        <f>+SUMIF($E$6:SEX$6,HM$7,$E30:SEX30)</f>
        <v>-532.932908</v>
      </c>
      <c r="HN30" s="940">
        <f>+SUMIF($E$6:SEY$6,HN$7,$E30:SEY30)</f>
        <v>-913.4001324699999</v>
      </c>
      <c r="HO30" s="102"/>
      <c r="HP30" s="102"/>
      <c r="HR30" s="929">
        <f t="shared" si="114"/>
        <v>190.99264309884569</v>
      </c>
      <c r="HS30" s="929">
        <f t="shared" si="115"/>
        <v>-0.33605888112473048</v>
      </c>
      <c r="HT30" s="929">
        <f t="shared" si="116"/>
        <v>-0.8950761885217664</v>
      </c>
      <c r="HU30" s="929">
        <f t="shared" si="117"/>
        <v>3.9402854594937962</v>
      </c>
      <c r="HV30" s="929">
        <f t="shared" si="118"/>
        <v>0.42540615225113099</v>
      </c>
      <c r="HW30" s="929">
        <f t="shared" si="119"/>
        <v>1.2645936343557715</v>
      </c>
      <c r="HX30" s="929">
        <f t="shared" si="120"/>
        <v>-0.57584404112907772</v>
      </c>
      <c r="HY30" s="929">
        <f t="shared" si="120"/>
        <v>8.4531132152289024E-2</v>
      </c>
      <c r="HZ30" s="929">
        <f t="shared" si="120"/>
        <v>0.7139120492630564</v>
      </c>
      <c r="IA30" s="929">
        <f t="shared" si="17"/>
        <v>-1</v>
      </c>
      <c r="IB30" s="929" t="str">
        <f t="shared" si="121"/>
        <v/>
      </c>
      <c r="IC30" s="929">
        <f t="shared" si="19"/>
        <v>-1</v>
      </c>
      <c r="IE30" s="102">
        <f t="shared" si="122"/>
        <v>-1037.41473952</v>
      </c>
      <c r="IF30" s="102">
        <f t="shared" si="123"/>
        <v>350.45780765000018</v>
      </c>
      <c r="IG30" s="102">
        <f t="shared" si="124"/>
        <v>619.74057758999993</v>
      </c>
      <c r="IH30" s="102">
        <f t="shared" si="125"/>
        <v>-286.25407194000002</v>
      </c>
      <c r="II30" s="102">
        <f t="shared" si="100"/>
        <v>-152.67917254999998</v>
      </c>
      <c r="IJ30" s="102">
        <f t="shared" si="101"/>
        <v>-646.94245388000002</v>
      </c>
      <c r="IK30" s="102">
        <f t="shared" si="102"/>
        <v>667.12899947000005</v>
      </c>
      <c r="IL30" s="102">
        <f t="shared" si="27"/>
        <v>491.39475318000001</v>
      </c>
      <c r="IM30" s="102">
        <f t="shared" si="126"/>
        <v>0</v>
      </c>
      <c r="IN30" s="102">
        <f t="shared" si="29"/>
        <v>491.39475318000001</v>
      </c>
      <c r="IP30" s="32">
        <f t="shared" si="180"/>
        <v>-1.4778012782579555E-4</v>
      </c>
      <c r="IQ30" s="32">
        <f t="shared" si="181"/>
        <v>-2.6479621467031821E-2</v>
      </c>
      <c r="IR30" s="32">
        <f t="shared" si="182"/>
        <v>-4.1084527212495392E-2</v>
      </c>
      <c r="IS30" s="32">
        <f t="shared" si="183"/>
        <v>-1.1808800035316454E-2</v>
      </c>
      <c r="IT30" s="32">
        <f t="shared" si="176"/>
        <v>-2.6334066994196662E-2</v>
      </c>
      <c r="IU30" s="32">
        <f t="shared" si="177"/>
        <v>-3.6152791432256359E-2</v>
      </c>
      <c r="IV30" s="32">
        <f t="shared" si="178"/>
        <v>-5.4571793309931303E-2</v>
      </c>
      <c r="IW30" s="32">
        <f t="shared" si="179"/>
        <v>-3.8938125533533686E-2</v>
      </c>
      <c r="IX30" s="32" t="e">
        <f t="shared" si="128"/>
        <v>#DIV/0!</v>
      </c>
      <c r="IY30" s="32" t="e">
        <f t="shared" si="129"/>
        <v>#DIV/0!</v>
      </c>
      <c r="JA30" s="102">
        <f t="shared" si="193"/>
        <v>-330.21481299999999</v>
      </c>
      <c r="JB30" s="102">
        <f t="shared" si="193"/>
        <v>-5.4317000000000002</v>
      </c>
      <c r="JC30" s="102">
        <f t="shared" si="193"/>
        <v>-1042.8464395200001</v>
      </c>
      <c r="JD30" s="102">
        <f t="shared" si="193"/>
        <v>-692.38863186999993</v>
      </c>
      <c r="JE30" s="102">
        <f t="shared" si="193"/>
        <v>-72.648054279999997</v>
      </c>
      <c r="JF30" s="102">
        <f t="shared" si="193"/>
        <v>-358.90212622000001</v>
      </c>
      <c r="JG30" s="102">
        <f t="shared" si="193"/>
        <v>-511.58129876999999</v>
      </c>
      <c r="JH30" s="102">
        <f t="shared" si="193"/>
        <v>-1158.52375265</v>
      </c>
      <c r="JI30" s="102">
        <f t="shared" si="193"/>
        <v>-491.39475318000001</v>
      </c>
      <c r="JJ30" s="102">
        <f t="shared" si="193"/>
        <v>-532.932908</v>
      </c>
      <c r="JK30" s="102">
        <f t="shared" si="193"/>
        <v>-913.4001324699999</v>
      </c>
      <c r="JL30" s="102">
        <f t="shared" si="130"/>
        <v>-913.4001324699999</v>
      </c>
      <c r="JM30" s="102"/>
      <c r="JN30" s="102"/>
      <c r="JO30" s="922">
        <f t="shared" si="167"/>
        <v>8.4531132152289024E-2</v>
      </c>
      <c r="JP30" s="102">
        <f t="shared" si="41"/>
        <v>-913.4001324699999</v>
      </c>
      <c r="JQ30" s="102">
        <f t="shared" si="42"/>
        <v>0</v>
      </c>
      <c r="JR30" s="145"/>
      <c r="JS30" s="929" t="str">
        <f t="shared" si="131"/>
        <v/>
      </c>
      <c r="JT30" s="930">
        <f t="shared" si="89"/>
        <v>-913.4001324699999</v>
      </c>
      <c r="JV30" s="32">
        <f t="shared" si="43"/>
        <v>-3.0253477860154702E-2</v>
      </c>
      <c r="JW30" s="929" t="str">
        <f t="shared" si="44"/>
        <v/>
      </c>
      <c r="JY30" s="929">
        <f t="shared" si="168"/>
        <v>190.99264309884569</v>
      </c>
      <c r="JZ30" s="929">
        <f t="shared" si="169"/>
        <v>-0.33605888112473048</v>
      </c>
      <c r="KA30" s="929">
        <f t="shared" si="170"/>
        <v>-0.8950761885217664</v>
      </c>
      <c r="KB30" s="929">
        <f t="shared" si="171"/>
        <v>3.9402854594937962</v>
      </c>
      <c r="KC30" s="929">
        <f t="shared" si="172"/>
        <v>0.42540615225113099</v>
      </c>
      <c r="KD30" s="929">
        <f t="shared" si="173"/>
        <v>1.2645936343557715</v>
      </c>
      <c r="KE30" s="929">
        <f t="shared" si="174"/>
        <v>-0.57584404112907772</v>
      </c>
      <c r="KF30" s="929">
        <f t="shared" si="175"/>
        <v>-1</v>
      </c>
      <c r="KH30" s="102">
        <f t="shared" si="133"/>
        <v>-1037.41473952</v>
      </c>
      <c r="KI30" s="102">
        <f t="shared" si="134"/>
        <v>350.45780765000018</v>
      </c>
      <c r="KJ30" s="102">
        <f t="shared" si="135"/>
        <v>619.74057758999993</v>
      </c>
      <c r="KK30" s="102">
        <f t="shared" si="136"/>
        <v>-286.25407194000002</v>
      </c>
      <c r="KL30" s="102">
        <f t="shared" si="137"/>
        <v>-152.67917254999998</v>
      </c>
      <c r="KM30" s="102">
        <f t="shared" si="138"/>
        <v>-646.94245388000002</v>
      </c>
      <c r="KN30" s="102">
        <f t="shared" si="139"/>
        <v>667.12899947000005</v>
      </c>
      <c r="KO30" s="102">
        <f t="shared" si="140"/>
        <v>491.39475318000001</v>
      </c>
      <c r="KQ30" s="32">
        <f t="shared" si="141"/>
        <v>-9.1014986316719192E-3</v>
      </c>
      <c r="KR30" s="32">
        <f t="shared" si="142"/>
        <v>-1.4778012782579555E-4</v>
      </c>
      <c r="KS30" s="32">
        <f t="shared" si="143"/>
        <v>-2.6479621467031821E-2</v>
      </c>
      <c r="KT30" s="32">
        <f t="shared" si="144"/>
        <v>-4.1084527212495392E-2</v>
      </c>
      <c r="KU30" s="32">
        <f t="shared" si="145"/>
        <v>-1.1808800035316454E-2</v>
      </c>
      <c r="KV30" s="32">
        <f t="shared" si="146"/>
        <v>-2.6334066994196662E-2</v>
      </c>
      <c r="KW30" s="32">
        <f t="shared" si="147"/>
        <v>-3.6152791432256359E-2</v>
      </c>
      <c r="KX30" s="32">
        <f t="shared" si="148"/>
        <v>-5.4571793309931303E-2</v>
      </c>
      <c r="KY30" s="32">
        <f t="shared" si="149"/>
        <v>-3.8938125533533686E-2</v>
      </c>
      <c r="KZ30" s="32" t="e">
        <f t="shared" si="150"/>
        <v>#DIV/0!</v>
      </c>
      <c r="LB30" s="102">
        <f t="shared" si="151"/>
        <v>-26.465269999999975</v>
      </c>
      <c r="LC30" s="102">
        <f t="shared" si="151"/>
        <v>-2.1133500000000005</v>
      </c>
      <c r="LD30" s="102">
        <f t="shared" si="151"/>
        <v>-905.71432875000005</v>
      </c>
      <c r="LE30" s="102">
        <f t="shared" si="151"/>
        <v>9.4806562699999972</v>
      </c>
      <c r="LF30" s="102">
        <f t="shared" si="151"/>
        <v>-28.827345359999995</v>
      </c>
      <c r="LG30" s="102">
        <f t="shared" si="151"/>
        <v>-45.949652999999998</v>
      </c>
      <c r="LH30" s="102">
        <f t="shared" si="151"/>
        <v>-80.287329959999994</v>
      </c>
      <c r="LI30" s="102">
        <f t="shared" si="151"/>
        <v>-113.27750899999999</v>
      </c>
      <c r="LJ30" s="102">
        <f t="shared" si="151"/>
        <v>-55.007277999999999</v>
      </c>
      <c r="LK30" s="102">
        <f t="shared" si="151"/>
        <v>-33.922722</v>
      </c>
      <c r="LL30" s="102">
        <f t="shared" si="151"/>
        <v>-56.04877055</v>
      </c>
      <c r="LM30" s="102">
        <f t="shared" si="151"/>
        <v>-56.04877055</v>
      </c>
      <c r="LN30" s="102"/>
      <c r="LO30" s="102"/>
      <c r="LR30" s="32">
        <f t="shared" si="152"/>
        <v>427.56806906096949</v>
      </c>
      <c r="LS30" s="32">
        <f t="shared" si="153"/>
        <v>-1.0104676010625608</v>
      </c>
      <c r="LT30" s="32">
        <f t="shared" si="154"/>
        <v>-4.0406487208295339</v>
      </c>
      <c r="LU30" s="32">
        <f t="shared" si="155"/>
        <v>0.59396061018363588</v>
      </c>
      <c r="LV30" s="32">
        <f t="shared" si="156"/>
        <v>0.74728914623141973</v>
      </c>
      <c r="LW30" s="32">
        <f t="shared" si="157"/>
        <v>0.41090143434133464</v>
      </c>
      <c r="LX30" s="32">
        <f t="shared" si="158"/>
        <v>-1</v>
      </c>
      <c r="LZ30" s="102">
        <f t="shared" si="159"/>
        <v>-903.60097875000008</v>
      </c>
      <c r="MA30" s="102">
        <f t="shared" si="160"/>
        <v>915.1949850200001</v>
      </c>
      <c r="MB30" s="102">
        <f t="shared" si="161"/>
        <v>-38.308001629999993</v>
      </c>
      <c r="MC30" s="102">
        <f t="shared" si="162"/>
        <v>-17.122307640000002</v>
      </c>
      <c r="MD30" s="102">
        <f t="shared" si="163"/>
        <v>-34.337676959999996</v>
      </c>
      <c r="ME30" s="102">
        <f t="shared" si="164"/>
        <v>-32.990179040000001</v>
      </c>
      <c r="MF30" s="102">
        <f t="shared" si="165"/>
        <v>113.27750899999999</v>
      </c>
      <c r="MH30" s="32">
        <f t="shared" si="184"/>
        <v>-8.8236853926735356E-3</v>
      </c>
      <c r="MI30" s="32">
        <f t="shared" si="185"/>
        <v>-3.8329321470370077E-4</v>
      </c>
      <c r="MJ30" s="32">
        <f t="shared" si="186"/>
        <v>-0.17668518593240218</v>
      </c>
      <c r="MK30" s="32">
        <f t="shared" si="187"/>
        <v>1.6310195702093452E-2</v>
      </c>
      <c r="ML30" s="32">
        <f t="shared" si="188"/>
        <v>-1.9135827069329408E-2</v>
      </c>
      <c r="MM30" s="32">
        <f t="shared" si="189"/>
        <v>-4.466840657985309E-2</v>
      </c>
      <c r="MN30" s="32">
        <f t="shared" si="190"/>
        <v>-5.1631303270071184E-2</v>
      </c>
      <c r="MO30" s="32">
        <f t="shared" si="191"/>
        <v>-6.0190096551821462E-2</v>
      </c>
      <c r="MP30" s="32" t="e">
        <f t="shared" si="192"/>
        <v>#DIV/0!</v>
      </c>
    </row>
    <row r="31" spans="1:354" outlineLevel="1">
      <c r="A31" s="884"/>
      <c r="B31" s="70"/>
      <c r="C31" s="186" t="s">
        <v>74</v>
      </c>
      <c r="D31" s="307" t="s">
        <v>59</v>
      </c>
      <c r="E31" s="931">
        <v>-71.397120000000015</v>
      </c>
      <c r="F31" s="931">
        <v>-52.344841900000006</v>
      </c>
      <c r="G31" s="931">
        <v>-110.76751582</v>
      </c>
      <c r="H31" s="931">
        <v>-54.866496729999959</v>
      </c>
      <c r="I31" s="931">
        <v>-113.77445613000003</v>
      </c>
      <c r="J31" s="931">
        <v>-105.60061850999999</v>
      </c>
      <c r="K31" s="931">
        <v>-62.242888000000008</v>
      </c>
      <c r="L31" s="931">
        <v>-76.898161029999997</v>
      </c>
      <c r="M31" s="931">
        <v>-83.92770902999996</v>
      </c>
      <c r="N31" s="931">
        <v>-72.069015390000004</v>
      </c>
      <c r="O31" s="931">
        <v>-122.20683406000012</v>
      </c>
      <c r="P31" s="931">
        <v>-138.21232613000001</v>
      </c>
      <c r="Q31" s="931">
        <v>-36.536304619999996</v>
      </c>
      <c r="R31" s="931">
        <v>-21.074687790000006</v>
      </c>
      <c r="S31" s="931">
        <v>-44.057700279999999</v>
      </c>
      <c r="T31" s="931">
        <v>-59.340675750000003</v>
      </c>
      <c r="U31" s="931">
        <v>-41.816970870000034</v>
      </c>
      <c r="V31" s="931">
        <v>-33.268067079999952</v>
      </c>
      <c r="W31" s="931">
        <v>-38.581744829999984</v>
      </c>
      <c r="X31" s="931">
        <v>-29.946275790000037</v>
      </c>
      <c r="Y31" s="931">
        <v>-37.474922390000025</v>
      </c>
      <c r="Z31" s="931">
        <v>-21.066980119999979</v>
      </c>
      <c r="AA31" s="931">
        <v>-24.68258047000004</v>
      </c>
      <c r="AB31" s="932">
        <v>-369.87639955999998</v>
      </c>
      <c r="AC31" s="932">
        <v>-18.47240914</v>
      </c>
      <c r="AD31" s="932">
        <v>-17.621755499999999</v>
      </c>
      <c r="AE31" s="932">
        <v>-18.440313140000001</v>
      </c>
      <c r="AF31" s="932">
        <v>-20.648164560000001</v>
      </c>
      <c r="AG31" s="932">
        <v>-34.431968189999999</v>
      </c>
      <c r="AH31" s="932">
        <v>-27.246383859999998</v>
      </c>
      <c r="AI31" s="932">
        <v>-19.67819763</v>
      </c>
      <c r="AJ31" s="932">
        <v>-17.794009259999999</v>
      </c>
      <c r="AK31" s="932">
        <v>-17.584869799999996</v>
      </c>
      <c r="AL31" s="932">
        <v>-14.41123296</v>
      </c>
      <c r="AM31" s="932">
        <v>-46.158966799999995</v>
      </c>
      <c r="AN31" s="932">
        <v>-1048.5387231</v>
      </c>
      <c r="AO31" s="931">
        <f>SUM(AO32:AO36)</f>
        <v>235.20175391999999</v>
      </c>
      <c r="AP31" s="931">
        <f t="shared" ref="AP31:BL31" si="194">SUM(AP32:AP36)</f>
        <v>-1.83421429</v>
      </c>
      <c r="AQ31" s="931">
        <f t="shared" si="194"/>
        <v>-55.936229930000003</v>
      </c>
      <c r="AR31" s="931">
        <f t="shared" si="194"/>
        <v>-8.4104337999999998</v>
      </c>
      <c r="AS31" s="931">
        <f t="shared" si="194"/>
        <v>-249.77413283999999</v>
      </c>
      <c r="AT31" s="931">
        <f t="shared" si="194"/>
        <v>-138.94064399999999</v>
      </c>
      <c r="AU31" s="931">
        <f t="shared" si="194"/>
        <v>5.7684999999999993E-2</v>
      </c>
      <c r="AV31" s="931">
        <f t="shared" si="194"/>
        <v>225.07301040000002</v>
      </c>
      <c r="AW31" s="931">
        <f t="shared" si="194"/>
        <v>-238.30745002</v>
      </c>
      <c r="AX31" s="931">
        <f t="shared" si="194"/>
        <v>3.2321875899999952</v>
      </c>
      <c r="AY31" s="931">
        <f t="shared" si="194"/>
        <v>8.157681010000001</v>
      </c>
      <c r="AZ31" s="931">
        <f t="shared" si="194"/>
        <v>0</v>
      </c>
      <c r="BA31" s="933">
        <f t="shared" si="194"/>
        <v>-0.17419000000000001</v>
      </c>
      <c r="BB31" s="933">
        <f t="shared" si="194"/>
        <v>-5.8972470000000001</v>
      </c>
      <c r="BC31" s="933">
        <f t="shared" si="194"/>
        <v>-34.615959520000004</v>
      </c>
      <c r="BD31" s="933">
        <f t="shared" si="194"/>
        <v>19.11450752</v>
      </c>
      <c r="BE31" s="933">
        <f t="shared" si="194"/>
        <v>-58.762486389999999</v>
      </c>
      <c r="BF31" s="933">
        <f t="shared" si="194"/>
        <v>36.918579000000001</v>
      </c>
      <c r="BG31" s="933">
        <f t="shared" si="194"/>
        <v>-33.19699902</v>
      </c>
      <c r="BH31" s="931">
        <f t="shared" si="194"/>
        <v>-20.605048290000003</v>
      </c>
      <c r="BI31" s="931">
        <f t="shared" si="194"/>
        <v>42.240796840000009</v>
      </c>
      <c r="BJ31" s="931">
        <f t="shared" si="194"/>
        <v>-84.89009784000001</v>
      </c>
      <c r="BK31" s="931">
        <f t="shared" si="194"/>
        <v>30.873365</v>
      </c>
      <c r="BL31" s="931">
        <f t="shared" si="194"/>
        <v>-16.053332560000001</v>
      </c>
      <c r="BM31" s="933">
        <f>SUM(BM32:BM36)</f>
        <v>-5.5174000000000003</v>
      </c>
      <c r="BN31" s="933">
        <f>SUM(BN32:BN36)</f>
        <v>-5.5728786299999999</v>
      </c>
      <c r="BO31" s="933">
        <f t="shared" ref="BO31:DT31" si="195">SUM(BO32:BO37)</f>
        <v>-3.3727123699999999</v>
      </c>
      <c r="BP31" s="933">
        <f t="shared" si="195"/>
        <v>-14.929798999999999</v>
      </c>
      <c r="BQ31" s="933">
        <f t="shared" si="195"/>
        <v>-7.2493492499999999</v>
      </c>
      <c r="BR31" s="933">
        <f t="shared" si="195"/>
        <v>-3.5897529399999999</v>
      </c>
      <c r="BS31" s="933">
        <f t="shared" si="195"/>
        <v>-3.35011094</v>
      </c>
      <c r="BT31" s="933">
        <f t="shared" si="195"/>
        <v>-1.8929389999999999</v>
      </c>
      <c r="BU31" s="931">
        <f t="shared" si="195"/>
        <v>-4.468909</v>
      </c>
      <c r="BV31" s="931">
        <f t="shared" si="195"/>
        <v>-4.3892730000000002</v>
      </c>
      <c r="BW31" s="931">
        <f t="shared" si="195"/>
        <v>-3.801091</v>
      </c>
      <c r="BX31" s="931">
        <f t="shared" si="195"/>
        <v>-21.983279370000002</v>
      </c>
      <c r="BY31" s="931">
        <f t="shared" si="195"/>
        <v>-3.1431070000000001</v>
      </c>
      <c r="BZ31" s="931">
        <f t="shared" si="195"/>
        <v>-8.4419419999999992</v>
      </c>
      <c r="CA31" s="931">
        <f t="shared" si="195"/>
        <v>-1.7600549999999999</v>
      </c>
      <c r="CB31" s="931">
        <f t="shared" si="195"/>
        <v>-4.79847</v>
      </c>
      <c r="CC31" s="931">
        <f t="shared" si="195"/>
        <v>-2.6684359999999998</v>
      </c>
      <c r="CD31" s="931">
        <f t="shared" si="195"/>
        <v>-3.607488</v>
      </c>
      <c r="CE31" s="931">
        <f t="shared" si="195"/>
        <v>-5.4515570000000002</v>
      </c>
      <c r="CF31" s="931">
        <f t="shared" si="195"/>
        <v>-4.1948410000000003</v>
      </c>
      <c r="CG31" s="931">
        <f t="shared" si="195"/>
        <v>-6.3635570000000001</v>
      </c>
      <c r="CH31" s="931">
        <f t="shared" si="195"/>
        <v>-4.2285310000000003</v>
      </c>
      <c r="CI31" s="931">
        <f t="shared" si="195"/>
        <v>-11.499177</v>
      </c>
      <c r="CJ31" s="931">
        <f t="shared" si="195"/>
        <v>-4.9290859999999999</v>
      </c>
      <c r="CK31" s="931">
        <f t="shared" si="195"/>
        <v>0.16026209999999996</v>
      </c>
      <c r="CL31" s="931">
        <f t="shared" si="195"/>
        <v>-6.6762420000000002</v>
      </c>
      <c r="CM31" s="931">
        <f t="shared" si="195"/>
        <v>-12.912614</v>
      </c>
      <c r="CN31" s="931">
        <f t="shared" si="195"/>
        <v>-6.9286570000000003</v>
      </c>
      <c r="CO31" s="931">
        <f t="shared" si="195"/>
        <v>-5.5597709999999996</v>
      </c>
      <c r="CP31" s="931">
        <f t="shared" si="195"/>
        <v>-4.6124590000000003</v>
      </c>
      <c r="CQ31" s="931">
        <f t="shared" si="195"/>
        <v>-4.5867505999999993</v>
      </c>
      <c r="CR31" s="931">
        <f t="shared" si="195"/>
        <v>-0.94081599999999999</v>
      </c>
      <c r="CS31" s="931">
        <f t="shared" si="195"/>
        <v>-2.4926189999999999</v>
      </c>
      <c r="CT31" s="931">
        <f t="shared" si="195"/>
        <v>-3.0291510000000001</v>
      </c>
      <c r="CU31" s="931">
        <f t="shared" si="195"/>
        <v>-8.1623509999999992</v>
      </c>
      <c r="CV31" s="931">
        <f t="shared" si="195"/>
        <v>-8.7250720000000008</v>
      </c>
      <c r="CW31" s="931">
        <f t="shared" si="195"/>
        <v>-2.5059499999999999</v>
      </c>
      <c r="CX31" s="931">
        <f t="shared" si="195"/>
        <v>-2.3615789999999999</v>
      </c>
      <c r="CY31" s="931">
        <f t="shared" si="195"/>
        <v>-3.1936650000000002</v>
      </c>
      <c r="CZ31" s="931">
        <f t="shared" si="195"/>
        <v>-0.21284</v>
      </c>
      <c r="DA31" s="931">
        <f t="shared" si="195"/>
        <v>-0.49916300000000002</v>
      </c>
      <c r="DB31" s="931">
        <f t="shared" si="195"/>
        <v>-1.2055800000000001</v>
      </c>
      <c r="DC31" s="931">
        <f t="shared" si="195"/>
        <v>-3.1699055</v>
      </c>
      <c r="DD31" s="931">
        <f t="shared" si="195"/>
        <v>-0.33076800000000001</v>
      </c>
      <c r="DE31" s="931">
        <f t="shared" si="195"/>
        <v>-2.1776</v>
      </c>
      <c r="DF31" s="931">
        <f t="shared" si="195"/>
        <v>-1.803291</v>
      </c>
      <c r="DG31" s="931">
        <f t="shared" si="195"/>
        <v>-5.1474209999999996</v>
      </c>
      <c r="DH31" s="931">
        <f t="shared" si="195"/>
        <v>-1.082554</v>
      </c>
      <c r="DI31" s="931">
        <f t="shared" si="195"/>
        <v>-2.099043</v>
      </c>
      <c r="DJ31" s="931">
        <f t="shared" si="195"/>
        <v>-4.3021589999999996</v>
      </c>
      <c r="DK31" s="931">
        <f t="shared" si="195"/>
        <v>-0.81484900000000005</v>
      </c>
      <c r="DL31" s="931">
        <f t="shared" si="195"/>
        <v>-2.7840410000000002</v>
      </c>
      <c r="DM31" s="931">
        <f t="shared" si="195"/>
        <v>-3.368906</v>
      </c>
      <c r="DN31" s="931">
        <f t="shared" si="195"/>
        <v>-2.9668809999999999</v>
      </c>
      <c r="DO31" s="931">
        <f t="shared" si="195"/>
        <v>-2.4278430000000002</v>
      </c>
      <c r="DP31" s="931">
        <f t="shared" si="195"/>
        <v>-4.2782070000000001</v>
      </c>
      <c r="DQ31" s="941">
        <f t="shared" si="195"/>
        <v>-3.8147820000000001</v>
      </c>
      <c r="DR31" s="941">
        <f t="shared" si="195"/>
        <v>-6.5156159999999996</v>
      </c>
      <c r="DS31" s="941">
        <f t="shared" si="195"/>
        <v>-3.7787565000000001</v>
      </c>
      <c r="DT31" s="941">
        <f t="shared" si="195"/>
        <v>-17.957244230000001</v>
      </c>
      <c r="DU31" s="941">
        <v>-5.1770220199999999</v>
      </c>
      <c r="DV31" s="941">
        <v>-4.6642440000000001</v>
      </c>
      <c r="DW31" s="941">
        <v>-10.396165999999999</v>
      </c>
      <c r="DX31" s="941">
        <v>-9.9485240000000008</v>
      </c>
      <c r="DY31" s="941">
        <v>-11.377744</v>
      </c>
      <c r="DZ31" s="941">
        <v>-15.756124</v>
      </c>
      <c r="EA31" s="941">
        <v>-15.761248</v>
      </c>
      <c r="EB31" s="941">
        <v>-12.241391</v>
      </c>
      <c r="EC31" s="941">
        <v>-5.0549600000000003</v>
      </c>
      <c r="ED31" s="941">
        <v>-12.1887548</v>
      </c>
      <c r="EE31" s="941">
        <v>-18.749364</v>
      </c>
      <c r="EF31" s="941">
        <v>-22.902078360000001</v>
      </c>
      <c r="EH31" s="931"/>
      <c r="EI31" s="931"/>
      <c r="EJ31" s="931"/>
      <c r="EK31" s="931"/>
      <c r="EL31" s="931"/>
      <c r="EM31" s="931"/>
      <c r="EN31" s="931"/>
      <c r="EO31" s="931"/>
      <c r="EP31" s="931"/>
      <c r="EQ31" s="931"/>
      <c r="ER31" s="931"/>
      <c r="ES31" s="931"/>
      <c r="EU31" s="931">
        <v>-18.807814839999995</v>
      </c>
      <c r="EV31" s="931">
        <v>-17.066666666666666</v>
      </c>
      <c r="EW31" s="931">
        <v>-22.066666666666663</v>
      </c>
      <c r="EX31" s="931">
        <v>-25.066666666666663</v>
      </c>
      <c r="EY31" s="931">
        <v>-24.733333333333327</v>
      </c>
      <c r="EZ31" s="931">
        <v>-25.733333333333331</v>
      </c>
      <c r="FA31" s="931">
        <v>-183.75234783336001</v>
      </c>
      <c r="FB31" s="931">
        <v>-31.413014102693342</v>
      </c>
      <c r="FC31" s="931">
        <v>-28.413014102693335</v>
      </c>
      <c r="FD31" s="931">
        <v>-29.413014102693335</v>
      </c>
      <c r="FE31" s="931">
        <v>-28.413014102693335</v>
      </c>
      <c r="FF31" s="931">
        <v>-30.079680769360007</v>
      </c>
      <c r="FG31" s="931"/>
      <c r="FH31" s="931"/>
      <c r="FI31" s="931"/>
      <c r="FJ31" s="931"/>
      <c r="FK31" s="931"/>
      <c r="FL31" s="931"/>
      <c r="FM31" s="931"/>
      <c r="FN31" s="931"/>
      <c r="FO31" s="931"/>
      <c r="FP31" s="931"/>
      <c r="FQ31" s="931"/>
      <c r="FR31" s="931"/>
      <c r="FS31" s="931"/>
      <c r="FT31" s="931"/>
      <c r="FU31" s="931"/>
      <c r="FV31" s="931"/>
      <c r="FW31" s="931"/>
      <c r="FX31" s="931"/>
      <c r="FY31" s="931"/>
      <c r="FZ31" s="931"/>
      <c r="GA31" s="931"/>
      <c r="GB31" s="931"/>
      <c r="GC31" s="931"/>
      <c r="GD31" s="931"/>
      <c r="GE31" s="931"/>
      <c r="GF31" s="931"/>
      <c r="GG31" s="931"/>
      <c r="GH31" s="931"/>
      <c r="GI31" s="931"/>
      <c r="GJ31" s="931"/>
      <c r="GK31" s="931"/>
      <c r="GL31" s="931"/>
      <c r="GM31" s="931"/>
      <c r="GN31" s="931"/>
      <c r="GO31" s="931"/>
      <c r="GP31" s="931"/>
      <c r="GQ31" s="931"/>
      <c r="GR31" s="931"/>
      <c r="GS31" s="931"/>
      <c r="GT31" s="931"/>
      <c r="GU31" s="931"/>
      <c r="GV31" s="931"/>
      <c r="GW31" s="931"/>
      <c r="GX31" s="931"/>
      <c r="GY31" s="931"/>
      <c r="GZ31" s="931"/>
      <c r="HA31" s="931"/>
      <c r="HB31" s="931"/>
      <c r="HD31" s="931">
        <f t="shared" si="109"/>
        <v>-1064.30798273</v>
      </c>
      <c r="HE31" s="931">
        <f t="shared" si="109"/>
        <v>-757.72330955000007</v>
      </c>
      <c r="HF31" s="931">
        <f t="shared" si="109"/>
        <v>-1301.02699394</v>
      </c>
      <c r="HG31" s="931">
        <f t="shared" si="109"/>
        <v>-221.48078695999999</v>
      </c>
      <c r="HH31" s="931">
        <f t="shared" si="110"/>
        <v>-125.04811226000001</v>
      </c>
      <c r="HI31" s="931">
        <f t="shared" si="111"/>
        <v>-80.117494500000006</v>
      </c>
      <c r="HJ31" s="931">
        <f t="shared" si="112"/>
        <v>-61.086247</v>
      </c>
      <c r="HK31" s="931">
        <f t="shared" si="113"/>
        <v>-64.466240499999998</v>
      </c>
      <c r="HL31" s="941">
        <f>+SUMIF($E$6:SEW$6,HL$7,$E31:SEW31)</f>
        <v>-23.690316500000002</v>
      </c>
      <c r="HM31" s="941">
        <f>+SUMIF($E$6:SEX$6,HM$7,$E31:SEX31)</f>
        <v>-55.108327729999999</v>
      </c>
      <c r="HN31" s="941">
        <f>+SUMIF($E$6:SEY$6,HN$7,$E31:SEY31)</f>
        <v>-144.21762017999998</v>
      </c>
      <c r="HO31" s="931"/>
      <c r="HP31" s="931"/>
      <c r="HR31" s="934">
        <f t="shared" si="114"/>
        <v>0.71702121017322207</v>
      </c>
      <c r="HS31" s="934">
        <f t="shared" si="115"/>
        <v>-0.82976464901064606</v>
      </c>
      <c r="HT31" s="934">
        <f t="shared" si="116"/>
        <v>-0.43539972935628035</v>
      </c>
      <c r="HU31" s="934">
        <f t="shared" si="117"/>
        <v>-0.35930664564196113</v>
      </c>
      <c r="HV31" s="934">
        <f t="shared" si="118"/>
        <v>-0.23754172067874646</v>
      </c>
      <c r="HW31" s="934">
        <f t="shared" si="119"/>
        <v>5.533149712078389E-2</v>
      </c>
      <c r="HX31" s="934">
        <f t="shared" si="120"/>
        <v>-0.63251592901559062</v>
      </c>
      <c r="HY31" s="934">
        <f t="shared" si="120"/>
        <v>1.3261963481999066</v>
      </c>
      <c r="HZ31" s="934">
        <f t="shared" si="120"/>
        <v>1.6169841495932467</v>
      </c>
      <c r="IA31" s="934">
        <f t="shared" si="17"/>
        <v>-1</v>
      </c>
      <c r="IB31" s="934" t="str">
        <f t="shared" si="121"/>
        <v/>
      </c>
      <c r="IC31" s="934">
        <f t="shared" si="19"/>
        <v>-1</v>
      </c>
      <c r="IE31" s="931">
        <f t="shared" si="122"/>
        <v>-543.30368438999994</v>
      </c>
      <c r="IF31" s="931">
        <f t="shared" si="123"/>
        <v>1079.5462069800001</v>
      </c>
      <c r="IG31" s="931">
        <f t="shared" si="124"/>
        <v>96.432674699999978</v>
      </c>
      <c r="IH31" s="931">
        <f t="shared" si="125"/>
        <v>44.930617760000004</v>
      </c>
      <c r="II31" s="931">
        <f t="shared" si="100"/>
        <v>19.031247500000006</v>
      </c>
      <c r="IJ31" s="931">
        <f t="shared" si="101"/>
        <v>-3.3799934999999977</v>
      </c>
      <c r="IK31" s="931">
        <f t="shared" si="102"/>
        <v>40.775923999999996</v>
      </c>
      <c r="IL31" s="931">
        <f t="shared" si="27"/>
        <v>23.690316500000002</v>
      </c>
      <c r="IM31" s="931">
        <f t="shared" si="126"/>
        <v>0</v>
      </c>
      <c r="IN31" s="931">
        <f t="shared" si="29"/>
        <v>23.690316500000002</v>
      </c>
      <c r="IP31" s="230">
        <f t="shared" si="180"/>
        <v>-2.061535937954671E-2</v>
      </c>
      <c r="IQ31" s="230">
        <f t="shared" si="181"/>
        <v>-3.3035259087405455E-2</v>
      </c>
      <c r="IR31" s="230">
        <f t="shared" si="182"/>
        <v>-1.3142089572336431E-2</v>
      </c>
      <c r="IS31" s="230">
        <f t="shared" si="183"/>
        <v>-2.0326327623046481E-2</v>
      </c>
      <c r="IT31" s="230">
        <f t="shared" si="176"/>
        <v>-5.8785371092421575E-3</v>
      </c>
      <c r="IU31" s="230">
        <f t="shared" si="177"/>
        <v>-4.3168863922118852E-3</v>
      </c>
      <c r="IV31" s="230">
        <f t="shared" si="178"/>
        <v>-3.0366562135538291E-3</v>
      </c>
      <c r="IW31" s="230">
        <f t="shared" si="179"/>
        <v>-1.8772209345675383E-3</v>
      </c>
      <c r="IX31" s="230" t="e">
        <f t="shared" si="128"/>
        <v>#DIV/0!</v>
      </c>
      <c r="IY31" s="230" t="e">
        <f t="shared" si="129"/>
        <v>#DIV/0!</v>
      </c>
      <c r="JA31" s="931">
        <f t="shared" si="193"/>
        <v>-1064.30798273</v>
      </c>
      <c r="JB31" s="931">
        <f t="shared" si="193"/>
        <v>-757.72330955000007</v>
      </c>
      <c r="JC31" s="931">
        <f t="shared" si="193"/>
        <v>-1301.02699394</v>
      </c>
      <c r="JD31" s="931">
        <f t="shared" si="193"/>
        <v>-221.48078695999999</v>
      </c>
      <c r="JE31" s="931">
        <f t="shared" si="193"/>
        <v>-125.04811226000001</v>
      </c>
      <c r="JF31" s="931">
        <f t="shared" si="193"/>
        <v>-80.117494500000006</v>
      </c>
      <c r="JG31" s="931">
        <f t="shared" si="193"/>
        <v>-61.086247</v>
      </c>
      <c r="JH31" s="931">
        <f t="shared" si="193"/>
        <v>-64.466240499999998</v>
      </c>
      <c r="JI31" s="931">
        <f t="shared" si="193"/>
        <v>-23.690316500000002</v>
      </c>
      <c r="JJ31" s="931">
        <f t="shared" si="193"/>
        <v>-55.108327729999999</v>
      </c>
      <c r="JK31" s="931">
        <f t="shared" si="193"/>
        <v>-144.21762017999998</v>
      </c>
      <c r="JL31" s="931">
        <f t="shared" si="130"/>
        <v>-144.21762017999998</v>
      </c>
      <c r="JM31" s="931"/>
      <c r="JN31" s="931"/>
      <c r="JO31" s="922">
        <f t="shared" si="167"/>
        <v>1.3261963481999066</v>
      </c>
      <c r="JP31" s="931">
        <f t="shared" si="41"/>
        <v>-144.21762017999998</v>
      </c>
      <c r="JQ31" s="931">
        <f t="shared" si="42"/>
        <v>0</v>
      </c>
      <c r="JR31" s="145"/>
      <c r="JS31" s="934" t="str">
        <f t="shared" si="131"/>
        <v/>
      </c>
      <c r="JT31" s="935">
        <f t="shared" si="89"/>
        <v>-144.21762017999998</v>
      </c>
      <c r="JV31" s="230">
        <f t="shared" si="43"/>
        <v>-4.7767505434461194E-3</v>
      </c>
      <c r="JW31" s="934" t="str">
        <f t="shared" si="44"/>
        <v/>
      </c>
      <c r="JY31" s="934">
        <f t="shared" si="168"/>
        <v>0.71702121017322207</v>
      </c>
      <c r="JZ31" s="934">
        <f t="shared" si="169"/>
        <v>-0.82976464901064606</v>
      </c>
      <c r="KA31" s="934">
        <f t="shared" si="170"/>
        <v>-0.43539972935628035</v>
      </c>
      <c r="KB31" s="934">
        <f t="shared" si="171"/>
        <v>-0.35930664564196113</v>
      </c>
      <c r="KC31" s="934">
        <f t="shared" si="172"/>
        <v>-0.23754172067874646</v>
      </c>
      <c r="KD31" s="934">
        <f t="shared" si="173"/>
        <v>5.533149712078389E-2</v>
      </c>
      <c r="KE31" s="934">
        <f t="shared" si="174"/>
        <v>-0.63251592901559062</v>
      </c>
      <c r="KF31" s="934">
        <f t="shared" si="175"/>
        <v>-1</v>
      </c>
      <c r="KH31" s="931">
        <f t="shared" si="133"/>
        <v>-543.30368438999994</v>
      </c>
      <c r="KI31" s="931">
        <f t="shared" si="134"/>
        <v>1079.5462069800001</v>
      </c>
      <c r="KJ31" s="931">
        <f t="shared" si="135"/>
        <v>96.432674699999978</v>
      </c>
      <c r="KK31" s="931">
        <f t="shared" si="136"/>
        <v>44.930617760000004</v>
      </c>
      <c r="KL31" s="931">
        <f t="shared" si="137"/>
        <v>19.031247500000006</v>
      </c>
      <c r="KM31" s="931">
        <f t="shared" si="138"/>
        <v>-3.3799934999999977</v>
      </c>
      <c r="KN31" s="931">
        <f t="shared" si="139"/>
        <v>40.775923999999996</v>
      </c>
      <c r="KO31" s="931">
        <f t="shared" si="140"/>
        <v>23.690316500000002</v>
      </c>
      <c r="KQ31" s="230">
        <f t="shared" si="141"/>
        <v>-2.9334836800596818E-2</v>
      </c>
      <c r="KR31" s="230">
        <f t="shared" si="142"/>
        <v>-2.061535937954671E-2</v>
      </c>
      <c r="KS31" s="230">
        <f t="shared" si="143"/>
        <v>-3.3035259087405455E-2</v>
      </c>
      <c r="KT31" s="230">
        <f t="shared" si="144"/>
        <v>-1.3142089572336431E-2</v>
      </c>
      <c r="KU31" s="230">
        <f t="shared" si="145"/>
        <v>-2.0326327623046481E-2</v>
      </c>
      <c r="KV31" s="230">
        <f t="shared" si="146"/>
        <v>-5.8785371092421575E-3</v>
      </c>
      <c r="KW31" s="230">
        <f t="shared" si="147"/>
        <v>-4.3168863922118852E-3</v>
      </c>
      <c r="KX31" s="230">
        <f t="shared" si="148"/>
        <v>-3.0366562135538291E-3</v>
      </c>
      <c r="KY31" s="230">
        <f t="shared" si="149"/>
        <v>-1.8772209345675383E-3</v>
      </c>
      <c r="KZ31" s="230" t="e">
        <f t="shared" si="150"/>
        <v>#DIV/0!</v>
      </c>
      <c r="LB31" s="931">
        <f t="shared" si="151"/>
        <v>-138.21232613000001</v>
      </c>
      <c r="LC31" s="931">
        <f t="shared" si="151"/>
        <v>-369.87639955999998</v>
      </c>
      <c r="LD31" s="931">
        <f t="shared" si="151"/>
        <v>-1048.5387231</v>
      </c>
      <c r="LE31" s="931">
        <f t="shared" si="151"/>
        <v>0</v>
      </c>
      <c r="LF31" s="931">
        <f t="shared" si="151"/>
        <v>-16.053332560000001</v>
      </c>
      <c r="LG31" s="931">
        <f t="shared" si="151"/>
        <v>-21.983279370000002</v>
      </c>
      <c r="LH31" s="931">
        <f t="shared" si="151"/>
        <v>-4.9290859999999999</v>
      </c>
      <c r="LI31" s="931">
        <f t="shared" si="151"/>
        <v>-8.7250720000000008</v>
      </c>
      <c r="LJ31" s="931">
        <f t="shared" si="151"/>
        <v>-1.082554</v>
      </c>
      <c r="LK31" s="931">
        <f t="shared" si="151"/>
        <v>-17.957244230000001</v>
      </c>
      <c r="LL31" s="931">
        <f t="shared" si="151"/>
        <v>-22.902078360000001</v>
      </c>
      <c r="LM31" s="931">
        <f t="shared" si="151"/>
        <v>-22.902078360000001</v>
      </c>
      <c r="LN31" s="931"/>
      <c r="LO31" s="931"/>
      <c r="LR31" s="230">
        <f t="shared" si="152"/>
        <v>1.834835432450753</v>
      </c>
      <c r="LS31" s="230">
        <f t="shared" si="153"/>
        <v>-1</v>
      </c>
      <c r="LT31" s="230" t="str">
        <f t="shared" si="154"/>
        <v xml:space="preserve"> </v>
      </c>
      <c r="LU31" s="230">
        <f t="shared" si="155"/>
        <v>0.36939039217163017</v>
      </c>
      <c r="LV31" s="230">
        <f t="shared" si="156"/>
        <v>-0.7757802229122106</v>
      </c>
      <c r="LW31" s="230">
        <f t="shared" si="157"/>
        <v>0.77011965301477825</v>
      </c>
      <c r="LX31" s="230">
        <f t="shared" si="158"/>
        <v>-1</v>
      </c>
      <c r="LZ31" s="931">
        <f t="shared" si="159"/>
        <v>-678.66232353999999</v>
      </c>
      <c r="MA31" s="931">
        <f t="shared" si="160"/>
        <v>1048.5387231</v>
      </c>
      <c r="MB31" s="931">
        <f t="shared" si="161"/>
        <v>-16.053332560000001</v>
      </c>
      <c r="MC31" s="931">
        <f t="shared" si="162"/>
        <v>-5.9299468100000006</v>
      </c>
      <c r="MD31" s="931">
        <f t="shared" si="163"/>
        <v>17.05419337</v>
      </c>
      <c r="ME31" s="931">
        <f t="shared" si="164"/>
        <v>-3.795986000000001</v>
      </c>
      <c r="MF31" s="931">
        <f t="shared" si="165"/>
        <v>8.7250720000000008</v>
      </c>
      <c r="MH31" s="230">
        <f t="shared" si="184"/>
        <v>-4.6080847962658725E-2</v>
      </c>
      <c r="MI31" s="230">
        <f t="shared" si="185"/>
        <v>-6.7083594402433513E-2</v>
      </c>
      <c r="MJ31" s="230">
        <f t="shared" si="186"/>
        <v>-0.20454712194288782</v>
      </c>
      <c r="MK31" s="230">
        <f t="shared" si="187"/>
        <v>0</v>
      </c>
      <c r="ML31" s="230">
        <f t="shared" si="188"/>
        <v>-1.0656333141963483E-2</v>
      </c>
      <c r="MM31" s="230">
        <f t="shared" si="189"/>
        <v>-2.1370304164378715E-2</v>
      </c>
      <c r="MN31" s="230">
        <f t="shared" si="190"/>
        <v>-3.1698044291304031E-3</v>
      </c>
      <c r="MO31" s="230">
        <f t="shared" si="191"/>
        <v>-4.6360741045390931E-3</v>
      </c>
      <c r="MP31" s="230" t="e">
        <f t="shared" si="192"/>
        <v>#DIV/0!</v>
      </c>
    </row>
    <row r="32" spans="1:354" outlineLevel="2">
      <c r="A32" s="884">
        <v>7495</v>
      </c>
      <c r="B32" s="70" t="s">
        <v>638</v>
      </c>
      <c r="C32" s="29" t="s">
        <v>83</v>
      </c>
      <c r="D32" s="31" t="s">
        <v>59</v>
      </c>
      <c r="E32" s="924">
        <v>-70.774865000000005</v>
      </c>
      <c r="F32" s="924">
        <v>-52.221220900000006</v>
      </c>
      <c r="G32" s="924">
        <v>-110.11979581999999</v>
      </c>
      <c r="H32" s="924">
        <v>-54.826796729999955</v>
      </c>
      <c r="I32" s="924">
        <v>-113.77445613000003</v>
      </c>
      <c r="J32" s="924">
        <v>-96.871293509999987</v>
      </c>
      <c r="K32" s="924">
        <v>-60.072132000000011</v>
      </c>
      <c r="L32" s="924">
        <v>-76.878161030000001</v>
      </c>
      <c r="M32" s="924">
        <v>-83.92770902999996</v>
      </c>
      <c r="N32" s="924">
        <v>-72.069015390000004</v>
      </c>
      <c r="O32" s="924">
        <v>-122.20683406000012</v>
      </c>
      <c r="P32" s="924">
        <v>-135.50845413000002</v>
      </c>
      <c r="Q32" s="924">
        <v>-36.536304619999996</v>
      </c>
      <c r="R32" s="924">
        <v>-21.074687790000006</v>
      </c>
      <c r="S32" s="924">
        <v>-44.057700279999999</v>
      </c>
      <c r="T32" s="924">
        <v>-59.340675750000003</v>
      </c>
      <c r="U32" s="924">
        <v>-41.483970870000036</v>
      </c>
      <c r="V32" s="924">
        <v>-33.268067079999952</v>
      </c>
      <c r="W32" s="924">
        <v>-38.228296549999982</v>
      </c>
      <c r="X32" s="924">
        <v>-29.384600790000036</v>
      </c>
      <c r="Y32" s="924">
        <v>-28.282460730000025</v>
      </c>
      <c r="Z32" s="924">
        <v>-20.86509633999998</v>
      </c>
      <c r="AA32" s="924">
        <v>-24.642580470000041</v>
      </c>
      <c r="AB32" s="924">
        <v>-44.605194559999973</v>
      </c>
      <c r="AC32" s="924">
        <v>-18.47240914</v>
      </c>
      <c r="AD32" s="924">
        <v>-17.621755499999999</v>
      </c>
      <c r="AE32" s="924">
        <v>-18.186313139999999</v>
      </c>
      <c r="AF32" s="924">
        <v>-20.38966456</v>
      </c>
      <c r="AG32" s="924">
        <v>-25.051616579999997</v>
      </c>
      <c r="AH32" s="924">
        <v>-20.594143859999999</v>
      </c>
      <c r="AI32" s="924">
        <v>-16.100760300000001</v>
      </c>
      <c r="AJ32" s="924">
        <v>-17.794009259999999</v>
      </c>
      <c r="AK32" s="102">
        <v>-17.428836439999998</v>
      </c>
      <c r="AL32" s="102">
        <v>-14.41123296</v>
      </c>
      <c r="AM32" s="102">
        <v>-46.158966799999995</v>
      </c>
      <c r="AN32" s="102">
        <v>-664.12181410000005</v>
      </c>
      <c r="AO32" s="102">
        <v>235.20175391999999</v>
      </c>
      <c r="AP32" s="145">
        <v>-1.83421429</v>
      </c>
      <c r="AQ32" s="143">
        <v>-55.936229930000003</v>
      </c>
      <c r="AR32" s="143">
        <v>-1.9304338000000001</v>
      </c>
      <c r="AS32" s="102">
        <v>-249.77413283999999</v>
      </c>
      <c r="AT32" s="102">
        <v>-138.928575</v>
      </c>
      <c r="AU32" s="102">
        <v>5.7684999999999993E-2</v>
      </c>
      <c r="AV32" s="102">
        <v>225.07301040000002</v>
      </c>
      <c r="AW32" s="102">
        <v>-238.30745002</v>
      </c>
      <c r="AX32" s="102">
        <v>3.2321875899999952</v>
      </c>
      <c r="AY32" s="102">
        <v>12.620959010000002</v>
      </c>
      <c r="AZ32" s="102">
        <v>0</v>
      </c>
      <c r="BA32" s="102">
        <v>-0.17419000000000001</v>
      </c>
      <c r="BB32" s="102">
        <v>-3.9522469999999998</v>
      </c>
      <c r="BC32" s="102">
        <v>-3.7016E-2</v>
      </c>
      <c r="BD32" s="102">
        <v>-2.0408339999999998</v>
      </c>
      <c r="BE32" s="102">
        <v>-7.3399390000000009E-2</v>
      </c>
      <c r="BF32" s="102">
        <v>-0.82533599999999996</v>
      </c>
      <c r="BG32" s="102">
        <v>-0.31262600000000001</v>
      </c>
      <c r="BH32" s="102">
        <v>-1.9128362899999998</v>
      </c>
      <c r="BI32" s="102">
        <v>-7.0036339999999999</v>
      </c>
      <c r="BJ32" s="102">
        <v>-0.79983899999999997</v>
      </c>
      <c r="BK32" s="102">
        <v>-4.383775</v>
      </c>
      <c r="BL32" s="102">
        <v>0</v>
      </c>
      <c r="BM32" s="102">
        <v>-5.5174000000000003</v>
      </c>
      <c r="BN32" s="102">
        <v>-5.5728786299999999</v>
      </c>
      <c r="BO32" s="102">
        <v>-3.3727123699999999</v>
      </c>
      <c r="BP32" s="102">
        <v>-14.929798999999999</v>
      </c>
      <c r="BQ32" s="102">
        <v>-7.2493492499999999</v>
      </c>
      <c r="BR32" s="102">
        <v>-3.5897529399999999</v>
      </c>
      <c r="BS32" s="102">
        <v>-3.35011094</v>
      </c>
      <c r="BT32" s="102">
        <v>-1.8929389999999999</v>
      </c>
      <c r="BU32" s="102">
        <v>-4.468909</v>
      </c>
      <c r="BV32" s="102">
        <v>-4.3892730000000002</v>
      </c>
      <c r="BW32" s="102">
        <v>-3.801091</v>
      </c>
      <c r="BX32" s="102">
        <v>-21.983279370000002</v>
      </c>
      <c r="BY32" s="102">
        <v>-3.1431070000000001</v>
      </c>
      <c r="BZ32" s="102">
        <v>-8.4419419999999992</v>
      </c>
      <c r="CA32" s="102">
        <v>-1.7600549999999999</v>
      </c>
      <c r="CB32" s="102">
        <v>-4.79847</v>
      </c>
      <c r="CC32" s="102">
        <v>-2.6684359999999998</v>
      </c>
      <c r="CD32" s="102">
        <v>-3.607488</v>
      </c>
      <c r="CE32" s="102">
        <v>-5.4515570000000002</v>
      </c>
      <c r="CF32" s="102">
        <v>-4.1948410000000003</v>
      </c>
      <c r="CG32" s="102">
        <v>-6.3635570000000001</v>
      </c>
      <c r="CH32" s="102">
        <v>-4.2285310000000003</v>
      </c>
      <c r="CI32" s="102">
        <v>-11.499177</v>
      </c>
      <c r="CJ32" s="102">
        <v>-4.9290859999999999</v>
      </c>
      <c r="CK32" s="102">
        <v>0.16026209999999996</v>
      </c>
      <c r="CL32" s="102">
        <v>-6.6762420000000002</v>
      </c>
      <c r="CM32" s="102">
        <v>-12.912614</v>
      </c>
      <c r="CN32" s="102">
        <v>-6.9286570000000003</v>
      </c>
      <c r="CO32" s="102">
        <v>-5.5597709999999996</v>
      </c>
      <c r="CP32" s="102">
        <v>-4.6124590000000003</v>
      </c>
      <c r="CQ32" s="102">
        <v>-4.5867505999999993</v>
      </c>
      <c r="CR32" s="102">
        <v>-0.94081599999999999</v>
      </c>
      <c r="CS32" s="102">
        <v>-2.4926189999999999</v>
      </c>
      <c r="CT32" s="102">
        <v>-3.0291510000000001</v>
      </c>
      <c r="CU32" s="102">
        <v>-8.1623509999999992</v>
      </c>
      <c r="CV32" s="102">
        <v>-8.7250720000000008</v>
      </c>
      <c r="CW32" s="102">
        <v>-2.5059499999999999</v>
      </c>
      <c r="CX32" s="102">
        <v>-2.3615789999999999</v>
      </c>
      <c r="CY32" s="102">
        <v>-3.1936650000000002</v>
      </c>
      <c r="CZ32" s="102">
        <v>-0.21284</v>
      </c>
      <c r="DA32" s="102">
        <v>-0.49916300000000002</v>
      </c>
      <c r="DB32" s="102">
        <v>-1.2055800000000001</v>
      </c>
      <c r="DC32" s="102">
        <v>-3.1699055</v>
      </c>
      <c r="DD32" s="102">
        <v>-0.33076800000000001</v>
      </c>
      <c r="DE32" s="102">
        <v>-2.1776</v>
      </c>
      <c r="DF32" s="102">
        <v>-1.803291</v>
      </c>
      <c r="DG32" s="102">
        <v>-5.1474209999999996</v>
      </c>
      <c r="DH32" s="102">
        <v>-1.082554</v>
      </c>
      <c r="DI32" s="102">
        <v>-2.099043</v>
      </c>
      <c r="DJ32" s="102">
        <v>-4.3021589999999996</v>
      </c>
      <c r="DK32" s="102">
        <v>-0.81484900000000005</v>
      </c>
      <c r="DL32" s="102">
        <v>-2.7840410000000002</v>
      </c>
      <c r="DM32" s="102">
        <v>-3.368906</v>
      </c>
      <c r="DN32" s="102">
        <v>-2.9668809999999999</v>
      </c>
      <c r="DO32" s="102">
        <v>-2.4278430000000002</v>
      </c>
      <c r="DP32" s="102">
        <v>-4.2782070000000001</v>
      </c>
      <c r="DQ32" s="940">
        <v>-3.8147820000000001</v>
      </c>
      <c r="DR32" s="940">
        <v>-6.5156159999999996</v>
      </c>
      <c r="DS32" s="940">
        <v>-3.7787565000000001</v>
      </c>
      <c r="DT32" s="940">
        <v>-17.957244230000001</v>
      </c>
      <c r="DU32" s="940">
        <v>-5.1770220199999999</v>
      </c>
      <c r="DV32" s="940">
        <v>-4.6642440000000001</v>
      </c>
      <c r="DW32" s="940">
        <v>-10.396165999999999</v>
      </c>
      <c r="DX32" s="940">
        <v>-9.9485240000000008</v>
      </c>
      <c r="DY32" s="940">
        <v>-11.377744</v>
      </c>
      <c r="DZ32" s="940">
        <v>-15.756124</v>
      </c>
      <c r="EA32" s="940">
        <v>-15.761248</v>
      </c>
      <c r="EB32" s="940">
        <v>-12.241391</v>
      </c>
      <c r="EC32" s="940">
        <v>-5.0549600000000003</v>
      </c>
      <c r="ED32" s="940">
        <v>-12.1887548</v>
      </c>
      <c r="EE32" s="940">
        <v>-18.749364</v>
      </c>
      <c r="EF32" s="940">
        <v>-22.902078360000001</v>
      </c>
      <c r="EH32" s="102">
        <v>-2.5059499999999999</v>
      </c>
      <c r="EI32" s="102">
        <v>-2.3615789999999999</v>
      </c>
      <c r="EJ32" s="102">
        <v>-3.1936650000000002</v>
      </c>
      <c r="EK32" s="102">
        <v>-0.21284</v>
      </c>
      <c r="EL32" s="102">
        <v>-0.49916300000000002</v>
      </c>
      <c r="EM32" s="102">
        <v>-1.2055800000000001</v>
      </c>
      <c r="EN32" s="102">
        <v>-1.58</v>
      </c>
      <c r="EO32" s="102">
        <v>-2.476</v>
      </c>
      <c r="EP32" s="102">
        <v>-2.3959999999999999</v>
      </c>
      <c r="EQ32" s="102">
        <v>-1.756</v>
      </c>
      <c r="ER32" s="102">
        <v>-1.56</v>
      </c>
      <c r="ES32" s="102">
        <v>-1.56</v>
      </c>
      <c r="EU32" s="102"/>
      <c r="EV32" s="102"/>
      <c r="EW32" s="102"/>
      <c r="EX32" s="102"/>
      <c r="EY32" s="102"/>
      <c r="EZ32" s="102"/>
      <c r="FA32" s="102"/>
      <c r="FB32" s="102"/>
      <c r="FC32" s="102"/>
      <c r="FD32" s="102"/>
      <c r="FE32" s="102"/>
      <c r="FF32" s="102"/>
      <c r="FG32" s="102">
        <v>-11.278430511403601</v>
      </c>
      <c r="FH32" s="102">
        <v>-16.807161790321604</v>
      </c>
      <c r="FI32" s="102">
        <v>-17.659348139615499</v>
      </c>
      <c r="FJ32" s="102">
        <v>-16.801573127242996</v>
      </c>
      <c r="FK32" s="102">
        <v>-18.384802841672201</v>
      </c>
      <c r="FL32" s="102">
        <v>-27.769913830709005</v>
      </c>
      <c r="FM32" s="102">
        <v>-29.144529752673101</v>
      </c>
      <c r="FN32" s="102">
        <v>-31.497310611840501</v>
      </c>
      <c r="FO32" s="102">
        <v>-33.350055119295</v>
      </c>
      <c r="FP32" s="102">
        <v>-34.848994392713301</v>
      </c>
      <c r="FQ32" s="102">
        <v>-30.684075946624805</v>
      </c>
      <c r="FR32" s="102">
        <v>-21.618389154020001</v>
      </c>
      <c r="FS32" s="102">
        <v>-28.904333000000001</v>
      </c>
      <c r="FT32" s="102">
        <v>-29.623933000000001</v>
      </c>
      <c r="FU32" s="102">
        <v>-29.927167000000001</v>
      </c>
      <c r="FV32" s="102">
        <v>-27.5655</v>
      </c>
      <c r="FW32" s="102">
        <v>-27.795632999999999</v>
      </c>
      <c r="FX32" s="102">
        <v>-23.643967</v>
      </c>
      <c r="FY32" s="102">
        <v>-23.890833000000001</v>
      </c>
      <c r="FZ32" s="102">
        <v>-21.360932999999999</v>
      </c>
      <c r="GA32" s="102">
        <v>-16.149332999999999</v>
      </c>
      <c r="GB32" s="102">
        <v>-16.149332999999999</v>
      </c>
      <c r="GC32" s="102">
        <v>-17.372333000000001</v>
      </c>
      <c r="GD32" s="102">
        <v>-17.372333000000001</v>
      </c>
      <c r="GE32" s="102">
        <v>-10.436999999999999</v>
      </c>
      <c r="GF32" s="102">
        <v>-9.1440000000000001</v>
      </c>
      <c r="GG32" s="102">
        <v>-8.5169999999999995</v>
      </c>
      <c r="GH32" s="102">
        <v>-7.3630000000000004</v>
      </c>
      <c r="GI32" s="102">
        <v>-8.6170000000000009</v>
      </c>
      <c r="GJ32" s="102">
        <v>-8.6780000000000008</v>
      </c>
      <c r="GK32" s="102">
        <v>-9.3049999999999997</v>
      </c>
      <c r="GL32" s="102">
        <v>-9.3049999999999997</v>
      </c>
      <c r="GM32" s="102">
        <v>-9.3049999999999997</v>
      </c>
      <c r="GN32" s="102">
        <v>-11.186</v>
      </c>
      <c r="GO32" s="102">
        <v>-12.318</v>
      </c>
      <c r="GP32" s="102">
        <v>-11.164</v>
      </c>
      <c r="GQ32" s="102">
        <v>-10.436999999999999</v>
      </c>
      <c r="GR32" s="102">
        <v>-9.1440000000000001</v>
      </c>
      <c r="GS32" s="102">
        <v>-8.5169999999999995</v>
      </c>
      <c r="GT32" s="102">
        <v>-7.3630000000000004</v>
      </c>
      <c r="GU32" s="102">
        <v>-8.6170000000000009</v>
      </c>
      <c r="GV32" s="102">
        <v>-8.6780000000000008</v>
      </c>
      <c r="GW32" s="102">
        <v>-9.3049999999999997</v>
      </c>
      <c r="GX32" s="102">
        <v>-9.3049999999999997</v>
      </c>
      <c r="GY32" s="102">
        <v>-9.3049999999999997</v>
      </c>
      <c r="GZ32" s="102">
        <v>-11.186</v>
      </c>
      <c r="HA32" s="102">
        <v>-12.318</v>
      </c>
      <c r="HB32" s="102">
        <v>-11.164</v>
      </c>
      <c r="HD32" s="924">
        <f t="shared" si="109"/>
        <v>-1049.2507337300001</v>
      </c>
      <c r="HE32" s="924">
        <f t="shared" si="109"/>
        <v>-421.76963583000003</v>
      </c>
      <c r="HF32" s="924">
        <f t="shared" si="109"/>
        <v>-896.33152264</v>
      </c>
      <c r="HG32" s="924">
        <f t="shared" si="109"/>
        <v>-210.52543996</v>
      </c>
      <c r="HH32" s="924">
        <f t="shared" si="110"/>
        <v>-21.515732679999999</v>
      </c>
      <c r="HI32" s="924">
        <f t="shared" si="111"/>
        <v>-80.117494500000006</v>
      </c>
      <c r="HJ32" s="924">
        <f t="shared" si="112"/>
        <v>-61.086247</v>
      </c>
      <c r="HK32" s="924">
        <f t="shared" si="113"/>
        <v>-64.466240499999998</v>
      </c>
      <c r="HL32" s="960">
        <f>+SUMIF($E$6:SEW$6,HL$7,$E32:SEW32)</f>
        <v>-23.690316500000002</v>
      </c>
      <c r="HM32" s="960">
        <f>+SUMIF($E$6:SEX$6,HM$7,$E32:SEX32)</f>
        <v>-55.108327729999999</v>
      </c>
      <c r="HN32" s="960">
        <f>+SUMIF($E$6:SEY$6,HN$7,$E32:SEY32)</f>
        <v>-144.21762017999998</v>
      </c>
      <c r="HO32" s="924"/>
      <c r="HP32" s="924"/>
      <c r="HR32" s="927">
        <f t="shared" si="114"/>
        <v>1.125168448591872</v>
      </c>
      <c r="HS32" s="927">
        <f t="shared" si="115"/>
        <v>-0.76512547573923184</v>
      </c>
      <c r="HT32" s="927">
        <f t="shared" si="116"/>
        <v>-0.89779984459793549</v>
      </c>
      <c r="HU32" s="927">
        <f t="shared" si="117"/>
        <v>2.7236702877645165</v>
      </c>
      <c r="HV32" s="927">
        <f t="shared" si="118"/>
        <v>-0.23754172067874646</v>
      </c>
      <c r="HW32" s="927">
        <f t="shared" si="119"/>
        <v>5.533149712078389E-2</v>
      </c>
      <c r="HX32" s="927">
        <f t="shared" si="120"/>
        <v>-0.63251592901559062</v>
      </c>
      <c r="HY32" s="927">
        <f t="shared" si="120"/>
        <v>1.3261963481999066</v>
      </c>
      <c r="HZ32" s="927">
        <f t="shared" si="120"/>
        <v>1.6169841495932467</v>
      </c>
      <c r="IA32" s="927">
        <f t="shared" si="17"/>
        <v>-1</v>
      </c>
      <c r="IB32" s="927" t="str">
        <f t="shared" si="121"/>
        <v/>
      </c>
      <c r="IC32" s="927">
        <f t="shared" si="19"/>
        <v>-1</v>
      </c>
      <c r="IE32" s="924">
        <f t="shared" si="122"/>
        <v>-474.56188680999998</v>
      </c>
      <c r="IF32" s="924">
        <f t="shared" si="123"/>
        <v>685.80608268000003</v>
      </c>
      <c r="IG32" s="924">
        <f t="shared" si="124"/>
        <v>189.00970727999999</v>
      </c>
      <c r="IH32" s="924">
        <f t="shared" si="125"/>
        <v>-58.601761820000007</v>
      </c>
      <c r="II32" s="924">
        <f t="shared" si="100"/>
        <v>19.031247500000006</v>
      </c>
      <c r="IJ32" s="924">
        <f t="shared" si="101"/>
        <v>-3.3799934999999977</v>
      </c>
      <c r="IK32" s="924">
        <f t="shared" si="102"/>
        <v>40.775923999999996</v>
      </c>
      <c r="IL32" s="924">
        <f t="shared" si="27"/>
        <v>23.690316500000002</v>
      </c>
      <c r="IM32" s="924">
        <f t="shared" si="126"/>
        <v>0</v>
      </c>
      <c r="IN32" s="924">
        <f t="shared" si="29"/>
        <v>23.690316500000002</v>
      </c>
      <c r="IP32" s="76">
        <f t="shared" si="180"/>
        <v>-1.1475076071210974E-2</v>
      </c>
      <c r="IQ32" s="76">
        <f t="shared" si="181"/>
        <v>-2.275936180920362E-2</v>
      </c>
      <c r="IR32" s="76">
        <f t="shared" si="182"/>
        <v>-1.2492027986651215E-2</v>
      </c>
      <c r="IS32" s="76">
        <f t="shared" si="183"/>
        <v>-3.4973405323725261E-3</v>
      </c>
      <c r="IT32" s="76">
        <f t="shared" si="176"/>
        <v>-5.8785371092421575E-3</v>
      </c>
      <c r="IU32" s="76">
        <f t="shared" si="177"/>
        <v>-4.3168863922118852E-3</v>
      </c>
      <c r="IV32" s="76">
        <f t="shared" si="178"/>
        <v>-3.0366562135538291E-3</v>
      </c>
      <c r="IW32" s="76">
        <f t="shared" si="179"/>
        <v>-1.8772209345675383E-3</v>
      </c>
      <c r="IX32" s="76" t="e">
        <f t="shared" si="128"/>
        <v>#DIV/0!</v>
      </c>
      <c r="IY32" s="76" t="e">
        <f t="shared" si="129"/>
        <v>#DIV/0!</v>
      </c>
      <c r="JA32" s="924">
        <f t="shared" si="193"/>
        <v>-1049.2507337300001</v>
      </c>
      <c r="JB32" s="924">
        <f t="shared" si="193"/>
        <v>-421.76963583000003</v>
      </c>
      <c r="JC32" s="924">
        <f t="shared" si="193"/>
        <v>-896.33152264</v>
      </c>
      <c r="JD32" s="924">
        <f t="shared" si="193"/>
        <v>-210.52543996</v>
      </c>
      <c r="JE32" s="924">
        <f t="shared" si="193"/>
        <v>-21.515732679999999</v>
      </c>
      <c r="JF32" s="924">
        <f t="shared" si="193"/>
        <v>-80.117494500000006</v>
      </c>
      <c r="JG32" s="924">
        <f t="shared" si="193"/>
        <v>-61.086247</v>
      </c>
      <c r="JH32" s="924">
        <f t="shared" si="193"/>
        <v>-64.466240499999998</v>
      </c>
      <c r="JI32" s="924">
        <f t="shared" si="193"/>
        <v>-23.690316500000002</v>
      </c>
      <c r="JJ32" s="924">
        <f t="shared" si="193"/>
        <v>-55.108327729999999</v>
      </c>
      <c r="JK32" s="924">
        <f t="shared" si="193"/>
        <v>-144.21762017999998</v>
      </c>
      <c r="JL32" s="924">
        <f t="shared" si="130"/>
        <v>-144.21762017999998</v>
      </c>
      <c r="JM32" s="924"/>
      <c r="JN32" s="924"/>
      <c r="JO32" s="922"/>
      <c r="JP32" s="924">
        <f t="shared" si="41"/>
        <v>-144.21762017999998</v>
      </c>
      <c r="JQ32" s="924">
        <f t="shared" si="42"/>
        <v>0</v>
      </c>
      <c r="JR32" s="145"/>
      <c r="JS32" s="927" t="str">
        <f t="shared" si="131"/>
        <v/>
      </c>
      <c r="JT32" s="928">
        <f t="shared" si="89"/>
        <v>-144.21762017999998</v>
      </c>
      <c r="JV32" s="76">
        <f t="shared" si="43"/>
        <v>-4.7767505434461194E-3</v>
      </c>
      <c r="JW32" s="927" t="str">
        <f t="shared" si="44"/>
        <v/>
      </c>
      <c r="JY32" s="927">
        <f t="shared" si="168"/>
        <v>1.125168448591872</v>
      </c>
      <c r="JZ32" s="927">
        <f t="shared" si="169"/>
        <v>-0.76512547573923184</v>
      </c>
      <c r="KA32" s="927">
        <f t="shared" si="170"/>
        <v>-0.89779984459793549</v>
      </c>
      <c r="KB32" s="927">
        <f t="shared" si="171"/>
        <v>2.7236702877645165</v>
      </c>
      <c r="KC32" s="927">
        <f t="shared" si="172"/>
        <v>-0.23754172067874646</v>
      </c>
      <c r="KD32" s="927">
        <f t="shared" si="173"/>
        <v>5.533149712078389E-2</v>
      </c>
      <c r="KE32" s="927">
        <f t="shared" si="174"/>
        <v>-0.63251592901559062</v>
      </c>
      <c r="KF32" s="927">
        <f t="shared" si="175"/>
        <v>-1</v>
      </c>
      <c r="KH32" s="924">
        <f t="shared" si="133"/>
        <v>-474.56188680999998</v>
      </c>
      <c r="KI32" s="924">
        <f t="shared" si="134"/>
        <v>685.80608268000003</v>
      </c>
      <c r="KJ32" s="924">
        <f t="shared" si="135"/>
        <v>189.00970727999999</v>
      </c>
      <c r="KK32" s="924">
        <f t="shared" si="136"/>
        <v>-58.601761820000007</v>
      </c>
      <c r="KL32" s="924">
        <f t="shared" si="137"/>
        <v>19.031247500000006</v>
      </c>
      <c r="KM32" s="924">
        <f t="shared" si="138"/>
        <v>-3.3799934999999977</v>
      </c>
      <c r="KN32" s="924">
        <f t="shared" si="139"/>
        <v>40.775923999999996</v>
      </c>
      <c r="KO32" s="924">
        <f t="shared" si="140"/>
        <v>23.690316500000002</v>
      </c>
      <c r="KQ32" s="76">
        <f t="shared" si="141"/>
        <v>-2.8919823525071098E-2</v>
      </c>
      <c r="KR32" s="76">
        <f t="shared" si="142"/>
        <v>-1.1475076071210974E-2</v>
      </c>
      <c r="KS32" s="76">
        <f t="shared" si="143"/>
        <v>-2.275936180920362E-2</v>
      </c>
      <c r="KT32" s="76">
        <f t="shared" si="144"/>
        <v>-1.2492027986651215E-2</v>
      </c>
      <c r="KU32" s="76">
        <f t="shared" si="145"/>
        <v>-3.4973405323725261E-3</v>
      </c>
      <c r="KV32" s="76">
        <f t="shared" si="146"/>
        <v>-5.8785371092421575E-3</v>
      </c>
      <c r="KW32" s="76">
        <f t="shared" si="147"/>
        <v>-4.3168863922118852E-3</v>
      </c>
      <c r="KX32" s="76">
        <f t="shared" si="148"/>
        <v>-3.0366562135538291E-3</v>
      </c>
      <c r="KY32" s="76">
        <f t="shared" si="149"/>
        <v>-1.8772209345675383E-3</v>
      </c>
      <c r="KZ32" s="76" t="e">
        <f t="shared" si="150"/>
        <v>#DIV/0!</v>
      </c>
      <c r="LB32" s="924">
        <f t="shared" si="151"/>
        <v>-135.50845413000002</v>
      </c>
      <c r="LC32" s="924">
        <f t="shared" si="151"/>
        <v>-44.605194559999973</v>
      </c>
      <c r="LD32" s="924">
        <f t="shared" si="151"/>
        <v>-664.12181410000005</v>
      </c>
      <c r="LE32" s="924">
        <f t="shared" si="151"/>
        <v>0</v>
      </c>
      <c r="LF32" s="924">
        <f t="shared" si="151"/>
        <v>0</v>
      </c>
      <c r="LG32" s="924">
        <f t="shared" si="151"/>
        <v>-21.983279370000002</v>
      </c>
      <c r="LH32" s="924">
        <f t="shared" si="151"/>
        <v>-4.9290859999999999</v>
      </c>
      <c r="LI32" s="924">
        <f t="shared" si="151"/>
        <v>-8.7250720000000008</v>
      </c>
      <c r="LJ32" s="924">
        <f t="shared" si="151"/>
        <v>-1.082554</v>
      </c>
      <c r="LK32" s="924">
        <f t="shared" si="151"/>
        <v>-17.957244230000001</v>
      </c>
      <c r="LL32" s="924">
        <f t="shared" si="151"/>
        <v>-22.902078360000001</v>
      </c>
      <c r="LM32" s="924">
        <f t="shared" si="151"/>
        <v>-22.902078360000001</v>
      </c>
      <c r="LN32" s="924"/>
      <c r="LO32" s="924"/>
      <c r="LR32" s="76">
        <f t="shared" si="152"/>
        <v>13.888889526233701</v>
      </c>
      <c r="LS32" s="76">
        <f t="shared" si="153"/>
        <v>-1</v>
      </c>
      <c r="LT32" s="76" t="str">
        <f t="shared" si="154"/>
        <v xml:space="preserve"> </v>
      </c>
      <c r="LU32" s="76" t="str">
        <f t="shared" si="155"/>
        <v xml:space="preserve"> </v>
      </c>
      <c r="LV32" s="76">
        <f t="shared" si="156"/>
        <v>-0.7757802229122106</v>
      </c>
      <c r="LW32" s="76">
        <f t="shared" si="157"/>
        <v>0.77011965301477825</v>
      </c>
      <c r="LX32" s="76">
        <f t="shared" si="158"/>
        <v>-1</v>
      </c>
      <c r="LZ32" s="924">
        <f t="shared" si="159"/>
        <v>-619.51661954000008</v>
      </c>
      <c r="MA32" s="924">
        <f t="shared" si="160"/>
        <v>664.12181410000005</v>
      </c>
      <c r="MB32" s="924">
        <f t="shared" si="161"/>
        <v>0</v>
      </c>
      <c r="MC32" s="924">
        <f t="shared" si="162"/>
        <v>-21.983279370000002</v>
      </c>
      <c r="MD32" s="924">
        <f t="shared" si="163"/>
        <v>17.05419337</v>
      </c>
      <c r="ME32" s="924">
        <f t="shared" si="164"/>
        <v>-3.795986000000001</v>
      </c>
      <c r="MF32" s="924">
        <f t="shared" si="165"/>
        <v>8.7250720000000008</v>
      </c>
      <c r="MH32" s="76">
        <f t="shared" si="184"/>
        <v>-4.5179360244224004E-2</v>
      </c>
      <c r="MI32" s="76">
        <f t="shared" si="185"/>
        <v>-8.0899370267047167E-3</v>
      </c>
      <c r="MJ32" s="76">
        <f t="shared" si="186"/>
        <v>-0.12955573571190754</v>
      </c>
      <c r="MK32" s="76">
        <f t="shared" si="187"/>
        <v>0</v>
      </c>
      <c r="ML32" s="76">
        <f t="shared" si="188"/>
        <v>0</v>
      </c>
      <c r="MM32" s="76">
        <f t="shared" si="189"/>
        <v>-2.1370304164378715E-2</v>
      </c>
      <c r="MN32" s="76">
        <f t="shared" si="190"/>
        <v>-3.1698044291304031E-3</v>
      </c>
      <c r="MO32" s="76">
        <f t="shared" si="191"/>
        <v>-4.6360741045390931E-3</v>
      </c>
      <c r="MP32" s="76" t="e">
        <f t="shared" si="192"/>
        <v>#DIV/0!</v>
      </c>
    </row>
    <row r="33" spans="1:354" outlineLevel="2">
      <c r="A33" s="884">
        <v>7440</v>
      </c>
      <c r="B33" s="70" t="s">
        <v>639</v>
      </c>
      <c r="C33" s="29" t="s">
        <v>84</v>
      </c>
      <c r="D33" s="31" t="s">
        <v>59</v>
      </c>
      <c r="E33" s="102">
        <v>-0.105</v>
      </c>
      <c r="F33" s="102">
        <v>0</v>
      </c>
      <c r="G33" s="102">
        <v>-0.64771999999999996</v>
      </c>
      <c r="H33" s="102">
        <v>-3.9700000000000069E-2</v>
      </c>
      <c r="I33" s="102">
        <v>0</v>
      </c>
      <c r="J33" s="102">
        <v>-8.7293249999999993</v>
      </c>
      <c r="K33" s="102">
        <v>-2.1707560000000008</v>
      </c>
      <c r="L33" s="102">
        <v>-1.9999999999999574E-2</v>
      </c>
      <c r="M33" s="102">
        <v>0</v>
      </c>
      <c r="N33" s="102">
        <v>0</v>
      </c>
      <c r="O33" s="102">
        <v>0</v>
      </c>
      <c r="P33" s="102">
        <v>-2.2167000000000012</v>
      </c>
      <c r="Q33" s="102">
        <v>0</v>
      </c>
      <c r="R33" s="102">
        <v>0</v>
      </c>
      <c r="S33" s="102">
        <v>0</v>
      </c>
      <c r="T33" s="102">
        <v>0</v>
      </c>
      <c r="U33" s="102">
        <v>-0.183</v>
      </c>
      <c r="V33" s="102">
        <v>0</v>
      </c>
      <c r="W33" s="102">
        <v>0</v>
      </c>
      <c r="X33" s="102">
        <v>0</v>
      </c>
      <c r="Y33" s="102">
        <v>-8.8356220000000008</v>
      </c>
      <c r="Z33" s="102">
        <v>0</v>
      </c>
      <c r="AA33" s="102">
        <v>0</v>
      </c>
      <c r="AB33" s="102">
        <v>0</v>
      </c>
      <c r="AC33" s="102">
        <v>0</v>
      </c>
      <c r="AD33" s="102">
        <v>0</v>
      </c>
      <c r="AE33" s="102">
        <v>0</v>
      </c>
      <c r="AF33" s="102">
        <v>0</v>
      </c>
      <c r="AG33" s="102">
        <v>0</v>
      </c>
      <c r="AH33" s="102">
        <v>-6.6522399999999999</v>
      </c>
      <c r="AI33" s="102">
        <v>-3.3361011199999999</v>
      </c>
      <c r="AJ33" s="102">
        <v>0</v>
      </c>
      <c r="AK33" s="102">
        <v>1.1200000000000001E-6</v>
      </c>
      <c r="AL33" s="102">
        <v>0</v>
      </c>
      <c r="AM33" s="102">
        <v>0</v>
      </c>
      <c r="AN33" s="102">
        <v>9.9883399999999991</v>
      </c>
      <c r="AO33" s="102">
        <v>0</v>
      </c>
      <c r="AP33" s="145">
        <v>0</v>
      </c>
      <c r="AQ33" s="143">
        <v>0</v>
      </c>
      <c r="AR33" s="143">
        <v>-6.48</v>
      </c>
      <c r="AS33" s="102">
        <v>0</v>
      </c>
      <c r="AT33" s="102">
        <v>-1.2069E-2</v>
      </c>
      <c r="AU33" s="102">
        <v>0</v>
      </c>
      <c r="AV33" s="102">
        <v>0</v>
      </c>
      <c r="AW33" s="102">
        <v>0</v>
      </c>
      <c r="AX33" s="102">
        <v>0</v>
      </c>
      <c r="AY33" s="102">
        <v>-4.4632779999999999</v>
      </c>
      <c r="AZ33" s="102">
        <v>0</v>
      </c>
      <c r="BA33" s="102">
        <v>0</v>
      </c>
      <c r="BB33" s="102">
        <v>0</v>
      </c>
      <c r="BC33" s="102">
        <v>0</v>
      </c>
      <c r="BD33" s="102">
        <v>0</v>
      </c>
      <c r="BE33" s="102">
        <v>0</v>
      </c>
      <c r="BF33" s="102">
        <v>0</v>
      </c>
      <c r="BG33" s="102">
        <v>0</v>
      </c>
      <c r="BH33" s="102">
        <v>0</v>
      </c>
      <c r="BI33" s="102">
        <v>0</v>
      </c>
      <c r="BJ33" s="102">
        <v>0</v>
      </c>
      <c r="BK33" s="102">
        <v>0</v>
      </c>
      <c r="BL33" s="102">
        <v>0</v>
      </c>
      <c r="BM33" s="102">
        <v>0</v>
      </c>
      <c r="BN33" s="102">
        <v>0</v>
      </c>
      <c r="BO33" s="102">
        <v>0</v>
      </c>
      <c r="BP33" s="102">
        <v>0</v>
      </c>
      <c r="BQ33" s="102">
        <v>0</v>
      </c>
      <c r="BR33" s="102">
        <v>0</v>
      </c>
      <c r="BS33" s="102">
        <v>0</v>
      </c>
      <c r="BT33" s="102">
        <v>0</v>
      </c>
      <c r="BU33" s="102">
        <v>0</v>
      </c>
      <c r="BV33" s="102">
        <v>0</v>
      </c>
      <c r="BW33" s="102">
        <v>0</v>
      </c>
      <c r="BX33" s="102">
        <v>0</v>
      </c>
      <c r="BY33" s="102">
        <v>0</v>
      </c>
      <c r="BZ33" s="102">
        <v>0</v>
      </c>
      <c r="CA33" s="102">
        <v>0</v>
      </c>
      <c r="CB33" s="102">
        <v>0</v>
      </c>
      <c r="CC33" s="102">
        <v>0</v>
      </c>
      <c r="CD33" s="102">
        <v>0</v>
      </c>
      <c r="CE33" s="102">
        <v>0</v>
      </c>
      <c r="CF33" s="102">
        <v>0</v>
      </c>
      <c r="CG33" s="102">
        <v>0</v>
      </c>
      <c r="CH33" s="102">
        <v>0</v>
      </c>
      <c r="CI33" s="102">
        <v>0</v>
      </c>
      <c r="CJ33" s="102">
        <v>0</v>
      </c>
      <c r="CK33" s="102">
        <v>0</v>
      </c>
      <c r="CL33" s="102">
        <v>0</v>
      </c>
      <c r="CM33" s="102">
        <v>0</v>
      </c>
      <c r="CN33" s="102">
        <v>0</v>
      </c>
      <c r="CO33" s="102">
        <v>0</v>
      </c>
      <c r="CP33" s="102">
        <v>0</v>
      </c>
      <c r="CQ33" s="102">
        <v>0</v>
      </c>
      <c r="CR33" s="102">
        <v>0</v>
      </c>
      <c r="CS33" s="102">
        <v>0</v>
      </c>
      <c r="CT33" s="102">
        <v>0</v>
      </c>
      <c r="CU33" s="102">
        <v>0</v>
      </c>
      <c r="CV33" s="102">
        <v>0</v>
      </c>
      <c r="CW33" s="102">
        <v>0</v>
      </c>
      <c r="CX33" s="102">
        <v>0</v>
      </c>
      <c r="CY33" s="102">
        <v>0</v>
      </c>
      <c r="CZ33" s="102">
        <v>0</v>
      </c>
      <c r="DA33" s="102">
        <v>0</v>
      </c>
      <c r="DB33" s="102">
        <v>0</v>
      </c>
      <c r="DC33" s="102">
        <v>0</v>
      </c>
      <c r="DD33" s="102">
        <v>0</v>
      </c>
      <c r="DE33" s="102">
        <v>0</v>
      </c>
      <c r="DF33" s="102">
        <v>0</v>
      </c>
      <c r="DG33" s="102">
        <v>0</v>
      </c>
      <c r="DH33" s="102">
        <v>0</v>
      </c>
      <c r="DI33" s="102">
        <v>0</v>
      </c>
      <c r="DJ33" s="102">
        <v>0</v>
      </c>
      <c r="DK33" s="102">
        <v>0</v>
      </c>
      <c r="DL33" s="102">
        <v>0</v>
      </c>
      <c r="DM33" s="102">
        <v>0</v>
      </c>
      <c r="DN33" s="102">
        <v>0</v>
      </c>
      <c r="DO33" s="102">
        <v>0</v>
      </c>
      <c r="DP33" s="102">
        <v>0</v>
      </c>
      <c r="DQ33" s="940">
        <v>0</v>
      </c>
      <c r="DR33" s="940">
        <v>0</v>
      </c>
      <c r="DS33" s="940">
        <v>0</v>
      </c>
      <c r="DT33" s="940">
        <v>0</v>
      </c>
      <c r="DU33" s="940">
        <v>0</v>
      </c>
      <c r="DV33" s="940">
        <v>0</v>
      </c>
      <c r="DW33" s="940">
        <v>0</v>
      </c>
      <c r="DX33" s="940">
        <v>0</v>
      </c>
      <c r="DY33" s="940">
        <v>0</v>
      </c>
      <c r="DZ33" s="940">
        <v>0</v>
      </c>
      <c r="EA33" s="940">
        <v>0</v>
      </c>
      <c r="EB33" s="940">
        <v>0</v>
      </c>
      <c r="EC33" s="940">
        <v>0</v>
      </c>
      <c r="ED33" s="940">
        <v>0</v>
      </c>
      <c r="EE33" s="940">
        <v>0</v>
      </c>
      <c r="EF33" s="940">
        <v>0</v>
      </c>
      <c r="EH33" s="102">
        <v>0</v>
      </c>
      <c r="EI33" s="102">
        <v>0</v>
      </c>
      <c r="EJ33" s="102">
        <v>0</v>
      </c>
      <c r="EK33" s="102">
        <v>0</v>
      </c>
      <c r="EL33" s="102">
        <v>0</v>
      </c>
      <c r="EM33" s="102">
        <v>0</v>
      </c>
      <c r="EN33" s="102">
        <v>0</v>
      </c>
      <c r="EO33" s="102">
        <v>0</v>
      </c>
      <c r="EP33" s="102">
        <v>0</v>
      </c>
      <c r="EQ33" s="102">
        <v>0</v>
      </c>
      <c r="ER33" s="102">
        <v>0</v>
      </c>
      <c r="ES33" s="102">
        <v>0</v>
      </c>
      <c r="EU33" s="102"/>
      <c r="EV33" s="102"/>
      <c r="EW33" s="102"/>
      <c r="EX33" s="102"/>
      <c r="EY33" s="102"/>
      <c r="EZ33" s="102"/>
      <c r="FA33" s="102"/>
      <c r="FB33" s="102"/>
      <c r="FC33" s="102"/>
      <c r="FD33" s="102"/>
      <c r="FE33" s="102"/>
      <c r="FF33" s="102"/>
      <c r="FG33" s="102">
        <v>-2</v>
      </c>
      <c r="FH33" s="102">
        <v>-2</v>
      </c>
      <c r="FI33" s="102">
        <v>-30</v>
      </c>
      <c r="FJ33" s="102">
        <v>-30</v>
      </c>
      <c r="FK33" s="102">
        <v>-2</v>
      </c>
      <c r="FL33" s="102">
        <v>-2</v>
      </c>
      <c r="FM33" s="102">
        <v>-2</v>
      </c>
      <c r="FN33" s="102">
        <v>-2</v>
      </c>
      <c r="FO33" s="102">
        <v>-30</v>
      </c>
      <c r="FP33" s="102">
        <v>-2</v>
      </c>
      <c r="FQ33" s="102">
        <v>-30</v>
      </c>
      <c r="FR33" s="102">
        <v>-2</v>
      </c>
      <c r="FS33" s="102"/>
      <c r="FT33" s="102"/>
      <c r="FU33" s="102"/>
      <c r="FV33" s="102"/>
      <c r="FW33" s="102"/>
      <c r="FX33" s="102"/>
      <c r="FY33" s="102"/>
      <c r="FZ33" s="102"/>
      <c r="GA33" s="102"/>
      <c r="GB33" s="102"/>
      <c r="GC33" s="102"/>
      <c r="GD33" s="102"/>
      <c r="GE33" s="102">
        <v>0</v>
      </c>
      <c r="GF33" s="102">
        <v>0</v>
      </c>
      <c r="GG33" s="102">
        <v>0</v>
      </c>
      <c r="GH33" s="102">
        <v>0</v>
      </c>
      <c r="GI33" s="102">
        <v>0</v>
      </c>
      <c r="GJ33" s="102">
        <v>0</v>
      </c>
      <c r="GK33" s="102">
        <v>0</v>
      </c>
      <c r="GL33" s="102">
        <v>0</v>
      </c>
      <c r="GM33" s="102">
        <v>0</v>
      </c>
      <c r="GN33" s="102">
        <v>0</v>
      </c>
      <c r="GO33" s="102">
        <v>0</v>
      </c>
      <c r="GP33" s="102">
        <v>0</v>
      </c>
      <c r="GQ33" s="102">
        <v>0</v>
      </c>
      <c r="GR33" s="102">
        <v>0</v>
      </c>
      <c r="GS33" s="102">
        <v>0</v>
      </c>
      <c r="GT33" s="102">
        <v>0</v>
      </c>
      <c r="GU33" s="102">
        <v>0</v>
      </c>
      <c r="GV33" s="102">
        <v>0</v>
      </c>
      <c r="GW33" s="102">
        <v>0</v>
      </c>
      <c r="GX33" s="102">
        <v>0</v>
      </c>
      <c r="GY33" s="102">
        <v>0</v>
      </c>
      <c r="GZ33" s="102">
        <v>0</v>
      </c>
      <c r="HA33" s="102">
        <v>0</v>
      </c>
      <c r="HB33" s="102">
        <v>0</v>
      </c>
      <c r="HD33" s="102">
        <f t="shared" si="109"/>
        <v>-13.929201000000001</v>
      </c>
      <c r="HE33" s="102">
        <f t="shared" si="109"/>
        <v>-9.0186220000000006</v>
      </c>
      <c r="HF33" s="102">
        <f t="shared" si="109"/>
        <v>0</v>
      </c>
      <c r="HG33" s="102">
        <f t="shared" si="109"/>
        <v>-10.955347</v>
      </c>
      <c r="HH33" s="102">
        <f t="shared" si="110"/>
        <v>0</v>
      </c>
      <c r="HI33" s="102">
        <f t="shared" si="111"/>
        <v>0</v>
      </c>
      <c r="HJ33" s="102">
        <f t="shared" si="112"/>
        <v>0</v>
      </c>
      <c r="HK33" s="102">
        <f t="shared" si="113"/>
        <v>0</v>
      </c>
      <c r="HL33" s="940">
        <f>+SUMIF($E$6:SEW$6,HL$7,$E33:SEW33)</f>
        <v>0</v>
      </c>
      <c r="HM33" s="940">
        <f>+SUMIF($E$6:SEX$6,HM$7,$E33:SEX33)</f>
        <v>0</v>
      </c>
      <c r="HN33" s="940">
        <f>+SUMIF($E$6:SEY$6,HN$7,$E33:SEY33)</f>
        <v>0</v>
      </c>
      <c r="HO33" s="102"/>
      <c r="HP33" s="102"/>
      <c r="HR33" s="929">
        <f t="shared" si="114"/>
        <v>-1</v>
      </c>
      <c r="HS33" s="929" t="str">
        <f t="shared" si="115"/>
        <v/>
      </c>
      <c r="HT33" s="929">
        <f t="shared" si="116"/>
        <v>-1</v>
      </c>
      <c r="HU33" s="929" t="str">
        <f t="shared" si="117"/>
        <v/>
      </c>
      <c r="HV33" s="929" t="str">
        <f t="shared" si="118"/>
        <v/>
      </c>
      <c r="HW33" s="929" t="str">
        <f t="shared" si="119"/>
        <v/>
      </c>
      <c r="HX33" s="929" t="str">
        <f t="shared" si="120"/>
        <v/>
      </c>
      <c r="HY33" s="929" t="str">
        <f t="shared" si="120"/>
        <v/>
      </c>
      <c r="HZ33" s="929" t="str">
        <f t="shared" si="120"/>
        <v/>
      </c>
      <c r="IA33" s="929" t="str">
        <f t="shared" si="17"/>
        <v/>
      </c>
      <c r="IB33" s="929" t="str">
        <f t="shared" si="121"/>
        <v/>
      </c>
      <c r="IC33" s="929" t="str">
        <f t="shared" si="19"/>
        <v/>
      </c>
      <c r="IE33" s="102">
        <f t="shared" si="122"/>
        <v>9.0186220000000006</v>
      </c>
      <c r="IF33" s="102">
        <f t="shared" si="123"/>
        <v>-10.955347</v>
      </c>
      <c r="IG33" s="102">
        <f t="shared" si="124"/>
        <v>10.955347</v>
      </c>
      <c r="IH33" s="102">
        <f t="shared" si="125"/>
        <v>0</v>
      </c>
      <c r="II33" s="102">
        <f t="shared" si="100"/>
        <v>0</v>
      </c>
      <c r="IJ33" s="102">
        <f t="shared" si="101"/>
        <v>0</v>
      </c>
      <c r="IK33" s="102">
        <f t="shared" si="102"/>
        <v>0</v>
      </c>
      <c r="IL33" s="102">
        <f t="shared" si="27"/>
        <v>0</v>
      </c>
      <c r="IM33" s="102">
        <f t="shared" si="126"/>
        <v>0</v>
      </c>
      <c r="IN33" s="102">
        <f t="shared" si="29"/>
        <v>0</v>
      </c>
      <c r="IP33" s="32">
        <f t="shared" si="180"/>
        <v>-2.4536942614145334E-4</v>
      </c>
      <c r="IQ33" s="32">
        <f t="shared" si="181"/>
        <v>0</v>
      </c>
      <c r="IR33" s="32">
        <f t="shared" si="182"/>
        <v>-6.5006158568521643E-4</v>
      </c>
      <c r="IS33" s="32">
        <f t="shared" si="183"/>
        <v>0</v>
      </c>
      <c r="IT33" s="32">
        <f t="shared" si="176"/>
        <v>0</v>
      </c>
      <c r="IU33" s="32">
        <f t="shared" si="177"/>
        <v>0</v>
      </c>
      <c r="IV33" s="32">
        <f t="shared" si="178"/>
        <v>0</v>
      </c>
      <c r="IW33" s="32">
        <f t="shared" si="179"/>
        <v>0</v>
      </c>
      <c r="IX33" s="32" t="e">
        <f t="shared" si="128"/>
        <v>#DIV/0!</v>
      </c>
      <c r="IY33" s="32" t="e">
        <f t="shared" si="129"/>
        <v>#DIV/0!</v>
      </c>
      <c r="JA33" s="102">
        <f t="shared" si="193"/>
        <v>-13.929201000000001</v>
      </c>
      <c r="JB33" s="102">
        <f t="shared" si="193"/>
        <v>-9.0186220000000006</v>
      </c>
      <c r="JC33" s="102">
        <f t="shared" si="193"/>
        <v>0</v>
      </c>
      <c r="JD33" s="102">
        <f t="shared" si="193"/>
        <v>-10.955347</v>
      </c>
      <c r="JE33" s="102">
        <f t="shared" si="193"/>
        <v>0</v>
      </c>
      <c r="JF33" s="102">
        <f t="shared" si="193"/>
        <v>0</v>
      </c>
      <c r="JG33" s="102">
        <f t="shared" si="193"/>
        <v>0</v>
      </c>
      <c r="JH33" s="102">
        <f t="shared" si="193"/>
        <v>0</v>
      </c>
      <c r="JI33" s="102">
        <f t="shared" si="193"/>
        <v>0</v>
      </c>
      <c r="JJ33" s="102">
        <f t="shared" si="193"/>
        <v>0</v>
      </c>
      <c r="JK33" s="102">
        <f t="shared" si="193"/>
        <v>0</v>
      </c>
      <c r="JL33" s="102">
        <f t="shared" si="130"/>
        <v>0</v>
      </c>
      <c r="JM33" s="102"/>
      <c r="JN33" s="102"/>
      <c r="JO33" s="1188"/>
      <c r="JP33" s="102">
        <f t="shared" si="41"/>
        <v>0</v>
      </c>
      <c r="JQ33" s="102">
        <f t="shared" si="42"/>
        <v>0</v>
      </c>
      <c r="JR33" s="145"/>
      <c r="JS33" s="929" t="str">
        <f t="shared" si="131"/>
        <v/>
      </c>
      <c r="JT33" s="930">
        <f t="shared" si="89"/>
        <v>0</v>
      </c>
      <c r="JV33" s="32">
        <f t="shared" si="43"/>
        <v>0</v>
      </c>
      <c r="JW33" s="929" t="str">
        <f t="shared" si="44"/>
        <v/>
      </c>
      <c r="JY33" s="929">
        <f t="shared" si="168"/>
        <v>-1</v>
      </c>
      <c r="JZ33" s="929" t="str">
        <f t="shared" si="169"/>
        <v/>
      </c>
      <c r="KA33" s="929">
        <f t="shared" si="170"/>
        <v>-1</v>
      </c>
      <c r="KB33" s="929" t="str">
        <f t="shared" si="171"/>
        <v/>
      </c>
      <c r="KC33" s="929" t="str">
        <f t="shared" si="172"/>
        <v/>
      </c>
      <c r="KD33" s="929" t="str">
        <f t="shared" si="173"/>
        <v/>
      </c>
      <c r="KE33" s="929" t="str">
        <f t="shared" si="174"/>
        <v/>
      </c>
      <c r="KF33" s="929" t="str">
        <f t="shared" si="175"/>
        <v/>
      </c>
      <c r="KH33" s="102">
        <f t="shared" si="133"/>
        <v>9.0186220000000006</v>
      </c>
      <c r="KI33" s="102">
        <f t="shared" si="134"/>
        <v>-10.955347</v>
      </c>
      <c r="KJ33" s="102">
        <f t="shared" si="135"/>
        <v>10.955347</v>
      </c>
      <c r="KK33" s="102">
        <f t="shared" si="136"/>
        <v>0</v>
      </c>
      <c r="KL33" s="102">
        <f t="shared" si="137"/>
        <v>0</v>
      </c>
      <c r="KM33" s="102">
        <f t="shared" si="138"/>
        <v>0</v>
      </c>
      <c r="KN33" s="102">
        <f t="shared" si="139"/>
        <v>0</v>
      </c>
      <c r="KO33" s="102">
        <f t="shared" si="140"/>
        <v>0</v>
      </c>
      <c r="KQ33" s="32">
        <f t="shared" si="141"/>
        <v>-3.8392161360060832E-4</v>
      </c>
      <c r="KR33" s="32">
        <f t="shared" si="142"/>
        <v>-2.4536942614145334E-4</v>
      </c>
      <c r="KS33" s="32">
        <f t="shared" si="143"/>
        <v>0</v>
      </c>
      <c r="KT33" s="32">
        <f t="shared" si="144"/>
        <v>-6.5006158568521643E-4</v>
      </c>
      <c r="KU33" s="32">
        <f t="shared" si="145"/>
        <v>0</v>
      </c>
      <c r="KV33" s="32">
        <f t="shared" si="146"/>
        <v>0</v>
      </c>
      <c r="KW33" s="32">
        <f t="shared" si="147"/>
        <v>0</v>
      </c>
      <c r="KX33" s="32">
        <f t="shared" si="148"/>
        <v>0</v>
      </c>
      <c r="KY33" s="32">
        <f t="shared" si="149"/>
        <v>0</v>
      </c>
      <c r="KZ33" s="32" t="e">
        <f t="shared" si="150"/>
        <v>#DIV/0!</v>
      </c>
      <c r="LB33" s="102">
        <f t="shared" si="151"/>
        <v>-2.2167000000000012</v>
      </c>
      <c r="LC33" s="102">
        <f t="shared" si="151"/>
        <v>0</v>
      </c>
      <c r="LD33" s="102">
        <f t="shared" si="151"/>
        <v>9.9883399999999991</v>
      </c>
      <c r="LE33" s="102">
        <f t="shared" si="151"/>
        <v>0</v>
      </c>
      <c r="LF33" s="102">
        <f t="shared" si="151"/>
        <v>0</v>
      </c>
      <c r="LG33" s="102">
        <f t="shared" si="151"/>
        <v>0</v>
      </c>
      <c r="LH33" s="102">
        <f t="shared" si="151"/>
        <v>0</v>
      </c>
      <c r="LI33" s="102">
        <f t="shared" si="151"/>
        <v>0</v>
      </c>
      <c r="LJ33" s="102">
        <f t="shared" si="151"/>
        <v>0</v>
      </c>
      <c r="LK33" s="102">
        <f t="shared" si="151"/>
        <v>0</v>
      </c>
      <c r="LL33" s="102">
        <f t="shared" si="151"/>
        <v>0</v>
      </c>
      <c r="LM33" s="102">
        <f t="shared" si="151"/>
        <v>0</v>
      </c>
      <c r="LN33" s="102"/>
      <c r="LO33" s="102"/>
      <c r="LR33" s="32" t="str">
        <f t="shared" si="152"/>
        <v xml:space="preserve"> </v>
      </c>
      <c r="LS33" s="32">
        <f t="shared" si="153"/>
        <v>-1</v>
      </c>
      <c r="LT33" s="32" t="str">
        <f t="shared" si="154"/>
        <v xml:space="preserve"> </v>
      </c>
      <c r="LU33" s="32" t="str">
        <f t="shared" si="155"/>
        <v xml:space="preserve"> </v>
      </c>
      <c r="LV33" s="32" t="str">
        <f t="shared" si="156"/>
        <v xml:space="preserve"> </v>
      </c>
      <c r="LW33" s="32" t="str">
        <f t="shared" si="157"/>
        <v xml:space="preserve"> </v>
      </c>
      <c r="LX33" s="32" t="str">
        <f t="shared" si="158"/>
        <v xml:space="preserve"> </v>
      </c>
      <c r="LZ33" s="102">
        <f t="shared" si="159"/>
        <v>9.9883399999999991</v>
      </c>
      <c r="MA33" s="102">
        <f t="shared" si="160"/>
        <v>-9.9883399999999991</v>
      </c>
      <c r="MB33" s="102">
        <f t="shared" si="161"/>
        <v>0</v>
      </c>
      <c r="MC33" s="102">
        <f t="shared" si="162"/>
        <v>0</v>
      </c>
      <c r="MD33" s="102">
        <f t="shared" si="163"/>
        <v>0</v>
      </c>
      <c r="ME33" s="102">
        <f t="shared" si="164"/>
        <v>0</v>
      </c>
      <c r="MF33" s="102">
        <f t="shared" si="165"/>
        <v>0</v>
      </c>
      <c r="MH33" s="32">
        <f t="shared" si="184"/>
        <v>-7.390615478300224E-4</v>
      </c>
      <c r="MI33" s="32">
        <f t="shared" si="185"/>
        <v>0</v>
      </c>
      <c r="MJ33" s="32">
        <f t="shared" si="186"/>
        <v>1.9485081046378993E-3</v>
      </c>
      <c r="MK33" s="32">
        <f t="shared" si="187"/>
        <v>0</v>
      </c>
      <c r="ML33" s="32">
        <f t="shared" si="188"/>
        <v>0</v>
      </c>
      <c r="MM33" s="32">
        <f t="shared" si="189"/>
        <v>0</v>
      </c>
      <c r="MN33" s="32">
        <f t="shared" si="190"/>
        <v>0</v>
      </c>
      <c r="MO33" s="32">
        <f t="shared" si="191"/>
        <v>0</v>
      </c>
      <c r="MP33" s="32" t="e">
        <f t="shared" si="192"/>
        <v>#DIV/0!</v>
      </c>
    </row>
    <row r="34" spans="1:354" outlineLevel="2">
      <c r="A34" s="884">
        <v>7450</v>
      </c>
      <c r="B34" s="70" t="s">
        <v>640</v>
      </c>
      <c r="C34" s="29" t="s">
        <v>87</v>
      </c>
      <c r="D34" s="31" t="s">
        <v>59</v>
      </c>
      <c r="E34" s="102">
        <v>-0.51725500000000002</v>
      </c>
      <c r="F34" s="102">
        <v>-0.12362099999999998</v>
      </c>
      <c r="G34" s="102">
        <v>0</v>
      </c>
      <c r="H34" s="102">
        <v>0</v>
      </c>
      <c r="I34" s="102">
        <v>0</v>
      </c>
      <c r="J34" s="102">
        <v>0</v>
      </c>
      <c r="K34" s="102">
        <v>0</v>
      </c>
      <c r="L34" s="102">
        <v>0</v>
      </c>
      <c r="M34" s="102">
        <v>0</v>
      </c>
      <c r="N34" s="102">
        <v>0</v>
      </c>
      <c r="O34" s="102">
        <v>0</v>
      </c>
      <c r="P34" s="102">
        <v>-0.48717199999999994</v>
      </c>
      <c r="Q34" s="102">
        <v>0</v>
      </c>
      <c r="R34" s="102">
        <v>0</v>
      </c>
      <c r="S34" s="102">
        <v>0</v>
      </c>
      <c r="T34" s="102">
        <v>0</v>
      </c>
      <c r="U34" s="102">
        <v>-0.15</v>
      </c>
      <c r="V34" s="102">
        <v>0</v>
      </c>
      <c r="W34" s="102">
        <v>-0.35344828000000006</v>
      </c>
      <c r="X34" s="102">
        <v>-0.56167499999999981</v>
      </c>
      <c r="Y34" s="102">
        <v>-0.35683965999999989</v>
      </c>
      <c r="Z34" s="102">
        <v>-0.20188378000000018</v>
      </c>
      <c r="AA34" s="102">
        <v>-4.0000000000000036E-2</v>
      </c>
      <c r="AB34" s="102">
        <v>-0.14949999999999997</v>
      </c>
      <c r="AC34" s="102">
        <v>0</v>
      </c>
      <c r="AD34" s="102">
        <v>0</v>
      </c>
      <c r="AE34" s="102">
        <v>-0.254</v>
      </c>
      <c r="AF34" s="102">
        <v>-0.25850000000000001</v>
      </c>
      <c r="AG34" s="102">
        <v>-9.38035161</v>
      </c>
      <c r="AH34" s="102">
        <v>0</v>
      </c>
      <c r="AI34" s="102">
        <v>-0.24133621</v>
      </c>
      <c r="AJ34" s="102">
        <v>0</v>
      </c>
      <c r="AK34" s="102">
        <v>-0.15603448</v>
      </c>
      <c r="AL34" s="102">
        <v>0</v>
      </c>
      <c r="AM34" s="102">
        <v>0</v>
      </c>
      <c r="AN34" s="102">
        <v>0</v>
      </c>
      <c r="AO34" s="102">
        <v>0</v>
      </c>
      <c r="AP34" s="145">
        <v>0</v>
      </c>
      <c r="AQ34" s="143">
        <v>0</v>
      </c>
      <c r="AR34" s="143">
        <v>0</v>
      </c>
      <c r="AS34" s="102">
        <v>0</v>
      </c>
      <c r="AT34" s="102">
        <v>0</v>
      </c>
      <c r="AU34" s="102">
        <v>0</v>
      </c>
      <c r="AV34" s="102">
        <v>0</v>
      </c>
      <c r="AW34" s="102">
        <v>0</v>
      </c>
      <c r="AX34" s="102">
        <v>0</v>
      </c>
      <c r="AY34" s="102">
        <v>0</v>
      </c>
      <c r="AZ34" s="102">
        <v>0</v>
      </c>
      <c r="BA34" s="102">
        <v>0</v>
      </c>
      <c r="BB34" s="102">
        <v>-1.9450000000000001</v>
      </c>
      <c r="BC34" s="102">
        <v>0</v>
      </c>
      <c r="BD34" s="102">
        <v>0</v>
      </c>
      <c r="BE34" s="102">
        <v>0</v>
      </c>
      <c r="BF34" s="102">
        <v>0</v>
      </c>
      <c r="BG34" s="102">
        <v>-7.7360200000000006E-3</v>
      </c>
      <c r="BH34" s="102">
        <v>0</v>
      </c>
      <c r="BI34" s="102">
        <v>0</v>
      </c>
      <c r="BJ34" s="102">
        <v>0</v>
      </c>
      <c r="BK34" s="102">
        <v>0</v>
      </c>
      <c r="BL34" s="102">
        <v>0</v>
      </c>
      <c r="BM34" s="102">
        <v>0</v>
      </c>
      <c r="BN34" s="102">
        <v>0</v>
      </c>
      <c r="BO34" s="102">
        <v>0</v>
      </c>
      <c r="BP34" s="102">
        <v>0</v>
      </c>
      <c r="BQ34" s="102">
        <v>0</v>
      </c>
      <c r="BR34" s="102">
        <v>0</v>
      </c>
      <c r="BS34" s="102">
        <v>0</v>
      </c>
      <c r="BT34" s="102">
        <v>0</v>
      </c>
      <c r="BU34" s="102">
        <v>0</v>
      </c>
      <c r="BV34" s="102">
        <v>0</v>
      </c>
      <c r="BW34" s="102">
        <v>0</v>
      </c>
      <c r="BX34" s="102">
        <v>0</v>
      </c>
      <c r="BY34" s="102">
        <v>0</v>
      </c>
      <c r="BZ34" s="102">
        <v>0</v>
      </c>
      <c r="CA34" s="102">
        <v>0</v>
      </c>
      <c r="CB34" s="102">
        <v>0</v>
      </c>
      <c r="CC34" s="102">
        <v>0</v>
      </c>
      <c r="CD34" s="102">
        <v>0</v>
      </c>
      <c r="CE34" s="102">
        <v>0</v>
      </c>
      <c r="CF34" s="102">
        <v>0</v>
      </c>
      <c r="CG34" s="102">
        <v>0</v>
      </c>
      <c r="CH34" s="102">
        <v>0</v>
      </c>
      <c r="CI34" s="102">
        <v>0</v>
      </c>
      <c r="CJ34" s="102">
        <v>0</v>
      </c>
      <c r="CK34" s="102">
        <v>0</v>
      </c>
      <c r="CL34" s="102">
        <v>0</v>
      </c>
      <c r="CM34" s="102">
        <v>0</v>
      </c>
      <c r="CN34" s="102">
        <v>0</v>
      </c>
      <c r="CO34" s="102">
        <v>0</v>
      </c>
      <c r="CP34" s="102">
        <v>0</v>
      </c>
      <c r="CQ34" s="102">
        <v>0</v>
      </c>
      <c r="CR34" s="102">
        <v>0</v>
      </c>
      <c r="CS34" s="102">
        <v>0</v>
      </c>
      <c r="CT34" s="102">
        <v>0</v>
      </c>
      <c r="CU34" s="102">
        <v>0</v>
      </c>
      <c r="CV34" s="102">
        <v>0</v>
      </c>
      <c r="CW34" s="102">
        <v>0</v>
      </c>
      <c r="CX34" s="102">
        <v>0</v>
      </c>
      <c r="CY34" s="102">
        <v>0</v>
      </c>
      <c r="CZ34" s="102">
        <v>0</v>
      </c>
      <c r="DA34" s="102">
        <v>0</v>
      </c>
      <c r="DB34" s="102">
        <v>0</v>
      </c>
      <c r="DC34" s="102">
        <v>0</v>
      </c>
      <c r="DD34" s="102">
        <v>0</v>
      </c>
      <c r="DE34" s="102">
        <v>0</v>
      </c>
      <c r="DF34" s="102">
        <v>0</v>
      </c>
      <c r="DG34" s="102">
        <v>0</v>
      </c>
      <c r="DH34" s="102">
        <v>0</v>
      </c>
      <c r="DI34" s="102">
        <v>0</v>
      </c>
      <c r="DJ34" s="102">
        <v>0</v>
      </c>
      <c r="DK34" s="102">
        <v>0</v>
      </c>
      <c r="DL34" s="102">
        <v>0</v>
      </c>
      <c r="DM34" s="102">
        <v>0</v>
      </c>
      <c r="DN34" s="102">
        <v>0</v>
      </c>
      <c r="DO34" s="102">
        <v>0</v>
      </c>
      <c r="DP34" s="102">
        <v>0</v>
      </c>
      <c r="DQ34" s="940">
        <v>0</v>
      </c>
      <c r="DR34" s="940">
        <v>0</v>
      </c>
      <c r="DS34" s="940">
        <v>0</v>
      </c>
      <c r="DT34" s="940">
        <v>0</v>
      </c>
      <c r="DU34" s="940">
        <v>0</v>
      </c>
      <c r="DV34" s="940">
        <v>0</v>
      </c>
      <c r="DW34" s="940">
        <v>0</v>
      </c>
      <c r="DX34" s="940">
        <v>0</v>
      </c>
      <c r="DY34" s="940">
        <v>0</v>
      </c>
      <c r="DZ34" s="940">
        <v>0</v>
      </c>
      <c r="EA34" s="940">
        <v>0</v>
      </c>
      <c r="EB34" s="940">
        <v>0</v>
      </c>
      <c r="EC34" s="940">
        <v>0</v>
      </c>
      <c r="ED34" s="940">
        <v>0</v>
      </c>
      <c r="EE34" s="940">
        <v>0</v>
      </c>
      <c r="EF34" s="940">
        <v>0</v>
      </c>
      <c r="EH34" s="102">
        <v>0</v>
      </c>
      <c r="EI34" s="102">
        <v>0</v>
      </c>
      <c r="EJ34" s="102">
        <v>0</v>
      </c>
      <c r="EK34" s="102">
        <v>0</v>
      </c>
      <c r="EL34" s="102">
        <v>0</v>
      </c>
      <c r="EM34" s="102">
        <v>0</v>
      </c>
      <c r="EN34" s="102">
        <v>0</v>
      </c>
      <c r="EO34" s="102">
        <v>0</v>
      </c>
      <c r="EP34" s="102">
        <v>0</v>
      </c>
      <c r="EQ34" s="102">
        <v>0</v>
      </c>
      <c r="ER34" s="102">
        <v>0</v>
      </c>
      <c r="ES34" s="102">
        <v>0</v>
      </c>
      <c r="EU34" s="102"/>
      <c r="EV34" s="102"/>
      <c r="EW34" s="102"/>
      <c r="EX34" s="102"/>
      <c r="EY34" s="102"/>
      <c r="EZ34" s="102"/>
      <c r="FA34" s="102"/>
      <c r="FB34" s="102"/>
      <c r="FC34" s="102"/>
      <c r="FD34" s="102"/>
      <c r="FE34" s="102"/>
      <c r="FF34" s="102"/>
      <c r="FG34" s="102">
        <v>0</v>
      </c>
      <c r="FH34" s="102">
        <v>0</v>
      </c>
      <c r="FI34" s="102">
        <v>0</v>
      </c>
      <c r="FJ34" s="102">
        <v>0</v>
      </c>
      <c r="FK34" s="102">
        <v>0</v>
      </c>
      <c r="FL34" s="102">
        <v>0</v>
      </c>
      <c r="FM34" s="102">
        <v>0</v>
      </c>
      <c r="FN34" s="102">
        <v>0</v>
      </c>
      <c r="FO34" s="102">
        <v>0</v>
      </c>
      <c r="FP34" s="102">
        <v>0</v>
      </c>
      <c r="FQ34" s="102">
        <v>0</v>
      </c>
      <c r="FR34" s="102">
        <v>0</v>
      </c>
      <c r="FS34" s="102">
        <v>-32.043999999999997</v>
      </c>
      <c r="FT34" s="102">
        <v>-15.084</v>
      </c>
      <c r="FU34" s="102">
        <v>-15.084</v>
      </c>
      <c r="FV34" s="102">
        <v>-15.084</v>
      </c>
      <c r="FW34" s="102">
        <v>-15.084</v>
      </c>
      <c r="FX34" s="102">
        <v>-6.12</v>
      </c>
      <c r="FY34" s="102">
        <v>-16.96</v>
      </c>
      <c r="FZ34" s="102">
        <v>0</v>
      </c>
      <c r="GA34" s="102">
        <v>0</v>
      </c>
      <c r="GB34" s="102">
        <v>0</v>
      </c>
      <c r="GC34" s="102">
        <v>0</v>
      </c>
      <c r="GD34" s="102">
        <v>0</v>
      </c>
      <c r="GE34" s="102">
        <v>0</v>
      </c>
      <c r="GF34" s="102">
        <v>0</v>
      </c>
      <c r="GG34" s="102">
        <v>0</v>
      </c>
      <c r="GH34" s="102">
        <v>0</v>
      </c>
      <c r="GI34" s="102">
        <v>0</v>
      </c>
      <c r="GJ34" s="102">
        <v>0</v>
      </c>
      <c r="GK34" s="102">
        <v>0</v>
      </c>
      <c r="GL34" s="102">
        <v>0</v>
      </c>
      <c r="GM34" s="102">
        <v>0</v>
      </c>
      <c r="GN34" s="102">
        <v>0</v>
      </c>
      <c r="GO34" s="102">
        <v>0</v>
      </c>
      <c r="GP34" s="102">
        <v>0</v>
      </c>
      <c r="GQ34" s="102">
        <v>0</v>
      </c>
      <c r="GR34" s="102">
        <v>0</v>
      </c>
      <c r="GS34" s="102">
        <v>0</v>
      </c>
      <c r="GT34" s="102">
        <v>0</v>
      </c>
      <c r="GU34" s="102">
        <v>0</v>
      </c>
      <c r="GV34" s="102">
        <v>0</v>
      </c>
      <c r="GW34" s="102">
        <v>0</v>
      </c>
      <c r="GX34" s="102">
        <v>0</v>
      </c>
      <c r="GY34" s="102">
        <v>0</v>
      </c>
      <c r="GZ34" s="102">
        <v>0</v>
      </c>
      <c r="HA34" s="102">
        <v>0</v>
      </c>
      <c r="HB34" s="102">
        <v>0</v>
      </c>
      <c r="HD34" s="102">
        <f t="shared" si="109"/>
        <v>-1.1280479999999999</v>
      </c>
      <c r="HE34" s="102">
        <f t="shared" si="109"/>
        <v>-1.81334672</v>
      </c>
      <c r="HF34" s="102">
        <f t="shared" si="109"/>
        <v>-10.2902223</v>
      </c>
      <c r="HG34" s="102">
        <f t="shared" si="109"/>
        <v>0</v>
      </c>
      <c r="HH34" s="102">
        <f t="shared" si="110"/>
        <v>-1.9527360200000001</v>
      </c>
      <c r="HI34" s="102">
        <f t="shared" si="111"/>
        <v>0</v>
      </c>
      <c r="HJ34" s="102">
        <f t="shared" si="112"/>
        <v>0</v>
      </c>
      <c r="HK34" s="102">
        <f t="shared" si="113"/>
        <v>0</v>
      </c>
      <c r="HL34" s="940">
        <f>+SUMIF($E$6:SEW$6,HL$7,$E34:SEW34)</f>
        <v>0</v>
      </c>
      <c r="HM34" s="940">
        <f>+SUMIF($E$6:SEX$6,HM$7,$E34:SEX34)</f>
        <v>0</v>
      </c>
      <c r="HN34" s="940">
        <f>+SUMIF($E$6:SEY$6,HN$7,$E34:SEY34)</f>
        <v>0</v>
      </c>
      <c r="HO34" s="102"/>
      <c r="HP34" s="102"/>
      <c r="HR34" s="929">
        <f t="shared" si="114"/>
        <v>4.6747130521183502</v>
      </c>
      <c r="HS34" s="929">
        <f t="shared" si="115"/>
        <v>-1</v>
      </c>
      <c r="HT34" s="929" t="str">
        <f t="shared" si="116"/>
        <v/>
      </c>
      <c r="HU34" s="929">
        <f t="shared" si="117"/>
        <v>-1</v>
      </c>
      <c r="HV34" s="929" t="str">
        <f t="shared" si="118"/>
        <v/>
      </c>
      <c r="HW34" s="929" t="str">
        <f t="shared" si="119"/>
        <v/>
      </c>
      <c r="HX34" s="929" t="str">
        <f t="shared" si="120"/>
        <v/>
      </c>
      <c r="HY34" s="929" t="str">
        <f t="shared" si="120"/>
        <v/>
      </c>
      <c r="HZ34" s="929" t="str">
        <f t="shared" si="120"/>
        <v/>
      </c>
      <c r="IA34" s="929" t="str">
        <f t="shared" si="17"/>
        <v/>
      </c>
      <c r="IB34" s="929" t="str">
        <f t="shared" si="121"/>
        <v/>
      </c>
      <c r="IC34" s="929" t="str">
        <f t="shared" si="19"/>
        <v/>
      </c>
      <c r="IE34" s="102">
        <f t="shared" si="122"/>
        <v>-8.4768755799999997</v>
      </c>
      <c r="IF34" s="102">
        <f t="shared" si="123"/>
        <v>10.2902223</v>
      </c>
      <c r="IG34" s="102">
        <f t="shared" si="124"/>
        <v>-1.9527360200000001</v>
      </c>
      <c r="IH34" s="102">
        <f t="shared" si="125"/>
        <v>1.9527360200000001</v>
      </c>
      <c r="II34" s="102">
        <f t="shared" si="100"/>
        <v>0</v>
      </c>
      <c r="IJ34" s="102">
        <f t="shared" si="101"/>
        <v>0</v>
      </c>
      <c r="IK34" s="102">
        <f t="shared" si="102"/>
        <v>0</v>
      </c>
      <c r="IL34" s="102">
        <f t="shared" si="27"/>
        <v>0</v>
      </c>
      <c r="IM34" s="102">
        <f t="shared" si="126"/>
        <v>0</v>
      </c>
      <c r="IN34" s="102">
        <f t="shared" si="29"/>
        <v>0</v>
      </c>
      <c r="IP34" s="32">
        <f t="shared" si="180"/>
        <v>-4.9335679451016644E-5</v>
      </c>
      <c r="IQ34" s="32">
        <f t="shared" si="181"/>
        <v>-2.6128601584047873E-4</v>
      </c>
      <c r="IR34" s="32">
        <f t="shared" si="182"/>
        <v>0</v>
      </c>
      <c r="IS34" s="32">
        <f t="shared" si="183"/>
        <v>-3.1741344500520207E-4</v>
      </c>
      <c r="IT34" s="32">
        <f t="shared" si="176"/>
        <v>0</v>
      </c>
      <c r="IU34" s="32">
        <f t="shared" si="177"/>
        <v>0</v>
      </c>
      <c r="IV34" s="32">
        <f t="shared" si="178"/>
        <v>0</v>
      </c>
      <c r="IW34" s="32">
        <f t="shared" si="179"/>
        <v>0</v>
      </c>
      <c r="IX34" s="32" t="e">
        <f t="shared" si="128"/>
        <v>#DIV/0!</v>
      </c>
      <c r="IY34" s="32" t="e">
        <f t="shared" si="129"/>
        <v>#DIV/0!</v>
      </c>
      <c r="JA34" s="102">
        <f t="shared" si="193"/>
        <v>-1.1280479999999999</v>
      </c>
      <c r="JB34" s="102">
        <f t="shared" si="193"/>
        <v>-1.81334672</v>
      </c>
      <c r="JC34" s="102">
        <f t="shared" si="193"/>
        <v>-10.2902223</v>
      </c>
      <c r="JD34" s="102">
        <f t="shared" si="193"/>
        <v>0</v>
      </c>
      <c r="JE34" s="102">
        <f t="shared" si="193"/>
        <v>-1.9527360200000001</v>
      </c>
      <c r="JF34" s="102">
        <f t="shared" si="193"/>
        <v>0</v>
      </c>
      <c r="JG34" s="102">
        <f t="shared" si="193"/>
        <v>0</v>
      </c>
      <c r="JH34" s="102">
        <f t="shared" si="193"/>
        <v>0</v>
      </c>
      <c r="JI34" s="102">
        <f t="shared" si="193"/>
        <v>0</v>
      </c>
      <c r="JJ34" s="102">
        <f t="shared" si="193"/>
        <v>0</v>
      </c>
      <c r="JK34" s="102">
        <f t="shared" si="193"/>
        <v>0</v>
      </c>
      <c r="JL34" s="102">
        <f t="shared" si="130"/>
        <v>0</v>
      </c>
      <c r="JM34" s="102"/>
      <c r="JN34" s="102"/>
      <c r="JO34" s="1188"/>
      <c r="JP34" s="102">
        <f t="shared" si="41"/>
        <v>0</v>
      </c>
      <c r="JQ34" s="102">
        <f t="shared" si="42"/>
        <v>0</v>
      </c>
      <c r="JR34" s="145"/>
      <c r="JS34" s="929" t="str">
        <f t="shared" si="131"/>
        <v/>
      </c>
      <c r="JT34" s="930">
        <f t="shared" si="89"/>
        <v>0</v>
      </c>
      <c r="JV34" s="32">
        <f t="shared" si="43"/>
        <v>0</v>
      </c>
      <c r="JW34" s="929" t="str">
        <f t="shared" si="44"/>
        <v/>
      </c>
      <c r="JY34" s="929">
        <f t="shared" si="168"/>
        <v>4.6747130521183502</v>
      </c>
      <c r="JZ34" s="929">
        <f t="shared" si="169"/>
        <v>-1</v>
      </c>
      <c r="KA34" s="929" t="str">
        <f t="shared" si="170"/>
        <v/>
      </c>
      <c r="KB34" s="929">
        <f t="shared" si="171"/>
        <v>-1</v>
      </c>
      <c r="KC34" s="929" t="str">
        <f t="shared" si="172"/>
        <v/>
      </c>
      <c r="KD34" s="929" t="str">
        <f t="shared" si="173"/>
        <v/>
      </c>
      <c r="KE34" s="929" t="str">
        <f t="shared" si="174"/>
        <v/>
      </c>
      <c r="KF34" s="929" t="str">
        <f t="shared" si="175"/>
        <v/>
      </c>
      <c r="KH34" s="102">
        <f t="shared" si="133"/>
        <v>-8.4768755799999997</v>
      </c>
      <c r="KI34" s="102">
        <f t="shared" si="134"/>
        <v>10.2902223</v>
      </c>
      <c r="KJ34" s="102">
        <f t="shared" si="135"/>
        <v>-1.9527360200000001</v>
      </c>
      <c r="KK34" s="102">
        <f t="shared" si="136"/>
        <v>1.9527360200000001</v>
      </c>
      <c r="KL34" s="102">
        <f t="shared" si="137"/>
        <v>0</v>
      </c>
      <c r="KM34" s="102">
        <f t="shared" si="138"/>
        <v>0</v>
      </c>
      <c r="KN34" s="102">
        <f t="shared" si="139"/>
        <v>0</v>
      </c>
      <c r="KO34" s="102">
        <f t="shared" si="140"/>
        <v>0</v>
      </c>
      <c r="KQ34" s="32">
        <f t="shared" si="141"/>
        <v>-3.1091661925112504E-5</v>
      </c>
      <c r="KR34" s="32">
        <f t="shared" si="142"/>
        <v>-4.9335679451016644E-5</v>
      </c>
      <c r="KS34" s="32">
        <f t="shared" si="143"/>
        <v>-2.6128601584047873E-4</v>
      </c>
      <c r="KT34" s="32">
        <f t="shared" si="144"/>
        <v>0</v>
      </c>
      <c r="KU34" s="32">
        <f t="shared" si="145"/>
        <v>-3.1741344500520207E-4</v>
      </c>
      <c r="KV34" s="32">
        <f t="shared" si="146"/>
        <v>0</v>
      </c>
      <c r="KW34" s="32">
        <f t="shared" si="147"/>
        <v>0</v>
      </c>
      <c r="KX34" s="32">
        <f t="shared" si="148"/>
        <v>0</v>
      </c>
      <c r="KY34" s="32">
        <f t="shared" si="149"/>
        <v>0</v>
      </c>
      <c r="KZ34" s="32" t="e">
        <f t="shared" si="150"/>
        <v>#DIV/0!</v>
      </c>
      <c r="LB34" s="102">
        <f t="shared" si="151"/>
        <v>-0.48717199999999994</v>
      </c>
      <c r="LC34" s="102">
        <f t="shared" si="151"/>
        <v>-0.14949999999999997</v>
      </c>
      <c r="LD34" s="102">
        <f t="shared" si="151"/>
        <v>0</v>
      </c>
      <c r="LE34" s="102">
        <f t="shared" si="151"/>
        <v>0</v>
      </c>
      <c r="LF34" s="102">
        <f t="shared" si="151"/>
        <v>0</v>
      </c>
      <c r="LG34" s="102">
        <f t="shared" si="151"/>
        <v>0</v>
      </c>
      <c r="LH34" s="102">
        <f t="shared" si="151"/>
        <v>0</v>
      </c>
      <c r="LI34" s="102">
        <f t="shared" si="151"/>
        <v>0</v>
      </c>
      <c r="LJ34" s="102">
        <f t="shared" si="151"/>
        <v>0</v>
      </c>
      <c r="LK34" s="102">
        <f t="shared" si="151"/>
        <v>0</v>
      </c>
      <c r="LL34" s="102">
        <f t="shared" si="151"/>
        <v>0</v>
      </c>
      <c r="LM34" s="102">
        <f t="shared" si="151"/>
        <v>0</v>
      </c>
      <c r="LN34" s="102"/>
      <c r="LO34" s="102"/>
      <c r="LR34" s="32">
        <f t="shared" si="152"/>
        <v>-1</v>
      </c>
      <c r="LS34" s="32" t="str">
        <f t="shared" si="153"/>
        <v xml:space="preserve"> </v>
      </c>
      <c r="LT34" s="32" t="str">
        <f t="shared" si="154"/>
        <v xml:space="preserve"> </v>
      </c>
      <c r="LU34" s="32" t="str">
        <f t="shared" si="155"/>
        <v xml:space="preserve"> </v>
      </c>
      <c r="LV34" s="32" t="str">
        <f t="shared" si="156"/>
        <v xml:space="preserve"> </v>
      </c>
      <c r="LW34" s="32" t="str">
        <f t="shared" si="157"/>
        <v xml:space="preserve"> </v>
      </c>
      <c r="LX34" s="32" t="str">
        <f t="shared" si="158"/>
        <v xml:space="preserve"> </v>
      </c>
      <c r="LZ34" s="102">
        <f t="shared" si="159"/>
        <v>0.14949999999999997</v>
      </c>
      <c r="MA34" s="102">
        <f t="shared" si="160"/>
        <v>0</v>
      </c>
      <c r="MB34" s="102">
        <f t="shared" si="161"/>
        <v>0</v>
      </c>
      <c r="MC34" s="102">
        <f t="shared" si="162"/>
        <v>0</v>
      </c>
      <c r="MD34" s="102">
        <f t="shared" si="163"/>
        <v>0</v>
      </c>
      <c r="ME34" s="102">
        <f t="shared" si="164"/>
        <v>0</v>
      </c>
      <c r="MF34" s="102">
        <f t="shared" si="165"/>
        <v>0</v>
      </c>
      <c r="MH34" s="32">
        <f t="shared" si="184"/>
        <v>-1.6242617060470402E-4</v>
      </c>
      <c r="MI34" s="32">
        <f t="shared" si="185"/>
        <v>-2.7114456005017266E-5</v>
      </c>
      <c r="MJ34" s="32">
        <f t="shared" si="186"/>
        <v>0</v>
      </c>
      <c r="MK34" s="32">
        <f t="shared" si="187"/>
        <v>0</v>
      </c>
      <c r="ML34" s="32">
        <f t="shared" si="188"/>
        <v>0</v>
      </c>
      <c r="MM34" s="32">
        <f t="shared" si="189"/>
        <v>0</v>
      </c>
      <c r="MN34" s="32">
        <f t="shared" si="190"/>
        <v>0</v>
      </c>
      <c r="MO34" s="32">
        <f t="shared" si="191"/>
        <v>0</v>
      </c>
      <c r="MP34" s="32" t="e">
        <f t="shared" si="192"/>
        <v>#DIV/0!</v>
      </c>
    </row>
    <row r="35" spans="1:354" outlineLevel="2">
      <c r="A35" s="884">
        <v>7499</v>
      </c>
      <c r="B35" s="70" t="s">
        <v>641</v>
      </c>
      <c r="C35" s="29" t="s">
        <v>93</v>
      </c>
      <c r="D35" s="31" t="s">
        <v>59</v>
      </c>
      <c r="E35" s="102">
        <v>0</v>
      </c>
      <c r="F35" s="102">
        <v>0</v>
      </c>
      <c r="G35" s="102">
        <v>0</v>
      </c>
      <c r="H35" s="102">
        <v>0</v>
      </c>
      <c r="I35" s="102">
        <v>0</v>
      </c>
      <c r="J35" s="102">
        <v>0</v>
      </c>
      <c r="K35" s="102">
        <v>0</v>
      </c>
      <c r="L35" s="102">
        <v>0</v>
      </c>
      <c r="M35" s="102">
        <v>0</v>
      </c>
      <c r="N35" s="102">
        <v>0</v>
      </c>
      <c r="O35" s="102">
        <v>0</v>
      </c>
      <c r="P35" s="102">
        <v>0</v>
      </c>
      <c r="Q35" s="102">
        <v>0</v>
      </c>
      <c r="R35" s="102">
        <v>0</v>
      </c>
      <c r="S35" s="102">
        <v>0</v>
      </c>
      <c r="T35" s="102">
        <v>0</v>
      </c>
      <c r="U35" s="102">
        <v>0</v>
      </c>
      <c r="V35" s="102">
        <v>0</v>
      </c>
      <c r="W35" s="102">
        <v>0</v>
      </c>
      <c r="X35" s="102">
        <v>0</v>
      </c>
      <c r="Y35" s="102">
        <v>0</v>
      </c>
      <c r="Z35" s="102">
        <v>0</v>
      </c>
      <c r="AA35" s="102">
        <v>0</v>
      </c>
      <c r="AB35" s="102">
        <v>-325.12170500000002</v>
      </c>
      <c r="AC35" s="102">
        <v>0</v>
      </c>
      <c r="AD35" s="102">
        <v>0</v>
      </c>
      <c r="AE35" s="102">
        <v>0</v>
      </c>
      <c r="AF35" s="102">
        <v>0</v>
      </c>
      <c r="AG35" s="102">
        <v>0</v>
      </c>
      <c r="AH35" s="102">
        <v>0</v>
      </c>
      <c r="AI35" s="102">
        <v>0</v>
      </c>
      <c r="AJ35" s="102">
        <v>0</v>
      </c>
      <c r="AK35" s="102">
        <v>0</v>
      </c>
      <c r="AL35" s="102">
        <v>0</v>
      </c>
      <c r="AM35" s="102">
        <v>0</v>
      </c>
      <c r="AN35" s="102">
        <v>-394.40524900000003</v>
      </c>
      <c r="AO35" s="102">
        <v>0</v>
      </c>
      <c r="AP35" s="145">
        <v>0</v>
      </c>
      <c r="AQ35" s="143">
        <v>0</v>
      </c>
      <c r="AR35" s="143">
        <v>0</v>
      </c>
      <c r="AS35" s="102">
        <v>0</v>
      </c>
      <c r="AT35" s="102">
        <v>0</v>
      </c>
      <c r="AU35" s="102">
        <v>0</v>
      </c>
      <c r="AV35" s="102">
        <v>0</v>
      </c>
      <c r="AW35" s="102">
        <v>0</v>
      </c>
      <c r="AX35" s="102">
        <v>0</v>
      </c>
      <c r="AY35" s="102">
        <v>0</v>
      </c>
      <c r="AZ35" s="102">
        <v>0</v>
      </c>
      <c r="BA35" s="102">
        <v>0</v>
      </c>
      <c r="BB35" s="102">
        <v>0</v>
      </c>
      <c r="BC35" s="102">
        <v>-34.578943520000003</v>
      </c>
      <c r="BD35" s="102">
        <v>21.15534152</v>
      </c>
      <c r="BE35" s="102">
        <v>-58.689087000000001</v>
      </c>
      <c r="BF35" s="102">
        <v>37.743915000000001</v>
      </c>
      <c r="BG35" s="102">
        <v>-32.876637000000002</v>
      </c>
      <c r="BH35" s="102">
        <v>-18.692212000000001</v>
      </c>
      <c r="BI35" s="102">
        <v>49.244430840000007</v>
      </c>
      <c r="BJ35" s="102">
        <v>-84.090258840000004</v>
      </c>
      <c r="BK35" s="102">
        <v>35.25714</v>
      </c>
      <c r="BL35" s="102">
        <v>-16.053332560000001</v>
      </c>
      <c r="BM35" s="102">
        <v>0</v>
      </c>
      <c r="BN35" s="102">
        <v>0</v>
      </c>
      <c r="BO35" s="102">
        <v>0</v>
      </c>
      <c r="BP35" s="102">
        <v>0</v>
      </c>
      <c r="BQ35" s="102">
        <v>0</v>
      </c>
      <c r="BR35" s="102">
        <v>0</v>
      </c>
      <c r="BS35" s="102">
        <v>0</v>
      </c>
      <c r="BT35" s="102">
        <v>0</v>
      </c>
      <c r="BU35" s="102">
        <v>0</v>
      </c>
      <c r="BV35" s="102">
        <v>0</v>
      </c>
      <c r="BW35" s="102">
        <v>0</v>
      </c>
      <c r="BX35" s="102">
        <v>0</v>
      </c>
      <c r="BY35" s="102">
        <v>0</v>
      </c>
      <c r="BZ35" s="102">
        <v>0</v>
      </c>
      <c r="CA35" s="102">
        <v>0</v>
      </c>
      <c r="CB35" s="102">
        <v>0</v>
      </c>
      <c r="CC35" s="102">
        <v>0</v>
      </c>
      <c r="CD35" s="102">
        <v>0</v>
      </c>
      <c r="CE35" s="102">
        <v>0</v>
      </c>
      <c r="CF35" s="102">
        <v>0</v>
      </c>
      <c r="CG35" s="102">
        <v>0</v>
      </c>
      <c r="CH35" s="102">
        <v>0</v>
      </c>
      <c r="CI35" s="102">
        <v>0</v>
      </c>
      <c r="CJ35" s="102">
        <v>0</v>
      </c>
      <c r="CK35" s="102">
        <v>0</v>
      </c>
      <c r="CL35" s="102">
        <v>0</v>
      </c>
      <c r="CM35" s="102">
        <v>0</v>
      </c>
      <c r="CN35" s="102">
        <v>0</v>
      </c>
      <c r="CO35" s="102">
        <v>0</v>
      </c>
      <c r="CP35" s="102">
        <v>0</v>
      </c>
      <c r="CQ35" s="102">
        <v>0</v>
      </c>
      <c r="CR35" s="102">
        <v>0</v>
      </c>
      <c r="CS35" s="102">
        <v>0</v>
      </c>
      <c r="CT35" s="102">
        <v>0</v>
      </c>
      <c r="CU35" s="102">
        <v>0</v>
      </c>
      <c r="CV35" s="102">
        <v>0</v>
      </c>
      <c r="CW35" s="102">
        <v>0</v>
      </c>
      <c r="CX35" s="102">
        <v>0</v>
      </c>
      <c r="CY35" s="102">
        <v>0</v>
      </c>
      <c r="CZ35" s="102">
        <v>0</v>
      </c>
      <c r="DA35" s="102">
        <v>0</v>
      </c>
      <c r="DB35" s="102">
        <v>0</v>
      </c>
      <c r="DC35" s="102">
        <v>0</v>
      </c>
      <c r="DD35" s="102">
        <v>0</v>
      </c>
      <c r="DE35" s="102">
        <v>0</v>
      </c>
      <c r="DF35" s="102">
        <v>0</v>
      </c>
      <c r="DG35" s="102">
        <v>0</v>
      </c>
      <c r="DH35" s="102">
        <v>0</v>
      </c>
      <c r="DI35" s="102">
        <v>0</v>
      </c>
      <c r="DJ35" s="102">
        <v>0</v>
      </c>
      <c r="DK35" s="102">
        <v>0</v>
      </c>
      <c r="DL35" s="102">
        <v>0</v>
      </c>
      <c r="DM35" s="102">
        <v>0</v>
      </c>
      <c r="DN35" s="102">
        <v>0</v>
      </c>
      <c r="DO35" s="102">
        <v>0</v>
      </c>
      <c r="DP35" s="102">
        <v>0</v>
      </c>
      <c r="DQ35" s="940">
        <v>0</v>
      </c>
      <c r="DR35" s="940">
        <v>0</v>
      </c>
      <c r="DS35" s="940">
        <v>0</v>
      </c>
      <c r="DT35" s="940">
        <v>0</v>
      </c>
      <c r="DU35" s="940">
        <v>0</v>
      </c>
      <c r="DV35" s="940">
        <v>0</v>
      </c>
      <c r="DW35" s="940">
        <v>0</v>
      </c>
      <c r="DX35" s="940">
        <v>0</v>
      </c>
      <c r="DY35" s="940">
        <v>0</v>
      </c>
      <c r="DZ35" s="940">
        <v>0</v>
      </c>
      <c r="EA35" s="940">
        <v>0</v>
      </c>
      <c r="EB35" s="940">
        <v>0</v>
      </c>
      <c r="EC35" s="940">
        <v>0</v>
      </c>
      <c r="ED35" s="940">
        <v>0</v>
      </c>
      <c r="EE35" s="940">
        <v>0</v>
      </c>
      <c r="EF35" s="940">
        <v>0</v>
      </c>
      <c r="EH35" s="102">
        <v>0</v>
      </c>
      <c r="EI35" s="102">
        <v>0</v>
      </c>
      <c r="EJ35" s="102">
        <v>0</v>
      </c>
      <c r="EK35" s="102">
        <v>0</v>
      </c>
      <c r="EL35" s="102">
        <v>0</v>
      </c>
      <c r="EM35" s="102">
        <v>0</v>
      </c>
      <c r="EN35" s="102">
        <v>0</v>
      </c>
      <c r="EO35" s="102">
        <v>0</v>
      </c>
      <c r="EP35" s="102">
        <v>0</v>
      </c>
      <c r="EQ35" s="102">
        <v>0</v>
      </c>
      <c r="ER35" s="102">
        <v>0</v>
      </c>
      <c r="ES35" s="102">
        <v>0</v>
      </c>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v>0</v>
      </c>
      <c r="GF35" s="102">
        <v>0</v>
      </c>
      <c r="GG35" s="102">
        <v>0</v>
      </c>
      <c r="GH35" s="102">
        <v>0</v>
      </c>
      <c r="GI35" s="102">
        <v>0</v>
      </c>
      <c r="GJ35" s="102">
        <v>0</v>
      </c>
      <c r="GK35" s="102">
        <v>0</v>
      </c>
      <c r="GL35" s="102">
        <v>0</v>
      </c>
      <c r="GM35" s="102">
        <v>0</v>
      </c>
      <c r="GN35" s="102">
        <v>0</v>
      </c>
      <c r="GO35" s="102">
        <v>0</v>
      </c>
      <c r="GP35" s="102">
        <v>0</v>
      </c>
      <c r="GQ35" s="102">
        <v>0</v>
      </c>
      <c r="GR35" s="102">
        <v>0</v>
      </c>
      <c r="GS35" s="102">
        <v>0</v>
      </c>
      <c r="GT35" s="102">
        <v>0</v>
      </c>
      <c r="GU35" s="102">
        <v>0</v>
      </c>
      <c r="GV35" s="102">
        <v>0</v>
      </c>
      <c r="GW35" s="102">
        <v>0</v>
      </c>
      <c r="GX35" s="102">
        <v>0</v>
      </c>
      <c r="GY35" s="102">
        <v>0</v>
      </c>
      <c r="GZ35" s="102">
        <v>0</v>
      </c>
      <c r="HA35" s="102">
        <v>0</v>
      </c>
      <c r="HB35" s="102">
        <v>0</v>
      </c>
      <c r="HD35" s="102">
        <f t="shared" si="109"/>
        <v>0</v>
      </c>
      <c r="HE35" s="102">
        <f t="shared" si="109"/>
        <v>-325.12170500000002</v>
      </c>
      <c r="HF35" s="102">
        <f t="shared" si="109"/>
        <v>-394.40524900000003</v>
      </c>
      <c r="HG35" s="102">
        <f t="shared" si="109"/>
        <v>0</v>
      </c>
      <c r="HH35" s="102">
        <f t="shared" si="110"/>
        <v>-101.57964355999999</v>
      </c>
      <c r="HI35" s="102">
        <f t="shared" si="111"/>
        <v>0</v>
      </c>
      <c r="HJ35" s="102">
        <f t="shared" si="112"/>
        <v>0</v>
      </c>
      <c r="HK35" s="102">
        <f t="shared" si="113"/>
        <v>0</v>
      </c>
      <c r="HL35" s="940">
        <f>+SUMIF($E$6:SEW$6,HL$7,$E35:SEW35)</f>
        <v>0</v>
      </c>
      <c r="HM35" s="940">
        <f>+SUMIF($E$6:SEX$6,HM$7,$E35:SEX35)</f>
        <v>0</v>
      </c>
      <c r="HN35" s="940">
        <f>+SUMIF($E$6:SEY$6,HN$7,$E35:SEY35)</f>
        <v>0</v>
      </c>
      <c r="HO35" s="102"/>
      <c r="HP35" s="940"/>
      <c r="HR35" s="929">
        <f t="shared" si="114"/>
        <v>0.21310033422714736</v>
      </c>
      <c r="HS35" s="929">
        <f t="shared" si="115"/>
        <v>-1</v>
      </c>
      <c r="HT35" s="929" t="str">
        <f t="shared" si="116"/>
        <v/>
      </c>
      <c r="HU35" s="929">
        <f t="shared" si="117"/>
        <v>-1</v>
      </c>
      <c r="HV35" s="929" t="str">
        <f t="shared" si="118"/>
        <v/>
      </c>
      <c r="HW35" s="929" t="str">
        <f t="shared" si="119"/>
        <v/>
      </c>
      <c r="HX35" s="929" t="str">
        <f t="shared" si="120"/>
        <v/>
      </c>
      <c r="HY35" s="929" t="str">
        <f t="shared" si="120"/>
        <v/>
      </c>
      <c r="HZ35" s="929" t="str">
        <f t="shared" si="120"/>
        <v/>
      </c>
      <c r="IA35" s="929" t="str">
        <f t="shared" si="17"/>
        <v/>
      </c>
      <c r="IB35" s="929" t="str">
        <f t="shared" si="121"/>
        <v/>
      </c>
      <c r="IC35" s="929" t="str">
        <f t="shared" si="19"/>
        <v/>
      </c>
      <c r="IE35" s="102">
        <f t="shared" si="122"/>
        <v>-69.283544000000006</v>
      </c>
      <c r="IF35" s="102">
        <f t="shared" si="123"/>
        <v>394.40524900000003</v>
      </c>
      <c r="IG35" s="102">
        <f t="shared" si="124"/>
        <v>-101.57964355999999</v>
      </c>
      <c r="IH35" s="102">
        <f t="shared" si="125"/>
        <v>101.57964355999999</v>
      </c>
      <c r="II35" s="102">
        <f t="shared" si="100"/>
        <v>0</v>
      </c>
      <c r="IJ35" s="102">
        <f t="shared" si="101"/>
        <v>0</v>
      </c>
      <c r="IK35" s="102">
        <f t="shared" si="102"/>
        <v>0</v>
      </c>
      <c r="IL35" s="102">
        <f t="shared" si="27"/>
        <v>0</v>
      </c>
      <c r="IM35" s="102">
        <f t="shared" si="126"/>
        <v>0</v>
      </c>
      <c r="IN35" s="102">
        <f t="shared" si="29"/>
        <v>0</v>
      </c>
      <c r="IP35" s="32">
        <f t="shared" si="180"/>
        <v>-8.8455782027432664E-3</v>
      </c>
      <c r="IQ35" s="32">
        <f t="shared" si="181"/>
        <v>-1.0014611262361355E-2</v>
      </c>
      <c r="IR35" s="32">
        <f t="shared" si="182"/>
        <v>0</v>
      </c>
      <c r="IS35" s="32">
        <f t="shared" si="183"/>
        <v>-1.6511573645668749E-2</v>
      </c>
      <c r="IT35" s="32">
        <f t="shared" si="176"/>
        <v>0</v>
      </c>
      <c r="IU35" s="32">
        <f t="shared" si="177"/>
        <v>0</v>
      </c>
      <c r="IV35" s="32">
        <f t="shared" si="178"/>
        <v>0</v>
      </c>
      <c r="IW35" s="32">
        <f t="shared" si="179"/>
        <v>0</v>
      </c>
      <c r="IX35" s="32" t="e">
        <f t="shared" si="128"/>
        <v>#DIV/0!</v>
      </c>
      <c r="IY35" s="32" t="e">
        <f t="shared" si="129"/>
        <v>#DIV/0!</v>
      </c>
      <c r="JA35" s="102">
        <f t="shared" si="193"/>
        <v>0</v>
      </c>
      <c r="JB35" s="102">
        <f t="shared" si="193"/>
        <v>-325.12170500000002</v>
      </c>
      <c r="JC35" s="102">
        <f t="shared" si="193"/>
        <v>-394.40524900000003</v>
      </c>
      <c r="JD35" s="102">
        <f t="shared" si="193"/>
        <v>0</v>
      </c>
      <c r="JE35" s="102">
        <f t="shared" si="193"/>
        <v>-101.57964355999999</v>
      </c>
      <c r="JF35" s="102">
        <f t="shared" si="193"/>
        <v>0</v>
      </c>
      <c r="JG35" s="102">
        <f t="shared" si="193"/>
        <v>0</v>
      </c>
      <c r="JH35" s="102">
        <f t="shared" si="193"/>
        <v>0</v>
      </c>
      <c r="JI35" s="102">
        <f t="shared" si="193"/>
        <v>0</v>
      </c>
      <c r="JJ35" s="102">
        <f t="shared" si="193"/>
        <v>0</v>
      </c>
      <c r="JK35" s="102">
        <f t="shared" si="193"/>
        <v>0</v>
      </c>
      <c r="JL35" s="102">
        <f t="shared" si="130"/>
        <v>0</v>
      </c>
      <c r="JM35" s="102"/>
      <c r="JN35" s="102"/>
      <c r="JO35" s="1188"/>
      <c r="JP35" s="102">
        <f t="shared" si="41"/>
        <v>0</v>
      </c>
      <c r="JQ35" s="102">
        <f t="shared" si="42"/>
        <v>0</v>
      </c>
      <c r="JR35" s="145"/>
      <c r="JS35" s="929" t="str">
        <f t="shared" si="131"/>
        <v/>
      </c>
      <c r="JT35" s="930">
        <f t="shared" si="89"/>
        <v>0</v>
      </c>
      <c r="JV35" s="32">
        <f t="shared" si="43"/>
        <v>0</v>
      </c>
      <c r="JW35" s="929" t="str">
        <f t="shared" si="44"/>
        <v/>
      </c>
      <c r="JY35" s="929">
        <f t="shared" si="168"/>
        <v>0.21310033422714736</v>
      </c>
      <c r="JZ35" s="929">
        <f t="shared" si="169"/>
        <v>-1</v>
      </c>
      <c r="KA35" s="929" t="str">
        <f t="shared" si="170"/>
        <v/>
      </c>
      <c r="KB35" s="929">
        <f t="shared" si="171"/>
        <v>-1</v>
      </c>
      <c r="KC35" s="929" t="str">
        <f t="shared" si="172"/>
        <v/>
      </c>
      <c r="KD35" s="929" t="str">
        <f t="shared" si="173"/>
        <v/>
      </c>
      <c r="KE35" s="929" t="str">
        <f t="shared" si="174"/>
        <v/>
      </c>
      <c r="KF35" s="929" t="str">
        <f t="shared" si="175"/>
        <v/>
      </c>
      <c r="KH35" s="102">
        <f t="shared" si="133"/>
        <v>-69.283544000000006</v>
      </c>
      <c r="KI35" s="102">
        <f t="shared" si="134"/>
        <v>394.40524900000003</v>
      </c>
      <c r="KJ35" s="102">
        <f t="shared" si="135"/>
        <v>-101.57964355999999</v>
      </c>
      <c r="KK35" s="102">
        <f t="shared" si="136"/>
        <v>101.57964355999999</v>
      </c>
      <c r="KL35" s="102">
        <f t="shared" si="137"/>
        <v>0</v>
      </c>
      <c r="KM35" s="102">
        <f t="shared" si="138"/>
        <v>0</v>
      </c>
      <c r="KN35" s="102">
        <f t="shared" si="139"/>
        <v>0</v>
      </c>
      <c r="KO35" s="102">
        <f t="shared" si="140"/>
        <v>0</v>
      </c>
      <c r="KQ35" s="32">
        <f t="shared" si="141"/>
        <v>0</v>
      </c>
      <c r="KR35" s="32">
        <f t="shared" si="142"/>
        <v>-8.8455782027432664E-3</v>
      </c>
      <c r="KS35" s="32">
        <f t="shared" si="143"/>
        <v>-1.0014611262361355E-2</v>
      </c>
      <c r="KT35" s="32">
        <f t="shared" si="144"/>
        <v>0</v>
      </c>
      <c r="KU35" s="32">
        <f t="shared" si="145"/>
        <v>-1.6511573645668749E-2</v>
      </c>
      <c r="KV35" s="32">
        <f t="shared" si="146"/>
        <v>0</v>
      </c>
      <c r="KW35" s="32">
        <f t="shared" si="147"/>
        <v>0</v>
      </c>
      <c r="KX35" s="32">
        <f t="shared" si="148"/>
        <v>0</v>
      </c>
      <c r="KY35" s="32">
        <f t="shared" si="149"/>
        <v>0</v>
      </c>
      <c r="KZ35" s="32" t="e">
        <f t="shared" si="150"/>
        <v>#DIV/0!</v>
      </c>
      <c r="LB35" s="102">
        <f t="shared" si="151"/>
        <v>0</v>
      </c>
      <c r="LC35" s="102">
        <f t="shared" si="151"/>
        <v>-325.12170500000002</v>
      </c>
      <c r="LD35" s="102">
        <f t="shared" si="151"/>
        <v>-394.40524900000003</v>
      </c>
      <c r="LE35" s="102">
        <f t="shared" si="151"/>
        <v>0</v>
      </c>
      <c r="LF35" s="102">
        <f t="shared" si="151"/>
        <v>-16.053332560000001</v>
      </c>
      <c r="LG35" s="102">
        <f t="shared" si="151"/>
        <v>0</v>
      </c>
      <c r="LH35" s="102">
        <f t="shared" si="151"/>
        <v>0</v>
      </c>
      <c r="LI35" s="102">
        <f t="shared" si="151"/>
        <v>0</v>
      </c>
      <c r="LJ35" s="102">
        <f t="shared" si="151"/>
        <v>0</v>
      </c>
      <c r="LK35" s="102">
        <f t="shared" si="151"/>
        <v>0</v>
      </c>
      <c r="LL35" s="102">
        <f t="shared" si="151"/>
        <v>0</v>
      </c>
      <c r="LM35" s="102">
        <f t="shared" si="151"/>
        <v>0</v>
      </c>
      <c r="LN35" s="102"/>
      <c r="LO35" s="102"/>
      <c r="LR35" s="32">
        <f t="shared" si="152"/>
        <v>0.21310033422714736</v>
      </c>
      <c r="LS35" s="32">
        <f t="shared" si="153"/>
        <v>-1</v>
      </c>
      <c r="LT35" s="32" t="str">
        <f t="shared" si="154"/>
        <v xml:space="preserve"> </v>
      </c>
      <c r="LU35" s="32">
        <f t="shared" si="155"/>
        <v>-1</v>
      </c>
      <c r="LV35" s="32" t="str">
        <f t="shared" si="156"/>
        <v xml:space="preserve"> </v>
      </c>
      <c r="LW35" s="32" t="str">
        <f t="shared" si="157"/>
        <v xml:space="preserve"> </v>
      </c>
      <c r="LX35" s="32" t="str">
        <f t="shared" si="158"/>
        <v xml:space="preserve"> </v>
      </c>
      <c r="LZ35" s="102">
        <f t="shared" si="159"/>
        <v>-69.283544000000006</v>
      </c>
      <c r="MA35" s="102">
        <f t="shared" si="160"/>
        <v>394.40524900000003</v>
      </c>
      <c r="MB35" s="102">
        <f t="shared" si="161"/>
        <v>-16.053332560000001</v>
      </c>
      <c r="MC35" s="102">
        <f t="shared" si="162"/>
        <v>16.053332560000001</v>
      </c>
      <c r="MD35" s="102">
        <f t="shared" si="163"/>
        <v>0</v>
      </c>
      <c r="ME35" s="102">
        <f t="shared" si="164"/>
        <v>0</v>
      </c>
      <c r="MF35" s="102">
        <f t="shared" si="165"/>
        <v>0</v>
      </c>
      <c r="MH35" s="32">
        <f t="shared" si="184"/>
        <v>0</v>
      </c>
      <c r="MI35" s="32">
        <f t="shared" si="185"/>
        <v>-5.896654291972378E-2</v>
      </c>
      <c r="MJ35" s="32">
        <f t="shared" si="186"/>
        <v>-7.6939894335618209E-2</v>
      </c>
      <c r="MK35" s="32">
        <f t="shared" si="187"/>
        <v>0</v>
      </c>
      <c r="ML35" s="32">
        <f t="shared" si="188"/>
        <v>-1.0656333141963483E-2</v>
      </c>
      <c r="MM35" s="32">
        <f t="shared" si="189"/>
        <v>0</v>
      </c>
      <c r="MN35" s="32">
        <f t="shared" si="190"/>
        <v>0</v>
      </c>
      <c r="MO35" s="32">
        <f t="shared" si="191"/>
        <v>0</v>
      </c>
      <c r="MP35" s="32" t="e">
        <f t="shared" si="192"/>
        <v>#DIV/0!</v>
      </c>
    </row>
    <row r="36" spans="1:354" outlineLevel="2">
      <c r="A36" s="884"/>
      <c r="B36" s="70"/>
      <c r="C36" s="29" t="s">
        <v>642</v>
      </c>
      <c r="D36" s="31" t="s">
        <v>59</v>
      </c>
      <c r="E36" s="102">
        <v>0</v>
      </c>
      <c r="F36" s="102">
        <v>0</v>
      </c>
      <c r="G36" s="102">
        <v>0</v>
      </c>
      <c r="H36" s="102">
        <v>0</v>
      </c>
      <c r="I36" s="102">
        <v>0</v>
      </c>
      <c r="J36" s="102">
        <v>0</v>
      </c>
      <c r="K36" s="102">
        <v>0</v>
      </c>
      <c r="L36" s="102">
        <v>0</v>
      </c>
      <c r="M36" s="102">
        <v>0</v>
      </c>
      <c r="N36" s="102">
        <v>0</v>
      </c>
      <c r="O36" s="102">
        <v>0</v>
      </c>
      <c r="P36" s="102">
        <v>0</v>
      </c>
      <c r="Q36" s="102">
        <v>0</v>
      </c>
      <c r="R36" s="102">
        <v>0</v>
      </c>
      <c r="S36" s="102">
        <v>0</v>
      </c>
      <c r="T36" s="102">
        <v>0</v>
      </c>
      <c r="U36" s="102">
        <v>0</v>
      </c>
      <c r="V36" s="102">
        <v>0</v>
      </c>
      <c r="W36" s="102">
        <v>0</v>
      </c>
      <c r="X36" s="102">
        <v>0</v>
      </c>
      <c r="Y36" s="102">
        <v>0</v>
      </c>
      <c r="Z36" s="102">
        <v>0</v>
      </c>
      <c r="AA36" s="102">
        <v>0</v>
      </c>
      <c r="AB36" s="102">
        <v>0</v>
      </c>
      <c r="AC36" s="102">
        <v>0</v>
      </c>
      <c r="AD36" s="102">
        <v>0</v>
      </c>
      <c r="AE36" s="102">
        <v>0</v>
      </c>
      <c r="AF36" s="102">
        <v>0</v>
      </c>
      <c r="AG36" s="102">
        <v>0</v>
      </c>
      <c r="AH36" s="102">
        <v>0</v>
      </c>
      <c r="AI36" s="102">
        <v>0</v>
      </c>
      <c r="AJ36" s="102">
        <v>0</v>
      </c>
      <c r="AK36" s="102">
        <v>0</v>
      </c>
      <c r="AL36" s="102">
        <v>0</v>
      </c>
      <c r="AM36" s="102">
        <v>0</v>
      </c>
      <c r="AN36" s="102">
        <v>0</v>
      </c>
      <c r="AO36" s="102"/>
      <c r="AP36" s="145"/>
      <c r="AQ36" s="143"/>
      <c r="AR36" s="143"/>
      <c r="AS36" s="102"/>
      <c r="AT36" s="102"/>
      <c r="AU36" s="102"/>
      <c r="AV36" s="102"/>
      <c r="AW36" s="102"/>
      <c r="AX36" s="102"/>
      <c r="AY36" s="102"/>
      <c r="AZ36" s="102"/>
      <c r="BA36" s="102"/>
      <c r="BB36" s="102"/>
      <c r="BC36" s="102"/>
      <c r="BD36" s="102"/>
      <c r="BE36" s="102"/>
      <c r="BF36" s="102"/>
      <c r="BG36" s="102"/>
      <c r="BH36" s="102"/>
      <c r="BI36" s="102"/>
      <c r="BJ36" s="102"/>
      <c r="BK36" s="102">
        <v>0</v>
      </c>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940"/>
      <c r="DR36" s="940"/>
      <c r="DS36" s="940"/>
      <c r="DT36" s="940"/>
      <c r="DU36" s="940"/>
      <c r="DV36" s="940"/>
      <c r="DW36" s="940"/>
      <c r="DX36" s="940"/>
      <c r="DY36" s="940"/>
      <c r="DZ36" s="940"/>
      <c r="EA36" s="940"/>
      <c r="EB36" s="940"/>
      <c r="EC36" s="940"/>
      <c r="ED36" s="940"/>
      <c r="EE36" s="940"/>
      <c r="EF36" s="940"/>
      <c r="EH36" s="102"/>
      <c r="EI36" s="102"/>
      <c r="EJ36" s="102"/>
      <c r="EK36" s="102"/>
      <c r="EL36" s="102"/>
      <c r="EM36" s="102"/>
      <c r="EN36" s="102"/>
      <c r="EO36" s="102"/>
      <c r="EP36" s="102"/>
      <c r="EQ36" s="102"/>
      <c r="ER36" s="102"/>
      <c r="ES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D36" s="102">
        <f t="shared" si="109"/>
        <v>0</v>
      </c>
      <c r="HE36" s="102">
        <f t="shared" si="109"/>
        <v>0</v>
      </c>
      <c r="HF36" s="102">
        <f t="shared" si="109"/>
        <v>0</v>
      </c>
      <c r="HG36" s="102">
        <f t="shared" si="109"/>
        <v>0</v>
      </c>
      <c r="HH36" s="102">
        <f t="shared" si="110"/>
        <v>0</v>
      </c>
      <c r="HI36" s="102">
        <f t="shared" si="111"/>
        <v>0</v>
      </c>
      <c r="HJ36" s="102">
        <f t="shared" si="112"/>
        <v>0</v>
      </c>
      <c r="HK36" s="102">
        <f t="shared" si="113"/>
        <v>0</v>
      </c>
      <c r="HL36" s="940">
        <f>+SUMIF($E$6:SEW$6,HL$7,$E36:SEW36)</f>
        <v>0</v>
      </c>
      <c r="HM36" s="940">
        <f>+SUMIF($E$6:SEX$6,HM$7,$E36:SEX36)</f>
        <v>0</v>
      </c>
      <c r="HN36" s="940">
        <f>+SUMIF($E$6:SEY$6,HN$7,$E36:SEY36)</f>
        <v>0</v>
      </c>
      <c r="HO36" s="102"/>
      <c r="HP36" s="940"/>
      <c r="HR36" s="929" t="str">
        <f t="shared" si="114"/>
        <v/>
      </c>
      <c r="HS36" s="929" t="str">
        <f t="shared" si="115"/>
        <v/>
      </c>
      <c r="HT36" s="929" t="str">
        <f t="shared" si="116"/>
        <v/>
      </c>
      <c r="HU36" s="929" t="str">
        <f t="shared" si="117"/>
        <v/>
      </c>
      <c r="HV36" s="929" t="str">
        <f t="shared" si="118"/>
        <v/>
      </c>
      <c r="HW36" s="929" t="str">
        <f t="shared" si="119"/>
        <v/>
      </c>
      <c r="HX36" s="929" t="str">
        <f t="shared" si="120"/>
        <v/>
      </c>
      <c r="HY36" s="929" t="str">
        <f t="shared" si="120"/>
        <v/>
      </c>
      <c r="HZ36" s="929" t="str">
        <f t="shared" si="120"/>
        <v/>
      </c>
      <c r="IA36" s="929" t="str">
        <f t="shared" si="17"/>
        <v/>
      </c>
      <c r="IB36" s="929" t="str">
        <f t="shared" si="121"/>
        <v/>
      </c>
      <c r="IC36" s="929" t="str">
        <f t="shared" si="19"/>
        <v/>
      </c>
      <c r="IE36" s="102">
        <f t="shared" si="122"/>
        <v>0</v>
      </c>
      <c r="IF36" s="102">
        <f t="shared" si="123"/>
        <v>0</v>
      </c>
      <c r="IG36" s="102">
        <f t="shared" si="124"/>
        <v>0</v>
      </c>
      <c r="IH36" s="102">
        <f t="shared" si="125"/>
        <v>0</v>
      </c>
      <c r="II36" s="102">
        <f t="shared" si="100"/>
        <v>0</v>
      </c>
      <c r="IJ36" s="102">
        <f t="shared" si="101"/>
        <v>0</v>
      </c>
      <c r="IK36" s="102">
        <f t="shared" si="102"/>
        <v>0</v>
      </c>
      <c r="IL36" s="102">
        <f t="shared" si="27"/>
        <v>0</v>
      </c>
      <c r="IM36" s="102">
        <f t="shared" si="126"/>
        <v>0</v>
      </c>
      <c r="IN36" s="102">
        <f t="shared" si="29"/>
        <v>0</v>
      </c>
      <c r="IP36" s="32">
        <f t="shared" si="180"/>
        <v>0</v>
      </c>
      <c r="IQ36" s="32">
        <f t="shared" si="181"/>
        <v>0</v>
      </c>
      <c r="IR36" s="32">
        <f t="shared" si="182"/>
        <v>0</v>
      </c>
      <c r="IS36" s="32">
        <f t="shared" si="183"/>
        <v>0</v>
      </c>
      <c r="IT36" s="32">
        <f t="shared" si="176"/>
        <v>0</v>
      </c>
      <c r="IU36" s="32">
        <f t="shared" si="177"/>
        <v>0</v>
      </c>
      <c r="IV36" s="32">
        <f t="shared" si="178"/>
        <v>0</v>
      </c>
      <c r="IW36" s="32">
        <f t="shared" si="179"/>
        <v>0</v>
      </c>
      <c r="IX36" s="32" t="e">
        <f t="shared" si="128"/>
        <v>#DIV/0!</v>
      </c>
      <c r="IY36" s="32" t="e">
        <f t="shared" si="129"/>
        <v>#DIV/0!</v>
      </c>
      <c r="JA36" s="102">
        <f t="shared" si="193"/>
        <v>0</v>
      </c>
      <c r="JB36" s="102">
        <f t="shared" si="193"/>
        <v>0</v>
      </c>
      <c r="JC36" s="102">
        <f t="shared" si="193"/>
        <v>0</v>
      </c>
      <c r="JD36" s="102">
        <f t="shared" si="193"/>
        <v>0</v>
      </c>
      <c r="JE36" s="102">
        <f t="shared" si="193"/>
        <v>0</v>
      </c>
      <c r="JF36" s="102">
        <f t="shared" si="193"/>
        <v>0</v>
      </c>
      <c r="JG36" s="102">
        <f t="shared" si="193"/>
        <v>0</v>
      </c>
      <c r="JH36" s="102">
        <f t="shared" si="193"/>
        <v>0</v>
      </c>
      <c r="JI36" s="102">
        <f t="shared" si="193"/>
        <v>0</v>
      </c>
      <c r="JJ36" s="102">
        <f t="shared" si="193"/>
        <v>0</v>
      </c>
      <c r="JK36" s="102">
        <f t="shared" si="193"/>
        <v>0</v>
      </c>
      <c r="JL36" s="102">
        <f t="shared" si="130"/>
        <v>0</v>
      </c>
      <c r="JM36" s="102"/>
      <c r="JN36" s="102"/>
      <c r="JO36" s="1188"/>
      <c r="JP36" s="102">
        <f t="shared" si="41"/>
        <v>0</v>
      </c>
      <c r="JQ36" s="102">
        <f t="shared" si="42"/>
        <v>0</v>
      </c>
      <c r="JR36" s="145"/>
      <c r="JS36" s="929" t="str">
        <f t="shared" si="131"/>
        <v/>
      </c>
      <c r="JT36" s="930">
        <f t="shared" si="89"/>
        <v>0</v>
      </c>
      <c r="JV36" s="32">
        <f t="shared" si="43"/>
        <v>0</v>
      </c>
      <c r="JW36" s="929" t="str">
        <f t="shared" si="44"/>
        <v/>
      </c>
      <c r="JY36" s="929" t="str">
        <f t="shared" si="168"/>
        <v/>
      </c>
      <c r="JZ36" s="929" t="str">
        <f t="shared" si="169"/>
        <v/>
      </c>
      <c r="KA36" s="929" t="str">
        <f t="shared" si="170"/>
        <v/>
      </c>
      <c r="KB36" s="929" t="str">
        <f t="shared" si="171"/>
        <v/>
      </c>
      <c r="KC36" s="929" t="str">
        <f t="shared" si="172"/>
        <v/>
      </c>
      <c r="KD36" s="929" t="str">
        <f t="shared" si="173"/>
        <v/>
      </c>
      <c r="KE36" s="929" t="str">
        <f t="shared" si="174"/>
        <v/>
      </c>
      <c r="KF36" s="929" t="str">
        <f t="shared" si="175"/>
        <v/>
      </c>
      <c r="KH36" s="102">
        <f t="shared" si="133"/>
        <v>0</v>
      </c>
      <c r="KI36" s="102">
        <f t="shared" si="134"/>
        <v>0</v>
      </c>
      <c r="KJ36" s="102">
        <f t="shared" si="135"/>
        <v>0</v>
      </c>
      <c r="KK36" s="102">
        <f t="shared" si="136"/>
        <v>0</v>
      </c>
      <c r="KL36" s="102">
        <f t="shared" si="137"/>
        <v>0</v>
      </c>
      <c r="KM36" s="102">
        <f t="shared" si="138"/>
        <v>0</v>
      </c>
      <c r="KN36" s="102">
        <f t="shared" si="139"/>
        <v>0</v>
      </c>
      <c r="KO36" s="102">
        <f t="shared" si="140"/>
        <v>0</v>
      </c>
      <c r="KQ36" s="32">
        <f t="shared" si="141"/>
        <v>0</v>
      </c>
      <c r="KR36" s="32">
        <f t="shared" si="142"/>
        <v>0</v>
      </c>
      <c r="KS36" s="32">
        <f t="shared" si="143"/>
        <v>0</v>
      </c>
      <c r="KT36" s="32">
        <f t="shared" si="144"/>
        <v>0</v>
      </c>
      <c r="KU36" s="32">
        <f t="shared" si="145"/>
        <v>0</v>
      </c>
      <c r="KV36" s="32">
        <f t="shared" si="146"/>
        <v>0</v>
      </c>
      <c r="KW36" s="32">
        <f t="shared" si="147"/>
        <v>0</v>
      </c>
      <c r="KX36" s="32">
        <f t="shared" si="148"/>
        <v>0</v>
      </c>
      <c r="KY36" s="32">
        <f t="shared" si="149"/>
        <v>0</v>
      </c>
      <c r="KZ36" s="32" t="e">
        <f t="shared" si="150"/>
        <v>#DIV/0!</v>
      </c>
      <c r="LB36" s="102">
        <f t="shared" si="151"/>
        <v>0</v>
      </c>
      <c r="LC36" s="102">
        <f t="shared" si="151"/>
        <v>0</v>
      </c>
      <c r="LD36" s="102">
        <f t="shared" si="151"/>
        <v>0</v>
      </c>
      <c r="LE36" s="102">
        <f t="shared" si="151"/>
        <v>0</v>
      </c>
      <c r="LF36" s="102">
        <f t="shared" si="151"/>
        <v>0</v>
      </c>
      <c r="LG36" s="102">
        <f t="shared" si="151"/>
        <v>0</v>
      </c>
      <c r="LH36" s="102">
        <f t="shared" si="151"/>
        <v>0</v>
      </c>
      <c r="LI36" s="102">
        <f t="shared" si="151"/>
        <v>0</v>
      </c>
      <c r="LJ36" s="102">
        <f t="shared" si="151"/>
        <v>0</v>
      </c>
      <c r="LK36" s="102">
        <f t="shared" si="151"/>
        <v>0</v>
      </c>
      <c r="LL36" s="102">
        <f t="shared" si="151"/>
        <v>0</v>
      </c>
      <c r="LM36" s="102">
        <f t="shared" si="151"/>
        <v>0</v>
      </c>
      <c r="LN36" s="102"/>
      <c r="LO36" s="102"/>
      <c r="LR36" s="32" t="str">
        <f t="shared" si="152"/>
        <v xml:space="preserve"> </v>
      </c>
      <c r="LS36" s="32" t="str">
        <f t="shared" si="153"/>
        <v xml:space="preserve"> </v>
      </c>
      <c r="LT36" s="32" t="str">
        <f t="shared" si="154"/>
        <v xml:space="preserve"> </v>
      </c>
      <c r="LU36" s="32" t="str">
        <f t="shared" si="155"/>
        <v xml:space="preserve"> </v>
      </c>
      <c r="LV36" s="32" t="str">
        <f t="shared" si="156"/>
        <v xml:space="preserve"> </v>
      </c>
      <c r="LW36" s="32" t="str">
        <f t="shared" si="157"/>
        <v xml:space="preserve"> </v>
      </c>
      <c r="LX36" s="32" t="str">
        <f t="shared" si="158"/>
        <v xml:space="preserve"> </v>
      </c>
      <c r="LZ36" s="102">
        <f t="shared" si="159"/>
        <v>0</v>
      </c>
      <c r="MA36" s="102">
        <f t="shared" si="160"/>
        <v>0</v>
      </c>
      <c r="MB36" s="102">
        <f t="shared" si="161"/>
        <v>0</v>
      </c>
      <c r="MC36" s="102">
        <f t="shared" si="162"/>
        <v>0</v>
      </c>
      <c r="MD36" s="102">
        <f t="shared" si="163"/>
        <v>0</v>
      </c>
      <c r="ME36" s="102">
        <f t="shared" si="164"/>
        <v>0</v>
      </c>
      <c r="MF36" s="102">
        <f t="shared" si="165"/>
        <v>0</v>
      </c>
      <c r="MH36" s="32">
        <f t="shared" si="184"/>
        <v>0</v>
      </c>
      <c r="MI36" s="32">
        <f t="shared" si="185"/>
        <v>0</v>
      </c>
      <c r="MJ36" s="32">
        <f t="shared" si="186"/>
        <v>0</v>
      </c>
      <c r="MK36" s="32">
        <f t="shared" si="187"/>
        <v>0</v>
      </c>
      <c r="ML36" s="32">
        <f t="shared" si="188"/>
        <v>0</v>
      </c>
      <c r="MM36" s="32">
        <f t="shared" si="189"/>
        <v>0</v>
      </c>
      <c r="MN36" s="32">
        <f t="shared" si="190"/>
        <v>0</v>
      </c>
      <c r="MO36" s="32">
        <f t="shared" si="191"/>
        <v>0</v>
      </c>
      <c r="MP36" s="32" t="e">
        <f t="shared" si="192"/>
        <v>#DIV/0!</v>
      </c>
    </row>
    <row r="37" spans="1:354" outlineLevel="2">
      <c r="A37" s="884"/>
      <c r="B37" s="70"/>
      <c r="C37" s="399" t="s">
        <v>643</v>
      </c>
      <c r="D37" s="307" t="s">
        <v>59</v>
      </c>
      <c r="E37" s="931">
        <v>0</v>
      </c>
      <c r="F37" s="931">
        <v>0</v>
      </c>
      <c r="G37" s="931">
        <v>0</v>
      </c>
      <c r="H37" s="931">
        <v>0</v>
      </c>
      <c r="I37" s="931">
        <v>0</v>
      </c>
      <c r="J37" s="931">
        <v>0</v>
      </c>
      <c r="K37" s="931">
        <v>0</v>
      </c>
      <c r="L37" s="931">
        <v>0</v>
      </c>
      <c r="M37" s="931">
        <v>0</v>
      </c>
      <c r="N37" s="931">
        <v>0</v>
      </c>
      <c r="O37" s="931">
        <v>0</v>
      </c>
      <c r="P37" s="931">
        <v>0</v>
      </c>
      <c r="Q37" s="931">
        <v>0</v>
      </c>
      <c r="R37" s="931">
        <v>0</v>
      </c>
      <c r="S37" s="931">
        <v>0</v>
      </c>
      <c r="T37" s="931">
        <v>0</v>
      </c>
      <c r="U37" s="931">
        <v>0</v>
      </c>
      <c r="V37" s="931">
        <v>0</v>
      </c>
      <c r="W37" s="931">
        <v>0</v>
      </c>
      <c r="X37" s="931">
        <v>0</v>
      </c>
      <c r="Y37" s="931">
        <v>0</v>
      </c>
      <c r="Z37" s="931">
        <v>0</v>
      </c>
      <c r="AA37" s="931">
        <v>0</v>
      </c>
      <c r="AB37" s="931">
        <v>0</v>
      </c>
      <c r="AC37" s="931">
        <v>0</v>
      </c>
      <c r="AD37" s="931">
        <v>0</v>
      </c>
      <c r="AE37" s="931">
        <v>0</v>
      </c>
      <c r="AF37" s="931">
        <v>0</v>
      </c>
      <c r="AG37" s="931">
        <v>0</v>
      </c>
      <c r="AH37" s="931">
        <v>0</v>
      </c>
      <c r="AI37" s="931">
        <v>0</v>
      </c>
      <c r="AJ37" s="931">
        <v>0</v>
      </c>
      <c r="AK37" s="931">
        <v>0</v>
      </c>
      <c r="AL37" s="931">
        <v>0</v>
      </c>
      <c r="AM37" s="931">
        <v>0</v>
      </c>
      <c r="AN37" s="931">
        <v>0</v>
      </c>
      <c r="AO37" s="931"/>
      <c r="AP37" s="932"/>
      <c r="AQ37" s="936"/>
      <c r="AR37" s="936"/>
      <c r="AS37" s="931"/>
      <c r="AT37" s="931"/>
      <c r="AU37" s="931"/>
      <c r="AV37" s="931"/>
      <c r="AW37" s="931"/>
      <c r="AX37" s="931"/>
      <c r="AY37" s="931"/>
      <c r="AZ37" s="931"/>
      <c r="BA37" s="931"/>
      <c r="BB37" s="931"/>
      <c r="BC37" s="931"/>
      <c r="BD37" s="931"/>
      <c r="BE37" s="931"/>
      <c r="BF37" s="931"/>
      <c r="BG37" s="931"/>
      <c r="BH37" s="931"/>
      <c r="BI37" s="931"/>
      <c r="BJ37" s="931"/>
      <c r="BK37" s="931"/>
      <c r="BL37" s="931"/>
      <c r="BM37" s="931"/>
      <c r="BN37" s="931"/>
      <c r="BO37" s="931"/>
      <c r="BP37" s="931"/>
      <c r="BQ37" s="931"/>
      <c r="BR37" s="931"/>
      <c r="BS37" s="931"/>
      <c r="BT37" s="931"/>
      <c r="BU37" s="931"/>
      <c r="BV37" s="931"/>
      <c r="BW37" s="931"/>
      <c r="BX37" s="931"/>
      <c r="BY37" s="931"/>
      <c r="BZ37" s="931"/>
      <c r="CA37" s="931"/>
      <c r="CB37" s="931"/>
      <c r="CC37" s="931"/>
      <c r="CD37" s="931"/>
      <c r="CE37" s="931"/>
      <c r="CF37" s="931"/>
      <c r="CG37" s="931"/>
      <c r="CH37" s="931"/>
      <c r="CI37" s="931"/>
      <c r="CJ37" s="931"/>
      <c r="CK37" s="931"/>
      <c r="CL37" s="931"/>
      <c r="CM37" s="931"/>
      <c r="CN37" s="931"/>
      <c r="CO37" s="931"/>
      <c r="CP37" s="931"/>
      <c r="CQ37" s="931"/>
      <c r="CR37" s="931"/>
      <c r="CS37" s="931"/>
      <c r="CT37" s="931"/>
      <c r="CU37" s="931"/>
      <c r="CV37" s="931"/>
      <c r="CW37" s="931"/>
      <c r="CX37" s="931"/>
      <c r="CY37" s="931"/>
      <c r="CZ37" s="931"/>
      <c r="DA37" s="931"/>
      <c r="DB37" s="931"/>
      <c r="DC37" s="931"/>
      <c r="DD37" s="931"/>
      <c r="DE37" s="931"/>
      <c r="DF37" s="931"/>
      <c r="DG37" s="931"/>
      <c r="DH37" s="931"/>
      <c r="DI37" s="931"/>
      <c r="DJ37" s="931"/>
      <c r="DK37" s="931"/>
      <c r="DL37" s="931"/>
      <c r="DM37" s="931"/>
      <c r="DN37" s="931"/>
      <c r="DO37" s="931"/>
      <c r="DP37" s="931"/>
      <c r="DQ37" s="941"/>
      <c r="DR37" s="941"/>
      <c r="DS37" s="941"/>
      <c r="DT37" s="941"/>
      <c r="DU37" s="941"/>
      <c r="DV37" s="941"/>
      <c r="DW37" s="941"/>
      <c r="DX37" s="941"/>
      <c r="DY37" s="941"/>
      <c r="DZ37" s="941"/>
      <c r="EA37" s="941"/>
      <c r="EB37" s="941"/>
      <c r="EC37" s="941"/>
      <c r="ED37" s="941"/>
      <c r="EE37" s="941"/>
      <c r="EF37" s="941"/>
      <c r="EH37" s="931">
        <f>+CK37-BL37</f>
        <v>0</v>
      </c>
      <c r="EI37" s="931">
        <f>+CL37-BM37</f>
        <v>0</v>
      </c>
      <c r="EJ37" s="931"/>
      <c r="EK37" s="931"/>
      <c r="EL37" s="931"/>
      <c r="EM37" s="931"/>
      <c r="EN37" s="931"/>
      <c r="EO37" s="931"/>
      <c r="EP37" s="931"/>
      <c r="EQ37" s="931"/>
      <c r="ER37" s="931"/>
      <c r="ES37" s="931"/>
      <c r="EU37" s="931"/>
      <c r="EV37" s="931"/>
      <c r="EW37" s="931"/>
      <c r="EX37" s="931"/>
      <c r="EY37" s="931"/>
      <c r="EZ37" s="931"/>
      <c r="FA37" s="931"/>
      <c r="FB37" s="931"/>
      <c r="FC37" s="931"/>
      <c r="FD37" s="931"/>
      <c r="FE37" s="931"/>
      <c r="FF37" s="931"/>
      <c r="FG37" s="931"/>
      <c r="FH37" s="931"/>
      <c r="FI37" s="931"/>
      <c r="FJ37" s="931"/>
      <c r="FK37" s="931"/>
      <c r="FL37" s="931"/>
      <c r="FM37" s="931"/>
      <c r="FN37" s="931"/>
      <c r="FO37" s="931"/>
      <c r="FP37" s="931"/>
      <c r="FQ37" s="931"/>
      <c r="FR37" s="931"/>
      <c r="FS37" s="931"/>
      <c r="FT37" s="931"/>
      <c r="FU37" s="931"/>
      <c r="FV37" s="931"/>
      <c r="FW37" s="931"/>
      <c r="FX37" s="931"/>
      <c r="FY37" s="931"/>
      <c r="FZ37" s="931"/>
      <c r="GA37" s="931"/>
      <c r="GB37" s="931"/>
      <c r="GC37" s="931"/>
      <c r="GD37" s="931"/>
      <c r="GE37" s="931"/>
      <c r="GF37" s="931"/>
      <c r="GG37" s="931"/>
      <c r="GH37" s="931"/>
      <c r="GI37" s="931"/>
      <c r="GJ37" s="931"/>
      <c r="GK37" s="931"/>
      <c r="GL37" s="931"/>
      <c r="GM37" s="931"/>
      <c r="GN37" s="931"/>
      <c r="GO37" s="931"/>
      <c r="GP37" s="931"/>
      <c r="GQ37" s="931"/>
      <c r="GR37" s="931"/>
      <c r="GS37" s="931"/>
      <c r="GT37" s="931"/>
      <c r="GU37" s="931"/>
      <c r="GV37" s="931"/>
      <c r="GW37" s="931"/>
      <c r="GX37" s="931"/>
      <c r="GY37" s="931"/>
      <c r="GZ37" s="931"/>
      <c r="HA37" s="931"/>
      <c r="HB37" s="931"/>
      <c r="HD37" s="931">
        <f t="shared" si="109"/>
        <v>0</v>
      </c>
      <c r="HE37" s="931">
        <f t="shared" si="109"/>
        <v>0</v>
      </c>
      <c r="HF37" s="931">
        <f t="shared" si="109"/>
        <v>0</v>
      </c>
      <c r="HG37" s="931">
        <f t="shared" si="109"/>
        <v>0</v>
      </c>
      <c r="HH37" s="931">
        <f t="shared" si="110"/>
        <v>0</v>
      </c>
      <c r="HI37" s="931">
        <f t="shared" si="111"/>
        <v>0</v>
      </c>
      <c r="HJ37" s="931">
        <f t="shared" si="112"/>
        <v>0</v>
      </c>
      <c r="HK37" s="931">
        <f t="shared" si="113"/>
        <v>0</v>
      </c>
      <c r="HL37" s="941">
        <f>+SUMIF($E$6:SEW$6,HL$7,$E37:SEW37)</f>
        <v>0</v>
      </c>
      <c r="HM37" s="941">
        <f>+SUMIF($E$6:SEX$6,HM$7,$E37:SEX37)</f>
        <v>0</v>
      </c>
      <c r="HN37" s="941">
        <f>+SUMIF($E$6:SEY$6,HN$7,$E37:SEY37)</f>
        <v>0</v>
      </c>
      <c r="HO37" s="931"/>
      <c r="HP37" s="941"/>
      <c r="HR37" s="934" t="str">
        <f t="shared" si="114"/>
        <v/>
      </c>
      <c r="HS37" s="934" t="str">
        <f t="shared" si="115"/>
        <v/>
      </c>
      <c r="HT37" s="934" t="str">
        <f t="shared" si="116"/>
        <v/>
      </c>
      <c r="HU37" s="934" t="str">
        <f t="shared" si="117"/>
        <v/>
      </c>
      <c r="HV37" s="934" t="str">
        <f t="shared" si="118"/>
        <v/>
      </c>
      <c r="HW37" s="934" t="str">
        <f t="shared" si="119"/>
        <v/>
      </c>
      <c r="HX37" s="934" t="str">
        <f t="shared" si="120"/>
        <v/>
      </c>
      <c r="HY37" s="934" t="str">
        <f t="shared" si="120"/>
        <v/>
      </c>
      <c r="HZ37" s="934" t="str">
        <f t="shared" si="120"/>
        <v/>
      </c>
      <c r="IA37" s="934" t="str">
        <f t="shared" si="17"/>
        <v/>
      </c>
      <c r="IB37" s="934" t="str">
        <f t="shared" si="121"/>
        <v/>
      </c>
      <c r="IC37" s="934" t="str">
        <f t="shared" si="19"/>
        <v/>
      </c>
      <c r="IE37" s="931">
        <f t="shared" si="122"/>
        <v>0</v>
      </c>
      <c r="IF37" s="931">
        <f t="shared" si="123"/>
        <v>0</v>
      </c>
      <c r="IG37" s="931">
        <f t="shared" si="124"/>
        <v>0</v>
      </c>
      <c r="IH37" s="931">
        <f t="shared" si="125"/>
        <v>0</v>
      </c>
      <c r="II37" s="931">
        <f t="shared" si="100"/>
        <v>0</v>
      </c>
      <c r="IJ37" s="931">
        <f t="shared" si="101"/>
        <v>0</v>
      </c>
      <c r="IK37" s="931">
        <f t="shared" si="102"/>
        <v>0</v>
      </c>
      <c r="IL37" s="931">
        <f t="shared" si="27"/>
        <v>0</v>
      </c>
      <c r="IM37" s="931">
        <f t="shared" si="126"/>
        <v>0</v>
      </c>
      <c r="IN37" s="931">
        <f t="shared" si="29"/>
        <v>0</v>
      </c>
      <c r="IP37" s="230">
        <f t="shared" si="180"/>
        <v>0</v>
      </c>
      <c r="IQ37" s="230">
        <f t="shared" si="181"/>
        <v>0</v>
      </c>
      <c r="IR37" s="230">
        <f t="shared" si="182"/>
        <v>0</v>
      </c>
      <c r="IS37" s="230">
        <f t="shared" si="183"/>
        <v>0</v>
      </c>
      <c r="IT37" s="230">
        <f t="shared" si="176"/>
        <v>0</v>
      </c>
      <c r="IU37" s="230">
        <f t="shared" si="177"/>
        <v>0</v>
      </c>
      <c r="IV37" s="230">
        <f t="shared" si="178"/>
        <v>0</v>
      </c>
      <c r="IW37" s="230">
        <f t="shared" si="179"/>
        <v>0</v>
      </c>
      <c r="IX37" s="230" t="e">
        <f t="shared" si="128"/>
        <v>#DIV/0!</v>
      </c>
      <c r="IY37" s="230" t="e">
        <f t="shared" si="129"/>
        <v>#DIV/0!</v>
      </c>
      <c r="JA37" s="931">
        <f t="shared" si="193"/>
        <v>0</v>
      </c>
      <c r="JB37" s="931">
        <f t="shared" si="193"/>
        <v>0</v>
      </c>
      <c r="JC37" s="931">
        <f t="shared" si="193"/>
        <v>0</v>
      </c>
      <c r="JD37" s="931">
        <f t="shared" si="193"/>
        <v>0</v>
      </c>
      <c r="JE37" s="931">
        <f t="shared" si="193"/>
        <v>0</v>
      </c>
      <c r="JF37" s="931">
        <f t="shared" si="193"/>
        <v>0</v>
      </c>
      <c r="JG37" s="931">
        <f t="shared" si="193"/>
        <v>0</v>
      </c>
      <c r="JH37" s="931">
        <f t="shared" si="193"/>
        <v>0</v>
      </c>
      <c r="JI37" s="931">
        <f t="shared" si="193"/>
        <v>0</v>
      </c>
      <c r="JJ37" s="931">
        <f t="shared" si="193"/>
        <v>0</v>
      </c>
      <c r="JK37" s="931">
        <f t="shared" si="193"/>
        <v>0</v>
      </c>
      <c r="JL37" s="931">
        <f t="shared" si="130"/>
        <v>0</v>
      </c>
      <c r="JM37" s="931"/>
      <c r="JN37" s="931"/>
      <c r="JO37" s="1188"/>
      <c r="JP37" s="931">
        <f t="shared" si="41"/>
        <v>0</v>
      </c>
      <c r="JQ37" s="931">
        <f t="shared" si="42"/>
        <v>0</v>
      </c>
      <c r="JR37" s="145"/>
      <c r="JS37" s="934" t="str">
        <f t="shared" si="131"/>
        <v/>
      </c>
      <c r="JT37" s="935">
        <f t="shared" si="89"/>
        <v>0</v>
      </c>
      <c r="JV37" s="230">
        <f t="shared" si="43"/>
        <v>0</v>
      </c>
      <c r="JW37" s="934" t="str">
        <f t="shared" si="44"/>
        <v/>
      </c>
      <c r="JY37" s="934" t="str">
        <f t="shared" si="168"/>
        <v/>
      </c>
      <c r="JZ37" s="934" t="str">
        <f t="shared" si="169"/>
        <v/>
      </c>
      <c r="KA37" s="934" t="str">
        <f t="shared" si="170"/>
        <v/>
      </c>
      <c r="KB37" s="934" t="str">
        <f t="shared" si="171"/>
        <v/>
      </c>
      <c r="KC37" s="934" t="str">
        <f t="shared" si="172"/>
        <v/>
      </c>
      <c r="KD37" s="934" t="str">
        <f t="shared" si="173"/>
        <v/>
      </c>
      <c r="KE37" s="934" t="str">
        <f t="shared" si="174"/>
        <v/>
      </c>
      <c r="KF37" s="934" t="str">
        <f t="shared" si="175"/>
        <v/>
      </c>
      <c r="KH37" s="931">
        <f t="shared" si="133"/>
        <v>0</v>
      </c>
      <c r="KI37" s="931">
        <f t="shared" si="134"/>
        <v>0</v>
      </c>
      <c r="KJ37" s="931">
        <f t="shared" si="135"/>
        <v>0</v>
      </c>
      <c r="KK37" s="931">
        <f t="shared" si="136"/>
        <v>0</v>
      </c>
      <c r="KL37" s="931">
        <f t="shared" si="137"/>
        <v>0</v>
      </c>
      <c r="KM37" s="931">
        <f t="shared" si="138"/>
        <v>0</v>
      </c>
      <c r="KN37" s="931">
        <f t="shared" si="139"/>
        <v>0</v>
      </c>
      <c r="KO37" s="931">
        <f t="shared" si="140"/>
        <v>0</v>
      </c>
      <c r="KQ37" s="230">
        <f t="shared" si="141"/>
        <v>0</v>
      </c>
      <c r="KR37" s="230">
        <f t="shared" si="142"/>
        <v>0</v>
      </c>
      <c r="KS37" s="230">
        <f t="shared" si="143"/>
        <v>0</v>
      </c>
      <c r="KT37" s="230">
        <f t="shared" si="144"/>
        <v>0</v>
      </c>
      <c r="KU37" s="230">
        <f t="shared" si="145"/>
        <v>0</v>
      </c>
      <c r="KV37" s="230">
        <f t="shared" si="146"/>
        <v>0</v>
      </c>
      <c r="KW37" s="230">
        <f t="shared" si="147"/>
        <v>0</v>
      </c>
      <c r="KX37" s="230">
        <f t="shared" si="148"/>
        <v>0</v>
      </c>
      <c r="KY37" s="230">
        <f t="shared" si="149"/>
        <v>0</v>
      </c>
      <c r="KZ37" s="230" t="e">
        <f t="shared" si="150"/>
        <v>#DIV/0!</v>
      </c>
      <c r="LB37" s="931">
        <f t="shared" si="151"/>
        <v>0</v>
      </c>
      <c r="LC37" s="931">
        <f t="shared" si="151"/>
        <v>0</v>
      </c>
      <c r="LD37" s="931">
        <f t="shared" si="151"/>
        <v>0</v>
      </c>
      <c r="LE37" s="931">
        <f t="shared" si="151"/>
        <v>0</v>
      </c>
      <c r="LF37" s="931">
        <f t="shared" si="151"/>
        <v>0</v>
      </c>
      <c r="LG37" s="931">
        <f t="shared" si="151"/>
        <v>0</v>
      </c>
      <c r="LH37" s="931">
        <f t="shared" si="151"/>
        <v>0</v>
      </c>
      <c r="LI37" s="931">
        <f t="shared" si="151"/>
        <v>0</v>
      </c>
      <c r="LJ37" s="931">
        <f t="shared" si="151"/>
        <v>0</v>
      </c>
      <c r="LK37" s="931">
        <f t="shared" si="151"/>
        <v>0</v>
      </c>
      <c r="LL37" s="931">
        <f t="shared" si="151"/>
        <v>0</v>
      </c>
      <c r="LM37" s="931">
        <f t="shared" si="151"/>
        <v>0</v>
      </c>
      <c r="LN37" s="931"/>
      <c r="LO37" s="931"/>
      <c r="LR37" s="230" t="str">
        <f t="shared" si="152"/>
        <v xml:space="preserve"> </v>
      </c>
      <c r="LS37" s="230" t="str">
        <f t="shared" si="153"/>
        <v xml:space="preserve"> </v>
      </c>
      <c r="LT37" s="230" t="str">
        <f t="shared" si="154"/>
        <v xml:space="preserve"> </v>
      </c>
      <c r="LU37" s="230" t="str">
        <f t="shared" si="155"/>
        <v xml:space="preserve"> </v>
      </c>
      <c r="LV37" s="230" t="str">
        <f t="shared" si="156"/>
        <v xml:space="preserve"> </v>
      </c>
      <c r="LW37" s="230" t="str">
        <f t="shared" si="157"/>
        <v xml:space="preserve"> </v>
      </c>
      <c r="LX37" s="230" t="str">
        <f t="shared" si="158"/>
        <v xml:space="preserve"> </v>
      </c>
      <c r="LZ37" s="931">
        <f t="shared" si="159"/>
        <v>0</v>
      </c>
      <c r="MA37" s="931">
        <f t="shared" si="160"/>
        <v>0</v>
      </c>
      <c r="MB37" s="931">
        <f t="shared" si="161"/>
        <v>0</v>
      </c>
      <c r="MC37" s="931">
        <f t="shared" si="162"/>
        <v>0</v>
      </c>
      <c r="MD37" s="931">
        <f t="shared" si="163"/>
        <v>0</v>
      </c>
      <c r="ME37" s="931">
        <f t="shared" si="164"/>
        <v>0</v>
      </c>
      <c r="MF37" s="931">
        <f t="shared" si="165"/>
        <v>0</v>
      </c>
      <c r="MH37" s="230">
        <f t="shared" si="184"/>
        <v>0</v>
      </c>
      <c r="MI37" s="230">
        <f t="shared" si="185"/>
        <v>0</v>
      </c>
      <c r="MJ37" s="230">
        <f t="shared" si="186"/>
        <v>0</v>
      </c>
      <c r="MK37" s="230">
        <f t="shared" si="187"/>
        <v>0</v>
      </c>
      <c r="ML37" s="230">
        <f t="shared" si="188"/>
        <v>0</v>
      </c>
      <c r="MM37" s="230">
        <f t="shared" si="189"/>
        <v>0</v>
      </c>
      <c r="MN37" s="230">
        <f t="shared" si="190"/>
        <v>0</v>
      </c>
      <c r="MO37" s="230">
        <f t="shared" si="191"/>
        <v>0</v>
      </c>
      <c r="MP37" s="230" t="e">
        <f t="shared" si="192"/>
        <v>#DIV/0!</v>
      </c>
    </row>
    <row r="38" spans="1:354" outlineLevel="1">
      <c r="A38" s="884"/>
      <c r="B38" s="70"/>
      <c r="E38" s="66"/>
      <c r="F38" s="66"/>
      <c r="G38" s="66"/>
      <c r="H38" s="66"/>
      <c r="I38" s="66"/>
      <c r="J38" s="66"/>
      <c r="K38" s="66"/>
      <c r="L38" s="66"/>
      <c r="M38" s="66"/>
      <c r="N38" s="66"/>
      <c r="O38" s="66"/>
      <c r="P38" s="66"/>
      <c r="Q38" s="102"/>
      <c r="R38" s="66"/>
      <c r="S38" s="66"/>
      <c r="T38" s="66"/>
      <c r="U38" s="66"/>
      <c r="V38" s="66"/>
      <c r="W38" s="66"/>
      <c r="X38" s="66"/>
      <c r="Y38" s="66"/>
      <c r="Z38" s="66"/>
      <c r="AA38" s="66"/>
      <c r="AB38" s="66"/>
      <c r="AC38" s="102"/>
      <c r="AD38" s="66"/>
      <c r="AE38" s="66"/>
      <c r="AF38" s="66"/>
      <c r="AG38" s="66"/>
      <c r="AH38" s="66"/>
      <c r="AI38" s="66"/>
      <c r="AJ38" s="66"/>
      <c r="AK38" s="66"/>
      <c r="AL38" s="66"/>
      <c r="AM38" s="66"/>
      <c r="AN38" s="66"/>
      <c r="AO38" s="66"/>
      <c r="AP38" s="88"/>
      <c r="AQ38" s="942"/>
      <c r="AR38" s="942"/>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873"/>
      <c r="DR38" s="873"/>
      <c r="DS38" s="873"/>
      <c r="DT38" s="873"/>
      <c r="DU38" s="873"/>
      <c r="DV38" s="873"/>
      <c r="DW38" s="873"/>
      <c r="DX38" s="873"/>
      <c r="DY38" s="873"/>
      <c r="DZ38" s="873"/>
      <c r="EA38" s="873"/>
      <c r="EB38" s="873"/>
      <c r="EC38" s="873"/>
      <c r="ED38" s="873"/>
      <c r="EE38" s="873"/>
      <c r="EF38" s="873"/>
      <c r="EH38" s="66"/>
      <c r="EI38" s="66"/>
      <c r="EJ38" s="66"/>
      <c r="EK38" s="66"/>
      <c r="EL38" s="66"/>
      <c r="EM38" s="66"/>
      <c r="EN38" s="66"/>
      <c r="EO38" s="66"/>
      <c r="EP38" s="66"/>
      <c r="EQ38" s="66"/>
      <c r="ER38" s="66"/>
      <c r="ES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D38" s="66"/>
      <c r="HE38" s="66"/>
      <c r="HF38" s="66"/>
      <c r="HG38" s="66"/>
      <c r="HH38" s="66"/>
      <c r="HI38" s="66"/>
      <c r="HJ38" s="66">
        <f t="shared" si="112"/>
        <v>0</v>
      </c>
      <c r="HK38" s="66">
        <f t="shared" si="113"/>
        <v>0</v>
      </c>
      <c r="HL38" s="873">
        <f>+SUMIF($E$6:SEW$6,HL$7,$E38:SEW38)</f>
        <v>0</v>
      </c>
      <c r="HM38" s="873">
        <f>+SUMIF($E$6:SEX$6,HM$7,$E38:SEX38)</f>
        <v>0</v>
      </c>
      <c r="HN38" s="873">
        <f>+SUMIF($E$6:SEY$6,HN$7,$E38:SEY38)</f>
        <v>0</v>
      </c>
      <c r="HO38" s="66"/>
      <c r="HP38" s="873"/>
      <c r="HR38" s="50"/>
      <c r="HS38" s="50"/>
      <c r="HT38" s="50"/>
      <c r="HU38" s="922"/>
      <c r="HV38" s="922"/>
      <c r="HW38" s="922"/>
      <c r="HX38" s="922"/>
      <c r="HY38" s="922"/>
      <c r="HZ38" s="922"/>
      <c r="IA38" s="922" t="str">
        <f t="shared" si="17"/>
        <v/>
      </c>
      <c r="IB38" s="50"/>
      <c r="IC38" s="922" t="str">
        <f t="shared" si="19"/>
        <v/>
      </c>
      <c r="IE38" s="66"/>
      <c r="IF38" s="66"/>
      <c r="IG38" s="66"/>
      <c r="IH38" s="66"/>
      <c r="II38" s="66">
        <f t="shared" si="100"/>
        <v>0</v>
      </c>
      <c r="IJ38" s="66">
        <f t="shared" si="101"/>
        <v>0</v>
      </c>
      <c r="IK38" s="66">
        <f t="shared" si="102"/>
        <v>0</v>
      </c>
      <c r="IL38" s="66">
        <f t="shared" si="27"/>
        <v>0</v>
      </c>
      <c r="IM38" s="66"/>
      <c r="IN38" s="66">
        <f t="shared" si="29"/>
        <v>0</v>
      </c>
      <c r="IP38" s="50"/>
      <c r="IQ38" s="50"/>
      <c r="IR38" s="50"/>
      <c r="IS38" s="50"/>
      <c r="IT38" s="50"/>
      <c r="IU38" s="50"/>
      <c r="IV38" s="50"/>
      <c r="IW38" s="50"/>
      <c r="IX38" s="50"/>
      <c r="IY38" s="50"/>
      <c r="JA38" s="66"/>
      <c r="JB38" s="66"/>
      <c r="JC38" s="66"/>
      <c r="JD38" s="66"/>
      <c r="JE38" s="66"/>
      <c r="JF38" s="66"/>
      <c r="JG38" s="66"/>
      <c r="JH38" s="66"/>
      <c r="JI38" s="66"/>
      <c r="JJ38" s="66"/>
      <c r="JK38" s="66"/>
      <c r="JL38" s="66"/>
      <c r="JM38" s="66"/>
      <c r="JN38" s="66"/>
      <c r="JO38" s="1188"/>
      <c r="JP38" s="66"/>
      <c r="JQ38" s="66"/>
      <c r="JR38" s="88"/>
      <c r="JS38" s="50"/>
      <c r="JT38" s="66"/>
      <c r="JV38" s="50"/>
      <c r="JW38" s="50"/>
      <c r="JY38" s="50"/>
      <c r="JZ38" s="50"/>
      <c r="KA38" s="50"/>
      <c r="KB38" s="50"/>
      <c r="KC38" s="50"/>
      <c r="KD38" s="50"/>
      <c r="KE38" s="50"/>
      <c r="KF38" s="50"/>
      <c r="KH38" s="66"/>
      <c r="KI38" s="66"/>
      <c r="KJ38" s="66"/>
      <c r="KK38" s="66"/>
      <c r="KL38" s="66"/>
      <c r="KM38" s="66"/>
      <c r="KN38" s="66"/>
      <c r="KO38" s="66"/>
      <c r="KQ38" s="50"/>
      <c r="KR38" s="50"/>
      <c r="KS38" s="50"/>
      <c r="KT38" s="50"/>
      <c r="KU38" s="50"/>
      <c r="KV38" s="50"/>
      <c r="KW38" s="50"/>
      <c r="KX38" s="50"/>
      <c r="KY38" s="50"/>
      <c r="KZ38" s="50"/>
      <c r="LB38" s="66"/>
      <c r="LC38" s="66"/>
      <c r="LD38" s="66"/>
      <c r="LE38" s="66"/>
      <c r="LF38" s="66"/>
      <c r="LG38" s="66"/>
      <c r="LH38" s="66"/>
      <c r="LI38" s="66"/>
      <c r="LJ38" s="66"/>
      <c r="LK38" s="66"/>
      <c r="LL38" s="66"/>
      <c r="LM38" s="66"/>
      <c r="LN38" s="66"/>
      <c r="LO38" s="66"/>
      <c r="LR38" s="50"/>
      <c r="LS38" s="50"/>
      <c r="LT38" s="50"/>
      <c r="LU38" s="50"/>
      <c r="LV38" s="50"/>
      <c r="LW38" s="50"/>
      <c r="LX38" s="50"/>
      <c r="LZ38" s="66"/>
      <c r="MA38" s="66"/>
      <c r="MB38" s="66"/>
      <c r="MC38" s="66"/>
      <c r="MD38" s="66"/>
      <c r="ME38" s="66"/>
      <c r="MF38" s="66"/>
      <c r="MH38" s="50"/>
      <c r="MI38" s="50"/>
      <c r="MJ38" s="50"/>
      <c r="MK38" s="50"/>
      <c r="ML38" s="50"/>
      <c r="MM38" s="50"/>
      <c r="MN38" s="50"/>
      <c r="MO38" s="50"/>
      <c r="MP38" s="50"/>
    </row>
    <row r="39" spans="1:354">
      <c r="A39" s="884"/>
      <c r="B39" s="70"/>
      <c r="C39" s="1524" t="s">
        <v>75</v>
      </c>
      <c r="D39" s="1525" t="s">
        <v>59</v>
      </c>
      <c r="E39" s="1526">
        <f t="shared" ref="E39:BP39" si="196">+E11+E21</f>
        <v>-1040.3704603599999</v>
      </c>
      <c r="F39" s="1526">
        <f t="shared" si="196"/>
        <v>1359.5178789600004</v>
      </c>
      <c r="G39" s="1526">
        <f t="shared" si="196"/>
        <v>635.09937994000029</v>
      </c>
      <c r="H39" s="1526">
        <f t="shared" si="196"/>
        <v>898.15166613000065</v>
      </c>
      <c r="I39" s="1526">
        <f t="shared" si="196"/>
        <v>1758.4973033699987</v>
      </c>
      <c r="J39" s="1526">
        <f t="shared" si="196"/>
        <v>833.81255290999934</v>
      </c>
      <c r="K39" s="1526">
        <f t="shared" si="196"/>
        <v>1080.5166749999985</v>
      </c>
      <c r="L39" s="1526">
        <f t="shared" si="196"/>
        <v>1764.4498180100015</v>
      </c>
      <c r="M39" s="1526">
        <f t="shared" si="196"/>
        <v>1698.2245571400015</v>
      </c>
      <c r="N39" s="1526">
        <f t="shared" si="196"/>
        <v>1413.593455379998</v>
      </c>
      <c r="O39" s="1526">
        <f t="shared" si="196"/>
        <v>2073.3796449300025</v>
      </c>
      <c r="P39" s="1526">
        <f t="shared" si="196"/>
        <v>890.28397530999791</v>
      </c>
      <c r="Q39" s="1526">
        <f t="shared" si="196"/>
        <v>-51.94547945999966</v>
      </c>
      <c r="R39" s="1526">
        <f t="shared" si="196"/>
        <v>1685.59715637</v>
      </c>
      <c r="S39" s="1526">
        <f t="shared" si="196"/>
        <v>326.67918359999999</v>
      </c>
      <c r="T39" s="1526">
        <f t="shared" si="196"/>
        <v>-201.79397314999778</v>
      </c>
      <c r="U39" s="1526">
        <f t="shared" si="196"/>
        <v>1974.51820666</v>
      </c>
      <c r="V39" s="1526">
        <f t="shared" si="196"/>
        <v>1632.906313559997</v>
      </c>
      <c r="W39" s="1526">
        <f t="shared" si="196"/>
        <v>1004.6899306299988</v>
      </c>
      <c r="X39" s="1526">
        <f t="shared" si="196"/>
        <v>1345.7232652800019</v>
      </c>
      <c r="Y39" s="1526">
        <f t="shared" si="196"/>
        <v>-193.31878153999833</v>
      </c>
      <c r="Z39" s="1526">
        <f t="shared" si="196"/>
        <v>565.46575625999662</v>
      </c>
      <c r="AA39" s="1526">
        <f t="shared" si="196"/>
        <v>3099.7269622900003</v>
      </c>
      <c r="AB39" s="1526">
        <f t="shared" si="196"/>
        <v>3088.7708836100073</v>
      </c>
      <c r="AC39" s="1526">
        <f t="shared" si="196"/>
        <v>-46.689008140000169</v>
      </c>
      <c r="AD39" s="1526">
        <f t="shared" si="196"/>
        <v>2116.4745471400001</v>
      </c>
      <c r="AE39" s="1526">
        <f t="shared" si="196"/>
        <v>863.01435854999977</v>
      </c>
      <c r="AF39" s="1526">
        <f t="shared" si="196"/>
        <v>1327.2196724000005</v>
      </c>
      <c r="AG39" s="1526">
        <f t="shared" si="196"/>
        <v>1274.2845223800005</v>
      </c>
      <c r="AH39" s="1526">
        <f t="shared" si="196"/>
        <v>935.25963992000038</v>
      </c>
      <c r="AI39" s="1526">
        <f t="shared" si="196"/>
        <v>744.76160376000007</v>
      </c>
      <c r="AJ39" s="1526">
        <f t="shared" si="196"/>
        <v>1287.2960330399999</v>
      </c>
      <c r="AK39" s="1526">
        <f t="shared" si="196"/>
        <v>1255.6724403899996</v>
      </c>
      <c r="AL39" s="1526">
        <f t="shared" si="196"/>
        <v>1622.54049586</v>
      </c>
      <c r="AM39" s="1526">
        <f t="shared" si="196"/>
        <v>3883.7513153900004</v>
      </c>
      <c r="AN39" s="1526">
        <f t="shared" si="196"/>
        <v>919.50887505999799</v>
      </c>
      <c r="AO39" s="1526">
        <f t="shared" si="196"/>
        <v>1626.1947361300004</v>
      </c>
      <c r="AP39" s="1526">
        <f t="shared" si="196"/>
        <v>131.13817431000007</v>
      </c>
      <c r="AQ39" s="1526">
        <f t="shared" si="196"/>
        <v>485.5715526099998</v>
      </c>
      <c r="AR39" s="1526">
        <f t="shared" si="196"/>
        <v>411.85006973999975</v>
      </c>
      <c r="AS39" s="1526">
        <f t="shared" si="196"/>
        <v>-582.2379642100002</v>
      </c>
      <c r="AT39" s="1526">
        <f t="shared" si="196"/>
        <v>-229.60944749999999</v>
      </c>
      <c r="AU39" s="1526">
        <f t="shared" si="196"/>
        <v>615.58678015000032</v>
      </c>
      <c r="AV39" s="1526">
        <f t="shared" si="196"/>
        <v>630.68881863000013</v>
      </c>
      <c r="AW39" s="1526">
        <f t="shared" si="196"/>
        <v>592.23604336999961</v>
      </c>
      <c r="AX39" s="1526">
        <f t="shared" si="196"/>
        <v>580.94852906999995</v>
      </c>
      <c r="AY39" s="1526">
        <f t="shared" si="196"/>
        <v>-25.422038000000157</v>
      </c>
      <c r="AZ39" s="1526">
        <f t="shared" si="196"/>
        <v>-163.42629369999975</v>
      </c>
      <c r="BA39" s="1526">
        <f t="shared" si="196"/>
        <v>180.66469269999999</v>
      </c>
      <c r="BB39" s="1526">
        <f t="shared" si="196"/>
        <v>-193.42422410000012</v>
      </c>
      <c r="BC39" s="1526">
        <f t="shared" si="196"/>
        <v>-121.88552731000001</v>
      </c>
      <c r="BD39" s="1526">
        <f t="shared" si="196"/>
        <v>-202.78344271999998</v>
      </c>
      <c r="BE39" s="1526">
        <f t="shared" si="196"/>
        <v>71.967869529999973</v>
      </c>
      <c r="BF39" s="1526">
        <f t="shared" si="196"/>
        <v>-284.44320932999995</v>
      </c>
      <c r="BG39" s="1526">
        <f t="shared" si="196"/>
        <v>-12.148296490000064</v>
      </c>
      <c r="BH39" s="1526">
        <f t="shared" si="196"/>
        <v>150.19845852999987</v>
      </c>
      <c r="BI39" s="1526">
        <f t="shared" si="196"/>
        <v>-41.468103460000151</v>
      </c>
      <c r="BJ39" s="1526">
        <f t="shared" si="196"/>
        <v>92.405414860000064</v>
      </c>
      <c r="BK39" s="1526">
        <f t="shared" si="196"/>
        <v>566.57648766000011</v>
      </c>
      <c r="BL39" s="1526">
        <f t="shared" si="196"/>
        <v>810.33013985000025</v>
      </c>
      <c r="BM39" s="1526">
        <f t="shared" si="196"/>
        <v>457.71333386999993</v>
      </c>
      <c r="BN39" s="1526">
        <f t="shared" si="196"/>
        <v>452.45824948999996</v>
      </c>
      <c r="BO39" s="1526">
        <f t="shared" si="196"/>
        <v>449.42493248999995</v>
      </c>
      <c r="BP39" s="1526">
        <f t="shared" si="196"/>
        <v>680.83882277000032</v>
      </c>
      <c r="BQ39" s="1526">
        <f t="shared" ref="BQ39:EB39" si="197">+BQ11+BQ21</f>
        <v>314.04213295999989</v>
      </c>
      <c r="BR39" s="1526">
        <f t="shared" si="197"/>
        <v>378.93736509000007</v>
      </c>
      <c r="BS39" s="1526">
        <f t="shared" si="197"/>
        <v>363.27293327000007</v>
      </c>
      <c r="BT39" s="1526">
        <f t="shared" si="197"/>
        <v>411.02498418000016</v>
      </c>
      <c r="BU39" s="1526">
        <f t="shared" si="197"/>
        <v>317.09247554000012</v>
      </c>
      <c r="BV39" s="1526">
        <f t="shared" si="197"/>
        <v>572.71890607999978</v>
      </c>
      <c r="BW39" s="1526">
        <f t="shared" si="197"/>
        <v>582.09371721000036</v>
      </c>
      <c r="BX39" s="1526">
        <f t="shared" si="197"/>
        <v>321.69889568000031</v>
      </c>
      <c r="BY39" s="1526">
        <f t="shared" si="197"/>
        <v>270.12846658000012</v>
      </c>
      <c r="BZ39" s="1526">
        <f t="shared" si="197"/>
        <v>301.8723840900002</v>
      </c>
      <c r="CA39" s="1526">
        <f t="shared" si="197"/>
        <v>345.02850125000009</v>
      </c>
      <c r="CB39" s="1526">
        <f t="shared" si="197"/>
        <v>197.34809533000009</v>
      </c>
      <c r="CC39" s="1526">
        <f t="shared" si="197"/>
        <v>139.17570094000007</v>
      </c>
      <c r="CD39" s="1526">
        <f t="shared" si="197"/>
        <v>260.96305595999979</v>
      </c>
      <c r="CE39" s="1526">
        <f t="shared" si="197"/>
        <v>317.10696023999992</v>
      </c>
      <c r="CF39" s="1526">
        <f t="shared" si="197"/>
        <v>824.45657909000022</v>
      </c>
      <c r="CG39" s="1526">
        <f t="shared" si="197"/>
        <v>263.06424321999998</v>
      </c>
      <c r="CH39" s="1526">
        <f t="shared" si="197"/>
        <v>423.33955997000021</v>
      </c>
      <c r="CI39" s="1526">
        <f t="shared" si="197"/>
        <v>810.82448919000012</v>
      </c>
      <c r="CJ39" s="1526">
        <f t="shared" si="197"/>
        <v>515.92466417999981</v>
      </c>
      <c r="CK39" s="1526">
        <f t="shared" si="197"/>
        <v>433.23240773999964</v>
      </c>
      <c r="CL39" s="1526">
        <f t="shared" si="197"/>
        <v>246.18826133999983</v>
      </c>
      <c r="CM39" s="1526">
        <f t="shared" si="197"/>
        <v>717.01440774000002</v>
      </c>
      <c r="CN39" s="1526">
        <f t="shared" si="197"/>
        <v>439.07464460999995</v>
      </c>
      <c r="CO39" s="1526">
        <f t="shared" si="197"/>
        <v>714.87249671999984</v>
      </c>
      <c r="CP39" s="1526">
        <f t="shared" si="197"/>
        <v>358.98761847999981</v>
      </c>
      <c r="CQ39" s="1526">
        <f t="shared" si="197"/>
        <v>577.76121343</v>
      </c>
      <c r="CR39" s="1526">
        <f t="shared" si="197"/>
        <v>601.26161599000011</v>
      </c>
      <c r="CS39" s="1526">
        <f t="shared" si="197"/>
        <v>666.35480468999981</v>
      </c>
      <c r="CT39" s="1526">
        <f t="shared" si="197"/>
        <v>1058.7116073900002</v>
      </c>
      <c r="CU39" s="1526">
        <f t="shared" si="197"/>
        <v>709.03457459000015</v>
      </c>
      <c r="CV39" s="1526">
        <f t="shared" si="197"/>
        <v>530.63791900999968</v>
      </c>
      <c r="CW39" s="1526">
        <f t="shared" si="197"/>
        <v>685.7455875600001</v>
      </c>
      <c r="CX39" s="1526">
        <f t="shared" si="197"/>
        <v>511.7975396199995</v>
      </c>
      <c r="CY39" s="1526">
        <f t="shared" si="197"/>
        <v>896.82260180000037</v>
      </c>
      <c r="CZ39" s="1526">
        <f t="shared" si="197"/>
        <v>125.72410431000014</v>
      </c>
      <c r="DA39" s="1526">
        <f t="shared" si="197"/>
        <v>192.95408998000008</v>
      </c>
      <c r="DB39" s="1526">
        <f t="shared" si="197"/>
        <v>-4.4781833100000199</v>
      </c>
      <c r="DC39" s="1526">
        <f t="shared" si="197"/>
        <v>69.400530960000026</v>
      </c>
      <c r="DD39" s="1526">
        <f t="shared" si="197"/>
        <v>506.1361452000001</v>
      </c>
      <c r="DE39" s="1526">
        <f t="shared" si="197"/>
        <v>398.58417361999989</v>
      </c>
      <c r="DF39" s="1526">
        <f t="shared" si="197"/>
        <v>513.22671016000004</v>
      </c>
      <c r="DG39" s="1526">
        <f t="shared" si="197"/>
        <v>149.32975719999979</v>
      </c>
      <c r="DH39" s="1526">
        <f t="shared" si="197"/>
        <v>441.46484845999987</v>
      </c>
      <c r="DI39" s="1526">
        <f t="shared" si="197"/>
        <v>341.39880724000011</v>
      </c>
      <c r="DJ39" s="1526">
        <f t="shared" si="197"/>
        <v>194.95724435000022</v>
      </c>
      <c r="DK39" s="1526">
        <f t="shared" si="197"/>
        <v>415.72024034000015</v>
      </c>
      <c r="DL39" s="1526">
        <f t="shared" si="197"/>
        <v>536.58631119999995</v>
      </c>
      <c r="DM39" s="1526">
        <f t="shared" si="197"/>
        <v>389.90847067999982</v>
      </c>
      <c r="DN39" s="1526">
        <f t="shared" si="197"/>
        <v>349.89760381000031</v>
      </c>
      <c r="DO39" s="1526">
        <f t="shared" si="197"/>
        <v>434.5837312899996</v>
      </c>
      <c r="DP39" s="1526">
        <f t="shared" si="197"/>
        <v>620.95373801999995</v>
      </c>
      <c r="DQ39" s="1527">
        <f t="shared" si="197"/>
        <v>510.76769375999993</v>
      </c>
      <c r="DR39" s="1527">
        <f t="shared" si="197"/>
        <v>608.96833887000003</v>
      </c>
      <c r="DS39" s="1527">
        <f t="shared" si="197"/>
        <v>464.42828836999979</v>
      </c>
      <c r="DT39" s="1527">
        <f t="shared" si="197"/>
        <v>685.80971504999957</v>
      </c>
      <c r="DU39" s="1527">
        <f t="shared" si="197"/>
        <v>640.52722529999983</v>
      </c>
      <c r="DV39" s="1527">
        <f t="shared" si="197"/>
        <v>261.27018605999979</v>
      </c>
      <c r="DW39" s="1527">
        <f t="shared" si="197"/>
        <v>473.5049521200001</v>
      </c>
      <c r="DX39" s="1527">
        <f t="shared" si="197"/>
        <v>297.65350936999994</v>
      </c>
      <c r="DY39" s="1527">
        <f t="shared" si="197"/>
        <v>411.86171761000014</v>
      </c>
      <c r="DZ39" s="1527">
        <f t="shared" si="197"/>
        <v>795.14805463000039</v>
      </c>
      <c r="EA39" s="1527">
        <f t="shared" si="197"/>
        <v>712.66348449999964</v>
      </c>
      <c r="EB39" s="1527">
        <f t="shared" si="197"/>
        <v>888.30726885000013</v>
      </c>
      <c r="EC39" s="1527">
        <f t="shared" ref="EC39:EF39" si="198">+EC11+EC21</f>
        <v>1058.1517264900006</v>
      </c>
      <c r="ED39" s="1527">
        <f t="shared" si="198"/>
        <v>1692.5232900700003</v>
      </c>
      <c r="EE39" s="1527">
        <f t="shared" si="198"/>
        <v>1444.9402416899998</v>
      </c>
      <c r="EF39" s="1527">
        <f t="shared" si="198"/>
        <v>362.9581744799998</v>
      </c>
      <c r="EH39" s="1526">
        <f t="shared" ref="EH39:ES39" si="199">+EH11+EH21</f>
        <v>685.7455875600001</v>
      </c>
      <c r="EI39" s="1526">
        <f t="shared" si="199"/>
        <v>511.80328647999954</v>
      </c>
      <c r="EJ39" s="1526">
        <f t="shared" si="199"/>
        <v>896.82260179999969</v>
      </c>
      <c r="EK39" s="1526">
        <f t="shared" si="199"/>
        <v>125.72410431000009</v>
      </c>
      <c r="EL39" s="1526">
        <f t="shared" si="199"/>
        <v>192.95408998000002</v>
      </c>
      <c r="EM39" s="1526">
        <f t="shared" si="199"/>
        <v>-4.4781833099999631</v>
      </c>
      <c r="EN39" s="1526">
        <f t="shared" si="199"/>
        <v>39.953944985950329</v>
      </c>
      <c r="EO39" s="1526">
        <f t="shared" si="199"/>
        <v>320.94153314430048</v>
      </c>
      <c r="EP39" s="1526">
        <f t="shared" si="199"/>
        <v>243.57056669695032</v>
      </c>
      <c r="EQ39" s="1526">
        <f t="shared" si="199"/>
        <v>85.333611354300103</v>
      </c>
      <c r="ER39" s="1526">
        <f t="shared" si="199"/>
        <v>56.213287178250027</v>
      </c>
      <c r="ES39" s="1526">
        <f t="shared" si="199"/>
        <v>59.516113969000116</v>
      </c>
      <c r="EU39" s="1526">
        <v>1115.0898392066661</v>
      </c>
      <c r="EV39" s="1526">
        <v>239.78083173369282</v>
      </c>
      <c r="EW39" s="1526">
        <v>342.26392447179046</v>
      </c>
      <c r="EX39" s="1526">
        <v>1225.5101365909502</v>
      </c>
      <c r="EY39" s="1526">
        <v>838.99318313728327</v>
      </c>
      <c r="EZ39" s="1526">
        <v>1058.5988780851683</v>
      </c>
      <c r="FA39" s="1526">
        <v>1894.8407955621751</v>
      </c>
      <c r="FB39" s="1526">
        <v>2702.4535508298368</v>
      </c>
      <c r="FC39" s="1526">
        <v>1900.6494861805359</v>
      </c>
      <c r="FD39" s="1526">
        <v>2141.9963859800164</v>
      </c>
      <c r="FE39" s="1526">
        <v>1955.4890558677489</v>
      </c>
      <c r="FF39" s="1526">
        <v>1852.3082341793379</v>
      </c>
      <c r="FG39" s="1526">
        <f t="shared" ref="FG39:HB39" si="200">+FG11+FG21</f>
        <v>144.18134055873412</v>
      </c>
      <c r="FH39" s="1526">
        <f t="shared" si="200"/>
        <v>349.2720625888893</v>
      </c>
      <c r="FI39" s="1526">
        <f t="shared" si="200"/>
        <v>328.25723923355861</v>
      </c>
      <c r="FJ39" s="1526">
        <f t="shared" si="200"/>
        <v>303.45254278069172</v>
      </c>
      <c r="FK39" s="1526">
        <f t="shared" si="200"/>
        <v>388.82029015445403</v>
      </c>
      <c r="FL39" s="1526">
        <f t="shared" si="200"/>
        <v>604.78406411532467</v>
      </c>
      <c r="FM39" s="1526">
        <f t="shared" si="200"/>
        <v>653.81082968626424</v>
      </c>
      <c r="FN39" s="1526">
        <f t="shared" si="200"/>
        <v>709.86322849652004</v>
      </c>
      <c r="FO39" s="1526">
        <f t="shared" si="200"/>
        <v>701.45026096711581</v>
      </c>
      <c r="FP39" s="1526">
        <f t="shared" si="200"/>
        <v>731.75408324104683</v>
      </c>
      <c r="FQ39" s="1526">
        <f t="shared" si="200"/>
        <v>624.25522048894595</v>
      </c>
      <c r="FR39" s="1526">
        <f t="shared" si="200"/>
        <v>432.14417046932613</v>
      </c>
      <c r="FS39" s="1526">
        <f t="shared" si="200"/>
        <v>322.42281100000002</v>
      </c>
      <c r="FT39" s="1526">
        <f t="shared" si="200"/>
        <v>524.06296800000018</v>
      </c>
      <c r="FU39" s="1526">
        <f t="shared" si="200"/>
        <v>531.7165789999998</v>
      </c>
      <c r="FV39" s="1526">
        <f t="shared" si="200"/>
        <v>474.70117200000004</v>
      </c>
      <c r="FW39" s="1526">
        <f t="shared" si="200"/>
        <v>502.65879900000016</v>
      </c>
      <c r="FX39" s="1526">
        <f t="shared" si="200"/>
        <v>478.42721300000005</v>
      </c>
      <c r="FY39" s="1526">
        <f t="shared" si="200"/>
        <v>491.46254899999985</v>
      </c>
      <c r="FZ39" s="1526">
        <f t="shared" si="200"/>
        <v>286.69307399999997</v>
      </c>
      <c r="GA39" s="1526">
        <f t="shared" si="200"/>
        <v>179.9468599999999</v>
      </c>
      <c r="GB39" s="1526">
        <f t="shared" si="200"/>
        <v>96.39521400000001</v>
      </c>
      <c r="GC39" s="1526">
        <f t="shared" si="200"/>
        <v>157.50663199999985</v>
      </c>
      <c r="GD39" s="1526">
        <f t="shared" si="200"/>
        <v>100.05079399999994</v>
      </c>
      <c r="GE39" s="1526">
        <f t="shared" si="200"/>
        <v>416.61198261219238</v>
      </c>
      <c r="GF39" s="1526">
        <f t="shared" si="200"/>
        <v>315.25940229133698</v>
      </c>
      <c r="GG39" s="1526">
        <f t="shared" si="200"/>
        <v>262.84974213090914</v>
      </c>
      <c r="GH39" s="1526">
        <f t="shared" si="200"/>
        <v>174.84591314695217</v>
      </c>
      <c r="GI39" s="1526">
        <f t="shared" si="200"/>
        <v>292.9716161309093</v>
      </c>
      <c r="GJ39" s="1526">
        <f t="shared" si="200"/>
        <v>300.11398613090898</v>
      </c>
      <c r="GK39" s="1526">
        <f t="shared" si="200"/>
        <v>360.35884229133706</v>
      </c>
      <c r="GL39" s="1526">
        <f t="shared" si="200"/>
        <v>374.85093729133666</v>
      </c>
      <c r="GM39" s="1526">
        <f t="shared" si="200"/>
        <v>401.62553729133731</v>
      </c>
      <c r="GN39" s="1526">
        <f t="shared" si="200"/>
        <v>523.79276777262021</v>
      </c>
      <c r="GO39" s="1526">
        <f t="shared" si="200"/>
        <v>591.54880809347605</v>
      </c>
      <c r="GP39" s="1526">
        <f t="shared" si="200"/>
        <v>514.03114277262057</v>
      </c>
      <c r="GQ39" s="1526">
        <f t="shared" si="200"/>
        <v>416.61198261219238</v>
      </c>
      <c r="GR39" s="1526">
        <f t="shared" si="200"/>
        <v>315.25940229133698</v>
      </c>
      <c r="GS39" s="1526">
        <f t="shared" si="200"/>
        <v>262.84974213090914</v>
      </c>
      <c r="GT39" s="1526">
        <f t="shared" si="200"/>
        <v>174.84591314695217</v>
      </c>
      <c r="GU39" s="1526">
        <f t="shared" si="200"/>
        <v>292.9716161309093</v>
      </c>
      <c r="GV39" s="1526">
        <f t="shared" si="200"/>
        <v>300.11398613090898</v>
      </c>
      <c r="GW39" s="1526">
        <f t="shared" si="200"/>
        <v>360.35884229133706</v>
      </c>
      <c r="GX39" s="1526">
        <f t="shared" si="200"/>
        <v>374.85093729133666</v>
      </c>
      <c r="GY39" s="1526">
        <f t="shared" si="200"/>
        <v>401.62553729133731</v>
      </c>
      <c r="GZ39" s="1526">
        <f t="shared" si="200"/>
        <v>523.79276777262021</v>
      </c>
      <c r="HA39" s="1526">
        <f t="shared" si="200"/>
        <v>591.54880809347605</v>
      </c>
      <c r="HB39" s="1526">
        <f t="shared" si="200"/>
        <v>514.03114277262057</v>
      </c>
      <c r="HD39" s="1526">
        <f>+SUMIF($E$6:$AZ$6,HD$7,$E39:$AZ39)</f>
        <v>13365.156446720001</v>
      </c>
      <c r="HE39" s="1526">
        <f>+SUMIF($E$6:$AZ$6,HE$7,$E39:$AZ39)</f>
        <v>14277.019424110007</v>
      </c>
      <c r="HF39" s="1526">
        <f>+SUMIF($E$6:$AZ$6,HF$7,$E39:$AZ39)</f>
        <v>16183.094495749996</v>
      </c>
      <c r="HG39" s="1526">
        <f>+SUMIF($E$6:$AZ$6,HG$7,$E39:$AZ39)</f>
        <v>4073.518960599999</v>
      </c>
      <c r="HH39" s="1526">
        <f>+SUMIF($E$6:$BL$6,HH$7,$E39:$BL39)</f>
        <v>1015.9902597199999</v>
      </c>
      <c r="HI39" s="1526">
        <f>+SUMIF($E$6:$BX$6,HI$7,$E39:$BX39)</f>
        <v>5301.3167486300008</v>
      </c>
      <c r="HJ39" s="1526">
        <f t="shared" si="112"/>
        <v>4669.2327000400001</v>
      </c>
      <c r="HK39" s="1526">
        <f t="shared" si="113"/>
        <v>7053.1315717299976</v>
      </c>
      <c r="HL39" s="1527">
        <f>+SUMIF($E$6:SEW$6,HL$7,$E39:SEW39)</f>
        <v>4486.7079055599997</v>
      </c>
      <c r="HM39" s="1527">
        <f>+SUMIF($E$6:SEX$6,HM$7,$E39:SEX39)</f>
        <v>5553.9801829799999</v>
      </c>
      <c r="HN39" s="1527">
        <f>+SUMIF($E$6:SEY$6,HN$7,$E39:SEY39)</f>
        <v>9039.5098311700003</v>
      </c>
      <c r="HO39" s="1526"/>
      <c r="HP39" s="1527"/>
      <c r="HR39" s="1528">
        <f t="shared" ref="HR39:HZ40" si="201">+IFERROR(HF39/HE39-1,"")</f>
        <v>0.13350651246023704</v>
      </c>
      <c r="HS39" s="1528">
        <f t="shared" si="201"/>
        <v>-0.74828553576883672</v>
      </c>
      <c r="HT39" s="1528">
        <f t="shared" si="201"/>
        <v>-0.75058658875854301</v>
      </c>
      <c r="HU39" s="1528">
        <f t="shared" si="201"/>
        <v>4.2178814687564108</v>
      </c>
      <c r="HV39" s="1528">
        <f t="shared" si="201"/>
        <v>-0.11923151899070128</v>
      </c>
      <c r="HW39" s="1528">
        <f t="shared" si="201"/>
        <v>0.51055473668501783</v>
      </c>
      <c r="HX39" s="1528">
        <f t="shared" si="201"/>
        <v>-0.36387009657619407</v>
      </c>
      <c r="HY39" s="1528">
        <f t="shared" si="201"/>
        <v>0.23787424986980299</v>
      </c>
      <c r="HZ39" s="1528">
        <f t="shared" si="201"/>
        <v>0.62757329579088128</v>
      </c>
      <c r="IA39" s="1528">
        <f t="shared" si="17"/>
        <v>-1</v>
      </c>
      <c r="IB39" s="1528" t="str">
        <f>+IFERROR(HP39/HO39-1,"")</f>
        <v/>
      </c>
      <c r="IC39" s="1528">
        <f t="shared" si="19"/>
        <v>-1</v>
      </c>
      <c r="IE39" s="1526">
        <f>+HF39-HE39</f>
        <v>1906.0750716399889</v>
      </c>
      <c r="IF39" s="1526">
        <f>+HG39-HF39</f>
        <v>-12109.575535149997</v>
      </c>
      <c r="IG39" s="1526">
        <f>+HH39-HG39</f>
        <v>-3057.5287008799992</v>
      </c>
      <c r="IH39" s="1526">
        <f>+HI39-HH39</f>
        <v>4285.326488910001</v>
      </c>
      <c r="II39" s="1526">
        <f t="shared" si="100"/>
        <v>-632.08404859000075</v>
      </c>
      <c r="IJ39" s="1526">
        <f t="shared" si="101"/>
        <v>2383.8988716899976</v>
      </c>
      <c r="IK39" s="1526">
        <f t="shared" si="102"/>
        <v>-2566.4236661699979</v>
      </c>
      <c r="IL39" s="1526">
        <f t="shared" si="27"/>
        <v>-4486.7079055599997</v>
      </c>
      <c r="IM39" s="1526">
        <f>+HP39-HO39</f>
        <v>0</v>
      </c>
      <c r="IN39" s="1526">
        <f t="shared" si="29"/>
        <v>-4486.7079055599997</v>
      </c>
      <c r="IP39" s="1529">
        <f t="shared" ref="IP39:IW39" si="202">+HE39/HE$11</f>
        <v>0.38843451506275067</v>
      </c>
      <c r="IQ39" s="1529">
        <f t="shared" si="202"/>
        <v>0.41091593179328084</v>
      </c>
      <c r="IR39" s="1529">
        <f t="shared" si="202"/>
        <v>0.24171194165245793</v>
      </c>
      <c r="IS39" s="1529">
        <f t="shared" si="202"/>
        <v>0.1651472421907059</v>
      </c>
      <c r="IT39" s="1529">
        <f t="shared" si="202"/>
        <v>0.3889785549230878</v>
      </c>
      <c r="IU39" s="1529">
        <f t="shared" si="202"/>
        <v>0.32996866061968799</v>
      </c>
      <c r="IV39" s="1529">
        <f t="shared" si="202"/>
        <v>0.33223491312955628</v>
      </c>
      <c r="IW39" s="1529">
        <f t="shared" si="202"/>
        <v>0.35552678275137878</v>
      </c>
      <c r="IX39" s="1529" t="e">
        <f>+HO39/HO$11</f>
        <v>#DIV/0!</v>
      </c>
      <c r="IY39" s="1529" t="e">
        <f>+HP39/HP$11</f>
        <v>#DIV/0!</v>
      </c>
      <c r="JA39" s="1526">
        <f t="shared" ref="JA39:JK39" si="203">+IFERROR(SUMIFS($E39:$EG39,$E$6:$EG$6,JA$7,$E$5:$EG$5,"&lt;="&amp;$JC$5),"NA")</f>
        <v>13365.156446720001</v>
      </c>
      <c r="JB39" s="1526">
        <f t="shared" si="203"/>
        <v>14277.019424110007</v>
      </c>
      <c r="JC39" s="1526">
        <f t="shared" si="203"/>
        <v>16183.094495749996</v>
      </c>
      <c r="JD39" s="1526">
        <f t="shared" si="203"/>
        <v>4073.518960599999</v>
      </c>
      <c r="JE39" s="1526">
        <f t="shared" si="203"/>
        <v>1015.9902597199999</v>
      </c>
      <c r="JF39" s="1526">
        <f t="shared" si="203"/>
        <v>5301.3167486300008</v>
      </c>
      <c r="JG39" s="1526">
        <f t="shared" si="203"/>
        <v>4669.2327000400001</v>
      </c>
      <c r="JH39" s="1526">
        <f t="shared" si="203"/>
        <v>7053.1315717299976</v>
      </c>
      <c r="JI39" s="1526">
        <f t="shared" si="203"/>
        <v>4486.7079055599997</v>
      </c>
      <c r="JJ39" s="1526">
        <f t="shared" si="203"/>
        <v>5553.9801829799999</v>
      </c>
      <c r="JK39" s="1526">
        <f t="shared" si="203"/>
        <v>9039.5098311700003</v>
      </c>
      <c r="JL39" s="1526">
        <f>+SUMIF($DU$5:$EF$5,"&lt;="&amp;$JC$5,$DU39:$EF39)</f>
        <v>9039.5098311700003</v>
      </c>
      <c r="JM39" s="1526"/>
      <c r="JN39" s="1526"/>
      <c r="JO39" s="922"/>
      <c r="JP39" s="1526">
        <f>+JL39</f>
        <v>9039.5098311700003</v>
      </c>
      <c r="JQ39" s="1526">
        <f>+JM39</f>
        <v>0</v>
      </c>
      <c r="JR39" s="939"/>
      <c r="JS39" s="1528" t="str">
        <f>+IFERROR(JP39/JQ39,"")</f>
        <v/>
      </c>
      <c r="JT39" s="1530">
        <f>+IFERROR(JP39-JQ39,"NA")</f>
        <v>9039.5098311700003</v>
      </c>
      <c r="JV39" s="1529">
        <f>+JP39/JP$11</f>
        <v>0.29940504804222212</v>
      </c>
      <c r="JW39" s="1528" t="str">
        <f>+IFERROR(JQ39/JQ$11,"")</f>
        <v/>
      </c>
      <c r="JY39" s="1529">
        <f t="shared" ref="JY39:KE39" si="204">+IFERROR(JC39/JB39-1,"NA")</f>
        <v>0.13350651246023704</v>
      </c>
      <c r="JZ39" s="1529">
        <f t="shared" si="204"/>
        <v>-0.74828553576883672</v>
      </c>
      <c r="KA39" s="1529">
        <f t="shared" si="204"/>
        <v>-0.75058658875854301</v>
      </c>
      <c r="KB39" s="1529">
        <f t="shared" si="204"/>
        <v>4.2178814687564108</v>
      </c>
      <c r="KC39" s="1529">
        <f t="shared" si="204"/>
        <v>-0.11923151899070128</v>
      </c>
      <c r="KD39" s="1529">
        <f t="shared" si="204"/>
        <v>0.51055473668501783</v>
      </c>
      <c r="KE39" s="1529">
        <f t="shared" si="204"/>
        <v>-0.36387009657619407</v>
      </c>
      <c r="KF39" s="1529">
        <f>+IFERROR(JN39/JI39-1,"NA")</f>
        <v>-1</v>
      </c>
      <c r="KH39" s="1526">
        <f t="shared" ref="KH39:KN39" si="205">+JC39-JB39</f>
        <v>1906.0750716399889</v>
      </c>
      <c r="KI39" s="1526">
        <f t="shared" si="205"/>
        <v>-12109.575535149997</v>
      </c>
      <c r="KJ39" s="1526">
        <f t="shared" si="205"/>
        <v>-3057.5287008799992</v>
      </c>
      <c r="KK39" s="1526">
        <f t="shared" si="205"/>
        <v>4285.326488910001</v>
      </c>
      <c r="KL39" s="1526">
        <f t="shared" si="205"/>
        <v>-632.08404859000075</v>
      </c>
      <c r="KM39" s="1526">
        <f t="shared" si="205"/>
        <v>2383.8988716899976</v>
      </c>
      <c r="KN39" s="1526">
        <f t="shared" si="205"/>
        <v>-2566.4236661699979</v>
      </c>
      <c r="KO39" s="1526">
        <f>+JN39-JI39</f>
        <v>-4486.7079055599997</v>
      </c>
      <c r="KQ39" s="1529">
        <f t="shared" ref="KQ39:KY39" si="206">+JA39/JA$11</f>
        <v>0.36837521614120688</v>
      </c>
      <c r="KR39" s="1529">
        <f t="shared" si="206"/>
        <v>0.38843451506275067</v>
      </c>
      <c r="KS39" s="1529">
        <f t="shared" si="206"/>
        <v>0.41091593179328084</v>
      </c>
      <c r="KT39" s="1529">
        <f t="shared" si="206"/>
        <v>0.24171194165245793</v>
      </c>
      <c r="KU39" s="1529">
        <f t="shared" si="206"/>
        <v>0.1651472421907059</v>
      </c>
      <c r="KV39" s="1529">
        <f t="shared" si="206"/>
        <v>0.3889785549230878</v>
      </c>
      <c r="KW39" s="1529">
        <f t="shared" si="206"/>
        <v>0.32996866061968799</v>
      </c>
      <c r="KX39" s="1529">
        <f t="shared" si="206"/>
        <v>0.33223491312955628</v>
      </c>
      <c r="KY39" s="1529">
        <f t="shared" si="206"/>
        <v>0.35552678275137878</v>
      </c>
      <c r="KZ39" s="1529" t="e">
        <f>+JN39/JN$11</f>
        <v>#DIV/0!</v>
      </c>
      <c r="LB39" s="1526">
        <f>+SUMIFS($E39:$EG39,$E$6:$EG$6,LB$7,$E$5:$EG$5,$LD$5)</f>
        <v>890.28397530999791</v>
      </c>
      <c r="LC39" s="1526">
        <f t="shared" ref="LC39:LM39" si="207">+SUMIFS($E39:$EG39,$E$6:$EG$6,LC$7,$E$5:$EG$5,$LD$5)</f>
        <v>3088.7708836100073</v>
      </c>
      <c r="LD39" s="1526">
        <f t="shared" si="207"/>
        <v>919.50887505999799</v>
      </c>
      <c r="LE39" s="1526">
        <f t="shared" si="207"/>
        <v>-163.42629369999975</v>
      </c>
      <c r="LF39" s="1526">
        <f t="shared" si="207"/>
        <v>810.33013985000025</v>
      </c>
      <c r="LG39" s="1526">
        <f t="shared" si="207"/>
        <v>321.69889568000031</v>
      </c>
      <c r="LH39" s="1526">
        <f t="shared" si="207"/>
        <v>515.92466417999981</v>
      </c>
      <c r="LI39" s="1526">
        <f t="shared" si="207"/>
        <v>530.63791900999968</v>
      </c>
      <c r="LJ39" s="1526">
        <f t="shared" si="207"/>
        <v>441.46484845999987</v>
      </c>
      <c r="LK39" s="1526">
        <f t="shared" si="207"/>
        <v>685.80971504999957</v>
      </c>
      <c r="LL39" s="1526">
        <f t="shared" si="207"/>
        <v>362.9581744799998</v>
      </c>
      <c r="LM39" s="1526">
        <f t="shared" si="207"/>
        <v>362.9581744799998</v>
      </c>
      <c r="LN39" s="1526"/>
      <c r="LO39" s="1526"/>
      <c r="LR39" s="1529">
        <f t="shared" ref="LR39:LW39" si="208">+IFERROR(LD39/LC39-1," ")</f>
        <v>-0.70230589781223263</v>
      </c>
      <c r="LS39" s="1529">
        <f t="shared" si="208"/>
        <v>-1.1777321547759245</v>
      </c>
      <c r="LT39" s="1529">
        <f t="shared" si="208"/>
        <v>-5.9583828985164189</v>
      </c>
      <c r="LU39" s="1529">
        <f t="shared" si="208"/>
        <v>-0.60300267772398319</v>
      </c>
      <c r="LV39" s="1529">
        <f t="shared" si="208"/>
        <v>0.60375018723470952</v>
      </c>
      <c r="LW39" s="1529">
        <f t="shared" si="208"/>
        <v>2.8518223398729781E-2</v>
      </c>
      <c r="LX39" s="1529">
        <f>+IFERROR(LO39/LI39-1," ")</f>
        <v>-1</v>
      </c>
      <c r="LZ39" s="1526">
        <f t="shared" ref="LZ39:ME39" si="209">+LD39-LC39</f>
        <v>-2169.2620085500093</v>
      </c>
      <c r="MA39" s="1526">
        <f t="shared" si="209"/>
        <v>-1082.9351687599979</v>
      </c>
      <c r="MB39" s="1526">
        <f t="shared" si="209"/>
        <v>973.75643355</v>
      </c>
      <c r="MC39" s="1526">
        <f t="shared" si="209"/>
        <v>-488.63124416999995</v>
      </c>
      <c r="MD39" s="1526">
        <f t="shared" si="209"/>
        <v>194.2257684999995</v>
      </c>
      <c r="ME39" s="1526">
        <f t="shared" si="209"/>
        <v>14.713254829999869</v>
      </c>
      <c r="MF39" s="1526">
        <f>+LO39-LI39</f>
        <v>-530.63791900999968</v>
      </c>
      <c r="MH39" s="1529">
        <f t="shared" ref="MH39:MO39" si="210">+LB39/LB$11</f>
        <v>0.29682620688450045</v>
      </c>
      <c r="MI39" s="1529">
        <f t="shared" si="210"/>
        <v>0.56020295808175169</v>
      </c>
      <c r="MJ39" s="1529">
        <f t="shared" si="210"/>
        <v>0.17937620218583705</v>
      </c>
      <c r="MK39" s="1529">
        <f t="shared" si="210"/>
        <v>-0.28115298743077405</v>
      </c>
      <c r="ML39" s="1529">
        <f t="shared" si="210"/>
        <v>0.53790375879533026</v>
      </c>
      <c r="MM39" s="1529">
        <f t="shared" si="210"/>
        <v>0.31272873961690201</v>
      </c>
      <c r="MN39" s="1529">
        <f t="shared" si="210"/>
        <v>0.33178164990738229</v>
      </c>
      <c r="MO39" s="1529">
        <f t="shared" si="210"/>
        <v>0.28195488990907719</v>
      </c>
      <c r="MP39" s="1529" t="e">
        <f>+LO39/LO$11</f>
        <v>#DIV/0!</v>
      </c>
    </row>
    <row r="40" spans="1:354">
      <c r="A40" s="884"/>
      <c r="B40" s="70"/>
      <c r="C40" s="943" t="s">
        <v>76</v>
      </c>
      <c r="D40" s="944" t="s">
        <v>35</v>
      </c>
      <c r="E40" s="945">
        <f t="shared" ref="E40:AN40" si="211">IFERROR(+E39/E$11,0)</f>
        <v>-1.2445016600872525</v>
      </c>
      <c r="F40" s="945">
        <f t="shared" si="211"/>
        <v>0.45066832930375489</v>
      </c>
      <c r="G40" s="945">
        <f t="shared" si="211"/>
        <v>0.24527541054810281</v>
      </c>
      <c r="H40" s="945">
        <f t="shared" si="211"/>
        <v>0.31586012253631329</v>
      </c>
      <c r="I40" s="945">
        <f t="shared" si="211"/>
        <v>0.50194650311192091</v>
      </c>
      <c r="J40" s="945">
        <f t="shared" si="211"/>
        <v>0.26009310889588977</v>
      </c>
      <c r="K40" s="945">
        <f t="shared" si="211"/>
        <v>0.32624692154434248</v>
      </c>
      <c r="L40" s="945">
        <f t="shared" si="211"/>
        <v>0.49600242923033899</v>
      </c>
      <c r="M40" s="945">
        <f t="shared" si="211"/>
        <v>0.48958610117552348</v>
      </c>
      <c r="N40" s="945">
        <f t="shared" si="211"/>
        <v>0.48989468252745616</v>
      </c>
      <c r="O40" s="945">
        <f t="shared" si="211"/>
        <v>0.51019995359021852</v>
      </c>
      <c r="P40" s="945">
        <f t="shared" si="211"/>
        <v>0.29682620688450045</v>
      </c>
      <c r="Q40" s="945">
        <f t="shared" si="211"/>
        <v>-2.3476536424072516E-2</v>
      </c>
      <c r="R40" s="945">
        <f t="shared" si="211"/>
        <v>0.49033926820260076</v>
      </c>
      <c r="S40" s="945">
        <f t="shared" si="211"/>
        <v>0.16419811401638854</v>
      </c>
      <c r="T40" s="945">
        <f t="shared" si="211"/>
        <v>-0.10186578628734683</v>
      </c>
      <c r="U40" s="945">
        <f t="shared" si="211"/>
        <v>0.48546254453307713</v>
      </c>
      <c r="V40" s="945">
        <f t="shared" si="211"/>
        <v>0.48551501422727433</v>
      </c>
      <c r="W40" s="945">
        <f t="shared" si="211"/>
        <v>0.38386218732625099</v>
      </c>
      <c r="X40" s="945">
        <f t="shared" si="211"/>
        <v>0.43090607884291249</v>
      </c>
      <c r="Y40" s="945">
        <f t="shared" si="211"/>
        <v>-0.14807207345628498</v>
      </c>
      <c r="Z40" s="945">
        <f t="shared" si="211"/>
        <v>0.24374902806454984</v>
      </c>
      <c r="AA40" s="945">
        <f t="shared" si="211"/>
        <v>0.64249460933938329</v>
      </c>
      <c r="AB40" s="945">
        <f t="shared" si="211"/>
        <v>0.56020295808175169</v>
      </c>
      <c r="AC40" s="945">
        <f t="shared" si="211"/>
        <v>-3.109198349860166E-2</v>
      </c>
      <c r="AD40" s="945">
        <f t="shared" si="211"/>
        <v>0.55796478891100043</v>
      </c>
      <c r="AE40" s="945">
        <f t="shared" si="211"/>
        <v>0.32752169325697489</v>
      </c>
      <c r="AF40" s="945">
        <f t="shared" si="211"/>
        <v>0.45164065047611957</v>
      </c>
      <c r="AG40" s="945">
        <f t="shared" si="211"/>
        <v>0.44279122485333444</v>
      </c>
      <c r="AH40" s="945">
        <f t="shared" si="211"/>
        <v>0.37277186700200143</v>
      </c>
      <c r="AI40" s="945">
        <f t="shared" si="211"/>
        <v>0.30416566787725519</v>
      </c>
      <c r="AJ40" s="945">
        <f t="shared" si="211"/>
        <v>0.40695200847508817</v>
      </c>
      <c r="AK40" s="945">
        <f t="shared" si="211"/>
        <v>0.43109202370254684</v>
      </c>
      <c r="AL40" s="945">
        <f t="shared" si="211"/>
        <v>0.44936558328262738</v>
      </c>
      <c r="AM40" s="945">
        <f t="shared" si="211"/>
        <v>0.66204962483899288</v>
      </c>
      <c r="AN40" s="945">
        <f t="shared" si="211"/>
        <v>0.17937620218583705</v>
      </c>
      <c r="AO40" s="945">
        <f>IFERROR(+AO39/AO$11,0)</f>
        <v>0.57512559613449699</v>
      </c>
      <c r="AP40" s="946">
        <v>8.762317359880388E-2</v>
      </c>
      <c r="AQ40" s="945">
        <v>0.30195021315219323</v>
      </c>
      <c r="AR40" s="945">
        <v>0.30928019684951602</v>
      </c>
      <c r="AS40" s="945">
        <v>-0.48703037871199706</v>
      </c>
      <c r="AT40" s="945">
        <v>-0.25664235167331279</v>
      </c>
      <c r="AU40" s="945">
        <v>0.40977605688616187</v>
      </c>
      <c r="AV40" s="945">
        <v>0.44343699115809876</v>
      </c>
      <c r="AW40" s="945">
        <v>0.39278733842995089</v>
      </c>
      <c r="AX40" s="945">
        <v>0.37714880410102203</v>
      </c>
      <c r="AY40" s="945">
        <v>-2.69083261223323E-2</v>
      </c>
      <c r="AZ40" s="945">
        <v>-0.28151485775042823</v>
      </c>
      <c r="BA40" s="945">
        <f t="shared" ref="BA40:DL40" si="212">IFERROR(+BA39/BA$11,0)</f>
        <v>0.34020925690780712</v>
      </c>
      <c r="BB40" s="945">
        <f t="shared" si="212"/>
        <v>-0.5413570932480074</v>
      </c>
      <c r="BC40" s="945">
        <f t="shared" si="212"/>
        <v>-0.52817735915406183</v>
      </c>
      <c r="BD40" s="945">
        <f t="shared" si="212"/>
        <v>-2.0162506961620461</v>
      </c>
      <c r="BE40" s="945">
        <f t="shared" si="212"/>
        <v>0.1515415264970158</v>
      </c>
      <c r="BF40" s="945">
        <f t="shared" si="212"/>
        <v>-0.91154844997985074</v>
      </c>
      <c r="BG40" s="945">
        <f t="shared" si="212"/>
        <v>-3.355449595893354E-2</v>
      </c>
      <c r="BH40" s="945">
        <f t="shared" si="212"/>
        <v>0.35722897208468096</v>
      </c>
      <c r="BI40" s="945">
        <f t="shared" si="212"/>
        <v>-0.17096225516126515</v>
      </c>
      <c r="BJ40" s="945">
        <f t="shared" si="212"/>
        <v>0.15912760285700928</v>
      </c>
      <c r="BK40" s="945">
        <f t="shared" si="212"/>
        <v>0.54837897577709438</v>
      </c>
      <c r="BL40" s="945">
        <f t="shared" si="212"/>
        <v>0.53790375879533026</v>
      </c>
      <c r="BM40" s="945">
        <f t="shared" si="212"/>
        <v>0.38498973335057313</v>
      </c>
      <c r="BN40" s="945">
        <f t="shared" si="212"/>
        <v>0.38501068658588072</v>
      </c>
      <c r="BO40" s="945">
        <f t="shared" si="212"/>
        <v>0.40222436099229647</v>
      </c>
      <c r="BP40" s="945">
        <f t="shared" si="212"/>
        <v>0.46740096636170642</v>
      </c>
      <c r="BQ40" s="945">
        <f t="shared" si="212"/>
        <v>0.3174661520538658</v>
      </c>
      <c r="BR40" s="945">
        <f t="shared" si="212"/>
        <v>0.37369764350063395</v>
      </c>
      <c r="BS40" s="945">
        <f t="shared" si="212"/>
        <v>0.33142215601956843</v>
      </c>
      <c r="BT40" s="945">
        <f t="shared" si="212"/>
        <v>0.35629142646755707</v>
      </c>
      <c r="BU40" s="945">
        <f t="shared" si="212"/>
        <v>0.36433697751946947</v>
      </c>
      <c r="BV40" s="945">
        <f t="shared" si="212"/>
        <v>0.46919030213011442</v>
      </c>
      <c r="BW40" s="945">
        <f t="shared" si="212"/>
        <v>0.44161152723840907</v>
      </c>
      <c r="BX40" s="945">
        <f t="shared" si="212"/>
        <v>0.31272873961690201</v>
      </c>
      <c r="BY40" s="945">
        <f t="shared" si="212"/>
        <v>0.27650227292549895</v>
      </c>
      <c r="BZ40" s="945">
        <f t="shared" si="212"/>
        <v>0.29337214586982208</v>
      </c>
      <c r="CA40" s="945">
        <f t="shared" si="212"/>
        <v>0.36020517687148307</v>
      </c>
      <c r="CB40" s="945">
        <f t="shared" si="212"/>
        <v>0.2453592313646735</v>
      </c>
      <c r="CC40" s="945">
        <f t="shared" si="212"/>
        <v>0.21604606988575684</v>
      </c>
      <c r="CD40" s="945">
        <f t="shared" si="212"/>
        <v>0.29751312508982236</v>
      </c>
      <c r="CE40" s="945">
        <f t="shared" si="212"/>
        <v>0.28383093202752324</v>
      </c>
      <c r="CF40" s="945">
        <f t="shared" si="212"/>
        <v>0.48820809951782207</v>
      </c>
      <c r="CG40" s="945">
        <f t="shared" si="212"/>
        <v>0.2202517237679219</v>
      </c>
      <c r="CH40" s="945">
        <f t="shared" si="212"/>
        <v>0.29299608567195279</v>
      </c>
      <c r="CI40" s="945">
        <f t="shared" si="212"/>
        <v>0.43572964207803411</v>
      </c>
      <c r="CJ40" s="945">
        <f t="shared" si="212"/>
        <v>0.33178164990738229</v>
      </c>
      <c r="CK40" s="945">
        <f t="shared" si="212"/>
        <v>0.27562676479816484</v>
      </c>
      <c r="CL40" s="945">
        <f t="shared" si="212"/>
        <v>0.19382884911315026</v>
      </c>
      <c r="CM40" s="945">
        <f t="shared" si="212"/>
        <v>0.39479582089622772</v>
      </c>
      <c r="CN40" s="945">
        <f t="shared" si="212"/>
        <v>0.2886341456092939</v>
      </c>
      <c r="CO40" s="945">
        <f t="shared" si="212"/>
        <v>0.4031685798758502</v>
      </c>
      <c r="CP40" s="945">
        <f t="shared" si="212"/>
        <v>0.23461481637886009</v>
      </c>
      <c r="CQ40" s="945">
        <f t="shared" si="212"/>
        <v>0.33101977702147567</v>
      </c>
      <c r="CR40" s="945">
        <f t="shared" si="212"/>
        <v>0.31469614125805329</v>
      </c>
      <c r="CS40" s="945">
        <f t="shared" si="212"/>
        <v>0.36351784277463178</v>
      </c>
      <c r="CT40" s="945">
        <f t="shared" si="212"/>
        <v>0.45413870763760666</v>
      </c>
      <c r="CU40" s="945">
        <f t="shared" si="212"/>
        <v>0.34680921149210098</v>
      </c>
      <c r="CV40" s="945">
        <f t="shared" si="212"/>
        <v>0.28195488990907719</v>
      </c>
      <c r="CW40" s="945">
        <f t="shared" si="212"/>
        <v>0.35159244118556671</v>
      </c>
      <c r="CX40" s="945">
        <f t="shared" si="212"/>
        <v>0.32265240918980992</v>
      </c>
      <c r="CY40" s="945">
        <f t="shared" si="212"/>
        <v>0.48375290911790308</v>
      </c>
      <c r="CZ40" s="945">
        <f t="shared" si="212"/>
        <v>0.35040614879985571</v>
      </c>
      <c r="DA40" s="945">
        <f t="shared" si="212"/>
        <v>0.50452967757792777</v>
      </c>
      <c r="DB40" s="945">
        <f t="shared" si="212"/>
        <v>-1.2075748883182065E-2</v>
      </c>
      <c r="DC40" s="945">
        <f t="shared" si="212"/>
        <v>0.12918987137930169</v>
      </c>
      <c r="DD40" s="945">
        <f t="shared" si="212"/>
        <v>0.4301795204476298</v>
      </c>
      <c r="DE40" s="945">
        <f t="shared" si="212"/>
        <v>0.36651693105433625</v>
      </c>
      <c r="DF40" s="945">
        <f t="shared" si="212"/>
        <v>0.40144302246394925</v>
      </c>
      <c r="DG40" s="945">
        <f t="shared" si="212"/>
        <v>0.17635206923957597</v>
      </c>
      <c r="DH40" s="945">
        <f t="shared" si="212"/>
        <v>0.37072393253172736</v>
      </c>
      <c r="DI40" s="945">
        <f t="shared" si="212"/>
        <v>0.31913661522444925</v>
      </c>
      <c r="DJ40" s="945">
        <f t="shared" si="212"/>
        <v>0.25145594318984055</v>
      </c>
      <c r="DK40" s="945">
        <f t="shared" si="212"/>
        <v>0.38871278803738674</v>
      </c>
      <c r="DL40" s="945">
        <f t="shared" si="212"/>
        <v>0.40582108560873636</v>
      </c>
      <c r="DM40" s="945">
        <f t="shared" ref="DM40:EF40" si="213">IFERROR(+DM39/DM$11,0)</f>
        <v>0.3431391329314758</v>
      </c>
      <c r="DN40" s="945">
        <f t="shared" si="213"/>
        <v>0.3268653303267437</v>
      </c>
      <c r="DO40" s="945">
        <f t="shared" si="213"/>
        <v>0.34516469622837909</v>
      </c>
      <c r="DP40" s="945">
        <f t="shared" si="213"/>
        <v>0.44041751256765904</v>
      </c>
      <c r="DQ40" s="945">
        <f t="shared" si="213"/>
        <v>0.38956584930217036</v>
      </c>
      <c r="DR40" s="945">
        <f t="shared" si="213"/>
        <v>0.41938553122019495</v>
      </c>
      <c r="DS40" s="945">
        <f t="shared" si="213"/>
        <v>0.34692432571677712</v>
      </c>
      <c r="DT40" s="945">
        <f t="shared" si="213"/>
        <v>0.36181679155072027</v>
      </c>
      <c r="DU40" s="945">
        <f t="shared" si="213"/>
        <v>0.34166689993162763</v>
      </c>
      <c r="DV40" s="945">
        <f t="shared" si="213"/>
        <v>0.19718547019101618</v>
      </c>
      <c r="DW40" s="945">
        <f t="shared" si="213"/>
        <v>0.28909879246097742</v>
      </c>
      <c r="DX40" s="945">
        <f t="shared" si="213"/>
        <v>0.19884998829384085</v>
      </c>
      <c r="DY40" s="945">
        <f t="shared" si="213"/>
        <v>0.24961378915266635</v>
      </c>
      <c r="DZ40" s="945">
        <f t="shared" si="213"/>
        <v>0.3237943104834729</v>
      </c>
      <c r="EA40" s="945">
        <f t="shared" si="213"/>
        <v>0.34567726629306328</v>
      </c>
      <c r="EB40" s="945">
        <f t="shared" si="213"/>
        <v>0.34193058392019793</v>
      </c>
      <c r="EC40" s="945">
        <f t="shared" si="213"/>
        <v>0.366438814940383</v>
      </c>
      <c r="ED40" s="945">
        <f t="shared" si="213"/>
        <v>0.42709597954796913</v>
      </c>
      <c r="EE40" s="945">
        <f t="shared" si="213"/>
        <v>0.34906383274978825</v>
      </c>
      <c r="EF40" s="945">
        <f t="shared" si="213"/>
        <v>8.848648982341889E-2</v>
      </c>
      <c r="EH40" s="945">
        <f t="shared" ref="EH40:ES40" si="214">IFERROR(+EH39/EH$11,0)</f>
        <v>0.35159244118556671</v>
      </c>
      <c r="EI40" s="945">
        <f t="shared" si="214"/>
        <v>0.32265603218148287</v>
      </c>
      <c r="EJ40" s="945">
        <f t="shared" si="214"/>
        <v>0.48375290911790292</v>
      </c>
      <c r="EK40" s="945">
        <f t="shared" si="214"/>
        <v>0.35040614879985565</v>
      </c>
      <c r="EL40" s="945">
        <f t="shared" si="214"/>
        <v>0.50452967757792777</v>
      </c>
      <c r="EM40" s="945">
        <f t="shared" si="214"/>
        <v>-1.2075748883181912E-2</v>
      </c>
      <c r="EN40" s="945">
        <f t="shared" si="214"/>
        <v>8.1097747629614247E-2</v>
      </c>
      <c r="EO40" s="945">
        <f t="shared" si="214"/>
        <v>0.36368020447985538</v>
      </c>
      <c r="EP40" s="945">
        <f t="shared" si="214"/>
        <v>0.30277705555409717</v>
      </c>
      <c r="EQ40" s="945">
        <f t="shared" si="214"/>
        <v>0.14921873465547694</v>
      </c>
      <c r="ER40" s="945">
        <f t="shared" si="214"/>
        <v>0.11295530204119762</v>
      </c>
      <c r="ES40" s="945">
        <f t="shared" si="214"/>
        <v>0.11442186841861619</v>
      </c>
      <c r="EU40" s="947">
        <f t="shared" ref="EU40:GP40" si="215">+IFERROR(EU39/EU$11,"")</f>
        <v>0.39302414853506212</v>
      </c>
      <c r="EV40" s="947">
        <f t="shared" si="215"/>
        <v>0.17212579425691221</v>
      </c>
      <c r="EW40" s="947">
        <f t="shared" si="215"/>
        <v>0.19042938399690201</v>
      </c>
      <c r="EX40" s="947">
        <f t="shared" si="215"/>
        <v>0.4715819622287738</v>
      </c>
      <c r="EY40" s="947">
        <f t="shared" si="215"/>
        <v>0.40680209464798539</v>
      </c>
      <c r="EZ40" s="947">
        <f t="shared" si="215"/>
        <v>0.44758951210591469</v>
      </c>
      <c r="FA40" s="947">
        <f t="shared" si="215"/>
        <v>0.51889571034356563</v>
      </c>
      <c r="FB40" s="947">
        <f t="shared" si="215"/>
        <v>0.59342055391127468</v>
      </c>
      <c r="FC40" s="947">
        <f t="shared" si="215"/>
        <v>0.53020614413878875</v>
      </c>
      <c r="FD40" s="947">
        <f t="shared" si="215"/>
        <v>0.54438063258783365</v>
      </c>
      <c r="FE40" s="947">
        <f t="shared" si="215"/>
        <v>0.53493932366632146</v>
      </c>
      <c r="FF40" s="947">
        <f t="shared" si="215"/>
        <v>0.46222336096755562</v>
      </c>
      <c r="FG40" s="947">
        <f t="shared" si="215"/>
        <v>0.27376532190403779</v>
      </c>
      <c r="FH40" s="947">
        <f t="shared" si="215"/>
        <v>0.3454718270835353</v>
      </c>
      <c r="FI40" s="947">
        <f t="shared" si="215"/>
        <v>0.31108272019761379</v>
      </c>
      <c r="FJ40" s="947">
        <f t="shared" si="215"/>
        <v>0.30290662430166765</v>
      </c>
      <c r="FK40" s="947">
        <f t="shared" si="215"/>
        <v>0.34637016044359248</v>
      </c>
      <c r="FL40" s="947">
        <f t="shared" si="215"/>
        <v>0.39219362788956702</v>
      </c>
      <c r="FM40" s="947">
        <f t="shared" si="215"/>
        <v>0.40151127729565522</v>
      </c>
      <c r="FN40" s="947">
        <f t="shared" si="215"/>
        <v>0.41208073444951404</v>
      </c>
      <c r="FO40" s="947">
        <f t="shared" si="215"/>
        <v>0.39983575617667</v>
      </c>
      <c r="FP40" s="947">
        <f t="shared" si="215"/>
        <v>0.41351537445888803</v>
      </c>
      <c r="FQ40" s="947">
        <f t="shared" si="215"/>
        <v>0.39047563132850366</v>
      </c>
      <c r="FR40" s="947">
        <f t="shared" si="215"/>
        <v>0.3743874726094733</v>
      </c>
      <c r="FS40" s="947">
        <f t="shared" si="215"/>
        <v>0.3369802675745483</v>
      </c>
      <c r="FT40" s="947">
        <f t="shared" si="215"/>
        <v>0.46667933079813251</v>
      </c>
      <c r="FU40" s="947">
        <f t="shared" si="215"/>
        <v>0.4629695943032604</v>
      </c>
      <c r="FV40" s="947">
        <f t="shared" si="215"/>
        <v>0.4553663753554047</v>
      </c>
      <c r="FW40" s="947">
        <f t="shared" si="215"/>
        <v>0.45221051298032655</v>
      </c>
      <c r="FX40" s="947">
        <f t="shared" si="215"/>
        <v>0.49917812242596582</v>
      </c>
      <c r="FY40" s="947">
        <f t="shared" si="215"/>
        <v>0.45518404344597918</v>
      </c>
      <c r="FZ40" s="947">
        <f t="shared" si="215"/>
        <v>0.39259546517318844</v>
      </c>
      <c r="GA40" s="947">
        <f t="shared" si="215"/>
        <v>0.32674539924644774</v>
      </c>
      <c r="GB40" s="947">
        <f t="shared" si="215"/>
        <v>0.2151366743664424</v>
      </c>
      <c r="GC40" s="947">
        <f t="shared" si="215"/>
        <v>0.3011155757182975</v>
      </c>
      <c r="GD40" s="947">
        <f t="shared" si="215"/>
        <v>0.21014791943658528</v>
      </c>
      <c r="GE40" s="947">
        <f t="shared" si="215"/>
        <v>0.2844550293440396</v>
      </c>
      <c r="GF40" s="947">
        <f t="shared" si="215"/>
        <v>0.26134476193784534</v>
      </c>
      <c r="GG40" s="947">
        <f t="shared" si="215"/>
        <v>0.23745553486576015</v>
      </c>
      <c r="GH40" s="947">
        <f t="shared" si="215"/>
        <v>0.1805776276254103</v>
      </c>
      <c r="GI40" s="947">
        <f t="shared" si="215"/>
        <v>0.25471021873895033</v>
      </c>
      <c r="GJ40" s="947">
        <f t="shared" si="215"/>
        <v>0.25769143119402083</v>
      </c>
      <c r="GK40" s="947">
        <f t="shared" si="215"/>
        <v>0.28303374116996222</v>
      </c>
      <c r="GL40" s="947">
        <f t="shared" si="215"/>
        <v>0.28982901583740289</v>
      </c>
      <c r="GM40" s="947">
        <f t="shared" si="215"/>
        <v>0.30594166856446403</v>
      </c>
      <c r="GN40" s="947">
        <f t="shared" si="215"/>
        <v>0.33775562080870325</v>
      </c>
      <c r="GO40" s="947">
        <f t="shared" si="215"/>
        <v>0.34957546666895722</v>
      </c>
      <c r="GP40" s="947">
        <f t="shared" si="215"/>
        <v>0.33183445096191982</v>
      </c>
      <c r="GQ40" s="947">
        <f t="shared" ref="GQ40:HB40" si="216">+IFERROR(FS39/FS$11,"")</f>
        <v>0.3369802675745483</v>
      </c>
      <c r="GR40" s="947">
        <f t="shared" si="216"/>
        <v>0.46667933079813251</v>
      </c>
      <c r="GS40" s="947">
        <f t="shared" si="216"/>
        <v>0.4629695943032604</v>
      </c>
      <c r="GT40" s="947">
        <f t="shared" si="216"/>
        <v>0.4553663753554047</v>
      </c>
      <c r="GU40" s="947">
        <f t="shared" si="216"/>
        <v>0.45221051298032655</v>
      </c>
      <c r="GV40" s="947">
        <f t="shared" si="216"/>
        <v>0.49917812242596582</v>
      </c>
      <c r="GW40" s="947">
        <f t="shared" si="216"/>
        <v>0.45518404344597918</v>
      </c>
      <c r="GX40" s="947">
        <f t="shared" si="216"/>
        <v>0.39259546517318844</v>
      </c>
      <c r="GY40" s="947">
        <f t="shared" si="216"/>
        <v>0.32674539924644774</v>
      </c>
      <c r="GZ40" s="947">
        <f t="shared" si="216"/>
        <v>0.2151366743664424</v>
      </c>
      <c r="HA40" s="947">
        <f t="shared" si="216"/>
        <v>0.3011155757182975</v>
      </c>
      <c r="HB40" s="947">
        <f t="shared" si="216"/>
        <v>0.21014791943658528</v>
      </c>
      <c r="HD40" s="947">
        <f t="shared" ref="HD40:HN40" si="217">+IFERROR(HD39/HD$11,"")</f>
        <v>0.36837521614120688</v>
      </c>
      <c r="HE40" s="947">
        <f t="shared" si="217"/>
        <v>0.38843451506275067</v>
      </c>
      <c r="HF40" s="947">
        <f t="shared" si="217"/>
        <v>0.41091593179328084</v>
      </c>
      <c r="HG40" s="947">
        <f t="shared" si="217"/>
        <v>0.24171194165245793</v>
      </c>
      <c r="HH40" s="947">
        <f t="shared" si="217"/>
        <v>0.1651472421907059</v>
      </c>
      <c r="HI40" s="947">
        <f t="shared" si="217"/>
        <v>0.3889785549230878</v>
      </c>
      <c r="HJ40" s="947">
        <f t="shared" si="217"/>
        <v>0.32996866061968799</v>
      </c>
      <c r="HK40" s="947">
        <f t="shared" si="217"/>
        <v>0.33223491312955628</v>
      </c>
      <c r="HL40" s="947">
        <f t="shared" si="217"/>
        <v>0.35552678275137878</v>
      </c>
      <c r="HM40" s="947">
        <f t="shared" si="217"/>
        <v>0.36757343311431867</v>
      </c>
      <c r="HN40" s="947">
        <f t="shared" si="217"/>
        <v>0.29940504804222212</v>
      </c>
      <c r="HO40" s="947"/>
      <c r="HP40" s="947"/>
      <c r="HR40" s="947">
        <f t="shared" si="201"/>
        <v>5.7876980182614224E-2</v>
      </c>
      <c r="HS40" s="947">
        <f t="shared" si="201"/>
        <v>-0.41177276676131469</v>
      </c>
      <c r="HT40" s="947">
        <f t="shared" si="201"/>
        <v>-0.31676010270042632</v>
      </c>
      <c r="HU40" s="947">
        <f t="shared" si="201"/>
        <v>1.3553439328639216</v>
      </c>
      <c r="HV40" s="947">
        <f t="shared" si="201"/>
        <v>-0.15170474967461323</v>
      </c>
      <c r="HW40" s="947">
        <f t="shared" si="201"/>
        <v>6.8680840950539057E-3</v>
      </c>
      <c r="HX40" s="947">
        <f t="shared" si="201"/>
        <v>7.0106628476880539E-2</v>
      </c>
      <c r="HY40" s="947">
        <f t="shared" si="201"/>
        <v>3.3883946153683064E-2</v>
      </c>
      <c r="HZ40" s="947">
        <f t="shared" si="201"/>
        <v>-0.18545514700159405</v>
      </c>
      <c r="IA40" s="947">
        <f t="shared" si="17"/>
        <v>-1</v>
      </c>
      <c r="IB40" s="947" t="str">
        <f>+IFERROR(HP40/HO40-1,"")</f>
        <v/>
      </c>
      <c r="IC40" s="947">
        <f t="shared" si="19"/>
        <v>-1</v>
      </c>
      <c r="IE40" s="947">
        <f>+IFERROR(HF40-HE40,"")</f>
        <v>2.2481416730530168E-2</v>
      </c>
      <c r="IF40" s="947">
        <f>+IFERROR(HG40-HF40,"")</f>
        <v>-0.16920399014082291</v>
      </c>
      <c r="IG40" s="947">
        <f>+IFERROR(HH40-HG40,"")</f>
        <v>-7.6564699461752039E-2</v>
      </c>
      <c r="IH40" s="947">
        <f>+IFERROR(HI40-HH40,"")</f>
        <v>0.22383131273238191</v>
      </c>
      <c r="II40" s="947">
        <f t="shared" si="100"/>
        <v>-5.9009894303399812E-2</v>
      </c>
      <c r="IJ40" s="947">
        <f t="shared" si="101"/>
        <v>2.2662525098682829E-3</v>
      </c>
      <c r="IK40" s="947">
        <f t="shared" si="102"/>
        <v>2.3291869621822503E-2</v>
      </c>
      <c r="IL40" s="947">
        <f t="shared" si="27"/>
        <v>-0.35552678275137878</v>
      </c>
      <c r="IM40" s="947">
        <f>+IFERROR(HP40-HO40,"")</f>
        <v>0</v>
      </c>
      <c r="IN40" s="947">
        <f t="shared" si="29"/>
        <v>-0.35552678275137878</v>
      </c>
      <c r="IP40" s="945"/>
      <c r="IQ40" s="945"/>
      <c r="IR40" s="945"/>
      <c r="IS40" s="945"/>
      <c r="IT40" s="945"/>
      <c r="IU40" s="945"/>
      <c r="IV40" s="945"/>
      <c r="IW40" s="945"/>
      <c r="IX40" s="945"/>
      <c r="IY40" s="945"/>
      <c r="JA40" s="947">
        <f t="shared" ref="JA40:JL40" si="218">+IFERROR(JA39/JA$11,"")</f>
        <v>0.36837521614120688</v>
      </c>
      <c r="JB40" s="947">
        <f t="shared" ref="JB40:JK40" si="219">+IFERROR(JB39/JB$11,"")</f>
        <v>0.38843451506275067</v>
      </c>
      <c r="JC40" s="947">
        <f t="shared" si="219"/>
        <v>0.41091593179328084</v>
      </c>
      <c r="JD40" s="947">
        <f t="shared" si="219"/>
        <v>0.24171194165245793</v>
      </c>
      <c r="JE40" s="947">
        <f t="shared" si="219"/>
        <v>0.1651472421907059</v>
      </c>
      <c r="JF40" s="947">
        <f t="shared" si="219"/>
        <v>0.3889785549230878</v>
      </c>
      <c r="JG40" s="947">
        <f t="shared" si="219"/>
        <v>0.32996866061968799</v>
      </c>
      <c r="JH40" s="947">
        <f t="shared" si="219"/>
        <v>0.33223491312955628</v>
      </c>
      <c r="JI40" s="947">
        <f t="shared" si="219"/>
        <v>0.35552678275137878</v>
      </c>
      <c r="JJ40" s="947">
        <f t="shared" si="219"/>
        <v>0.36757343311431867</v>
      </c>
      <c r="JK40" s="947">
        <f t="shared" si="219"/>
        <v>0.29940504804222212</v>
      </c>
      <c r="JL40" s="947">
        <f t="shared" si="218"/>
        <v>0.29940504804222212</v>
      </c>
      <c r="JM40" s="947"/>
      <c r="JN40" s="947"/>
      <c r="JO40" s="922"/>
      <c r="JP40" s="945">
        <f>+JL40</f>
        <v>0.29940504804222212</v>
      </c>
      <c r="JQ40" s="945">
        <f>IFERROR(+JQ39/JQ$11,0)</f>
        <v>0</v>
      </c>
      <c r="JR40" s="946"/>
      <c r="JS40" s="947" t="str">
        <f>+IFERROR(JP40/JQ40,"")</f>
        <v/>
      </c>
      <c r="JT40" s="945">
        <f>+IFERROR(JP40-JQ40,"NA")</f>
        <v>0.29940504804222212</v>
      </c>
      <c r="JV40" s="945"/>
      <c r="JW40" s="945"/>
      <c r="JY40" s="945"/>
      <c r="JZ40" s="945"/>
      <c r="KA40" s="945"/>
      <c r="KB40" s="945"/>
      <c r="KC40" s="945"/>
      <c r="KD40" s="945"/>
      <c r="KE40" s="945"/>
      <c r="KF40" s="945"/>
      <c r="KH40" s="945"/>
      <c r="KI40" s="945"/>
      <c r="KJ40" s="945"/>
      <c r="KK40" s="945"/>
      <c r="KL40" s="945"/>
      <c r="KM40" s="945"/>
      <c r="KN40" s="945"/>
      <c r="KO40" s="945"/>
      <c r="KQ40" s="945"/>
      <c r="KR40" s="945"/>
      <c r="KS40" s="945"/>
      <c r="KT40" s="945"/>
      <c r="KU40" s="945"/>
      <c r="KV40" s="945"/>
      <c r="KW40" s="945"/>
      <c r="KX40" s="945"/>
      <c r="KY40" s="945"/>
      <c r="KZ40" s="945"/>
      <c r="LB40" s="947">
        <f>IFERROR(LB39/LB$11,"")</f>
        <v>0.29682620688450045</v>
      </c>
      <c r="LC40" s="947">
        <f t="shared" ref="LC40:LM40" si="220">IFERROR(LC39/LC$11,"")</f>
        <v>0.56020295808175169</v>
      </c>
      <c r="LD40" s="947">
        <f t="shared" si="220"/>
        <v>0.17937620218583705</v>
      </c>
      <c r="LE40" s="947">
        <f t="shared" si="220"/>
        <v>-0.28115298743077405</v>
      </c>
      <c r="LF40" s="947">
        <f t="shared" si="220"/>
        <v>0.53790375879533026</v>
      </c>
      <c r="LG40" s="947">
        <f t="shared" si="220"/>
        <v>0.31272873961690201</v>
      </c>
      <c r="LH40" s="947">
        <f t="shared" si="220"/>
        <v>0.33178164990738229</v>
      </c>
      <c r="LI40" s="947">
        <f t="shared" si="220"/>
        <v>0.28195488990907719</v>
      </c>
      <c r="LJ40" s="947">
        <f t="shared" si="220"/>
        <v>0.37072393253172736</v>
      </c>
      <c r="LK40" s="947">
        <f t="shared" si="220"/>
        <v>0.36181679155072027</v>
      </c>
      <c r="LL40" s="947">
        <f t="shared" si="220"/>
        <v>8.848648982341889E-2</v>
      </c>
      <c r="LM40" s="947">
        <f t="shared" si="220"/>
        <v>8.848648982341889E-2</v>
      </c>
      <c r="LN40" s="947"/>
      <c r="LO40" s="947"/>
      <c r="LR40" s="945"/>
      <c r="LS40" s="945"/>
      <c r="LT40" s="945"/>
      <c r="LU40" s="945"/>
      <c r="LV40" s="945"/>
      <c r="LW40" s="945"/>
      <c r="LX40" s="945">
        <f>+IFERROR(LO40/LI40-1," ")</f>
        <v>-1</v>
      </c>
      <c r="LZ40" s="945"/>
      <c r="MA40" s="945"/>
      <c r="MB40" s="945"/>
      <c r="MC40" s="945"/>
      <c r="MD40" s="945"/>
      <c r="ME40" s="945"/>
      <c r="MF40" s="945">
        <f>+LO40-LI40</f>
        <v>-0.28195488990907719</v>
      </c>
      <c r="MH40" s="945"/>
      <c r="MI40" s="945"/>
      <c r="MJ40" s="945"/>
      <c r="MK40" s="945"/>
      <c r="ML40" s="945"/>
      <c r="MM40" s="945"/>
      <c r="MN40" s="945"/>
      <c r="MO40" s="945"/>
      <c r="MP40" s="945"/>
    </row>
    <row r="41" spans="1:354">
      <c r="A41" s="884"/>
      <c r="B41" s="948"/>
      <c r="E41" s="66"/>
      <c r="F41" s="66"/>
      <c r="G41" s="66"/>
      <c r="H41" s="66"/>
      <c r="I41" s="66"/>
      <c r="J41" s="66"/>
      <c r="K41" s="66"/>
      <c r="L41" s="66"/>
      <c r="M41" s="66"/>
      <c r="N41" s="66"/>
      <c r="O41" s="66"/>
      <c r="P41" s="66"/>
      <c r="Q41" s="102"/>
      <c r="R41" s="66"/>
      <c r="S41" s="66"/>
      <c r="T41" s="66"/>
      <c r="U41" s="66"/>
      <c r="V41" s="66"/>
      <c r="W41" s="66"/>
      <c r="X41" s="66"/>
      <c r="Y41" s="66"/>
      <c r="Z41" s="66"/>
      <c r="AA41" s="66"/>
      <c r="AB41" s="66"/>
      <c r="AC41" s="102"/>
      <c r="AD41" s="66"/>
      <c r="AE41" s="66"/>
      <c r="AF41" s="66"/>
      <c r="AG41" s="66"/>
      <c r="AH41" s="66"/>
      <c r="AI41" s="66"/>
      <c r="AJ41" s="66"/>
      <c r="AK41" s="66"/>
      <c r="AL41" s="66"/>
      <c r="AM41" s="66"/>
      <c r="AN41" s="66"/>
      <c r="AO41" s="66"/>
      <c r="AP41" s="88"/>
      <c r="AQ41" s="938"/>
      <c r="AR41" s="472"/>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873"/>
      <c r="DR41" s="873"/>
      <c r="DS41" s="873"/>
      <c r="DT41" s="873"/>
      <c r="DU41" s="873"/>
      <c r="DV41" s="873"/>
      <c r="DW41" s="873"/>
      <c r="DX41" s="873"/>
      <c r="DY41" s="873"/>
      <c r="DZ41" s="873"/>
      <c r="EA41" s="873"/>
      <c r="EB41" s="873"/>
      <c r="EC41" s="873"/>
      <c r="ED41" s="873"/>
      <c r="EE41" s="873"/>
      <c r="EF41" s="873"/>
      <c r="EH41" s="66"/>
      <c r="EI41" s="66"/>
      <c r="EJ41" s="66"/>
      <c r="EK41" s="66"/>
      <c r="EL41" s="66"/>
      <c r="EM41" s="66"/>
      <c r="EN41" s="66"/>
      <c r="EO41" s="66"/>
      <c r="EP41" s="66"/>
      <c r="EQ41" s="66"/>
      <c r="ER41" s="66"/>
      <c r="ES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D41" s="66"/>
      <c r="HE41" s="66"/>
      <c r="HF41" s="66"/>
      <c r="HG41" s="66"/>
      <c r="HH41" s="66"/>
      <c r="HI41" s="66"/>
      <c r="HJ41" s="66"/>
      <c r="HK41" s="66"/>
      <c r="HO41" s="66"/>
      <c r="HP41" s="66"/>
      <c r="HR41" s="50"/>
      <c r="HS41" s="50"/>
      <c r="HT41" s="50"/>
      <c r="HU41" s="922"/>
      <c r="HV41" s="922"/>
      <c r="HW41" s="922"/>
      <c r="HX41" s="922"/>
      <c r="HY41" s="922"/>
      <c r="HZ41" s="922"/>
      <c r="IA41" s="922" t="str">
        <f t="shared" si="17"/>
        <v/>
      </c>
      <c r="IB41" s="50"/>
      <c r="IC41" s="922" t="str">
        <f t="shared" si="19"/>
        <v/>
      </c>
      <c r="IE41" s="66"/>
      <c r="IF41" s="66"/>
      <c r="IG41" s="66"/>
      <c r="IH41" s="66"/>
      <c r="II41" s="66">
        <f t="shared" si="100"/>
        <v>0</v>
      </c>
      <c r="IJ41" s="66">
        <f t="shared" si="101"/>
        <v>0</v>
      </c>
      <c r="IK41" s="66">
        <f t="shared" si="102"/>
        <v>0</v>
      </c>
      <c r="IL41" s="66">
        <f t="shared" si="27"/>
        <v>0</v>
      </c>
      <c r="IM41" s="66"/>
      <c r="IN41" s="66">
        <f t="shared" si="29"/>
        <v>0</v>
      </c>
      <c r="IP41" s="50"/>
      <c r="IQ41" s="50"/>
      <c r="IR41" s="50"/>
      <c r="IS41" s="50"/>
      <c r="IT41" s="50"/>
      <c r="IU41" s="50"/>
      <c r="IV41" s="50"/>
      <c r="IW41" s="50"/>
      <c r="IX41" s="50"/>
      <c r="IY41" s="50"/>
      <c r="JA41" s="66"/>
      <c r="JB41" s="66"/>
      <c r="JC41" s="66"/>
      <c r="JD41" s="66"/>
      <c r="JE41" s="66"/>
      <c r="JF41" s="66"/>
      <c r="JG41" s="66"/>
      <c r="JH41" s="66"/>
      <c r="JI41" s="66"/>
      <c r="JJ41" s="66"/>
      <c r="JK41" s="66"/>
      <c r="JL41" s="66"/>
      <c r="JM41" s="66"/>
      <c r="JN41" s="66"/>
      <c r="JO41" s="1188"/>
      <c r="JP41" s="66"/>
      <c r="JQ41" s="66"/>
      <c r="JR41" s="88"/>
      <c r="JS41" s="50"/>
      <c r="JT41" s="66"/>
      <c r="JV41" s="50"/>
      <c r="JW41" s="50"/>
      <c r="JY41" s="50"/>
      <c r="JZ41" s="50"/>
      <c r="KA41" s="50"/>
      <c r="KB41" s="50"/>
      <c r="KC41" s="50"/>
      <c r="KD41" s="50"/>
      <c r="KE41" s="50"/>
      <c r="KF41" s="50"/>
      <c r="KH41" s="66"/>
      <c r="KI41" s="66"/>
      <c r="KJ41" s="66"/>
      <c r="KK41" s="66"/>
      <c r="KL41" s="66"/>
      <c r="KM41" s="66"/>
      <c r="KN41" s="66"/>
      <c r="KO41" s="66"/>
      <c r="KQ41" s="50"/>
      <c r="KR41" s="50"/>
      <c r="KS41" s="50"/>
      <c r="KT41" s="50"/>
      <c r="KU41" s="50"/>
      <c r="KV41" s="50"/>
      <c r="KW41" s="50"/>
      <c r="KX41" s="50"/>
      <c r="KY41" s="50"/>
      <c r="KZ41" s="50"/>
      <c r="LB41" s="66"/>
      <c r="LC41" s="66"/>
      <c r="LD41" s="66"/>
      <c r="LE41" s="66"/>
      <c r="LF41" s="66"/>
      <c r="LG41" s="66"/>
      <c r="LH41" s="66"/>
      <c r="LI41" s="66"/>
      <c r="LJ41" s="66"/>
      <c r="LK41" s="66"/>
      <c r="LL41" s="66"/>
      <c r="LM41" s="66"/>
      <c r="LN41" s="66"/>
      <c r="LO41" s="66"/>
      <c r="LR41" s="50"/>
      <c r="LS41" s="50"/>
      <c r="LT41" s="50"/>
      <c r="LU41" s="50"/>
      <c r="LV41" s="50"/>
      <c r="LW41" s="50"/>
      <c r="LX41" s="50"/>
      <c r="LZ41" s="66"/>
      <c r="MA41" s="66"/>
      <c r="MB41" s="66"/>
      <c r="MC41" s="66"/>
      <c r="MD41" s="66"/>
      <c r="ME41" s="66"/>
      <c r="MF41" s="66"/>
      <c r="MH41" s="50"/>
      <c r="MI41" s="50"/>
      <c r="MJ41" s="50"/>
      <c r="MK41" s="50"/>
      <c r="ML41" s="50"/>
      <c r="MM41" s="50"/>
      <c r="MN41" s="50"/>
      <c r="MO41" s="50"/>
      <c r="MP41" s="50"/>
    </row>
    <row r="42" spans="1:354">
      <c r="A42" s="884"/>
      <c r="B42" s="70"/>
      <c r="C42" s="1513" t="s">
        <v>77</v>
      </c>
      <c r="D42" s="1512" t="s">
        <v>59</v>
      </c>
      <c r="E42" s="1515">
        <f t="shared" ref="E42:P42" si="221">SUM(E43:E47)</f>
        <v>-207.87256098</v>
      </c>
      <c r="F42" s="1515">
        <f t="shared" si="221"/>
        <v>-223.47539921000003</v>
      </c>
      <c r="G42" s="1515">
        <f t="shared" si="221"/>
        <v>-207.16286768999996</v>
      </c>
      <c r="H42" s="1515">
        <f t="shared" si="221"/>
        <v>-228.57171500000004</v>
      </c>
      <c r="I42" s="1515">
        <f t="shared" si="221"/>
        <v>-255.03274594000001</v>
      </c>
      <c r="J42" s="1515">
        <f t="shared" si="221"/>
        <v>-230.32562964999994</v>
      </c>
      <c r="K42" s="1515">
        <f t="shared" si="221"/>
        <v>-247.82925198000004</v>
      </c>
      <c r="L42" s="1515">
        <f t="shared" si="221"/>
        <v>-187.89033333</v>
      </c>
      <c r="M42" s="1515">
        <f t="shared" si="221"/>
        <v>-198.69615900000002</v>
      </c>
      <c r="N42" s="1515">
        <f t="shared" si="221"/>
        <v>-229.15676351000005</v>
      </c>
      <c r="O42" s="1515">
        <f t="shared" si="221"/>
        <v>-327.79049127000013</v>
      </c>
      <c r="P42" s="1515">
        <f t="shared" si="221"/>
        <v>-734.92024769999966</v>
      </c>
      <c r="Q42" s="1515">
        <f t="shared" ref="Q42:CB42" si="222">SUM(Q43:Q47)</f>
        <v>-264.64261147000002</v>
      </c>
      <c r="R42" s="1515">
        <f t="shared" si="222"/>
        <v>-294.93466138000002</v>
      </c>
      <c r="S42" s="1515">
        <f t="shared" si="222"/>
        <v>-419.87243030000002</v>
      </c>
      <c r="T42" s="1515">
        <f t="shared" si="222"/>
        <v>-381.31169107999995</v>
      </c>
      <c r="U42" s="1515">
        <f t="shared" si="222"/>
        <v>-386.9075155299995</v>
      </c>
      <c r="V42" s="1515">
        <f t="shared" si="222"/>
        <v>-371.62672214000025</v>
      </c>
      <c r="W42" s="1515">
        <f t="shared" si="222"/>
        <v>-360.56503818999988</v>
      </c>
      <c r="X42" s="1515">
        <f t="shared" si="222"/>
        <v>-345.76537197000016</v>
      </c>
      <c r="Y42" s="1515">
        <f t="shared" si="222"/>
        <v>-377.02651423000009</v>
      </c>
      <c r="Z42" s="1515">
        <f t="shared" si="222"/>
        <v>-404.82387301000017</v>
      </c>
      <c r="AA42" s="1515">
        <f t="shared" si="222"/>
        <v>-374.18060424999987</v>
      </c>
      <c r="AB42" s="1515">
        <f t="shared" si="222"/>
        <v>-646.63298301999919</v>
      </c>
      <c r="AC42" s="1515">
        <f t="shared" si="222"/>
        <v>-356.42403729000011</v>
      </c>
      <c r="AD42" s="1515">
        <f t="shared" si="222"/>
        <v>-356.85748977999998</v>
      </c>
      <c r="AE42" s="1515">
        <f t="shared" si="222"/>
        <v>-372.18740658000002</v>
      </c>
      <c r="AF42" s="1515">
        <f t="shared" si="222"/>
        <v>-369.58342234999992</v>
      </c>
      <c r="AG42" s="1515">
        <f t="shared" si="222"/>
        <v>-528.41413115000012</v>
      </c>
      <c r="AH42" s="1515">
        <f t="shared" si="222"/>
        <v>-391.25188651999997</v>
      </c>
      <c r="AI42" s="1515">
        <f t="shared" si="222"/>
        <v>-370.82311241000002</v>
      </c>
      <c r="AJ42" s="1515">
        <f t="shared" si="222"/>
        <v>-479.02948422999998</v>
      </c>
      <c r="AK42" s="1515">
        <f t="shared" si="222"/>
        <v>-397.49907036999997</v>
      </c>
      <c r="AL42" s="1515">
        <f t="shared" si="222"/>
        <v>-378.37822941000013</v>
      </c>
      <c r="AM42" s="1515">
        <f t="shared" si="222"/>
        <v>-467.42424402999995</v>
      </c>
      <c r="AN42" s="1515">
        <f t="shared" si="222"/>
        <v>-978.88915315999998</v>
      </c>
      <c r="AO42" s="1515">
        <f t="shared" si="222"/>
        <v>-445.53878594000003</v>
      </c>
      <c r="AP42" s="1515">
        <f t="shared" si="222"/>
        <v>-633.59211736999998</v>
      </c>
      <c r="AQ42" s="1515">
        <f t="shared" si="222"/>
        <v>-601.41433915000005</v>
      </c>
      <c r="AR42" s="1515">
        <f t="shared" si="222"/>
        <v>-691.05180539000003</v>
      </c>
      <c r="AS42" s="1515">
        <f t="shared" si="222"/>
        <v>-611.64766824000003</v>
      </c>
      <c r="AT42" s="1515">
        <f t="shared" si="222"/>
        <v>-667.22854610000002</v>
      </c>
      <c r="AU42" s="1515">
        <f t="shared" si="222"/>
        <v>-551.00962958999992</v>
      </c>
      <c r="AV42" s="1515">
        <f t="shared" si="222"/>
        <v>-513.52957353000011</v>
      </c>
      <c r="AW42" s="1515">
        <f t="shared" si="222"/>
        <v>-493.06048881000004</v>
      </c>
      <c r="AX42" s="1515">
        <f t="shared" si="222"/>
        <v>-415.02039663999994</v>
      </c>
      <c r="AY42" s="1515">
        <f t="shared" si="222"/>
        <v>-451.62982411999997</v>
      </c>
      <c r="AZ42" s="1515">
        <f t="shared" si="222"/>
        <v>-1534.3050345000001</v>
      </c>
      <c r="BA42" s="1515">
        <f t="shared" si="222"/>
        <v>-232.87045564000002</v>
      </c>
      <c r="BB42" s="1515">
        <f t="shared" si="222"/>
        <v>-284.76569404999998</v>
      </c>
      <c r="BC42" s="1515">
        <f t="shared" si="222"/>
        <v>-484.91077013</v>
      </c>
      <c r="BD42" s="1515">
        <f t="shared" si="222"/>
        <v>-295.05525541000003</v>
      </c>
      <c r="BE42" s="1515">
        <f t="shared" si="222"/>
        <v>-347.58806595000004</v>
      </c>
      <c r="BF42" s="1515">
        <f t="shared" si="222"/>
        <v>-265.89660968999999</v>
      </c>
      <c r="BG42" s="1515">
        <f t="shared" si="222"/>
        <v>-167.19506229999999</v>
      </c>
      <c r="BH42" s="1515">
        <f t="shared" si="222"/>
        <v>-114.37854720999999</v>
      </c>
      <c r="BI42" s="1515">
        <f t="shared" si="222"/>
        <v>-164.55418599999999</v>
      </c>
      <c r="BJ42" s="1515">
        <f t="shared" si="222"/>
        <v>-150.01650025999999</v>
      </c>
      <c r="BK42" s="1515">
        <f t="shared" si="222"/>
        <v>-168.78467492000001</v>
      </c>
      <c r="BL42" s="1515">
        <f t="shared" si="222"/>
        <v>-415.04057446999997</v>
      </c>
      <c r="BM42" s="1515">
        <f t="shared" si="222"/>
        <v>-172.71559636000001</v>
      </c>
      <c r="BN42" s="1515">
        <f t="shared" si="222"/>
        <v>-177.57980158000001</v>
      </c>
      <c r="BO42" s="1515">
        <f t="shared" si="222"/>
        <v>-175.32840756000002</v>
      </c>
      <c r="BP42" s="1515">
        <f t="shared" si="222"/>
        <v>-189.02775119999998</v>
      </c>
      <c r="BQ42" s="1515">
        <f t="shared" si="222"/>
        <v>-213.03144309999999</v>
      </c>
      <c r="BR42" s="1515">
        <f t="shared" si="222"/>
        <v>-164.35701206000002</v>
      </c>
      <c r="BS42" s="1515">
        <f t="shared" si="222"/>
        <v>-163.69876313</v>
      </c>
      <c r="BT42" s="1515">
        <f t="shared" si="222"/>
        <v>-166.37192833</v>
      </c>
      <c r="BU42" s="1515">
        <f t="shared" si="222"/>
        <v>-167.47429183999998</v>
      </c>
      <c r="BV42" s="1515">
        <f t="shared" si="222"/>
        <v>-170.28434186000001</v>
      </c>
      <c r="BW42" s="1515">
        <f t="shared" si="222"/>
        <v>-165.63421916999999</v>
      </c>
      <c r="BX42" s="1515">
        <f t="shared" si="222"/>
        <v>-233.72656275000003</v>
      </c>
      <c r="BY42" s="1515">
        <f t="shared" si="222"/>
        <v>-181.22297311000003</v>
      </c>
      <c r="BZ42" s="1515">
        <f t="shared" si="222"/>
        <v>-174.78818223000002</v>
      </c>
      <c r="CA42" s="1515">
        <f t="shared" si="222"/>
        <v>-222.94683111999998</v>
      </c>
      <c r="CB42" s="1515">
        <f t="shared" si="222"/>
        <v>-188.24918661000001</v>
      </c>
      <c r="CC42" s="1515">
        <f t="shared" ref="CC42:EF42" si="223">SUM(CC43:CC47)</f>
        <v>-186.72206482999999</v>
      </c>
      <c r="CD42" s="1515">
        <f t="shared" si="223"/>
        <v>-198.97076117999998</v>
      </c>
      <c r="CE42" s="1515">
        <f t="shared" si="223"/>
        <v>-364.28971898999998</v>
      </c>
      <c r="CF42" s="1515">
        <f t="shared" si="223"/>
        <v>-237.59032925</v>
      </c>
      <c r="CG42" s="1515">
        <f t="shared" si="223"/>
        <v>-193.46034929000001</v>
      </c>
      <c r="CH42" s="1515">
        <f t="shared" si="223"/>
        <v>-203.54290989000003</v>
      </c>
      <c r="CI42" s="1515">
        <f t="shared" si="223"/>
        <v>-196.97318156</v>
      </c>
      <c r="CJ42" s="1515">
        <f t="shared" si="223"/>
        <v>-283.81099704999997</v>
      </c>
      <c r="CK42" s="1515">
        <f t="shared" si="223"/>
        <v>-193.87025919999999</v>
      </c>
      <c r="CL42" s="1515">
        <f t="shared" si="223"/>
        <v>-204.10403681</v>
      </c>
      <c r="CM42" s="1515">
        <f t="shared" si="223"/>
        <v>-207.49946095000001</v>
      </c>
      <c r="CN42" s="1515">
        <f t="shared" si="223"/>
        <v>-200.75380096999999</v>
      </c>
      <c r="CO42" s="1515">
        <f t="shared" si="223"/>
        <v>-210.39874420999999</v>
      </c>
      <c r="CP42" s="1515">
        <f t="shared" si="223"/>
        <v>-197.80734236000001</v>
      </c>
      <c r="CQ42" s="1515">
        <f t="shared" si="223"/>
        <v>-342.43549943999994</v>
      </c>
      <c r="CR42" s="1515">
        <f t="shared" si="223"/>
        <v>-198.87219209000003</v>
      </c>
      <c r="CS42" s="1515">
        <f t="shared" si="223"/>
        <v>-211.46318982</v>
      </c>
      <c r="CT42" s="1515">
        <f t="shared" si="223"/>
        <v>-257.69558587999995</v>
      </c>
      <c r="CU42" s="1515">
        <f t="shared" si="223"/>
        <v>-223.13521661000001</v>
      </c>
      <c r="CV42" s="1515">
        <f t="shared" si="223"/>
        <v>-366.21554850000001</v>
      </c>
      <c r="CW42" s="1515">
        <f t="shared" si="223"/>
        <v>-224.69614934000001</v>
      </c>
      <c r="CX42" s="1515">
        <f t="shared" si="223"/>
        <v>-264.14915397999999</v>
      </c>
      <c r="CY42" s="1515">
        <f t="shared" si="223"/>
        <v>-216.89250322999999</v>
      </c>
      <c r="CZ42" s="1515">
        <f t="shared" si="223"/>
        <v>-198.83581762999998</v>
      </c>
      <c r="DA42" s="1515">
        <f t="shared" si="223"/>
        <v>-161.27905157999999</v>
      </c>
      <c r="DB42" s="1515">
        <f t="shared" si="223"/>
        <v>-197.50782130000002</v>
      </c>
      <c r="DC42" s="1515">
        <f t="shared" si="223"/>
        <v>-287.418905</v>
      </c>
      <c r="DD42" s="1515">
        <f t="shared" si="223"/>
        <v>-173.13169540000001</v>
      </c>
      <c r="DE42" s="1515">
        <f t="shared" si="223"/>
        <v>-153.466172</v>
      </c>
      <c r="DF42" s="1515">
        <f t="shared" si="223"/>
        <v>-121.27631842999999</v>
      </c>
      <c r="DG42" s="1515">
        <f t="shared" si="223"/>
        <v>-190.86914587000001</v>
      </c>
      <c r="DH42" s="1515">
        <f t="shared" si="223"/>
        <v>-288.98386495</v>
      </c>
      <c r="DI42" s="1515">
        <f t="shared" si="223"/>
        <v>-219.96312764999999</v>
      </c>
      <c r="DJ42" s="1515">
        <f t="shared" si="223"/>
        <v>-285.83352299999996</v>
      </c>
      <c r="DK42" s="1515">
        <f t="shared" si="223"/>
        <v>-213.77944705000002</v>
      </c>
      <c r="DL42" s="1515">
        <f t="shared" si="223"/>
        <v>-215.67689407</v>
      </c>
      <c r="DM42" s="1515">
        <f t="shared" si="223"/>
        <v>-213.53575362999999</v>
      </c>
      <c r="DN42" s="1515">
        <f t="shared" si="223"/>
        <v>-209.32879797999999</v>
      </c>
      <c r="DO42" s="1515">
        <f t="shared" si="223"/>
        <v>-206.59894057999998</v>
      </c>
      <c r="DP42" s="1515">
        <f t="shared" si="223"/>
        <v>-213.47226029999999</v>
      </c>
      <c r="DQ42" s="1516">
        <f t="shared" si="223"/>
        <v>-212.36923261000004</v>
      </c>
      <c r="DR42" s="1516">
        <f t="shared" si="223"/>
        <v>-221.81399983999998</v>
      </c>
      <c r="DS42" s="1516">
        <f t="shared" si="223"/>
        <v>-221.85183953999999</v>
      </c>
      <c r="DT42" s="1516">
        <f t="shared" si="223"/>
        <v>-239.11334395999998</v>
      </c>
      <c r="DU42" s="1516">
        <f t="shared" si="223"/>
        <v>-234.63423271999997</v>
      </c>
      <c r="DV42" s="1516">
        <f t="shared" si="223"/>
        <v>-430.53971143999996</v>
      </c>
      <c r="DW42" s="1516">
        <f t="shared" si="223"/>
        <v>-240.37187243999998</v>
      </c>
      <c r="DX42" s="1516">
        <f t="shared" si="223"/>
        <v>-214.68243661</v>
      </c>
      <c r="DY42" s="1516">
        <f t="shared" si="223"/>
        <v>-217.54109442999999</v>
      </c>
      <c r="DZ42" s="1516">
        <f t="shared" si="223"/>
        <v>-250.02784689999999</v>
      </c>
      <c r="EA42" s="1516">
        <f t="shared" si="223"/>
        <v>-231.41198211</v>
      </c>
      <c r="EB42" s="1516">
        <f t="shared" si="223"/>
        <v>-231.05654114000004</v>
      </c>
      <c r="EC42" s="1516">
        <f t="shared" si="223"/>
        <v>-274.68676945999999</v>
      </c>
      <c r="ED42" s="1516">
        <f t="shared" si="223"/>
        <v>-245.70827226</v>
      </c>
      <c r="EE42" s="1516">
        <f t="shared" si="223"/>
        <v>-255.39677153</v>
      </c>
      <c r="EF42" s="1516">
        <f t="shared" si="223"/>
        <v>-324.22103953999999</v>
      </c>
      <c r="EG42" s="949"/>
      <c r="EH42" s="1515">
        <f t="shared" ref="EH42:ES42" si="224">SUM(EH43:EH47)</f>
        <v>-224.69614934000001</v>
      </c>
      <c r="EI42" s="1515">
        <f t="shared" si="224"/>
        <v>-264.14915397999999</v>
      </c>
      <c r="EJ42" s="1515">
        <f t="shared" si="224"/>
        <v>-216.89250322999999</v>
      </c>
      <c r="EK42" s="1515">
        <f t="shared" si="224"/>
        <v>-198.83581762999998</v>
      </c>
      <c r="EL42" s="1515">
        <f t="shared" si="224"/>
        <v>-161.27905157999999</v>
      </c>
      <c r="EM42" s="1515">
        <f t="shared" si="224"/>
        <v>-197.50782130000002</v>
      </c>
      <c r="EN42" s="1515">
        <f t="shared" si="224"/>
        <v>-199.71942234779999</v>
      </c>
      <c r="EO42" s="1515">
        <f t="shared" si="224"/>
        <v>-182.4892443478</v>
      </c>
      <c r="EP42" s="1515">
        <f t="shared" si="224"/>
        <v>-185.28874634779996</v>
      </c>
      <c r="EQ42" s="1515">
        <f t="shared" si="224"/>
        <v>-182.54527334779999</v>
      </c>
      <c r="ER42" s="1515">
        <f t="shared" si="224"/>
        <v>-182.61874634779997</v>
      </c>
      <c r="ES42" s="1515">
        <f t="shared" si="224"/>
        <v>-197.30535034779999</v>
      </c>
      <c r="EU42" s="1515">
        <v>-492.94362402915857</v>
      </c>
      <c r="EV42" s="1515">
        <v>-574.09062042945186</v>
      </c>
      <c r="EW42" s="1515">
        <v>-579.2965068009554</v>
      </c>
      <c r="EX42" s="1515">
        <v>-545.77270349664582</v>
      </c>
      <c r="EY42" s="1515">
        <v>-497.69616681638632</v>
      </c>
      <c r="EZ42" s="1515">
        <v>-515.31006847338631</v>
      </c>
      <c r="FA42" s="1515">
        <v>-507.05616918638634</v>
      </c>
      <c r="FB42" s="1515">
        <v>-492.60851328171964</v>
      </c>
      <c r="FC42" s="1515">
        <v>-504.35144147697633</v>
      </c>
      <c r="FD42" s="1515">
        <v>-504.97447842097631</v>
      </c>
      <c r="FE42" s="1515">
        <v>-487.47827676397628</v>
      </c>
      <c r="FF42" s="1515">
        <v>-785.44152932192469</v>
      </c>
      <c r="FG42" s="1515">
        <f t="shared" ref="FG42:HB42" si="225">SUM(FG43:FG47)</f>
        <v>-327.00493168829456</v>
      </c>
      <c r="FH42" s="1515">
        <f t="shared" si="225"/>
        <v>-394.85649933925566</v>
      </c>
      <c r="FI42" s="1515">
        <f t="shared" si="225"/>
        <v>-357.71580775826192</v>
      </c>
      <c r="FJ42" s="1515">
        <f t="shared" si="225"/>
        <v>-401.09155194922067</v>
      </c>
      <c r="FK42" s="1515">
        <f t="shared" si="225"/>
        <v>-279.57538158282614</v>
      </c>
      <c r="FL42" s="1515">
        <f t="shared" si="225"/>
        <v>-283.89396232173965</v>
      </c>
      <c r="FM42" s="1515">
        <f t="shared" si="225"/>
        <v>-269.95033244265232</v>
      </c>
      <c r="FN42" s="1515">
        <f t="shared" si="225"/>
        <v>-256.01090527032545</v>
      </c>
      <c r="FO42" s="1515">
        <f t="shared" si="225"/>
        <v>-281.87551285508243</v>
      </c>
      <c r="FP42" s="1515">
        <f t="shared" si="225"/>
        <v>-253.14448762637971</v>
      </c>
      <c r="FQ42" s="1515">
        <f t="shared" si="225"/>
        <v>-254.32212232220348</v>
      </c>
      <c r="FR42" s="1515">
        <f t="shared" si="225"/>
        <v>-262.08087093020362</v>
      </c>
      <c r="FS42" s="1515">
        <f t="shared" si="225"/>
        <v>-187.36421300000001</v>
      </c>
      <c r="FT42" s="1515">
        <f t="shared" si="225"/>
        <v>-187.22621308999999</v>
      </c>
      <c r="FU42" s="1515">
        <f t="shared" si="225"/>
        <v>-190.35573299999999</v>
      </c>
      <c r="FV42" s="1515">
        <f t="shared" si="225"/>
        <v>-177.51761309</v>
      </c>
      <c r="FW42" s="1515">
        <f t="shared" si="225"/>
        <v>-187.69168108999997</v>
      </c>
      <c r="FX42" s="1515">
        <f t="shared" si="225"/>
        <v>-196.12411008999999</v>
      </c>
      <c r="FY42" s="1515">
        <f t="shared" si="225"/>
        <v>-184.26101008999998</v>
      </c>
      <c r="FZ42" s="1515">
        <f t="shared" si="225"/>
        <v>-185.02231309000001</v>
      </c>
      <c r="GA42" s="1515">
        <f t="shared" si="225"/>
        <v>-186.18068</v>
      </c>
      <c r="GB42" s="1515">
        <f t="shared" si="225"/>
        <v>-180.04225009000001</v>
      </c>
      <c r="GC42" s="1515">
        <f t="shared" si="225"/>
        <v>-183.63478209000002</v>
      </c>
      <c r="GD42" s="1515">
        <f t="shared" si="225"/>
        <v>-182.31730200000001</v>
      </c>
      <c r="GE42" s="1515">
        <f t="shared" si="225"/>
        <v>-207.48698415184353</v>
      </c>
      <c r="GF42" s="1515">
        <f t="shared" si="225"/>
        <v>-214.3619841518435</v>
      </c>
      <c r="GG42" s="1515">
        <f t="shared" si="225"/>
        <v>-213.30498415184348</v>
      </c>
      <c r="GH42" s="1515">
        <f t="shared" si="225"/>
        <v>-205.5469841518435</v>
      </c>
      <c r="GI42" s="1515">
        <f t="shared" si="225"/>
        <v>-207.1179841518435</v>
      </c>
      <c r="GJ42" s="1515">
        <f t="shared" si="225"/>
        <v>-212.12498415184351</v>
      </c>
      <c r="GK42" s="1515">
        <f t="shared" si="225"/>
        <v>-216.17080115184351</v>
      </c>
      <c r="GL42" s="1515">
        <f t="shared" si="225"/>
        <v>-210.54524715184351</v>
      </c>
      <c r="GM42" s="1515">
        <f t="shared" si="225"/>
        <v>-212.95198415184348</v>
      </c>
      <c r="GN42" s="1515">
        <f t="shared" si="225"/>
        <v>-208.73998415184352</v>
      </c>
      <c r="GO42" s="1515">
        <f t="shared" si="225"/>
        <v>-208.97198415184351</v>
      </c>
      <c r="GP42" s="1515">
        <f t="shared" si="225"/>
        <v>-205.35198415184351</v>
      </c>
      <c r="GQ42" s="1515">
        <f t="shared" si="225"/>
        <v>-207.48698415184353</v>
      </c>
      <c r="GR42" s="1515">
        <f t="shared" si="225"/>
        <v>-214.3619841518435</v>
      </c>
      <c r="GS42" s="1515">
        <f t="shared" si="225"/>
        <v>-213.30498415184348</v>
      </c>
      <c r="GT42" s="1515">
        <f t="shared" si="225"/>
        <v>-205.5469841518435</v>
      </c>
      <c r="GU42" s="1515">
        <f t="shared" si="225"/>
        <v>-207.1179841518435</v>
      </c>
      <c r="GV42" s="1515">
        <f t="shared" si="225"/>
        <v>-212.12498415184351</v>
      </c>
      <c r="GW42" s="1515">
        <f t="shared" si="225"/>
        <v>-216.17080115184351</v>
      </c>
      <c r="GX42" s="1515">
        <f t="shared" si="225"/>
        <v>-210.54524715184351</v>
      </c>
      <c r="GY42" s="1515">
        <f t="shared" si="225"/>
        <v>-212.95198415184348</v>
      </c>
      <c r="GZ42" s="1515">
        <f t="shared" si="225"/>
        <v>-208.73998415184352</v>
      </c>
      <c r="HA42" s="1515">
        <f t="shared" si="225"/>
        <v>-208.97198415184351</v>
      </c>
      <c r="HB42" s="1515">
        <f t="shared" si="225"/>
        <v>-205.35198415184351</v>
      </c>
      <c r="HD42" s="1515">
        <f t="shared" ref="HD42:HG58" si="226">+SUMIF($E$6:$AZ$6,HD$7,$E42:$AZ42)</f>
        <v>-3278.7241652599996</v>
      </c>
      <c r="HE42" s="1515">
        <f t="shared" si="226"/>
        <v>-4628.2900165699984</v>
      </c>
      <c r="HF42" s="1515">
        <f t="shared" si="226"/>
        <v>-5446.7616672800004</v>
      </c>
      <c r="HG42" s="1515">
        <f t="shared" si="226"/>
        <v>-7609.0282093800006</v>
      </c>
      <c r="HH42" s="1515">
        <f t="shared" ref="HH42:HH58" si="227">+SUMIF($E$6:$BL$6,HH$7,$E42:$BL42)</f>
        <v>-3091.0563960299996</v>
      </c>
      <c r="HI42" s="1515">
        <f t="shared" ref="HI42:HI58" si="228">+SUMIF($E$6:$BX$6,HI$7,$E42:$BX42)</f>
        <v>-2159.23011894</v>
      </c>
      <c r="HJ42" s="1515">
        <f t="shared" ref="HJ42:HJ58" si="229">+SUMIF($E$6:$CJ$6,HJ$7,$E42:$CJ42)</f>
        <v>-2632.5674851099998</v>
      </c>
      <c r="HK42" s="1515">
        <f t="shared" ref="HK42:HK58" si="230">+SUMIF($E$6:$CV$6,HK$7,$E42:$CV42)</f>
        <v>-2814.2508768399998</v>
      </c>
      <c r="HL42" s="1516">
        <f>+SUMIF($E$6:SEW$6,HL$7,$E42:SEW42)</f>
        <v>-2478.5065987099997</v>
      </c>
      <c r="HM42" s="1516">
        <f>+SUMIF($E$6:SEX$6,HM$7,$E42:SEX42)</f>
        <v>-2673.3371602100001</v>
      </c>
      <c r="HN42" s="1516">
        <f>+SUMIF($E$6:SEY$6,HN$7,$E42:SEY42)</f>
        <v>-3150.2785705799997</v>
      </c>
      <c r="HO42" s="1515"/>
      <c r="HP42" s="1515"/>
      <c r="HR42" s="1519">
        <f t="shared" ref="HR42:HR58" si="231">+IFERROR(HF42/HE42-1,"")</f>
        <v>0.17684104664568245</v>
      </c>
      <c r="HS42" s="1519">
        <f t="shared" ref="HS42:HS58" si="232">+IFERROR(HG42/HF42-1,"")</f>
        <v>0.39698203706786961</v>
      </c>
      <c r="HT42" s="1519">
        <f t="shared" ref="HT42:HT58" si="233">+IFERROR(HH42/HG42-1,"")</f>
        <v>-0.59376462920461881</v>
      </c>
      <c r="HU42" s="1519">
        <f t="shared" ref="HU42:HU58" si="234">+IFERROR(HI42/HH42-1,"")</f>
        <v>-0.30145884050733962</v>
      </c>
      <c r="HV42" s="1519">
        <f t="shared" ref="HV42:HV58" si="235">+IFERROR(HJ42/HI42-1,"")</f>
        <v>0.21921580382658257</v>
      </c>
      <c r="HW42" s="1519">
        <f t="shared" ref="HW42:HW58" si="236">+IFERROR(HK42/HJ42-1,"")</f>
        <v>6.9013764227361607E-2</v>
      </c>
      <c r="HX42" s="1519">
        <f t="shared" ref="HX42:HZ58" si="237">+IFERROR(HL42/HK42-1,"")</f>
        <v>-0.11930147411271053</v>
      </c>
      <c r="HY42" s="1519">
        <f t="shared" si="237"/>
        <v>7.8608046313616731E-2</v>
      </c>
      <c r="HZ42" s="1519">
        <f t="shared" si="237"/>
        <v>0.1784067559710778</v>
      </c>
      <c r="IA42" s="1519">
        <f t="shared" si="17"/>
        <v>-1</v>
      </c>
      <c r="IB42" s="1519" t="str">
        <f t="shared" ref="IB42:IB58" si="238">+IFERROR(HP42/HO42-1,"")</f>
        <v/>
      </c>
      <c r="IC42" s="1519">
        <f t="shared" si="19"/>
        <v>-1</v>
      </c>
      <c r="IE42" s="1515">
        <f t="shared" ref="IE42:IE58" si="239">+HF42-HE42</f>
        <v>-818.471650710002</v>
      </c>
      <c r="IF42" s="1515">
        <f t="shared" ref="IF42:IF58" si="240">+HG42-HF42</f>
        <v>-2162.2665421000002</v>
      </c>
      <c r="IG42" s="1515">
        <f t="shared" ref="IG42:IG58" si="241">+HH42-HG42</f>
        <v>4517.971813350001</v>
      </c>
      <c r="IH42" s="1515">
        <f t="shared" ref="IH42:IH58" si="242">+HI42-HH42</f>
        <v>931.82627708999962</v>
      </c>
      <c r="II42" s="1515">
        <f t="shared" si="100"/>
        <v>-473.33736616999977</v>
      </c>
      <c r="IJ42" s="1515">
        <f t="shared" si="101"/>
        <v>-181.68339173000004</v>
      </c>
      <c r="IK42" s="1515">
        <f t="shared" si="102"/>
        <v>335.74427813000011</v>
      </c>
      <c r="IL42" s="1515">
        <f t="shared" si="27"/>
        <v>2478.5065987099997</v>
      </c>
      <c r="IM42" s="1515">
        <f t="shared" ref="IM42:IM58" si="243">+HP42-HO42</f>
        <v>0</v>
      </c>
      <c r="IN42" s="1515">
        <f t="shared" si="29"/>
        <v>2478.5065987099997</v>
      </c>
      <c r="IP42" s="1520">
        <f t="shared" ref="IP42:IP58" si="244">+HE42/HE$11</f>
        <v>-0.1259217722377097</v>
      </c>
      <c r="IQ42" s="1520">
        <f t="shared" ref="IQ42:IQ58" si="245">+HF42/HF$11</f>
        <v>-0.13830242085987146</v>
      </c>
      <c r="IR42" s="1520">
        <f t="shared" ref="IR42:IR58" si="246">+HG42/HG$11</f>
        <v>-0.45149979670320861</v>
      </c>
      <c r="IS42" s="1520">
        <f t="shared" ref="IS42:IS58" si="247">+HH42/HH$11</f>
        <v>-0.50244520985957242</v>
      </c>
      <c r="IT42" s="1520">
        <f t="shared" ref="IT42:IT58" si="248">+HI42/HI$11</f>
        <v>-0.15843124477116724</v>
      </c>
      <c r="IU42" s="1520">
        <f t="shared" ref="IU42:IU58" si="249">+HJ42/HJ$11</f>
        <v>-0.1860401532451457</v>
      </c>
      <c r="IV42" s="1520">
        <f t="shared" ref="IV42:IV58" si="250">+HK42/HK$11</f>
        <v>-0.1325641505596328</v>
      </c>
      <c r="IW42" s="1520">
        <f t="shared" ref="IW42:IW58" si="251">+HL42/HL$11</f>
        <v>-0.19639688957140761</v>
      </c>
      <c r="IX42" s="1520" t="e">
        <f t="shared" ref="IX42:IX58" si="252">+HO42/HO$11</f>
        <v>#DIV/0!</v>
      </c>
      <c r="IY42" s="1520" t="e">
        <f t="shared" ref="IY42:IY58" si="253">+HP42/HP$11</f>
        <v>#DIV/0!</v>
      </c>
      <c r="JA42" s="1515">
        <f t="shared" ref="JA42:JK58" si="254">+IFERROR(SUMIFS($E42:$EG42,$E$6:$EG$6,JA$7,$E$5:$EG$5,"&lt;="&amp;$JC$5),"NA")</f>
        <v>-3278.7241652599996</v>
      </c>
      <c r="JB42" s="1515">
        <f t="shared" si="254"/>
        <v>-4628.2900165699984</v>
      </c>
      <c r="JC42" s="1515">
        <f t="shared" si="254"/>
        <v>-5446.7616672800004</v>
      </c>
      <c r="JD42" s="1515">
        <f t="shared" si="254"/>
        <v>-7609.0282093800006</v>
      </c>
      <c r="JE42" s="1515">
        <f t="shared" si="254"/>
        <v>-3091.0563960299996</v>
      </c>
      <c r="JF42" s="1515">
        <f t="shared" si="254"/>
        <v>-2159.23011894</v>
      </c>
      <c r="JG42" s="1515">
        <f t="shared" si="254"/>
        <v>-2632.5674851099998</v>
      </c>
      <c r="JH42" s="1515">
        <f t="shared" si="254"/>
        <v>-2814.2508768399998</v>
      </c>
      <c r="JI42" s="1515">
        <f t="shared" si="254"/>
        <v>-2478.5065987099997</v>
      </c>
      <c r="JJ42" s="1515">
        <f t="shared" si="254"/>
        <v>-2673.3371602100001</v>
      </c>
      <c r="JK42" s="1515">
        <f t="shared" si="254"/>
        <v>-3150.2785705799997</v>
      </c>
      <c r="JL42" s="1515">
        <f t="shared" ref="JL42:JL58" si="255">+SUMIF($DU$5:$EF$5,"&lt;="&amp;$JC$5,$DU42:$EF42)</f>
        <v>-3150.2785705799997</v>
      </c>
      <c r="JM42" s="1515"/>
      <c r="JN42" s="1515"/>
      <c r="JO42" s="922">
        <f>+JJ42/JI42-1</f>
        <v>7.8608046313616731E-2</v>
      </c>
      <c r="JP42" s="1515">
        <f t="shared" ref="JP42:JP58" si="256">+JL42</f>
        <v>-3150.2785705799997</v>
      </c>
      <c r="JQ42" s="1515">
        <f t="shared" ref="JQ42:JQ58" si="257">+JM42</f>
        <v>0</v>
      </c>
      <c r="JR42" s="939"/>
      <c r="JS42" s="1519" t="str">
        <f t="shared" ref="JS42:JS58" si="258">+IFERROR(JP42/JQ42,"")</f>
        <v/>
      </c>
      <c r="JT42" s="1523">
        <f t="shared" ref="JT42:JT58" si="259">+IFERROR(JP42-JQ42,"NA")</f>
        <v>-3150.2785705799997</v>
      </c>
      <c r="JV42" s="1520">
        <f t="shared" ref="JV42:JV58" si="260">+JP42/JP$11</f>
        <v>-0.10434297040294345</v>
      </c>
      <c r="JW42" s="1519" t="str">
        <f t="shared" ref="JW42:JW58" si="261">+IFERROR(JQ42/JQ$11,"")</f>
        <v/>
      </c>
      <c r="JY42" s="1520">
        <f t="shared" ref="JY42:KE42" si="262">+IFERROR(JC42/JB42-1,"NA")</f>
        <v>0.17684104664568245</v>
      </c>
      <c r="JZ42" s="1520">
        <f t="shared" si="262"/>
        <v>0.39698203706786961</v>
      </c>
      <c r="KA42" s="1520">
        <f t="shared" si="262"/>
        <v>-0.59376462920461881</v>
      </c>
      <c r="KB42" s="1520">
        <f t="shared" si="262"/>
        <v>-0.30145884050733962</v>
      </c>
      <c r="KC42" s="1520">
        <f t="shared" si="262"/>
        <v>0.21921580382658257</v>
      </c>
      <c r="KD42" s="1520">
        <f t="shared" si="262"/>
        <v>6.9013764227361607E-2</v>
      </c>
      <c r="KE42" s="1520">
        <f t="shared" si="262"/>
        <v>-0.11930147411271053</v>
      </c>
      <c r="KF42" s="1520">
        <f>+IFERROR(JN42/JI42-1,"NA")</f>
        <v>-1</v>
      </c>
      <c r="KH42" s="1515">
        <f t="shared" ref="KH42:KH58" si="263">+JC42-JB42</f>
        <v>-818.471650710002</v>
      </c>
      <c r="KI42" s="1515">
        <f t="shared" ref="KI42:KI58" si="264">+JD42-JC42</f>
        <v>-2162.2665421000002</v>
      </c>
      <c r="KJ42" s="1515">
        <f t="shared" ref="KJ42:KJ58" si="265">+JE42-JD42</f>
        <v>4517.971813350001</v>
      </c>
      <c r="KK42" s="1515">
        <f t="shared" ref="KK42:KK58" si="266">+JF42-JE42</f>
        <v>931.82627708999962</v>
      </c>
      <c r="KL42" s="1515">
        <f t="shared" ref="KL42:KL58" si="267">+JG42-JF42</f>
        <v>-473.33736616999977</v>
      </c>
      <c r="KM42" s="1515">
        <f t="shared" ref="KM42:KM58" si="268">+JH42-JG42</f>
        <v>-181.68339173000004</v>
      </c>
      <c r="KN42" s="1515">
        <f t="shared" ref="KN42:KN58" si="269">+JI42-JH42</f>
        <v>335.74427813000011</v>
      </c>
      <c r="KO42" s="1515">
        <f t="shared" ref="KO42:KO58" si="270">+JN42-JI42</f>
        <v>2478.5065987099997</v>
      </c>
      <c r="KQ42" s="1520">
        <f t="shared" ref="KQ42:KQ58" si="271">+JA42/JA$11</f>
        <v>-9.0369366633299822E-2</v>
      </c>
      <c r="KR42" s="1520">
        <f t="shared" ref="KR42:KR58" si="272">+JB42/JB$11</f>
        <v>-0.1259217722377097</v>
      </c>
      <c r="KS42" s="1520">
        <f t="shared" ref="KS42:KS58" si="273">+JC42/JC$11</f>
        <v>-0.13830242085987146</v>
      </c>
      <c r="KT42" s="1520">
        <f t="shared" ref="KT42:KT58" si="274">+JD42/JD$11</f>
        <v>-0.45149979670320861</v>
      </c>
      <c r="KU42" s="1520">
        <f t="shared" ref="KU42:KU58" si="275">+JE42/JE$11</f>
        <v>-0.50244520985957242</v>
      </c>
      <c r="KV42" s="1520">
        <f t="shared" ref="KV42:KV58" si="276">+JF42/JF$11</f>
        <v>-0.15843124477116724</v>
      </c>
      <c r="KW42" s="1520">
        <f t="shared" ref="KW42:KW58" si="277">+JG42/JG$11</f>
        <v>-0.1860401532451457</v>
      </c>
      <c r="KX42" s="1520">
        <f t="shared" ref="KX42:KX58" si="278">+JH42/JH$11</f>
        <v>-0.1325641505596328</v>
      </c>
      <c r="KY42" s="1520">
        <f t="shared" ref="KY42:KY58" si="279">+JI42/JI$11</f>
        <v>-0.19639688957140761</v>
      </c>
      <c r="KZ42" s="1520" t="e">
        <f t="shared" ref="KZ42:KZ58" si="280">+JN42/JN$11</f>
        <v>#DIV/0!</v>
      </c>
      <c r="LB42" s="1515">
        <f t="shared" ref="LB42:LM58" si="281">+SUMIFS($E42:$EG42,$E$6:$EG$6,LB$7,$E$5:$EG$5,$LD$5)</f>
        <v>-734.92024769999966</v>
      </c>
      <c r="LC42" s="1515">
        <f t="shared" si="281"/>
        <v>-646.63298301999919</v>
      </c>
      <c r="LD42" s="1515">
        <f t="shared" si="281"/>
        <v>-978.88915315999998</v>
      </c>
      <c r="LE42" s="1515">
        <f t="shared" si="281"/>
        <v>-1534.3050345000001</v>
      </c>
      <c r="LF42" s="1515">
        <f t="shared" si="281"/>
        <v>-415.04057446999997</v>
      </c>
      <c r="LG42" s="1515">
        <f t="shared" si="281"/>
        <v>-233.72656275000003</v>
      </c>
      <c r="LH42" s="1515">
        <f t="shared" si="281"/>
        <v>-283.81099704999997</v>
      </c>
      <c r="LI42" s="1515">
        <f t="shared" si="281"/>
        <v>-366.21554850000001</v>
      </c>
      <c r="LJ42" s="1515">
        <f t="shared" si="281"/>
        <v>-288.98386495</v>
      </c>
      <c r="LK42" s="1515">
        <f t="shared" si="281"/>
        <v>-239.11334395999998</v>
      </c>
      <c r="LL42" s="1515">
        <f t="shared" si="281"/>
        <v>-324.22103953999999</v>
      </c>
      <c r="LM42" s="1515">
        <f t="shared" si="281"/>
        <v>-324.22103953999999</v>
      </c>
      <c r="LN42" s="1515"/>
      <c r="LO42" s="1515"/>
      <c r="LR42" s="1520">
        <f t="shared" ref="LR42:LR58" si="282">+IFERROR(LD42/LC42-1," ")</f>
        <v>0.51382496542049227</v>
      </c>
      <c r="LS42" s="1520">
        <f t="shared" ref="LS42:LS58" si="283">+IFERROR(LE42/LD42-1," ")</f>
        <v>0.56739405023238332</v>
      </c>
      <c r="LT42" s="1520">
        <f t="shared" ref="LT42:LT58" si="284">+IFERROR(LF42/LE42-1," ")</f>
        <v>-0.72949278980548127</v>
      </c>
      <c r="LU42" s="1520">
        <f t="shared" ref="LU42:LU58" si="285">+IFERROR(LG42/LF42-1," ")</f>
        <v>-0.43685852148680882</v>
      </c>
      <c r="LV42" s="1520">
        <f t="shared" ref="LV42:LV58" si="286">+IFERROR(LH42/LG42-1," ")</f>
        <v>0.21428644528337815</v>
      </c>
      <c r="LW42" s="1520">
        <f t="shared" ref="LW42:LW58" si="287">+IFERROR(LI42/LH42-1," ")</f>
        <v>0.29035010026578556</v>
      </c>
      <c r="LX42" s="1520">
        <f t="shared" ref="LX42:LX58" si="288">+IFERROR(LO42/LI42-1," ")</f>
        <v>-1</v>
      </c>
      <c r="LZ42" s="1515">
        <f t="shared" ref="LZ42:LZ58" si="289">+LD42-LC42</f>
        <v>-332.25617014000079</v>
      </c>
      <c r="MA42" s="1515">
        <f t="shared" ref="MA42:MA58" si="290">+LE42-LD42</f>
        <v>-555.41588134000017</v>
      </c>
      <c r="MB42" s="1515">
        <f t="shared" ref="MB42:MB58" si="291">+LF42-LE42</f>
        <v>1119.2644600300002</v>
      </c>
      <c r="MC42" s="1515">
        <f t="shared" ref="MC42:MC58" si="292">+LG42-LF42</f>
        <v>181.31401171999994</v>
      </c>
      <c r="MD42" s="1515">
        <f t="shared" ref="MD42:MD58" si="293">+LH42-LG42</f>
        <v>-50.084434299999941</v>
      </c>
      <c r="ME42" s="1515">
        <f t="shared" ref="ME42:ME58" si="294">+LI42-LH42</f>
        <v>-82.404551450000042</v>
      </c>
      <c r="MF42" s="1515">
        <f t="shared" ref="MF42:MF58" si="295">+LO42-LI42</f>
        <v>366.21554850000001</v>
      </c>
      <c r="MH42" s="1520">
        <f t="shared" ref="MH42:MH58" si="296">+LB42/LB$11</f>
        <v>-0.24502697514178054</v>
      </c>
      <c r="MI42" s="1520">
        <f t="shared" ref="MI42:MI58" si="297">+LC42/LC$11</f>
        <v>-0.11727827136781839</v>
      </c>
      <c r="MJ42" s="1520">
        <f t="shared" ref="MJ42:MJ58" si="298">+LD42/LD$11</f>
        <v>-0.1909600042123506</v>
      </c>
      <c r="MK42" s="1520">
        <f t="shared" ref="MK42:MK58" si="299">+LE42/LE$11</f>
        <v>-2.6395657290718608</v>
      </c>
      <c r="ML42" s="1520">
        <f t="shared" ref="ML42:ML58" si="300">+LF42/LF$11</f>
        <v>-0.27550731989471872</v>
      </c>
      <c r="MM42" s="1520">
        <f t="shared" ref="MM42:MM58" si="301">+LG42/LG$11</f>
        <v>-0.22720940098129899</v>
      </c>
      <c r="MN42" s="1520">
        <f t="shared" ref="MN42:MN58" si="302">+LH42/LH$11</f>
        <v>-0.18251362534250887</v>
      </c>
      <c r="MO42" s="1520">
        <f t="shared" ref="MO42:MO58" si="303">+LI42/LI$11</f>
        <v>-0.19458892959054438</v>
      </c>
      <c r="MP42" s="1520" t="e">
        <f t="shared" ref="MP42:MP58" si="304">+LO42/LO$11</f>
        <v>#DIV/0!</v>
      </c>
    </row>
    <row r="43" spans="1:354" outlineLevel="1">
      <c r="A43" s="884">
        <v>5105</v>
      </c>
      <c r="B43" s="70" t="s">
        <v>644</v>
      </c>
      <c r="C43" s="17" t="s">
        <v>78</v>
      </c>
      <c r="D43" s="31" t="s">
        <v>59</v>
      </c>
      <c r="E43" s="924">
        <v>-184.60359</v>
      </c>
      <c r="F43" s="924">
        <v>-179.33744200000001</v>
      </c>
      <c r="G43" s="924">
        <v>-178.53491223999998</v>
      </c>
      <c r="H43" s="924">
        <v>-192.94177000000002</v>
      </c>
      <c r="I43" s="924">
        <v>-209.37347199999999</v>
      </c>
      <c r="J43" s="924">
        <v>-204.46819399999993</v>
      </c>
      <c r="K43" s="924">
        <v>-222.84923200000003</v>
      </c>
      <c r="L43" s="924">
        <v>-167.29574200000002</v>
      </c>
      <c r="M43" s="924">
        <v>-189.70884000000001</v>
      </c>
      <c r="N43" s="924">
        <v>-184.99614500000007</v>
      </c>
      <c r="O43" s="924">
        <v>-196.77145700000005</v>
      </c>
      <c r="P43" s="924">
        <v>-228.98006599999962</v>
      </c>
      <c r="Q43" s="924">
        <v>-191.06300100000001</v>
      </c>
      <c r="R43" s="924">
        <v>-242.98850300000001</v>
      </c>
      <c r="S43" s="924">
        <v>-311.0568780000001</v>
      </c>
      <c r="T43" s="924">
        <v>-296.09025799999995</v>
      </c>
      <c r="U43" s="924">
        <v>-285.45387299999948</v>
      </c>
      <c r="V43" s="924">
        <v>-275.24349000000029</v>
      </c>
      <c r="W43" s="924">
        <v>-275.23811299999988</v>
      </c>
      <c r="X43" s="924">
        <v>-279.31216600000016</v>
      </c>
      <c r="Y43" s="924">
        <v>-287.54572000000007</v>
      </c>
      <c r="Z43" s="924">
        <v>-317.61782600000015</v>
      </c>
      <c r="AA43" s="924">
        <v>-299.50171809999983</v>
      </c>
      <c r="AB43" s="924">
        <v>-491.46280762999913</v>
      </c>
      <c r="AC43" s="924">
        <v>-280.63312950000005</v>
      </c>
      <c r="AD43" s="924">
        <v>-278.71076854</v>
      </c>
      <c r="AE43" s="924">
        <v>-272.92192555000003</v>
      </c>
      <c r="AF43" s="924">
        <v>-276.30293782999991</v>
      </c>
      <c r="AG43" s="924">
        <v>-333.07623887000011</v>
      </c>
      <c r="AH43" s="924">
        <v>-274.55450743</v>
      </c>
      <c r="AI43" s="924">
        <v>-281.62906190000001</v>
      </c>
      <c r="AJ43" s="924">
        <v>-324.11659522000002</v>
      </c>
      <c r="AK43" s="924">
        <v>-285.50884779999996</v>
      </c>
      <c r="AL43" s="924">
        <v>-303.21534815000012</v>
      </c>
      <c r="AM43" s="924">
        <v>-300.63237048000002</v>
      </c>
      <c r="AN43" s="102">
        <v>-520.53340421999985</v>
      </c>
      <c r="AO43" s="924">
        <v>-377.12274188000004</v>
      </c>
      <c r="AP43" s="925">
        <v>-375.18297007000001</v>
      </c>
      <c r="AQ43" s="143">
        <v>-393.07302458999999</v>
      </c>
      <c r="AR43" s="220">
        <v>-338.87004795000001</v>
      </c>
      <c r="AS43" s="924">
        <v>-424.14468204000002</v>
      </c>
      <c r="AT43" s="924">
        <v>-452.27474258999996</v>
      </c>
      <c r="AU43" s="924">
        <v>-291.60278433999997</v>
      </c>
      <c r="AV43" s="924">
        <v>-273.44609086000003</v>
      </c>
      <c r="AW43" s="924">
        <v>-265.34902633000002</v>
      </c>
      <c r="AX43" s="924">
        <v>-252.49043387999996</v>
      </c>
      <c r="AY43" s="924">
        <v>-252.92055428</v>
      </c>
      <c r="AZ43" s="924">
        <v>-229.46811907</v>
      </c>
      <c r="BA43" s="102">
        <v>-177.63865627999999</v>
      </c>
      <c r="BB43" s="102">
        <v>-208.63852299000001</v>
      </c>
      <c r="BC43" s="102">
        <v>-276.12542055</v>
      </c>
      <c r="BD43" s="102">
        <v>-137.78893747000001</v>
      </c>
      <c r="BE43" s="924">
        <v>-136.93928036000003</v>
      </c>
      <c r="BF43" s="924">
        <v>-157.20269387000002</v>
      </c>
      <c r="BG43" s="924">
        <v>-116.87858375</v>
      </c>
      <c r="BH43" s="924">
        <v>-105.99932801</v>
      </c>
      <c r="BI43" s="924">
        <v>-111.05221645</v>
      </c>
      <c r="BJ43" s="924">
        <v>-102.15753529999999</v>
      </c>
      <c r="BK43" s="924">
        <v>-106.04619745000001</v>
      </c>
      <c r="BL43" s="924">
        <v>-161.44722637999999</v>
      </c>
      <c r="BM43" s="145">
        <v>-106.87166958</v>
      </c>
      <c r="BN43" s="102">
        <v>-111.14258698</v>
      </c>
      <c r="BO43" s="102">
        <v>-105.30731659</v>
      </c>
      <c r="BP43" s="102">
        <v>-103.75423302</v>
      </c>
      <c r="BQ43" s="924">
        <v>-103.94997991</v>
      </c>
      <c r="BR43" s="924">
        <v>-101.90266431000001</v>
      </c>
      <c r="BS43" s="924">
        <v>-101.77031104000001</v>
      </c>
      <c r="BT43" s="924">
        <v>-109.50933134</v>
      </c>
      <c r="BU43" s="924">
        <v>-99.053389659999993</v>
      </c>
      <c r="BV43" s="924">
        <v>-104.30861040000001</v>
      </c>
      <c r="BW43" s="924">
        <v>-107.19861506999999</v>
      </c>
      <c r="BX43" s="924">
        <v>-105.74375513</v>
      </c>
      <c r="BY43" s="924">
        <v>-120.76809273000001</v>
      </c>
      <c r="BZ43" s="924">
        <v>-124.50172655</v>
      </c>
      <c r="CA43" s="924">
        <v>-121.78647289</v>
      </c>
      <c r="CB43" s="924">
        <v>-119.95634161</v>
      </c>
      <c r="CC43" s="924">
        <v>-119.12346745000001</v>
      </c>
      <c r="CD43" s="924">
        <v>-120.71886388999999</v>
      </c>
      <c r="CE43" s="924">
        <v>-256.49563978999998</v>
      </c>
      <c r="CF43" s="924">
        <v>-114.96643410999999</v>
      </c>
      <c r="CG43" s="924">
        <v>-122.28728581</v>
      </c>
      <c r="CH43" s="924">
        <v>-123.62267353</v>
      </c>
      <c r="CI43" s="924">
        <v>-124.03740083</v>
      </c>
      <c r="CJ43" s="924">
        <v>-126.14992609000001</v>
      </c>
      <c r="CK43" s="924">
        <v>-125.59484712999999</v>
      </c>
      <c r="CL43" s="924">
        <v>-128.18772301000001</v>
      </c>
      <c r="CM43" s="924">
        <v>-127.99142644999999</v>
      </c>
      <c r="CN43" s="924">
        <v>-125.47283947</v>
      </c>
      <c r="CO43" s="924">
        <v>-130.81160413000001</v>
      </c>
      <c r="CP43" s="924">
        <v>-129.58660573</v>
      </c>
      <c r="CQ43" s="924">
        <v>-250.11541643999999</v>
      </c>
      <c r="CR43" s="924">
        <v>-125.64148701000001</v>
      </c>
      <c r="CS43" s="924">
        <v>-129.02305562000001</v>
      </c>
      <c r="CT43" s="924">
        <v>-132.01094178</v>
      </c>
      <c r="CU43" s="924">
        <v>-132.22973698999999</v>
      </c>
      <c r="CV43" s="924">
        <v>-134.80676386000002</v>
      </c>
      <c r="CW43" s="924">
        <v>-146.658615</v>
      </c>
      <c r="CX43" s="924">
        <v>-144.54122799999999</v>
      </c>
      <c r="CY43" s="924">
        <v>-134.604409</v>
      </c>
      <c r="CZ43" s="924">
        <v>-121.093917</v>
      </c>
      <c r="DA43" s="924">
        <v>-110.85061899999999</v>
      </c>
      <c r="DB43" s="924">
        <v>-122.435767</v>
      </c>
      <c r="DC43" s="924">
        <v>-236.30112800000001</v>
      </c>
      <c r="DD43" s="924">
        <v>-111.23355640000001</v>
      </c>
      <c r="DE43" s="924">
        <v>-122.795095</v>
      </c>
      <c r="DF43" s="924">
        <v>-123.773779</v>
      </c>
      <c r="DG43" s="924">
        <v>-123.66697881</v>
      </c>
      <c r="DH43" s="924">
        <v>-208.61710558000001</v>
      </c>
      <c r="DI43" s="924">
        <v>-153.80635938999998</v>
      </c>
      <c r="DJ43" s="924">
        <v>-193.09694809999999</v>
      </c>
      <c r="DK43" s="924">
        <v>-144.15673100000001</v>
      </c>
      <c r="DL43" s="924">
        <v>-145.25392199999999</v>
      </c>
      <c r="DM43" s="924">
        <v>-141.50682499999999</v>
      </c>
      <c r="DN43" s="924">
        <v>-134.20795899999999</v>
      </c>
      <c r="DO43" s="924">
        <v>-135.45847499999999</v>
      </c>
      <c r="DP43" s="924">
        <v>-137.864981</v>
      </c>
      <c r="DQ43" s="960">
        <v>-138.48601300000001</v>
      </c>
      <c r="DR43" s="960">
        <v>-133.234005</v>
      </c>
      <c r="DS43" s="960">
        <v>-138.245285</v>
      </c>
      <c r="DT43" s="960">
        <v>-147.43403599999999</v>
      </c>
      <c r="DU43" s="960">
        <v>-152.54401899999999</v>
      </c>
      <c r="DV43" s="960">
        <v>-345.49847299999999</v>
      </c>
      <c r="DW43" s="960">
        <v>-124.589313</v>
      </c>
      <c r="DX43" s="960">
        <v>-128.172257</v>
      </c>
      <c r="DY43" s="960">
        <v>-129.10905199999999</v>
      </c>
      <c r="DZ43" s="960">
        <v>-138.27172999999999</v>
      </c>
      <c r="EA43" s="960">
        <v>-135.985118</v>
      </c>
      <c r="EB43" s="960">
        <v>-139.03724700000001</v>
      </c>
      <c r="EC43" s="960">
        <v>-147.36003099999999</v>
      </c>
      <c r="ED43" s="960">
        <v>-147.32230999999999</v>
      </c>
      <c r="EE43" s="960">
        <v>-140.11129099999999</v>
      </c>
      <c r="EF43" s="960">
        <v>-155.09130400000001</v>
      </c>
      <c r="EH43" s="924">
        <v>-146.658615</v>
      </c>
      <c r="EI43" s="924">
        <v>-144.16122799999999</v>
      </c>
      <c r="EJ43" s="924">
        <v>-134.604409</v>
      </c>
      <c r="EK43" s="924">
        <v>-121.093917</v>
      </c>
      <c r="EL43" s="924">
        <v>-110.85061899999999</v>
      </c>
      <c r="EM43" s="924">
        <v>-122.435767</v>
      </c>
      <c r="EN43" s="924">
        <v>-122.12639094779998</v>
      </c>
      <c r="EO43" s="924">
        <v>-122.12639094779998</v>
      </c>
      <c r="EP43" s="924">
        <v>-122.12639094779998</v>
      </c>
      <c r="EQ43" s="924">
        <v>-122.12639094779998</v>
      </c>
      <c r="ER43" s="924">
        <v>-122.12639094779998</v>
      </c>
      <c r="ES43" s="924">
        <v>-122.12639094779998</v>
      </c>
      <c r="EU43" s="924">
        <v>-335.84943328100002</v>
      </c>
      <c r="EV43" s="924">
        <v>-361.54079548633331</v>
      </c>
      <c r="EW43" s="924">
        <v>-370.96186568910696</v>
      </c>
      <c r="EX43" s="924">
        <v>-365.28003492226617</v>
      </c>
      <c r="EY43" s="924">
        <v>-341.02976113233996</v>
      </c>
      <c r="EZ43" s="924">
        <v>-345.49036113233996</v>
      </c>
      <c r="FA43" s="924">
        <v>-344.01305370234002</v>
      </c>
      <c r="FB43" s="924">
        <v>-343.65001060733999</v>
      </c>
      <c r="FC43" s="924">
        <v>-345.53001060733999</v>
      </c>
      <c r="FD43" s="924">
        <v>-344.08082972733996</v>
      </c>
      <c r="FE43" s="924">
        <v>-343.92082972733999</v>
      </c>
      <c r="FF43" s="924">
        <v>-565.46921981727974</v>
      </c>
      <c r="FG43" s="924">
        <v>-212.40866708460001</v>
      </c>
      <c r="FH43" s="924">
        <v>-249.18545933152464</v>
      </c>
      <c r="FI43" s="924">
        <v>-177.2461209896</v>
      </c>
      <c r="FJ43" s="924">
        <v>-177.80221223959998</v>
      </c>
      <c r="FK43" s="924">
        <v>-185.57971223959998</v>
      </c>
      <c r="FL43" s="924">
        <v>-175.6198507396</v>
      </c>
      <c r="FM43" s="924">
        <v>-167.3524332396</v>
      </c>
      <c r="FN43" s="924">
        <v>-167.3524332396</v>
      </c>
      <c r="FO43" s="924">
        <v>-167.3524332396</v>
      </c>
      <c r="FP43" s="924">
        <v>-167.3524332396</v>
      </c>
      <c r="FQ43" s="924">
        <v>-167.3524332396</v>
      </c>
      <c r="FR43" s="924">
        <v>-167.6692332396</v>
      </c>
      <c r="FS43" s="924">
        <v>-100.37370900000001</v>
      </c>
      <c r="FT43" s="924">
        <v>-98.743708999999996</v>
      </c>
      <c r="FU43" s="924">
        <v>-98.743708999999996</v>
      </c>
      <c r="FV43" s="924">
        <v>-98.743708999999996</v>
      </c>
      <c r="FW43" s="924">
        <v>-99.743708999999996</v>
      </c>
      <c r="FX43" s="924">
        <v>-98.743708999999996</v>
      </c>
      <c r="FY43" s="924">
        <v>-103.52081099999999</v>
      </c>
      <c r="FZ43" s="924">
        <v>-102.890811</v>
      </c>
      <c r="GA43" s="924">
        <v>-103.890811</v>
      </c>
      <c r="GB43" s="924">
        <v>-102.890811</v>
      </c>
      <c r="GC43" s="924">
        <v>-102.890811</v>
      </c>
      <c r="GD43" s="924">
        <v>-102.890811</v>
      </c>
      <c r="GE43" s="924">
        <v>-135.73830639184351</v>
      </c>
      <c r="GF43" s="924">
        <v>-135.73830639184351</v>
      </c>
      <c r="GG43" s="924">
        <v>-136.23830639184351</v>
      </c>
      <c r="GH43" s="924">
        <v>-135.73830639184351</v>
      </c>
      <c r="GI43" s="924">
        <v>-135.73830639184351</v>
      </c>
      <c r="GJ43" s="924">
        <v>-135.73830639184351</v>
      </c>
      <c r="GK43" s="924">
        <v>-135.73830639184351</v>
      </c>
      <c r="GL43" s="924">
        <v>-135.73830639184351</v>
      </c>
      <c r="GM43" s="924">
        <v>-136.23830639184351</v>
      </c>
      <c r="GN43" s="924">
        <v>-135.73830639184351</v>
      </c>
      <c r="GO43" s="924">
        <v>-135.73830639184351</v>
      </c>
      <c r="GP43" s="924">
        <v>-135.73830639184351</v>
      </c>
      <c r="GQ43" s="924">
        <v>-135.73830639184351</v>
      </c>
      <c r="GR43" s="924">
        <v>-135.73830639184351</v>
      </c>
      <c r="GS43" s="924">
        <v>-136.23830639184351</v>
      </c>
      <c r="GT43" s="924">
        <v>-135.73830639184351</v>
      </c>
      <c r="GU43" s="924">
        <v>-135.73830639184351</v>
      </c>
      <c r="GV43" s="924">
        <v>-135.73830639184351</v>
      </c>
      <c r="GW43" s="924">
        <v>-135.73830639184351</v>
      </c>
      <c r="GX43" s="924">
        <v>-135.73830639184351</v>
      </c>
      <c r="GY43" s="924">
        <v>-136.23830639184351</v>
      </c>
      <c r="GZ43" s="924">
        <v>-135.73830639184351</v>
      </c>
      <c r="HA43" s="924">
        <v>-135.73830639184351</v>
      </c>
      <c r="HB43" s="924">
        <v>-135.73830639184351</v>
      </c>
      <c r="HD43" s="924">
        <f t="shared" si="226"/>
        <v>-2339.8608622399997</v>
      </c>
      <c r="HE43" s="924">
        <f t="shared" si="226"/>
        <v>-3552.5743537299991</v>
      </c>
      <c r="HF43" s="924">
        <f t="shared" si="226"/>
        <v>-3731.8351354899996</v>
      </c>
      <c r="HG43" s="924">
        <f t="shared" si="226"/>
        <v>-3925.9452178799997</v>
      </c>
      <c r="HH43" s="924">
        <f t="shared" si="227"/>
        <v>-1797.9145988600001</v>
      </c>
      <c r="HI43" s="924">
        <f t="shared" si="228"/>
        <v>-1260.5124630299999</v>
      </c>
      <c r="HJ43" s="924">
        <f t="shared" si="229"/>
        <v>-1594.4143252799997</v>
      </c>
      <c r="HK43" s="924">
        <f t="shared" si="230"/>
        <v>-1671.4724476199999</v>
      </c>
      <c r="HL43" s="960">
        <f>+SUMIF($E$6:SEW$6,HL$7,$E43:SEW43)</f>
        <v>-1706.5721977900002</v>
      </c>
      <c r="HM43" s="960">
        <f>+SUMIF($E$6:SEX$6,HM$7,$E43:SEX43)</f>
        <v>-1742.7515394899997</v>
      </c>
      <c r="HN43" s="960">
        <f>+SUMIF($E$6:SEY$6,HN$7,$E43:SEY43)</f>
        <v>-1883.0921449999998</v>
      </c>
      <c r="HO43" s="924"/>
      <c r="HP43" s="924"/>
      <c r="HR43" s="927">
        <f t="shared" si="231"/>
        <v>5.0459403213274578E-2</v>
      </c>
      <c r="HS43" s="927">
        <f t="shared" si="232"/>
        <v>5.2014645701788931E-2</v>
      </c>
      <c r="HT43" s="927">
        <f t="shared" si="233"/>
        <v>-0.54204287144106678</v>
      </c>
      <c r="HU43" s="927">
        <f t="shared" si="234"/>
        <v>-0.29890303809243757</v>
      </c>
      <c r="HV43" s="927">
        <f t="shared" si="235"/>
        <v>0.26489374127041287</v>
      </c>
      <c r="HW43" s="927">
        <f t="shared" si="236"/>
        <v>4.8330048920294244E-2</v>
      </c>
      <c r="HX43" s="927">
        <f t="shared" si="237"/>
        <v>2.0999299282485229E-2</v>
      </c>
      <c r="HY43" s="927">
        <f t="shared" si="237"/>
        <v>2.1200006508280911E-2</v>
      </c>
      <c r="HZ43" s="927">
        <f t="shared" si="237"/>
        <v>8.0528177614503482E-2</v>
      </c>
      <c r="IA43" s="927">
        <f t="shared" ref="IA43:IA72" si="305">+IFERROR(HO43/HL43-1,"")</f>
        <v>-1</v>
      </c>
      <c r="IB43" s="927" t="str">
        <f t="shared" si="238"/>
        <v/>
      </c>
      <c r="IC43" s="927">
        <f t="shared" ref="IC43:IC72" si="306">+IFERROR(HP43/HL43-1,"")</f>
        <v>-1</v>
      </c>
      <c r="IE43" s="924">
        <f t="shared" si="239"/>
        <v>-179.26078176000055</v>
      </c>
      <c r="IF43" s="924">
        <f t="shared" si="240"/>
        <v>-194.11008239000012</v>
      </c>
      <c r="IG43" s="924">
        <f t="shared" si="241"/>
        <v>2128.0306190199999</v>
      </c>
      <c r="IH43" s="924">
        <f t="shared" si="242"/>
        <v>537.40213583000013</v>
      </c>
      <c r="II43" s="924">
        <f t="shared" si="100"/>
        <v>-333.90186224999979</v>
      </c>
      <c r="IJ43" s="924">
        <f t="shared" si="101"/>
        <v>-77.058122340000182</v>
      </c>
      <c r="IK43" s="924">
        <f t="shared" si="102"/>
        <v>-35.099750170000334</v>
      </c>
      <c r="IL43" s="924">
        <f t="shared" ref="IL43:IL78" si="307">+HO43-HL43</f>
        <v>1706.5721977900002</v>
      </c>
      <c r="IM43" s="924">
        <f t="shared" si="243"/>
        <v>0</v>
      </c>
      <c r="IN43" s="924">
        <f t="shared" ref="IN43:IN78" si="308">+HP43-HL43</f>
        <v>1706.5721977900002</v>
      </c>
      <c r="IP43" s="76">
        <f t="shared" si="244"/>
        <v>-9.6654802751415261E-2</v>
      </c>
      <c r="IQ43" s="76">
        <f t="shared" si="245"/>
        <v>-9.4757557795976388E-2</v>
      </c>
      <c r="IR43" s="76">
        <f t="shared" si="246"/>
        <v>-0.23295530243344781</v>
      </c>
      <c r="IS43" s="76">
        <f t="shared" si="247"/>
        <v>-0.29224752388666364</v>
      </c>
      <c r="IT43" s="76">
        <f t="shared" si="248"/>
        <v>-9.2488779595873247E-2</v>
      </c>
      <c r="IU43" s="76">
        <f t="shared" si="249"/>
        <v>-0.11267520665247162</v>
      </c>
      <c r="IV43" s="76">
        <f t="shared" si="250"/>
        <v>-7.8734034348556442E-2</v>
      </c>
      <c r="IW43" s="76">
        <f t="shared" si="251"/>
        <v>-0.13522879932998455</v>
      </c>
      <c r="IX43" s="76" t="e">
        <f t="shared" si="252"/>
        <v>#DIV/0!</v>
      </c>
      <c r="IY43" s="76" t="e">
        <f t="shared" si="253"/>
        <v>#DIV/0!</v>
      </c>
      <c r="JA43" s="924">
        <f t="shared" si="254"/>
        <v>-2339.8608622399997</v>
      </c>
      <c r="JB43" s="924">
        <f t="shared" si="254"/>
        <v>-3552.5743537299991</v>
      </c>
      <c r="JC43" s="924">
        <f t="shared" si="254"/>
        <v>-3731.8351354899996</v>
      </c>
      <c r="JD43" s="924">
        <f t="shared" si="254"/>
        <v>-3925.9452178799997</v>
      </c>
      <c r="JE43" s="924">
        <f t="shared" si="254"/>
        <v>-1797.9145988600001</v>
      </c>
      <c r="JF43" s="924">
        <f t="shared" si="254"/>
        <v>-1260.5124630299999</v>
      </c>
      <c r="JG43" s="924">
        <f t="shared" si="254"/>
        <v>-1594.4143252799997</v>
      </c>
      <c r="JH43" s="924">
        <f t="shared" si="254"/>
        <v>-1671.4724476199999</v>
      </c>
      <c r="JI43" s="924">
        <f t="shared" si="254"/>
        <v>-1706.5721977900002</v>
      </c>
      <c r="JJ43" s="924">
        <f t="shared" si="254"/>
        <v>-1742.7515394899997</v>
      </c>
      <c r="JK43" s="924">
        <f t="shared" si="254"/>
        <v>-1883.0921449999998</v>
      </c>
      <c r="JL43" s="924">
        <f t="shared" si="255"/>
        <v>-1883.0921449999998</v>
      </c>
      <c r="JM43" s="924"/>
      <c r="JN43" s="924"/>
      <c r="JO43" s="922">
        <f>+(JJ43+JJ44)/(JI43+JI44)-1</f>
        <v>2.7844573740853695E-2</v>
      </c>
      <c r="JP43" s="924">
        <f t="shared" si="256"/>
        <v>-1883.0921449999998</v>
      </c>
      <c r="JQ43" s="924">
        <f t="shared" si="257"/>
        <v>0</v>
      </c>
      <c r="JR43" s="145"/>
      <c r="JS43" s="927" t="str">
        <f t="shared" si="258"/>
        <v/>
      </c>
      <c r="JT43" s="928">
        <f t="shared" si="259"/>
        <v>-1883.0921449999998</v>
      </c>
      <c r="JV43" s="76">
        <f t="shared" si="260"/>
        <v>-6.2371445429213218E-2</v>
      </c>
      <c r="JW43" s="927" t="str">
        <f t="shared" si="261"/>
        <v/>
      </c>
      <c r="JY43" s="927">
        <f t="shared" ref="JY43:JY58" si="309">+IFERROR(JC43/JB43-1,"")</f>
        <v>5.0459403213274578E-2</v>
      </c>
      <c r="JZ43" s="927">
        <f t="shared" ref="JZ43:JZ58" si="310">+IFERROR(JD43/JC43-1,"")</f>
        <v>5.2014645701788931E-2</v>
      </c>
      <c r="KA43" s="927">
        <f t="shared" ref="KA43:KA58" si="311">+IFERROR(JE43/JD43-1,"")</f>
        <v>-0.54204287144106678</v>
      </c>
      <c r="KB43" s="927">
        <f t="shared" ref="KB43:KB58" si="312">+IFERROR(JF43/JE43-1,"")</f>
        <v>-0.29890303809243757</v>
      </c>
      <c r="KC43" s="927">
        <f t="shared" ref="KC43:KC58" si="313">+IFERROR(JG43/JF43-1,"")</f>
        <v>0.26489374127041287</v>
      </c>
      <c r="KD43" s="927">
        <f t="shared" ref="KD43:KD58" si="314">+IFERROR(JH43/JG43-1,"")</f>
        <v>4.8330048920294244E-2</v>
      </c>
      <c r="KE43" s="927">
        <f t="shared" ref="KE43:KE58" si="315">+IFERROR(JI43/JH43-1,"")</f>
        <v>2.0999299282485229E-2</v>
      </c>
      <c r="KF43" s="927">
        <f t="shared" ref="KF43:KF58" si="316">+IFERROR(JN43/JI43-1,"")</f>
        <v>-1</v>
      </c>
      <c r="KH43" s="924">
        <f t="shared" si="263"/>
        <v>-179.26078176000055</v>
      </c>
      <c r="KI43" s="924">
        <f t="shared" si="264"/>
        <v>-194.11008239000012</v>
      </c>
      <c r="KJ43" s="924">
        <f t="shared" si="265"/>
        <v>2128.0306190199999</v>
      </c>
      <c r="KK43" s="924">
        <f t="shared" si="266"/>
        <v>537.40213583000013</v>
      </c>
      <c r="KL43" s="924">
        <f t="shared" si="267"/>
        <v>-333.90186224999979</v>
      </c>
      <c r="KM43" s="924">
        <f t="shared" si="268"/>
        <v>-77.058122340000182</v>
      </c>
      <c r="KN43" s="924">
        <f t="shared" si="269"/>
        <v>-35.099750170000334</v>
      </c>
      <c r="KO43" s="924">
        <f t="shared" si="270"/>
        <v>1706.5721977900002</v>
      </c>
      <c r="KQ43" s="76">
        <f t="shared" si="271"/>
        <v>-6.4492080904862484E-2</v>
      </c>
      <c r="KR43" s="76">
        <f t="shared" si="272"/>
        <v>-9.6654802751415261E-2</v>
      </c>
      <c r="KS43" s="76">
        <f t="shared" si="273"/>
        <v>-9.4757557795976388E-2</v>
      </c>
      <c r="KT43" s="76">
        <f t="shared" si="274"/>
        <v>-0.23295530243344781</v>
      </c>
      <c r="KU43" s="76">
        <f t="shared" si="275"/>
        <v>-0.29224752388666364</v>
      </c>
      <c r="KV43" s="76">
        <f t="shared" si="276"/>
        <v>-9.2488779595873247E-2</v>
      </c>
      <c r="KW43" s="76">
        <f t="shared" si="277"/>
        <v>-0.11267520665247162</v>
      </c>
      <c r="KX43" s="76">
        <f t="shared" si="278"/>
        <v>-7.8734034348556442E-2</v>
      </c>
      <c r="KY43" s="76">
        <f t="shared" si="279"/>
        <v>-0.13522879932998455</v>
      </c>
      <c r="KZ43" s="76" t="e">
        <f t="shared" si="280"/>
        <v>#DIV/0!</v>
      </c>
      <c r="LB43" s="924">
        <f t="shared" si="281"/>
        <v>-228.98006599999962</v>
      </c>
      <c r="LC43" s="924">
        <f t="shared" si="281"/>
        <v>-491.46280762999913</v>
      </c>
      <c r="LD43" s="924">
        <f t="shared" si="281"/>
        <v>-520.53340421999985</v>
      </c>
      <c r="LE43" s="924">
        <f t="shared" si="281"/>
        <v>-229.46811907</v>
      </c>
      <c r="LF43" s="924">
        <f t="shared" si="281"/>
        <v>-161.44722637999999</v>
      </c>
      <c r="LG43" s="924">
        <f t="shared" si="281"/>
        <v>-105.74375513</v>
      </c>
      <c r="LH43" s="924">
        <f t="shared" si="281"/>
        <v>-126.14992609000001</v>
      </c>
      <c r="LI43" s="924">
        <f t="shared" si="281"/>
        <v>-134.80676386000002</v>
      </c>
      <c r="LJ43" s="924">
        <f t="shared" si="281"/>
        <v>-208.61710558000001</v>
      </c>
      <c r="LK43" s="924">
        <f t="shared" si="281"/>
        <v>-147.43403599999999</v>
      </c>
      <c r="LL43" s="924">
        <f t="shared" si="281"/>
        <v>-155.09130400000001</v>
      </c>
      <c r="LM43" s="924">
        <f t="shared" si="281"/>
        <v>-155.09130400000001</v>
      </c>
      <c r="LN43" s="924"/>
      <c r="LO43" s="924"/>
      <c r="LR43" s="76">
        <f t="shared" si="282"/>
        <v>5.9151162893055886E-2</v>
      </c>
      <c r="LS43" s="76">
        <f t="shared" si="283"/>
        <v>-0.55916735177860577</v>
      </c>
      <c r="LT43" s="76">
        <f t="shared" si="284"/>
        <v>-0.29642851026834804</v>
      </c>
      <c r="LU43" s="76">
        <f t="shared" si="285"/>
        <v>-0.34502587934765849</v>
      </c>
      <c r="LV43" s="76">
        <f t="shared" si="286"/>
        <v>0.19297755158130081</v>
      </c>
      <c r="LW43" s="76">
        <f t="shared" si="287"/>
        <v>6.862340738768169E-2</v>
      </c>
      <c r="LX43" s="76">
        <f t="shared" si="288"/>
        <v>-1</v>
      </c>
      <c r="LZ43" s="924">
        <f t="shared" si="289"/>
        <v>-29.070596590000719</v>
      </c>
      <c r="MA43" s="924">
        <f t="shared" si="290"/>
        <v>291.06528514999985</v>
      </c>
      <c r="MB43" s="924">
        <f t="shared" si="291"/>
        <v>68.020892690000011</v>
      </c>
      <c r="MC43" s="924">
        <f t="shared" si="292"/>
        <v>55.703471249999993</v>
      </c>
      <c r="MD43" s="924">
        <f t="shared" si="293"/>
        <v>-20.406170960000011</v>
      </c>
      <c r="ME43" s="924">
        <f t="shared" si="294"/>
        <v>-8.6568377700000099</v>
      </c>
      <c r="MF43" s="924">
        <f t="shared" si="295"/>
        <v>134.80676386000002</v>
      </c>
      <c r="MH43" s="76">
        <f t="shared" si="296"/>
        <v>-7.6343376189913076E-2</v>
      </c>
      <c r="MI43" s="76">
        <f t="shared" si="297"/>
        <v>-8.9135429268132976E-2</v>
      </c>
      <c r="MJ43" s="76">
        <f t="shared" si="298"/>
        <v>-0.1015447568722556</v>
      </c>
      <c r="MK43" s="76">
        <f t="shared" si="299"/>
        <v>-0.39476907745997042</v>
      </c>
      <c r="ML43" s="76">
        <f t="shared" si="300"/>
        <v>-0.10716998621445584</v>
      </c>
      <c r="MM43" s="76">
        <f t="shared" si="301"/>
        <v>-0.10279522779915806</v>
      </c>
      <c r="MN43" s="76">
        <f t="shared" si="302"/>
        <v>-8.1124694203865588E-2</v>
      </c>
      <c r="MO43" s="76">
        <f t="shared" si="303"/>
        <v>-7.1629683634480315E-2</v>
      </c>
      <c r="MP43" s="76" t="e">
        <f t="shared" si="304"/>
        <v>#DIV/0!</v>
      </c>
    </row>
    <row r="44" spans="1:354" outlineLevel="1">
      <c r="A44" s="950">
        <v>5205</v>
      </c>
      <c r="B44" s="70"/>
      <c r="C44" s="17" t="s">
        <v>78</v>
      </c>
      <c r="D44" s="31" t="s">
        <v>59</v>
      </c>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v>0</v>
      </c>
      <c r="AO44" s="102">
        <v>-27.9293376</v>
      </c>
      <c r="AP44" s="145">
        <v>-28.959084000000001</v>
      </c>
      <c r="AQ44" s="143">
        <v>-30.190349700000002</v>
      </c>
      <c r="AR44" s="220">
        <v>-28.954704210000003</v>
      </c>
      <c r="AS44" s="102">
        <v>-29.20787138</v>
      </c>
      <c r="AT44" s="102">
        <v>-41.99436086</v>
      </c>
      <c r="AU44" s="102">
        <v>-50.425836769999989</v>
      </c>
      <c r="AV44" s="102">
        <v>-14.682825650000002</v>
      </c>
      <c r="AW44" s="102">
        <v>-1.4570949999999989</v>
      </c>
      <c r="AX44" s="102">
        <v>-14.211681</v>
      </c>
      <c r="AY44" s="102">
        <v>-14.759790000000001</v>
      </c>
      <c r="AZ44" s="102">
        <v>-13.461343579999999</v>
      </c>
      <c r="BA44" s="102">
        <v>-12.210652</v>
      </c>
      <c r="BB44" s="102">
        <v>-14.62072</v>
      </c>
      <c r="BC44" s="102">
        <v>-12.46619183</v>
      </c>
      <c r="BD44" s="102">
        <v>-13.479913310000001</v>
      </c>
      <c r="BE44" s="102">
        <v>-13.49858742</v>
      </c>
      <c r="BF44" s="102">
        <v>-47.362880670000003</v>
      </c>
      <c r="BG44" s="102">
        <v>-6.7643054899999999</v>
      </c>
      <c r="BH44" s="102">
        <v>-6.77135131</v>
      </c>
      <c r="BI44" s="102">
        <v>-6.7782538800000003</v>
      </c>
      <c r="BJ44" s="102">
        <v>-6.8381731100000005</v>
      </c>
      <c r="BK44" s="102">
        <v>-6.0775537899999996</v>
      </c>
      <c r="BL44" s="102">
        <v>-8.4497401099999987</v>
      </c>
      <c r="BM44" s="102">
        <v>-9.2506679399999996</v>
      </c>
      <c r="BN44" s="102">
        <v>-9.4978858200000005</v>
      </c>
      <c r="BO44" s="102">
        <v>-9.1187136999999989</v>
      </c>
      <c r="BP44" s="102">
        <v>-9.1276955799999993</v>
      </c>
      <c r="BQ44" s="102">
        <v>-9.1366774600000014</v>
      </c>
      <c r="BR44" s="102">
        <v>-9.8732593400000006</v>
      </c>
      <c r="BS44" s="102">
        <v>-9.1546412200000002</v>
      </c>
      <c r="BT44" s="102">
        <v>-9.1636230899999997</v>
      </c>
      <c r="BU44" s="102">
        <v>-8.4042541800000006</v>
      </c>
      <c r="BV44" s="102">
        <v>-8.7973124600000006</v>
      </c>
      <c r="BW44" s="102">
        <v>-9.1905687399999998</v>
      </c>
      <c r="BX44" s="102">
        <v>-9.927150619999999</v>
      </c>
      <c r="BY44" s="102">
        <v>-8.7740896799999994</v>
      </c>
      <c r="BZ44" s="102">
        <v>-9.2603854800000001</v>
      </c>
      <c r="CA44" s="102">
        <v>-9.3187676999999987</v>
      </c>
      <c r="CB44" s="102">
        <v>-9.3277495800000008</v>
      </c>
      <c r="CC44" s="102">
        <v>-6.94377786</v>
      </c>
      <c r="CD44" s="102">
        <v>-13.934517289999999</v>
      </c>
      <c r="CE44" s="102">
        <v>-25.491852699999999</v>
      </c>
      <c r="CF44" s="102">
        <v>-31.838669739999997</v>
      </c>
      <c r="CG44" s="102">
        <v>-5.0855832000000003</v>
      </c>
      <c r="CH44" s="102">
        <v>-4.3611333300000004</v>
      </c>
      <c r="CI44" s="102">
        <v>-4.3661333300000003</v>
      </c>
      <c r="CJ44" s="102">
        <v>-4.3621333299999998</v>
      </c>
      <c r="CK44" s="102">
        <v>-4.4855</v>
      </c>
      <c r="CL44" s="102">
        <v>-4.1679148000000001</v>
      </c>
      <c r="CM44" s="102">
        <v>-4.5576264999999996</v>
      </c>
      <c r="CN44" s="102">
        <v>-4.2248735000000002</v>
      </c>
      <c r="CO44" s="102">
        <v>-4.3428804999999997</v>
      </c>
      <c r="CP44" s="102">
        <v>-4.5734279999999998</v>
      </c>
      <c r="CQ44" s="102">
        <v>-7.5786945000000001</v>
      </c>
      <c r="CR44" s="102">
        <v>-4.3586815000000003</v>
      </c>
      <c r="CS44" s="102">
        <v>-4.1888598400000001</v>
      </c>
      <c r="CT44" s="102">
        <v>-4.9499682300000005</v>
      </c>
      <c r="CU44" s="102">
        <v>-4.5734016200000003</v>
      </c>
      <c r="CV44" s="102">
        <v>-4.6130089999999999</v>
      </c>
      <c r="CW44" s="102">
        <v>-4.6117340000000002</v>
      </c>
      <c r="CX44" s="102">
        <v>-4.2292300000000003</v>
      </c>
      <c r="CY44" s="102">
        <v>-4.5577589999999999</v>
      </c>
      <c r="CZ44" s="102">
        <v>-4.2075250000000004</v>
      </c>
      <c r="DA44" s="102">
        <v>-2.8273869999999999</v>
      </c>
      <c r="DB44" s="102">
        <v>-4.0119210000000001</v>
      </c>
      <c r="DC44" s="102">
        <v>-7.6302820000000002</v>
      </c>
      <c r="DD44" s="102">
        <v>-3.629537</v>
      </c>
      <c r="DE44" s="102">
        <v>-4.0090500000000002</v>
      </c>
      <c r="DF44" s="102">
        <v>-4.0297150000000004</v>
      </c>
      <c r="DG44" s="102">
        <v>-4.5171137000000003</v>
      </c>
      <c r="DH44" s="102">
        <v>-6.7787964299999999</v>
      </c>
      <c r="DI44" s="102">
        <v>-5.9991743</v>
      </c>
      <c r="DJ44" s="102">
        <v>-7.0978352699999991</v>
      </c>
      <c r="DK44" s="102">
        <v>-2.7842889999999998</v>
      </c>
      <c r="DL44" s="102">
        <v>-4.1129749999999996</v>
      </c>
      <c r="DM44" s="102">
        <v>-7.0016720000000001</v>
      </c>
      <c r="DN44" s="102">
        <v>-5.8400059999999998</v>
      </c>
      <c r="DO44" s="102">
        <v>-5.5966060000000004</v>
      </c>
      <c r="DP44" s="102">
        <v>-6.0242930000000001</v>
      </c>
      <c r="DQ44" s="940">
        <v>-5.8563000000000001</v>
      </c>
      <c r="DR44" s="940">
        <v>-5.8613</v>
      </c>
      <c r="DS44" s="940">
        <v>-5.8662999999999998</v>
      </c>
      <c r="DT44" s="940">
        <v>-5.8712999999999997</v>
      </c>
      <c r="DU44" s="940">
        <v>-7.9485000000000001</v>
      </c>
      <c r="DV44" s="940">
        <v>-14.257999999999999</v>
      </c>
      <c r="DW44" s="940">
        <v>-7.0377000000000001</v>
      </c>
      <c r="DX44" s="940">
        <v>-7.0441000000000003</v>
      </c>
      <c r="DY44" s="940">
        <v>-7.0505000000000004</v>
      </c>
      <c r="DZ44" s="940">
        <v>-6.7834000000000003</v>
      </c>
      <c r="EA44" s="940">
        <v>-6.3613</v>
      </c>
      <c r="EB44" s="940">
        <v>-7.0697000000000001</v>
      </c>
      <c r="EC44" s="940">
        <v>-7.0761000000000003</v>
      </c>
      <c r="ED44" s="940">
        <v>-7.0824999999999996</v>
      </c>
      <c r="EE44" s="940">
        <v>-7.0888999999999998</v>
      </c>
      <c r="EF44" s="940">
        <v>-7.0952999999999999</v>
      </c>
      <c r="EH44" s="102">
        <v>-4.6117340000000002</v>
      </c>
      <c r="EI44" s="102">
        <v>-4.2292300000000003</v>
      </c>
      <c r="EJ44" s="102">
        <v>-4.5577589999999999</v>
      </c>
      <c r="EK44" s="102">
        <v>-4.2075250000000004</v>
      </c>
      <c r="EL44" s="102">
        <v>-2.8273869999999999</v>
      </c>
      <c r="EM44" s="102">
        <v>-4.0119210000000001</v>
      </c>
      <c r="EN44" s="102">
        <v>-3.8617643999999998</v>
      </c>
      <c r="EO44" s="102">
        <v>-3.8617643999999998</v>
      </c>
      <c r="EP44" s="102">
        <v>-3.8617643999999998</v>
      </c>
      <c r="EQ44" s="102">
        <v>-3.8617643999999998</v>
      </c>
      <c r="ER44" s="102">
        <v>-3.8617643999999998</v>
      </c>
      <c r="ES44" s="102">
        <v>-3.8617643999999998</v>
      </c>
      <c r="EU44" s="102">
        <v>-30.290628571428574</v>
      </c>
      <c r="EV44" s="102">
        <v>-30.290628571428574</v>
      </c>
      <c r="EW44" s="102">
        <v>-31.331461828571427</v>
      </c>
      <c r="EX44" s="102">
        <v>-31.331461828571427</v>
      </c>
      <c r="EY44" s="102">
        <v>-31.331461828571427</v>
      </c>
      <c r="EZ44" s="102">
        <v>-31.331461828571427</v>
      </c>
      <c r="FA44" s="102">
        <v>-31.331461828571427</v>
      </c>
      <c r="FB44" s="102">
        <v>-31.331461828571427</v>
      </c>
      <c r="FC44" s="102">
        <v>-31.331461828571427</v>
      </c>
      <c r="FD44" s="102">
        <v>-31.331461828571427</v>
      </c>
      <c r="FE44" s="102">
        <v>-31.331461828571427</v>
      </c>
      <c r="FF44" s="102">
        <v>-51.245180228571428</v>
      </c>
      <c r="FG44" s="102">
        <v>-14.714134080000001</v>
      </c>
      <c r="FH44" s="102">
        <v>-28.532200560000003</v>
      </c>
      <c r="FI44" s="102">
        <v>-7.3570670400000004</v>
      </c>
      <c r="FJ44" s="102">
        <v>-7.3570670400000004</v>
      </c>
      <c r="FK44" s="102">
        <v>-7.3570670400000004</v>
      </c>
      <c r="FL44" s="102">
        <v>-7.3570670400000004</v>
      </c>
      <c r="FM44" s="102">
        <v>-7.3570670400000004</v>
      </c>
      <c r="FN44" s="102">
        <v>-7.3570670400000004</v>
      </c>
      <c r="FO44" s="102">
        <v>-7.3570670400000004</v>
      </c>
      <c r="FP44" s="102">
        <v>-7.3570670400000004</v>
      </c>
      <c r="FQ44" s="102">
        <v>-7.3570670400000004</v>
      </c>
      <c r="FR44" s="102">
        <v>-7.3570670399999996</v>
      </c>
      <c r="FS44" s="102">
        <v>-9.5921699999999994</v>
      </c>
      <c r="FT44" s="102">
        <v>-9.5921699999999994</v>
      </c>
      <c r="FU44" s="102">
        <v>-9.5921699999999994</v>
      </c>
      <c r="FV44" s="102">
        <v>-9.5921699999999994</v>
      </c>
      <c r="FW44" s="102">
        <v>-9.5921699999999994</v>
      </c>
      <c r="FX44" s="102">
        <v>-9.5921699999999994</v>
      </c>
      <c r="FY44" s="102">
        <v>-9.5921699999999994</v>
      </c>
      <c r="FZ44" s="102">
        <v>-9.5921699999999994</v>
      </c>
      <c r="GA44" s="102">
        <v>-9.5921699999999994</v>
      </c>
      <c r="GB44" s="102">
        <v>-9.5921699999999994</v>
      </c>
      <c r="GC44" s="102">
        <v>-9.5921699999999994</v>
      </c>
      <c r="GD44" s="102">
        <v>-9.5921699999999994</v>
      </c>
      <c r="GE44" s="102">
        <v>-4.6768917600000002</v>
      </c>
      <c r="GF44" s="102">
        <v>-4.6768917600000002</v>
      </c>
      <c r="GG44" s="102">
        <v>-4.6768917600000002</v>
      </c>
      <c r="GH44" s="102">
        <v>-4.6768917600000002</v>
      </c>
      <c r="GI44" s="102">
        <v>-4.6768917600000002</v>
      </c>
      <c r="GJ44" s="102">
        <v>-4.6768917600000002</v>
      </c>
      <c r="GK44" s="102">
        <v>-4.6768917600000002</v>
      </c>
      <c r="GL44" s="102">
        <v>-4.6768917600000002</v>
      </c>
      <c r="GM44" s="102">
        <v>-4.6768917600000002</v>
      </c>
      <c r="GN44" s="102">
        <v>-4.6768917600000002</v>
      </c>
      <c r="GO44" s="102">
        <v>-4.6768917600000002</v>
      </c>
      <c r="GP44" s="102">
        <v>-4.6768917600000002</v>
      </c>
      <c r="GQ44" s="102">
        <v>-4.6768917600000002</v>
      </c>
      <c r="GR44" s="102">
        <v>-4.6768917600000002</v>
      </c>
      <c r="GS44" s="102">
        <v>-4.6768917600000002</v>
      </c>
      <c r="GT44" s="102">
        <v>-4.6768917600000002</v>
      </c>
      <c r="GU44" s="102">
        <v>-4.6768917600000002</v>
      </c>
      <c r="GV44" s="102">
        <v>-4.6768917600000002</v>
      </c>
      <c r="GW44" s="102">
        <v>-4.6768917600000002</v>
      </c>
      <c r="GX44" s="102">
        <v>-4.6768917600000002</v>
      </c>
      <c r="GY44" s="102">
        <v>-4.6768917600000002</v>
      </c>
      <c r="GZ44" s="102">
        <v>-4.6768917600000002</v>
      </c>
      <c r="HA44" s="102">
        <v>-4.6768917600000002</v>
      </c>
      <c r="HB44" s="102">
        <v>-4.6768917600000002</v>
      </c>
      <c r="HD44" s="102">
        <f t="shared" si="226"/>
        <v>0</v>
      </c>
      <c r="HE44" s="102">
        <f t="shared" si="226"/>
        <v>0</v>
      </c>
      <c r="HF44" s="102">
        <f t="shared" si="226"/>
        <v>0</v>
      </c>
      <c r="HG44" s="102">
        <f t="shared" si="226"/>
        <v>-296.23427975000004</v>
      </c>
      <c r="HH44" s="102">
        <f t="shared" si="227"/>
        <v>-155.31832292000001</v>
      </c>
      <c r="HI44" s="102">
        <f t="shared" si="228"/>
        <v>-110.64245015</v>
      </c>
      <c r="HJ44" s="102">
        <f t="shared" si="229"/>
        <v>-133.06479322000001</v>
      </c>
      <c r="HK44" s="102">
        <f t="shared" si="230"/>
        <v>-56.614837989999998</v>
      </c>
      <c r="HL44" s="940">
        <f>+SUMIF($E$6:SEW$6,HL$7,$E44:SEW44)</f>
        <v>-55.040050130000012</v>
      </c>
      <c r="HM44" s="940">
        <f>+SUMIF($E$6:SEX$6,HM$7,$E44:SEX44)</f>
        <v>-67.912050570000005</v>
      </c>
      <c r="HN44" s="940">
        <f>+SUMIF($E$6:SEY$6,HN$7,$E44:SEY44)</f>
        <v>-91.895999999999987</v>
      </c>
      <c r="HO44" s="102"/>
      <c r="HP44" s="102"/>
      <c r="HR44" s="929" t="str">
        <f t="shared" si="231"/>
        <v/>
      </c>
      <c r="HS44" s="929" t="str">
        <f t="shared" si="232"/>
        <v/>
      </c>
      <c r="HT44" s="929">
        <f t="shared" si="233"/>
        <v>-0.47569091919045536</v>
      </c>
      <c r="HU44" s="929">
        <f t="shared" si="234"/>
        <v>-0.28764071057483198</v>
      </c>
      <c r="HV44" s="929">
        <f t="shared" si="235"/>
        <v>0.20265587972429766</v>
      </c>
      <c r="HW44" s="929">
        <f t="shared" si="236"/>
        <v>-0.57453180048612118</v>
      </c>
      <c r="HX44" s="929">
        <f t="shared" si="237"/>
        <v>-2.7815815003800703E-2</v>
      </c>
      <c r="HY44" s="929">
        <f t="shared" si="237"/>
        <v>0.2338660740605687</v>
      </c>
      <c r="HZ44" s="929">
        <f t="shared" si="237"/>
        <v>0.35316190909709966</v>
      </c>
      <c r="IA44" s="929">
        <f t="shared" si="305"/>
        <v>-1</v>
      </c>
      <c r="IB44" s="929" t="str">
        <f t="shared" si="238"/>
        <v/>
      </c>
      <c r="IC44" s="929">
        <f t="shared" si="306"/>
        <v>-1</v>
      </c>
      <c r="IE44" s="102">
        <f t="shared" si="239"/>
        <v>0</v>
      </c>
      <c r="IF44" s="102">
        <f t="shared" si="240"/>
        <v>-296.23427975000004</v>
      </c>
      <c r="IG44" s="102">
        <f t="shared" si="241"/>
        <v>140.91595683000003</v>
      </c>
      <c r="IH44" s="102">
        <f t="shared" si="242"/>
        <v>44.675872770000012</v>
      </c>
      <c r="II44" s="102">
        <f t="shared" si="100"/>
        <v>-22.422343070000011</v>
      </c>
      <c r="IJ44" s="102">
        <f t="shared" si="101"/>
        <v>76.449955230000015</v>
      </c>
      <c r="IK44" s="102">
        <f t="shared" si="102"/>
        <v>1.5747878599999865</v>
      </c>
      <c r="IL44" s="102">
        <f t="shared" si="307"/>
        <v>55.040050130000012</v>
      </c>
      <c r="IM44" s="102">
        <f t="shared" si="243"/>
        <v>0</v>
      </c>
      <c r="IN44" s="102">
        <f t="shared" si="308"/>
        <v>55.040050130000012</v>
      </c>
      <c r="IP44" s="32">
        <f t="shared" si="244"/>
        <v>0</v>
      </c>
      <c r="IQ44" s="32">
        <f t="shared" si="245"/>
        <v>0</v>
      </c>
      <c r="IR44" s="32">
        <f t="shared" si="246"/>
        <v>-1.7577765964747902E-2</v>
      </c>
      <c r="IS44" s="32">
        <f t="shared" si="247"/>
        <v>-2.5246691537173384E-2</v>
      </c>
      <c r="IT44" s="32">
        <f t="shared" si="248"/>
        <v>-8.1182737069273991E-3</v>
      </c>
      <c r="IU44" s="32">
        <f t="shared" si="249"/>
        <v>-9.4035175402723027E-3</v>
      </c>
      <c r="IV44" s="32">
        <f t="shared" si="250"/>
        <v>-2.6668190703888943E-3</v>
      </c>
      <c r="IW44" s="32">
        <f t="shared" si="251"/>
        <v>-4.361374164996182E-3</v>
      </c>
      <c r="IX44" s="32" t="e">
        <f t="shared" si="252"/>
        <v>#DIV/0!</v>
      </c>
      <c r="IY44" s="32" t="e">
        <f t="shared" si="253"/>
        <v>#DIV/0!</v>
      </c>
      <c r="JA44" s="102">
        <f t="shared" si="254"/>
        <v>0</v>
      </c>
      <c r="JB44" s="102">
        <f t="shared" si="254"/>
        <v>0</v>
      </c>
      <c r="JC44" s="102">
        <f t="shared" si="254"/>
        <v>0</v>
      </c>
      <c r="JD44" s="102">
        <f t="shared" si="254"/>
        <v>-296.23427975000004</v>
      </c>
      <c r="JE44" s="102">
        <f t="shared" si="254"/>
        <v>-155.31832292000001</v>
      </c>
      <c r="JF44" s="102">
        <f t="shared" si="254"/>
        <v>-110.64245015</v>
      </c>
      <c r="JG44" s="102">
        <f t="shared" si="254"/>
        <v>-133.06479322000001</v>
      </c>
      <c r="JH44" s="102">
        <f t="shared" si="254"/>
        <v>-56.614837989999998</v>
      </c>
      <c r="JI44" s="102">
        <f t="shared" si="254"/>
        <v>-55.040050130000012</v>
      </c>
      <c r="JJ44" s="102">
        <f t="shared" si="254"/>
        <v>-67.912050570000005</v>
      </c>
      <c r="JK44" s="102">
        <f t="shared" si="254"/>
        <v>-91.895999999999987</v>
      </c>
      <c r="JL44" s="102">
        <f t="shared" si="255"/>
        <v>-91.895999999999987</v>
      </c>
      <c r="JM44" s="102"/>
      <c r="JN44" s="102"/>
      <c r="JO44" s="922"/>
      <c r="JP44" s="102">
        <f t="shared" si="256"/>
        <v>-91.895999999999987</v>
      </c>
      <c r="JQ44" s="102">
        <f t="shared" si="257"/>
        <v>0</v>
      </c>
      <c r="JR44" s="145"/>
      <c r="JS44" s="929" t="str">
        <f t="shared" si="258"/>
        <v/>
      </c>
      <c r="JT44" s="930">
        <f t="shared" si="259"/>
        <v>-91.895999999999987</v>
      </c>
      <c r="JV44" s="32">
        <f t="shared" si="260"/>
        <v>-3.0437630810482607E-3</v>
      </c>
      <c r="JW44" s="929" t="str">
        <f t="shared" si="261"/>
        <v/>
      </c>
      <c r="JY44" s="929" t="str">
        <f t="shared" si="309"/>
        <v/>
      </c>
      <c r="JZ44" s="929" t="str">
        <f t="shared" si="310"/>
        <v/>
      </c>
      <c r="KA44" s="929">
        <f t="shared" si="311"/>
        <v>-0.47569091919045536</v>
      </c>
      <c r="KB44" s="929">
        <f t="shared" si="312"/>
        <v>-0.28764071057483198</v>
      </c>
      <c r="KC44" s="929">
        <f t="shared" si="313"/>
        <v>0.20265587972429766</v>
      </c>
      <c r="KD44" s="929">
        <f t="shared" si="314"/>
        <v>-0.57453180048612118</v>
      </c>
      <c r="KE44" s="929">
        <f t="shared" si="315"/>
        <v>-2.7815815003800703E-2</v>
      </c>
      <c r="KF44" s="929">
        <f t="shared" si="316"/>
        <v>-1</v>
      </c>
      <c r="KH44" s="102">
        <f t="shared" si="263"/>
        <v>0</v>
      </c>
      <c r="KI44" s="102">
        <f t="shared" si="264"/>
        <v>-296.23427975000004</v>
      </c>
      <c r="KJ44" s="102">
        <f t="shared" si="265"/>
        <v>140.91595683000003</v>
      </c>
      <c r="KK44" s="102">
        <f t="shared" si="266"/>
        <v>44.675872770000012</v>
      </c>
      <c r="KL44" s="102">
        <f t="shared" si="267"/>
        <v>-22.422343070000011</v>
      </c>
      <c r="KM44" s="102">
        <f t="shared" si="268"/>
        <v>76.449955230000015</v>
      </c>
      <c r="KN44" s="102">
        <f t="shared" si="269"/>
        <v>1.5747878599999865</v>
      </c>
      <c r="KO44" s="102">
        <f t="shared" si="270"/>
        <v>55.040050130000012</v>
      </c>
      <c r="KQ44" s="32">
        <f t="shared" si="271"/>
        <v>0</v>
      </c>
      <c r="KR44" s="32">
        <f t="shared" si="272"/>
        <v>0</v>
      </c>
      <c r="KS44" s="32">
        <f t="shared" si="273"/>
        <v>0</v>
      </c>
      <c r="KT44" s="32">
        <f t="shared" si="274"/>
        <v>-1.7577765964747902E-2</v>
      </c>
      <c r="KU44" s="32">
        <f t="shared" si="275"/>
        <v>-2.5246691537173384E-2</v>
      </c>
      <c r="KV44" s="32">
        <f t="shared" si="276"/>
        <v>-8.1182737069273991E-3</v>
      </c>
      <c r="KW44" s="32">
        <f t="shared" si="277"/>
        <v>-9.4035175402723027E-3</v>
      </c>
      <c r="KX44" s="32">
        <f t="shared" si="278"/>
        <v>-2.6668190703888943E-3</v>
      </c>
      <c r="KY44" s="32">
        <f t="shared" si="279"/>
        <v>-4.361374164996182E-3</v>
      </c>
      <c r="KZ44" s="32" t="e">
        <f t="shared" si="280"/>
        <v>#DIV/0!</v>
      </c>
      <c r="LB44" s="102">
        <f t="shared" si="281"/>
        <v>0</v>
      </c>
      <c r="LC44" s="102">
        <f t="shared" si="281"/>
        <v>0</v>
      </c>
      <c r="LD44" s="102">
        <f t="shared" si="281"/>
        <v>0</v>
      </c>
      <c r="LE44" s="102">
        <f t="shared" si="281"/>
        <v>-13.461343579999999</v>
      </c>
      <c r="LF44" s="102">
        <f t="shared" si="281"/>
        <v>-8.4497401099999987</v>
      </c>
      <c r="LG44" s="102">
        <f t="shared" si="281"/>
        <v>-9.927150619999999</v>
      </c>
      <c r="LH44" s="102">
        <f t="shared" si="281"/>
        <v>-4.3621333299999998</v>
      </c>
      <c r="LI44" s="102">
        <f t="shared" si="281"/>
        <v>-4.6130089999999999</v>
      </c>
      <c r="LJ44" s="102">
        <f t="shared" si="281"/>
        <v>-6.7787964299999999</v>
      </c>
      <c r="LK44" s="102">
        <f t="shared" si="281"/>
        <v>-5.8712999999999997</v>
      </c>
      <c r="LL44" s="102">
        <f t="shared" si="281"/>
        <v>-7.0952999999999999</v>
      </c>
      <c r="LM44" s="102">
        <f t="shared" si="281"/>
        <v>-7.0952999999999999</v>
      </c>
      <c r="LN44" s="102"/>
      <c r="LO44" s="102"/>
      <c r="LR44" s="32" t="str">
        <f t="shared" si="282"/>
        <v xml:space="preserve"> </v>
      </c>
      <c r="LS44" s="32" t="str">
        <f t="shared" si="283"/>
        <v xml:space="preserve"> </v>
      </c>
      <c r="LT44" s="32">
        <f t="shared" si="284"/>
        <v>-0.37229593318202792</v>
      </c>
      <c r="LU44" s="32">
        <f t="shared" si="285"/>
        <v>0.17484685810058598</v>
      </c>
      <c r="LV44" s="32">
        <f t="shared" si="286"/>
        <v>-0.56058556004864968</v>
      </c>
      <c r="LW44" s="32">
        <f t="shared" si="287"/>
        <v>5.751215082643979E-2</v>
      </c>
      <c r="LX44" s="32">
        <f t="shared" si="288"/>
        <v>-1</v>
      </c>
      <c r="LZ44" s="102">
        <f t="shared" si="289"/>
        <v>0</v>
      </c>
      <c r="MA44" s="102">
        <f t="shared" si="290"/>
        <v>-13.461343579999999</v>
      </c>
      <c r="MB44" s="102">
        <f t="shared" si="291"/>
        <v>5.0116034700000007</v>
      </c>
      <c r="MC44" s="102">
        <f t="shared" si="292"/>
        <v>-1.4774105100000003</v>
      </c>
      <c r="MD44" s="102">
        <f t="shared" si="293"/>
        <v>5.5650172899999992</v>
      </c>
      <c r="ME44" s="102">
        <f t="shared" si="294"/>
        <v>-0.25087567000000011</v>
      </c>
      <c r="MF44" s="102">
        <f t="shared" si="295"/>
        <v>4.6130089999999999</v>
      </c>
      <c r="MH44" s="32">
        <f t="shared" si="296"/>
        <v>0</v>
      </c>
      <c r="MI44" s="32">
        <f t="shared" si="297"/>
        <v>0</v>
      </c>
      <c r="MJ44" s="32">
        <f t="shared" si="298"/>
        <v>0</v>
      </c>
      <c r="MK44" s="32">
        <f t="shared" si="299"/>
        <v>-2.3158433546174684E-2</v>
      </c>
      <c r="ML44" s="32">
        <f t="shared" si="300"/>
        <v>-5.6090064314453566E-3</v>
      </c>
      <c r="MM44" s="32">
        <f t="shared" si="301"/>
        <v>-9.6503449128027292E-3</v>
      </c>
      <c r="MN44" s="32">
        <f t="shared" si="302"/>
        <v>-2.8052076084473581E-3</v>
      </c>
      <c r="MO44" s="32">
        <f t="shared" si="303"/>
        <v>-2.4511260845647776E-3</v>
      </c>
      <c r="MP44" s="32" t="e">
        <f t="shared" si="304"/>
        <v>#DIV/0!</v>
      </c>
    </row>
    <row r="45" spans="1:354" outlineLevel="1">
      <c r="A45" s="884">
        <v>5135</v>
      </c>
      <c r="B45" s="70" t="s">
        <v>635</v>
      </c>
      <c r="C45" s="17" t="s">
        <v>80</v>
      </c>
      <c r="D45" s="31" t="s">
        <v>59</v>
      </c>
      <c r="E45" s="102">
        <v>-6.3734409800000007</v>
      </c>
      <c r="F45" s="102">
        <v>-5.4346372099999991</v>
      </c>
      <c r="G45" s="102">
        <v>-5.3226462500000018</v>
      </c>
      <c r="H45" s="102">
        <v>-13.090886319999999</v>
      </c>
      <c r="I45" s="102">
        <v>-10.626666940000003</v>
      </c>
      <c r="J45" s="102">
        <v>-6.7378316499999968</v>
      </c>
      <c r="K45" s="102">
        <v>-9.1259326599999966</v>
      </c>
      <c r="L45" s="102">
        <v>-5.9496140600000018</v>
      </c>
      <c r="M45" s="102">
        <v>-2.2660729999999987</v>
      </c>
      <c r="N45" s="102">
        <v>-3.3785982299999944</v>
      </c>
      <c r="O45" s="102">
        <v>-7.2536093500000192</v>
      </c>
      <c r="P45" s="102">
        <v>-278.92918399999996</v>
      </c>
      <c r="Q45" s="102">
        <v>-6.6925238400000007</v>
      </c>
      <c r="R45" s="102">
        <v>-1.9136200000000008</v>
      </c>
      <c r="S45" s="102">
        <v>-12.852057769999998</v>
      </c>
      <c r="T45" s="102">
        <v>-8.4812461400000032</v>
      </c>
      <c r="U45" s="102">
        <v>-7.0823823499999996</v>
      </c>
      <c r="V45" s="102">
        <v>-9.8975508599999955</v>
      </c>
      <c r="W45" s="102">
        <v>-5.7674937600000078</v>
      </c>
      <c r="X45" s="102">
        <v>-8.3301023999999941</v>
      </c>
      <c r="Y45" s="102">
        <v>-9.7305952799999957</v>
      </c>
      <c r="Z45" s="102">
        <v>-12.981361620000001</v>
      </c>
      <c r="AA45" s="102">
        <v>-11.049780919999989</v>
      </c>
      <c r="AB45" s="102">
        <v>-8.2511167300000068</v>
      </c>
      <c r="AC45" s="102">
        <v>-15.654606950000002</v>
      </c>
      <c r="AD45" s="102">
        <v>-14.737321959999999</v>
      </c>
      <c r="AE45" s="102">
        <v>-11.42070376</v>
      </c>
      <c r="AF45" s="102">
        <v>-12.646384130000001</v>
      </c>
      <c r="AG45" s="102">
        <v>-16.105182400000004</v>
      </c>
      <c r="AH45" s="102">
        <v>-13.966752070000002</v>
      </c>
      <c r="AI45" s="102">
        <v>-17.663338809999999</v>
      </c>
      <c r="AJ45" s="102">
        <v>-17.953574629999999</v>
      </c>
      <c r="AK45" s="102">
        <v>-14.142593820000002</v>
      </c>
      <c r="AL45" s="102">
        <v>-17.290784210000002</v>
      </c>
      <c r="AM45" s="102">
        <v>-32.765974870000001</v>
      </c>
      <c r="AN45" s="102">
        <v>-63.006771240000006</v>
      </c>
      <c r="AO45" s="102">
        <v>-14.534088840000003</v>
      </c>
      <c r="AP45" s="145">
        <v>-38.333303589999993</v>
      </c>
      <c r="AQ45" s="143">
        <v>-31.06213726</v>
      </c>
      <c r="AR45" s="220">
        <v>-20.445145500000002</v>
      </c>
      <c r="AS45" s="102">
        <v>-24.548601340000001</v>
      </c>
      <c r="AT45" s="102">
        <v>-27.318914059999997</v>
      </c>
      <c r="AU45" s="102">
        <v>-54.16543102</v>
      </c>
      <c r="AV45" s="102">
        <v>-55.292079599999994</v>
      </c>
      <c r="AW45" s="102">
        <v>-45.024177020000003</v>
      </c>
      <c r="AX45" s="102">
        <v>-37.89686373</v>
      </c>
      <c r="AY45" s="102">
        <v>-42.721822640000006</v>
      </c>
      <c r="AZ45" s="102">
        <v>-69.889616709999999</v>
      </c>
      <c r="BA45" s="102">
        <v>-15.307495049999996</v>
      </c>
      <c r="BB45" s="102">
        <v>-36.733885049999998</v>
      </c>
      <c r="BC45" s="102">
        <v>-57.053345929999999</v>
      </c>
      <c r="BD45" s="102">
        <v>-32.862673890000003</v>
      </c>
      <c r="BE45" s="102">
        <v>-24.870735</v>
      </c>
      <c r="BF45" s="102">
        <v>-21.372524810000002</v>
      </c>
      <c r="BG45" s="102">
        <v>-18.679084639999999</v>
      </c>
      <c r="BH45" s="102">
        <v>-20.5596085</v>
      </c>
      <c r="BI45" s="102">
        <v>-20.10939746</v>
      </c>
      <c r="BJ45" s="102">
        <v>-19.639894200000001</v>
      </c>
      <c r="BK45" s="102">
        <v>-17.060690000000001</v>
      </c>
      <c r="BL45" s="102">
        <v>-27.086843760000001</v>
      </c>
      <c r="BM45" s="102">
        <v>-23.899735</v>
      </c>
      <c r="BN45" s="102">
        <v>-24.71852376</v>
      </c>
      <c r="BO45" s="102">
        <v>-25.683690239999997</v>
      </c>
      <c r="BP45" s="102">
        <v>-29.633599499999999</v>
      </c>
      <c r="BQ45" s="102">
        <v>-20.339629500000001</v>
      </c>
      <c r="BR45" s="102">
        <v>-22.984565</v>
      </c>
      <c r="BS45" s="102">
        <v>-21.501664999999999</v>
      </c>
      <c r="BT45" s="102">
        <v>-21.805524899999998</v>
      </c>
      <c r="BU45" s="102">
        <v>-21.419067999999999</v>
      </c>
      <c r="BV45" s="102">
        <v>-21.074318999999999</v>
      </c>
      <c r="BW45" s="102">
        <v>-23.95701863</v>
      </c>
      <c r="BX45" s="102">
        <v>-28.083355000000001</v>
      </c>
      <c r="BY45" s="102">
        <v>-27.126498000000002</v>
      </c>
      <c r="BZ45" s="102">
        <v>-21.670576000000001</v>
      </c>
      <c r="CA45" s="102">
        <v>-23.778203000000001</v>
      </c>
      <c r="CB45" s="102">
        <v>-25.288751420000001</v>
      </c>
      <c r="CC45" s="102">
        <v>-25.042314000000001</v>
      </c>
      <c r="CD45" s="102">
        <v>-24.045763999999998</v>
      </c>
      <c r="CE45" s="102">
        <v>-26.294316999999999</v>
      </c>
      <c r="CF45" s="102">
        <v>-33.828949000000001</v>
      </c>
      <c r="CG45" s="102">
        <v>-23.707954000000001</v>
      </c>
      <c r="CH45" s="102">
        <v>-26.843344999999999</v>
      </c>
      <c r="CI45" s="102">
        <v>-24.366346</v>
      </c>
      <c r="CJ45" s="102">
        <v>-28.36800083</v>
      </c>
      <c r="CK45" s="102">
        <v>-27.598280800000001</v>
      </c>
      <c r="CL45" s="102">
        <v>-27.979718999999999</v>
      </c>
      <c r="CM45" s="102">
        <v>-27.426297000000002</v>
      </c>
      <c r="CN45" s="102">
        <v>-26.971435</v>
      </c>
      <c r="CO45" s="102">
        <v>-25.090758000000001</v>
      </c>
      <c r="CP45" s="102">
        <v>-27.166722760000003</v>
      </c>
      <c r="CQ45" s="102">
        <v>-29.441719299999999</v>
      </c>
      <c r="CR45" s="102">
        <v>-25.135736999999999</v>
      </c>
      <c r="CS45" s="102">
        <v>-26.061020619999997</v>
      </c>
      <c r="CT45" s="102">
        <v>-30.809576</v>
      </c>
      <c r="CU45" s="102">
        <v>-33.697346000000003</v>
      </c>
      <c r="CV45" s="102">
        <v>-45.896783999999997</v>
      </c>
      <c r="CW45" s="102">
        <v>-31.651172020000001</v>
      </c>
      <c r="CX45" s="102">
        <v>-26.206067000000001</v>
      </c>
      <c r="CY45" s="102">
        <v>-26.797666</v>
      </c>
      <c r="CZ45" s="102">
        <v>-15.818584</v>
      </c>
      <c r="DA45" s="102">
        <v>-17.210232999999999</v>
      </c>
      <c r="DB45" s="102">
        <v>-17.164567000000002</v>
      </c>
      <c r="DC45" s="102">
        <v>-17.468017</v>
      </c>
      <c r="DD45" s="102">
        <v>-19.24906</v>
      </c>
      <c r="DE45" s="102">
        <v>-18.524215000000002</v>
      </c>
      <c r="DF45" s="102">
        <v>-16.967013999999999</v>
      </c>
      <c r="DG45" s="102">
        <v>-18.42296275</v>
      </c>
      <c r="DH45" s="102">
        <v>-20.644069940000001</v>
      </c>
      <c r="DI45" s="102">
        <v>-20.202618000000001</v>
      </c>
      <c r="DJ45" s="102">
        <v>-19.643468800000001</v>
      </c>
      <c r="DK45" s="102">
        <v>-18.5455158</v>
      </c>
      <c r="DL45" s="102">
        <v>-18.639343800000002</v>
      </c>
      <c r="DM45" s="102">
        <v>-21.531335800000001</v>
      </c>
      <c r="DN45" s="102">
        <v>-19.80215656</v>
      </c>
      <c r="DO45" s="102">
        <v>-22.571491899999998</v>
      </c>
      <c r="DP45" s="102">
        <v>-21.261227899999998</v>
      </c>
      <c r="DQ45" s="940">
        <v>-19.635018899999999</v>
      </c>
      <c r="DR45" s="940">
        <v>-24.426384899999999</v>
      </c>
      <c r="DS45" s="940">
        <v>-27.791837899999997</v>
      </c>
      <c r="DT45" s="940">
        <v>-32.66803986</v>
      </c>
      <c r="DU45" s="940">
        <v>-29.10323086</v>
      </c>
      <c r="DV45" s="940">
        <v>-27.940636859999998</v>
      </c>
      <c r="DW45" s="940">
        <v>-26.68725044</v>
      </c>
      <c r="DX45" s="940">
        <v>-35.662001609999997</v>
      </c>
      <c r="DY45" s="940">
        <v>-34.368214430000002</v>
      </c>
      <c r="DZ45" s="940">
        <v>-33.3949529</v>
      </c>
      <c r="EA45" s="940">
        <v>-40.947830109999998</v>
      </c>
      <c r="EB45" s="940">
        <v>-34.192018820000001</v>
      </c>
      <c r="EC45" s="940">
        <v>-36.020769960000003</v>
      </c>
      <c r="ED45" s="940">
        <v>-36.537764559999999</v>
      </c>
      <c r="EE45" s="940">
        <v>-35.385342960000003</v>
      </c>
      <c r="EF45" s="940">
        <v>-38.013637000000003</v>
      </c>
      <c r="EH45" s="102">
        <v>-31.651172020000001</v>
      </c>
      <c r="EI45" s="102">
        <v>-26.206067000000001</v>
      </c>
      <c r="EJ45" s="102">
        <v>-26.797666</v>
      </c>
      <c r="EK45" s="102">
        <v>-15.818584</v>
      </c>
      <c r="EL45" s="102">
        <v>-17.210232999999999</v>
      </c>
      <c r="EM45" s="102">
        <v>-17.164567000000002</v>
      </c>
      <c r="EN45" s="102">
        <v>-31.492032999999999</v>
      </c>
      <c r="EO45" s="102">
        <v>-26.592033000000001</v>
      </c>
      <c r="EP45" s="102">
        <v>-26.692032999999999</v>
      </c>
      <c r="EQ45" s="102">
        <v>-26.592033000000001</v>
      </c>
      <c r="ER45" s="102">
        <v>-26.592033000000001</v>
      </c>
      <c r="ES45" s="102">
        <v>-26.642033000000001</v>
      </c>
      <c r="EU45" s="102">
        <v>-23.913616999999999</v>
      </c>
      <c r="EV45" s="102">
        <v>-25.068617</v>
      </c>
      <c r="EW45" s="102">
        <v>-25.068617</v>
      </c>
      <c r="EX45" s="102">
        <v>-23.417110000000001</v>
      </c>
      <c r="EY45" s="102">
        <v>-23.601610000000001</v>
      </c>
      <c r="EZ45" s="102">
        <v>-23.701609999999999</v>
      </c>
      <c r="FA45" s="102">
        <v>-23.30161</v>
      </c>
      <c r="FB45" s="102">
        <v>-23.30161</v>
      </c>
      <c r="FC45" s="102">
        <v>-23.30161</v>
      </c>
      <c r="FD45" s="102">
        <v>-23.701609999999999</v>
      </c>
      <c r="FE45" s="102">
        <v>-23.30161</v>
      </c>
      <c r="FF45" s="102">
        <v>-22.44661</v>
      </c>
      <c r="FG45" s="102">
        <v>-43.012424799999998</v>
      </c>
      <c r="FH45" s="102">
        <v>-45.979703999999998</v>
      </c>
      <c r="FI45" s="102">
        <v>-43.518424799999998</v>
      </c>
      <c r="FJ45" s="102">
        <v>-41.644503999999998</v>
      </c>
      <c r="FK45" s="102">
        <v>-41.918424799999997</v>
      </c>
      <c r="FL45" s="102">
        <v>-42.715424799999994</v>
      </c>
      <c r="FM45" s="102">
        <v>-45.593624799999994</v>
      </c>
      <c r="FN45" s="102">
        <v>-41.894503999999998</v>
      </c>
      <c r="FO45" s="102">
        <v>-45.353624799999999</v>
      </c>
      <c r="FP45" s="102">
        <v>-41.894503999999998</v>
      </c>
      <c r="FQ45" s="102">
        <v>-41.918424799999997</v>
      </c>
      <c r="FR45" s="102">
        <v>-43.168424799999997</v>
      </c>
      <c r="FS45" s="102">
        <v>-30.733167999999999</v>
      </c>
      <c r="FT45" s="102">
        <v>-24.733167999999999</v>
      </c>
      <c r="FU45" s="102">
        <v>-24.733167999999999</v>
      </c>
      <c r="FV45" s="102">
        <v>-25.133168000000001</v>
      </c>
      <c r="FW45" s="102">
        <v>-25.133168000000001</v>
      </c>
      <c r="FX45" s="102">
        <v>-32.292478000000003</v>
      </c>
      <c r="FY45" s="102">
        <v>-24.733167999999999</v>
      </c>
      <c r="FZ45" s="102">
        <v>-24.733167999999999</v>
      </c>
      <c r="GA45" s="102">
        <v>-26.724478000000001</v>
      </c>
      <c r="GB45" s="102">
        <v>-25.133168000000001</v>
      </c>
      <c r="GC45" s="102">
        <v>-24.733167999999999</v>
      </c>
      <c r="GD45" s="102">
        <v>-24.733167999999999</v>
      </c>
      <c r="GE45" s="102">
        <v>-26.957498000000001</v>
      </c>
      <c r="GF45" s="102">
        <v>-25.457498000000001</v>
      </c>
      <c r="GG45" s="102">
        <v>-27.537497999999999</v>
      </c>
      <c r="GH45" s="102">
        <v>-25.457498000000001</v>
      </c>
      <c r="GI45" s="102">
        <v>-26.957498000000001</v>
      </c>
      <c r="GJ45" s="102">
        <v>-25.537497999999999</v>
      </c>
      <c r="GK45" s="102">
        <v>-27.411314999999998</v>
      </c>
      <c r="GL45" s="102">
        <v>-25.457498000000001</v>
      </c>
      <c r="GM45" s="102">
        <v>-27.987497999999999</v>
      </c>
      <c r="GN45" s="102">
        <v>-25.457498000000001</v>
      </c>
      <c r="GO45" s="102">
        <v>-26.957498000000001</v>
      </c>
      <c r="GP45" s="102">
        <v>-25.537497999999999</v>
      </c>
      <c r="GQ45" s="102">
        <v>-26.957498000000001</v>
      </c>
      <c r="GR45" s="102">
        <v>-25.457498000000001</v>
      </c>
      <c r="GS45" s="102">
        <v>-27.537497999999999</v>
      </c>
      <c r="GT45" s="102">
        <v>-25.457498000000001</v>
      </c>
      <c r="GU45" s="102">
        <v>-26.957498000000001</v>
      </c>
      <c r="GV45" s="102">
        <v>-25.537497999999999</v>
      </c>
      <c r="GW45" s="102">
        <v>-27.411314999999998</v>
      </c>
      <c r="GX45" s="102">
        <v>-25.457498000000001</v>
      </c>
      <c r="GY45" s="102">
        <v>-27.987497999999999</v>
      </c>
      <c r="GZ45" s="102">
        <v>-25.457498000000001</v>
      </c>
      <c r="HA45" s="102">
        <v>-26.957498000000001</v>
      </c>
      <c r="HB45" s="102">
        <v>-25.537497999999999</v>
      </c>
      <c r="HD45" s="102">
        <f t="shared" si="226"/>
        <v>-354.48912064999996</v>
      </c>
      <c r="HE45" s="102">
        <f t="shared" si="226"/>
        <v>-103.02983166999999</v>
      </c>
      <c r="HF45" s="102">
        <f t="shared" si="226"/>
        <v>-247.35398885000001</v>
      </c>
      <c r="HG45" s="102">
        <f t="shared" si="226"/>
        <v>-461.23218131000004</v>
      </c>
      <c r="HH45" s="102">
        <f t="shared" si="227"/>
        <v>-311.33617829000002</v>
      </c>
      <c r="HI45" s="102">
        <f t="shared" si="228"/>
        <v>-285.10069353</v>
      </c>
      <c r="HJ45" s="102">
        <f t="shared" si="229"/>
        <v>-310.36101825000003</v>
      </c>
      <c r="HK45" s="102">
        <f t="shared" si="230"/>
        <v>-353.27539547999993</v>
      </c>
      <c r="HL45" s="940">
        <f>+SUMIF($E$6:SEW$6,HL$7,$E45:SEW45)</f>
        <v>-246.12362771000002</v>
      </c>
      <c r="HM45" s="940">
        <f>+SUMIF($E$6:SEX$6,HM$7,$E45:SEX45)</f>
        <v>-266.71844011999997</v>
      </c>
      <c r="HN45" s="940">
        <f>+SUMIF($E$6:SEY$6,HN$7,$E45:SEY45)</f>
        <v>-408.25365050999994</v>
      </c>
      <c r="HO45" s="102"/>
      <c r="HP45" s="102"/>
      <c r="HR45" s="929">
        <f t="shared" si="231"/>
        <v>1.4007996988897733</v>
      </c>
      <c r="HS45" s="929">
        <f t="shared" si="232"/>
        <v>0.86466441658921322</v>
      </c>
      <c r="HT45" s="929">
        <f t="shared" si="233"/>
        <v>-0.32499033912651687</v>
      </c>
      <c r="HU45" s="929">
        <f t="shared" si="234"/>
        <v>-8.4267382300692639E-2</v>
      </c>
      <c r="HV45" s="929">
        <f t="shared" si="235"/>
        <v>8.8601414494075881E-2</v>
      </c>
      <c r="HW45" s="929">
        <f t="shared" si="236"/>
        <v>0.13827244630133206</v>
      </c>
      <c r="HX45" s="929">
        <f t="shared" si="237"/>
        <v>-0.30330945528887288</v>
      </c>
      <c r="HY45" s="929">
        <f t="shared" si="237"/>
        <v>8.3676697770220576E-2</v>
      </c>
      <c r="HZ45" s="929">
        <f t="shared" si="237"/>
        <v>0.53065401224722786</v>
      </c>
      <c r="IA45" s="929">
        <f t="shared" si="305"/>
        <v>-1</v>
      </c>
      <c r="IB45" s="929" t="str">
        <f t="shared" si="238"/>
        <v/>
      </c>
      <c r="IC45" s="929">
        <f t="shared" si="306"/>
        <v>-1</v>
      </c>
      <c r="IE45" s="102">
        <f t="shared" si="239"/>
        <v>-144.32415718000001</v>
      </c>
      <c r="IF45" s="102">
        <f t="shared" si="240"/>
        <v>-213.87819246000004</v>
      </c>
      <c r="IG45" s="102">
        <f t="shared" si="241"/>
        <v>149.89600302000002</v>
      </c>
      <c r="IH45" s="102">
        <f t="shared" si="242"/>
        <v>26.23548476000002</v>
      </c>
      <c r="II45" s="102">
        <f t="shared" si="100"/>
        <v>-25.260324720000028</v>
      </c>
      <c r="IJ45" s="102">
        <f t="shared" si="101"/>
        <v>-42.9143772299999</v>
      </c>
      <c r="IK45" s="102">
        <f t="shared" si="102"/>
        <v>107.15176776999991</v>
      </c>
      <c r="IL45" s="102">
        <f t="shared" si="307"/>
        <v>246.12362771000002</v>
      </c>
      <c r="IM45" s="102">
        <f t="shared" si="243"/>
        <v>0</v>
      </c>
      <c r="IN45" s="102">
        <f t="shared" si="308"/>
        <v>246.12362771000002</v>
      </c>
      <c r="IP45" s="32">
        <f t="shared" si="244"/>
        <v>-2.803130087092954E-3</v>
      </c>
      <c r="IQ45" s="32">
        <f t="shared" si="245"/>
        <v>-6.2807329486814579E-3</v>
      </c>
      <c r="IR45" s="32">
        <f t="shared" si="246"/>
        <v>-2.736830911439226E-2</v>
      </c>
      <c r="IS45" s="32">
        <f t="shared" si="247"/>
        <v>-5.0607090714587577E-2</v>
      </c>
      <c r="IT45" s="32">
        <f t="shared" si="248"/>
        <v>-2.0918964294206432E-2</v>
      </c>
      <c r="IU45" s="32">
        <f t="shared" si="249"/>
        <v>-2.1932813393437799E-2</v>
      </c>
      <c r="IV45" s="32">
        <f t="shared" si="250"/>
        <v>-1.6640894776236072E-2</v>
      </c>
      <c r="IW45" s="32">
        <f t="shared" si="251"/>
        <v>-1.9502838910105701E-2</v>
      </c>
      <c r="IX45" s="32" t="e">
        <f t="shared" si="252"/>
        <v>#DIV/0!</v>
      </c>
      <c r="IY45" s="32" t="e">
        <f t="shared" si="253"/>
        <v>#DIV/0!</v>
      </c>
      <c r="JA45" s="102">
        <f t="shared" si="254"/>
        <v>-354.48912064999996</v>
      </c>
      <c r="JB45" s="102">
        <f t="shared" si="254"/>
        <v>-103.02983166999999</v>
      </c>
      <c r="JC45" s="102">
        <f t="shared" si="254"/>
        <v>-247.35398885000001</v>
      </c>
      <c r="JD45" s="102">
        <f t="shared" si="254"/>
        <v>-461.23218131000004</v>
      </c>
      <c r="JE45" s="102">
        <f t="shared" si="254"/>
        <v>-311.33617829000002</v>
      </c>
      <c r="JF45" s="102">
        <f t="shared" si="254"/>
        <v>-285.10069353</v>
      </c>
      <c r="JG45" s="102">
        <f t="shared" si="254"/>
        <v>-310.36101825000003</v>
      </c>
      <c r="JH45" s="102">
        <f t="shared" si="254"/>
        <v>-353.27539547999993</v>
      </c>
      <c r="JI45" s="102">
        <f t="shared" si="254"/>
        <v>-246.12362771000002</v>
      </c>
      <c r="JJ45" s="102">
        <f t="shared" si="254"/>
        <v>-266.71844011999997</v>
      </c>
      <c r="JK45" s="102">
        <f t="shared" si="254"/>
        <v>-408.25365050999994</v>
      </c>
      <c r="JL45" s="102">
        <f t="shared" si="255"/>
        <v>-408.25365050999994</v>
      </c>
      <c r="JM45" s="102"/>
      <c r="JN45" s="102"/>
      <c r="JO45" s="922">
        <f>+JJ45/JI45-1</f>
        <v>8.3676697770220576E-2</v>
      </c>
      <c r="JP45" s="102">
        <f t="shared" si="256"/>
        <v>-408.25365050999994</v>
      </c>
      <c r="JQ45" s="102">
        <f t="shared" si="257"/>
        <v>0</v>
      </c>
      <c r="JR45" s="145"/>
      <c r="JS45" s="929" t="str">
        <f t="shared" si="258"/>
        <v/>
      </c>
      <c r="JT45" s="930">
        <f t="shared" si="259"/>
        <v>-408.25365050999994</v>
      </c>
      <c r="JV45" s="32">
        <f t="shared" si="260"/>
        <v>-1.3522105305187574E-2</v>
      </c>
      <c r="JW45" s="929" t="str">
        <f t="shared" si="261"/>
        <v/>
      </c>
      <c r="JY45" s="929">
        <f t="shared" si="309"/>
        <v>1.4007996988897733</v>
      </c>
      <c r="JZ45" s="929">
        <f t="shared" si="310"/>
        <v>0.86466441658921322</v>
      </c>
      <c r="KA45" s="929">
        <f t="shared" si="311"/>
        <v>-0.32499033912651687</v>
      </c>
      <c r="KB45" s="929">
        <f t="shared" si="312"/>
        <v>-8.4267382300692639E-2</v>
      </c>
      <c r="KC45" s="929">
        <f t="shared" si="313"/>
        <v>8.8601414494075881E-2</v>
      </c>
      <c r="KD45" s="929">
        <f t="shared" si="314"/>
        <v>0.13827244630133206</v>
      </c>
      <c r="KE45" s="929">
        <f t="shared" si="315"/>
        <v>-0.30330945528887288</v>
      </c>
      <c r="KF45" s="929">
        <f t="shared" si="316"/>
        <v>-1</v>
      </c>
      <c r="KH45" s="102">
        <f t="shared" si="263"/>
        <v>-144.32415718000001</v>
      </c>
      <c r="KI45" s="102">
        <f t="shared" si="264"/>
        <v>-213.87819246000004</v>
      </c>
      <c r="KJ45" s="102">
        <f t="shared" si="265"/>
        <v>149.89600302000002</v>
      </c>
      <c r="KK45" s="102">
        <f t="shared" si="266"/>
        <v>26.23548476000002</v>
      </c>
      <c r="KL45" s="102">
        <f t="shared" si="267"/>
        <v>-25.260324720000028</v>
      </c>
      <c r="KM45" s="102">
        <f t="shared" si="268"/>
        <v>-42.9143772299999</v>
      </c>
      <c r="KN45" s="102">
        <f t="shared" si="269"/>
        <v>107.15176776999991</v>
      </c>
      <c r="KO45" s="102">
        <f t="shared" si="270"/>
        <v>246.12362771000002</v>
      </c>
      <c r="KQ45" s="32">
        <f t="shared" si="271"/>
        <v>-9.7705557701269954E-3</v>
      </c>
      <c r="KR45" s="32">
        <f t="shared" si="272"/>
        <v>-2.803130087092954E-3</v>
      </c>
      <c r="KS45" s="32">
        <f t="shared" si="273"/>
        <v>-6.2807329486814579E-3</v>
      </c>
      <c r="KT45" s="32">
        <f t="shared" si="274"/>
        <v>-2.736830911439226E-2</v>
      </c>
      <c r="KU45" s="32">
        <f t="shared" si="275"/>
        <v>-5.0607090714587577E-2</v>
      </c>
      <c r="KV45" s="32">
        <f t="shared" si="276"/>
        <v>-2.0918964294206432E-2</v>
      </c>
      <c r="KW45" s="32">
        <f t="shared" si="277"/>
        <v>-2.1932813393437799E-2</v>
      </c>
      <c r="KX45" s="32">
        <f t="shared" si="278"/>
        <v>-1.6640894776236072E-2</v>
      </c>
      <c r="KY45" s="32">
        <f t="shared" si="279"/>
        <v>-1.9502838910105701E-2</v>
      </c>
      <c r="KZ45" s="32" t="e">
        <f t="shared" si="280"/>
        <v>#DIV/0!</v>
      </c>
      <c r="LB45" s="102">
        <f t="shared" si="281"/>
        <v>-278.92918399999996</v>
      </c>
      <c r="LC45" s="102">
        <f t="shared" si="281"/>
        <v>-8.2511167300000068</v>
      </c>
      <c r="LD45" s="102">
        <f t="shared" si="281"/>
        <v>-63.006771240000006</v>
      </c>
      <c r="LE45" s="102">
        <f t="shared" si="281"/>
        <v>-69.889616709999999</v>
      </c>
      <c r="LF45" s="102">
        <f t="shared" si="281"/>
        <v>-27.086843760000001</v>
      </c>
      <c r="LG45" s="102">
        <f t="shared" si="281"/>
        <v>-28.083355000000001</v>
      </c>
      <c r="LH45" s="102">
        <f t="shared" si="281"/>
        <v>-28.36800083</v>
      </c>
      <c r="LI45" s="102">
        <f t="shared" si="281"/>
        <v>-45.896783999999997</v>
      </c>
      <c r="LJ45" s="102">
        <f t="shared" si="281"/>
        <v>-20.644069940000001</v>
      </c>
      <c r="LK45" s="102">
        <f t="shared" si="281"/>
        <v>-32.66803986</v>
      </c>
      <c r="LL45" s="102">
        <f t="shared" si="281"/>
        <v>-38.013637000000003</v>
      </c>
      <c r="LM45" s="102">
        <f t="shared" si="281"/>
        <v>-38.013637000000003</v>
      </c>
      <c r="LN45" s="102"/>
      <c r="LO45" s="102"/>
      <c r="LR45" s="32">
        <f t="shared" si="282"/>
        <v>6.6361507541052509</v>
      </c>
      <c r="LS45" s="32">
        <f t="shared" si="283"/>
        <v>0.10923977430588283</v>
      </c>
      <c r="LT45" s="32">
        <f t="shared" si="284"/>
        <v>-0.61243393460871076</v>
      </c>
      <c r="LU45" s="32">
        <f t="shared" si="285"/>
        <v>3.6789492671404522E-2</v>
      </c>
      <c r="LV45" s="32">
        <f t="shared" si="286"/>
        <v>1.0135748737998052E-2</v>
      </c>
      <c r="LW45" s="32">
        <f t="shared" si="287"/>
        <v>0.6179068900570106</v>
      </c>
      <c r="LX45" s="32">
        <f t="shared" si="288"/>
        <v>-1</v>
      </c>
      <c r="LZ45" s="102">
        <f t="shared" si="289"/>
        <v>-54.755654509999999</v>
      </c>
      <c r="MA45" s="102">
        <f t="shared" si="290"/>
        <v>-6.8828454699999924</v>
      </c>
      <c r="MB45" s="102">
        <f t="shared" si="291"/>
        <v>42.802772949999998</v>
      </c>
      <c r="MC45" s="102">
        <f t="shared" si="292"/>
        <v>-0.99651124000000024</v>
      </c>
      <c r="MD45" s="102">
        <f t="shared" si="293"/>
        <v>-0.28464582999999877</v>
      </c>
      <c r="ME45" s="102">
        <f t="shared" si="294"/>
        <v>-17.528783169999997</v>
      </c>
      <c r="MF45" s="102">
        <f t="shared" si="295"/>
        <v>45.896783999999997</v>
      </c>
      <c r="MH45" s="32">
        <f t="shared" si="296"/>
        <v>-9.2996722362974224E-2</v>
      </c>
      <c r="MI45" s="32">
        <f t="shared" si="297"/>
        <v>-1.4964852278785763E-3</v>
      </c>
      <c r="MJ45" s="32">
        <f t="shared" si="298"/>
        <v>-1.2291252040700069E-2</v>
      </c>
      <c r="MK45" s="32">
        <f t="shared" si="299"/>
        <v>-0.12023569820703996</v>
      </c>
      <c r="ML45" s="32">
        <f t="shared" si="300"/>
        <v>-1.7980467905467395E-2</v>
      </c>
      <c r="MM45" s="32">
        <f t="shared" si="301"/>
        <v>-2.7300287104809046E-2</v>
      </c>
      <c r="MN45" s="32">
        <f t="shared" si="302"/>
        <v>-1.8242938888976365E-2</v>
      </c>
      <c r="MO45" s="32">
        <f t="shared" si="303"/>
        <v>-2.4387293512766903E-2</v>
      </c>
      <c r="MP45" s="32" t="e">
        <f t="shared" si="304"/>
        <v>#DIV/0!</v>
      </c>
    </row>
    <row r="46" spans="1:354" outlineLevel="1">
      <c r="A46" s="884">
        <v>5110</v>
      </c>
      <c r="B46" s="70" t="s">
        <v>630</v>
      </c>
      <c r="C46" s="17" t="s">
        <v>81</v>
      </c>
      <c r="D46" s="31" t="s">
        <v>59</v>
      </c>
      <c r="E46" s="102">
        <v>-2.7722500000000001</v>
      </c>
      <c r="F46" s="102">
        <v>-22.351265000000001</v>
      </c>
      <c r="G46" s="102">
        <v>-1.7489999999999988</v>
      </c>
      <c r="H46" s="102">
        <v>-1.2390000000000008</v>
      </c>
      <c r="I46" s="102">
        <v>-12.468475999999999</v>
      </c>
      <c r="J46" s="102">
        <v>-2.003622</v>
      </c>
      <c r="K46" s="102">
        <v>4.5</v>
      </c>
      <c r="L46" s="102">
        <v>-3.4870000000000019</v>
      </c>
      <c r="M46" s="102">
        <v>-0.40944599999999554</v>
      </c>
      <c r="N46" s="102">
        <v>-24.396878000000001</v>
      </c>
      <c r="O46" s="102">
        <v>-53.947482000000008</v>
      </c>
      <c r="P46" s="102">
        <v>-140.174925</v>
      </c>
      <c r="Q46" s="102">
        <v>-31.133141999999999</v>
      </c>
      <c r="R46" s="102">
        <v>-29.018982000000001</v>
      </c>
      <c r="S46" s="102">
        <v>-53.416482000000002</v>
      </c>
      <c r="T46" s="102">
        <v>-34.506481999999991</v>
      </c>
      <c r="U46" s="102">
        <v>-60.093148430000014</v>
      </c>
      <c r="V46" s="102">
        <v>-55.867499999999978</v>
      </c>
      <c r="W46" s="102">
        <v>-40.179500000000019</v>
      </c>
      <c r="X46" s="102">
        <v>-29.117698000000019</v>
      </c>
      <c r="Y46" s="102">
        <v>-29.769999999999982</v>
      </c>
      <c r="Z46" s="102">
        <v>-34</v>
      </c>
      <c r="AA46" s="102">
        <v>-35.160000000000025</v>
      </c>
      <c r="AB46" s="102">
        <v>-52.517082999999957</v>
      </c>
      <c r="AC46" s="102">
        <v>-38.655000000000001</v>
      </c>
      <c r="AD46" s="102">
        <v>-33.895499999999998</v>
      </c>
      <c r="AE46" s="102">
        <v>-47.5349</v>
      </c>
      <c r="AF46" s="102">
        <v>-37.69</v>
      </c>
      <c r="AG46" s="102">
        <v>-118.72</v>
      </c>
      <c r="AH46" s="102">
        <v>-39.544980000000002</v>
      </c>
      <c r="AI46" s="102">
        <v>-39.242038000000001</v>
      </c>
      <c r="AJ46" s="102">
        <v>-44.892000000000003</v>
      </c>
      <c r="AK46" s="102">
        <v>-63.206999999999994</v>
      </c>
      <c r="AL46" s="102">
        <v>-98.266098</v>
      </c>
      <c r="AM46" s="102">
        <v>-50.985286000000002</v>
      </c>
      <c r="AN46" s="102">
        <v>-252.42918070000002</v>
      </c>
      <c r="AO46" s="102">
        <v>0</v>
      </c>
      <c r="AP46" s="145">
        <v>-114.00868699999999</v>
      </c>
      <c r="AQ46" s="143">
        <v>-56.550333000000002</v>
      </c>
      <c r="AR46" s="220">
        <v>-68.025282660000002</v>
      </c>
      <c r="AS46" s="102">
        <v>-65.740328000000005</v>
      </c>
      <c r="AT46" s="102">
        <v>-59.340316000000001</v>
      </c>
      <c r="AU46" s="102">
        <v>-49.565873000000003</v>
      </c>
      <c r="AV46" s="102">
        <v>-120.99002</v>
      </c>
      <c r="AW46" s="102">
        <v>-37.815854999999999</v>
      </c>
      <c r="AX46" s="102">
        <v>-34.138763339999997</v>
      </c>
      <c r="AY46" s="102">
        <v>-18.176287000000002</v>
      </c>
      <c r="AZ46" s="102">
        <v>-125.85865</v>
      </c>
      <c r="BA46" s="102">
        <v>-14.808873</v>
      </c>
      <c r="BB46" s="102">
        <v>-4.78</v>
      </c>
      <c r="BC46" s="102">
        <v>-103.18134999999999</v>
      </c>
      <c r="BD46" s="102">
        <v>-81.760000000000005</v>
      </c>
      <c r="BE46" s="102">
        <v>-19.814499999999999</v>
      </c>
      <c r="BF46" s="102">
        <v>-20.655000000000001</v>
      </c>
      <c r="BG46" s="102">
        <v>-10.458227000000001</v>
      </c>
      <c r="BH46" s="102">
        <v>31.303650000000001</v>
      </c>
      <c r="BI46" s="102">
        <v>-12.1036</v>
      </c>
      <c r="BJ46" s="102">
        <v>-12.485372999999999</v>
      </c>
      <c r="BK46" s="102">
        <v>-25.661100000000001</v>
      </c>
      <c r="BL46" s="102">
        <v>-20.231069999999999</v>
      </c>
      <c r="BM46" s="102">
        <v>-16.304546999999999</v>
      </c>
      <c r="BN46" s="102">
        <v>-10.07</v>
      </c>
      <c r="BO46" s="102">
        <v>-14.93</v>
      </c>
      <c r="BP46" s="102">
        <v>-13.65</v>
      </c>
      <c r="BQ46" s="102">
        <v>-11.94</v>
      </c>
      <c r="BR46" s="102">
        <v>-12.06</v>
      </c>
      <c r="BS46" s="102">
        <v>-21.25</v>
      </c>
      <c r="BT46" s="102">
        <v>-8.99</v>
      </c>
      <c r="BU46" s="102">
        <v>-24.642700000000001</v>
      </c>
      <c r="BV46" s="102">
        <v>-21.176680000000001</v>
      </c>
      <c r="BW46" s="102">
        <v>-11.736499999999999</v>
      </c>
      <c r="BX46" s="102">
        <v>-19.212533000000001</v>
      </c>
      <c r="BY46" s="102">
        <v>-9.6142000000000003</v>
      </c>
      <c r="BZ46" s="102">
        <v>-7.9291999999999998</v>
      </c>
      <c r="CA46" s="102">
        <v>-53.2348</v>
      </c>
      <c r="CB46" s="102">
        <v>-23.394200000000001</v>
      </c>
      <c r="CC46" s="102">
        <v>-19.654520000000002</v>
      </c>
      <c r="CD46" s="102">
        <v>-22.654520000000002</v>
      </c>
      <c r="CE46" s="102">
        <v>-40.657951500000003</v>
      </c>
      <c r="CF46" s="102">
        <v>-41.497784000000003</v>
      </c>
      <c r="CG46" s="102">
        <v>-22.703855000000001</v>
      </c>
      <c r="CH46" s="102">
        <v>-25.454055</v>
      </c>
      <c r="CI46" s="102">
        <v>-35.123475999999997</v>
      </c>
      <c r="CJ46" s="102">
        <v>-42.848255000000002</v>
      </c>
      <c r="CK46" s="102">
        <v>-27.703855000000001</v>
      </c>
      <c r="CL46" s="102">
        <v>-28.653855</v>
      </c>
      <c r="CM46" s="102">
        <v>-28.298855</v>
      </c>
      <c r="CN46" s="102">
        <v>-29.127904999999998</v>
      </c>
      <c r="CO46" s="102">
        <v>-28.431055579999999</v>
      </c>
      <c r="CP46" s="102">
        <v>-28.551055000000002</v>
      </c>
      <c r="CQ46" s="102">
        <v>-36.557307999999999</v>
      </c>
      <c r="CR46" s="102">
        <v>-29.131055579999998</v>
      </c>
      <c r="CS46" s="102">
        <v>-31.291056000000001</v>
      </c>
      <c r="CT46" s="102">
        <v>-65.790335999999996</v>
      </c>
      <c r="CU46" s="102">
        <v>-28.871055999999999</v>
      </c>
      <c r="CV46" s="102">
        <v>-84.974556000000007</v>
      </c>
      <c r="CW46" s="102">
        <v>-28.511056</v>
      </c>
      <c r="CX46" s="102">
        <v>-39.092058000000002</v>
      </c>
      <c r="CY46" s="102">
        <v>-36.739555580000001</v>
      </c>
      <c r="CZ46" s="102">
        <v>-46.857556000000002</v>
      </c>
      <c r="DA46" s="102">
        <v>-24.155960579999999</v>
      </c>
      <c r="DB46" s="102">
        <v>-42.869560999999997</v>
      </c>
      <c r="DC46" s="102">
        <v>-21.235961</v>
      </c>
      <c r="DD46" s="102">
        <v>-34.649960999999998</v>
      </c>
      <c r="DE46" s="102">
        <v>-28.949914</v>
      </c>
      <c r="DF46" s="102">
        <v>-31.564982430000001</v>
      </c>
      <c r="DG46" s="102">
        <v>-34.061395210000001</v>
      </c>
      <c r="DH46" s="102">
        <v>-40.671346999999997</v>
      </c>
      <c r="DI46" s="102">
        <v>-36.675801960000001</v>
      </c>
      <c r="DJ46" s="102">
        <v>-39.331031830000001</v>
      </c>
      <c r="DK46" s="102">
        <v>-38.337417810000005</v>
      </c>
      <c r="DL46" s="102">
        <v>-36.21193427</v>
      </c>
      <c r="DM46" s="102">
        <v>-37.414385200000005</v>
      </c>
      <c r="DN46" s="102">
        <v>-40.028046420000003</v>
      </c>
      <c r="DO46" s="102">
        <v>-34.50171168</v>
      </c>
      <c r="DP46" s="102">
        <v>-33.9205538</v>
      </c>
      <c r="DQ46" s="940">
        <v>-36.895065670000001</v>
      </c>
      <c r="DR46" s="940">
        <v>-49.991579899999998</v>
      </c>
      <c r="DS46" s="940">
        <v>-42.291007640000004</v>
      </c>
      <c r="DT46" s="940">
        <v>-34.162386099999999</v>
      </c>
      <c r="DU46" s="940">
        <v>-37.863610000000001</v>
      </c>
      <c r="DV46" s="940">
        <v>-35.388365999999998</v>
      </c>
      <c r="DW46" s="940">
        <v>-41.919449999999998</v>
      </c>
      <c r="DX46" s="940">
        <v>-36.793571</v>
      </c>
      <c r="DY46" s="940">
        <v>-38.322401999999997</v>
      </c>
      <c r="DZ46" s="940">
        <v>-56.729073999999997</v>
      </c>
      <c r="EA46" s="940">
        <v>-38.805858999999998</v>
      </c>
      <c r="EB46" s="940">
        <v>-44.168061999999999</v>
      </c>
      <c r="EC46" s="940">
        <v>-52.794668999999999</v>
      </c>
      <c r="ED46" s="940">
        <v>-47.651443</v>
      </c>
      <c r="EE46" s="940">
        <v>-58.848146</v>
      </c>
      <c r="EF46" s="940">
        <v>-89.568984</v>
      </c>
      <c r="EH46" s="102">
        <v>-28.511056</v>
      </c>
      <c r="EI46" s="102">
        <v>-39.472057999999997</v>
      </c>
      <c r="EJ46" s="102">
        <v>-36.739555580000001</v>
      </c>
      <c r="EK46" s="102">
        <v>-46.857556000000002</v>
      </c>
      <c r="EL46" s="102">
        <v>-24.155960579999999</v>
      </c>
      <c r="EM46" s="102">
        <v>-42.869560999999997</v>
      </c>
      <c r="EN46" s="102">
        <v>-29.237976</v>
      </c>
      <c r="EO46" s="102">
        <v>-21.081723</v>
      </c>
      <c r="EP46" s="102">
        <v>-24.061723000000001</v>
      </c>
      <c r="EQ46" s="102">
        <v>-21.111723000000001</v>
      </c>
      <c r="ER46" s="102">
        <v>-21.161722999999999</v>
      </c>
      <c r="ES46" s="102">
        <v>-34.531723</v>
      </c>
      <c r="EU46" s="102">
        <v>-54.651000000000003</v>
      </c>
      <c r="EV46" s="102">
        <v>-72.191000000000003</v>
      </c>
      <c r="EW46" s="102">
        <v>-73.001999999999995</v>
      </c>
      <c r="EX46" s="102">
        <v>-62.057609999999997</v>
      </c>
      <c r="EY46" s="102">
        <v>-54.658811</v>
      </c>
      <c r="EZ46" s="102">
        <v>-64.157657</v>
      </c>
      <c r="FA46" s="102">
        <v>-56.677410999999999</v>
      </c>
      <c r="FB46" s="102">
        <v>-36.320644999999999</v>
      </c>
      <c r="FC46" s="102">
        <v>-40.797410999999997</v>
      </c>
      <c r="FD46" s="102">
        <v>-49.810411000000002</v>
      </c>
      <c r="FE46" s="102">
        <v>-36.445318</v>
      </c>
      <c r="FF46" s="102">
        <v>-45.988410999999999</v>
      </c>
      <c r="FG46" s="102">
        <v>-33.567</v>
      </c>
      <c r="FH46" s="102">
        <v>-43.524999999999999</v>
      </c>
      <c r="FI46" s="102">
        <v>-83.468000000000004</v>
      </c>
      <c r="FJ46" s="102">
        <v>-21.172499999999999</v>
      </c>
      <c r="FK46" s="102">
        <v>-17.221</v>
      </c>
      <c r="FL46" s="102">
        <v>-31.584</v>
      </c>
      <c r="FM46" s="102">
        <v>-21.035</v>
      </c>
      <c r="FN46" s="102">
        <v>-14.12</v>
      </c>
      <c r="FO46" s="102">
        <v>-36.06729</v>
      </c>
      <c r="FP46" s="102">
        <v>-12.004</v>
      </c>
      <c r="FQ46" s="102">
        <v>-13.722</v>
      </c>
      <c r="FR46" s="102">
        <v>-18.244</v>
      </c>
      <c r="FS46" s="102">
        <v>-16.065141000000001</v>
      </c>
      <c r="FT46" s="102">
        <v>-27.165140999999998</v>
      </c>
      <c r="FU46" s="102">
        <v>-23.083541</v>
      </c>
      <c r="FV46" s="102">
        <v>-16.365141000000001</v>
      </c>
      <c r="FW46" s="102">
        <v>-23.365141000000001</v>
      </c>
      <c r="FX46" s="102">
        <v>-16.065141000000001</v>
      </c>
      <c r="FY46" s="102">
        <v>-18.113900999999998</v>
      </c>
      <c r="FZ46" s="102">
        <v>-18.365141000000001</v>
      </c>
      <c r="GA46" s="102">
        <v>-16.265141</v>
      </c>
      <c r="GB46" s="102">
        <v>-16.265141</v>
      </c>
      <c r="GC46" s="102">
        <v>-16.565141000000001</v>
      </c>
      <c r="GD46" s="102">
        <v>-16.265141</v>
      </c>
      <c r="GE46" s="102">
        <v>-28.486287999999998</v>
      </c>
      <c r="GF46" s="102">
        <v>-28.526288000000001</v>
      </c>
      <c r="GG46" s="102">
        <v>-28.526288000000001</v>
      </c>
      <c r="GH46" s="102">
        <v>-28.206288000000001</v>
      </c>
      <c r="GI46" s="102">
        <v>-28.126287999999999</v>
      </c>
      <c r="GJ46" s="102">
        <v>-28.446287999999999</v>
      </c>
      <c r="GK46" s="102">
        <v>-31.666288000000002</v>
      </c>
      <c r="GL46" s="102">
        <v>-33.509551000000002</v>
      </c>
      <c r="GM46" s="102">
        <v>-31.176288</v>
      </c>
      <c r="GN46" s="102">
        <v>-28.246288</v>
      </c>
      <c r="GO46" s="102">
        <v>-31.186288000000001</v>
      </c>
      <c r="GP46" s="102">
        <v>-27.886288</v>
      </c>
      <c r="GQ46" s="102">
        <v>-28.486287999999998</v>
      </c>
      <c r="GR46" s="102">
        <v>-28.526288000000001</v>
      </c>
      <c r="GS46" s="102">
        <v>-28.526288000000001</v>
      </c>
      <c r="GT46" s="102">
        <v>-28.206288000000001</v>
      </c>
      <c r="GU46" s="102">
        <v>-28.126287999999999</v>
      </c>
      <c r="GV46" s="102">
        <v>-28.446287999999999</v>
      </c>
      <c r="GW46" s="102">
        <v>-31.666288000000002</v>
      </c>
      <c r="GX46" s="102">
        <v>-33.509551000000002</v>
      </c>
      <c r="GY46" s="102">
        <v>-31.176288</v>
      </c>
      <c r="GZ46" s="102">
        <v>-28.246288</v>
      </c>
      <c r="HA46" s="102">
        <v>-31.186288000000001</v>
      </c>
      <c r="HB46" s="102">
        <v>-27.886288</v>
      </c>
      <c r="HD46" s="102">
        <f t="shared" si="226"/>
        <v>-260.49934400000001</v>
      </c>
      <c r="HE46" s="102">
        <f t="shared" si="226"/>
        <v>-484.78001742999999</v>
      </c>
      <c r="HF46" s="102">
        <f t="shared" si="226"/>
        <v>-865.06198270000004</v>
      </c>
      <c r="HG46" s="102">
        <f t="shared" si="226"/>
        <v>-750.21039499999995</v>
      </c>
      <c r="HH46" s="102">
        <f t="shared" si="227"/>
        <v>-294.63544299999995</v>
      </c>
      <c r="HI46" s="102">
        <f t="shared" si="228"/>
        <v>-185.96296000000001</v>
      </c>
      <c r="HJ46" s="102">
        <f t="shared" si="229"/>
        <v>-344.76681649999995</v>
      </c>
      <c r="HK46" s="102">
        <f t="shared" si="230"/>
        <v>-447.38194816000004</v>
      </c>
      <c r="HL46" s="940">
        <f>+SUMIF($E$6:SEW$6,HL$7,$E46:SEW46)</f>
        <v>-409.35930780000001</v>
      </c>
      <c r="HM46" s="940">
        <f>+SUMIF($E$6:SEX$6,HM$7,$E46:SEX46)</f>
        <v>-459.76092227999999</v>
      </c>
      <c r="HN46" s="940">
        <f>+SUMIF($E$6:SEY$6,HN$7,$E46:SEY46)</f>
        <v>-578.85363600000005</v>
      </c>
      <c r="HO46" s="102"/>
      <c r="HP46" s="102"/>
      <c r="HR46" s="929">
        <f t="shared" si="231"/>
        <v>0.78444232764794397</v>
      </c>
      <c r="HS46" s="929">
        <f t="shared" si="232"/>
        <v>-0.13276688838125739</v>
      </c>
      <c r="HT46" s="929">
        <f t="shared" si="233"/>
        <v>-0.60726291589174797</v>
      </c>
      <c r="HU46" s="929">
        <f t="shared" si="234"/>
        <v>-0.36883710219479593</v>
      </c>
      <c r="HV46" s="929">
        <f t="shared" si="235"/>
        <v>0.85395423099309631</v>
      </c>
      <c r="HW46" s="929">
        <f t="shared" si="236"/>
        <v>0.29763633490521868</v>
      </c>
      <c r="HX46" s="929">
        <f t="shared" si="237"/>
        <v>-8.4989214509839206E-2</v>
      </c>
      <c r="HY46" s="929">
        <f t="shared" si="237"/>
        <v>0.12312316715325444</v>
      </c>
      <c r="HZ46" s="929">
        <f t="shared" si="237"/>
        <v>0.25903183143405806</v>
      </c>
      <c r="IA46" s="929">
        <f t="shared" si="305"/>
        <v>-1</v>
      </c>
      <c r="IB46" s="929" t="str">
        <f t="shared" si="238"/>
        <v/>
      </c>
      <c r="IC46" s="929">
        <f t="shared" si="306"/>
        <v>-1</v>
      </c>
      <c r="IE46" s="102">
        <f t="shared" si="239"/>
        <v>-380.28196527000006</v>
      </c>
      <c r="IF46" s="102">
        <f t="shared" si="240"/>
        <v>114.8515877000001</v>
      </c>
      <c r="IG46" s="102">
        <f t="shared" si="241"/>
        <v>455.574952</v>
      </c>
      <c r="IH46" s="102">
        <f t="shared" si="242"/>
        <v>108.67248299999994</v>
      </c>
      <c r="II46" s="102">
        <f t="shared" si="100"/>
        <v>-158.80385649999994</v>
      </c>
      <c r="IJ46" s="102">
        <f t="shared" si="101"/>
        <v>-102.61513166000009</v>
      </c>
      <c r="IK46" s="102">
        <f t="shared" si="102"/>
        <v>38.022640360000025</v>
      </c>
      <c r="IL46" s="102">
        <f t="shared" si="307"/>
        <v>409.35930780000001</v>
      </c>
      <c r="IM46" s="102">
        <f t="shared" si="243"/>
        <v>0</v>
      </c>
      <c r="IN46" s="102">
        <f t="shared" si="308"/>
        <v>409.35930780000001</v>
      </c>
      <c r="IP46" s="32">
        <f t="shared" si="244"/>
        <v>-1.3189397968075703E-2</v>
      </c>
      <c r="IQ46" s="32">
        <f t="shared" si="245"/>
        <v>-2.1965375705707363E-2</v>
      </c>
      <c r="IR46" s="32">
        <f t="shared" si="246"/>
        <v>-4.451551913154668E-2</v>
      </c>
      <c r="IS46" s="32">
        <f t="shared" si="247"/>
        <v>-4.7892418650250443E-2</v>
      </c>
      <c r="IT46" s="32">
        <f t="shared" si="248"/>
        <v>-1.3644837099898511E-2</v>
      </c>
      <c r="IU46" s="32">
        <f t="shared" si="249"/>
        <v>-2.4364226838736087E-2</v>
      </c>
      <c r="IV46" s="32">
        <f t="shared" si="250"/>
        <v>-2.1073745919957615E-2</v>
      </c>
      <c r="IW46" s="32">
        <f t="shared" si="251"/>
        <v>-3.2437635958229454E-2</v>
      </c>
      <c r="IX46" s="32" t="e">
        <f t="shared" si="252"/>
        <v>#DIV/0!</v>
      </c>
      <c r="IY46" s="32" t="e">
        <f t="shared" si="253"/>
        <v>#DIV/0!</v>
      </c>
      <c r="JA46" s="102">
        <f t="shared" si="254"/>
        <v>-260.49934400000001</v>
      </c>
      <c r="JB46" s="102">
        <f t="shared" si="254"/>
        <v>-484.78001742999999</v>
      </c>
      <c r="JC46" s="102">
        <f t="shared" si="254"/>
        <v>-865.06198270000004</v>
      </c>
      <c r="JD46" s="102">
        <f t="shared" si="254"/>
        <v>-750.21039499999995</v>
      </c>
      <c r="JE46" s="102">
        <f t="shared" si="254"/>
        <v>-294.63544299999995</v>
      </c>
      <c r="JF46" s="102">
        <f t="shared" si="254"/>
        <v>-185.96296000000001</v>
      </c>
      <c r="JG46" s="102">
        <f t="shared" si="254"/>
        <v>-344.76681649999995</v>
      </c>
      <c r="JH46" s="102">
        <f t="shared" si="254"/>
        <v>-447.38194816000004</v>
      </c>
      <c r="JI46" s="102">
        <f t="shared" si="254"/>
        <v>-409.35930780000001</v>
      </c>
      <c r="JJ46" s="102">
        <f t="shared" si="254"/>
        <v>-459.76092227999999</v>
      </c>
      <c r="JK46" s="102">
        <f t="shared" si="254"/>
        <v>-578.85363600000005</v>
      </c>
      <c r="JL46" s="102">
        <f t="shared" si="255"/>
        <v>-578.85363600000005</v>
      </c>
      <c r="JM46" s="102"/>
      <c r="JN46" s="102"/>
      <c r="JO46" s="922">
        <f>+JJ46/JI46-1</f>
        <v>0.12312316715325444</v>
      </c>
      <c r="JP46" s="102">
        <f t="shared" si="256"/>
        <v>-578.85363600000005</v>
      </c>
      <c r="JQ46" s="102">
        <f t="shared" si="257"/>
        <v>0</v>
      </c>
      <c r="JR46" s="145"/>
      <c r="JS46" s="929" t="str">
        <f t="shared" si="258"/>
        <v/>
      </c>
      <c r="JT46" s="930">
        <f t="shared" si="259"/>
        <v>-578.85363600000005</v>
      </c>
      <c r="JV46" s="32">
        <f t="shared" si="260"/>
        <v>-1.9172687892697708E-2</v>
      </c>
      <c r="JW46" s="929" t="str">
        <f t="shared" si="261"/>
        <v/>
      </c>
      <c r="JY46" s="929">
        <f t="shared" si="309"/>
        <v>0.78444232764794397</v>
      </c>
      <c r="JZ46" s="929">
        <f t="shared" si="310"/>
        <v>-0.13276688838125739</v>
      </c>
      <c r="KA46" s="929">
        <f t="shared" si="311"/>
        <v>-0.60726291589174797</v>
      </c>
      <c r="KB46" s="929">
        <f t="shared" si="312"/>
        <v>-0.36883710219479593</v>
      </c>
      <c r="KC46" s="929">
        <f t="shared" si="313"/>
        <v>0.85395423099309631</v>
      </c>
      <c r="KD46" s="929">
        <f t="shared" si="314"/>
        <v>0.29763633490521868</v>
      </c>
      <c r="KE46" s="929">
        <f t="shared" si="315"/>
        <v>-8.4989214509839206E-2</v>
      </c>
      <c r="KF46" s="929">
        <f t="shared" si="316"/>
        <v>-1</v>
      </c>
      <c r="KH46" s="102">
        <f t="shared" si="263"/>
        <v>-380.28196527000006</v>
      </c>
      <c r="KI46" s="102">
        <f t="shared" si="264"/>
        <v>114.8515877000001</v>
      </c>
      <c r="KJ46" s="102">
        <f t="shared" si="265"/>
        <v>455.574952</v>
      </c>
      <c r="KK46" s="102">
        <f t="shared" si="266"/>
        <v>108.67248299999994</v>
      </c>
      <c r="KL46" s="102">
        <f t="shared" si="267"/>
        <v>-158.80385649999994</v>
      </c>
      <c r="KM46" s="102">
        <f t="shared" si="268"/>
        <v>-102.61513166000009</v>
      </c>
      <c r="KN46" s="102">
        <f t="shared" si="269"/>
        <v>38.022640360000025</v>
      </c>
      <c r="KO46" s="102">
        <f t="shared" si="270"/>
        <v>409.35930780000001</v>
      </c>
      <c r="KQ46" s="32">
        <f t="shared" si="271"/>
        <v>-7.1799759720876984E-3</v>
      </c>
      <c r="KR46" s="32">
        <f t="shared" si="272"/>
        <v>-1.3189397968075703E-2</v>
      </c>
      <c r="KS46" s="32">
        <f t="shared" si="273"/>
        <v>-2.1965375705707363E-2</v>
      </c>
      <c r="KT46" s="32">
        <f t="shared" si="274"/>
        <v>-4.451551913154668E-2</v>
      </c>
      <c r="KU46" s="32">
        <f t="shared" si="275"/>
        <v>-4.7892418650250443E-2</v>
      </c>
      <c r="KV46" s="32">
        <f t="shared" si="276"/>
        <v>-1.3644837099898511E-2</v>
      </c>
      <c r="KW46" s="32">
        <f t="shared" si="277"/>
        <v>-2.4364226838736087E-2</v>
      </c>
      <c r="KX46" s="32">
        <f t="shared" si="278"/>
        <v>-2.1073745919957615E-2</v>
      </c>
      <c r="KY46" s="32">
        <f t="shared" si="279"/>
        <v>-3.2437635958229454E-2</v>
      </c>
      <c r="KZ46" s="32" t="e">
        <f t="shared" si="280"/>
        <v>#DIV/0!</v>
      </c>
      <c r="LB46" s="102">
        <f t="shared" si="281"/>
        <v>-140.174925</v>
      </c>
      <c r="LC46" s="102">
        <f t="shared" si="281"/>
        <v>-52.517082999999957</v>
      </c>
      <c r="LD46" s="102">
        <f t="shared" si="281"/>
        <v>-252.42918070000002</v>
      </c>
      <c r="LE46" s="102">
        <f t="shared" si="281"/>
        <v>-125.85865</v>
      </c>
      <c r="LF46" s="102">
        <f t="shared" si="281"/>
        <v>-20.231069999999999</v>
      </c>
      <c r="LG46" s="102">
        <f t="shared" si="281"/>
        <v>-19.212533000000001</v>
      </c>
      <c r="LH46" s="102">
        <f t="shared" si="281"/>
        <v>-42.848255000000002</v>
      </c>
      <c r="LI46" s="102">
        <f t="shared" si="281"/>
        <v>-84.974556000000007</v>
      </c>
      <c r="LJ46" s="102">
        <f t="shared" si="281"/>
        <v>-40.671346999999997</v>
      </c>
      <c r="LK46" s="102">
        <f t="shared" si="281"/>
        <v>-34.162386099999999</v>
      </c>
      <c r="LL46" s="102">
        <f t="shared" si="281"/>
        <v>-89.568984</v>
      </c>
      <c r="LM46" s="102">
        <f t="shared" si="281"/>
        <v>-89.568984</v>
      </c>
      <c r="LN46" s="102"/>
      <c r="LO46" s="102"/>
      <c r="LR46" s="32">
        <f t="shared" si="282"/>
        <v>3.8066108450844505</v>
      </c>
      <c r="LS46" s="32">
        <f t="shared" si="283"/>
        <v>-0.50141006023555978</v>
      </c>
      <c r="LT46" s="32">
        <f t="shared" si="284"/>
        <v>-0.83925562525897113</v>
      </c>
      <c r="LU46" s="32">
        <f t="shared" si="285"/>
        <v>-5.0345186883343218E-2</v>
      </c>
      <c r="LV46" s="32">
        <f t="shared" si="286"/>
        <v>1.230224145873946</v>
      </c>
      <c r="LW46" s="32">
        <f t="shared" si="287"/>
        <v>0.98315091244672637</v>
      </c>
      <c r="LX46" s="32">
        <f t="shared" si="288"/>
        <v>-1</v>
      </c>
      <c r="LZ46" s="102">
        <f t="shared" si="289"/>
        <v>-199.91209770000006</v>
      </c>
      <c r="MA46" s="102">
        <f t="shared" si="290"/>
        <v>126.57053070000002</v>
      </c>
      <c r="MB46" s="102">
        <f t="shared" si="291"/>
        <v>105.62757999999999</v>
      </c>
      <c r="MC46" s="102">
        <f t="shared" si="292"/>
        <v>1.0185369999999985</v>
      </c>
      <c r="MD46" s="102">
        <f t="shared" si="293"/>
        <v>-23.635722000000001</v>
      </c>
      <c r="ME46" s="102">
        <f t="shared" si="294"/>
        <v>-42.126301000000005</v>
      </c>
      <c r="MF46" s="102">
        <f t="shared" si="295"/>
        <v>84.974556000000007</v>
      </c>
      <c r="MH46" s="32">
        <f t="shared" si="296"/>
        <v>-4.6735190615535369E-2</v>
      </c>
      <c r="MI46" s="32">
        <f t="shared" si="297"/>
        <v>-9.5248972342163174E-3</v>
      </c>
      <c r="MJ46" s="32">
        <f t="shared" si="298"/>
        <v>-4.9243448304828914E-2</v>
      </c>
      <c r="MK46" s="32">
        <f t="shared" si="299"/>
        <v>-0.21652290240676397</v>
      </c>
      <c r="ML46" s="32">
        <f t="shared" si="300"/>
        <v>-1.3429549343266277E-2</v>
      </c>
      <c r="MM46" s="32">
        <f t="shared" si="301"/>
        <v>-1.8676816459807538E-2</v>
      </c>
      <c r="MN46" s="32">
        <f t="shared" si="302"/>
        <v>-2.7554923667290232E-2</v>
      </c>
      <c r="MO46" s="32">
        <f t="shared" si="303"/>
        <v>-4.5151299452463774E-2</v>
      </c>
      <c r="MP46" s="32" t="e">
        <f t="shared" si="304"/>
        <v>#DIV/0!</v>
      </c>
    </row>
    <row r="47" spans="1:354" outlineLevel="1">
      <c r="A47" s="867"/>
      <c r="B47" s="71"/>
      <c r="C47" s="186" t="s">
        <v>82</v>
      </c>
      <c r="D47" s="307" t="s">
        <v>59</v>
      </c>
      <c r="E47" s="931">
        <v>-14.123279999999999</v>
      </c>
      <c r="F47" s="931">
        <v>-16.352055</v>
      </c>
      <c r="G47" s="931">
        <v>-21.556309199999998</v>
      </c>
      <c r="H47" s="931">
        <v>-21.300058680000003</v>
      </c>
      <c r="I47" s="931">
        <v>-22.564130999999996</v>
      </c>
      <c r="J47" s="931">
        <v>-17.115981999999995</v>
      </c>
      <c r="K47" s="931">
        <v>-20.354087320000009</v>
      </c>
      <c r="L47" s="931">
        <v>-11.157977269999996</v>
      </c>
      <c r="M47" s="931">
        <v>-6.3118000000000052</v>
      </c>
      <c r="N47" s="931">
        <v>-16.385142279999997</v>
      </c>
      <c r="O47" s="931">
        <v>-69.817942919999993</v>
      </c>
      <c r="P47" s="931">
        <v>-86.836072699999988</v>
      </c>
      <c r="Q47" s="931">
        <v>-35.753944629999999</v>
      </c>
      <c r="R47" s="931">
        <v>-21.013556379999997</v>
      </c>
      <c r="S47" s="931">
        <v>-42.547012529999989</v>
      </c>
      <c r="T47" s="931">
        <v>-42.23370494000001</v>
      </c>
      <c r="U47" s="931">
        <v>-34.278111750000008</v>
      </c>
      <c r="V47" s="931">
        <v>-30.618181279999984</v>
      </c>
      <c r="W47" s="931">
        <v>-39.379931430000013</v>
      </c>
      <c r="X47" s="931">
        <v>-29.005405569999997</v>
      </c>
      <c r="Y47" s="931">
        <v>-49.980198950000023</v>
      </c>
      <c r="Z47" s="931">
        <v>-40.224685389999962</v>
      </c>
      <c r="AA47" s="931">
        <v>-28.469105230000004</v>
      </c>
      <c r="AB47" s="931">
        <v>-94.401975660000062</v>
      </c>
      <c r="AC47" s="931">
        <v>-21.481300839999999</v>
      </c>
      <c r="AD47" s="931">
        <v>-29.513899279999997</v>
      </c>
      <c r="AE47" s="931">
        <v>-40.309877270000001</v>
      </c>
      <c r="AF47" s="931">
        <v>-42.944100390000003</v>
      </c>
      <c r="AG47" s="931">
        <v>-60.512709880000003</v>
      </c>
      <c r="AH47" s="931">
        <v>-63.185647019999998</v>
      </c>
      <c r="AI47" s="931">
        <v>-32.288673700000004</v>
      </c>
      <c r="AJ47" s="931">
        <v>-92.067314379999999</v>
      </c>
      <c r="AK47" s="931">
        <v>-34.640628749999998</v>
      </c>
      <c r="AL47" s="931">
        <v>40.394000949999999</v>
      </c>
      <c r="AM47" s="931">
        <v>-83.040612679999995</v>
      </c>
      <c r="AN47" s="931">
        <v>-142.91979699999999</v>
      </c>
      <c r="AO47" s="933">
        <f t="shared" ref="AO47:BK47" si="317">SUM(AO48:AO58)</f>
        <v>-25.952617619999998</v>
      </c>
      <c r="AP47" s="933">
        <f t="shared" si="317"/>
        <v>-77.108072710000002</v>
      </c>
      <c r="AQ47" s="933">
        <f t="shared" si="317"/>
        <v>-90.538494600000007</v>
      </c>
      <c r="AR47" s="933">
        <f t="shared" si="317"/>
        <v>-234.75662507000001</v>
      </c>
      <c r="AS47" s="933">
        <f t="shared" si="317"/>
        <v>-68.006185479999999</v>
      </c>
      <c r="AT47" s="933">
        <f t="shared" si="317"/>
        <v>-86.300212590000001</v>
      </c>
      <c r="AU47" s="933">
        <f t="shared" si="317"/>
        <v>-105.24970445999998</v>
      </c>
      <c r="AV47" s="933">
        <f t="shared" si="317"/>
        <v>-49.118557420000002</v>
      </c>
      <c r="AW47" s="933">
        <f t="shared" si="317"/>
        <v>-143.41433546000002</v>
      </c>
      <c r="AX47" s="933">
        <f t="shared" si="317"/>
        <v>-76.282654689999987</v>
      </c>
      <c r="AY47" s="933">
        <f t="shared" si="317"/>
        <v>-123.05137019999998</v>
      </c>
      <c r="AZ47" s="933">
        <f t="shared" si="317"/>
        <v>-1095.6273051400001</v>
      </c>
      <c r="BA47" s="933">
        <f t="shared" si="317"/>
        <v>-12.904779309999999</v>
      </c>
      <c r="BB47" s="933">
        <f t="shared" si="317"/>
        <v>-19.992566009999997</v>
      </c>
      <c r="BC47" s="933">
        <f t="shared" si="317"/>
        <v>-36.084461820000001</v>
      </c>
      <c r="BD47" s="933">
        <f t="shared" si="317"/>
        <v>-29.163730739999998</v>
      </c>
      <c r="BE47" s="933">
        <f t="shared" si="317"/>
        <v>-152.46496317</v>
      </c>
      <c r="BF47" s="933">
        <f t="shared" si="317"/>
        <v>-19.303510340000003</v>
      </c>
      <c r="BG47" s="933">
        <f t="shared" si="317"/>
        <v>-14.414861419999999</v>
      </c>
      <c r="BH47" s="933">
        <f t="shared" si="317"/>
        <v>-12.351909390000001</v>
      </c>
      <c r="BI47" s="933">
        <f t="shared" si="317"/>
        <v>-14.510718209999999</v>
      </c>
      <c r="BJ47" s="933">
        <f t="shared" si="317"/>
        <v>-8.8955246499999987</v>
      </c>
      <c r="BK47" s="933">
        <f t="shared" si="317"/>
        <v>-13.939133680000001</v>
      </c>
      <c r="BL47" s="933">
        <f>SUM(BL48:BL58)</f>
        <v>-197.82569422</v>
      </c>
      <c r="BM47" s="146">
        <f t="shared" ref="BM47:DX47" si="318">SUM(BM48:BM58)</f>
        <v>-16.388976840000002</v>
      </c>
      <c r="BN47" s="933">
        <f t="shared" si="318"/>
        <v>-22.150805019999996</v>
      </c>
      <c r="BO47" s="933">
        <f t="shared" si="318"/>
        <v>-20.288687030000002</v>
      </c>
      <c r="BP47" s="933">
        <f t="shared" si="318"/>
        <v>-32.862223099999994</v>
      </c>
      <c r="BQ47" s="933">
        <f t="shared" si="318"/>
        <v>-67.665156229999994</v>
      </c>
      <c r="BR47" s="933">
        <f t="shared" si="318"/>
        <v>-17.536523410000001</v>
      </c>
      <c r="BS47" s="933">
        <f t="shared" si="318"/>
        <v>-10.022145869999999</v>
      </c>
      <c r="BT47" s="933">
        <f t="shared" si="318"/>
        <v>-16.903448999999998</v>
      </c>
      <c r="BU47" s="933">
        <f t="shared" si="318"/>
        <v>-13.954880000000001</v>
      </c>
      <c r="BV47" s="933">
        <f t="shared" si="318"/>
        <v>-14.92742</v>
      </c>
      <c r="BW47" s="933">
        <f t="shared" si="318"/>
        <v>-13.551516730000001</v>
      </c>
      <c r="BX47" s="933">
        <f t="shared" si="318"/>
        <v>-70.759768999999991</v>
      </c>
      <c r="BY47" s="933">
        <f t="shared" si="318"/>
        <v>-14.940092700000001</v>
      </c>
      <c r="BZ47" s="933">
        <f t="shared" si="318"/>
        <v>-11.426294200000001</v>
      </c>
      <c r="CA47" s="933">
        <f t="shared" si="318"/>
        <v>-14.82858753</v>
      </c>
      <c r="CB47" s="933">
        <f t="shared" si="318"/>
        <v>-10.282143999999999</v>
      </c>
      <c r="CC47" s="933">
        <f t="shared" si="318"/>
        <v>-15.957985520000001</v>
      </c>
      <c r="CD47" s="933">
        <f t="shared" si="318"/>
        <v>-17.617096</v>
      </c>
      <c r="CE47" s="933">
        <f t="shared" si="318"/>
        <v>-15.349958000000001</v>
      </c>
      <c r="CF47" s="933">
        <f t="shared" si="318"/>
        <v>-15.458492400000001</v>
      </c>
      <c r="CG47" s="933">
        <f t="shared" si="318"/>
        <v>-19.67567128</v>
      </c>
      <c r="CH47" s="933">
        <f t="shared" si="318"/>
        <v>-23.26170303</v>
      </c>
      <c r="CI47" s="933">
        <f t="shared" si="318"/>
        <v>-9.0798254000000007</v>
      </c>
      <c r="CJ47" s="933">
        <f t="shared" si="318"/>
        <v>-82.082681799999989</v>
      </c>
      <c r="CK47" s="933">
        <f t="shared" si="318"/>
        <v>-8.4877762699999995</v>
      </c>
      <c r="CL47" s="933">
        <f t="shared" si="318"/>
        <v>-15.114824999999998</v>
      </c>
      <c r="CM47" s="933">
        <f t="shared" si="318"/>
        <v>-19.225256000000002</v>
      </c>
      <c r="CN47" s="933">
        <f t="shared" si="318"/>
        <v>-14.956747999999999</v>
      </c>
      <c r="CO47" s="933">
        <f t="shared" si="318"/>
        <v>-21.722445999999998</v>
      </c>
      <c r="CP47" s="933">
        <f t="shared" si="318"/>
        <v>-7.9295308699999998</v>
      </c>
      <c r="CQ47" s="933">
        <f t="shared" si="318"/>
        <v>-18.742361199999998</v>
      </c>
      <c r="CR47" s="933">
        <f t="shared" si="318"/>
        <v>-14.605231</v>
      </c>
      <c r="CS47" s="933">
        <f t="shared" si="318"/>
        <v>-20.899197739999998</v>
      </c>
      <c r="CT47" s="933">
        <f t="shared" si="318"/>
        <v>-24.13476387</v>
      </c>
      <c r="CU47" s="933">
        <f t="shared" si="318"/>
        <v>-23.763676</v>
      </c>
      <c r="CV47" s="933">
        <f t="shared" si="318"/>
        <v>-95.924435640000013</v>
      </c>
      <c r="CW47" s="933">
        <f t="shared" si="318"/>
        <v>-13.26357232</v>
      </c>
      <c r="CX47" s="933">
        <f t="shared" si="318"/>
        <v>-50.080570979999997</v>
      </c>
      <c r="CY47" s="933">
        <f t="shared" si="318"/>
        <v>-14.193113649999997</v>
      </c>
      <c r="CZ47" s="933">
        <f t="shared" si="318"/>
        <v>-10.858235630000001</v>
      </c>
      <c r="DA47" s="933">
        <f t="shared" si="318"/>
        <v>-6.2348520000000001</v>
      </c>
      <c r="DB47" s="933">
        <f t="shared" si="318"/>
        <v>-11.026005300000001</v>
      </c>
      <c r="DC47" s="933">
        <f t="shared" si="318"/>
        <v>-4.7835169999999998</v>
      </c>
      <c r="DD47" s="933">
        <f t="shared" si="318"/>
        <v>-4.3695810000000002</v>
      </c>
      <c r="DE47" s="933">
        <f t="shared" si="318"/>
        <v>20.812101999999999</v>
      </c>
      <c r="DF47" s="933">
        <f t="shared" si="318"/>
        <v>55.059172000000004</v>
      </c>
      <c r="DG47" s="933">
        <f t="shared" si="318"/>
        <v>-10.200695399999997</v>
      </c>
      <c r="DH47" s="933">
        <f t="shared" si="318"/>
        <v>-12.272546</v>
      </c>
      <c r="DI47" s="933">
        <f t="shared" si="318"/>
        <v>-3.2791740000000003</v>
      </c>
      <c r="DJ47" s="933">
        <f t="shared" si="318"/>
        <v>-26.664239000000002</v>
      </c>
      <c r="DK47" s="933">
        <f t="shared" si="318"/>
        <v>-9.9554934399999997</v>
      </c>
      <c r="DL47" s="933">
        <f t="shared" si="318"/>
        <v>-11.458719</v>
      </c>
      <c r="DM47" s="933">
        <f t="shared" si="318"/>
        <v>-6.0815356299999994</v>
      </c>
      <c r="DN47" s="933">
        <f t="shared" si="318"/>
        <v>-9.4506300000000003</v>
      </c>
      <c r="DO47" s="933">
        <f t="shared" si="318"/>
        <v>-8.470656</v>
      </c>
      <c r="DP47" s="933">
        <f t="shared" si="318"/>
        <v>-14.4012046</v>
      </c>
      <c r="DQ47" s="1230">
        <f t="shared" si="318"/>
        <v>-11.496835039999999</v>
      </c>
      <c r="DR47" s="1230">
        <f t="shared" si="318"/>
        <v>-8.3007300399999995</v>
      </c>
      <c r="DS47" s="1230">
        <f t="shared" si="318"/>
        <v>-7.6574090000000004</v>
      </c>
      <c r="DT47" s="1230">
        <f t="shared" si="318"/>
        <v>-18.977582000000002</v>
      </c>
      <c r="DU47" s="1230">
        <f t="shared" si="318"/>
        <v>-7.1748728600000007</v>
      </c>
      <c r="DV47" s="1230">
        <f t="shared" si="318"/>
        <v>-7.4542355799999998</v>
      </c>
      <c r="DW47" s="1230">
        <f t="shared" si="318"/>
        <v>-40.138159000000002</v>
      </c>
      <c r="DX47" s="1230">
        <f t="shared" si="318"/>
        <v>-7.0105070000000005</v>
      </c>
      <c r="DY47" s="1230">
        <f t="shared" ref="DY47:EF47" si="319">SUM(DY48:DY58)</f>
        <v>-8.690926000000001</v>
      </c>
      <c r="DZ47" s="1230">
        <f t="shared" si="319"/>
        <v>-14.84869</v>
      </c>
      <c r="EA47" s="1230">
        <f t="shared" si="319"/>
        <v>-9.3118750000000006</v>
      </c>
      <c r="EB47" s="1230">
        <f t="shared" si="319"/>
        <v>-6.58951332</v>
      </c>
      <c r="EC47" s="1230">
        <f t="shared" si="319"/>
        <v>-31.435199500000003</v>
      </c>
      <c r="ED47" s="1230">
        <f t="shared" si="319"/>
        <v>-7.1142546999999992</v>
      </c>
      <c r="EE47" s="1230">
        <f t="shared" si="319"/>
        <v>-13.963091570000001</v>
      </c>
      <c r="EF47" s="1230">
        <f t="shared" si="319"/>
        <v>-34.451814539999994</v>
      </c>
      <c r="EH47" s="933">
        <f t="shared" ref="EH47:ES47" si="320">+SUM(EH48:EH58)</f>
        <v>-13.26357232</v>
      </c>
      <c r="EI47" s="933">
        <f t="shared" si="320"/>
        <v>-50.080570979999997</v>
      </c>
      <c r="EJ47" s="933">
        <f t="shared" si="320"/>
        <v>-14.193113649999997</v>
      </c>
      <c r="EK47" s="933">
        <f t="shared" si="320"/>
        <v>-10.858235630000001</v>
      </c>
      <c r="EL47" s="933">
        <f t="shared" si="320"/>
        <v>-6.2348520000000001</v>
      </c>
      <c r="EM47" s="933">
        <f t="shared" si="320"/>
        <v>-11.026005300000001</v>
      </c>
      <c r="EN47" s="933">
        <f t="shared" si="320"/>
        <v>-13.001258</v>
      </c>
      <c r="EO47" s="933">
        <f t="shared" si="320"/>
        <v>-8.8273329999999994</v>
      </c>
      <c r="EP47" s="933">
        <f t="shared" si="320"/>
        <v>-8.5468349999999997</v>
      </c>
      <c r="EQ47" s="933">
        <f t="shared" si="320"/>
        <v>-8.8533619999999988</v>
      </c>
      <c r="ER47" s="933">
        <f t="shared" si="320"/>
        <v>-8.8768349999999998</v>
      </c>
      <c r="ES47" s="933">
        <f t="shared" si="320"/>
        <v>-10.143439000000001</v>
      </c>
      <c r="EU47" s="931">
        <v>-48.238945176729992</v>
      </c>
      <c r="EV47" s="931">
        <v>-84.99957937168999</v>
      </c>
      <c r="EW47" s="931">
        <v>-78.93256228327698</v>
      </c>
      <c r="EX47" s="931">
        <v>-63.686486745808239</v>
      </c>
      <c r="EY47" s="931">
        <v>-47.07452285547491</v>
      </c>
      <c r="EZ47" s="931">
        <v>-50.628978512474916</v>
      </c>
      <c r="FA47" s="931">
        <v>-51.732632655474916</v>
      </c>
      <c r="FB47" s="931">
        <v>-58.004785845808243</v>
      </c>
      <c r="FC47" s="931">
        <v>-63.390948041064917</v>
      </c>
      <c r="FD47" s="931">
        <v>-56.050165865064912</v>
      </c>
      <c r="FE47" s="931">
        <v>-52.479057208064916</v>
      </c>
      <c r="FF47" s="931">
        <v>-100.29210827607353</v>
      </c>
      <c r="FG47" s="931">
        <f t="shared" ref="FG47:HB47" si="321">SUM(FG48:FG58)</f>
        <v>-23.302705723694569</v>
      </c>
      <c r="FH47" s="931">
        <f t="shared" si="321"/>
        <v>-27.634135447731015</v>
      </c>
      <c r="FI47" s="931">
        <f t="shared" si="321"/>
        <v>-46.126194928661924</v>
      </c>
      <c r="FJ47" s="931">
        <f t="shared" si="321"/>
        <v>-153.11526866962066</v>
      </c>
      <c r="FK47" s="931">
        <f t="shared" si="321"/>
        <v>-27.499177503226143</v>
      </c>
      <c r="FL47" s="931">
        <f t="shared" si="321"/>
        <v>-26.617619742139652</v>
      </c>
      <c r="FM47" s="931">
        <f t="shared" si="321"/>
        <v>-28.612207363052335</v>
      </c>
      <c r="FN47" s="931">
        <f t="shared" si="321"/>
        <v>-25.286900990725421</v>
      </c>
      <c r="FO47" s="931">
        <f t="shared" si="321"/>
        <v>-25.745097775482414</v>
      </c>
      <c r="FP47" s="931">
        <f t="shared" si="321"/>
        <v>-24.536483346779711</v>
      </c>
      <c r="FQ47" s="931">
        <f t="shared" si="321"/>
        <v>-23.972197242603475</v>
      </c>
      <c r="FR47" s="931">
        <f t="shared" si="321"/>
        <v>-25.642145850603605</v>
      </c>
      <c r="FS47" s="931">
        <f t="shared" si="321"/>
        <v>-30.600025000000002</v>
      </c>
      <c r="FT47" s="931">
        <f t="shared" si="321"/>
        <v>-26.992025090000002</v>
      </c>
      <c r="FU47" s="931">
        <f t="shared" si="321"/>
        <v>-34.203144999999999</v>
      </c>
      <c r="FV47" s="931">
        <f t="shared" si="321"/>
        <v>-27.683425090000004</v>
      </c>
      <c r="FW47" s="931">
        <f t="shared" si="321"/>
        <v>-29.857493090000002</v>
      </c>
      <c r="FX47" s="931">
        <f t="shared" si="321"/>
        <v>-39.430612089999997</v>
      </c>
      <c r="FY47" s="931">
        <f t="shared" si="321"/>
        <v>-28.30096009</v>
      </c>
      <c r="FZ47" s="931">
        <f t="shared" si="321"/>
        <v>-29.441023090000002</v>
      </c>
      <c r="GA47" s="931">
        <f t="shared" si="321"/>
        <v>-29.708080000000002</v>
      </c>
      <c r="GB47" s="931">
        <f t="shared" si="321"/>
        <v>-26.16096009</v>
      </c>
      <c r="GC47" s="931">
        <f t="shared" si="321"/>
        <v>-29.85349209</v>
      </c>
      <c r="GD47" s="931">
        <f t="shared" si="321"/>
        <v>-28.836012</v>
      </c>
      <c r="GE47" s="931">
        <f t="shared" si="321"/>
        <v>-11.628000000000002</v>
      </c>
      <c r="GF47" s="931">
        <f t="shared" si="321"/>
        <v>-19.962999999999997</v>
      </c>
      <c r="GG47" s="931">
        <f t="shared" si="321"/>
        <v>-16.326000000000001</v>
      </c>
      <c r="GH47" s="931">
        <f t="shared" si="321"/>
        <v>-11.468000000000002</v>
      </c>
      <c r="GI47" s="931">
        <f t="shared" si="321"/>
        <v>-11.619</v>
      </c>
      <c r="GJ47" s="931">
        <f t="shared" si="321"/>
        <v>-17.725999999999999</v>
      </c>
      <c r="GK47" s="931">
        <f t="shared" si="321"/>
        <v>-16.677999999999997</v>
      </c>
      <c r="GL47" s="931">
        <f t="shared" si="321"/>
        <v>-11.163000000000002</v>
      </c>
      <c r="GM47" s="931">
        <f t="shared" si="321"/>
        <v>-12.872999999999999</v>
      </c>
      <c r="GN47" s="931">
        <f t="shared" si="321"/>
        <v>-14.621</v>
      </c>
      <c r="GO47" s="931">
        <f t="shared" si="321"/>
        <v>-10.413000000000002</v>
      </c>
      <c r="GP47" s="931">
        <f t="shared" si="321"/>
        <v>-11.512999999999998</v>
      </c>
      <c r="GQ47" s="931">
        <f t="shared" si="321"/>
        <v>-11.628000000000002</v>
      </c>
      <c r="GR47" s="931">
        <f t="shared" si="321"/>
        <v>-19.962999999999997</v>
      </c>
      <c r="GS47" s="931">
        <f t="shared" si="321"/>
        <v>-16.326000000000001</v>
      </c>
      <c r="GT47" s="931">
        <f t="shared" si="321"/>
        <v>-11.468000000000002</v>
      </c>
      <c r="GU47" s="931">
        <f t="shared" si="321"/>
        <v>-11.619</v>
      </c>
      <c r="GV47" s="931">
        <f t="shared" si="321"/>
        <v>-17.725999999999999</v>
      </c>
      <c r="GW47" s="931">
        <f t="shared" si="321"/>
        <v>-16.677999999999997</v>
      </c>
      <c r="GX47" s="931">
        <f t="shared" si="321"/>
        <v>-11.163000000000002</v>
      </c>
      <c r="GY47" s="931">
        <f t="shared" si="321"/>
        <v>-12.872999999999999</v>
      </c>
      <c r="GZ47" s="931">
        <f t="shared" si="321"/>
        <v>-14.621</v>
      </c>
      <c r="HA47" s="931">
        <f t="shared" si="321"/>
        <v>-10.413000000000002</v>
      </c>
      <c r="HB47" s="931">
        <f t="shared" si="321"/>
        <v>-11.512999999999998</v>
      </c>
      <c r="HD47" s="931">
        <f t="shared" si="226"/>
        <v>-323.87483837000002</v>
      </c>
      <c r="HE47" s="931">
        <f t="shared" si="226"/>
        <v>-487.90581374000004</v>
      </c>
      <c r="HF47" s="931">
        <f t="shared" si="226"/>
        <v>-602.5105602399999</v>
      </c>
      <c r="HG47" s="931">
        <f t="shared" si="226"/>
        <v>-2175.4061354400001</v>
      </c>
      <c r="HH47" s="931">
        <f t="shared" si="227"/>
        <v>-531.85185296000009</v>
      </c>
      <c r="HI47" s="931">
        <f t="shared" si="228"/>
        <v>-317.01155223000001</v>
      </c>
      <c r="HJ47" s="931">
        <f t="shared" si="229"/>
        <v>-249.96053186</v>
      </c>
      <c r="HK47" s="931">
        <f t="shared" si="230"/>
        <v>-285.50624759000004</v>
      </c>
      <c r="HL47" s="941">
        <f>+SUMIF($E$6:SEW$6,HL$7,$E47:SEW47)</f>
        <v>-61.411415279999993</v>
      </c>
      <c r="HM47" s="941">
        <f>+SUMIF($E$6:SEX$6,HM$7,$E47:SEX47)</f>
        <v>-136.19420775</v>
      </c>
      <c r="HN47" s="941">
        <f>+SUMIF($E$6:SEY$6,HN$7,$E47:SEY47)</f>
        <v>-188.18313906999998</v>
      </c>
      <c r="HO47" s="931"/>
      <c r="HP47" s="931"/>
      <c r="HR47" s="934">
        <f t="shared" si="231"/>
        <v>0.23489112708353899</v>
      </c>
      <c r="HS47" s="934">
        <f t="shared" si="232"/>
        <v>2.6105693061603166</v>
      </c>
      <c r="HT47" s="934">
        <f t="shared" si="233"/>
        <v>-0.75551606465777155</v>
      </c>
      <c r="HU47" s="934">
        <f t="shared" si="234"/>
        <v>-0.40394763980667747</v>
      </c>
      <c r="HV47" s="934">
        <f t="shared" si="235"/>
        <v>-0.21150970650228151</v>
      </c>
      <c r="HW47" s="934">
        <f t="shared" si="236"/>
        <v>0.14220531323684638</v>
      </c>
      <c r="HX47" s="934">
        <f t="shared" si="237"/>
        <v>-0.78490342751381892</v>
      </c>
      <c r="HY47" s="934">
        <f t="shared" si="237"/>
        <v>1.2177343923606774</v>
      </c>
      <c r="HZ47" s="934">
        <f t="shared" si="237"/>
        <v>0.38172644915583764</v>
      </c>
      <c r="IA47" s="934">
        <f t="shared" si="305"/>
        <v>-1</v>
      </c>
      <c r="IB47" s="934" t="str">
        <f t="shared" si="238"/>
        <v/>
      </c>
      <c r="IC47" s="934">
        <f t="shared" si="306"/>
        <v>-1</v>
      </c>
      <c r="IE47" s="931">
        <f t="shared" si="239"/>
        <v>-114.60474649999986</v>
      </c>
      <c r="IF47" s="931">
        <f t="shared" si="240"/>
        <v>-1572.8955752000002</v>
      </c>
      <c r="IG47" s="931">
        <f t="shared" si="241"/>
        <v>1643.55428248</v>
      </c>
      <c r="IH47" s="931">
        <f t="shared" si="242"/>
        <v>214.84030073000008</v>
      </c>
      <c r="II47" s="931">
        <f t="shared" si="100"/>
        <v>67.051020370000003</v>
      </c>
      <c r="IJ47" s="931">
        <f t="shared" si="101"/>
        <v>-35.54571573000004</v>
      </c>
      <c r="IK47" s="931">
        <f t="shared" si="102"/>
        <v>224.09483231000004</v>
      </c>
      <c r="IL47" s="931">
        <f t="shared" si="307"/>
        <v>61.411415279999993</v>
      </c>
      <c r="IM47" s="931">
        <f t="shared" si="243"/>
        <v>0</v>
      </c>
      <c r="IN47" s="931">
        <f t="shared" si="308"/>
        <v>61.411415279999993</v>
      </c>
      <c r="IP47" s="230">
        <f t="shared" si="244"/>
        <v>-1.32744414311258E-2</v>
      </c>
      <c r="IQ47" s="230">
        <f t="shared" si="245"/>
        <v>-1.5298754409506229E-2</v>
      </c>
      <c r="IR47" s="230">
        <f t="shared" si="246"/>
        <v>-0.12908290005907391</v>
      </c>
      <c r="IS47" s="230">
        <f t="shared" si="247"/>
        <v>-8.6451485070897491E-2</v>
      </c>
      <c r="IT47" s="230">
        <f t="shared" si="248"/>
        <v>-2.3260390074261662E-2</v>
      </c>
      <c r="IU47" s="230">
        <f t="shared" si="249"/>
        <v>-1.7664388820227889E-2</v>
      </c>
      <c r="IV47" s="230">
        <f t="shared" si="250"/>
        <v>-1.3448656444493792E-2</v>
      </c>
      <c r="IW47" s="230">
        <f t="shared" si="251"/>
        <v>-4.8662412080917863E-3</v>
      </c>
      <c r="IX47" s="230" t="e">
        <f t="shared" si="252"/>
        <v>#DIV/0!</v>
      </c>
      <c r="IY47" s="230" t="e">
        <f t="shared" si="253"/>
        <v>#DIV/0!</v>
      </c>
      <c r="JA47" s="931">
        <f t="shared" si="254"/>
        <v>-323.87483837000002</v>
      </c>
      <c r="JB47" s="931">
        <f t="shared" si="254"/>
        <v>-487.90581374000004</v>
      </c>
      <c r="JC47" s="931">
        <f t="shared" si="254"/>
        <v>-602.5105602399999</v>
      </c>
      <c r="JD47" s="931">
        <f t="shared" si="254"/>
        <v>-2175.4061354400001</v>
      </c>
      <c r="JE47" s="931">
        <f t="shared" si="254"/>
        <v>-531.85185296000009</v>
      </c>
      <c r="JF47" s="931">
        <f t="shared" si="254"/>
        <v>-317.01155223000001</v>
      </c>
      <c r="JG47" s="931">
        <f t="shared" si="254"/>
        <v>-249.96053186</v>
      </c>
      <c r="JH47" s="931">
        <f t="shared" si="254"/>
        <v>-285.50624759000004</v>
      </c>
      <c r="JI47" s="931">
        <f t="shared" si="254"/>
        <v>-61.411415279999993</v>
      </c>
      <c r="JJ47" s="931">
        <f t="shared" si="254"/>
        <v>-136.19420775</v>
      </c>
      <c r="JK47" s="931">
        <f t="shared" si="254"/>
        <v>-188.18313906999998</v>
      </c>
      <c r="JL47" s="931">
        <f t="shared" si="255"/>
        <v>-188.18313906999998</v>
      </c>
      <c r="JM47" s="931"/>
      <c r="JN47" s="931"/>
      <c r="JO47" s="922">
        <f>+JJ47/JI47-1</f>
        <v>1.2177343923606774</v>
      </c>
      <c r="JP47" s="931">
        <f t="shared" si="256"/>
        <v>-188.18313906999998</v>
      </c>
      <c r="JQ47" s="931">
        <f t="shared" si="257"/>
        <v>0</v>
      </c>
      <c r="JR47" s="145"/>
      <c r="JS47" s="934" t="str">
        <f t="shared" si="258"/>
        <v/>
      </c>
      <c r="JT47" s="935">
        <f t="shared" si="259"/>
        <v>-188.18313906999998</v>
      </c>
      <c r="JV47" s="230">
        <f t="shared" si="260"/>
        <v>-6.2329686947966891E-3</v>
      </c>
      <c r="JW47" s="934" t="str">
        <f t="shared" si="261"/>
        <v/>
      </c>
      <c r="JY47" s="934">
        <f t="shared" si="309"/>
        <v>0.23489112708353899</v>
      </c>
      <c r="JZ47" s="934">
        <f t="shared" si="310"/>
        <v>2.6105693061603166</v>
      </c>
      <c r="KA47" s="934">
        <f t="shared" si="311"/>
        <v>-0.75551606465777155</v>
      </c>
      <c r="KB47" s="934">
        <f t="shared" si="312"/>
        <v>-0.40394763980667747</v>
      </c>
      <c r="KC47" s="934">
        <f t="shared" si="313"/>
        <v>-0.21150970650228151</v>
      </c>
      <c r="KD47" s="934">
        <f t="shared" si="314"/>
        <v>0.14220531323684638</v>
      </c>
      <c r="KE47" s="934">
        <f t="shared" si="315"/>
        <v>-0.78490342751381892</v>
      </c>
      <c r="KF47" s="934">
        <f t="shared" si="316"/>
        <v>-1</v>
      </c>
      <c r="KH47" s="931">
        <f t="shared" si="263"/>
        <v>-114.60474649999986</v>
      </c>
      <c r="KI47" s="931">
        <f t="shared" si="264"/>
        <v>-1572.8955752000002</v>
      </c>
      <c r="KJ47" s="931">
        <f t="shared" si="265"/>
        <v>1643.55428248</v>
      </c>
      <c r="KK47" s="931">
        <f t="shared" si="266"/>
        <v>214.84030073000008</v>
      </c>
      <c r="KL47" s="931">
        <f t="shared" si="267"/>
        <v>67.051020370000003</v>
      </c>
      <c r="KM47" s="931">
        <f t="shared" si="268"/>
        <v>-35.54571573000004</v>
      </c>
      <c r="KN47" s="931">
        <f t="shared" si="269"/>
        <v>224.09483231000004</v>
      </c>
      <c r="KO47" s="931">
        <f t="shared" si="270"/>
        <v>61.411415279999993</v>
      </c>
      <c r="KQ47" s="230">
        <f t="shared" si="271"/>
        <v>-8.9267539862226564E-3</v>
      </c>
      <c r="KR47" s="230">
        <f t="shared" si="272"/>
        <v>-1.32744414311258E-2</v>
      </c>
      <c r="KS47" s="230">
        <f t="shared" si="273"/>
        <v>-1.5298754409506229E-2</v>
      </c>
      <c r="KT47" s="230">
        <f t="shared" si="274"/>
        <v>-0.12908290005907391</v>
      </c>
      <c r="KU47" s="230">
        <f t="shared" si="275"/>
        <v>-8.6451485070897491E-2</v>
      </c>
      <c r="KV47" s="230">
        <f t="shared" si="276"/>
        <v>-2.3260390074261662E-2</v>
      </c>
      <c r="KW47" s="230">
        <f t="shared" si="277"/>
        <v>-1.7664388820227889E-2</v>
      </c>
      <c r="KX47" s="230">
        <f t="shared" si="278"/>
        <v>-1.3448656444493792E-2</v>
      </c>
      <c r="KY47" s="230">
        <f t="shared" si="279"/>
        <v>-4.8662412080917863E-3</v>
      </c>
      <c r="KZ47" s="230" t="e">
        <f t="shared" si="280"/>
        <v>#DIV/0!</v>
      </c>
      <c r="LB47" s="931">
        <f t="shared" si="281"/>
        <v>-86.836072699999988</v>
      </c>
      <c r="LC47" s="931">
        <f t="shared" si="281"/>
        <v>-94.401975660000062</v>
      </c>
      <c r="LD47" s="931">
        <f t="shared" si="281"/>
        <v>-142.91979699999999</v>
      </c>
      <c r="LE47" s="931">
        <f t="shared" si="281"/>
        <v>-1095.6273051400001</v>
      </c>
      <c r="LF47" s="931">
        <f t="shared" si="281"/>
        <v>-197.82569422</v>
      </c>
      <c r="LG47" s="931">
        <f t="shared" si="281"/>
        <v>-70.759768999999991</v>
      </c>
      <c r="LH47" s="931">
        <f t="shared" si="281"/>
        <v>-82.082681799999989</v>
      </c>
      <c r="LI47" s="931">
        <f t="shared" si="281"/>
        <v>-95.924435640000013</v>
      </c>
      <c r="LJ47" s="931">
        <f t="shared" si="281"/>
        <v>-12.272546</v>
      </c>
      <c r="LK47" s="931">
        <f t="shared" si="281"/>
        <v>-18.977582000000002</v>
      </c>
      <c r="LL47" s="931">
        <f t="shared" si="281"/>
        <v>-34.451814539999994</v>
      </c>
      <c r="LM47" s="931">
        <f t="shared" si="281"/>
        <v>-34.451814539999994</v>
      </c>
      <c r="LN47" s="931"/>
      <c r="LO47" s="931"/>
      <c r="LR47" s="230">
        <f t="shared" si="282"/>
        <v>0.51394921558360851</v>
      </c>
      <c r="LS47" s="230">
        <f t="shared" si="283"/>
        <v>6.6660289766574481</v>
      </c>
      <c r="LT47" s="230">
        <f t="shared" si="284"/>
        <v>-0.81944070461558849</v>
      </c>
      <c r="LU47" s="230">
        <f t="shared" si="285"/>
        <v>-0.6423125455012495</v>
      </c>
      <c r="LV47" s="230">
        <f t="shared" si="286"/>
        <v>0.16001907524599179</v>
      </c>
      <c r="LW47" s="230">
        <f t="shared" si="287"/>
        <v>0.16863184214334503</v>
      </c>
      <c r="LX47" s="230">
        <f t="shared" si="288"/>
        <v>-1</v>
      </c>
      <c r="LZ47" s="931">
        <f t="shared" si="289"/>
        <v>-48.517821339999927</v>
      </c>
      <c r="MA47" s="931">
        <f t="shared" si="290"/>
        <v>-952.70750814000007</v>
      </c>
      <c r="MB47" s="931">
        <f t="shared" si="291"/>
        <v>897.80161092000003</v>
      </c>
      <c r="MC47" s="931">
        <f t="shared" si="292"/>
        <v>127.06592522000001</v>
      </c>
      <c r="MD47" s="931">
        <f t="shared" si="293"/>
        <v>-11.322912799999997</v>
      </c>
      <c r="ME47" s="931">
        <f t="shared" si="294"/>
        <v>-13.841753840000024</v>
      </c>
      <c r="MF47" s="931">
        <f t="shared" si="295"/>
        <v>95.924435640000013</v>
      </c>
      <c r="MH47" s="230">
        <f t="shared" si="296"/>
        <v>-2.8951685973357833E-2</v>
      </c>
      <c r="MI47" s="230">
        <f t="shared" si="297"/>
        <v>-1.7121459637590524E-2</v>
      </c>
      <c r="MJ47" s="230">
        <f t="shared" si="298"/>
        <v>-2.7880546994565998E-2</v>
      </c>
      <c r="MK47" s="230">
        <f t="shared" si="299"/>
        <v>-1.8848796174519116</v>
      </c>
      <c r="ML47" s="230">
        <f t="shared" si="300"/>
        <v>-0.13131831000008387</v>
      </c>
      <c r="MM47" s="230">
        <f t="shared" si="301"/>
        <v>-6.8786724704721594E-2</v>
      </c>
      <c r="MN47" s="230">
        <f t="shared" si="302"/>
        <v>-5.2785860973929344E-2</v>
      </c>
      <c r="MO47" s="230">
        <f t="shared" si="303"/>
        <v>-5.096952690626861E-2</v>
      </c>
      <c r="MP47" s="230" t="e">
        <f t="shared" si="304"/>
        <v>#DIV/0!</v>
      </c>
    </row>
    <row r="48" spans="1:354" outlineLevel="2">
      <c r="A48" s="884">
        <v>5195</v>
      </c>
      <c r="B48" s="70" t="s">
        <v>638</v>
      </c>
      <c r="C48" s="29" t="s">
        <v>83</v>
      </c>
      <c r="D48" s="31" t="s">
        <v>59</v>
      </c>
      <c r="E48" s="924">
        <v>-3.0898180000000002</v>
      </c>
      <c r="F48" s="924">
        <v>-4.4450259999999995</v>
      </c>
      <c r="G48" s="924">
        <v>-6.547893199999999</v>
      </c>
      <c r="H48" s="924">
        <v>-6.7272206800000003</v>
      </c>
      <c r="I48" s="924">
        <v>-3.5713839999999983</v>
      </c>
      <c r="J48" s="924">
        <v>-6.7951680000000003</v>
      </c>
      <c r="K48" s="924">
        <v>-4.0138137200000017</v>
      </c>
      <c r="L48" s="924">
        <v>-4.1230159999999998</v>
      </c>
      <c r="M48" s="924">
        <v>-8.0245160000000055</v>
      </c>
      <c r="N48" s="924">
        <v>-3.8172752799999969</v>
      </c>
      <c r="O48" s="924">
        <v>-16.916734359999992</v>
      </c>
      <c r="P48" s="924">
        <v>-21.199920140000003</v>
      </c>
      <c r="Q48" s="924">
        <v>-7.47279728</v>
      </c>
      <c r="R48" s="924">
        <v>-4.9082789299999998</v>
      </c>
      <c r="S48" s="924">
        <v>-6.253851319999999</v>
      </c>
      <c r="T48" s="924">
        <v>-11.279135250000003</v>
      </c>
      <c r="U48" s="924">
        <v>-6.6179310799999911</v>
      </c>
      <c r="V48" s="924">
        <v>-3.8957339399999995</v>
      </c>
      <c r="W48" s="924">
        <v>-11.763511420000007</v>
      </c>
      <c r="X48" s="924">
        <v>-2.9455242400000046</v>
      </c>
      <c r="Y48" s="924">
        <v>-27.213777619999995</v>
      </c>
      <c r="Z48" s="924">
        <v>-3.4857940800000051</v>
      </c>
      <c r="AA48" s="924">
        <v>-10.538299969999997</v>
      </c>
      <c r="AB48" s="924">
        <v>-9.9700462600000179</v>
      </c>
      <c r="AC48" s="924">
        <v>-5.7793586499999998</v>
      </c>
      <c r="AD48" s="924">
        <v>-11.47739462</v>
      </c>
      <c r="AE48" s="924">
        <v>-16.854943290000001</v>
      </c>
      <c r="AF48" s="924">
        <v>-17.76489445</v>
      </c>
      <c r="AG48" s="924">
        <v>-28.290242640000002</v>
      </c>
      <c r="AH48" s="924">
        <v>-31.923409250000002</v>
      </c>
      <c r="AI48" s="924">
        <v>-15.970226619999998</v>
      </c>
      <c r="AJ48" s="924">
        <v>-16.525419749999998</v>
      </c>
      <c r="AK48" s="924">
        <v>-18.819460409999998</v>
      </c>
      <c r="AL48" s="924">
        <v>-31.173611439999998</v>
      </c>
      <c r="AM48" s="924">
        <v>-30.997834769999997</v>
      </c>
      <c r="AN48" s="102">
        <v>-104.13596443</v>
      </c>
      <c r="AO48" s="924">
        <v>13.426269</v>
      </c>
      <c r="AP48" s="925">
        <v>-28.790886350000001</v>
      </c>
      <c r="AQ48" s="143">
        <v>-36.114923680000004</v>
      </c>
      <c r="AR48" s="220">
        <v>-43.008098149999995</v>
      </c>
      <c r="AS48" s="924">
        <v>-27.461565210000003</v>
      </c>
      <c r="AT48" s="924">
        <v>-35.296593979999997</v>
      </c>
      <c r="AU48" s="924">
        <v>-25.39923958</v>
      </c>
      <c r="AV48" s="924">
        <v>-15.380685510000003</v>
      </c>
      <c r="AW48" s="924">
        <v>-20.189338600000003</v>
      </c>
      <c r="AX48" s="924">
        <v>-18.504386719999999</v>
      </c>
      <c r="AY48" s="924">
        <v>-89.790509049999997</v>
      </c>
      <c r="AZ48" s="924">
        <f>-5.13620653+0.000164359999928365</f>
        <v>-5.1360421700000716</v>
      </c>
      <c r="BA48" s="102">
        <v>-5.73793592</v>
      </c>
      <c r="BB48" s="102">
        <v>-10.54696875</v>
      </c>
      <c r="BC48" s="102">
        <v>-17.134062670000002</v>
      </c>
      <c r="BD48" s="102">
        <v>-19.070178239999997</v>
      </c>
      <c r="BE48" s="924">
        <v>-21.961042169999999</v>
      </c>
      <c r="BF48" s="924">
        <v>-4.2771047400000022</v>
      </c>
      <c r="BG48" s="924">
        <v>-2.4602913600000003</v>
      </c>
      <c r="BH48" s="924">
        <v>-3.8197726000000003</v>
      </c>
      <c r="BI48" s="924">
        <v>-3.6350179200000001</v>
      </c>
      <c r="BJ48" s="924">
        <v>-4.4868540000000001</v>
      </c>
      <c r="BK48" s="924">
        <v>-6.4998471400000009</v>
      </c>
      <c r="BL48" s="924">
        <v>-6.8351029499999996</v>
      </c>
      <c r="BM48" s="924">
        <v>-8.7635690000000004</v>
      </c>
      <c r="BN48" s="102">
        <v>-17.013440840000001</v>
      </c>
      <c r="BO48" s="102">
        <v>-11.89086876</v>
      </c>
      <c r="BP48" s="102">
        <v>-8.8034289999999995</v>
      </c>
      <c r="BQ48" s="924">
        <v>-7.5199150000000001</v>
      </c>
      <c r="BR48" s="924">
        <v>-8.6159619999999997</v>
      </c>
      <c r="BS48" s="924">
        <v>-4.0664069999999999</v>
      </c>
      <c r="BT48" s="924">
        <v>-11.402094999999999</v>
      </c>
      <c r="BU48" s="924">
        <v>-7.0457340000000013</v>
      </c>
      <c r="BV48" s="924">
        <v>-10.547770999999999</v>
      </c>
      <c r="BW48" s="924">
        <v>-5.845504</v>
      </c>
      <c r="BX48" s="924">
        <v>-22.584341999999999</v>
      </c>
      <c r="BY48" s="924">
        <v>-10.431155</v>
      </c>
      <c r="BZ48" s="924">
        <v>-5.671665</v>
      </c>
      <c r="CA48" s="924">
        <v>-3.609362</v>
      </c>
      <c r="CB48" s="924">
        <v>-8.4596499999999999</v>
      </c>
      <c r="CC48" s="924">
        <v>-7.7386189999999999</v>
      </c>
      <c r="CD48" s="924">
        <v>-6.5563969999999996</v>
      </c>
      <c r="CE48" s="924">
        <v>-6.1248189999999996</v>
      </c>
      <c r="CF48" s="924">
        <v>-8.8624860000000005</v>
      </c>
      <c r="CG48" s="924">
        <v>-14.672027</v>
      </c>
      <c r="CH48" s="924">
        <v>-8.4108490000000007</v>
      </c>
      <c r="CI48" s="924">
        <v>-5.7225539999999997</v>
      </c>
      <c r="CJ48" s="924">
        <v>-14.377734999999999</v>
      </c>
      <c r="CK48" s="924">
        <v>-4.6208600000000004</v>
      </c>
      <c r="CL48" s="924">
        <v>-9.9253049999999998</v>
      </c>
      <c r="CM48" s="924">
        <v>-9.0666390000000003</v>
      </c>
      <c r="CN48" s="924">
        <v>-7.6829510000000001</v>
      </c>
      <c r="CO48" s="924">
        <v>-14.312903</v>
      </c>
      <c r="CP48" s="924">
        <v>-3.0554079999999999</v>
      </c>
      <c r="CQ48" s="924">
        <v>-6.6246239999999998</v>
      </c>
      <c r="CR48" s="924">
        <v>-6.4754180000000003</v>
      </c>
      <c r="CS48" s="924">
        <v>-12.836743</v>
      </c>
      <c r="CT48" s="924">
        <v>-6.3375490000000001</v>
      </c>
      <c r="CU48" s="924">
        <v>-14.920114</v>
      </c>
      <c r="CV48" s="924">
        <v>-23.273606000000001</v>
      </c>
      <c r="CW48" s="924">
        <v>-5.4418540000000002</v>
      </c>
      <c r="CX48" s="924">
        <v>-15.835086</v>
      </c>
      <c r="CY48" s="924">
        <v>-4.3704239999999999</v>
      </c>
      <c r="CZ48" s="924">
        <v>-0.21760399999999999</v>
      </c>
      <c r="DA48" s="924">
        <v>-3.0269599999999999</v>
      </c>
      <c r="DB48" s="924">
        <v>-5.2196300000000004</v>
      </c>
      <c r="DC48" s="924">
        <v>-1.7009860000000001</v>
      </c>
      <c r="DD48" s="924">
        <v>-1.02545</v>
      </c>
      <c r="DE48" s="924">
        <v>-6.7140919999999999</v>
      </c>
      <c r="DF48" s="924">
        <v>-1.0849960000000001</v>
      </c>
      <c r="DG48" s="924">
        <v>-6.3289869999999997</v>
      </c>
      <c r="DH48" s="924">
        <v>-5.0997170000000001</v>
      </c>
      <c r="DI48" s="924">
        <v>-0.74727200000000005</v>
      </c>
      <c r="DJ48" s="924">
        <v>-2.0924839999999998</v>
      </c>
      <c r="DK48" s="924">
        <v>-4.2125079999999997</v>
      </c>
      <c r="DL48" s="924">
        <v>-3.8671540000000002</v>
      </c>
      <c r="DM48" s="924">
        <v>-1.0892056299999999</v>
      </c>
      <c r="DN48" s="924">
        <v>-1.9461010000000001</v>
      </c>
      <c r="DO48" s="924">
        <v>-3.193756</v>
      </c>
      <c r="DP48" s="924">
        <v>-6.7351169999999998</v>
      </c>
      <c r="DQ48" s="960">
        <v>-3.5080230000000001</v>
      </c>
      <c r="DR48" s="960">
        <v>-3.144342</v>
      </c>
      <c r="DS48" s="960">
        <v>-3.9197570000000002</v>
      </c>
      <c r="DT48" s="960">
        <v>-15.520239999999999</v>
      </c>
      <c r="DU48" s="960">
        <v>-2.5697380000000001</v>
      </c>
      <c r="DV48" s="960">
        <v>-0.70180799999999999</v>
      </c>
      <c r="DW48" s="960">
        <v>-8.019107</v>
      </c>
      <c r="DX48" s="960">
        <v>-0.78377200000000002</v>
      </c>
      <c r="DY48" s="960">
        <v>-2.315509</v>
      </c>
      <c r="DZ48" s="960">
        <v>-4.8822429999999999</v>
      </c>
      <c r="EA48" s="960">
        <v>-4.0299579999999997</v>
      </c>
      <c r="EB48" s="960">
        <v>-1.90317</v>
      </c>
      <c r="EC48" s="960">
        <v>-26.556231</v>
      </c>
      <c r="ED48" s="960">
        <v>-3.5598486999999994</v>
      </c>
      <c r="EE48" s="960">
        <v>-10.3998033</v>
      </c>
      <c r="EF48" s="960">
        <v>-26.335046799999997</v>
      </c>
      <c r="EG48" s="145"/>
      <c r="EH48" s="924">
        <v>-5.4418540000000002</v>
      </c>
      <c r="EI48" s="924">
        <v>-15.835086</v>
      </c>
      <c r="EJ48" s="924">
        <v>-4.3704239999999999</v>
      </c>
      <c r="EK48" s="924">
        <v>-0.21760399999999999</v>
      </c>
      <c r="EL48" s="924">
        <v>-3.0269599999999999</v>
      </c>
      <c r="EM48" s="924">
        <v>-5.2196300000000004</v>
      </c>
      <c r="EN48" s="924">
        <v>-3.889894</v>
      </c>
      <c r="EO48" s="924">
        <v>-2.73</v>
      </c>
      <c r="EP48" s="924">
        <v>-4.88</v>
      </c>
      <c r="EQ48" s="924">
        <v>-4.9557140000000004</v>
      </c>
      <c r="ER48" s="924">
        <v>-4.71</v>
      </c>
      <c r="ES48" s="924">
        <v>-4.95</v>
      </c>
      <c r="EU48" s="924">
        <v>-23.155000000000001</v>
      </c>
      <c r="EV48" s="924">
        <v>-41.97</v>
      </c>
      <c r="EW48" s="924">
        <v>-37.090000000000003</v>
      </c>
      <c r="EX48" s="924">
        <v>-40.813333333333325</v>
      </c>
      <c r="EY48" s="924">
        <v>-23.74</v>
      </c>
      <c r="EZ48" s="924">
        <v>-23.077213</v>
      </c>
      <c r="FA48" s="924">
        <v>-25.414999999999999</v>
      </c>
      <c r="FB48" s="924">
        <v>-30.553333333333331</v>
      </c>
      <c r="FC48" s="924">
        <v>-26.74</v>
      </c>
      <c r="FD48" s="924">
        <v>-24.54</v>
      </c>
      <c r="FE48" s="924">
        <v>-23.47</v>
      </c>
      <c r="FF48" s="924">
        <v>-35.733333333333327</v>
      </c>
      <c r="FG48" s="924">
        <v>-11.758800000000001</v>
      </c>
      <c r="FH48" s="924">
        <v>-13.824400000000001</v>
      </c>
      <c r="FI48" s="924">
        <v>-12.244</v>
      </c>
      <c r="FJ48" s="924">
        <v>-10.471500000000001</v>
      </c>
      <c r="FK48" s="924">
        <v>-10.8315</v>
      </c>
      <c r="FL48" s="924">
        <v>-14.109291000000001</v>
      </c>
      <c r="FM48" s="924">
        <v>-10.5045</v>
      </c>
      <c r="FN48" s="924">
        <v>-11.601000000000001</v>
      </c>
      <c r="FO48" s="924">
        <v>-12.943788</v>
      </c>
      <c r="FP48" s="924">
        <v>-10.8215</v>
      </c>
      <c r="FQ48" s="924">
        <v>-10.569000000000001</v>
      </c>
      <c r="FR48" s="924">
        <v>-12.961</v>
      </c>
      <c r="FS48" s="924">
        <v>-11.54</v>
      </c>
      <c r="FT48" s="924">
        <v>-11.24</v>
      </c>
      <c r="FU48" s="924">
        <v>-12.68</v>
      </c>
      <c r="FV48" s="924">
        <v>-12.1814</v>
      </c>
      <c r="FW48" s="924">
        <v>-11.84</v>
      </c>
      <c r="FX48" s="924">
        <v>-11.34</v>
      </c>
      <c r="FY48" s="924">
        <v>-11.24</v>
      </c>
      <c r="FZ48" s="924">
        <v>-11.6814</v>
      </c>
      <c r="GA48" s="924">
        <v>-11.64</v>
      </c>
      <c r="GB48" s="924">
        <v>-11.24</v>
      </c>
      <c r="GC48" s="924">
        <v>-12.34</v>
      </c>
      <c r="GD48" s="924">
        <v>-11.756399999999999</v>
      </c>
      <c r="GE48" s="924">
        <v>-9.5150000000000006</v>
      </c>
      <c r="GF48" s="924">
        <v>-9.34</v>
      </c>
      <c r="GG48" s="924">
        <v>-11.583</v>
      </c>
      <c r="GH48" s="924">
        <v>-9.5549999999999997</v>
      </c>
      <c r="GI48" s="924">
        <v>-9.3000000000000007</v>
      </c>
      <c r="GJ48" s="924">
        <v>-11.603</v>
      </c>
      <c r="GK48" s="924">
        <v>-9.5649999999999995</v>
      </c>
      <c r="GL48" s="924">
        <v>-9.34</v>
      </c>
      <c r="GM48" s="924">
        <v>-9.58</v>
      </c>
      <c r="GN48" s="924">
        <v>-12.708</v>
      </c>
      <c r="GO48" s="924">
        <v>-9.3000000000000007</v>
      </c>
      <c r="GP48" s="924">
        <v>-9.6199999999999992</v>
      </c>
      <c r="GQ48" s="924">
        <v>-9.5150000000000006</v>
      </c>
      <c r="GR48" s="924">
        <v>-9.34</v>
      </c>
      <c r="GS48" s="924">
        <v>-11.583</v>
      </c>
      <c r="GT48" s="924">
        <v>-9.5549999999999997</v>
      </c>
      <c r="GU48" s="924">
        <v>-9.3000000000000007</v>
      </c>
      <c r="GV48" s="924">
        <v>-11.603</v>
      </c>
      <c r="GW48" s="924">
        <v>-9.5649999999999995</v>
      </c>
      <c r="GX48" s="924">
        <v>-9.34</v>
      </c>
      <c r="GY48" s="924">
        <v>-9.58</v>
      </c>
      <c r="GZ48" s="924">
        <v>-12.708</v>
      </c>
      <c r="HA48" s="924">
        <v>-9.3000000000000007</v>
      </c>
      <c r="HB48" s="924">
        <v>-9.6199999999999992</v>
      </c>
      <c r="HD48" s="924">
        <f t="shared" si="226"/>
        <v>-89.271785379999997</v>
      </c>
      <c r="HE48" s="924">
        <f t="shared" si="226"/>
        <v>-106.34468139000002</v>
      </c>
      <c r="HF48" s="924">
        <f t="shared" si="226"/>
        <v>-329.71276032000003</v>
      </c>
      <c r="HG48" s="924">
        <f t="shared" si="226"/>
        <v>-331.64600000000002</v>
      </c>
      <c r="HH48" s="924">
        <f t="shared" si="227"/>
        <v>-106.46417846</v>
      </c>
      <c r="HI48" s="924">
        <f t="shared" si="228"/>
        <v>-124.0990376</v>
      </c>
      <c r="HJ48" s="924">
        <f t="shared" si="229"/>
        <v>-100.63731800000001</v>
      </c>
      <c r="HK48" s="924">
        <f t="shared" si="230"/>
        <v>-119.13211999999999</v>
      </c>
      <c r="HL48" s="960">
        <f>+SUMIF($E$6:SEW$6,HL$7,$E48:SEW48)</f>
        <v>-56.065785999999996</v>
      </c>
      <c r="HM48" s="960">
        <f>+SUMIF($E$6:SEX$6,HM$7,$E48:SEX48)</f>
        <v>-49.975959629999998</v>
      </c>
      <c r="HN48" s="960">
        <f>+SUMIF($E$6:SEY$6,HN$7,$E48:SEY48)</f>
        <v>-92.056234799999999</v>
      </c>
      <c r="HO48" s="924"/>
      <c r="HP48" s="924"/>
      <c r="HR48" s="927">
        <f t="shared" si="231"/>
        <v>2.1004160810904846</v>
      </c>
      <c r="HS48" s="927">
        <f t="shared" si="232"/>
        <v>5.8634057053894573E-3</v>
      </c>
      <c r="HT48" s="927">
        <f t="shared" si="233"/>
        <v>-0.67898247390289646</v>
      </c>
      <c r="HU48" s="927">
        <f t="shared" si="234"/>
        <v>0.16564124567612803</v>
      </c>
      <c r="HV48" s="927">
        <f t="shared" si="235"/>
        <v>-0.189056418597077</v>
      </c>
      <c r="HW48" s="927">
        <f t="shared" si="236"/>
        <v>0.18377677751706356</v>
      </c>
      <c r="HX48" s="927">
        <f t="shared" si="237"/>
        <v>-0.52938144641428353</v>
      </c>
      <c r="HY48" s="927">
        <f t="shared" si="237"/>
        <v>-0.1086192989428526</v>
      </c>
      <c r="HZ48" s="927">
        <f t="shared" si="237"/>
        <v>0.84201034820629417</v>
      </c>
      <c r="IA48" s="927">
        <f t="shared" si="305"/>
        <v>-1</v>
      </c>
      <c r="IB48" s="927" t="str">
        <f t="shared" si="238"/>
        <v/>
      </c>
      <c r="IC48" s="927">
        <f t="shared" si="306"/>
        <v>-1</v>
      </c>
      <c r="IE48" s="924">
        <f t="shared" si="239"/>
        <v>-223.36807893000002</v>
      </c>
      <c r="IF48" s="924">
        <f t="shared" si="240"/>
        <v>-1.9332396799999856</v>
      </c>
      <c r="IG48" s="924">
        <f t="shared" si="241"/>
        <v>225.18182154000002</v>
      </c>
      <c r="IH48" s="924">
        <f t="shared" si="242"/>
        <v>-17.634859140000003</v>
      </c>
      <c r="II48" s="924">
        <f t="shared" si="100"/>
        <v>23.461719599999995</v>
      </c>
      <c r="IJ48" s="924">
        <f t="shared" si="101"/>
        <v>-18.494801999999979</v>
      </c>
      <c r="IK48" s="924">
        <f t="shared" si="102"/>
        <v>63.066333999999991</v>
      </c>
      <c r="IL48" s="924">
        <f t="shared" si="307"/>
        <v>56.065785999999996</v>
      </c>
      <c r="IM48" s="924">
        <f t="shared" si="243"/>
        <v>0</v>
      </c>
      <c r="IN48" s="924">
        <f t="shared" si="308"/>
        <v>56.065785999999996</v>
      </c>
      <c r="IP48" s="76">
        <f t="shared" si="244"/>
        <v>-2.8933171216023903E-3</v>
      </c>
      <c r="IQ48" s="76">
        <f t="shared" si="245"/>
        <v>-8.3719603915436789E-3</v>
      </c>
      <c r="IR48" s="76">
        <f t="shared" si="246"/>
        <v>-1.9679004658287803E-2</v>
      </c>
      <c r="IS48" s="76">
        <f t="shared" si="247"/>
        <v>-1.7305545300811947E-2</v>
      </c>
      <c r="IT48" s="76">
        <f t="shared" si="248"/>
        <v>-9.1056366940286404E-3</v>
      </c>
      <c r="IU48" s="76">
        <f t="shared" si="249"/>
        <v>-7.1119096352882868E-3</v>
      </c>
      <c r="IV48" s="76">
        <f t="shared" si="250"/>
        <v>-5.6116703816758229E-3</v>
      </c>
      <c r="IW48" s="76">
        <f t="shared" si="251"/>
        <v>-4.4426534863805465E-3</v>
      </c>
      <c r="IX48" s="76" t="e">
        <f t="shared" si="252"/>
        <v>#DIV/0!</v>
      </c>
      <c r="IY48" s="76" t="e">
        <f t="shared" si="253"/>
        <v>#DIV/0!</v>
      </c>
      <c r="JA48" s="924">
        <f t="shared" si="254"/>
        <v>-89.271785379999997</v>
      </c>
      <c r="JB48" s="924">
        <f t="shared" si="254"/>
        <v>-106.34468139000002</v>
      </c>
      <c r="JC48" s="924">
        <f t="shared" si="254"/>
        <v>-329.71276032000003</v>
      </c>
      <c r="JD48" s="924">
        <f t="shared" si="254"/>
        <v>-331.64600000000002</v>
      </c>
      <c r="JE48" s="924">
        <f t="shared" si="254"/>
        <v>-106.46417846</v>
      </c>
      <c r="JF48" s="924">
        <f t="shared" si="254"/>
        <v>-124.0990376</v>
      </c>
      <c r="JG48" s="924">
        <f t="shared" si="254"/>
        <v>-100.63731800000001</v>
      </c>
      <c r="JH48" s="924">
        <f t="shared" si="254"/>
        <v>-119.13211999999999</v>
      </c>
      <c r="JI48" s="924">
        <f t="shared" si="254"/>
        <v>-56.065785999999996</v>
      </c>
      <c r="JJ48" s="924">
        <f t="shared" si="254"/>
        <v>-49.975959629999998</v>
      </c>
      <c r="JK48" s="924">
        <f t="shared" si="254"/>
        <v>-92.056234799999999</v>
      </c>
      <c r="JL48" s="924">
        <f t="shared" si="255"/>
        <v>-92.056234799999999</v>
      </c>
      <c r="JM48" s="924"/>
      <c r="JN48" s="924"/>
      <c r="JO48" s="922"/>
      <c r="JP48" s="924">
        <f t="shared" si="256"/>
        <v>-92.056234799999999</v>
      </c>
      <c r="JQ48" s="924">
        <f t="shared" si="257"/>
        <v>0</v>
      </c>
      <c r="JR48" s="145"/>
      <c r="JS48" s="927" t="str">
        <f t="shared" si="258"/>
        <v/>
      </c>
      <c r="JT48" s="928">
        <f t="shared" si="259"/>
        <v>-92.056234799999999</v>
      </c>
      <c r="JV48" s="76">
        <f t="shared" si="260"/>
        <v>-3.0490703497927018E-3</v>
      </c>
      <c r="JW48" s="927" t="str">
        <f t="shared" si="261"/>
        <v/>
      </c>
      <c r="JY48" s="927">
        <f t="shared" si="309"/>
        <v>2.1004160810904846</v>
      </c>
      <c r="JZ48" s="927">
        <f t="shared" si="310"/>
        <v>5.8634057053894573E-3</v>
      </c>
      <c r="KA48" s="927">
        <f t="shared" si="311"/>
        <v>-0.67898247390289646</v>
      </c>
      <c r="KB48" s="927">
        <f t="shared" si="312"/>
        <v>0.16564124567612803</v>
      </c>
      <c r="KC48" s="927">
        <f t="shared" si="313"/>
        <v>-0.189056418597077</v>
      </c>
      <c r="KD48" s="927">
        <f t="shared" si="314"/>
        <v>0.18377677751706356</v>
      </c>
      <c r="KE48" s="927">
        <f t="shared" si="315"/>
        <v>-0.52938144641428353</v>
      </c>
      <c r="KF48" s="927">
        <f t="shared" si="316"/>
        <v>-1</v>
      </c>
      <c r="KH48" s="924">
        <f t="shared" si="263"/>
        <v>-223.36807893000002</v>
      </c>
      <c r="KI48" s="924">
        <f t="shared" si="264"/>
        <v>-1.9332396799999856</v>
      </c>
      <c r="KJ48" s="924">
        <f t="shared" si="265"/>
        <v>225.18182154000002</v>
      </c>
      <c r="KK48" s="924">
        <f t="shared" si="266"/>
        <v>-17.634859140000003</v>
      </c>
      <c r="KL48" s="924">
        <f t="shared" si="267"/>
        <v>23.461719599999995</v>
      </c>
      <c r="KM48" s="924">
        <f t="shared" si="268"/>
        <v>-18.494801999999979</v>
      </c>
      <c r="KN48" s="924">
        <f t="shared" si="269"/>
        <v>63.066333999999991</v>
      </c>
      <c r="KO48" s="924">
        <f t="shared" si="270"/>
        <v>56.065785999999996</v>
      </c>
      <c r="KQ48" s="76">
        <f t="shared" si="271"/>
        <v>-2.4605408373457164E-3</v>
      </c>
      <c r="KR48" s="76">
        <f t="shared" si="272"/>
        <v>-2.8933171216023903E-3</v>
      </c>
      <c r="KS48" s="76">
        <f t="shared" si="273"/>
        <v>-8.3719603915436789E-3</v>
      </c>
      <c r="KT48" s="76">
        <f t="shared" si="274"/>
        <v>-1.9679004658287803E-2</v>
      </c>
      <c r="KU48" s="76">
        <f t="shared" si="275"/>
        <v>-1.7305545300811947E-2</v>
      </c>
      <c r="KV48" s="76">
        <f t="shared" si="276"/>
        <v>-9.1056366940286404E-3</v>
      </c>
      <c r="KW48" s="76">
        <f t="shared" si="277"/>
        <v>-7.1119096352882868E-3</v>
      </c>
      <c r="KX48" s="76">
        <f t="shared" si="278"/>
        <v>-5.6116703816758229E-3</v>
      </c>
      <c r="KY48" s="76">
        <f t="shared" si="279"/>
        <v>-4.4426534863805465E-3</v>
      </c>
      <c r="KZ48" s="76" t="e">
        <f t="shared" si="280"/>
        <v>#DIV/0!</v>
      </c>
      <c r="LB48" s="924">
        <f t="shared" si="281"/>
        <v>-21.199920140000003</v>
      </c>
      <c r="LC48" s="924">
        <f t="shared" si="281"/>
        <v>-9.9700462600000179</v>
      </c>
      <c r="LD48" s="924">
        <f t="shared" si="281"/>
        <v>-104.13596443</v>
      </c>
      <c r="LE48" s="924">
        <f t="shared" si="281"/>
        <v>-5.1360421700000716</v>
      </c>
      <c r="LF48" s="924">
        <f t="shared" si="281"/>
        <v>-6.8351029499999996</v>
      </c>
      <c r="LG48" s="924">
        <f t="shared" si="281"/>
        <v>-22.584341999999999</v>
      </c>
      <c r="LH48" s="924">
        <f t="shared" si="281"/>
        <v>-14.377734999999999</v>
      </c>
      <c r="LI48" s="924">
        <f t="shared" si="281"/>
        <v>-23.273606000000001</v>
      </c>
      <c r="LJ48" s="924">
        <f t="shared" si="281"/>
        <v>-5.0997170000000001</v>
      </c>
      <c r="LK48" s="924">
        <f t="shared" si="281"/>
        <v>-15.520239999999999</v>
      </c>
      <c r="LL48" s="924">
        <f t="shared" si="281"/>
        <v>-26.335046799999997</v>
      </c>
      <c r="LM48" s="924">
        <f t="shared" si="281"/>
        <v>-26.335046799999997</v>
      </c>
      <c r="LN48" s="924"/>
      <c r="LO48" s="924"/>
      <c r="LR48" s="76">
        <f t="shared" si="282"/>
        <v>9.4448827732921483</v>
      </c>
      <c r="LS48" s="76">
        <f t="shared" si="283"/>
        <v>-0.95067945835895618</v>
      </c>
      <c r="LT48" s="76">
        <f t="shared" si="284"/>
        <v>0.33081129861515612</v>
      </c>
      <c r="LU48" s="76">
        <f t="shared" si="285"/>
        <v>2.3041699832772822</v>
      </c>
      <c r="LV48" s="76">
        <f t="shared" si="286"/>
        <v>-0.36337596198286404</v>
      </c>
      <c r="LW48" s="76">
        <f t="shared" si="287"/>
        <v>0.61872548075201017</v>
      </c>
      <c r="LX48" s="76">
        <f t="shared" si="288"/>
        <v>-1</v>
      </c>
      <c r="LZ48" s="924">
        <f t="shared" si="289"/>
        <v>-94.165918169999983</v>
      </c>
      <c r="MA48" s="924">
        <f t="shared" si="290"/>
        <v>98.999922259999934</v>
      </c>
      <c r="MB48" s="924">
        <f t="shared" si="291"/>
        <v>-1.699060779999928</v>
      </c>
      <c r="MC48" s="924">
        <f t="shared" si="292"/>
        <v>-15.74923905</v>
      </c>
      <c r="MD48" s="924">
        <f t="shared" si="293"/>
        <v>8.206607</v>
      </c>
      <c r="ME48" s="924">
        <f t="shared" si="294"/>
        <v>-8.8958710000000014</v>
      </c>
      <c r="MF48" s="924">
        <f t="shared" si="295"/>
        <v>23.273606000000001</v>
      </c>
      <c r="MH48" s="76">
        <f t="shared" si="296"/>
        <v>-7.068185046484079E-3</v>
      </c>
      <c r="MI48" s="76">
        <f t="shared" si="297"/>
        <v>-1.808243349061923E-3</v>
      </c>
      <c r="MJ48" s="76">
        <f t="shared" si="298"/>
        <v>-2.0314663965798022E-2</v>
      </c>
      <c r="MK48" s="76">
        <f t="shared" si="299"/>
        <v>-8.8358706972619661E-3</v>
      </c>
      <c r="ML48" s="76">
        <f t="shared" si="300"/>
        <v>-4.5371971098577529E-3</v>
      </c>
      <c r="MM48" s="76">
        <f t="shared" si="301"/>
        <v>-2.1954606943265766E-2</v>
      </c>
      <c r="MN48" s="76">
        <f t="shared" si="302"/>
        <v>-9.246056588151072E-3</v>
      </c>
      <c r="MO48" s="76">
        <f t="shared" si="303"/>
        <v>-1.2366449479826144E-2</v>
      </c>
      <c r="MP48" s="76" t="e">
        <f t="shared" si="304"/>
        <v>#DIV/0!</v>
      </c>
    </row>
    <row r="49" spans="1:354" outlineLevel="2">
      <c r="A49" s="884">
        <v>5140</v>
      </c>
      <c r="B49" s="70" t="s">
        <v>639</v>
      </c>
      <c r="C49" s="29" t="s">
        <v>84</v>
      </c>
      <c r="D49" s="31" t="s">
        <v>59</v>
      </c>
      <c r="E49" s="102">
        <v>-3.4819999999999997E-2</v>
      </c>
      <c r="F49" s="102">
        <v>-9.900000000000006E-3</v>
      </c>
      <c r="G49" s="102">
        <v>-3.383</v>
      </c>
      <c r="H49" s="102">
        <v>-0.28835100000000002</v>
      </c>
      <c r="I49" s="102">
        <v>0</v>
      </c>
      <c r="J49" s="102">
        <v>-0.46970000000000001</v>
      </c>
      <c r="K49" s="102">
        <v>-0.20989959999999996</v>
      </c>
      <c r="L49" s="102">
        <v>-6.4000000000000057E-2</v>
      </c>
      <c r="M49" s="102">
        <v>-9.3799999999999883E-2</v>
      </c>
      <c r="N49" s="102">
        <v>0</v>
      </c>
      <c r="O49" s="102">
        <v>-9.5663710000000002</v>
      </c>
      <c r="P49" s="102">
        <v>-59.24694955999999</v>
      </c>
      <c r="Q49" s="102">
        <v>-3.1089999999999998E-3</v>
      </c>
      <c r="R49" s="102">
        <v>-4.6441999999999997E-2</v>
      </c>
      <c r="S49" s="102">
        <v>-2.1768000000000001</v>
      </c>
      <c r="T49" s="102">
        <v>-3.7004000000000037E-2</v>
      </c>
      <c r="U49" s="102">
        <v>0</v>
      </c>
      <c r="V49" s="102">
        <v>-7.5000000000000178E-2</v>
      </c>
      <c r="W49" s="102">
        <v>-0.77376800000000001</v>
      </c>
      <c r="X49" s="102">
        <v>-0.35799999999999965</v>
      </c>
      <c r="Y49" s="102">
        <v>-0.10959999999999992</v>
      </c>
      <c r="Z49" s="102">
        <v>0</v>
      </c>
      <c r="AA49" s="102">
        <v>-4.1000000000002146E-3</v>
      </c>
      <c r="AB49" s="102">
        <v>-25.900600000000001</v>
      </c>
      <c r="AC49" s="102">
        <v>0</v>
      </c>
      <c r="AD49" s="102">
        <v>-0.22648017000000001</v>
      </c>
      <c r="AE49" s="102">
        <v>-0.11409999999999999</v>
      </c>
      <c r="AF49" s="102">
        <v>-1.9561864399999997</v>
      </c>
      <c r="AG49" s="102">
        <v>-5.1462769999999995</v>
      </c>
      <c r="AH49" s="102">
        <v>-1.56425035</v>
      </c>
      <c r="AI49" s="102">
        <v>0</v>
      </c>
      <c r="AJ49" s="102">
        <v>-3.0801700000000001E-3</v>
      </c>
      <c r="AK49" s="102">
        <v>-0.11994</v>
      </c>
      <c r="AL49" s="102">
        <v>-4.1640519999999993E-2</v>
      </c>
      <c r="AM49" s="102">
        <v>-1.5399999999999999E-3</v>
      </c>
      <c r="AN49" s="102">
        <v>-0.13544</v>
      </c>
      <c r="AO49" s="102">
        <v>0</v>
      </c>
      <c r="AP49" s="145">
        <v>0</v>
      </c>
      <c r="AQ49" s="143">
        <v>-4.4200450999999958</v>
      </c>
      <c r="AR49" s="220">
        <v>-5.8308479999999996</v>
      </c>
      <c r="AS49" s="102">
        <v>-25.700786659999999</v>
      </c>
      <c r="AT49" s="102">
        <v>-10.51708324</v>
      </c>
      <c r="AU49" s="102">
        <v>-8.9611760000000013E-2</v>
      </c>
      <c r="AV49" s="102">
        <v>-0.15570000000000001</v>
      </c>
      <c r="AW49" s="102">
        <v>-0.26534999999999997</v>
      </c>
      <c r="AX49" s="102">
        <v>-0.337696</v>
      </c>
      <c r="AY49" s="102">
        <v>5.7700000000000001E-2</v>
      </c>
      <c r="AZ49" s="102">
        <v>-0.37567600000000001</v>
      </c>
      <c r="BA49" s="102">
        <v>-3.8280000000000002E-2</v>
      </c>
      <c r="BB49" s="102">
        <v>-5.1400000000000001E-2</v>
      </c>
      <c r="BC49" s="102">
        <v>-2.5134319999999999</v>
      </c>
      <c r="BD49" s="102">
        <v>-2.3540519999999998</v>
      </c>
      <c r="BE49" s="102">
        <v>-0.73946199999999995</v>
      </c>
      <c r="BF49" s="102">
        <v>-0.96399999999999997</v>
      </c>
      <c r="BG49" s="102">
        <v>-2.3371179999999998</v>
      </c>
      <c r="BH49" s="102">
        <v>-2.6720000000000002</v>
      </c>
      <c r="BI49" s="102">
        <v>-8.4808999999999996E-2</v>
      </c>
      <c r="BJ49" s="102">
        <v>-0.25600000000000001</v>
      </c>
      <c r="BK49" s="102">
        <v>-0.18540000000000001</v>
      </c>
      <c r="BL49" s="102">
        <v>-2.0899999999999998E-2</v>
      </c>
      <c r="BM49" s="102">
        <v>-4.7999999999999996E-3</v>
      </c>
      <c r="BN49" s="102">
        <v>-3.4030000000000002E-3</v>
      </c>
      <c r="BO49" s="102">
        <v>-2.9600000000000001E-2</v>
      </c>
      <c r="BP49" s="102">
        <v>-2.2930000000000001</v>
      </c>
      <c r="BQ49" s="102">
        <v>0</v>
      </c>
      <c r="BR49" s="102">
        <v>-3.3999999999999998E-3</v>
      </c>
      <c r="BS49" s="102">
        <v>-6.5600000000000006E-2</v>
      </c>
      <c r="BT49" s="102">
        <v>-4.5400000000000003E-2</v>
      </c>
      <c r="BU49" s="102">
        <v>-0.19339999999999999</v>
      </c>
      <c r="BV49" s="102">
        <v>0</v>
      </c>
      <c r="BW49" s="102">
        <v>-5.2699999999999997E-2</v>
      </c>
      <c r="BX49" s="102">
        <v>-1.6E-2</v>
      </c>
      <c r="BY49" s="102">
        <v>0</v>
      </c>
      <c r="BZ49" s="102">
        <v>-1.9125000000000001</v>
      </c>
      <c r="CA49" s="102">
        <v>-1.0010509999999999</v>
      </c>
      <c r="CB49" s="102">
        <v>-5.91E-2</v>
      </c>
      <c r="CC49" s="102">
        <v>-0.44691900000000001</v>
      </c>
      <c r="CD49" s="102">
        <v>-0.2495</v>
      </c>
      <c r="CE49" s="102">
        <v>-0.80701699999999998</v>
      </c>
      <c r="CF49" s="102">
        <v>-8.2811999999999997E-2</v>
      </c>
      <c r="CG49" s="102">
        <v>-5.4999999999999997E-3</v>
      </c>
      <c r="CH49" s="102">
        <v>-1.8700000000000001E-2</v>
      </c>
      <c r="CI49" s="102">
        <v>-5.4999999999999997E-3</v>
      </c>
      <c r="CJ49" s="102">
        <v>-8.5699999999999998E-2</v>
      </c>
      <c r="CK49" s="102">
        <v>-1.8880000000000001E-2</v>
      </c>
      <c r="CL49" s="102">
        <v>-0.24099999999999999</v>
      </c>
      <c r="CM49" s="102">
        <v>-5.7786999999999997</v>
      </c>
      <c r="CN49" s="102">
        <v>-2.5399999999999999E-2</v>
      </c>
      <c r="CO49" s="102">
        <v>-0.5383</v>
      </c>
      <c r="CP49" s="102">
        <v>-6.9599999999999995E-2</v>
      </c>
      <c r="CQ49" s="102">
        <v>-0.09</v>
      </c>
      <c r="CR49" s="102">
        <v>-5.7999999999999996E-3</v>
      </c>
      <c r="CS49" s="102">
        <v>-0.34010000000000001</v>
      </c>
      <c r="CT49" s="102">
        <v>-2.6499999999999999E-2</v>
      </c>
      <c r="CU49" s="102">
        <v>-0.153</v>
      </c>
      <c r="CV49" s="102">
        <v>-5.978E-2</v>
      </c>
      <c r="CW49" s="102">
        <v>-3.9800000000000002E-2</v>
      </c>
      <c r="CX49" s="102">
        <v>0</v>
      </c>
      <c r="CY49" s="102">
        <v>-0.28983300000000001</v>
      </c>
      <c r="CZ49" s="102">
        <v>-2.1328</v>
      </c>
      <c r="DA49" s="102">
        <v>-8.6499999999999994E-2</v>
      </c>
      <c r="DB49" s="102">
        <v>-0.65249999999999997</v>
      </c>
      <c r="DC49" s="102">
        <v>-0.50644800000000001</v>
      </c>
      <c r="DD49" s="102">
        <v>-6.1000000000000004E-3</v>
      </c>
      <c r="DE49" s="102">
        <v>-6.1000000000000004E-3</v>
      </c>
      <c r="DF49" s="102">
        <v>-6.1000000000000004E-3</v>
      </c>
      <c r="DG49" s="102">
        <v>-4.8992439999999478E-2</v>
      </c>
      <c r="DH49" s="102">
        <v>-6.1000000000000004E-3</v>
      </c>
      <c r="DI49" s="102">
        <v>-6.1999999999999998E-3</v>
      </c>
      <c r="DJ49" s="102">
        <v>-0.1802</v>
      </c>
      <c r="DK49" s="102">
        <v>-2.2117924400000004</v>
      </c>
      <c r="DL49" s="102">
        <v>-0.59909999999999997</v>
      </c>
      <c r="DM49" s="102">
        <v>-2.3599999999999999E-2</v>
      </c>
      <c r="DN49" s="102">
        <v>-0.34339999999999998</v>
      </c>
      <c r="DO49" s="102">
        <v>-3.1649999999999998E-2</v>
      </c>
      <c r="DP49" s="102">
        <v>-9.0899999999999995E-2</v>
      </c>
      <c r="DQ49" s="940">
        <v>-0.28758544000000003</v>
      </c>
      <c r="DR49" s="940">
        <v>-5.5092439999999999E-2</v>
      </c>
      <c r="DS49" s="940">
        <v>-1.18E-2</v>
      </c>
      <c r="DT49" s="940">
        <v>-0.17974999999999999</v>
      </c>
      <c r="DU49" s="940">
        <v>-0.122393</v>
      </c>
      <c r="DV49" s="940">
        <v>-5.1472999999999998E-2</v>
      </c>
      <c r="DW49" s="940">
        <v>-2.254</v>
      </c>
      <c r="DX49" s="940">
        <v>-0.65900400000000003</v>
      </c>
      <c r="DY49" s="940">
        <v>-0.15071999999999999</v>
      </c>
      <c r="DZ49" s="940">
        <v>-2.3300000000000001E-2</v>
      </c>
      <c r="EA49" s="940">
        <v>-0.1089</v>
      </c>
      <c r="EB49" s="940">
        <v>-3.5610000000000003E-2</v>
      </c>
      <c r="EC49" s="940">
        <v>-0.113</v>
      </c>
      <c r="ED49" s="940">
        <v>-0.37657200000000002</v>
      </c>
      <c r="EE49" s="940">
        <v>-0.214</v>
      </c>
      <c r="EF49" s="940">
        <v>-0.47741</v>
      </c>
      <c r="EG49" s="145"/>
      <c r="EH49" s="102">
        <v>-3.9800000000000002E-2</v>
      </c>
      <c r="EI49" s="102">
        <v>0</v>
      </c>
      <c r="EJ49" s="102">
        <v>-0.28983300000000001</v>
      </c>
      <c r="EK49" s="102">
        <v>-2.1328</v>
      </c>
      <c r="EL49" s="102">
        <v>-8.6499999999999994E-2</v>
      </c>
      <c r="EM49" s="102">
        <v>-0.65249999999999997</v>
      </c>
      <c r="EN49" s="102">
        <v>-0.06</v>
      </c>
      <c r="EO49" s="102">
        <v>-0.06</v>
      </c>
      <c r="EP49" s="102">
        <v>-0.06</v>
      </c>
      <c r="EQ49" s="102">
        <v>-0.06</v>
      </c>
      <c r="ER49" s="102">
        <v>-0.06</v>
      </c>
      <c r="ES49" s="102">
        <v>-0.06</v>
      </c>
      <c r="EU49" s="102">
        <v>-0.79</v>
      </c>
      <c r="EV49" s="102">
        <v>-0.79</v>
      </c>
      <c r="EW49" s="102">
        <v>-0.79</v>
      </c>
      <c r="EX49" s="102">
        <v>-0.79</v>
      </c>
      <c r="EY49" s="102">
        <v>-0.79</v>
      </c>
      <c r="EZ49" s="102">
        <v>-0.79</v>
      </c>
      <c r="FA49" s="102">
        <v>-0.79</v>
      </c>
      <c r="FB49" s="102">
        <v>-0.79</v>
      </c>
      <c r="FC49" s="102">
        <v>-0.79</v>
      </c>
      <c r="FD49" s="102">
        <v>-0.79</v>
      </c>
      <c r="FE49" s="102">
        <v>-0.79</v>
      </c>
      <c r="FF49" s="102">
        <v>-0.79</v>
      </c>
      <c r="FG49" s="102">
        <v>-0.11</v>
      </c>
      <c r="FH49" s="102">
        <v>-0.11</v>
      </c>
      <c r="FI49" s="102">
        <v>-2.56</v>
      </c>
      <c r="FJ49" s="102">
        <v>-0.11</v>
      </c>
      <c r="FK49" s="102">
        <v>-0.11</v>
      </c>
      <c r="FL49" s="102">
        <v>-0.11</v>
      </c>
      <c r="FM49" s="102">
        <v>-0.11</v>
      </c>
      <c r="FN49" s="102">
        <v>-0.11</v>
      </c>
      <c r="FO49" s="102">
        <v>-0.11</v>
      </c>
      <c r="FP49" s="102">
        <v>-0.11</v>
      </c>
      <c r="FQ49" s="102">
        <v>-0.11</v>
      </c>
      <c r="FR49" s="102">
        <v>-0.11</v>
      </c>
      <c r="FS49" s="102">
        <v>-0.09</v>
      </c>
      <c r="FT49" s="102">
        <v>-0.09</v>
      </c>
      <c r="FU49" s="102">
        <v>-2.29</v>
      </c>
      <c r="FV49" s="102">
        <v>-8.9999999999999999E-8</v>
      </c>
      <c r="FW49" s="102">
        <v>-8.9999999999999999E-8</v>
      </c>
      <c r="FX49" s="102">
        <v>-8.9999999999999999E-8</v>
      </c>
      <c r="FY49" s="102">
        <v>-8.9999999999999999E-8</v>
      </c>
      <c r="FZ49" s="102">
        <v>-8.9999999999999999E-8</v>
      </c>
      <c r="GA49" s="102">
        <v>-0.69911999999999996</v>
      </c>
      <c r="GB49" s="102">
        <v>-8.9999999999999999E-8</v>
      </c>
      <c r="GC49" s="102">
        <v>-8.9999999999999999E-8</v>
      </c>
      <c r="GD49" s="102">
        <v>-0.38500000000000001</v>
      </c>
      <c r="GE49" s="102">
        <v>-0.06</v>
      </c>
      <c r="GF49" s="102">
        <v>-2.86</v>
      </c>
      <c r="GG49" s="102">
        <v>-0.06</v>
      </c>
      <c r="GH49" s="102">
        <v>-0.06</v>
      </c>
      <c r="GI49" s="102">
        <v>-0.06</v>
      </c>
      <c r="GJ49" s="102">
        <v>-0.06</v>
      </c>
      <c r="GK49" s="102">
        <v>-0.06</v>
      </c>
      <c r="GL49" s="102">
        <v>-0.06</v>
      </c>
      <c r="GM49" s="102">
        <v>-0.06</v>
      </c>
      <c r="GN49" s="102">
        <v>-0.06</v>
      </c>
      <c r="GO49" s="102">
        <v>-0.06</v>
      </c>
      <c r="GP49" s="102">
        <v>-0.06</v>
      </c>
      <c r="GQ49" s="102">
        <v>-0.06</v>
      </c>
      <c r="GR49" s="102">
        <v>-2.86</v>
      </c>
      <c r="GS49" s="102">
        <v>-0.06</v>
      </c>
      <c r="GT49" s="102">
        <v>-0.06</v>
      </c>
      <c r="GU49" s="102">
        <v>-0.06</v>
      </c>
      <c r="GV49" s="102">
        <v>-0.06</v>
      </c>
      <c r="GW49" s="102">
        <v>-0.06</v>
      </c>
      <c r="GX49" s="102">
        <v>-0.06</v>
      </c>
      <c r="GY49" s="102">
        <v>-0.06</v>
      </c>
      <c r="GZ49" s="102">
        <v>-0.06</v>
      </c>
      <c r="HA49" s="102">
        <v>-0.06</v>
      </c>
      <c r="HB49" s="102">
        <v>-0.06</v>
      </c>
      <c r="HD49" s="102">
        <f t="shared" si="226"/>
        <v>-73.366791159999991</v>
      </c>
      <c r="HE49" s="102">
        <f t="shared" si="226"/>
        <v>-29.484423</v>
      </c>
      <c r="HF49" s="102">
        <f t="shared" si="226"/>
        <v>-9.3089346499999976</v>
      </c>
      <c r="HG49" s="102">
        <f t="shared" si="226"/>
        <v>-47.635096759999989</v>
      </c>
      <c r="HH49" s="102">
        <f t="shared" si="227"/>
        <v>-12.216852999999999</v>
      </c>
      <c r="HI49" s="102">
        <f t="shared" si="228"/>
        <v>-2.707303</v>
      </c>
      <c r="HJ49" s="102">
        <f t="shared" si="229"/>
        <v>-4.6742989999999986</v>
      </c>
      <c r="HK49" s="102">
        <f t="shared" si="230"/>
        <v>-7.3470599999999999</v>
      </c>
      <c r="HL49" s="940">
        <f>+SUMIF($E$6:SEW$6,HL$7,$E49:SEW49)</f>
        <v>-3.7812734399999992</v>
      </c>
      <c r="HM49" s="940">
        <f>+SUMIF($E$6:SEX$6,HM$7,$E49:SEX49)</f>
        <v>-4.0210703200000006</v>
      </c>
      <c r="HN49" s="940">
        <f>+SUMIF($E$6:SEY$6,HN$7,$E49:SEY49)</f>
        <v>-4.5863820000000004</v>
      </c>
      <c r="HO49" s="102"/>
      <c r="HP49" s="102"/>
      <c r="HR49" s="929">
        <f t="shared" si="231"/>
        <v>-0.68427618034105675</v>
      </c>
      <c r="HS49" s="929">
        <f t="shared" si="232"/>
        <v>4.1171373042134309</v>
      </c>
      <c r="HT49" s="929">
        <f t="shared" si="233"/>
        <v>-0.74353252473586451</v>
      </c>
      <c r="HU49" s="929">
        <f t="shared" si="234"/>
        <v>-0.77839604028959009</v>
      </c>
      <c r="HV49" s="929">
        <f t="shared" si="235"/>
        <v>0.72655184883258306</v>
      </c>
      <c r="HW49" s="929">
        <f t="shared" si="236"/>
        <v>0.57179932220852847</v>
      </c>
      <c r="HX49" s="929">
        <f t="shared" si="237"/>
        <v>-0.48533516263648324</v>
      </c>
      <c r="HY49" s="929">
        <f t="shared" si="237"/>
        <v>6.3416963571933938E-2</v>
      </c>
      <c r="HZ49" s="929">
        <f t="shared" si="237"/>
        <v>0.14058736480888001</v>
      </c>
      <c r="IA49" s="929">
        <f t="shared" si="305"/>
        <v>-1</v>
      </c>
      <c r="IB49" s="929" t="str">
        <f t="shared" si="238"/>
        <v/>
      </c>
      <c r="IC49" s="929">
        <f t="shared" si="306"/>
        <v>-1</v>
      </c>
      <c r="IE49" s="102">
        <f t="shared" si="239"/>
        <v>20.175488350000002</v>
      </c>
      <c r="IF49" s="102">
        <f t="shared" si="240"/>
        <v>-38.326162109999991</v>
      </c>
      <c r="IG49" s="102">
        <f t="shared" si="241"/>
        <v>35.418243759999989</v>
      </c>
      <c r="IH49" s="102">
        <f t="shared" si="242"/>
        <v>9.5095499999999991</v>
      </c>
      <c r="II49" s="102">
        <f t="shared" si="100"/>
        <v>-1.9669959999999986</v>
      </c>
      <c r="IJ49" s="102">
        <f t="shared" si="101"/>
        <v>-2.6727610000000013</v>
      </c>
      <c r="IK49" s="102">
        <f t="shared" si="102"/>
        <v>3.5657865600000007</v>
      </c>
      <c r="IL49" s="102">
        <f t="shared" si="307"/>
        <v>3.7812734399999992</v>
      </c>
      <c r="IM49" s="102">
        <f t="shared" si="243"/>
        <v>0</v>
      </c>
      <c r="IN49" s="102">
        <f t="shared" si="308"/>
        <v>3.7812734399999992</v>
      </c>
      <c r="IP49" s="32">
        <f t="shared" si="244"/>
        <v>-8.0218196877769881E-4</v>
      </c>
      <c r="IQ49" s="32">
        <f t="shared" si="245"/>
        <v>-2.3636947536282872E-4</v>
      </c>
      <c r="IR49" s="32">
        <f t="shared" si="246"/>
        <v>-2.8265418278466499E-3</v>
      </c>
      <c r="IS49" s="32">
        <f t="shared" si="247"/>
        <v>-1.9858257123009063E-3</v>
      </c>
      <c r="IT49" s="32">
        <f t="shared" si="248"/>
        <v>-1.9864551744641266E-4</v>
      </c>
      <c r="IU49" s="32">
        <f t="shared" si="249"/>
        <v>-3.3032668951211909E-4</v>
      </c>
      <c r="IV49" s="32">
        <f t="shared" si="250"/>
        <v>-3.4608029299231121E-4</v>
      </c>
      <c r="IW49" s="32">
        <f t="shared" si="251"/>
        <v>-2.9962814810398201E-4</v>
      </c>
      <c r="IX49" s="32" t="e">
        <f t="shared" si="252"/>
        <v>#DIV/0!</v>
      </c>
      <c r="IY49" s="32" t="e">
        <f t="shared" si="253"/>
        <v>#DIV/0!</v>
      </c>
      <c r="JA49" s="102">
        <f t="shared" si="254"/>
        <v>-73.366791159999991</v>
      </c>
      <c r="JB49" s="102">
        <f t="shared" si="254"/>
        <v>-29.484423</v>
      </c>
      <c r="JC49" s="102">
        <f t="shared" si="254"/>
        <v>-9.3089346499999976</v>
      </c>
      <c r="JD49" s="102">
        <f t="shared" si="254"/>
        <v>-47.635096759999989</v>
      </c>
      <c r="JE49" s="102">
        <f t="shared" si="254"/>
        <v>-12.216852999999999</v>
      </c>
      <c r="JF49" s="102">
        <f t="shared" si="254"/>
        <v>-2.707303</v>
      </c>
      <c r="JG49" s="102">
        <f t="shared" si="254"/>
        <v>-4.6742989999999986</v>
      </c>
      <c r="JH49" s="102">
        <f t="shared" si="254"/>
        <v>-7.3470599999999999</v>
      </c>
      <c r="JI49" s="102">
        <f t="shared" si="254"/>
        <v>-3.7812734399999992</v>
      </c>
      <c r="JJ49" s="102">
        <f t="shared" si="254"/>
        <v>-4.0210703200000006</v>
      </c>
      <c r="JK49" s="102">
        <f t="shared" si="254"/>
        <v>-4.5863820000000004</v>
      </c>
      <c r="JL49" s="102">
        <f t="shared" si="255"/>
        <v>-4.5863820000000004</v>
      </c>
      <c r="JM49" s="102"/>
      <c r="JN49" s="102"/>
      <c r="JO49" s="922"/>
      <c r="JP49" s="102">
        <f t="shared" si="256"/>
        <v>-4.5863820000000004</v>
      </c>
      <c r="JQ49" s="102">
        <f t="shared" si="257"/>
        <v>0</v>
      </c>
      <c r="JR49" s="145"/>
      <c r="JS49" s="929" t="str">
        <f t="shared" si="258"/>
        <v/>
      </c>
      <c r="JT49" s="930">
        <f t="shared" si="259"/>
        <v>-4.5863820000000004</v>
      </c>
      <c r="JV49" s="32">
        <f t="shared" si="260"/>
        <v>-1.519093345432259E-4</v>
      </c>
      <c r="JW49" s="929" t="str">
        <f t="shared" si="261"/>
        <v/>
      </c>
      <c r="JY49" s="929">
        <f t="shared" si="309"/>
        <v>-0.68427618034105675</v>
      </c>
      <c r="JZ49" s="929">
        <f t="shared" si="310"/>
        <v>4.1171373042134309</v>
      </c>
      <c r="KA49" s="929">
        <f t="shared" si="311"/>
        <v>-0.74353252473586451</v>
      </c>
      <c r="KB49" s="929">
        <f t="shared" si="312"/>
        <v>-0.77839604028959009</v>
      </c>
      <c r="KC49" s="929">
        <f t="shared" si="313"/>
        <v>0.72655184883258306</v>
      </c>
      <c r="KD49" s="929">
        <f t="shared" si="314"/>
        <v>0.57179932220852847</v>
      </c>
      <c r="KE49" s="929">
        <f t="shared" si="315"/>
        <v>-0.48533516263648324</v>
      </c>
      <c r="KF49" s="929">
        <f t="shared" si="316"/>
        <v>-1</v>
      </c>
      <c r="KH49" s="102">
        <f t="shared" si="263"/>
        <v>20.175488350000002</v>
      </c>
      <c r="KI49" s="102">
        <f t="shared" si="264"/>
        <v>-38.326162109999991</v>
      </c>
      <c r="KJ49" s="102">
        <f t="shared" si="265"/>
        <v>35.418243759999989</v>
      </c>
      <c r="KK49" s="102">
        <f t="shared" si="266"/>
        <v>9.5095499999999991</v>
      </c>
      <c r="KL49" s="102">
        <f t="shared" si="267"/>
        <v>-1.9669959999999986</v>
      </c>
      <c r="KM49" s="102">
        <f t="shared" si="268"/>
        <v>-2.6727610000000013</v>
      </c>
      <c r="KN49" s="102">
        <f t="shared" si="269"/>
        <v>3.5657865600000007</v>
      </c>
      <c r="KO49" s="102">
        <f t="shared" si="270"/>
        <v>3.7812734399999992</v>
      </c>
      <c r="KQ49" s="32">
        <f t="shared" si="271"/>
        <v>-2.0221617052439723E-3</v>
      </c>
      <c r="KR49" s="32">
        <f t="shared" si="272"/>
        <v>-8.0218196877769881E-4</v>
      </c>
      <c r="KS49" s="32">
        <f t="shared" si="273"/>
        <v>-2.3636947536282872E-4</v>
      </c>
      <c r="KT49" s="32">
        <f t="shared" si="274"/>
        <v>-2.8265418278466499E-3</v>
      </c>
      <c r="KU49" s="32">
        <f t="shared" si="275"/>
        <v>-1.9858257123009063E-3</v>
      </c>
      <c r="KV49" s="32">
        <f t="shared" si="276"/>
        <v>-1.9864551744641266E-4</v>
      </c>
      <c r="KW49" s="32">
        <f t="shared" si="277"/>
        <v>-3.3032668951211909E-4</v>
      </c>
      <c r="KX49" s="32">
        <f t="shared" si="278"/>
        <v>-3.4608029299231121E-4</v>
      </c>
      <c r="KY49" s="32">
        <f t="shared" si="279"/>
        <v>-2.9962814810398201E-4</v>
      </c>
      <c r="KZ49" s="32" t="e">
        <f t="shared" si="280"/>
        <v>#DIV/0!</v>
      </c>
      <c r="LB49" s="102">
        <f t="shared" si="281"/>
        <v>-59.24694955999999</v>
      </c>
      <c r="LC49" s="102">
        <f t="shared" si="281"/>
        <v>-25.900600000000001</v>
      </c>
      <c r="LD49" s="102">
        <f t="shared" si="281"/>
        <v>-0.13544</v>
      </c>
      <c r="LE49" s="102">
        <f t="shared" si="281"/>
        <v>-0.37567600000000001</v>
      </c>
      <c r="LF49" s="102">
        <f t="shared" si="281"/>
        <v>-2.0899999999999998E-2</v>
      </c>
      <c r="LG49" s="102">
        <f t="shared" si="281"/>
        <v>-1.6E-2</v>
      </c>
      <c r="LH49" s="102">
        <f t="shared" si="281"/>
        <v>-8.5699999999999998E-2</v>
      </c>
      <c r="LI49" s="102">
        <f t="shared" si="281"/>
        <v>-5.978E-2</v>
      </c>
      <c r="LJ49" s="102">
        <f t="shared" si="281"/>
        <v>-6.1000000000000004E-3</v>
      </c>
      <c r="LK49" s="102">
        <f t="shared" si="281"/>
        <v>-0.17974999999999999</v>
      </c>
      <c r="LL49" s="102">
        <f t="shared" si="281"/>
        <v>-0.47741</v>
      </c>
      <c r="LM49" s="102">
        <f t="shared" si="281"/>
        <v>-0.47741</v>
      </c>
      <c r="LN49" s="102"/>
      <c r="LO49" s="102"/>
      <c r="LR49" s="32">
        <f t="shared" si="282"/>
        <v>-0.99477077751094567</v>
      </c>
      <c r="LS49" s="32">
        <f t="shared" si="283"/>
        <v>1.7737448316597755</v>
      </c>
      <c r="LT49" s="32">
        <f t="shared" si="284"/>
        <v>-0.94436695450334862</v>
      </c>
      <c r="LU49" s="32">
        <f t="shared" si="285"/>
        <v>-0.23444976076555013</v>
      </c>
      <c r="LV49" s="32">
        <f t="shared" si="286"/>
        <v>4.3562500000000002</v>
      </c>
      <c r="LW49" s="32">
        <f t="shared" si="287"/>
        <v>-0.30245040840140025</v>
      </c>
      <c r="LX49" s="32">
        <f t="shared" si="288"/>
        <v>-1</v>
      </c>
      <c r="LZ49" s="102">
        <f t="shared" si="289"/>
        <v>25.765160000000002</v>
      </c>
      <c r="MA49" s="102">
        <f t="shared" si="290"/>
        <v>-0.24023600000000001</v>
      </c>
      <c r="MB49" s="102">
        <f t="shared" si="291"/>
        <v>0.35477600000000004</v>
      </c>
      <c r="MC49" s="102">
        <f t="shared" si="292"/>
        <v>4.8999999999999981E-3</v>
      </c>
      <c r="MD49" s="102">
        <f t="shared" si="293"/>
        <v>-6.9699999999999998E-2</v>
      </c>
      <c r="ME49" s="102">
        <f t="shared" si="294"/>
        <v>2.5919999999999999E-2</v>
      </c>
      <c r="MF49" s="102">
        <f t="shared" si="295"/>
        <v>5.978E-2</v>
      </c>
      <c r="MH49" s="32">
        <f t="shared" si="296"/>
        <v>-1.9753300963603931E-2</v>
      </c>
      <c r="MI49" s="32">
        <f t="shared" si="297"/>
        <v>-4.6975296267796011E-3</v>
      </c>
      <c r="MJ49" s="32">
        <f t="shared" si="298"/>
        <v>-2.642140112292504E-5</v>
      </c>
      <c r="MK49" s="32">
        <f t="shared" si="299"/>
        <v>-6.4630009844030153E-4</v>
      </c>
      <c r="ML49" s="32">
        <f t="shared" si="300"/>
        <v>-1.3873590535461801E-5</v>
      </c>
      <c r="MM49" s="32">
        <f t="shared" si="301"/>
        <v>-1.5553860771868061E-5</v>
      </c>
      <c r="MN49" s="32">
        <f t="shared" si="302"/>
        <v>-5.5112091689306203E-5</v>
      </c>
      <c r="MO49" s="32">
        <f t="shared" si="303"/>
        <v>-3.176415162755642E-5</v>
      </c>
      <c r="MP49" s="32" t="e">
        <f t="shared" si="304"/>
        <v>#DIV/0!</v>
      </c>
    </row>
    <row r="50" spans="1:354" outlineLevel="2">
      <c r="A50" s="884">
        <v>5120</v>
      </c>
      <c r="B50" s="70" t="s">
        <v>645</v>
      </c>
      <c r="C50" s="29" t="s">
        <v>69</v>
      </c>
      <c r="D50" s="31" t="s">
        <v>59</v>
      </c>
      <c r="E50" s="102">
        <v>-4.6597099999999996</v>
      </c>
      <c r="F50" s="102">
        <v>-6.759710000000001</v>
      </c>
      <c r="G50" s="102">
        <v>-6.7597100000000001</v>
      </c>
      <c r="H50" s="102">
        <v>-1.9957139999999995</v>
      </c>
      <c r="I50" s="102">
        <v>-11.419419999999999</v>
      </c>
      <c r="J50" s="102">
        <v>-2.0999999999999979</v>
      </c>
      <c r="K50" s="102">
        <v>-4.659710000000004</v>
      </c>
      <c r="L50" s="102">
        <v>0</v>
      </c>
      <c r="M50" s="102">
        <v>0</v>
      </c>
      <c r="N50" s="102">
        <v>-6.7597099999999983</v>
      </c>
      <c r="O50" s="102">
        <v>-6.7597099999999983</v>
      </c>
      <c r="P50" s="102">
        <v>-6.7597100000000054</v>
      </c>
      <c r="Q50" s="102">
        <v>0</v>
      </c>
      <c r="R50" s="102">
        <v>0</v>
      </c>
      <c r="S50" s="102">
        <v>0</v>
      </c>
      <c r="T50" s="102">
        <v>0</v>
      </c>
      <c r="U50" s="102">
        <v>0</v>
      </c>
      <c r="V50" s="102">
        <v>0</v>
      </c>
      <c r="W50" s="102">
        <v>0</v>
      </c>
      <c r="X50" s="102">
        <v>0</v>
      </c>
      <c r="Y50" s="102">
        <v>0</v>
      </c>
      <c r="Z50" s="102">
        <v>-2.7000000000000001E-3</v>
      </c>
      <c r="AA50" s="102">
        <v>0</v>
      </c>
      <c r="AB50" s="102">
        <v>2.7000000000000001E-3</v>
      </c>
      <c r="AC50" s="102">
        <v>0</v>
      </c>
      <c r="AD50" s="102">
        <v>0</v>
      </c>
      <c r="AE50" s="102">
        <v>0</v>
      </c>
      <c r="AF50" s="102">
        <v>0</v>
      </c>
      <c r="AG50" s="102">
        <v>0</v>
      </c>
      <c r="AH50" s="102">
        <v>0</v>
      </c>
      <c r="AI50" s="102">
        <v>-6.4655000000000004E-2</v>
      </c>
      <c r="AJ50" s="102">
        <v>-37.799999999999997</v>
      </c>
      <c r="AK50" s="102">
        <v>0</v>
      </c>
      <c r="AL50" s="102">
        <v>37.799999999999997</v>
      </c>
      <c r="AM50" s="102">
        <v>-30.250636</v>
      </c>
      <c r="AN50" s="102">
        <v>-40.741195000000005</v>
      </c>
      <c r="AO50" s="102">
        <v>-19.25</v>
      </c>
      <c r="AP50" s="145">
        <v>-20.600142000000002</v>
      </c>
      <c r="AQ50" s="143">
        <v>-20.542642000000001</v>
      </c>
      <c r="AR50" s="220">
        <v>-10.235142</v>
      </c>
      <c r="AS50" s="102">
        <v>-1.235142</v>
      </c>
      <c r="AT50" s="102">
        <v>-1.7868660000000001</v>
      </c>
      <c r="AU50" s="102">
        <v>0</v>
      </c>
      <c r="AV50" s="102">
        <v>-4.1095439999999996</v>
      </c>
      <c r="AW50" s="102">
        <v>-1.9185600099999998</v>
      </c>
      <c r="AX50" s="102">
        <v>-2.2256619999999998</v>
      </c>
      <c r="AY50" s="102">
        <v>-1.2351419999999997</v>
      </c>
      <c r="AZ50" s="102">
        <v>-1.235142</v>
      </c>
      <c r="BA50" s="102">
        <v>-1.235142</v>
      </c>
      <c r="BB50" s="102">
        <v>-1.235142</v>
      </c>
      <c r="BC50" s="102">
        <v>-1.235142</v>
      </c>
      <c r="BD50" s="102">
        <v>-1.235142</v>
      </c>
      <c r="BE50" s="102">
        <v>-1.235142</v>
      </c>
      <c r="BF50" s="102">
        <v>-1.235142</v>
      </c>
      <c r="BG50" s="102">
        <v>-1.235142</v>
      </c>
      <c r="BH50" s="102">
        <v>-1.235142</v>
      </c>
      <c r="BI50" s="102">
        <v>-1.235142</v>
      </c>
      <c r="BJ50" s="102">
        <v>-1.235142</v>
      </c>
      <c r="BK50" s="102">
        <v>-1.235142</v>
      </c>
      <c r="BL50" s="102">
        <v>-1.235142</v>
      </c>
      <c r="BM50" s="102">
        <v>-1.4327650000000001</v>
      </c>
      <c r="BN50" s="102">
        <v>-1.235142</v>
      </c>
      <c r="BO50" s="102">
        <v>-1.235142</v>
      </c>
      <c r="BP50" s="102">
        <v>-1.235142</v>
      </c>
      <c r="BQ50" s="102">
        <v>-1.235142</v>
      </c>
      <c r="BR50" s="102">
        <v>-1.235142</v>
      </c>
      <c r="BS50" s="102">
        <v>-1.235142</v>
      </c>
      <c r="BT50" s="102">
        <v>-1.235142</v>
      </c>
      <c r="BU50" s="102">
        <v>-1.235142</v>
      </c>
      <c r="BV50" s="102">
        <v>-1.235142</v>
      </c>
      <c r="BW50" s="102">
        <v>-1.235142</v>
      </c>
      <c r="BX50" s="102">
        <v>-1.235142</v>
      </c>
      <c r="BY50" s="102">
        <v>-0.46134500000000001</v>
      </c>
      <c r="BZ50" s="102">
        <v>-0.47056999999999999</v>
      </c>
      <c r="CA50" s="102">
        <v>0</v>
      </c>
      <c r="CB50" s="102">
        <v>0</v>
      </c>
      <c r="CC50" s="102">
        <v>0.19762299999999999</v>
      </c>
      <c r="CD50" s="102">
        <v>0</v>
      </c>
      <c r="CE50" s="102">
        <v>-5.0335999999999999E-2</v>
      </c>
      <c r="CF50" s="102">
        <v>0</v>
      </c>
      <c r="CG50" s="102">
        <v>0</v>
      </c>
      <c r="CH50" s="102">
        <v>0</v>
      </c>
      <c r="CI50" s="102">
        <v>0</v>
      </c>
      <c r="CJ50" s="102">
        <v>-0.147287</v>
      </c>
      <c r="CK50" s="102">
        <v>0.147287</v>
      </c>
      <c r="CL50" s="102">
        <v>0</v>
      </c>
      <c r="CM50" s="102">
        <v>0</v>
      </c>
      <c r="CN50" s="102">
        <v>0</v>
      </c>
      <c r="CO50" s="102">
        <v>0</v>
      </c>
      <c r="CP50" s="102">
        <v>0</v>
      </c>
      <c r="CQ50" s="102">
        <v>0</v>
      </c>
      <c r="CR50" s="102">
        <v>0</v>
      </c>
      <c r="CS50" s="102">
        <v>0</v>
      </c>
      <c r="CT50" s="102">
        <v>-9.9796999999999997E-2</v>
      </c>
      <c r="CU50" s="102">
        <v>-0.723553</v>
      </c>
      <c r="CV50" s="102">
        <v>-0.72355000000000003</v>
      </c>
      <c r="CW50" s="102">
        <v>-0.72355000000000003</v>
      </c>
      <c r="CX50" s="102">
        <v>-0.74850000000000005</v>
      </c>
      <c r="CY50" s="102">
        <v>-0.499</v>
      </c>
      <c r="CZ50" s="102">
        <v>-0.47405000000000003</v>
      </c>
      <c r="DA50" s="102">
        <v>0</v>
      </c>
      <c r="DB50" s="102">
        <v>0</v>
      </c>
      <c r="DC50" s="102">
        <v>-2.495E-2</v>
      </c>
      <c r="DD50" s="102">
        <v>0</v>
      </c>
      <c r="DE50" s="102">
        <v>0</v>
      </c>
      <c r="DF50" s="102">
        <v>0</v>
      </c>
      <c r="DG50" s="102">
        <v>0</v>
      </c>
      <c r="DH50" s="102">
        <v>2.495E-2</v>
      </c>
      <c r="DI50" s="102">
        <v>0</v>
      </c>
      <c r="DJ50" s="102">
        <v>0</v>
      </c>
      <c r="DK50" s="102">
        <v>0</v>
      </c>
      <c r="DL50" s="102">
        <v>0</v>
      </c>
      <c r="DM50" s="102">
        <v>0</v>
      </c>
      <c r="DN50" s="102">
        <v>0</v>
      </c>
      <c r="DO50" s="102">
        <v>0</v>
      </c>
      <c r="DP50" s="102">
        <v>0</v>
      </c>
      <c r="DQ50" s="940">
        <v>0</v>
      </c>
      <c r="DR50" s="940">
        <v>0</v>
      </c>
      <c r="DS50" s="940">
        <v>0</v>
      </c>
      <c r="DT50" s="940">
        <v>0</v>
      </c>
      <c r="DU50" s="940">
        <v>0</v>
      </c>
      <c r="DV50" s="940">
        <v>0</v>
      </c>
      <c r="DW50" s="940">
        <v>0</v>
      </c>
      <c r="DX50" s="940">
        <v>0</v>
      </c>
      <c r="DY50" s="940">
        <v>0</v>
      </c>
      <c r="DZ50" s="940">
        <v>0</v>
      </c>
      <c r="EA50" s="940">
        <v>0</v>
      </c>
      <c r="EB50" s="940">
        <v>0</v>
      </c>
      <c r="EC50" s="940">
        <v>0</v>
      </c>
      <c r="ED50" s="940">
        <v>0</v>
      </c>
      <c r="EE50" s="940">
        <v>0</v>
      </c>
      <c r="EF50" s="940">
        <v>0</v>
      </c>
      <c r="EG50" s="145"/>
      <c r="EH50" s="102">
        <v>-0.72355000000000003</v>
      </c>
      <c r="EI50" s="102">
        <v>-0.74850000000000005</v>
      </c>
      <c r="EJ50" s="102">
        <v>-0.499</v>
      </c>
      <c r="EK50" s="102">
        <v>-0.47405000000000003</v>
      </c>
      <c r="EL50" s="102">
        <v>0</v>
      </c>
      <c r="EM50" s="102">
        <v>0</v>
      </c>
      <c r="EN50" s="102">
        <v>0</v>
      </c>
      <c r="EO50" s="102">
        <v>0</v>
      </c>
      <c r="EP50" s="102">
        <v>0</v>
      </c>
      <c r="EQ50" s="102">
        <v>0</v>
      </c>
      <c r="ER50" s="102">
        <v>0</v>
      </c>
      <c r="ES50" s="102">
        <v>0</v>
      </c>
      <c r="EU50" s="102">
        <v>-19.5</v>
      </c>
      <c r="EV50" s="102">
        <v>-19.5</v>
      </c>
      <c r="EW50" s="102">
        <v>-19.5</v>
      </c>
      <c r="EX50" s="102">
        <v>0</v>
      </c>
      <c r="EY50" s="102">
        <v>0</v>
      </c>
      <c r="EZ50" s="102">
        <v>0</v>
      </c>
      <c r="FA50" s="102">
        <v>0</v>
      </c>
      <c r="FB50" s="102">
        <v>0</v>
      </c>
      <c r="FC50" s="102">
        <v>0</v>
      </c>
      <c r="FD50" s="102">
        <v>0</v>
      </c>
      <c r="FE50" s="102">
        <v>0</v>
      </c>
      <c r="FF50" s="102">
        <v>0</v>
      </c>
      <c r="FG50" s="102">
        <v>0</v>
      </c>
      <c r="FH50" s="102">
        <v>0</v>
      </c>
      <c r="FI50" s="102">
        <v>0</v>
      </c>
      <c r="FJ50" s="102">
        <v>0</v>
      </c>
      <c r="FK50" s="102">
        <v>0</v>
      </c>
      <c r="FL50" s="102">
        <v>0</v>
      </c>
      <c r="FM50" s="102">
        <v>0</v>
      </c>
      <c r="FN50" s="102">
        <v>0</v>
      </c>
      <c r="FO50" s="102">
        <v>0</v>
      </c>
      <c r="FP50" s="102">
        <v>0</v>
      </c>
      <c r="FQ50" s="102">
        <v>0</v>
      </c>
      <c r="FR50" s="102">
        <v>0</v>
      </c>
      <c r="FS50" s="102">
        <v>-1.24</v>
      </c>
      <c r="FT50" s="102">
        <v>-1.24</v>
      </c>
      <c r="FU50" s="102">
        <v>-1.24</v>
      </c>
      <c r="FV50" s="102">
        <v>-1.24</v>
      </c>
      <c r="FW50" s="102">
        <v>-1.24</v>
      </c>
      <c r="FX50" s="102">
        <v>-1.24</v>
      </c>
      <c r="FY50" s="102">
        <v>-1.24</v>
      </c>
      <c r="FZ50" s="102">
        <v>-1.24</v>
      </c>
      <c r="GA50" s="102">
        <v>-1.24</v>
      </c>
      <c r="GB50" s="102">
        <v>-1.24</v>
      </c>
      <c r="GC50" s="102">
        <v>-1.24</v>
      </c>
      <c r="GD50" s="102">
        <v>-1.24</v>
      </c>
      <c r="GE50" s="102">
        <v>0</v>
      </c>
      <c r="GF50" s="102">
        <v>0</v>
      </c>
      <c r="GG50" s="102">
        <v>0</v>
      </c>
      <c r="GH50" s="102">
        <v>0</v>
      </c>
      <c r="GI50" s="102">
        <v>0</v>
      </c>
      <c r="GJ50" s="102">
        <v>0</v>
      </c>
      <c r="GK50" s="102">
        <v>0</v>
      </c>
      <c r="GL50" s="102">
        <v>0</v>
      </c>
      <c r="GM50" s="102">
        <v>0</v>
      </c>
      <c r="GN50" s="102">
        <v>0</v>
      </c>
      <c r="GO50" s="102">
        <v>0</v>
      </c>
      <c r="GP50" s="102">
        <v>0</v>
      </c>
      <c r="GQ50" s="102">
        <v>0</v>
      </c>
      <c r="GR50" s="102">
        <v>0</v>
      </c>
      <c r="GS50" s="102">
        <v>0</v>
      </c>
      <c r="GT50" s="102">
        <v>0</v>
      </c>
      <c r="GU50" s="102">
        <v>0</v>
      </c>
      <c r="GV50" s="102">
        <v>0</v>
      </c>
      <c r="GW50" s="102">
        <v>0</v>
      </c>
      <c r="GX50" s="102">
        <v>0</v>
      </c>
      <c r="GY50" s="102">
        <v>0</v>
      </c>
      <c r="GZ50" s="102">
        <v>0</v>
      </c>
      <c r="HA50" s="102">
        <v>0</v>
      </c>
      <c r="HB50" s="102">
        <v>0</v>
      </c>
      <c r="HD50" s="102">
        <f t="shared" si="226"/>
        <v>-58.633104000000003</v>
      </c>
      <c r="HE50" s="102">
        <f t="shared" si="226"/>
        <v>0</v>
      </c>
      <c r="HF50" s="102">
        <f t="shared" si="226"/>
        <v>-71.056486000000007</v>
      </c>
      <c r="HG50" s="102">
        <f t="shared" si="226"/>
        <v>-84.373984009999987</v>
      </c>
      <c r="HH50" s="102">
        <f t="shared" si="227"/>
        <v>-14.821703999999999</v>
      </c>
      <c r="HI50" s="102">
        <f t="shared" si="228"/>
        <v>-15.019326999999999</v>
      </c>
      <c r="HJ50" s="102">
        <f t="shared" si="229"/>
        <v>-0.93191500000000005</v>
      </c>
      <c r="HK50" s="102">
        <f t="shared" si="230"/>
        <v>-1.399613</v>
      </c>
      <c r="HL50" s="940">
        <f>+SUMIF($E$6:SEW$6,HL$7,$E50:SEW50)</f>
        <v>-2.4451000000000001</v>
      </c>
      <c r="HM50" s="940">
        <f>+SUMIF($E$6:SEX$6,HM$7,$E50:SEX50)</f>
        <v>0</v>
      </c>
      <c r="HN50" s="940">
        <f>+SUMIF($E$6:SEY$6,HN$7,$E50:SEY50)</f>
        <v>0</v>
      </c>
      <c r="HO50" s="102"/>
      <c r="HP50" s="102"/>
      <c r="HR50" s="929" t="str">
        <f t="shared" si="231"/>
        <v/>
      </c>
      <c r="HS50" s="929">
        <f t="shared" si="232"/>
        <v>0.18742128635519606</v>
      </c>
      <c r="HT50" s="929">
        <f t="shared" si="233"/>
        <v>-0.82433324473283931</v>
      </c>
      <c r="HU50" s="929">
        <f t="shared" si="234"/>
        <v>1.3333352224548456E-2</v>
      </c>
      <c r="HV50" s="929">
        <f t="shared" si="235"/>
        <v>-0.93795227975261475</v>
      </c>
      <c r="HW50" s="929">
        <f t="shared" si="236"/>
        <v>0.50186765960414847</v>
      </c>
      <c r="HX50" s="929">
        <f t="shared" si="237"/>
        <v>0.7469829159917778</v>
      </c>
      <c r="HY50" s="929">
        <f t="shared" si="237"/>
        <v>-1</v>
      </c>
      <c r="HZ50" s="929" t="str">
        <f t="shared" si="237"/>
        <v/>
      </c>
      <c r="IA50" s="929">
        <f t="shared" si="305"/>
        <v>-1</v>
      </c>
      <c r="IB50" s="929" t="str">
        <f t="shared" si="238"/>
        <v/>
      </c>
      <c r="IC50" s="929">
        <f t="shared" si="306"/>
        <v>-1</v>
      </c>
      <c r="IE50" s="102">
        <f t="shared" si="239"/>
        <v>-71.056486000000007</v>
      </c>
      <c r="IF50" s="102">
        <f t="shared" si="240"/>
        <v>-13.31749800999998</v>
      </c>
      <c r="IG50" s="102">
        <f t="shared" si="241"/>
        <v>69.55228000999999</v>
      </c>
      <c r="IH50" s="102">
        <f t="shared" si="242"/>
        <v>-0.1976230000000001</v>
      </c>
      <c r="II50" s="102">
        <f t="shared" si="100"/>
        <v>14.087411999999999</v>
      </c>
      <c r="IJ50" s="102">
        <f t="shared" si="101"/>
        <v>-0.46769799999999995</v>
      </c>
      <c r="IK50" s="102">
        <f t="shared" si="102"/>
        <v>-1.0454870000000001</v>
      </c>
      <c r="IL50" s="102">
        <f t="shared" si="307"/>
        <v>2.4451000000000001</v>
      </c>
      <c r="IM50" s="102">
        <f t="shared" si="243"/>
        <v>0</v>
      </c>
      <c r="IN50" s="102">
        <f t="shared" si="308"/>
        <v>2.4451000000000001</v>
      </c>
      <c r="IP50" s="32">
        <f t="shared" si="244"/>
        <v>0</v>
      </c>
      <c r="IQ50" s="32">
        <f t="shared" si="245"/>
        <v>-1.8042434444360601E-3</v>
      </c>
      <c r="IR50" s="32">
        <f t="shared" si="246"/>
        <v>-5.0065311337121219E-3</v>
      </c>
      <c r="IS50" s="32">
        <f t="shared" si="247"/>
        <v>-2.4092391799519232E-3</v>
      </c>
      <c r="IT50" s="32">
        <f t="shared" si="248"/>
        <v>-1.102027362143017E-3</v>
      </c>
      <c r="IU50" s="32">
        <f t="shared" si="249"/>
        <v>-6.5857232679528317E-5</v>
      </c>
      <c r="IV50" s="32">
        <f t="shared" si="250"/>
        <v>-6.5928204903165029E-5</v>
      </c>
      <c r="IW50" s="32">
        <f t="shared" si="251"/>
        <v>-1.9374975032989059E-4</v>
      </c>
      <c r="IX50" s="32" t="e">
        <f t="shared" si="252"/>
        <v>#DIV/0!</v>
      </c>
      <c r="IY50" s="32" t="e">
        <f t="shared" si="253"/>
        <v>#DIV/0!</v>
      </c>
      <c r="JA50" s="102">
        <f t="shared" si="254"/>
        <v>-58.633104000000003</v>
      </c>
      <c r="JB50" s="102">
        <f t="shared" si="254"/>
        <v>0</v>
      </c>
      <c r="JC50" s="102">
        <f t="shared" si="254"/>
        <v>-71.056486000000007</v>
      </c>
      <c r="JD50" s="102">
        <f t="shared" si="254"/>
        <v>-84.373984009999987</v>
      </c>
      <c r="JE50" s="102">
        <f t="shared" si="254"/>
        <v>-14.821703999999999</v>
      </c>
      <c r="JF50" s="102">
        <f t="shared" si="254"/>
        <v>-15.019326999999999</v>
      </c>
      <c r="JG50" s="102">
        <f t="shared" si="254"/>
        <v>-0.93191500000000005</v>
      </c>
      <c r="JH50" s="102">
        <f t="shared" si="254"/>
        <v>-1.399613</v>
      </c>
      <c r="JI50" s="102">
        <f t="shared" si="254"/>
        <v>-2.4451000000000001</v>
      </c>
      <c r="JJ50" s="102">
        <f t="shared" si="254"/>
        <v>0</v>
      </c>
      <c r="JK50" s="102">
        <f t="shared" si="254"/>
        <v>0</v>
      </c>
      <c r="JL50" s="102">
        <f t="shared" si="255"/>
        <v>0</v>
      </c>
      <c r="JM50" s="102"/>
      <c r="JN50" s="102"/>
      <c r="JO50" s="922"/>
      <c r="JP50" s="102">
        <f t="shared" si="256"/>
        <v>0</v>
      </c>
      <c r="JQ50" s="102">
        <f t="shared" si="257"/>
        <v>0</v>
      </c>
      <c r="JR50" s="145"/>
      <c r="JS50" s="929" t="str">
        <f t="shared" si="258"/>
        <v/>
      </c>
      <c r="JT50" s="930">
        <f t="shared" si="259"/>
        <v>0</v>
      </c>
      <c r="JV50" s="32">
        <f t="shared" si="260"/>
        <v>0</v>
      </c>
      <c r="JW50" s="929" t="str">
        <f t="shared" si="261"/>
        <v/>
      </c>
      <c r="JY50" s="929" t="str">
        <f t="shared" si="309"/>
        <v/>
      </c>
      <c r="JZ50" s="929">
        <f t="shared" si="310"/>
        <v>0.18742128635519606</v>
      </c>
      <c r="KA50" s="929">
        <f t="shared" si="311"/>
        <v>-0.82433324473283931</v>
      </c>
      <c r="KB50" s="929">
        <f t="shared" si="312"/>
        <v>1.3333352224548456E-2</v>
      </c>
      <c r="KC50" s="929">
        <f t="shared" si="313"/>
        <v>-0.93795227975261475</v>
      </c>
      <c r="KD50" s="929">
        <f t="shared" si="314"/>
        <v>0.50186765960414847</v>
      </c>
      <c r="KE50" s="929">
        <f t="shared" si="315"/>
        <v>0.7469829159917778</v>
      </c>
      <c r="KF50" s="929">
        <f t="shared" si="316"/>
        <v>-1</v>
      </c>
      <c r="KH50" s="102">
        <f t="shared" si="263"/>
        <v>-71.056486000000007</v>
      </c>
      <c r="KI50" s="102">
        <f t="shared" si="264"/>
        <v>-13.31749800999998</v>
      </c>
      <c r="KJ50" s="102">
        <f t="shared" si="265"/>
        <v>69.55228000999999</v>
      </c>
      <c r="KK50" s="102">
        <f t="shared" si="266"/>
        <v>-0.1976230000000001</v>
      </c>
      <c r="KL50" s="102">
        <f t="shared" si="267"/>
        <v>14.087411999999999</v>
      </c>
      <c r="KM50" s="102">
        <f t="shared" si="268"/>
        <v>-0.46769799999999995</v>
      </c>
      <c r="KN50" s="102">
        <f t="shared" si="269"/>
        <v>-1.0454870000000001</v>
      </c>
      <c r="KO50" s="102">
        <f t="shared" si="270"/>
        <v>2.4451000000000001</v>
      </c>
      <c r="KQ50" s="32">
        <f t="shared" si="271"/>
        <v>-1.6160665567315944E-3</v>
      </c>
      <c r="KR50" s="32">
        <f t="shared" si="272"/>
        <v>0</v>
      </c>
      <c r="KS50" s="32">
        <f t="shared" si="273"/>
        <v>-1.8042434444360601E-3</v>
      </c>
      <c r="KT50" s="32">
        <f t="shared" si="274"/>
        <v>-5.0065311337121219E-3</v>
      </c>
      <c r="KU50" s="32">
        <f t="shared" si="275"/>
        <v>-2.4092391799519232E-3</v>
      </c>
      <c r="KV50" s="32">
        <f t="shared" si="276"/>
        <v>-1.102027362143017E-3</v>
      </c>
      <c r="KW50" s="32">
        <f t="shared" si="277"/>
        <v>-6.5857232679528317E-5</v>
      </c>
      <c r="KX50" s="32">
        <f t="shared" si="278"/>
        <v>-6.5928204903165029E-5</v>
      </c>
      <c r="KY50" s="32">
        <f t="shared" si="279"/>
        <v>-1.9374975032989059E-4</v>
      </c>
      <c r="KZ50" s="32" t="e">
        <f t="shared" si="280"/>
        <v>#DIV/0!</v>
      </c>
      <c r="LB50" s="102">
        <f t="shared" si="281"/>
        <v>-6.7597100000000054</v>
      </c>
      <c r="LC50" s="102">
        <f t="shared" si="281"/>
        <v>2.7000000000000001E-3</v>
      </c>
      <c r="LD50" s="102">
        <f t="shared" si="281"/>
        <v>-40.741195000000005</v>
      </c>
      <c r="LE50" s="102">
        <f t="shared" si="281"/>
        <v>-1.235142</v>
      </c>
      <c r="LF50" s="102">
        <f t="shared" si="281"/>
        <v>-1.235142</v>
      </c>
      <c r="LG50" s="102">
        <f t="shared" si="281"/>
        <v>-1.235142</v>
      </c>
      <c r="LH50" s="102">
        <f t="shared" si="281"/>
        <v>-0.147287</v>
      </c>
      <c r="LI50" s="102">
        <f t="shared" si="281"/>
        <v>-0.72355000000000003</v>
      </c>
      <c r="LJ50" s="102">
        <f t="shared" si="281"/>
        <v>2.495E-2</v>
      </c>
      <c r="LK50" s="102">
        <f t="shared" si="281"/>
        <v>0</v>
      </c>
      <c r="LL50" s="102">
        <f t="shared" si="281"/>
        <v>0</v>
      </c>
      <c r="LM50" s="102">
        <f t="shared" si="281"/>
        <v>0</v>
      </c>
      <c r="LN50" s="102"/>
      <c r="LO50" s="102"/>
      <c r="LR50" s="32">
        <f t="shared" si="282"/>
        <v>-15090.331481481482</v>
      </c>
      <c r="LS50" s="32">
        <f t="shared" si="283"/>
        <v>-0.96968321621395737</v>
      </c>
      <c r="LT50" s="32">
        <f t="shared" si="284"/>
        <v>0</v>
      </c>
      <c r="LU50" s="32">
        <f t="shared" si="285"/>
        <v>0</v>
      </c>
      <c r="LV50" s="32">
        <f t="shared" si="286"/>
        <v>-0.88075298224819498</v>
      </c>
      <c r="LW50" s="32">
        <f t="shared" si="287"/>
        <v>3.9125177374785283</v>
      </c>
      <c r="LX50" s="32">
        <f t="shared" si="288"/>
        <v>-1</v>
      </c>
      <c r="LZ50" s="102">
        <f t="shared" si="289"/>
        <v>-40.743895000000002</v>
      </c>
      <c r="MA50" s="102">
        <f t="shared" si="290"/>
        <v>39.506053000000001</v>
      </c>
      <c r="MB50" s="102">
        <f t="shared" si="291"/>
        <v>0</v>
      </c>
      <c r="MC50" s="102">
        <f t="shared" si="292"/>
        <v>0</v>
      </c>
      <c r="MD50" s="102">
        <f t="shared" si="293"/>
        <v>1.087855</v>
      </c>
      <c r="ME50" s="102">
        <f t="shared" si="294"/>
        <v>-0.57626299999999997</v>
      </c>
      <c r="MF50" s="102">
        <f t="shared" si="295"/>
        <v>0.72355000000000003</v>
      </c>
      <c r="MH50" s="32">
        <f t="shared" si="296"/>
        <v>-2.2537292982731457E-3</v>
      </c>
      <c r="MI50" s="32">
        <f t="shared" si="297"/>
        <v>4.8969251647857288E-7</v>
      </c>
      <c r="MJ50" s="32">
        <f t="shared" si="298"/>
        <v>-7.9477219087589202E-3</v>
      </c>
      <c r="MK50" s="32">
        <f t="shared" si="299"/>
        <v>-2.124895910805457E-3</v>
      </c>
      <c r="ML50" s="32">
        <f t="shared" si="300"/>
        <v>-8.1989733785413214E-4</v>
      </c>
      <c r="MM50" s="32">
        <f t="shared" si="301"/>
        <v>-1.2007016688429161E-3</v>
      </c>
      <c r="MN50" s="32">
        <f t="shared" si="302"/>
        <v>-9.471755716035989E-5</v>
      </c>
      <c r="MO50" s="32">
        <f t="shared" si="303"/>
        <v>-3.8445888106588237E-4</v>
      </c>
      <c r="MP50" s="32" t="e">
        <f t="shared" si="304"/>
        <v>#DIV/0!</v>
      </c>
    </row>
    <row r="51" spans="1:354" outlineLevel="2">
      <c r="A51" s="884">
        <v>5125</v>
      </c>
      <c r="B51" s="70" t="s">
        <v>646</v>
      </c>
      <c r="C51" s="29" t="s">
        <v>85</v>
      </c>
      <c r="D51" s="31" t="s">
        <v>59</v>
      </c>
      <c r="E51" s="102">
        <v>-5.940232</v>
      </c>
      <c r="F51" s="102">
        <v>-4.8137190000000007</v>
      </c>
      <c r="G51" s="102">
        <v>-4.8400059999999989</v>
      </c>
      <c r="H51" s="102">
        <v>-5.1257960000000011</v>
      </c>
      <c r="I51" s="102">
        <v>-5.0956960000000002</v>
      </c>
      <c r="J51" s="102">
        <v>-5.9998529999999981</v>
      </c>
      <c r="K51" s="102">
        <v>-4.6605060000000016</v>
      </c>
      <c r="L51" s="102">
        <v>-5.5674399999999977</v>
      </c>
      <c r="M51" s="102">
        <v>-4.635078</v>
      </c>
      <c r="N51" s="102">
        <v>-4.3063199999999995</v>
      </c>
      <c r="O51" s="102">
        <v>-4.3670180000000016</v>
      </c>
      <c r="P51" s="102">
        <v>-3.4167430000000039</v>
      </c>
      <c r="Q51" s="102">
        <v>-5.2480880000000001</v>
      </c>
      <c r="R51" s="102">
        <v>-4.3520000000000012</v>
      </c>
      <c r="S51" s="102">
        <v>-5.7339499999999983</v>
      </c>
      <c r="T51" s="102">
        <v>-3.9336249999999993</v>
      </c>
      <c r="U51" s="102">
        <v>-2.5747000000000035</v>
      </c>
      <c r="V51" s="102">
        <v>-6.2776999999999958</v>
      </c>
      <c r="W51" s="102">
        <v>-4.6857569999999988</v>
      </c>
      <c r="X51" s="102">
        <v>-6.7532000000000068</v>
      </c>
      <c r="Y51" s="102">
        <v>-3.7252749999999963</v>
      </c>
      <c r="Z51" s="102">
        <v>-4.5060509999999994</v>
      </c>
      <c r="AA51" s="102">
        <v>-3.6063250000000053</v>
      </c>
      <c r="AB51" s="102">
        <v>-4.4512750000000025</v>
      </c>
      <c r="AC51" s="102">
        <v>-6.9854000000000003</v>
      </c>
      <c r="AD51" s="102">
        <v>-6.4581666599999998</v>
      </c>
      <c r="AE51" s="102">
        <v>-5.2046999999999999</v>
      </c>
      <c r="AF51" s="102">
        <v>-10.520643339999999</v>
      </c>
      <c r="AG51" s="102">
        <v>-7.0316343300000002</v>
      </c>
      <c r="AH51" s="102">
        <v>-14.135400010000001</v>
      </c>
      <c r="AI51" s="102">
        <v>-5.3497000000000003</v>
      </c>
      <c r="AJ51" s="102">
        <v>-6.2064600000000008</v>
      </c>
      <c r="AK51" s="102">
        <v>-5.58346667</v>
      </c>
      <c r="AL51" s="102">
        <v>-6.0569999999999995</v>
      </c>
      <c r="AM51" s="102">
        <v>-11.701998199999998</v>
      </c>
      <c r="AN51" s="102">
        <v>-1.2178066700000003</v>
      </c>
      <c r="AO51" s="102">
        <v>-6.8740876699999998</v>
      </c>
      <c r="AP51" s="145">
        <v>-5.5951958399999997</v>
      </c>
      <c r="AQ51" s="143">
        <v>-6.0158500000000004</v>
      </c>
      <c r="AR51" s="220">
        <v>-5.8225449999999999</v>
      </c>
      <c r="AS51" s="102">
        <v>-7.3308916699999997</v>
      </c>
      <c r="AT51" s="102">
        <v>-14.055035570000001</v>
      </c>
      <c r="AU51" s="102">
        <v>-7.20310367</v>
      </c>
      <c r="AV51" s="102">
        <v>-4.3834966600000005</v>
      </c>
      <c r="AW51" s="102">
        <v>-13.048298000000001</v>
      </c>
      <c r="AX51" s="102">
        <v>-5.5803250000000002</v>
      </c>
      <c r="AY51" s="102">
        <v>-5.2567899999999996</v>
      </c>
      <c r="AZ51" s="102">
        <v>-5.0044519999999997</v>
      </c>
      <c r="BA51" s="102">
        <v>-4.5573747999999998</v>
      </c>
      <c r="BB51" s="102">
        <v>-2.0339347999999999</v>
      </c>
      <c r="BC51" s="102">
        <v>-3.329243</v>
      </c>
      <c r="BD51" s="102">
        <v>-3.7783340000000001</v>
      </c>
      <c r="BE51" s="102">
        <v>-2.9845160000000002</v>
      </c>
      <c r="BF51" s="102">
        <v>-7.2454795999999995</v>
      </c>
      <c r="BG51" s="102">
        <v>-5.1007889999999998</v>
      </c>
      <c r="BH51" s="102">
        <v>-3.007069</v>
      </c>
      <c r="BI51" s="102">
        <v>-2.9417397999999997</v>
      </c>
      <c r="BJ51" s="102">
        <v>-2.1121534999999998</v>
      </c>
      <c r="BK51" s="102">
        <v>-2.6297890000000002</v>
      </c>
      <c r="BL51" s="102">
        <v>-3.7652288999999999</v>
      </c>
      <c r="BM51" s="102">
        <v>-2.75437303</v>
      </c>
      <c r="BN51" s="102">
        <v>-2.9508679999999998</v>
      </c>
      <c r="BO51" s="102">
        <v>-5.5542680000000004</v>
      </c>
      <c r="BP51" s="102">
        <v>-9.5362185399999984</v>
      </c>
      <c r="BQ51" s="102">
        <v>-9.3377308699999997</v>
      </c>
      <c r="BR51" s="102">
        <v>-5.5469277000000003</v>
      </c>
      <c r="BS51" s="102">
        <v>-1.3032992699999995</v>
      </c>
      <c r="BT51" s="102">
        <v>-2.2704339999999998</v>
      </c>
      <c r="BU51" s="102">
        <v>-1.4754339999999999</v>
      </c>
      <c r="BV51" s="102">
        <v>-1.4754339999999999</v>
      </c>
      <c r="BW51" s="102">
        <v>-1.3770717299999999</v>
      </c>
      <c r="BX51" s="102">
        <v>-2.666175</v>
      </c>
      <c r="BY51" s="102">
        <v>-1.7057116999999999</v>
      </c>
      <c r="BZ51" s="102">
        <v>-1.6406082</v>
      </c>
      <c r="CA51" s="102">
        <v>-2.3437260000000002</v>
      </c>
      <c r="CB51" s="102">
        <v>-2.3437260000000002</v>
      </c>
      <c r="CC51" s="102">
        <v>-2.708526</v>
      </c>
      <c r="CD51" s="102">
        <v>-6.2487259999999996</v>
      </c>
      <c r="CE51" s="102">
        <v>-6.6196380000000001</v>
      </c>
      <c r="CF51" s="102">
        <v>-1.6083183999999999</v>
      </c>
      <c r="CG51" s="102">
        <v>-0.41666240000000004</v>
      </c>
      <c r="CH51" s="102">
        <v>-2.6473450999999999</v>
      </c>
      <c r="CI51" s="102">
        <v>-1.4583184</v>
      </c>
      <c r="CJ51" s="102">
        <v>-3.4927197999999997</v>
      </c>
      <c r="CK51" s="102">
        <v>-2.8290702699999999</v>
      </c>
      <c r="CL51" s="102">
        <v>-2.4843479999999998</v>
      </c>
      <c r="CM51" s="102">
        <v>-2.4843479999999998</v>
      </c>
      <c r="CN51" s="102">
        <v>-4.4839979999999997</v>
      </c>
      <c r="CO51" s="102">
        <v>-2.4843479999999998</v>
      </c>
      <c r="CP51" s="102">
        <v>-2.09789387</v>
      </c>
      <c r="CQ51" s="102">
        <v>-6.3811672000000002</v>
      </c>
      <c r="CR51" s="102">
        <v>-4.7934640000000002</v>
      </c>
      <c r="CS51" s="102">
        <v>-3.3124639999999999</v>
      </c>
      <c r="CT51" s="102">
        <v>-6.3920139300000001</v>
      </c>
      <c r="CU51" s="102">
        <v>-4.4336609999999999</v>
      </c>
      <c r="CV51" s="102">
        <v>-4.2387790000000001</v>
      </c>
      <c r="CW51" s="102">
        <v>-4.301234</v>
      </c>
      <c r="CX51" s="102">
        <v>-5.7268179999999997</v>
      </c>
      <c r="CY51" s="102">
        <v>-5.1205179999999997</v>
      </c>
      <c r="CZ51" s="102">
        <v>-5.3177370000000002</v>
      </c>
      <c r="DA51" s="102">
        <v>-0.46540900000000002</v>
      </c>
      <c r="DB51" s="102">
        <v>-1.490607</v>
      </c>
      <c r="DC51" s="102">
        <v>0</v>
      </c>
      <c r="DD51" s="102">
        <v>-0.59536800000000001</v>
      </c>
      <c r="DE51" s="102">
        <v>-2.691554</v>
      </c>
      <c r="DF51" s="102">
        <v>-2.6334089999999999</v>
      </c>
      <c r="DG51" s="102">
        <v>-2.7374160000000001</v>
      </c>
      <c r="DH51" s="102">
        <v>-1.66151</v>
      </c>
      <c r="DI51" s="102">
        <v>-1.1683760000000001</v>
      </c>
      <c r="DJ51" s="102">
        <v>-1.4687840000000001</v>
      </c>
      <c r="DK51" s="102">
        <v>-2.3268529999999998</v>
      </c>
      <c r="DL51" s="102">
        <v>-3.3161610000000001</v>
      </c>
      <c r="DM51" s="102">
        <v>-3.6701009999999998</v>
      </c>
      <c r="DN51" s="102">
        <v>-5.125699</v>
      </c>
      <c r="DO51" s="102">
        <v>-3.3312620000000002</v>
      </c>
      <c r="DP51" s="102">
        <v>-4.2447790000000003</v>
      </c>
      <c r="DQ51" s="940">
        <v>-5.3570149999999996</v>
      </c>
      <c r="DR51" s="940">
        <v>-3.3079230000000002</v>
      </c>
      <c r="DS51" s="940">
        <v>-2.6289920000000002</v>
      </c>
      <c r="DT51" s="940">
        <v>-2.3490319999999998</v>
      </c>
      <c r="DU51" s="940">
        <v>-2.5377169999999998</v>
      </c>
      <c r="DV51" s="940">
        <v>-5.3933819999999999</v>
      </c>
      <c r="DW51" s="940">
        <v>-3.267185</v>
      </c>
      <c r="DX51" s="940">
        <v>-4.3</v>
      </c>
      <c r="DY51" s="940">
        <v>-4.53</v>
      </c>
      <c r="DZ51" s="940">
        <v>-4.766667</v>
      </c>
      <c r="EA51" s="940">
        <v>-4.4622999999999999</v>
      </c>
      <c r="EB51" s="940">
        <v>-3.6496596100000001</v>
      </c>
      <c r="EC51" s="940">
        <v>-2.7640850000000001</v>
      </c>
      <c r="ED51" s="940">
        <v>-2.5</v>
      </c>
      <c r="EE51" s="940">
        <v>-2.5</v>
      </c>
      <c r="EF51" s="940">
        <v>-2.7116340000000001</v>
      </c>
      <c r="EG51" s="145"/>
      <c r="EH51" s="102">
        <v>-4.301234</v>
      </c>
      <c r="EI51" s="102">
        <v>-5.7268179999999997</v>
      </c>
      <c r="EJ51" s="102">
        <v>-5.1205179999999997</v>
      </c>
      <c r="EK51" s="102">
        <v>-5.3177370000000002</v>
      </c>
      <c r="EL51" s="102">
        <v>-0.46540900000000002</v>
      </c>
      <c r="EM51" s="102">
        <v>-1.490607</v>
      </c>
      <c r="EN51" s="102">
        <v>-3.145254</v>
      </c>
      <c r="EO51" s="102">
        <v>0</v>
      </c>
      <c r="EP51" s="102">
        <v>0</v>
      </c>
      <c r="EQ51" s="102">
        <v>-0.53081299999999998</v>
      </c>
      <c r="ER51" s="102">
        <v>0</v>
      </c>
      <c r="ES51" s="102">
        <v>0</v>
      </c>
      <c r="EU51" s="102">
        <v>-0.22</v>
      </c>
      <c r="EV51" s="102">
        <v>-0.22</v>
      </c>
      <c r="EW51" s="102">
        <v>-0.22</v>
      </c>
      <c r="EX51" s="102">
        <v>-0.22</v>
      </c>
      <c r="EY51" s="102">
        <v>-4.0199999999999996</v>
      </c>
      <c r="EZ51" s="102">
        <v>-4.5199999999999996</v>
      </c>
      <c r="FA51" s="102">
        <v>-1.42</v>
      </c>
      <c r="FB51" s="102">
        <v>-0.22</v>
      </c>
      <c r="FC51" s="102">
        <v>-0.22</v>
      </c>
      <c r="FD51" s="102">
        <v>-0.22</v>
      </c>
      <c r="FE51" s="102">
        <v>-0.22</v>
      </c>
      <c r="FF51" s="102">
        <v>-0.22</v>
      </c>
      <c r="FG51" s="102">
        <v>-2.3712075000000001</v>
      </c>
      <c r="FH51" s="102">
        <v>-2.3712075000000001</v>
      </c>
      <c r="FI51" s="102">
        <v>-2.6933824999999998</v>
      </c>
      <c r="FJ51" s="102">
        <v>-2.6933824999999998</v>
      </c>
      <c r="FK51" s="102">
        <v>-2.6933824999999998</v>
      </c>
      <c r="FL51" s="102">
        <v>-2.6933824999999998</v>
      </c>
      <c r="FM51" s="102">
        <v>-2.6933824999999998</v>
      </c>
      <c r="FN51" s="102">
        <v>-2.6933824999999998</v>
      </c>
      <c r="FO51" s="102">
        <v>-2.01359325</v>
      </c>
      <c r="FP51" s="102">
        <v>-1.333804</v>
      </c>
      <c r="FQ51" s="102">
        <v>-1.333804</v>
      </c>
      <c r="FR51" s="102">
        <v>-1.333804</v>
      </c>
      <c r="FS51" s="102">
        <v>-4.2457130000000003</v>
      </c>
      <c r="FT51" s="102">
        <v>-4.2457130000000003</v>
      </c>
      <c r="FU51" s="102">
        <v>-4.8548330000000002</v>
      </c>
      <c r="FV51" s="102">
        <v>-4.2457130000000003</v>
      </c>
      <c r="FW51" s="102">
        <v>-3.8011810000000001</v>
      </c>
      <c r="FX51" s="102">
        <v>-4.4103000000000003</v>
      </c>
      <c r="FY51" s="102">
        <v>-3.3566479999999999</v>
      </c>
      <c r="FZ51" s="102">
        <v>-3.7533110000000001</v>
      </c>
      <c r="GA51" s="102">
        <v>-3.3566479999999999</v>
      </c>
      <c r="GB51" s="102">
        <v>-3.3566479999999999</v>
      </c>
      <c r="GC51" s="102">
        <v>-3.80118</v>
      </c>
      <c r="GD51" s="102">
        <v>-4.4103000000000003</v>
      </c>
      <c r="GE51" s="102">
        <v>-1</v>
      </c>
      <c r="GF51" s="102">
        <v>-6.5</v>
      </c>
      <c r="GG51" s="102">
        <v>-1</v>
      </c>
      <c r="GH51" s="102">
        <v>-1</v>
      </c>
      <c r="GI51" s="102">
        <v>-0.36499999999999999</v>
      </c>
      <c r="GJ51" s="102">
        <v>-4.2300000000000004</v>
      </c>
      <c r="GK51" s="102">
        <v>-6</v>
      </c>
      <c r="GL51" s="102">
        <v>-0.5</v>
      </c>
      <c r="GM51" s="102">
        <v>0</v>
      </c>
      <c r="GN51" s="102">
        <v>-1</v>
      </c>
      <c r="GO51" s="102">
        <v>0</v>
      </c>
      <c r="GP51" s="102">
        <v>0</v>
      </c>
      <c r="GQ51" s="102">
        <v>-1</v>
      </c>
      <c r="GR51" s="102">
        <v>-6.5</v>
      </c>
      <c r="GS51" s="102">
        <v>-1</v>
      </c>
      <c r="GT51" s="102">
        <v>-1</v>
      </c>
      <c r="GU51" s="102">
        <v>-0.36499999999999999</v>
      </c>
      <c r="GV51" s="102">
        <v>-4.2300000000000004</v>
      </c>
      <c r="GW51" s="102">
        <v>-6</v>
      </c>
      <c r="GX51" s="102">
        <v>-0.5</v>
      </c>
      <c r="GY51" s="102">
        <v>0</v>
      </c>
      <c r="GZ51" s="102">
        <v>-1</v>
      </c>
      <c r="HA51" s="102">
        <v>0</v>
      </c>
      <c r="HB51" s="102">
        <v>0</v>
      </c>
      <c r="HD51" s="102">
        <f t="shared" si="226"/>
        <v>-58.768407000000003</v>
      </c>
      <c r="HE51" s="102">
        <f t="shared" si="226"/>
        <v>-55.847946000000007</v>
      </c>
      <c r="HF51" s="102">
        <f t="shared" si="226"/>
        <v>-86.452375879999991</v>
      </c>
      <c r="HG51" s="102">
        <f t="shared" si="226"/>
        <v>-86.17007108</v>
      </c>
      <c r="HH51" s="102">
        <f t="shared" si="227"/>
        <v>-43.485651399999995</v>
      </c>
      <c r="HI51" s="102">
        <f t="shared" si="228"/>
        <v>-46.248234139999994</v>
      </c>
      <c r="HJ51" s="102">
        <f t="shared" si="229"/>
        <v>-33.234026</v>
      </c>
      <c r="HK51" s="102">
        <f t="shared" si="230"/>
        <v>-46.415555269999999</v>
      </c>
      <c r="HL51" s="940">
        <f>+SUMIF($E$6:SEW$6,HL$7,$E51:SEW51)</f>
        <v>-32.741580000000006</v>
      </c>
      <c r="HM51" s="940">
        <f>+SUMIF($E$6:SEX$6,HM$7,$E51:SEX51)</f>
        <v>-38.294976999999996</v>
      </c>
      <c r="HN51" s="940">
        <f>+SUMIF($E$6:SEY$6,HN$7,$E51:SEY51)</f>
        <v>-43.382629609999995</v>
      </c>
      <c r="HO51" s="102"/>
      <c r="HP51" s="102"/>
      <c r="HR51" s="929">
        <f t="shared" si="231"/>
        <v>0.54799562153995751</v>
      </c>
      <c r="HS51" s="929">
        <f t="shared" si="232"/>
        <v>-3.2654371511067204E-3</v>
      </c>
      <c r="HT51" s="929">
        <f t="shared" si="233"/>
        <v>-0.49535087002971057</v>
      </c>
      <c r="HU51" s="929">
        <f t="shared" si="234"/>
        <v>6.352860428808027E-2</v>
      </c>
      <c r="HV51" s="929">
        <f t="shared" si="235"/>
        <v>-0.28139902813595286</v>
      </c>
      <c r="HW51" s="929">
        <f t="shared" si="236"/>
        <v>0.3966275187363697</v>
      </c>
      <c r="HX51" s="929">
        <f t="shared" si="237"/>
        <v>-0.29459898067486789</v>
      </c>
      <c r="HY51" s="929">
        <f t="shared" si="237"/>
        <v>0.16961298141384717</v>
      </c>
      <c r="HZ51" s="929">
        <f t="shared" si="237"/>
        <v>0.13285430645382035</v>
      </c>
      <c r="IA51" s="929">
        <f t="shared" si="305"/>
        <v>-1</v>
      </c>
      <c r="IB51" s="929" t="str">
        <f t="shared" si="238"/>
        <v/>
      </c>
      <c r="IC51" s="929">
        <f t="shared" si="306"/>
        <v>-1</v>
      </c>
      <c r="IE51" s="102">
        <f t="shared" si="239"/>
        <v>-30.604429879999984</v>
      </c>
      <c r="IF51" s="102">
        <f t="shared" si="240"/>
        <v>0.28230479999999147</v>
      </c>
      <c r="IG51" s="102">
        <f t="shared" si="241"/>
        <v>42.684419680000005</v>
      </c>
      <c r="IH51" s="102">
        <f t="shared" si="242"/>
        <v>-2.7625827399999991</v>
      </c>
      <c r="II51" s="102">
        <f t="shared" si="100"/>
        <v>13.014208139999994</v>
      </c>
      <c r="IJ51" s="102">
        <f t="shared" si="101"/>
        <v>-13.181529269999999</v>
      </c>
      <c r="IK51" s="102">
        <f t="shared" si="102"/>
        <v>13.673975269999993</v>
      </c>
      <c r="IL51" s="102">
        <f t="shared" si="307"/>
        <v>32.741580000000006</v>
      </c>
      <c r="IM51" s="102">
        <f t="shared" si="243"/>
        <v>0</v>
      </c>
      <c r="IN51" s="102">
        <f t="shared" si="308"/>
        <v>32.741580000000006</v>
      </c>
      <c r="IP51" s="32">
        <f t="shared" si="244"/>
        <v>-1.519453688290614E-3</v>
      </c>
      <c r="IQ51" s="32">
        <f t="shared" si="245"/>
        <v>-2.1951709297503416E-3</v>
      </c>
      <c r="IR51" s="32">
        <f t="shared" si="246"/>
        <v>-5.1131062343230766E-3</v>
      </c>
      <c r="IS51" s="32">
        <f t="shared" si="247"/>
        <v>-7.0685081228589646E-3</v>
      </c>
      <c r="IT51" s="32">
        <f t="shared" si="248"/>
        <v>-3.3934156619052783E-3</v>
      </c>
      <c r="IU51" s="32">
        <f t="shared" si="249"/>
        <v>-2.3486058097138621E-3</v>
      </c>
      <c r="IV51" s="32">
        <f t="shared" si="250"/>
        <v>-2.1863859785060166E-3</v>
      </c>
      <c r="IW51" s="32">
        <f t="shared" si="251"/>
        <v>-2.5944431517754447E-3</v>
      </c>
      <c r="IX51" s="32" t="e">
        <f t="shared" si="252"/>
        <v>#DIV/0!</v>
      </c>
      <c r="IY51" s="32" t="e">
        <f t="shared" si="253"/>
        <v>#DIV/0!</v>
      </c>
      <c r="JA51" s="102">
        <f t="shared" si="254"/>
        <v>-58.768407000000003</v>
      </c>
      <c r="JB51" s="102">
        <f t="shared" si="254"/>
        <v>-55.847946000000007</v>
      </c>
      <c r="JC51" s="102">
        <f t="shared" si="254"/>
        <v>-86.452375879999991</v>
      </c>
      <c r="JD51" s="102">
        <f t="shared" si="254"/>
        <v>-86.17007108</v>
      </c>
      <c r="JE51" s="102">
        <f t="shared" si="254"/>
        <v>-43.485651399999995</v>
      </c>
      <c r="JF51" s="102">
        <f t="shared" si="254"/>
        <v>-46.248234139999994</v>
      </c>
      <c r="JG51" s="102">
        <f t="shared" si="254"/>
        <v>-33.234026</v>
      </c>
      <c r="JH51" s="102">
        <f t="shared" si="254"/>
        <v>-46.415555269999999</v>
      </c>
      <c r="JI51" s="102">
        <f t="shared" si="254"/>
        <v>-32.741580000000006</v>
      </c>
      <c r="JJ51" s="102">
        <f t="shared" si="254"/>
        <v>-38.294976999999996</v>
      </c>
      <c r="JK51" s="102">
        <f t="shared" si="254"/>
        <v>-43.382629609999995</v>
      </c>
      <c r="JL51" s="102">
        <f t="shared" si="255"/>
        <v>-43.382629609999995</v>
      </c>
      <c r="JM51" s="102"/>
      <c r="JN51" s="102"/>
      <c r="JO51" s="922"/>
      <c r="JP51" s="102">
        <f t="shared" si="256"/>
        <v>-43.382629609999995</v>
      </c>
      <c r="JQ51" s="102">
        <f t="shared" si="257"/>
        <v>0</v>
      </c>
      <c r="JR51" s="145"/>
      <c r="JS51" s="929" t="str">
        <f t="shared" si="258"/>
        <v/>
      </c>
      <c r="JT51" s="930">
        <f t="shared" si="259"/>
        <v>-43.382629609999995</v>
      </c>
      <c r="JV51" s="32">
        <f t="shared" si="260"/>
        <v>-1.4369117955700913E-3</v>
      </c>
      <c r="JW51" s="929" t="str">
        <f t="shared" si="261"/>
        <v/>
      </c>
      <c r="JY51" s="929">
        <f t="shared" si="309"/>
        <v>0.54799562153995751</v>
      </c>
      <c r="JZ51" s="929">
        <f t="shared" si="310"/>
        <v>-3.2654371511067204E-3</v>
      </c>
      <c r="KA51" s="929">
        <f t="shared" si="311"/>
        <v>-0.49535087002971057</v>
      </c>
      <c r="KB51" s="929">
        <f t="shared" si="312"/>
        <v>6.352860428808027E-2</v>
      </c>
      <c r="KC51" s="929">
        <f t="shared" si="313"/>
        <v>-0.28139902813595286</v>
      </c>
      <c r="KD51" s="929">
        <f t="shared" si="314"/>
        <v>0.3966275187363697</v>
      </c>
      <c r="KE51" s="929">
        <f t="shared" si="315"/>
        <v>-0.29459898067486789</v>
      </c>
      <c r="KF51" s="929">
        <f t="shared" si="316"/>
        <v>-1</v>
      </c>
      <c r="KH51" s="102">
        <f t="shared" si="263"/>
        <v>-30.604429879999984</v>
      </c>
      <c r="KI51" s="102">
        <f t="shared" si="264"/>
        <v>0.28230479999999147</v>
      </c>
      <c r="KJ51" s="102">
        <f t="shared" si="265"/>
        <v>42.684419680000005</v>
      </c>
      <c r="KK51" s="102">
        <f t="shared" si="266"/>
        <v>-2.7625827399999991</v>
      </c>
      <c r="KL51" s="102">
        <f t="shared" si="267"/>
        <v>13.014208139999994</v>
      </c>
      <c r="KM51" s="102">
        <f t="shared" si="268"/>
        <v>-13.181529269999999</v>
      </c>
      <c r="KN51" s="102">
        <f t="shared" si="269"/>
        <v>13.673975269999993</v>
      </c>
      <c r="KO51" s="102">
        <f t="shared" si="270"/>
        <v>32.741580000000006</v>
      </c>
      <c r="KQ51" s="32">
        <f t="shared" si="271"/>
        <v>-1.6197958263490695E-3</v>
      </c>
      <c r="KR51" s="32">
        <f t="shared" si="272"/>
        <v>-1.519453688290614E-3</v>
      </c>
      <c r="KS51" s="32">
        <f t="shared" si="273"/>
        <v>-2.1951709297503416E-3</v>
      </c>
      <c r="KT51" s="32">
        <f t="shared" si="274"/>
        <v>-5.1131062343230766E-3</v>
      </c>
      <c r="KU51" s="32">
        <f t="shared" si="275"/>
        <v>-7.0685081228589646E-3</v>
      </c>
      <c r="KV51" s="32">
        <f t="shared" si="276"/>
        <v>-3.3934156619052783E-3</v>
      </c>
      <c r="KW51" s="32">
        <f t="shared" si="277"/>
        <v>-2.3486058097138621E-3</v>
      </c>
      <c r="KX51" s="32">
        <f t="shared" si="278"/>
        <v>-2.1863859785060166E-3</v>
      </c>
      <c r="KY51" s="32">
        <f t="shared" si="279"/>
        <v>-2.5944431517754447E-3</v>
      </c>
      <c r="KZ51" s="32" t="e">
        <f t="shared" si="280"/>
        <v>#DIV/0!</v>
      </c>
      <c r="LB51" s="102">
        <f t="shared" si="281"/>
        <v>-3.4167430000000039</v>
      </c>
      <c r="LC51" s="102">
        <f t="shared" si="281"/>
        <v>-4.4512750000000025</v>
      </c>
      <c r="LD51" s="102">
        <f t="shared" si="281"/>
        <v>-1.2178066700000003</v>
      </c>
      <c r="LE51" s="102">
        <f t="shared" si="281"/>
        <v>-5.0044519999999997</v>
      </c>
      <c r="LF51" s="102">
        <f t="shared" si="281"/>
        <v>-3.7652288999999999</v>
      </c>
      <c r="LG51" s="102">
        <f t="shared" si="281"/>
        <v>-2.666175</v>
      </c>
      <c r="LH51" s="102">
        <f t="shared" si="281"/>
        <v>-3.4927197999999997</v>
      </c>
      <c r="LI51" s="102">
        <f t="shared" si="281"/>
        <v>-4.2387790000000001</v>
      </c>
      <c r="LJ51" s="102">
        <f t="shared" si="281"/>
        <v>-1.66151</v>
      </c>
      <c r="LK51" s="102">
        <f t="shared" si="281"/>
        <v>-2.3490319999999998</v>
      </c>
      <c r="LL51" s="102">
        <f t="shared" si="281"/>
        <v>-2.7116340000000001</v>
      </c>
      <c r="LM51" s="102">
        <f t="shared" si="281"/>
        <v>-2.7116340000000001</v>
      </c>
      <c r="LN51" s="102"/>
      <c r="LO51" s="102"/>
      <c r="LR51" s="32">
        <f t="shared" si="282"/>
        <v>-0.72641396678479775</v>
      </c>
      <c r="LS51" s="32">
        <f t="shared" si="283"/>
        <v>3.1093977585128503</v>
      </c>
      <c r="LT51" s="32">
        <f t="shared" si="284"/>
        <v>-0.24762413546977768</v>
      </c>
      <c r="LU51" s="32">
        <f t="shared" si="285"/>
        <v>-0.291895640129608</v>
      </c>
      <c r="LV51" s="32">
        <f t="shared" si="286"/>
        <v>0.31001145836263544</v>
      </c>
      <c r="LW51" s="32">
        <f t="shared" si="287"/>
        <v>0.21360408012117094</v>
      </c>
      <c r="LX51" s="32">
        <f t="shared" si="288"/>
        <v>-1</v>
      </c>
      <c r="LZ51" s="102">
        <f t="shared" si="289"/>
        <v>3.2334683300000022</v>
      </c>
      <c r="MA51" s="102">
        <f t="shared" si="290"/>
        <v>-3.7866453299999994</v>
      </c>
      <c r="MB51" s="102">
        <f t="shared" si="291"/>
        <v>1.2392230999999998</v>
      </c>
      <c r="MC51" s="102">
        <f t="shared" si="292"/>
        <v>1.0990538999999999</v>
      </c>
      <c r="MD51" s="102">
        <f t="shared" si="293"/>
        <v>-0.82654479999999975</v>
      </c>
      <c r="ME51" s="102">
        <f t="shared" si="294"/>
        <v>-0.74605920000000037</v>
      </c>
      <c r="MF51" s="102">
        <f t="shared" si="295"/>
        <v>4.2387790000000001</v>
      </c>
      <c r="MH51" s="32">
        <f t="shared" si="296"/>
        <v>-1.1391633374463824E-3</v>
      </c>
      <c r="MI51" s="32">
        <f t="shared" si="297"/>
        <v>-8.0731705788450393E-4</v>
      </c>
      <c r="MJ51" s="32">
        <f t="shared" si="298"/>
        <v>-2.3756762048319266E-4</v>
      </c>
      <c r="MK51" s="32">
        <f t="shared" si="299"/>
        <v>-8.6094874845339172E-3</v>
      </c>
      <c r="ML51" s="32">
        <f t="shared" si="300"/>
        <v>-2.4993896665496292E-3</v>
      </c>
      <c r="MM51" s="32">
        <f t="shared" si="301"/>
        <v>-2.591832171464708E-3</v>
      </c>
      <c r="MN51" s="32">
        <f t="shared" si="302"/>
        <v>-2.246103779027482E-3</v>
      </c>
      <c r="MO51" s="32">
        <f t="shared" si="303"/>
        <v>-2.2522786696504179E-3</v>
      </c>
      <c r="MP51" s="32" t="e">
        <f t="shared" si="304"/>
        <v>#DIV/0!</v>
      </c>
    </row>
    <row r="52" spans="1:354" outlineLevel="2">
      <c r="A52" s="884">
        <v>5115</v>
      </c>
      <c r="B52" s="70" t="s">
        <v>631</v>
      </c>
      <c r="C52" s="29" t="s">
        <v>68</v>
      </c>
      <c r="D52" s="31" t="s">
        <v>59</v>
      </c>
      <c r="E52" s="102">
        <v>0</v>
      </c>
      <c r="F52" s="102">
        <v>-5.3999999999999999E-2</v>
      </c>
      <c r="G52" s="102">
        <v>0</v>
      </c>
      <c r="H52" s="102">
        <v>-6.3809999999999993</v>
      </c>
      <c r="I52" s="102">
        <v>0</v>
      </c>
      <c r="J52" s="102">
        <v>-0.93200000000000038</v>
      </c>
      <c r="K52" s="102">
        <v>0</v>
      </c>
      <c r="L52" s="102">
        <v>-0.88475726999999882</v>
      </c>
      <c r="M52" s="102">
        <v>0</v>
      </c>
      <c r="N52" s="102">
        <v>-0.43900000000000006</v>
      </c>
      <c r="O52" s="102">
        <v>0</v>
      </c>
      <c r="P52" s="102">
        <v>-0.19300000000000139</v>
      </c>
      <c r="Q52" s="102">
        <v>-5.8664303499999999</v>
      </c>
      <c r="R52" s="102">
        <v>-0.66801590000000033</v>
      </c>
      <c r="S52" s="102">
        <v>-0.54019775999999986</v>
      </c>
      <c r="T52" s="102">
        <v>-3.8173966899999989</v>
      </c>
      <c r="U52" s="102">
        <v>-0.38262067000000144</v>
      </c>
      <c r="V52" s="102">
        <v>-1.1082193399999998</v>
      </c>
      <c r="W52" s="102">
        <v>-0.35276600999999985</v>
      </c>
      <c r="X52" s="102">
        <v>-1.3299253000000011</v>
      </c>
      <c r="Y52" s="102">
        <v>-1.9713000600000008</v>
      </c>
      <c r="Z52" s="102">
        <v>-0.72413430999999662</v>
      </c>
      <c r="AA52" s="102">
        <v>-3.8376618800000024</v>
      </c>
      <c r="AB52" s="102">
        <v>-1.52842901</v>
      </c>
      <c r="AC52" s="102">
        <v>-0.24998969000000001</v>
      </c>
      <c r="AD52" s="102">
        <v>-1.8601818300000001</v>
      </c>
      <c r="AE52" s="102">
        <v>-6.7031404800000001</v>
      </c>
      <c r="AF52" s="102">
        <v>-1.4542086000000001</v>
      </c>
      <c r="AG52" s="102">
        <v>-0.31915429000000001</v>
      </c>
      <c r="AH52" s="102">
        <v>-0.83269251</v>
      </c>
      <c r="AI52" s="102">
        <v>-0.42176608000000004</v>
      </c>
      <c r="AJ52" s="102">
        <v>-1.3151296800000001</v>
      </c>
      <c r="AK52" s="102">
        <v>-0.28767515999999999</v>
      </c>
      <c r="AL52" s="102">
        <v>-2.2642940899999999</v>
      </c>
      <c r="AM52" s="102">
        <v>-1.4876809800000002</v>
      </c>
      <c r="AN52" s="102">
        <v>-4.6007161999999999</v>
      </c>
      <c r="AO52" s="102">
        <v>-4.44475745</v>
      </c>
      <c r="AP52" s="145">
        <v>-0.30189766000000007</v>
      </c>
      <c r="AQ52" s="143">
        <v>-11.225645800000001</v>
      </c>
      <c r="AR52" s="220">
        <v>-150.62947892</v>
      </c>
      <c r="AS52" s="102">
        <v>-1.3097788700000002</v>
      </c>
      <c r="AT52" s="102">
        <v>-18.031537839999999</v>
      </c>
      <c r="AU52" s="102">
        <v>-63.055332939999992</v>
      </c>
      <c r="AV52" s="102">
        <v>-13.000413249999999</v>
      </c>
      <c r="AW52" s="102">
        <v>-14.139675150000002</v>
      </c>
      <c r="AX52" s="102">
        <v>-11.117539779999998</v>
      </c>
      <c r="AY52" s="102">
        <v>-12.441998999999999</v>
      </c>
      <c r="AZ52" s="102">
        <v>-65.364750490000006</v>
      </c>
      <c r="BA52" s="102">
        <v>-0.33309259000000002</v>
      </c>
      <c r="BB52" s="102">
        <v>-4.6002059999999997E-2</v>
      </c>
      <c r="BC52" s="102">
        <v>-9.4621241500000011</v>
      </c>
      <c r="BD52" s="102">
        <v>-9.45405E-2</v>
      </c>
      <c r="BE52" s="102">
        <v>-122.008734</v>
      </c>
      <c r="BF52" s="102">
        <v>-9.3550000000000005E-3</v>
      </c>
      <c r="BG52" s="102">
        <v>-1.858771</v>
      </c>
      <c r="BH52" s="102">
        <v>-0.21667194000000001</v>
      </c>
      <c r="BI52" s="102">
        <v>-0.33736948999999999</v>
      </c>
      <c r="BJ52" s="102">
        <v>-0.23331014999999999</v>
      </c>
      <c r="BK52" s="102">
        <v>-0.31164897999999996</v>
      </c>
      <c r="BL52" s="102">
        <v>-32.594486369999998</v>
      </c>
      <c r="BM52" s="102">
        <v>-0.44578981000000001</v>
      </c>
      <c r="BN52" s="102">
        <v>-0.39344318</v>
      </c>
      <c r="BO52" s="102">
        <v>-0.65852427000000002</v>
      </c>
      <c r="BP52" s="102">
        <v>-0.11176856</v>
      </c>
      <c r="BQ52" s="102">
        <v>-49.127645360000002</v>
      </c>
      <c r="BR52" s="102">
        <v>-0.30701471000000002</v>
      </c>
      <c r="BS52" s="102">
        <v>-0.21288400000000005</v>
      </c>
      <c r="BT52" s="102">
        <v>-9.8021999999999998E-2</v>
      </c>
      <c r="BU52" s="102">
        <v>-0.29200700000000002</v>
      </c>
      <c r="BV52" s="102">
        <v>-3.4070000000000003E-2</v>
      </c>
      <c r="BW52" s="102">
        <v>-2.0934620000000002</v>
      </c>
      <c r="BX52" s="102">
        <v>-37.18385</v>
      </c>
      <c r="BY52" s="102">
        <v>-0.123845</v>
      </c>
      <c r="BZ52" s="102">
        <v>-8.6338999999999999E-2</v>
      </c>
      <c r="CA52" s="102">
        <v>-0.10042353</v>
      </c>
      <c r="CB52" s="102">
        <v>-5.8499000000000002E-2</v>
      </c>
      <c r="CC52" s="102">
        <v>-0.11742252</v>
      </c>
      <c r="CD52" s="102">
        <v>-0.251801</v>
      </c>
      <c r="CE52" s="102">
        <v>-6.5992999999999996E-2</v>
      </c>
      <c r="CF52" s="102">
        <v>-0.222025</v>
      </c>
      <c r="CG52" s="102">
        <v>-0.16251688</v>
      </c>
      <c r="CH52" s="102">
        <v>-6.1772000000000001E-2</v>
      </c>
      <c r="CI52" s="102">
        <v>-6.1087000000000002E-2</v>
      </c>
      <c r="CJ52" s="102">
        <v>-60.476523</v>
      </c>
      <c r="CK52" s="102">
        <v>-2.6919999999999999E-2</v>
      </c>
      <c r="CL52" s="102">
        <v>-5.4769999999999999E-2</v>
      </c>
      <c r="CM52" s="102">
        <v>-8.7575E-2</v>
      </c>
      <c r="CN52" s="102">
        <v>-8.9537000000000005E-2</v>
      </c>
      <c r="CO52" s="102">
        <v>-4.6819E-2</v>
      </c>
      <c r="CP52" s="102">
        <v>-3.7220000000000003E-2</v>
      </c>
      <c r="CQ52" s="102">
        <v>-5.9084999999999999E-2</v>
      </c>
      <c r="CR52" s="102">
        <v>-1.1194000000000001E-2</v>
      </c>
      <c r="CS52" s="102">
        <v>-4.8908E-2</v>
      </c>
      <c r="CT52" s="102">
        <v>-3.2404000000000002E-2</v>
      </c>
      <c r="CU52" s="102">
        <v>-7.162E-3</v>
      </c>
      <c r="CV52" s="102">
        <v>-60.726475640000004</v>
      </c>
      <c r="CW52" s="102">
        <v>-4.4522320000000004E-2</v>
      </c>
      <c r="CX52" s="102">
        <v>-21.068335980000001</v>
      </c>
      <c r="CY52" s="102">
        <v>-0.10365964999999999</v>
      </c>
      <c r="CZ52" s="102">
        <v>-2.3383500000000003E-3</v>
      </c>
      <c r="DA52" s="102">
        <v>-1.9499999999999999E-3</v>
      </c>
      <c r="DB52" s="102">
        <v>-2.4479299999999999E-2</v>
      </c>
      <c r="DC52" s="102">
        <v>-6.4229999999999999E-3</v>
      </c>
      <c r="DD52" s="102">
        <v>-2.0999999999999999E-3</v>
      </c>
      <c r="DE52" s="102">
        <v>24.308313999999999</v>
      </c>
      <c r="DF52" s="102">
        <v>59.996810000000004</v>
      </c>
      <c r="DG52" s="102">
        <v>-2.2839600000000002E-3</v>
      </c>
      <c r="DH52" s="102">
        <v>-3.4402000000000002E-2</v>
      </c>
      <c r="DI52" s="102">
        <v>-1.1279000000000001E-2</v>
      </c>
      <c r="DJ52" s="102">
        <v>-21.615428000000001</v>
      </c>
      <c r="DK52" s="102">
        <v>0</v>
      </c>
      <c r="DL52" s="102">
        <v>-2.4039640000000002</v>
      </c>
      <c r="DM52" s="102">
        <v>-2.3999999999999998E-3</v>
      </c>
      <c r="DN52" s="102">
        <v>-7.9100000000000004E-3</v>
      </c>
      <c r="DO52" s="102">
        <v>-1.0465E-2</v>
      </c>
      <c r="DP52" s="102">
        <v>-2.3936000000000001E-3</v>
      </c>
      <c r="DQ52" s="940">
        <v>-2.4105999999999997E-3</v>
      </c>
      <c r="DR52" s="940">
        <v>-2.4105999999999997E-3</v>
      </c>
      <c r="DS52" s="940">
        <v>-2.5500000000000002E-3</v>
      </c>
      <c r="DT52" s="940">
        <v>-5.3530000000000001E-3</v>
      </c>
      <c r="DU52" s="940">
        <v>-2.084486E-2</v>
      </c>
      <c r="DV52" s="940">
        <v>-5.8989999999999997E-3</v>
      </c>
      <c r="DW52" s="940">
        <v>-22.335346999999999</v>
      </c>
      <c r="DX52" s="940">
        <v>-1.4891E-2</v>
      </c>
      <c r="DY52" s="940">
        <v>-6.0169999999999998E-3</v>
      </c>
      <c r="DZ52" s="940">
        <v>-7.2127999999999998E-2</v>
      </c>
      <c r="EA52" s="940">
        <v>-1.6716999999999999E-2</v>
      </c>
      <c r="EB52" s="940">
        <v>-4.3073710000000001E-2</v>
      </c>
      <c r="EC52" s="940">
        <v>-4.7900499999999999E-2</v>
      </c>
      <c r="ED52" s="940">
        <v>-5.1684000000000001E-2</v>
      </c>
      <c r="EE52" s="940">
        <v>-4.1263269999999998E-2</v>
      </c>
      <c r="EF52" s="940">
        <v>-0.90817600999999992</v>
      </c>
      <c r="EG52" s="145"/>
      <c r="EH52" s="102">
        <v>-4.4522319999999997E-2</v>
      </c>
      <c r="EI52" s="102">
        <v>-21.068335980000001</v>
      </c>
      <c r="EJ52" s="102">
        <v>-0.10365964999999999</v>
      </c>
      <c r="EK52" s="102">
        <v>-2.3383499999999999E-3</v>
      </c>
      <c r="EL52" s="102">
        <v>-1.9499999999999999E-3</v>
      </c>
      <c r="EM52" s="102">
        <v>-2.4479299999999999E-2</v>
      </c>
      <c r="EN52" s="102">
        <v>-9.5000000000000001E-2</v>
      </c>
      <c r="EO52" s="102">
        <v>-9.5000000000000001E-2</v>
      </c>
      <c r="EP52" s="102">
        <v>-9.5000000000000001E-2</v>
      </c>
      <c r="EQ52" s="102">
        <v>-9.5000000000000001E-2</v>
      </c>
      <c r="ER52" s="102">
        <v>-9.5000000000000001E-2</v>
      </c>
      <c r="ES52" s="102">
        <v>-9.5000000000000001E-2</v>
      </c>
      <c r="EU52" s="102">
        <v>-3.47394517673</v>
      </c>
      <c r="EV52" s="102">
        <v>-11.419579371690002</v>
      </c>
      <c r="EW52" s="102">
        <v>-11.232562283276982</v>
      </c>
      <c r="EX52" s="102">
        <v>-8.7631534124749209</v>
      </c>
      <c r="EY52" s="102">
        <v>-16.424522855474923</v>
      </c>
      <c r="EZ52" s="102">
        <v>-15.141765512474922</v>
      </c>
      <c r="FA52" s="102">
        <v>-17.007632655474922</v>
      </c>
      <c r="FB52" s="102">
        <v>-24.34145251247492</v>
      </c>
      <c r="FC52" s="102">
        <v>-30.540948041064922</v>
      </c>
      <c r="FD52" s="102">
        <v>-27.400165865064924</v>
      </c>
      <c r="FE52" s="102">
        <v>-26.899057208064921</v>
      </c>
      <c r="FF52" s="102">
        <v>-62.448774942740215</v>
      </c>
      <c r="FG52" s="102">
        <v>-4.8000000000000001E-2</v>
      </c>
      <c r="FH52" s="102">
        <v>-4.8000000000000001E-2</v>
      </c>
      <c r="FI52" s="102">
        <v>-20.047999999999998</v>
      </c>
      <c r="FJ52" s="102">
        <v>-125.024</v>
      </c>
      <c r="FK52" s="102">
        <v>-2.4E-2</v>
      </c>
      <c r="FL52" s="102">
        <v>-2.4E-2</v>
      </c>
      <c r="FM52" s="102">
        <v>-2.4E-2</v>
      </c>
      <c r="FN52" s="102">
        <v>-2.4E-2</v>
      </c>
      <c r="FO52" s="102">
        <v>-2.4E-2</v>
      </c>
      <c r="FP52" s="102">
        <v>-2.4E-2</v>
      </c>
      <c r="FQ52" s="102">
        <v>-2.4E-2</v>
      </c>
      <c r="FR52" s="102">
        <v>-2.4E-2</v>
      </c>
      <c r="FS52" s="102">
        <v>-0.13400000000000001</v>
      </c>
      <c r="FT52" s="102">
        <v>-0.126</v>
      </c>
      <c r="FU52" s="102">
        <v>-0.13400000000000001</v>
      </c>
      <c r="FV52" s="102">
        <v>-0.126</v>
      </c>
      <c r="FW52" s="102">
        <v>-0.126</v>
      </c>
      <c r="FX52" s="102">
        <v>-0.13400000000000001</v>
      </c>
      <c r="FY52" s="102">
        <v>-0.126</v>
      </c>
      <c r="FZ52" s="102">
        <v>-0.13400000000000001</v>
      </c>
      <c r="GA52" s="102">
        <v>-0.13400000000000001</v>
      </c>
      <c r="GB52" s="102">
        <v>-0.126</v>
      </c>
      <c r="GC52" s="102">
        <v>-0.13400000000000001</v>
      </c>
      <c r="GD52" s="102">
        <v>-0.126</v>
      </c>
      <c r="GE52" s="102">
        <v>-7.0000000000000007E-2</v>
      </c>
      <c r="GF52" s="102">
        <v>-7.0000000000000007E-2</v>
      </c>
      <c r="GG52" s="102">
        <v>-7.0000000000000007E-2</v>
      </c>
      <c r="GH52" s="102">
        <v>-7.0000000000000007E-2</v>
      </c>
      <c r="GI52" s="102">
        <v>-7.0000000000000007E-2</v>
      </c>
      <c r="GJ52" s="102">
        <v>-7.0000000000000007E-2</v>
      </c>
      <c r="GK52" s="102">
        <v>-7.0000000000000007E-2</v>
      </c>
      <c r="GL52" s="102">
        <v>-7.0000000000000007E-2</v>
      </c>
      <c r="GM52" s="102">
        <v>-7.0000000000000007E-2</v>
      </c>
      <c r="GN52" s="102">
        <v>-7.0000000000000007E-2</v>
      </c>
      <c r="GO52" s="102">
        <v>-7.0000000000000007E-2</v>
      </c>
      <c r="GP52" s="102">
        <v>-7.0000000000000007E-2</v>
      </c>
      <c r="GQ52" s="102">
        <v>-7.0000000000000007E-2</v>
      </c>
      <c r="GR52" s="102">
        <v>-7.0000000000000007E-2</v>
      </c>
      <c r="GS52" s="102">
        <v>-7.0000000000000007E-2</v>
      </c>
      <c r="GT52" s="102">
        <v>-7.0000000000000007E-2</v>
      </c>
      <c r="GU52" s="102">
        <v>-7.0000000000000007E-2</v>
      </c>
      <c r="GV52" s="102">
        <v>-7.0000000000000007E-2</v>
      </c>
      <c r="GW52" s="102">
        <v>-7.0000000000000007E-2</v>
      </c>
      <c r="GX52" s="102">
        <v>-7.0000000000000007E-2</v>
      </c>
      <c r="GY52" s="102">
        <v>-7.0000000000000007E-2</v>
      </c>
      <c r="GZ52" s="102">
        <v>-7.0000000000000007E-2</v>
      </c>
      <c r="HA52" s="102">
        <v>-7.0000000000000007E-2</v>
      </c>
      <c r="HB52" s="102">
        <v>-7.0000000000000007E-2</v>
      </c>
      <c r="HD52" s="102">
        <f t="shared" si="226"/>
        <v>-8.8837572700000003</v>
      </c>
      <c r="HE52" s="102">
        <f t="shared" si="226"/>
        <v>-22.127097280000001</v>
      </c>
      <c r="HF52" s="102">
        <f t="shared" si="226"/>
        <v>-21.796629589999998</v>
      </c>
      <c r="HG52" s="102">
        <f t="shared" si="226"/>
        <v>-365.06280715000003</v>
      </c>
      <c r="HH52" s="102">
        <f t="shared" si="227"/>
        <v>-167.50610622999997</v>
      </c>
      <c r="HI52" s="102">
        <f t="shared" si="228"/>
        <v>-90.958480890000004</v>
      </c>
      <c r="HJ52" s="102">
        <f t="shared" si="229"/>
        <v>-61.78824693</v>
      </c>
      <c r="HK52" s="102">
        <f t="shared" si="230"/>
        <v>-61.228069640000001</v>
      </c>
      <c r="HL52" s="940">
        <f>+SUMIF($E$6:SEW$6,HL$7,$E52:SEW52)</f>
        <v>63.014629440000007</v>
      </c>
      <c r="HM52" s="940">
        <f>+SUMIF($E$6:SEX$6,HM$7,$E52:SEX52)</f>
        <v>-24.066563800000001</v>
      </c>
      <c r="HN52" s="940">
        <f>+SUMIF($E$6:SEY$6,HN$7,$E52:SEY52)</f>
        <v>-23.56394135</v>
      </c>
      <c r="HO52" s="102"/>
      <c r="HP52" s="102"/>
      <c r="HR52" s="929">
        <f t="shared" si="231"/>
        <v>-1.4934977047292186E-2</v>
      </c>
      <c r="HS52" s="929">
        <f t="shared" si="232"/>
        <v>15.748589759835436</v>
      </c>
      <c r="HT52" s="929">
        <f t="shared" si="233"/>
        <v>-0.54115811594804919</v>
      </c>
      <c r="HU52" s="929">
        <f t="shared" si="234"/>
        <v>-0.456984088895802</v>
      </c>
      <c r="HV52" s="929">
        <f t="shared" si="235"/>
        <v>-0.32069834142543363</v>
      </c>
      <c r="HW52" s="929">
        <f t="shared" si="236"/>
        <v>-9.0660816228468333E-3</v>
      </c>
      <c r="HX52" s="929">
        <f t="shared" si="237"/>
        <v>-2.0291787706276612</v>
      </c>
      <c r="HY52" s="929">
        <f t="shared" si="237"/>
        <v>-1.3819202622291895</v>
      </c>
      <c r="HZ52" s="929">
        <f t="shared" si="237"/>
        <v>-2.0884678601271744E-2</v>
      </c>
      <c r="IA52" s="929">
        <f t="shared" si="305"/>
        <v>-1</v>
      </c>
      <c r="IB52" s="929" t="str">
        <f t="shared" si="238"/>
        <v/>
      </c>
      <c r="IC52" s="929">
        <f t="shared" si="306"/>
        <v>-1</v>
      </c>
      <c r="IE52" s="102">
        <f t="shared" si="239"/>
        <v>0.33046769000000253</v>
      </c>
      <c r="IF52" s="102">
        <f t="shared" si="240"/>
        <v>-343.26617756000002</v>
      </c>
      <c r="IG52" s="102">
        <f t="shared" si="241"/>
        <v>197.55670092000005</v>
      </c>
      <c r="IH52" s="102">
        <f t="shared" si="242"/>
        <v>76.547625339999968</v>
      </c>
      <c r="II52" s="102">
        <f t="shared" ref="II52:II78" si="322">+HJ52-HI52</f>
        <v>29.170233960000004</v>
      </c>
      <c r="IJ52" s="102">
        <f t="shared" ref="IJ52:IJ78" si="323">+HK52-HJ52</f>
        <v>0.56017728999999861</v>
      </c>
      <c r="IK52" s="102">
        <f t="shared" ref="IK52:IK78" si="324">+HL52-HK52</f>
        <v>124.24269908000001</v>
      </c>
      <c r="IL52" s="102">
        <f t="shared" si="307"/>
        <v>-63.014629440000007</v>
      </c>
      <c r="IM52" s="102">
        <f t="shared" si="243"/>
        <v>0</v>
      </c>
      <c r="IN52" s="102">
        <f t="shared" si="308"/>
        <v>-63.014629440000007</v>
      </c>
      <c r="IP52" s="32">
        <f t="shared" si="244"/>
        <v>-6.0201138951934262E-4</v>
      </c>
      <c r="IQ52" s="32">
        <f t="shared" si="245"/>
        <v>-5.5345300988510096E-4</v>
      </c>
      <c r="IR52" s="32">
        <f t="shared" si="246"/>
        <v>-2.1661870435562232E-2</v>
      </c>
      <c r="IS52" s="32">
        <f t="shared" si="247"/>
        <v>-2.7227792027860288E-2</v>
      </c>
      <c r="IT52" s="32">
        <f t="shared" si="248"/>
        <v>-6.6739831125417759E-3</v>
      </c>
      <c r="IU52" s="32">
        <f t="shared" si="249"/>
        <v>-4.3664958230409008E-3</v>
      </c>
      <c r="IV52" s="32">
        <f t="shared" si="250"/>
        <v>-2.8841234834566251E-3</v>
      </c>
      <c r="IW52" s="32">
        <f t="shared" si="251"/>
        <v>4.9932799153942888E-3</v>
      </c>
      <c r="IX52" s="32" t="e">
        <f t="shared" si="252"/>
        <v>#DIV/0!</v>
      </c>
      <c r="IY52" s="32" t="e">
        <f t="shared" si="253"/>
        <v>#DIV/0!</v>
      </c>
      <c r="JA52" s="102">
        <f t="shared" si="254"/>
        <v>-8.8837572700000003</v>
      </c>
      <c r="JB52" s="102">
        <f t="shared" si="254"/>
        <v>-22.127097280000001</v>
      </c>
      <c r="JC52" s="102">
        <f t="shared" si="254"/>
        <v>-21.796629589999998</v>
      </c>
      <c r="JD52" s="102">
        <f t="shared" si="254"/>
        <v>-365.06280715000003</v>
      </c>
      <c r="JE52" s="102">
        <f t="shared" si="254"/>
        <v>-167.50610622999997</v>
      </c>
      <c r="JF52" s="102">
        <f t="shared" si="254"/>
        <v>-90.958480890000004</v>
      </c>
      <c r="JG52" s="102">
        <f t="shared" si="254"/>
        <v>-61.78824693</v>
      </c>
      <c r="JH52" s="102">
        <f t="shared" si="254"/>
        <v>-61.228069640000001</v>
      </c>
      <c r="JI52" s="102">
        <f t="shared" si="254"/>
        <v>63.014629440000007</v>
      </c>
      <c r="JJ52" s="102">
        <f t="shared" si="254"/>
        <v>-24.066563800000001</v>
      </c>
      <c r="JK52" s="102">
        <f t="shared" si="254"/>
        <v>-23.56394135</v>
      </c>
      <c r="JL52" s="102">
        <f t="shared" si="255"/>
        <v>-23.56394135</v>
      </c>
      <c r="JM52" s="102"/>
      <c r="JN52" s="102"/>
      <c r="JO52" s="922"/>
      <c r="JP52" s="102">
        <f t="shared" si="256"/>
        <v>-23.56394135</v>
      </c>
      <c r="JQ52" s="102">
        <f t="shared" si="257"/>
        <v>0</v>
      </c>
      <c r="JR52" s="145"/>
      <c r="JS52" s="929" t="str">
        <f t="shared" si="258"/>
        <v/>
      </c>
      <c r="JT52" s="930">
        <f t="shared" si="259"/>
        <v>-23.56394135</v>
      </c>
      <c r="JV52" s="32">
        <f t="shared" si="260"/>
        <v>-7.8048070345952507E-4</v>
      </c>
      <c r="JW52" s="929" t="str">
        <f t="shared" si="261"/>
        <v/>
      </c>
      <c r="JY52" s="929">
        <f t="shared" si="309"/>
        <v>-1.4934977047292186E-2</v>
      </c>
      <c r="JZ52" s="929">
        <f t="shared" si="310"/>
        <v>15.748589759835436</v>
      </c>
      <c r="KA52" s="929">
        <f t="shared" si="311"/>
        <v>-0.54115811594804919</v>
      </c>
      <c r="KB52" s="929">
        <f t="shared" si="312"/>
        <v>-0.456984088895802</v>
      </c>
      <c r="KC52" s="929">
        <f t="shared" si="313"/>
        <v>-0.32069834142543363</v>
      </c>
      <c r="KD52" s="929">
        <f t="shared" si="314"/>
        <v>-9.0660816228468333E-3</v>
      </c>
      <c r="KE52" s="929">
        <f t="shared" si="315"/>
        <v>-2.0291787706276612</v>
      </c>
      <c r="KF52" s="929">
        <f t="shared" si="316"/>
        <v>-1</v>
      </c>
      <c r="KH52" s="102">
        <f t="shared" si="263"/>
        <v>0.33046769000000253</v>
      </c>
      <c r="KI52" s="102">
        <f t="shared" si="264"/>
        <v>-343.26617756000002</v>
      </c>
      <c r="KJ52" s="102">
        <f t="shared" si="265"/>
        <v>197.55670092000005</v>
      </c>
      <c r="KK52" s="102">
        <f t="shared" si="266"/>
        <v>76.547625339999968</v>
      </c>
      <c r="KL52" s="102">
        <f t="shared" si="267"/>
        <v>29.170233960000004</v>
      </c>
      <c r="KM52" s="102">
        <f t="shared" si="268"/>
        <v>0.56017728999999861</v>
      </c>
      <c r="KN52" s="102">
        <f t="shared" si="269"/>
        <v>124.24269908000001</v>
      </c>
      <c r="KO52" s="102">
        <f t="shared" si="270"/>
        <v>-63.014629440000007</v>
      </c>
      <c r="KQ52" s="32">
        <f t="shared" si="271"/>
        <v>-2.4485729123547971E-4</v>
      </c>
      <c r="KR52" s="32">
        <f t="shared" si="272"/>
        <v>-6.0201138951934262E-4</v>
      </c>
      <c r="KS52" s="32">
        <f t="shared" si="273"/>
        <v>-5.5345300988510096E-4</v>
      </c>
      <c r="KT52" s="32">
        <f t="shared" si="274"/>
        <v>-2.1661870435562232E-2</v>
      </c>
      <c r="KU52" s="32">
        <f t="shared" si="275"/>
        <v>-2.7227792027860288E-2</v>
      </c>
      <c r="KV52" s="32">
        <f t="shared" si="276"/>
        <v>-6.6739831125417759E-3</v>
      </c>
      <c r="KW52" s="32">
        <f t="shared" si="277"/>
        <v>-4.3664958230409008E-3</v>
      </c>
      <c r="KX52" s="32">
        <f t="shared" si="278"/>
        <v>-2.8841234834566251E-3</v>
      </c>
      <c r="KY52" s="32">
        <f t="shared" si="279"/>
        <v>4.9932799153942888E-3</v>
      </c>
      <c r="KZ52" s="32" t="e">
        <f t="shared" si="280"/>
        <v>#DIV/0!</v>
      </c>
      <c r="LB52" s="102">
        <f t="shared" si="281"/>
        <v>-0.19300000000000139</v>
      </c>
      <c r="LC52" s="102">
        <f t="shared" si="281"/>
        <v>-1.52842901</v>
      </c>
      <c r="LD52" s="102">
        <f t="shared" si="281"/>
        <v>-4.6007161999999999</v>
      </c>
      <c r="LE52" s="102">
        <f t="shared" si="281"/>
        <v>-65.364750490000006</v>
      </c>
      <c r="LF52" s="102">
        <f t="shared" si="281"/>
        <v>-32.594486369999998</v>
      </c>
      <c r="LG52" s="102">
        <f t="shared" si="281"/>
        <v>-37.18385</v>
      </c>
      <c r="LH52" s="102">
        <f t="shared" si="281"/>
        <v>-60.476523</v>
      </c>
      <c r="LI52" s="102">
        <f t="shared" si="281"/>
        <v>-60.726475640000004</v>
      </c>
      <c r="LJ52" s="102">
        <f t="shared" si="281"/>
        <v>-3.4402000000000002E-2</v>
      </c>
      <c r="LK52" s="102">
        <f t="shared" si="281"/>
        <v>-5.3530000000000001E-3</v>
      </c>
      <c r="LL52" s="102">
        <f t="shared" si="281"/>
        <v>-0.90817600999999992</v>
      </c>
      <c r="LM52" s="102">
        <f t="shared" si="281"/>
        <v>-0.90817600999999992</v>
      </c>
      <c r="LN52" s="102"/>
      <c r="LO52" s="102"/>
      <c r="LR52" s="32">
        <f t="shared" si="282"/>
        <v>2.0100947900746795</v>
      </c>
      <c r="LS52" s="32">
        <f t="shared" si="283"/>
        <v>13.207516318872267</v>
      </c>
      <c r="LT52" s="32">
        <f t="shared" si="284"/>
        <v>-0.5013445913025163</v>
      </c>
      <c r="LU52" s="32">
        <f t="shared" si="285"/>
        <v>0.14080183924064094</v>
      </c>
      <c r="LV52" s="32">
        <f t="shared" si="286"/>
        <v>0.62641907709933209</v>
      </c>
      <c r="LW52" s="32">
        <f t="shared" si="287"/>
        <v>4.1330524243268218E-3</v>
      </c>
      <c r="LX52" s="32">
        <f t="shared" si="288"/>
        <v>-1</v>
      </c>
      <c r="LZ52" s="102">
        <f t="shared" si="289"/>
        <v>-3.0722871899999999</v>
      </c>
      <c r="MA52" s="102">
        <f t="shared" si="290"/>
        <v>-60.764034290000005</v>
      </c>
      <c r="MB52" s="102">
        <f t="shared" si="291"/>
        <v>32.770264120000007</v>
      </c>
      <c r="MC52" s="102">
        <f t="shared" si="292"/>
        <v>-4.5893636300000011</v>
      </c>
      <c r="MD52" s="102">
        <f t="shared" si="293"/>
        <v>-23.292673000000001</v>
      </c>
      <c r="ME52" s="102">
        <f t="shared" si="294"/>
        <v>-0.24995264000000361</v>
      </c>
      <c r="MF52" s="102">
        <f t="shared" si="295"/>
        <v>60.726475640000004</v>
      </c>
      <c r="MH52" s="32">
        <f t="shared" si="296"/>
        <v>-6.4347398714844262E-5</v>
      </c>
      <c r="MI52" s="32">
        <f t="shared" si="297"/>
        <v>-2.7720749932064952E-4</v>
      </c>
      <c r="MJ52" s="32">
        <f t="shared" si="298"/>
        <v>-8.9749976500988948E-4</v>
      </c>
      <c r="MK52" s="32">
        <f t="shared" si="299"/>
        <v>-0.11245127364061785</v>
      </c>
      <c r="ML52" s="32">
        <f t="shared" si="300"/>
        <v>-2.1636486010099078E-2</v>
      </c>
      <c r="MM52" s="32">
        <f t="shared" si="301"/>
        <v>-3.6147026616376636E-2</v>
      </c>
      <c r="MN52" s="32">
        <f t="shared" si="302"/>
        <v>-3.8891338163669027E-2</v>
      </c>
      <c r="MO52" s="32">
        <f t="shared" si="303"/>
        <v>-3.226706222877336E-2</v>
      </c>
      <c r="MP52" s="32" t="e">
        <f t="shared" si="304"/>
        <v>#DIV/0!</v>
      </c>
    </row>
    <row r="53" spans="1:354" outlineLevel="2">
      <c r="A53" s="884">
        <v>5130</v>
      </c>
      <c r="B53" s="70" t="s">
        <v>634</v>
      </c>
      <c r="C53" s="29" t="s">
        <v>70</v>
      </c>
      <c r="D53" s="31" t="s">
        <v>59</v>
      </c>
      <c r="E53" s="102">
        <v>-0.1187</v>
      </c>
      <c r="F53" s="102">
        <v>-0.1187</v>
      </c>
      <c r="G53" s="102">
        <v>-0.11870000000000003</v>
      </c>
      <c r="H53" s="102">
        <v>-0.11869999999999997</v>
      </c>
      <c r="I53" s="102">
        <v>-0.11870000000000003</v>
      </c>
      <c r="J53" s="102">
        <v>-0.19821599999999995</v>
      </c>
      <c r="K53" s="102">
        <v>-6.7801580000000001</v>
      </c>
      <c r="L53" s="102">
        <v>-8.5764000000000173E-2</v>
      </c>
      <c r="M53" s="102">
        <v>6.5427580000000001</v>
      </c>
      <c r="N53" s="102">
        <v>-0.11869999999999981</v>
      </c>
      <c r="O53" s="102">
        <v>-0.11870000000000003</v>
      </c>
      <c r="P53" s="102">
        <v>-0.11870000000000003</v>
      </c>
      <c r="Q53" s="102">
        <v>-15.943520000000001</v>
      </c>
      <c r="R53" s="102">
        <v>-8.1448195499999994</v>
      </c>
      <c r="S53" s="102">
        <v>-26.002213449999992</v>
      </c>
      <c r="T53" s="102">
        <v>-23.166544000000009</v>
      </c>
      <c r="U53" s="102">
        <v>-23.57086000000001</v>
      </c>
      <c r="V53" s="102">
        <v>-15.671176999999986</v>
      </c>
      <c r="W53" s="102">
        <v>-17.254129000000006</v>
      </c>
      <c r="X53" s="102">
        <v>-16.01332499999998</v>
      </c>
      <c r="Y53" s="102">
        <v>-15.541535000000039</v>
      </c>
      <c r="Z53" s="102">
        <v>-14.343717999999967</v>
      </c>
      <c r="AA53" s="102">
        <v>-9.1272629999999992</v>
      </c>
      <c r="AB53" s="102">
        <v>-25.830982000000034</v>
      </c>
      <c r="AC53" s="102">
        <v>-7.6386524999999992</v>
      </c>
      <c r="AD53" s="102">
        <v>-7.6868759999999998</v>
      </c>
      <c r="AE53" s="102">
        <v>-7.3678255000000004</v>
      </c>
      <c r="AF53" s="102">
        <v>-9.4264949999999992</v>
      </c>
      <c r="AG53" s="102">
        <v>-9.463496000000001</v>
      </c>
      <c r="AH53" s="102">
        <v>-8.0832639999999998</v>
      </c>
      <c r="AI53" s="102">
        <v>-7.2801260000000001</v>
      </c>
      <c r="AJ53" s="102">
        <v>-6.96685</v>
      </c>
      <c r="AK53" s="102">
        <v>-9.486775999999999</v>
      </c>
      <c r="AL53" s="102">
        <v>46.489826999999998</v>
      </c>
      <c r="AM53" s="102">
        <v>-2.5004080000000002</v>
      </c>
      <c r="AN53" s="102">
        <v>-5.6385020000000008</v>
      </c>
      <c r="AO53" s="102">
        <v>-0.35699999999999998</v>
      </c>
      <c r="AP53" s="145">
        <v>-7.7328032799999997</v>
      </c>
      <c r="AQ53" s="143">
        <v>-1.4408799999999999</v>
      </c>
      <c r="AR53" s="220">
        <v>-1.3523806699999998</v>
      </c>
      <c r="AS53" s="102">
        <v>-2.286667</v>
      </c>
      <c r="AT53" s="102">
        <v>-1.9102109599999999</v>
      </c>
      <c r="AU53" s="102">
        <v>-2.8148070000000001</v>
      </c>
      <c r="AV53" s="102">
        <v>-0.98449799999999998</v>
      </c>
      <c r="AW53" s="102">
        <v>-2.1491009999999999</v>
      </c>
      <c r="AX53" s="102">
        <v>-1.4092998799999998</v>
      </c>
      <c r="AY53" s="102">
        <v>-12.762487</v>
      </c>
      <c r="AZ53" s="102">
        <v>-1.4156439999999999</v>
      </c>
      <c r="BA53" s="102">
        <v>-0.81329799999999997</v>
      </c>
      <c r="BB53" s="102">
        <v>-2.7398204800000001</v>
      </c>
      <c r="BC53" s="102">
        <v>-1.323698</v>
      </c>
      <c r="BD53" s="102">
        <v>-1.3259380000000001</v>
      </c>
      <c r="BE53" s="102">
        <v>-3.5360670000000001</v>
      </c>
      <c r="BF53" s="102">
        <v>-5.0823850000000004</v>
      </c>
      <c r="BG53" s="102">
        <v>-1.37275006</v>
      </c>
      <c r="BH53" s="102">
        <v>-1.3564258500000002</v>
      </c>
      <c r="BI53" s="102">
        <v>-5.24308</v>
      </c>
      <c r="BJ53" s="102">
        <v>-0.12706500000000001</v>
      </c>
      <c r="BK53" s="102">
        <v>-2.3969875599999999</v>
      </c>
      <c r="BL53" s="102">
        <v>-1.034834</v>
      </c>
      <c r="BM53" s="102">
        <v>-0.59767999999999999</v>
      </c>
      <c r="BN53" s="102">
        <v>-0.554508</v>
      </c>
      <c r="BO53" s="102">
        <v>-0.85028400000000004</v>
      </c>
      <c r="BP53" s="102">
        <v>-0.60212600000000005</v>
      </c>
      <c r="BQ53" s="102">
        <v>-0.46940999999999999</v>
      </c>
      <c r="BR53" s="102">
        <v>-0.46807700000000002</v>
      </c>
      <c r="BS53" s="102">
        <v>-3.1388136000000002</v>
      </c>
      <c r="BT53" s="102">
        <v>-8.7555999999999995E-2</v>
      </c>
      <c r="BU53" s="102">
        <v>-0.36933899999999997</v>
      </c>
      <c r="BV53" s="102">
        <v>-0.51325900000000002</v>
      </c>
      <c r="BW53" s="102">
        <v>-1.420553</v>
      </c>
      <c r="BX53" s="102">
        <v>-7.0527249999999997</v>
      </c>
      <c r="BY53" s="102">
        <v>-0.588036</v>
      </c>
      <c r="BZ53" s="102">
        <v>-0.545825</v>
      </c>
      <c r="CA53" s="102">
        <v>-0.56692799999999999</v>
      </c>
      <c r="CB53" s="102">
        <v>-0.56910899999999998</v>
      </c>
      <c r="CC53" s="102">
        <v>-0.65935200000000005</v>
      </c>
      <c r="CD53" s="102">
        <v>-1.3680220000000001</v>
      </c>
      <c r="CE53" s="102">
        <v>-1.4257329999999999</v>
      </c>
      <c r="CF53" s="102">
        <v>-1.3196810000000001</v>
      </c>
      <c r="CG53" s="102">
        <v>-1.3913610000000001</v>
      </c>
      <c r="CH53" s="102">
        <v>-1.3628670000000001</v>
      </c>
      <c r="CI53" s="102">
        <v>-1.388164</v>
      </c>
      <c r="CJ53" s="102">
        <v>-1.942585</v>
      </c>
      <c r="CK53" s="102">
        <v>-0.85649200000000003</v>
      </c>
      <c r="CL53" s="102">
        <v>-1.383567</v>
      </c>
      <c r="CM53" s="102">
        <v>-1.41551</v>
      </c>
      <c r="CN53" s="102">
        <v>-2.634862</v>
      </c>
      <c r="CO53" s="102">
        <v>-2.5629279999999999</v>
      </c>
      <c r="CP53" s="102">
        <v>-2.6173920000000002</v>
      </c>
      <c r="CQ53" s="102">
        <v>-2.5222479999999998</v>
      </c>
      <c r="CR53" s="102">
        <v>-2.528057</v>
      </c>
      <c r="CS53" s="102">
        <v>-2.6043697400000001</v>
      </c>
      <c r="CT53" s="102">
        <v>-4.5265749400000006</v>
      </c>
      <c r="CU53" s="102">
        <v>-2.7983739999999999</v>
      </c>
      <c r="CV53" s="102">
        <v>-2.7228089999999998</v>
      </c>
      <c r="CW53" s="102">
        <v>-2.712612</v>
      </c>
      <c r="CX53" s="102">
        <v>-2.6685690000000002</v>
      </c>
      <c r="CY53" s="102">
        <v>-2.6831130000000001</v>
      </c>
      <c r="CZ53" s="102">
        <v>-2.6305130000000001</v>
      </c>
      <c r="DA53" s="102">
        <v>-2.5874709999999999</v>
      </c>
      <c r="DB53" s="102">
        <v>-2.5613860000000002</v>
      </c>
      <c r="DC53" s="102">
        <v>-2.5225420000000001</v>
      </c>
      <c r="DD53" s="102">
        <v>-2.5605630000000001</v>
      </c>
      <c r="DE53" s="102">
        <v>6.857837</v>
      </c>
      <c r="DF53" s="102">
        <v>-0.71313300000000002</v>
      </c>
      <c r="DG53" s="102">
        <v>-0.78926600000000002</v>
      </c>
      <c r="DH53" s="102">
        <v>-0.77739899999999995</v>
      </c>
      <c r="DI53" s="102">
        <v>-0.87113300000000005</v>
      </c>
      <c r="DJ53" s="102">
        <v>-0.77826600000000001</v>
      </c>
      <c r="DK53" s="102">
        <v>-0.78452</v>
      </c>
      <c r="DL53" s="102">
        <v>-0.74683999999999995</v>
      </c>
      <c r="DM53" s="102">
        <v>-0.75368000000000002</v>
      </c>
      <c r="DN53" s="102">
        <v>-0.76051999999999997</v>
      </c>
      <c r="DO53" s="102">
        <v>-0.76583999999999997</v>
      </c>
      <c r="DP53" s="102">
        <v>-0.73468</v>
      </c>
      <c r="DQ53" s="940">
        <v>-0.73351999999999995</v>
      </c>
      <c r="DR53" s="940">
        <v>-0.27183200000000002</v>
      </c>
      <c r="DS53" s="940">
        <v>-0.80867999999999995</v>
      </c>
      <c r="DT53" s="940">
        <v>-0.96320700000000004</v>
      </c>
      <c r="DU53" s="940">
        <v>-0.76383999999999996</v>
      </c>
      <c r="DV53" s="940">
        <v>-1.0884803000000001</v>
      </c>
      <c r="DW53" s="940">
        <v>-0.75951999999999997</v>
      </c>
      <c r="DX53" s="940">
        <v>-0.81484000000000001</v>
      </c>
      <c r="DY53" s="940">
        <v>-0.88868000000000003</v>
      </c>
      <c r="DZ53" s="940">
        <v>-1.2315199999999999</v>
      </c>
      <c r="EA53" s="940">
        <v>-0.58899999999999997</v>
      </c>
      <c r="EB53" s="940">
        <v>-0.55800000000000005</v>
      </c>
      <c r="EC53" s="940">
        <v>-0.54600000000000004</v>
      </c>
      <c r="ED53" s="940">
        <v>-0.53400000000000003</v>
      </c>
      <c r="EE53" s="940">
        <v>-0.56999999999999995</v>
      </c>
      <c r="EF53" s="940">
        <v>-4.5373502699999992</v>
      </c>
      <c r="EG53" s="145"/>
      <c r="EH53" s="102">
        <v>-2.712612</v>
      </c>
      <c r="EI53" s="102">
        <v>-2.6685690000000002</v>
      </c>
      <c r="EJ53" s="102">
        <v>-2.6831130000000001</v>
      </c>
      <c r="EK53" s="102">
        <v>-2.6305130000000001</v>
      </c>
      <c r="EL53" s="102">
        <v>-2.5874709999999999</v>
      </c>
      <c r="EM53" s="102">
        <v>-2.5613860000000002</v>
      </c>
      <c r="EN53" s="102">
        <v>-2.911835</v>
      </c>
      <c r="EO53" s="102">
        <v>-2.911835</v>
      </c>
      <c r="EP53" s="102">
        <v>-2.911835</v>
      </c>
      <c r="EQ53" s="102">
        <v>-2.911835</v>
      </c>
      <c r="ER53" s="102">
        <v>-2.911835</v>
      </c>
      <c r="ES53" s="102">
        <v>-2.911835</v>
      </c>
      <c r="EU53" s="102">
        <v>0</v>
      </c>
      <c r="EV53" s="102">
        <v>0</v>
      </c>
      <c r="EW53" s="102">
        <v>0</v>
      </c>
      <c r="EX53" s="102">
        <v>0</v>
      </c>
      <c r="EY53" s="102">
        <v>0</v>
      </c>
      <c r="EZ53" s="102">
        <v>0</v>
      </c>
      <c r="FA53" s="102">
        <v>0</v>
      </c>
      <c r="FB53" s="102">
        <v>0</v>
      </c>
      <c r="FC53" s="102">
        <v>0</v>
      </c>
      <c r="FD53" s="102">
        <v>0</v>
      </c>
      <c r="FE53" s="102">
        <v>0</v>
      </c>
      <c r="FF53" s="102">
        <v>0</v>
      </c>
      <c r="FG53" s="102">
        <v>-1.0613079999999999</v>
      </c>
      <c r="FH53" s="102">
        <v>-4.0173079999999999</v>
      </c>
      <c r="FI53" s="102">
        <v>-0.92530800000000002</v>
      </c>
      <c r="FJ53" s="102">
        <v>-0.92530800000000002</v>
      </c>
      <c r="FK53" s="102">
        <v>-0.92530800000000002</v>
      </c>
      <c r="FL53" s="102">
        <v>-0.92530800000000002</v>
      </c>
      <c r="FM53" s="102">
        <v>-0.89130799999999999</v>
      </c>
      <c r="FN53" s="102">
        <v>-0.89130799999999999</v>
      </c>
      <c r="FO53" s="102">
        <v>-0.89130799999999999</v>
      </c>
      <c r="FP53" s="102">
        <v>-0.89130799999999999</v>
      </c>
      <c r="FQ53" s="102">
        <v>-0.89130799999999999</v>
      </c>
      <c r="FR53" s="102">
        <v>-0.89130799999999999</v>
      </c>
      <c r="FS53" s="102">
        <v>-8.7803120000000003</v>
      </c>
      <c r="FT53" s="102">
        <v>-8.7803120000000003</v>
      </c>
      <c r="FU53" s="102">
        <v>-8.880312</v>
      </c>
      <c r="FV53" s="102">
        <v>-8.880312</v>
      </c>
      <c r="FW53" s="102">
        <v>-8.880312</v>
      </c>
      <c r="FX53" s="102">
        <v>-14.496312</v>
      </c>
      <c r="FY53" s="102">
        <v>-8.928312</v>
      </c>
      <c r="FZ53" s="102">
        <v>-8.928312</v>
      </c>
      <c r="GA53" s="102">
        <v>-8.928312</v>
      </c>
      <c r="GB53" s="102">
        <v>-8.928312</v>
      </c>
      <c r="GC53" s="102">
        <v>-8.928312</v>
      </c>
      <c r="GD53" s="102">
        <v>-8.928312</v>
      </c>
      <c r="GE53" s="102">
        <v>-0.63300000000000001</v>
      </c>
      <c r="GF53" s="102">
        <v>-0.63300000000000001</v>
      </c>
      <c r="GG53" s="102">
        <v>-0.63300000000000001</v>
      </c>
      <c r="GH53" s="102">
        <v>-0.63300000000000001</v>
      </c>
      <c r="GI53" s="102">
        <v>-0.63300000000000001</v>
      </c>
      <c r="GJ53" s="102">
        <v>-0.63300000000000001</v>
      </c>
      <c r="GK53" s="102">
        <v>-0.63300000000000001</v>
      </c>
      <c r="GL53" s="102">
        <v>-0.63300000000000001</v>
      </c>
      <c r="GM53" s="102">
        <v>-0.63300000000000001</v>
      </c>
      <c r="GN53" s="102">
        <v>-0.63300000000000001</v>
      </c>
      <c r="GO53" s="102">
        <v>-0.63300000000000001</v>
      </c>
      <c r="GP53" s="102">
        <v>-0.63300000000000001</v>
      </c>
      <c r="GQ53" s="102">
        <v>-0.63300000000000001</v>
      </c>
      <c r="GR53" s="102">
        <v>-0.63300000000000001</v>
      </c>
      <c r="GS53" s="102">
        <v>-0.63300000000000001</v>
      </c>
      <c r="GT53" s="102">
        <v>-0.63300000000000001</v>
      </c>
      <c r="GU53" s="102">
        <v>-0.63300000000000001</v>
      </c>
      <c r="GV53" s="102">
        <v>-0.63300000000000001</v>
      </c>
      <c r="GW53" s="102">
        <v>-0.63300000000000001</v>
      </c>
      <c r="GX53" s="102">
        <v>-0.63300000000000001</v>
      </c>
      <c r="GY53" s="102">
        <v>-0.63300000000000001</v>
      </c>
      <c r="GZ53" s="102">
        <v>-0.63300000000000001</v>
      </c>
      <c r="HA53" s="102">
        <v>-0.63300000000000001</v>
      </c>
      <c r="HB53" s="102">
        <v>-0.63300000000000001</v>
      </c>
      <c r="HD53" s="102">
        <f t="shared" si="226"/>
        <v>-1.4709800000000002</v>
      </c>
      <c r="HE53" s="102">
        <f t="shared" si="226"/>
        <v>-210.61008600000002</v>
      </c>
      <c r="HF53" s="102">
        <f t="shared" si="226"/>
        <v>-35.049444000000008</v>
      </c>
      <c r="HG53" s="102">
        <f t="shared" si="226"/>
        <v>-36.61577879</v>
      </c>
      <c r="HH53" s="102">
        <f t="shared" si="227"/>
        <v>-26.352348950000003</v>
      </c>
      <c r="HI53" s="102">
        <f t="shared" si="228"/>
        <v>-16.1243306</v>
      </c>
      <c r="HJ53" s="102">
        <f t="shared" si="229"/>
        <v>-13.127663</v>
      </c>
      <c r="HK53" s="102">
        <f t="shared" si="230"/>
        <v>-29.173183679999994</v>
      </c>
      <c r="HL53" s="940">
        <f>+SUMIF($E$6:SEW$6,HL$7,$E53:SEW53)</f>
        <v>-16.34873</v>
      </c>
      <c r="HM53" s="940">
        <f>+SUMIF($E$6:SEX$6,HM$7,$E53:SEX53)</f>
        <v>-8.9727180000000004</v>
      </c>
      <c r="HN53" s="940">
        <f>+SUMIF($E$6:SEY$6,HN$7,$E53:SEY53)</f>
        <v>-12.88123057</v>
      </c>
      <c r="HO53" s="102"/>
      <c r="HP53" s="102"/>
      <c r="HR53" s="929">
        <f t="shared" si="231"/>
        <v>-0.83358136039125874</v>
      </c>
      <c r="HS53" s="929">
        <f t="shared" si="232"/>
        <v>4.4689290648947111E-2</v>
      </c>
      <c r="HT53" s="929">
        <f t="shared" si="233"/>
        <v>-0.28030073862044969</v>
      </c>
      <c r="HU53" s="929">
        <f t="shared" si="234"/>
        <v>-0.38812549004289054</v>
      </c>
      <c r="HV53" s="929">
        <f t="shared" si="235"/>
        <v>-0.18584756628594556</v>
      </c>
      <c r="HW53" s="929">
        <f t="shared" si="236"/>
        <v>1.2222678690030353</v>
      </c>
      <c r="HX53" s="929">
        <f t="shared" si="237"/>
        <v>-0.43959733091427877</v>
      </c>
      <c r="HY53" s="929">
        <f t="shared" si="237"/>
        <v>-0.45116727721358174</v>
      </c>
      <c r="HZ53" s="929">
        <f t="shared" si="237"/>
        <v>0.43559962209890024</v>
      </c>
      <c r="IA53" s="929">
        <f t="shared" si="305"/>
        <v>-1</v>
      </c>
      <c r="IB53" s="929" t="str">
        <f t="shared" si="238"/>
        <v/>
      </c>
      <c r="IC53" s="929">
        <f t="shared" si="306"/>
        <v>-1</v>
      </c>
      <c r="IE53" s="102">
        <f t="shared" si="239"/>
        <v>175.56064200000003</v>
      </c>
      <c r="IF53" s="102">
        <f t="shared" si="240"/>
        <v>-1.566334789999992</v>
      </c>
      <c r="IG53" s="102">
        <f t="shared" si="241"/>
        <v>10.263429839999997</v>
      </c>
      <c r="IH53" s="102">
        <f t="shared" si="242"/>
        <v>10.228018350000003</v>
      </c>
      <c r="II53" s="102">
        <f t="shared" si="322"/>
        <v>2.9966676000000003</v>
      </c>
      <c r="IJ53" s="102">
        <f t="shared" si="323"/>
        <v>-16.045520679999996</v>
      </c>
      <c r="IK53" s="102">
        <f t="shared" si="324"/>
        <v>12.824453679999994</v>
      </c>
      <c r="IL53" s="102">
        <f t="shared" si="307"/>
        <v>16.34873</v>
      </c>
      <c r="IM53" s="102">
        <f t="shared" si="243"/>
        <v>0</v>
      </c>
      <c r="IN53" s="102">
        <f t="shared" si="308"/>
        <v>16.34873</v>
      </c>
      <c r="IP53" s="32">
        <f t="shared" si="244"/>
        <v>-5.7300634111754692E-3</v>
      </c>
      <c r="IQ53" s="32">
        <f t="shared" si="245"/>
        <v>-8.8996421196692451E-4</v>
      </c>
      <c r="IR53" s="32">
        <f t="shared" si="246"/>
        <v>-2.1726843724189219E-3</v>
      </c>
      <c r="IS53" s="32">
        <f t="shared" si="247"/>
        <v>-4.2835231073367099E-3</v>
      </c>
      <c r="IT53" s="32">
        <f t="shared" si="248"/>
        <v>-1.1831058420553684E-3</v>
      </c>
      <c r="IU53" s="32">
        <f t="shared" si="249"/>
        <v>-9.2771503487918403E-4</v>
      </c>
      <c r="IV53" s="32">
        <f t="shared" si="250"/>
        <v>-1.3741910309011916E-3</v>
      </c>
      <c r="IW53" s="32">
        <f t="shared" si="251"/>
        <v>-1.2954735412501707E-3</v>
      </c>
      <c r="IX53" s="32" t="e">
        <f t="shared" si="252"/>
        <v>#DIV/0!</v>
      </c>
      <c r="IY53" s="32" t="e">
        <f t="shared" si="253"/>
        <v>#DIV/0!</v>
      </c>
      <c r="JA53" s="102">
        <f t="shared" si="254"/>
        <v>-1.4709800000000002</v>
      </c>
      <c r="JB53" s="102">
        <f t="shared" si="254"/>
        <v>-210.61008600000002</v>
      </c>
      <c r="JC53" s="102">
        <f t="shared" si="254"/>
        <v>-35.049444000000008</v>
      </c>
      <c r="JD53" s="102">
        <f t="shared" si="254"/>
        <v>-36.61577879</v>
      </c>
      <c r="JE53" s="102">
        <f t="shared" si="254"/>
        <v>-26.352348950000003</v>
      </c>
      <c r="JF53" s="102">
        <f t="shared" si="254"/>
        <v>-16.1243306</v>
      </c>
      <c r="JG53" s="102">
        <f t="shared" si="254"/>
        <v>-13.127663</v>
      </c>
      <c r="JH53" s="102">
        <f t="shared" si="254"/>
        <v>-29.173183679999994</v>
      </c>
      <c r="JI53" s="102">
        <f t="shared" si="254"/>
        <v>-16.34873</v>
      </c>
      <c r="JJ53" s="102">
        <f t="shared" si="254"/>
        <v>-8.9727180000000004</v>
      </c>
      <c r="JK53" s="102">
        <f t="shared" si="254"/>
        <v>-12.88123057</v>
      </c>
      <c r="JL53" s="102">
        <f t="shared" si="255"/>
        <v>-12.88123057</v>
      </c>
      <c r="JM53" s="102"/>
      <c r="JN53" s="102"/>
      <c r="JO53" s="922"/>
      <c r="JP53" s="102">
        <f t="shared" si="256"/>
        <v>-12.88123057</v>
      </c>
      <c r="JQ53" s="102">
        <f t="shared" si="257"/>
        <v>0</v>
      </c>
      <c r="JR53" s="145"/>
      <c r="JS53" s="929" t="str">
        <f t="shared" si="258"/>
        <v/>
      </c>
      <c r="JT53" s="930">
        <f t="shared" si="259"/>
        <v>-12.88123057</v>
      </c>
      <c r="JV53" s="32">
        <f t="shared" si="260"/>
        <v>-4.2664984381731791E-4</v>
      </c>
      <c r="JW53" s="929" t="str">
        <f t="shared" si="261"/>
        <v/>
      </c>
      <c r="JY53" s="929">
        <f t="shared" si="309"/>
        <v>-0.83358136039125874</v>
      </c>
      <c r="JZ53" s="929">
        <f t="shared" si="310"/>
        <v>4.4689290648947111E-2</v>
      </c>
      <c r="KA53" s="929">
        <f t="shared" si="311"/>
        <v>-0.28030073862044969</v>
      </c>
      <c r="KB53" s="929">
        <f t="shared" si="312"/>
        <v>-0.38812549004289054</v>
      </c>
      <c r="KC53" s="929">
        <f t="shared" si="313"/>
        <v>-0.18584756628594556</v>
      </c>
      <c r="KD53" s="929">
        <f t="shared" si="314"/>
        <v>1.2222678690030353</v>
      </c>
      <c r="KE53" s="929">
        <f t="shared" si="315"/>
        <v>-0.43959733091427877</v>
      </c>
      <c r="KF53" s="929">
        <f t="shared" si="316"/>
        <v>-1</v>
      </c>
      <c r="KH53" s="102">
        <f t="shared" si="263"/>
        <v>175.56064200000003</v>
      </c>
      <c r="KI53" s="102">
        <f t="shared" si="264"/>
        <v>-1.566334789999992</v>
      </c>
      <c r="KJ53" s="102">
        <f t="shared" si="265"/>
        <v>10.263429839999997</v>
      </c>
      <c r="KK53" s="102">
        <f t="shared" si="266"/>
        <v>10.228018350000003</v>
      </c>
      <c r="KL53" s="102">
        <f t="shared" si="267"/>
        <v>2.9966676000000003</v>
      </c>
      <c r="KM53" s="102">
        <f t="shared" si="268"/>
        <v>-16.045520679999996</v>
      </c>
      <c r="KN53" s="102">
        <f t="shared" si="269"/>
        <v>12.824453679999994</v>
      </c>
      <c r="KO53" s="102">
        <f t="shared" si="270"/>
        <v>16.34873</v>
      </c>
      <c r="KQ53" s="32">
        <f t="shared" si="271"/>
        <v>-4.0543676207574494E-5</v>
      </c>
      <c r="KR53" s="32">
        <f t="shared" si="272"/>
        <v>-5.7300634111754692E-3</v>
      </c>
      <c r="KS53" s="32">
        <f t="shared" si="273"/>
        <v>-8.8996421196692451E-4</v>
      </c>
      <c r="KT53" s="32">
        <f t="shared" si="274"/>
        <v>-2.1726843724189219E-3</v>
      </c>
      <c r="KU53" s="32">
        <f t="shared" si="275"/>
        <v>-4.2835231073367099E-3</v>
      </c>
      <c r="KV53" s="32">
        <f t="shared" si="276"/>
        <v>-1.1831058420553684E-3</v>
      </c>
      <c r="KW53" s="32">
        <f t="shared" si="277"/>
        <v>-9.2771503487918403E-4</v>
      </c>
      <c r="KX53" s="32">
        <f t="shared" si="278"/>
        <v>-1.3741910309011916E-3</v>
      </c>
      <c r="KY53" s="32">
        <f t="shared" si="279"/>
        <v>-1.2954735412501707E-3</v>
      </c>
      <c r="KZ53" s="32" t="e">
        <f t="shared" si="280"/>
        <v>#DIV/0!</v>
      </c>
      <c r="LB53" s="102">
        <f t="shared" si="281"/>
        <v>-0.11870000000000003</v>
      </c>
      <c r="LC53" s="102">
        <f t="shared" si="281"/>
        <v>-25.830982000000034</v>
      </c>
      <c r="LD53" s="102">
        <f t="shared" si="281"/>
        <v>-5.6385020000000008</v>
      </c>
      <c r="LE53" s="102">
        <f t="shared" si="281"/>
        <v>-1.4156439999999999</v>
      </c>
      <c r="LF53" s="102">
        <f t="shared" si="281"/>
        <v>-1.034834</v>
      </c>
      <c r="LG53" s="102">
        <f t="shared" si="281"/>
        <v>-7.0527249999999997</v>
      </c>
      <c r="LH53" s="102">
        <f t="shared" si="281"/>
        <v>-1.942585</v>
      </c>
      <c r="LI53" s="102">
        <f t="shared" si="281"/>
        <v>-2.7228089999999998</v>
      </c>
      <c r="LJ53" s="102">
        <f t="shared" si="281"/>
        <v>-0.77739899999999995</v>
      </c>
      <c r="LK53" s="102">
        <f t="shared" si="281"/>
        <v>-0.96320700000000004</v>
      </c>
      <c r="LL53" s="102">
        <f t="shared" si="281"/>
        <v>-4.5373502699999992</v>
      </c>
      <c r="LM53" s="102">
        <f t="shared" si="281"/>
        <v>-4.5373502699999992</v>
      </c>
      <c r="LN53" s="102"/>
      <c r="LO53" s="102"/>
      <c r="LR53" s="32">
        <f t="shared" si="282"/>
        <v>-0.78171553834074159</v>
      </c>
      <c r="LS53" s="32">
        <f t="shared" si="283"/>
        <v>-0.74893260656819849</v>
      </c>
      <c r="LT53" s="32">
        <f t="shared" si="284"/>
        <v>-0.26900124607599074</v>
      </c>
      <c r="LU53" s="32">
        <f t="shared" si="285"/>
        <v>5.8153201383023747</v>
      </c>
      <c r="LV53" s="32">
        <f t="shared" si="286"/>
        <v>-0.72456249180281374</v>
      </c>
      <c r="LW53" s="32">
        <f t="shared" si="287"/>
        <v>0.40164214178530155</v>
      </c>
      <c r="LX53" s="32">
        <f t="shared" si="288"/>
        <v>-1</v>
      </c>
      <c r="LZ53" s="102">
        <f t="shared" si="289"/>
        <v>20.192480000000032</v>
      </c>
      <c r="MA53" s="102">
        <f t="shared" si="290"/>
        <v>4.2228580000000004</v>
      </c>
      <c r="MB53" s="102">
        <f t="shared" si="291"/>
        <v>0.38080999999999987</v>
      </c>
      <c r="MC53" s="102">
        <f t="shared" si="292"/>
        <v>-6.0178909999999997</v>
      </c>
      <c r="MD53" s="102">
        <f t="shared" si="293"/>
        <v>5.1101399999999995</v>
      </c>
      <c r="ME53" s="102">
        <f t="shared" si="294"/>
        <v>-0.78022399999999981</v>
      </c>
      <c r="MF53" s="102">
        <f t="shared" si="295"/>
        <v>2.7228089999999998</v>
      </c>
      <c r="MH53" s="32">
        <f t="shared" si="296"/>
        <v>-3.9575317240683735E-5</v>
      </c>
      <c r="MI53" s="32">
        <f t="shared" si="297"/>
        <v>-4.6849031772936058E-3</v>
      </c>
      <c r="MJ53" s="32">
        <f t="shared" si="298"/>
        <v>-1.0999492252983987E-3</v>
      </c>
      <c r="MK53" s="32">
        <f t="shared" si="299"/>
        <v>-2.4354253573729014E-3</v>
      </c>
      <c r="ML53" s="32">
        <f t="shared" si="300"/>
        <v>-6.8693125302268321E-4</v>
      </c>
      <c r="MM53" s="32">
        <f t="shared" si="301"/>
        <v>-6.8560689195170726E-3</v>
      </c>
      <c r="MN53" s="32">
        <f t="shared" si="302"/>
        <v>-1.2492406375060781E-3</v>
      </c>
      <c r="MO53" s="32">
        <f t="shared" si="303"/>
        <v>-1.4467667769969097E-3</v>
      </c>
      <c r="MP53" s="32" t="e">
        <f t="shared" si="304"/>
        <v>#DIV/0!</v>
      </c>
    </row>
    <row r="54" spans="1:354" outlineLevel="2">
      <c r="A54" s="884">
        <v>5145</v>
      </c>
      <c r="B54" s="70" t="s">
        <v>636</v>
      </c>
      <c r="C54" s="29" t="s">
        <v>86</v>
      </c>
      <c r="D54" s="31" t="s">
        <v>59</v>
      </c>
      <c r="E54" s="102">
        <v>-0.18</v>
      </c>
      <c r="F54" s="102">
        <v>0.109</v>
      </c>
      <c r="G54" s="102">
        <v>7.0999999999999994E-2</v>
      </c>
      <c r="H54" s="102">
        <v>-0.41327700000000001</v>
      </c>
      <c r="I54" s="102">
        <v>-2.3589310000000001</v>
      </c>
      <c r="J54" s="102">
        <v>-0.23183800000000021</v>
      </c>
      <c r="K54" s="102">
        <v>0</v>
      </c>
      <c r="L54" s="102">
        <v>0</v>
      </c>
      <c r="M54" s="102">
        <v>-2.1163999999999739E-2</v>
      </c>
      <c r="N54" s="102">
        <v>-8.0000000000000071E-2</v>
      </c>
      <c r="O54" s="102">
        <v>-0.62418156000000025</v>
      </c>
      <c r="P54" s="102">
        <v>-0.33732699999999971</v>
      </c>
      <c r="Q54" s="102">
        <v>-1.2200000000000002</v>
      </c>
      <c r="R54" s="102">
        <v>-2.8939999999999997</v>
      </c>
      <c r="S54" s="102">
        <v>-1.8400000000000007</v>
      </c>
      <c r="T54" s="102">
        <v>0</v>
      </c>
      <c r="U54" s="102">
        <v>-0.73999999999999932</v>
      </c>
      <c r="V54" s="102">
        <v>-3.590351000000001</v>
      </c>
      <c r="W54" s="102">
        <v>-4.5500000000000007</v>
      </c>
      <c r="X54" s="102">
        <v>-1.0150000000000006</v>
      </c>
      <c r="Y54" s="102">
        <v>-0.61526299999999878</v>
      </c>
      <c r="Z54" s="102">
        <v>-0.25</v>
      </c>
      <c r="AA54" s="102">
        <v>-0.3349999999999973</v>
      </c>
      <c r="AB54" s="102">
        <v>0</v>
      </c>
      <c r="AC54" s="102">
        <v>-0.48</v>
      </c>
      <c r="AD54" s="102">
        <v>0</v>
      </c>
      <c r="AE54" s="102">
        <v>0</v>
      </c>
      <c r="AF54" s="102">
        <v>-1.2839225599999999</v>
      </c>
      <c r="AG54" s="102">
        <v>-3.9454056200000003</v>
      </c>
      <c r="AH54" s="102">
        <v>-1.9139507299999998</v>
      </c>
      <c r="AI54" s="102">
        <v>-0.12</v>
      </c>
      <c r="AJ54" s="102">
        <v>-0.46948276</v>
      </c>
      <c r="AK54" s="102">
        <v>-0.20931051000000001</v>
      </c>
      <c r="AL54" s="102">
        <v>0</v>
      </c>
      <c r="AM54" s="102">
        <v>-1.3137722699999999</v>
      </c>
      <c r="AN54" s="102">
        <v>-5.7874000000000008</v>
      </c>
      <c r="AO54" s="102">
        <v>-8.0692579999999996</v>
      </c>
      <c r="AP54" s="145">
        <v>-13.25974738</v>
      </c>
      <c r="AQ54" s="143">
        <v>-10.77850802</v>
      </c>
      <c r="AR54" s="220">
        <v>-3.1844923299999994</v>
      </c>
      <c r="AS54" s="102">
        <v>0.95244629000000003</v>
      </c>
      <c r="AT54" s="102">
        <v>-2.3588849999999999</v>
      </c>
      <c r="AU54" s="102">
        <v>-6.0665795099999995</v>
      </c>
      <c r="AV54" s="102">
        <v>-10.039999999999999</v>
      </c>
      <c r="AW54" s="102">
        <v>-1.4161815200000001</v>
      </c>
      <c r="AX54" s="102">
        <v>-0.84884199999999999</v>
      </c>
      <c r="AY54" s="102">
        <v>1.9088849999999999</v>
      </c>
      <c r="AZ54" s="102">
        <v>-0.40671600000000002</v>
      </c>
      <c r="BA54" s="102">
        <v>0</v>
      </c>
      <c r="BB54" s="102">
        <v>-1.8</v>
      </c>
      <c r="BC54" s="102">
        <v>0</v>
      </c>
      <c r="BD54" s="102">
        <v>-0.50554600000000005</v>
      </c>
      <c r="BE54" s="102">
        <v>0</v>
      </c>
      <c r="BF54" s="102">
        <v>-0.49004399999999998</v>
      </c>
      <c r="BG54" s="102">
        <v>-0.05</v>
      </c>
      <c r="BH54" s="102">
        <v>0</v>
      </c>
      <c r="BI54" s="102">
        <v>-0.18057000000000001</v>
      </c>
      <c r="BJ54" s="102">
        <v>0</v>
      </c>
      <c r="BK54" s="102">
        <v>0</v>
      </c>
      <c r="BL54" s="102">
        <v>-0.34</v>
      </c>
      <c r="BM54" s="102">
        <v>-2.39</v>
      </c>
      <c r="BN54" s="102">
        <v>0</v>
      </c>
      <c r="BO54" s="102">
        <v>-7.0000000000000007E-2</v>
      </c>
      <c r="BP54" s="102">
        <v>0</v>
      </c>
      <c r="BQ54" s="102">
        <v>0</v>
      </c>
      <c r="BR54" s="102">
        <v>-1.36</v>
      </c>
      <c r="BS54" s="102">
        <v>0</v>
      </c>
      <c r="BT54" s="102">
        <v>0</v>
      </c>
      <c r="BU54" s="102">
        <v>-1.3119160000000001</v>
      </c>
      <c r="BV54" s="102">
        <v>-0.56365299999999996</v>
      </c>
      <c r="BW54" s="102">
        <v>-6.0083999999999999E-2</v>
      </c>
      <c r="BX54" s="102">
        <v>-0.12596599999999999</v>
      </c>
      <c r="BY54" s="102">
        <v>-1.63</v>
      </c>
      <c r="BZ54" s="102">
        <v>-1.098787</v>
      </c>
      <c r="CA54" s="102">
        <v>-7.0803520000000004</v>
      </c>
      <c r="CB54" s="102">
        <v>1.20794</v>
      </c>
      <c r="CC54" s="102">
        <v>-4.4847700000000001</v>
      </c>
      <c r="CD54" s="102">
        <v>-2.94265</v>
      </c>
      <c r="CE54" s="102">
        <v>-0.25642199999999998</v>
      </c>
      <c r="CF54" s="102">
        <v>-3.3631700000000002</v>
      </c>
      <c r="CG54" s="102">
        <v>-1.6376900000000001</v>
      </c>
      <c r="CH54" s="102">
        <v>-1.0005699299999999</v>
      </c>
      <c r="CI54" s="102">
        <v>-0.30420199999999997</v>
      </c>
      <c r="CJ54" s="102">
        <v>0</v>
      </c>
      <c r="CK54" s="102">
        <v>0</v>
      </c>
      <c r="CL54" s="102">
        <v>0</v>
      </c>
      <c r="CM54" s="102">
        <v>-0.165546</v>
      </c>
      <c r="CN54" s="102">
        <v>0</v>
      </c>
      <c r="CO54" s="102">
        <v>-1.5532820000000001</v>
      </c>
      <c r="CP54" s="102">
        <v>-0.01</v>
      </c>
      <c r="CQ54" s="102">
        <v>-0.745</v>
      </c>
      <c r="CR54" s="102">
        <v>0.55500000000000005</v>
      </c>
      <c r="CS54" s="102">
        <v>-0.15</v>
      </c>
      <c r="CT54" s="102">
        <v>-6.0473189999999999</v>
      </c>
      <c r="CU54" s="102">
        <v>-0.44151000000000001</v>
      </c>
      <c r="CV54" s="102">
        <v>-0.952932</v>
      </c>
      <c r="CW54" s="102">
        <v>0</v>
      </c>
      <c r="CX54" s="102">
        <v>-2.2920880000000001</v>
      </c>
      <c r="CY54" s="102">
        <v>-0.57984899999999995</v>
      </c>
      <c r="CZ54" s="102">
        <v>-8.3193279999999994E-2</v>
      </c>
      <c r="DA54" s="102">
        <v>-6.6561999999999996E-2</v>
      </c>
      <c r="DB54" s="102">
        <v>-1.0774030000000001</v>
      </c>
      <c r="DC54" s="102">
        <v>-2.2168E-2</v>
      </c>
      <c r="DD54" s="102">
        <v>-0.18</v>
      </c>
      <c r="DE54" s="102">
        <v>-0.942303</v>
      </c>
      <c r="DF54" s="102">
        <v>-0.5</v>
      </c>
      <c r="DG54" s="102">
        <v>-0.29375000000000001</v>
      </c>
      <c r="DH54" s="102">
        <v>-4.7183679999999999</v>
      </c>
      <c r="DI54" s="102">
        <v>-0.198824</v>
      </c>
      <c r="DJ54" s="102">
        <v>-0.52907700000000002</v>
      </c>
      <c r="DK54" s="102">
        <v>-0.41982000000000003</v>
      </c>
      <c r="DL54" s="102">
        <v>-0.39050000000000001</v>
      </c>
      <c r="DM54" s="102">
        <v>-0.18693299999999999</v>
      </c>
      <c r="DN54" s="102">
        <v>-1.2669999999999999</v>
      </c>
      <c r="DO54" s="102">
        <v>-1.137683</v>
      </c>
      <c r="DP54" s="102">
        <v>-2.0745300000000002</v>
      </c>
      <c r="DQ54" s="940">
        <v>-1.1264240000000001</v>
      </c>
      <c r="DR54" s="940">
        <v>-0.28563</v>
      </c>
      <c r="DS54" s="940">
        <v>-0.28563</v>
      </c>
      <c r="DT54" s="940">
        <v>0.04</v>
      </c>
      <c r="DU54" s="940">
        <v>0</v>
      </c>
      <c r="DV54" s="940">
        <v>-0.21319327999999999</v>
      </c>
      <c r="DW54" s="940">
        <v>-2.633</v>
      </c>
      <c r="DX54" s="940">
        <v>-0.438</v>
      </c>
      <c r="DY54" s="940">
        <v>-0.8</v>
      </c>
      <c r="DZ54" s="940">
        <v>-3.0915319999999999</v>
      </c>
      <c r="EA54" s="940">
        <v>-0.105</v>
      </c>
      <c r="EB54" s="940">
        <v>-0.4</v>
      </c>
      <c r="EC54" s="940">
        <v>-1.407983</v>
      </c>
      <c r="ED54" s="940">
        <v>0</v>
      </c>
      <c r="EE54" s="940">
        <v>-0.23802499999999999</v>
      </c>
      <c r="EF54" s="940">
        <v>0</v>
      </c>
      <c r="EG54" s="145"/>
      <c r="EH54" s="102">
        <v>0</v>
      </c>
      <c r="EI54" s="102">
        <v>-2.2920880000000001</v>
      </c>
      <c r="EJ54" s="102">
        <v>-0.57984899999999995</v>
      </c>
      <c r="EK54" s="102">
        <v>-8.3193279999999994E-2</v>
      </c>
      <c r="EL54" s="102">
        <v>-6.6561999999999996E-2</v>
      </c>
      <c r="EM54" s="102">
        <v>-1.0774030000000001</v>
      </c>
      <c r="EN54" s="102">
        <v>-0.35</v>
      </c>
      <c r="EO54" s="102">
        <v>-1</v>
      </c>
      <c r="EP54" s="102">
        <v>-0.1</v>
      </c>
      <c r="EQ54" s="102">
        <v>-0.1</v>
      </c>
      <c r="ER54" s="102">
        <v>-0.1</v>
      </c>
      <c r="ES54" s="102">
        <v>-1.08</v>
      </c>
      <c r="EU54" s="102">
        <v>0</v>
      </c>
      <c r="EV54" s="102">
        <v>0</v>
      </c>
      <c r="EW54" s="102">
        <v>0</v>
      </c>
      <c r="EX54" s="102">
        <v>0</v>
      </c>
      <c r="EY54" s="102">
        <v>0</v>
      </c>
      <c r="EZ54" s="102">
        <v>0</v>
      </c>
      <c r="FA54" s="102">
        <v>0</v>
      </c>
      <c r="FB54" s="102">
        <v>0</v>
      </c>
      <c r="FC54" s="102">
        <v>0</v>
      </c>
      <c r="FD54" s="102">
        <v>0</v>
      </c>
      <c r="FE54" s="102">
        <v>0</v>
      </c>
      <c r="FF54" s="102">
        <v>0</v>
      </c>
      <c r="FG54" s="102">
        <v>0</v>
      </c>
      <c r="FH54" s="102">
        <v>0</v>
      </c>
      <c r="FI54" s="102">
        <v>0</v>
      </c>
      <c r="FJ54" s="102">
        <v>0</v>
      </c>
      <c r="FK54" s="102">
        <v>0</v>
      </c>
      <c r="FL54" s="102">
        <v>0</v>
      </c>
      <c r="FM54" s="102">
        <v>0</v>
      </c>
      <c r="FN54" s="102">
        <v>0</v>
      </c>
      <c r="FO54" s="102">
        <v>0</v>
      </c>
      <c r="FP54" s="102">
        <v>0</v>
      </c>
      <c r="FQ54" s="102">
        <v>0</v>
      </c>
      <c r="FR54" s="102">
        <v>0</v>
      </c>
      <c r="FS54" s="102">
        <v>-0.4</v>
      </c>
      <c r="FT54" s="102">
        <v>0</v>
      </c>
      <c r="FU54" s="102">
        <v>0</v>
      </c>
      <c r="FV54" s="102">
        <v>0</v>
      </c>
      <c r="FW54" s="102">
        <v>0</v>
      </c>
      <c r="FX54" s="102">
        <v>-6.12</v>
      </c>
      <c r="FY54" s="102">
        <v>0</v>
      </c>
      <c r="FZ54" s="102">
        <v>-1.8</v>
      </c>
      <c r="GA54" s="102">
        <v>0</v>
      </c>
      <c r="GB54" s="102">
        <v>0</v>
      </c>
      <c r="GC54" s="102">
        <v>0</v>
      </c>
      <c r="GD54" s="102">
        <v>0</v>
      </c>
      <c r="GE54" s="102">
        <v>-0.15</v>
      </c>
      <c r="GF54" s="102">
        <v>-0.56000000000000005</v>
      </c>
      <c r="GG54" s="102">
        <v>-2.78</v>
      </c>
      <c r="GH54" s="102">
        <v>-0.15</v>
      </c>
      <c r="GI54" s="102">
        <v>-0.99099999999999999</v>
      </c>
      <c r="GJ54" s="102">
        <v>-1.1299999999999999</v>
      </c>
      <c r="GK54" s="102">
        <v>-0.15</v>
      </c>
      <c r="GL54" s="102">
        <v>-0.56000000000000005</v>
      </c>
      <c r="GM54" s="102">
        <v>-2.33</v>
      </c>
      <c r="GN54" s="102">
        <v>-0.15</v>
      </c>
      <c r="GO54" s="102">
        <v>-0.15</v>
      </c>
      <c r="GP54" s="102">
        <v>-1.1299999999999999</v>
      </c>
      <c r="GQ54" s="102">
        <v>-0.15</v>
      </c>
      <c r="GR54" s="102">
        <v>-0.56000000000000005</v>
      </c>
      <c r="GS54" s="102">
        <v>-2.78</v>
      </c>
      <c r="GT54" s="102">
        <v>-0.15</v>
      </c>
      <c r="GU54" s="102">
        <v>-0.99099999999999999</v>
      </c>
      <c r="GV54" s="102">
        <v>-1.1299999999999999</v>
      </c>
      <c r="GW54" s="102">
        <v>-0.15</v>
      </c>
      <c r="GX54" s="102">
        <v>-0.56000000000000005</v>
      </c>
      <c r="GY54" s="102">
        <v>-2.33</v>
      </c>
      <c r="GZ54" s="102">
        <v>-0.15</v>
      </c>
      <c r="HA54" s="102">
        <v>-0.15</v>
      </c>
      <c r="HB54" s="102">
        <v>-1.1299999999999999</v>
      </c>
      <c r="HD54" s="102">
        <f t="shared" si="226"/>
        <v>-4.06671856</v>
      </c>
      <c r="HE54" s="102">
        <f t="shared" si="226"/>
        <v>-17.049613999999998</v>
      </c>
      <c r="HF54" s="102">
        <f t="shared" si="226"/>
        <v>-15.52324445</v>
      </c>
      <c r="HG54" s="102">
        <f t="shared" si="226"/>
        <v>-53.567878470000004</v>
      </c>
      <c r="HH54" s="102">
        <f t="shared" si="227"/>
        <v>-3.3661599999999998</v>
      </c>
      <c r="HI54" s="102">
        <f t="shared" si="228"/>
        <v>-5.8816190000000006</v>
      </c>
      <c r="HJ54" s="102">
        <f t="shared" si="229"/>
        <v>-22.59067293</v>
      </c>
      <c r="HK54" s="102">
        <f t="shared" si="230"/>
        <v>-9.5105889999999995</v>
      </c>
      <c r="HL54" s="940">
        <f>+SUMIF($E$6:SEW$6,HL$7,$E54:SEW54)</f>
        <v>-10.755684280000001</v>
      </c>
      <c r="HM54" s="940">
        <f>+SUMIF($E$6:SEX$6,HM$7,$E54:SEX54)</f>
        <v>-7.862051000000001</v>
      </c>
      <c r="HN54" s="940">
        <f>+SUMIF($E$6:SEY$6,HN$7,$E54:SEY54)</f>
        <v>-9.3267332800000009</v>
      </c>
      <c r="HO54" s="102"/>
      <c r="HP54" s="102"/>
      <c r="HR54" s="929">
        <f t="shared" si="231"/>
        <v>-8.9525167549247664E-2</v>
      </c>
      <c r="HS54" s="929">
        <f t="shared" si="232"/>
        <v>2.4508171692161946</v>
      </c>
      <c r="HT54" s="929">
        <f t="shared" si="233"/>
        <v>-0.93716084907328978</v>
      </c>
      <c r="HU54" s="929">
        <f t="shared" si="234"/>
        <v>0.74727850131901064</v>
      </c>
      <c r="HV54" s="929">
        <f t="shared" si="235"/>
        <v>2.8408936263977651</v>
      </c>
      <c r="HW54" s="929">
        <f t="shared" si="236"/>
        <v>-0.57900373178480613</v>
      </c>
      <c r="HX54" s="929">
        <f t="shared" si="237"/>
        <v>0.13091673712322138</v>
      </c>
      <c r="HY54" s="929">
        <f t="shared" si="237"/>
        <v>-0.26903293223106761</v>
      </c>
      <c r="HZ54" s="929">
        <f t="shared" si="237"/>
        <v>0.18629773325052201</v>
      </c>
      <c r="IA54" s="929">
        <f t="shared" si="305"/>
        <v>-1</v>
      </c>
      <c r="IB54" s="929" t="str">
        <f t="shared" si="238"/>
        <v/>
      </c>
      <c r="IC54" s="929">
        <f t="shared" si="306"/>
        <v>-1</v>
      </c>
      <c r="IE54" s="102">
        <f t="shared" si="239"/>
        <v>1.5263695499999983</v>
      </c>
      <c r="IF54" s="102">
        <f t="shared" si="240"/>
        <v>-38.044634020000004</v>
      </c>
      <c r="IG54" s="102">
        <f t="shared" si="241"/>
        <v>50.201718470000003</v>
      </c>
      <c r="IH54" s="102">
        <f t="shared" si="242"/>
        <v>-2.5154590000000008</v>
      </c>
      <c r="II54" s="102">
        <f t="shared" si="322"/>
        <v>-16.70905393</v>
      </c>
      <c r="IJ54" s="102">
        <f t="shared" si="323"/>
        <v>13.080083930000001</v>
      </c>
      <c r="IK54" s="102">
        <f t="shared" si="324"/>
        <v>-1.245095280000001</v>
      </c>
      <c r="IL54" s="102">
        <f t="shared" si="307"/>
        <v>10.755684280000001</v>
      </c>
      <c r="IM54" s="102">
        <f t="shared" si="243"/>
        <v>0</v>
      </c>
      <c r="IN54" s="102">
        <f t="shared" si="308"/>
        <v>10.755684280000001</v>
      </c>
      <c r="IP54" s="32">
        <f t="shared" si="244"/>
        <v>-4.6386842725122397E-4</v>
      </c>
      <c r="IQ54" s="32">
        <f t="shared" si="245"/>
        <v>-3.9416123160510567E-4</v>
      </c>
      <c r="IR54" s="32">
        <f t="shared" si="246"/>
        <v>-3.1785775493921981E-3</v>
      </c>
      <c r="IS54" s="32">
        <f t="shared" si="247"/>
        <v>-5.4716276603465879E-4</v>
      </c>
      <c r="IT54" s="32">
        <f t="shared" si="248"/>
        <v>-4.3155762383362788E-4</v>
      </c>
      <c r="IU54" s="32">
        <f t="shared" si="249"/>
        <v>-1.5964537576261051E-3</v>
      </c>
      <c r="IV54" s="32">
        <f t="shared" si="250"/>
        <v>-4.4799245244348782E-4</v>
      </c>
      <c r="IW54" s="32">
        <f t="shared" si="251"/>
        <v>-8.5228053816904391E-4</v>
      </c>
      <c r="IX54" s="32" t="e">
        <f t="shared" si="252"/>
        <v>#DIV/0!</v>
      </c>
      <c r="IY54" s="32" t="e">
        <f t="shared" si="253"/>
        <v>#DIV/0!</v>
      </c>
      <c r="JA54" s="102">
        <f t="shared" si="254"/>
        <v>-4.06671856</v>
      </c>
      <c r="JB54" s="102">
        <f t="shared" si="254"/>
        <v>-17.049613999999998</v>
      </c>
      <c r="JC54" s="102">
        <f t="shared" si="254"/>
        <v>-15.52324445</v>
      </c>
      <c r="JD54" s="102">
        <f t="shared" si="254"/>
        <v>-53.567878470000004</v>
      </c>
      <c r="JE54" s="102">
        <f t="shared" si="254"/>
        <v>-3.3661599999999998</v>
      </c>
      <c r="JF54" s="102">
        <f t="shared" si="254"/>
        <v>-5.8816190000000006</v>
      </c>
      <c r="JG54" s="102">
        <f t="shared" si="254"/>
        <v>-22.59067293</v>
      </c>
      <c r="JH54" s="102">
        <f t="shared" si="254"/>
        <v>-9.5105889999999995</v>
      </c>
      <c r="JI54" s="102">
        <f t="shared" si="254"/>
        <v>-10.755684280000001</v>
      </c>
      <c r="JJ54" s="102">
        <f t="shared" si="254"/>
        <v>-7.862051000000001</v>
      </c>
      <c r="JK54" s="102">
        <f t="shared" si="254"/>
        <v>-9.3267332800000009</v>
      </c>
      <c r="JL54" s="102">
        <f t="shared" si="255"/>
        <v>-9.3267332800000009</v>
      </c>
      <c r="JM54" s="102"/>
      <c r="JN54" s="102"/>
      <c r="JO54" s="922"/>
      <c r="JP54" s="102">
        <f t="shared" si="256"/>
        <v>-9.3267332800000009</v>
      </c>
      <c r="JQ54" s="102">
        <f t="shared" si="257"/>
        <v>0</v>
      </c>
      <c r="JR54" s="145"/>
      <c r="JS54" s="929" t="str">
        <f t="shared" si="258"/>
        <v/>
      </c>
      <c r="JT54" s="930">
        <f t="shared" si="259"/>
        <v>-9.3267332800000009</v>
      </c>
      <c r="JV54" s="32">
        <f t="shared" si="260"/>
        <v>-3.0891841238408807E-4</v>
      </c>
      <c r="JW54" s="929" t="str">
        <f t="shared" si="261"/>
        <v/>
      </c>
      <c r="JY54" s="929">
        <f t="shared" si="309"/>
        <v>-8.9525167549247664E-2</v>
      </c>
      <c r="JZ54" s="929">
        <f t="shared" si="310"/>
        <v>2.4508171692161946</v>
      </c>
      <c r="KA54" s="929">
        <f t="shared" si="311"/>
        <v>-0.93716084907328978</v>
      </c>
      <c r="KB54" s="929">
        <f t="shared" si="312"/>
        <v>0.74727850131901064</v>
      </c>
      <c r="KC54" s="929">
        <f t="shared" si="313"/>
        <v>2.8408936263977651</v>
      </c>
      <c r="KD54" s="929">
        <f t="shared" si="314"/>
        <v>-0.57900373178480613</v>
      </c>
      <c r="KE54" s="929">
        <f t="shared" si="315"/>
        <v>0.13091673712322138</v>
      </c>
      <c r="KF54" s="929">
        <f t="shared" si="316"/>
        <v>-1</v>
      </c>
      <c r="KH54" s="102">
        <f t="shared" si="263"/>
        <v>1.5263695499999983</v>
      </c>
      <c r="KI54" s="102">
        <f t="shared" si="264"/>
        <v>-38.044634020000004</v>
      </c>
      <c r="KJ54" s="102">
        <f t="shared" si="265"/>
        <v>50.201718470000003</v>
      </c>
      <c r="KK54" s="102">
        <f t="shared" si="266"/>
        <v>-2.5154590000000008</v>
      </c>
      <c r="KL54" s="102">
        <f t="shared" si="267"/>
        <v>-16.70905393</v>
      </c>
      <c r="KM54" s="102">
        <f t="shared" si="268"/>
        <v>13.080083930000001</v>
      </c>
      <c r="KN54" s="102">
        <f t="shared" si="269"/>
        <v>-1.245095280000001</v>
      </c>
      <c r="KO54" s="102">
        <f t="shared" si="270"/>
        <v>10.755684280000001</v>
      </c>
      <c r="KQ54" s="32">
        <f t="shared" si="271"/>
        <v>-1.1208834961996329E-4</v>
      </c>
      <c r="KR54" s="32">
        <f t="shared" si="272"/>
        <v>-4.6386842725122397E-4</v>
      </c>
      <c r="KS54" s="32">
        <f t="shared" si="273"/>
        <v>-3.9416123160510567E-4</v>
      </c>
      <c r="KT54" s="32">
        <f t="shared" si="274"/>
        <v>-3.1785775493921981E-3</v>
      </c>
      <c r="KU54" s="32">
        <f t="shared" si="275"/>
        <v>-5.4716276603465879E-4</v>
      </c>
      <c r="KV54" s="32">
        <f t="shared" si="276"/>
        <v>-4.3155762383362788E-4</v>
      </c>
      <c r="KW54" s="32">
        <f t="shared" si="277"/>
        <v>-1.5964537576261051E-3</v>
      </c>
      <c r="KX54" s="32">
        <f t="shared" si="278"/>
        <v>-4.4799245244348782E-4</v>
      </c>
      <c r="KY54" s="32">
        <f t="shared" si="279"/>
        <v>-8.5228053816904391E-4</v>
      </c>
      <c r="KZ54" s="32" t="e">
        <f t="shared" si="280"/>
        <v>#DIV/0!</v>
      </c>
      <c r="LB54" s="102">
        <f t="shared" si="281"/>
        <v>-0.33732699999999971</v>
      </c>
      <c r="LC54" s="102">
        <f t="shared" si="281"/>
        <v>0</v>
      </c>
      <c r="LD54" s="102">
        <f t="shared" si="281"/>
        <v>-5.7874000000000008</v>
      </c>
      <c r="LE54" s="102">
        <f t="shared" si="281"/>
        <v>-0.40671600000000002</v>
      </c>
      <c r="LF54" s="102">
        <f t="shared" si="281"/>
        <v>-0.34</v>
      </c>
      <c r="LG54" s="102">
        <f t="shared" si="281"/>
        <v>-0.12596599999999999</v>
      </c>
      <c r="LH54" s="102">
        <f t="shared" si="281"/>
        <v>0</v>
      </c>
      <c r="LI54" s="102">
        <f t="shared" si="281"/>
        <v>-0.952932</v>
      </c>
      <c r="LJ54" s="102">
        <f t="shared" si="281"/>
        <v>-4.7183679999999999</v>
      </c>
      <c r="LK54" s="102">
        <f t="shared" si="281"/>
        <v>0.04</v>
      </c>
      <c r="LL54" s="102">
        <f t="shared" si="281"/>
        <v>0</v>
      </c>
      <c r="LM54" s="102">
        <f t="shared" si="281"/>
        <v>0</v>
      </c>
      <c r="LN54" s="102"/>
      <c r="LO54" s="102"/>
      <c r="LR54" s="32" t="str">
        <f t="shared" si="282"/>
        <v xml:space="preserve"> </v>
      </c>
      <c r="LS54" s="32">
        <f t="shared" si="283"/>
        <v>-0.9297238829180634</v>
      </c>
      <c r="LT54" s="32">
        <f t="shared" si="284"/>
        <v>-0.16403583827535673</v>
      </c>
      <c r="LU54" s="32">
        <f t="shared" si="285"/>
        <v>-0.62951176470588233</v>
      </c>
      <c r="LV54" s="32">
        <f t="shared" si="286"/>
        <v>-1</v>
      </c>
      <c r="LW54" s="32" t="str">
        <f t="shared" si="287"/>
        <v xml:space="preserve"> </v>
      </c>
      <c r="LX54" s="32">
        <f t="shared" si="288"/>
        <v>-1</v>
      </c>
      <c r="LZ54" s="102">
        <f t="shared" si="289"/>
        <v>-5.7874000000000008</v>
      </c>
      <c r="MA54" s="102">
        <f t="shared" si="290"/>
        <v>5.3806840000000005</v>
      </c>
      <c r="MB54" s="102">
        <f t="shared" si="291"/>
        <v>6.6715999999999998E-2</v>
      </c>
      <c r="MC54" s="102">
        <f t="shared" si="292"/>
        <v>0.21403400000000003</v>
      </c>
      <c r="MD54" s="102">
        <f t="shared" si="293"/>
        <v>0.12596599999999999</v>
      </c>
      <c r="ME54" s="102">
        <f t="shared" si="294"/>
        <v>-0.952932</v>
      </c>
      <c r="MF54" s="102">
        <f t="shared" si="295"/>
        <v>0.952932</v>
      </c>
      <c r="MH54" s="32">
        <f t="shared" si="296"/>
        <v>-1.1246691692374142E-4</v>
      </c>
      <c r="MI54" s="32">
        <f t="shared" si="297"/>
        <v>0</v>
      </c>
      <c r="MJ54" s="32">
        <f t="shared" si="298"/>
        <v>-1.1289959898022476E-3</v>
      </c>
      <c r="MK54" s="32">
        <f t="shared" si="299"/>
        <v>-6.9970024925000718E-4</v>
      </c>
      <c r="ML54" s="32">
        <f t="shared" si="300"/>
        <v>-2.2569477426110111E-4</v>
      </c>
      <c r="MM54" s="32">
        <f t="shared" si="301"/>
        <v>-1.2245360162432074E-4</v>
      </c>
      <c r="MN54" s="32">
        <f t="shared" si="302"/>
        <v>0</v>
      </c>
      <c r="MO54" s="32">
        <f t="shared" si="303"/>
        <v>-5.0634119335481089E-4</v>
      </c>
      <c r="MP54" s="32" t="e">
        <f t="shared" si="304"/>
        <v>#DIV/0!</v>
      </c>
    </row>
    <row r="55" spans="1:354" outlineLevel="2">
      <c r="A55" s="884">
        <v>5150</v>
      </c>
      <c r="B55" s="70" t="s">
        <v>640</v>
      </c>
      <c r="C55" s="29" t="s">
        <v>87</v>
      </c>
      <c r="D55" s="31" t="s">
        <v>59</v>
      </c>
      <c r="E55" s="102">
        <v>-0.1</v>
      </c>
      <c r="F55" s="102">
        <v>-0.26</v>
      </c>
      <c r="G55" s="102">
        <v>2.1999999999999964E-2</v>
      </c>
      <c r="H55" s="102">
        <v>-0.24999999999999994</v>
      </c>
      <c r="I55" s="102">
        <v>0</v>
      </c>
      <c r="J55" s="102">
        <v>-0.38920700000000008</v>
      </c>
      <c r="K55" s="102">
        <v>-2.9999999999999916E-2</v>
      </c>
      <c r="L55" s="102">
        <v>-0.43300000000000005</v>
      </c>
      <c r="M55" s="102">
        <v>-8.0000000000000071E-2</v>
      </c>
      <c r="N55" s="102">
        <v>-0.86413699999999993</v>
      </c>
      <c r="O55" s="102">
        <v>-7.085000000000008E-2</v>
      </c>
      <c r="P55" s="102">
        <v>-0.40902700000000003</v>
      </c>
      <c r="Q55" s="102">
        <v>0</v>
      </c>
      <c r="R55" s="102">
        <v>0</v>
      </c>
      <c r="S55" s="102">
        <v>0</v>
      </c>
      <c r="T55" s="102">
        <v>0</v>
      </c>
      <c r="U55" s="102">
        <v>-0.39200000000000002</v>
      </c>
      <c r="V55" s="102">
        <v>0</v>
      </c>
      <c r="W55" s="102">
        <v>0</v>
      </c>
      <c r="X55" s="102">
        <v>-0.59043102999999997</v>
      </c>
      <c r="Y55" s="102">
        <v>-0.80344826999999996</v>
      </c>
      <c r="Z55" s="102">
        <v>-0.15000000000000013</v>
      </c>
      <c r="AA55" s="102">
        <v>-0.14484137999999969</v>
      </c>
      <c r="AB55" s="102">
        <v>-0.69831897000000032</v>
      </c>
      <c r="AC55" s="102">
        <v>-0.34789999999999999</v>
      </c>
      <c r="AD55" s="102">
        <v>-3.1800000000000002E-2</v>
      </c>
      <c r="AE55" s="102">
        <v>0</v>
      </c>
      <c r="AF55" s="102">
        <v>0</v>
      </c>
      <c r="AG55" s="102">
        <v>-1.75</v>
      </c>
      <c r="AH55" s="102">
        <v>-3.9687801700000001</v>
      </c>
      <c r="AI55" s="102">
        <v>-1.98</v>
      </c>
      <c r="AJ55" s="102">
        <v>-0.35</v>
      </c>
      <c r="AK55" s="102">
        <v>-0.13400000000000001</v>
      </c>
      <c r="AL55" s="102">
        <v>0</v>
      </c>
      <c r="AM55" s="102">
        <v>0</v>
      </c>
      <c r="AN55" s="102">
        <v>0.89</v>
      </c>
      <c r="AO55" s="102">
        <v>0</v>
      </c>
      <c r="AP55" s="145">
        <v>0</v>
      </c>
      <c r="AQ55" s="143">
        <v>0</v>
      </c>
      <c r="AR55" s="220">
        <v>0</v>
      </c>
      <c r="AS55" s="102">
        <v>0</v>
      </c>
      <c r="AT55" s="102">
        <v>0</v>
      </c>
      <c r="AU55" s="102">
        <v>-0.19953000000000001</v>
      </c>
      <c r="AV55" s="102">
        <v>-1.4857199999999999</v>
      </c>
      <c r="AW55" s="102">
        <v>0</v>
      </c>
      <c r="AX55" s="102">
        <v>0</v>
      </c>
      <c r="AY55" s="102">
        <v>0</v>
      </c>
      <c r="AZ55" s="102">
        <v>0</v>
      </c>
      <c r="BA55" s="102">
        <v>0</v>
      </c>
      <c r="BB55" s="102">
        <v>0</v>
      </c>
      <c r="BC55" s="102">
        <v>0</v>
      </c>
      <c r="BD55" s="102">
        <v>-0.8</v>
      </c>
      <c r="BE55" s="102">
        <v>0</v>
      </c>
      <c r="BF55" s="102">
        <v>0</v>
      </c>
      <c r="BG55" s="102">
        <v>0</v>
      </c>
      <c r="BH55" s="102">
        <v>0</v>
      </c>
      <c r="BI55" s="102">
        <v>0</v>
      </c>
      <c r="BJ55" s="102">
        <v>0</v>
      </c>
      <c r="BK55" s="102">
        <v>0</v>
      </c>
      <c r="BL55" s="102">
        <v>0</v>
      </c>
      <c r="BM55" s="102">
        <v>0</v>
      </c>
      <c r="BN55" s="102">
        <v>0</v>
      </c>
      <c r="BO55" s="102">
        <v>0</v>
      </c>
      <c r="BP55" s="102">
        <v>0</v>
      </c>
      <c r="BQ55" s="102">
        <v>0</v>
      </c>
      <c r="BR55" s="102">
        <v>0</v>
      </c>
      <c r="BS55" s="102">
        <v>0</v>
      </c>
      <c r="BT55" s="102">
        <v>0</v>
      </c>
      <c r="BU55" s="102">
        <v>0</v>
      </c>
      <c r="BV55" s="102">
        <v>-0.22</v>
      </c>
      <c r="BW55" s="102">
        <v>-0.75</v>
      </c>
      <c r="BX55" s="102">
        <v>0.18443100000000001</v>
      </c>
      <c r="BY55" s="102">
        <v>0</v>
      </c>
      <c r="BZ55" s="102">
        <v>0</v>
      </c>
      <c r="CA55" s="102">
        <v>0</v>
      </c>
      <c r="CB55" s="102">
        <v>0</v>
      </c>
      <c r="CC55" s="102">
        <v>0</v>
      </c>
      <c r="CD55" s="102">
        <v>0</v>
      </c>
      <c r="CE55" s="102">
        <v>0</v>
      </c>
      <c r="CF55" s="102">
        <v>0</v>
      </c>
      <c r="CG55" s="102">
        <v>0</v>
      </c>
      <c r="CH55" s="102">
        <v>0</v>
      </c>
      <c r="CI55" s="102">
        <v>0</v>
      </c>
      <c r="CJ55" s="102">
        <v>0</v>
      </c>
      <c r="CK55" s="102">
        <v>0</v>
      </c>
      <c r="CL55" s="102">
        <v>0</v>
      </c>
      <c r="CM55" s="102">
        <v>0</v>
      </c>
      <c r="CN55" s="102">
        <v>0</v>
      </c>
      <c r="CO55" s="102">
        <v>0</v>
      </c>
      <c r="CP55" s="102">
        <v>0</v>
      </c>
      <c r="CQ55" s="102">
        <v>0</v>
      </c>
      <c r="CR55" s="102">
        <v>0</v>
      </c>
      <c r="CS55" s="102">
        <v>0</v>
      </c>
      <c r="CT55" s="102">
        <v>0</v>
      </c>
      <c r="CU55" s="102">
        <v>0</v>
      </c>
      <c r="CV55" s="102">
        <v>0</v>
      </c>
      <c r="CW55" s="102">
        <v>0</v>
      </c>
      <c r="CX55" s="102">
        <v>0</v>
      </c>
      <c r="CY55" s="102">
        <v>0</v>
      </c>
      <c r="CZ55" s="102">
        <v>0</v>
      </c>
      <c r="DA55" s="102">
        <v>0</v>
      </c>
      <c r="DB55" s="102">
        <v>0</v>
      </c>
      <c r="DC55" s="102">
        <v>0</v>
      </c>
      <c r="DD55" s="102">
        <v>0</v>
      </c>
      <c r="DE55" s="102">
        <v>0</v>
      </c>
      <c r="DF55" s="102">
        <v>0</v>
      </c>
      <c r="DG55" s="102">
        <v>0</v>
      </c>
      <c r="DH55" s="102">
        <v>0</v>
      </c>
      <c r="DI55" s="102">
        <v>0</v>
      </c>
      <c r="DJ55" s="102">
        <v>0</v>
      </c>
      <c r="DK55" s="102">
        <v>0</v>
      </c>
      <c r="DL55" s="102">
        <v>0</v>
      </c>
      <c r="DM55" s="102">
        <v>0</v>
      </c>
      <c r="DN55" s="102">
        <v>0</v>
      </c>
      <c r="DO55" s="102">
        <v>0</v>
      </c>
      <c r="DP55" s="102">
        <v>0</v>
      </c>
      <c r="DQ55" s="940">
        <v>0</v>
      </c>
      <c r="DR55" s="940">
        <v>0</v>
      </c>
      <c r="DS55" s="940">
        <v>0</v>
      </c>
      <c r="DT55" s="940">
        <v>0</v>
      </c>
      <c r="DU55" s="940">
        <v>0</v>
      </c>
      <c r="DV55" s="940">
        <v>0</v>
      </c>
      <c r="DW55" s="940">
        <v>0</v>
      </c>
      <c r="DX55" s="940">
        <v>0</v>
      </c>
      <c r="DY55" s="940">
        <v>0</v>
      </c>
      <c r="DZ55" s="940">
        <v>0</v>
      </c>
      <c r="EA55" s="940">
        <v>0</v>
      </c>
      <c r="EB55" s="940">
        <v>0</v>
      </c>
      <c r="EC55" s="940">
        <v>0</v>
      </c>
      <c r="ED55" s="940">
        <v>0</v>
      </c>
      <c r="EE55" s="940">
        <v>0</v>
      </c>
      <c r="EF55" s="940">
        <v>0</v>
      </c>
      <c r="EG55" s="145"/>
      <c r="EH55" s="102">
        <v>0</v>
      </c>
      <c r="EI55" s="102">
        <v>0</v>
      </c>
      <c r="EJ55" s="102">
        <v>0</v>
      </c>
      <c r="EK55" s="102">
        <v>0</v>
      </c>
      <c r="EL55" s="102">
        <v>0</v>
      </c>
      <c r="EM55" s="102">
        <v>0</v>
      </c>
      <c r="EN55" s="102">
        <v>0</v>
      </c>
      <c r="EO55" s="102">
        <v>0</v>
      </c>
      <c r="EP55" s="102">
        <v>0</v>
      </c>
      <c r="EQ55" s="102">
        <v>0</v>
      </c>
      <c r="ER55" s="102">
        <v>0</v>
      </c>
      <c r="ES55" s="102">
        <v>0</v>
      </c>
      <c r="EU55" s="102">
        <v>-0.3</v>
      </c>
      <c r="EV55" s="102">
        <v>-0.3</v>
      </c>
      <c r="EW55" s="102">
        <v>-0.3</v>
      </c>
      <c r="EX55" s="102">
        <v>-0.3</v>
      </c>
      <c r="EY55" s="102">
        <v>-0.3</v>
      </c>
      <c r="EZ55" s="102">
        <v>-0.3</v>
      </c>
      <c r="FA55" s="102">
        <v>-0.3</v>
      </c>
      <c r="FB55" s="102">
        <v>-0.3</v>
      </c>
      <c r="FC55" s="102">
        <v>-0.3</v>
      </c>
      <c r="FD55" s="102">
        <v>-0.3</v>
      </c>
      <c r="FE55" s="102">
        <v>-0.3</v>
      </c>
      <c r="FF55" s="102">
        <v>-0.3</v>
      </c>
      <c r="FG55" s="102">
        <v>0</v>
      </c>
      <c r="FH55" s="102">
        <v>0</v>
      </c>
      <c r="FI55" s="102">
        <v>0</v>
      </c>
      <c r="FJ55" s="102">
        <v>0</v>
      </c>
      <c r="FK55" s="102">
        <v>0</v>
      </c>
      <c r="FL55" s="102">
        <v>0</v>
      </c>
      <c r="FM55" s="102">
        <v>0</v>
      </c>
      <c r="FN55" s="102">
        <v>0</v>
      </c>
      <c r="FO55" s="102">
        <v>0</v>
      </c>
      <c r="FP55" s="102">
        <v>0</v>
      </c>
      <c r="FQ55" s="102">
        <v>0</v>
      </c>
      <c r="FR55" s="102">
        <v>0</v>
      </c>
      <c r="FS55" s="102" t="s">
        <v>647</v>
      </c>
      <c r="FT55" s="102" t="s">
        <v>647</v>
      </c>
      <c r="FU55" s="102" t="s">
        <v>647</v>
      </c>
      <c r="FV55" s="102" t="s">
        <v>647</v>
      </c>
      <c r="FW55" s="102" t="s">
        <v>647</v>
      </c>
      <c r="FX55" s="102" t="s">
        <v>647</v>
      </c>
      <c r="FY55" s="102" t="s">
        <v>647</v>
      </c>
      <c r="FZ55" s="102" t="s">
        <v>647</v>
      </c>
      <c r="GA55" s="102" t="s">
        <v>647</v>
      </c>
      <c r="GB55" s="102" t="s">
        <v>647</v>
      </c>
      <c r="GC55" s="102" t="s">
        <v>647</v>
      </c>
      <c r="GD55" s="102" t="s">
        <v>647</v>
      </c>
      <c r="GE55" s="102">
        <v>0</v>
      </c>
      <c r="GF55" s="102">
        <v>0</v>
      </c>
      <c r="GG55" s="102">
        <v>0</v>
      </c>
      <c r="GH55" s="102">
        <v>0</v>
      </c>
      <c r="GI55" s="102">
        <v>0</v>
      </c>
      <c r="GJ55" s="102">
        <v>0</v>
      </c>
      <c r="GK55" s="102">
        <v>0</v>
      </c>
      <c r="GL55" s="102">
        <v>0</v>
      </c>
      <c r="GM55" s="102">
        <v>0</v>
      </c>
      <c r="GN55" s="102">
        <v>0</v>
      </c>
      <c r="GO55" s="102">
        <v>0</v>
      </c>
      <c r="GP55" s="102">
        <v>0</v>
      </c>
      <c r="GQ55" s="102">
        <v>0</v>
      </c>
      <c r="GR55" s="102">
        <v>0</v>
      </c>
      <c r="GS55" s="102">
        <v>0</v>
      </c>
      <c r="GT55" s="102">
        <v>0</v>
      </c>
      <c r="GU55" s="102">
        <v>0</v>
      </c>
      <c r="GV55" s="102">
        <v>0</v>
      </c>
      <c r="GW55" s="102">
        <v>0</v>
      </c>
      <c r="GX55" s="102">
        <v>0</v>
      </c>
      <c r="GY55" s="102">
        <v>0</v>
      </c>
      <c r="GZ55" s="102">
        <v>0</v>
      </c>
      <c r="HA55" s="102">
        <v>0</v>
      </c>
      <c r="HB55" s="102">
        <v>0</v>
      </c>
      <c r="HD55" s="102">
        <f t="shared" si="226"/>
        <v>-2.8642210000000001</v>
      </c>
      <c r="HE55" s="102">
        <f t="shared" si="226"/>
        <v>-2.7790396500000001</v>
      </c>
      <c r="HF55" s="102">
        <f t="shared" si="226"/>
        <v>-7.6724801700000009</v>
      </c>
      <c r="HG55" s="102">
        <f t="shared" si="226"/>
        <v>-1.6852499999999999</v>
      </c>
      <c r="HH55" s="102">
        <f t="shared" si="227"/>
        <v>-0.8</v>
      </c>
      <c r="HI55" s="102">
        <f t="shared" si="228"/>
        <v>-0.78556899999999996</v>
      </c>
      <c r="HJ55" s="102">
        <f t="shared" si="229"/>
        <v>0</v>
      </c>
      <c r="HK55" s="102">
        <f t="shared" si="230"/>
        <v>0</v>
      </c>
      <c r="HL55" s="940">
        <f>+SUMIF($E$6:SEW$6,HL$7,$E55:SEW55)</f>
        <v>0</v>
      </c>
      <c r="HM55" s="940">
        <f>+SUMIF($E$6:SEX$6,HM$7,$E55:SEX55)</f>
        <v>0</v>
      </c>
      <c r="HN55" s="940">
        <f>+SUMIF($E$6:SEY$6,HN$7,$E55:SEY55)</f>
        <v>0</v>
      </c>
      <c r="HO55" s="102"/>
      <c r="HP55" s="102"/>
      <c r="HR55" s="929">
        <f t="shared" si="231"/>
        <v>1.7608386839676795</v>
      </c>
      <c r="HS55" s="929">
        <f t="shared" si="232"/>
        <v>-0.78035133846426097</v>
      </c>
      <c r="HT55" s="929">
        <f t="shared" si="233"/>
        <v>-0.52529298323690843</v>
      </c>
      <c r="HU55" s="929">
        <f t="shared" si="234"/>
        <v>-1.8038750000000103E-2</v>
      </c>
      <c r="HV55" s="929">
        <f t="shared" si="235"/>
        <v>-1</v>
      </c>
      <c r="HW55" s="929" t="str">
        <f t="shared" si="236"/>
        <v/>
      </c>
      <c r="HX55" s="929" t="str">
        <f t="shared" si="237"/>
        <v/>
      </c>
      <c r="HY55" s="929" t="str">
        <f t="shared" si="237"/>
        <v/>
      </c>
      <c r="HZ55" s="929" t="str">
        <f t="shared" si="237"/>
        <v/>
      </c>
      <c r="IA55" s="929" t="str">
        <f t="shared" si="305"/>
        <v/>
      </c>
      <c r="IB55" s="929" t="str">
        <f t="shared" si="238"/>
        <v/>
      </c>
      <c r="IC55" s="929" t="str">
        <f t="shared" si="306"/>
        <v/>
      </c>
      <c r="IE55" s="102">
        <f t="shared" si="239"/>
        <v>-4.8934405200000004</v>
      </c>
      <c r="IF55" s="102">
        <f t="shared" si="240"/>
        <v>5.987230170000001</v>
      </c>
      <c r="IG55" s="102">
        <f t="shared" si="241"/>
        <v>0.88524999999999987</v>
      </c>
      <c r="IH55" s="102">
        <f t="shared" si="242"/>
        <v>1.4431000000000083E-2</v>
      </c>
      <c r="II55" s="102">
        <f t="shared" si="322"/>
        <v>0.78556899999999996</v>
      </c>
      <c r="IJ55" s="102">
        <f t="shared" si="323"/>
        <v>0</v>
      </c>
      <c r="IK55" s="102">
        <f t="shared" si="324"/>
        <v>0</v>
      </c>
      <c r="IL55" s="102">
        <f t="shared" si="307"/>
        <v>0</v>
      </c>
      <c r="IM55" s="102">
        <f t="shared" si="243"/>
        <v>0</v>
      </c>
      <c r="IN55" s="102">
        <f t="shared" si="308"/>
        <v>0</v>
      </c>
      <c r="IP55" s="32">
        <f t="shared" si="244"/>
        <v>-7.5609263160696306E-5</v>
      </c>
      <c r="IQ55" s="32">
        <f t="shared" si="245"/>
        <v>-1.9481714940544861E-4</v>
      </c>
      <c r="IR55" s="32">
        <f t="shared" si="246"/>
        <v>-9.999831929340175E-5</v>
      </c>
      <c r="IS55" s="32">
        <f t="shared" si="247"/>
        <v>-1.3003844523959857E-4</v>
      </c>
      <c r="IT55" s="32">
        <f t="shared" si="248"/>
        <v>-5.764030124993801E-5</v>
      </c>
      <c r="IU55" s="32">
        <f t="shared" si="249"/>
        <v>0</v>
      </c>
      <c r="IV55" s="32">
        <f t="shared" si="250"/>
        <v>0</v>
      </c>
      <c r="IW55" s="32">
        <f t="shared" si="251"/>
        <v>0</v>
      </c>
      <c r="IX55" s="32" t="e">
        <f t="shared" si="252"/>
        <v>#DIV/0!</v>
      </c>
      <c r="IY55" s="32" t="e">
        <f t="shared" si="253"/>
        <v>#DIV/0!</v>
      </c>
      <c r="JA55" s="102">
        <f t="shared" si="254"/>
        <v>-2.8642210000000001</v>
      </c>
      <c r="JB55" s="102">
        <f t="shared" si="254"/>
        <v>-2.7790396500000001</v>
      </c>
      <c r="JC55" s="102">
        <f t="shared" si="254"/>
        <v>-7.6724801700000009</v>
      </c>
      <c r="JD55" s="102">
        <f t="shared" si="254"/>
        <v>-1.6852499999999999</v>
      </c>
      <c r="JE55" s="102">
        <f t="shared" si="254"/>
        <v>-0.8</v>
      </c>
      <c r="JF55" s="102">
        <f t="shared" si="254"/>
        <v>-0.78556899999999996</v>
      </c>
      <c r="JG55" s="102">
        <f t="shared" si="254"/>
        <v>0</v>
      </c>
      <c r="JH55" s="102">
        <f t="shared" si="254"/>
        <v>0</v>
      </c>
      <c r="JI55" s="102">
        <f t="shared" si="254"/>
        <v>0</v>
      </c>
      <c r="JJ55" s="102">
        <f t="shared" si="254"/>
        <v>0</v>
      </c>
      <c r="JK55" s="102">
        <f t="shared" si="254"/>
        <v>0</v>
      </c>
      <c r="JL55" s="102">
        <f t="shared" si="255"/>
        <v>0</v>
      </c>
      <c r="JM55" s="102"/>
      <c r="JN55" s="102"/>
      <c r="JO55" s="1188"/>
      <c r="JP55" s="102">
        <f t="shared" si="256"/>
        <v>0</v>
      </c>
      <c r="JQ55" s="102">
        <f t="shared" si="257"/>
        <v>0</v>
      </c>
      <c r="JR55" s="145"/>
      <c r="JS55" s="929" t="str">
        <f t="shared" si="258"/>
        <v/>
      </c>
      <c r="JT55" s="930">
        <f t="shared" si="259"/>
        <v>0</v>
      </c>
      <c r="JV55" s="32">
        <f t="shared" si="260"/>
        <v>0</v>
      </c>
      <c r="JW55" s="929" t="str">
        <f t="shared" si="261"/>
        <v/>
      </c>
      <c r="JY55" s="929">
        <f t="shared" si="309"/>
        <v>1.7608386839676795</v>
      </c>
      <c r="JZ55" s="929">
        <f t="shared" si="310"/>
        <v>-0.78035133846426097</v>
      </c>
      <c r="KA55" s="929">
        <f t="shared" si="311"/>
        <v>-0.52529298323690843</v>
      </c>
      <c r="KB55" s="929">
        <f t="shared" si="312"/>
        <v>-1.8038750000000103E-2</v>
      </c>
      <c r="KC55" s="929">
        <f t="shared" si="313"/>
        <v>-1</v>
      </c>
      <c r="KD55" s="929" t="str">
        <f t="shared" si="314"/>
        <v/>
      </c>
      <c r="KE55" s="929" t="str">
        <f t="shared" si="315"/>
        <v/>
      </c>
      <c r="KF55" s="929" t="str">
        <f t="shared" si="316"/>
        <v/>
      </c>
      <c r="KH55" s="102">
        <f t="shared" si="263"/>
        <v>-4.8934405200000004</v>
      </c>
      <c r="KI55" s="102">
        <f t="shared" si="264"/>
        <v>5.987230170000001</v>
      </c>
      <c r="KJ55" s="102">
        <f t="shared" si="265"/>
        <v>0.88524999999999987</v>
      </c>
      <c r="KK55" s="102">
        <f t="shared" si="266"/>
        <v>1.4431000000000083E-2</v>
      </c>
      <c r="KL55" s="102">
        <f t="shared" si="267"/>
        <v>0.78556899999999996</v>
      </c>
      <c r="KM55" s="102">
        <f t="shared" si="268"/>
        <v>0</v>
      </c>
      <c r="KN55" s="102">
        <f t="shared" si="269"/>
        <v>0</v>
      </c>
      <c r="KO55" s="102">
        <f t="shared" si="270"/>
        <v>0</v>
      </c>
      <c r="KQ55" s="32">
        <f t="shared" si="271"/>
        <v>-7.8944682328063755E-5</v>
      </c>
      <c r="KR55" s="32">
        <f t="shared" si="272"/>
        <v>-7.5609263160696306E-5</v>
      </c>
      <c r="KS55" s="32">
        <f t="shared" si="273"/>
        <v>-1.9481714940544861E-4</v>
      </c>
      <c r="KT55" s="32">
        <f t="shared" si="274"/>
        <v>-9.999831929340175E-5</v>
      </c>
      <c r="KU55" s="32">
        <f t="shared" si="275"/>
        <v>-1.3003844523959857E-4</v>
      </c>
      <c r="KV55" s="32">
        <f t="shared" si="276"/>
        <v>-5.764030124993801E-5</v>
      </c>
      <c r="KW55" s="32">
        <f t="shared" si="277"/>
        <v>0</v>
      </c>
      <c r="KX55" s="32">
        <f t="shared" si="278"/>
        <v>0</v>
      </c>
      <c r="KY55" s="32">
        <f t="shared" si="279"/>
        <v>0</v>
      </c>
      <c r="KZ55" s="32" t="e">
        <f t="shared" si="280"/>
        <v>#DIV/0!</v>
      </c>
      <c r="LB55" s="102">
        <f t="shared" si="281"/>
        <v>-0.40902700000000003</v>
      </c>
      <c r="LC55" s="102">
        <f t="shared" si="281"/>
        <v>-0.69831897000000032</v>
      </c>
      <c r="LD55" s="102">
        <f t="shared" si="281"/>
        <v>0.89</v>
      </c>
      <c r="LE55" s="102">
        <f t="shared" si="281"/>
        <v>0</v>
      </c>
      <c r="LF55" s="102">
        <f t="shared" si="281"/>
        <v>0</v>
      </c>
      <c r="LG55" s="102">
        <f t="shared" si="281"/>
        <v>0.18443100000000001</v>
      </c>
      <c r="LH55" s="102">
        <f t="shared" si="281"/>
        <v>0</v>
      </c>
      <c r="LI55" s="102">
        <f t="shared" si="281"/>
        <v>0</v>
      </c>
      <c r="LJ55" s="102">
        <f t="shared" si="281"/>
        <v>0</v>
      </c>
      <c r="LK55" s="102">
        <f t="shared" si="281"/>
        <v>0</v>
      </c>
      <c r="LL55" s="102">
        <f t="shared" si="281"/>
        <v>0</v>
      </c>
      <c r="LM55" s="102">
        <f t="shared" si="281"/>
        <v>0</v>
      </c>
      <c r="LN55" s="102"/>
      <c r="LO55" s="102"/>
      <c r="LR55" s="32">
        <f t="shared" si="282"/>
        <v>-2.2744892208785332</v>
      </c>
      <c r="LS55" s="32">
        <f t="shared" si="283"/>
        <v>-1</v>
      </c>
      <c r="LT55" s="32" t="str">
        <f t="shared" si="284"/>
        <v xml:space="preserve"> </v>
      </c>
      <c r="LU55" s="32" t="str">
        <f t="shared" si="285"/>
        <v xml:space="preserve"> </v>
      </c>
      <c r="LV55" s="32">
        <f t="shared" si="286"/>
        <v>-1</v>
      </c>
      <c r="LW55" s="32" t="str">
        <f t="shared" si="287"/>
        <v xml:space="preserve"> </v>
      </c>
      <c r="LX55" s="32" t="str">
        <f t="shared" si="288"/>
        <v xml:space="preserve"> </v>
      </c>
      <c r="LZ55" s="102">
        <f t="shared" si="289"/>
        <v>1.5883189700000004</v>
      </c>
      <c r="MA55" s="102">
        <f t="shared" si="290"/>
        <v>-0.89</v>
      </c>
      <c r="MB55" s="102">
        <f t="shared" si="291"/>
        <v>0</v>
      </c>
      <c r="MC55" s="102">
        <f t="shared" si="292"/>
        <v>0.18443100000000001</v>
      </c>
      <c r="MD55" s="102">
        <f t="shared" si="293"/>
        <v>-0.18443100000000001</v>
      </c>
      <c r="ME55" s="102">
        <f t="shared" si="294"/>
        <v>0</v>
      </c>
      <c r="MF55" s="102">
        <f t="shared" si="295"/>
        <v>0</v>
      </c>
      <c r="MH55" s="32">
        <f t="shared" si="296"/>
        <v>-1.3637214224941147E-4</v>
      </c>
      <c r="MI55" s="32">
        <f t="shared" si="297"/>
        <v>-1.266524347126019E-4</v>
      </c>
      <c r="MJ55" s="32">
        <f t="shared" si="298"/>
        <v>1.7361966183847673E-4</v>
      </c>
      <c r="MK55" s="32">
        <f t="shared" si="299"/>
        <v>0</v>
      </c>
      <c r="ML55" s="32">
        <f t="shared" si="300"/>
        <v>0</v>
      </c>
      <c r="MM55" s="32">
        <f t="shared" si="301"/>
        <v>1.7928838100102489E-4</v>
      </c>
      <c r="MN55" s="32">
        <f t="shared" si="302"/>
        <v>0</v>
      </c>
      <c r="MO55" s="32">
        <f t="shared" si="303"/>
        <v>0</v>
      </c>
      <c r="MP55" s="32" t="e">
        <f t="shared" si="304"/>
        <v>#DIV/0!</v>
      </c>
    </row>
    <row r="56" spans="1:354" outlineLevel="2">
      <c r="A56" s="884">
        <v>5155</v>
      </c>
      <c r="B56" s="70" t="s">
        <v>648</v>
      </c>
      <c r="C56" s="29" t="s">
        <v>88</v>
      </c>
      <c r="D56" s="31" t="s">
        <v>59</v>
      </c>
      <c r="E56" s="102">
        <v>0</v>
      </c>
      <c r="F56" s="102">
        <v>0</v>
      </c>
      <c r="G56" s="102">
        <v>0</v>
      </c>
      <c r="H56" s="102">
        <v>0</v>
      </c>
      <c r="I56" s="102">
        <v>0</v>
      </c>
      <c r="J56" s="102">
        <v>0</v>
      </c>
      <c r="K56" s="102">
        <v>0</v>
      </c>
      <c r="L56" s="102">
        <v>0</v>
      </c>
      <c r="M56" s="102">
        <v>0</v>
      </c>
      <c r="N56" s="102">
        <v>0</v>
      </c>
      <c r="O56" s="102">
        <v>0</v>
      </c>
      <c r="P56" s="102">
        <v>0</v>
      </c>
      <c r="Q56" s="102">
        <v>0</v>
      </c>
      <c r="R56" s="102">
        <v>0</v>
      </c>
      <c r="S56" s="102">
        <v>0</v>
      </c>
      <c r="T56" s="102">
        <v>0</v>
      </c>
      <c r="U56" s="102">
        <v>0</v>
      </c>
      <c r="V56" s="102">
        <v>0</v>
      </c>
      <c r="W56" s="102">
        <v>0</v>
      </c>
      <c r="X56" s="102">
        <v>0</v>
      </c>
      <c r="Y56" s="102">
        <v>0</v>
      </c>
      <c r="Z56" s="102">
        <v>-16.762287999999998</v>
      </c>
      <c r="AA56" s="102">
        <v>-0.87561400000000233</v>
      </c>
      <c r="AB56" s="102">
        <v>0</v>
      </c>
      <c r="AC56" s="102">
        <v>0</v>
      </c>
      <c r="AD56" s="102">
        <v>-1.7729999999999999</v>
      </c>
      <c r="AE56" s="102">
        <v>-4.0651679999999999</v>
      </c>
      <c r="AF56" s="102">
        <v>-0.53774999999999995</v>
      </c>
      <c r="AG56" s="102">
        <v>-4.5664999999999996</v>
      </c>
      <c r="AH56" s="102">
        <v>-0.76390000000000002</v>
      </c>
      <c r="AI56" s="102">
        <v>-1.1022000000000001</v>
      </c>
      <c r="AJ56" s="102">
        <v>-0.249</v>
      </c>
      <c r="AK56" s="102">
        <v>0</v>
      </c>
      <c r="AL56" s="102">
        <v>-0.55800000000000005</v>
      </c>
      <c r="AM56" s="102">
        <v>-0.50843318000000004</v>
      </c>
      <c r="AN56" s="102">
        <v>0</v>
      </c>
      <c r="AO56" s="102">
        <v>-0.3837835</v>
      </c>
      <c r="AP56" s="145">
        <v>-0.82740019999999992</v>
      </c>
      <c r="AQ56" s="143">
        <v>0</v>
      </c>
      <c r="AR56" s="220">
        <v>-14.69364</v>
      </c>
      <c r="AS56" s="102">
        <v>-3.5098003599999998</v>
      </c>
      <c r="AT56" s="102">
        <v>-1.7363999999999999</v>
      </c>
      <c r="AU56" s="102">
        <v>-0.42149999999999999</v>
      </c>
      <c r="AV56" s="102">
        <v>0.42149999999999999</v>
      </c>
      <c r="AW56" s="102">
        <v>-2.98603</v>
      </c>
      <c r="AX56" s="102">
        <v>-7.5881407599999999</v>
      </c>
      <c r="AY56" s="102">
        <v>-1.8475050000000002</v>
      </c>
      <c r="AZ56" s="102">
        <v>-1.3121984799999999</v>
      </c>
      <c r="BA56" s="102">
        <v>-0.18965599999999999</v>
      </c>
      <c r="BB56" s="102">
        <v>-1.5392979199999999</v>
      </c>
      <c r="BC56" s="102">
        <v>-1.0867599999999999</v>
      </c>
      <c r="BD56" s="102">
        <v>0</v>
      </c>
      <c r="BE56" s="102">
        <v>0</v>
      </c>
      <c r="BF56" s="102">
        <v>0</v>
      </c>
      <c r="BG56" s="102">
        <v>0</v>
      </c>
      <c r="BH56" s="102">
        <v>-4.4828E-2</v>
      </c>
      <c r="BI56" s="102">
        <v>-0.85299000000000003</v>
      </c>
      <c r="BJ56" s="102">
        <v>-0.44500000000000001</v>
      </c>
      <c r="BK56" s="102">
        <v>-0.68031900000000001</v>
      </c>
      <c r="BL56" s="102">
        <v>0</v>
      </c>
      <c r="BM56" s="102">
        <v>0</v>
      </c>
      <c r="BN56" s="102">
        <v>0</v>
      </c>
      <c r="BO56" s="102">
        <v>0</v>
      </c>
      <c r="BP56" s="102">
        <v>-10.280538999999999</v>
      </c>
      <c r="BQ56" s="102">
        <v>2.4687000000000001E-2</v>
      </c>
      <c r="BR56" s="102">
        <v>0</v>
      </c>
      <c r="BS56" s="102">
        <v>0</v>
      </c>
      <c r="BT56" s="102">
        <v>-1.7647999999999999</v>
      </c>
      <c r="BU56" s="102">
        <v>-2.031908</v>
      </c>
      <c r="BV56" s="102">
        <v>-0.33809099999999997</v>
      </c>
      <c r="BW56" s="102">
        <v>-0.71699999999999997</v>
      </c>
      <c r="BX56" s="102">
        <v>-0.08</v>
      </c>
      <c r="BY56" s="102">
        <v>0</v>
      </c>
      <c r="BZ56" s="102">
        <v>0</v>
      </c>
      <c r="CA56" s="102">
        <v>-0.126745</v>
      </c>
      <c r="CB56" s="102">
        <v>0</v>
      </c>
      <c r="CC56" s="102">
        <v>0</v>
      </c>
      <c r="CD56" s="102">
        <v>0</v>
      </c>
      <c r="CE56" s="102">
        <v>0</v>
      </c>
      <c r="CF56" s="102">
        <v>0</v>
      </c>
      <c r="CG56" s="102">
        <v>-1.3899140000000001</v>
      </c>
      <c r="CH56" s="102">
        <v>-9.7596000000000007</v>
      </c>
      <c r="CI56" s="102">
        <v>-0.14000000000000001</v>
      </c>
      <c r="CJ56" s="102">
        <v>-1.5601320000000001</v>
      </c>
      <c r="CK56" s="102">
        <v>-0.28284100000000001</v>
      </c>
      <c r="CL56" s="102">
        <v>-1.0258350000000001</v>
      </c>
      <c r="CM56" s="102">
        <v>-0.226938</v>
      </c>
      <c r="CN56" s="102">
        <v>-0.04</v>
      </c>
      <c r="CO56" s="102">
        <v>-0.22386600000000001</v>
      </c>
      <c r="CP56" s="102">
        <v>-4.2016999999999999E-2</v>
      </c>
      <c r="CQ56" s="102">
        <v>-2.3202370000000001</v>
      </c>
      <c r="CR56" s="102">
        <v>-1.346298</v>
      </c>
      <c r="CS56" s="102">
        <v>-1.6066130000000001</v>
      </c>
      <c r="CT56" s="102">
        <v>-0.67260600000000004</v>
      </c>
      <c r="CU56" s="102">
        <v>-0.286302</v>
      </c>
      <c r="CV56" s="102">
        <v>-3.2265039999999998</v>
      </c>
      <c r="CW56" s="102">
        <v>0</v>
      </c>
      <c r="CX56" s="102">
        <v>-1.741174</v>
      </c>
      <c r="CY56" s="102">
        <v>-0.54671700000000001</v>
      </c>
      <c r="CZ56" s="102">
        <v>0</v>
      </c>
      <c r="DA56" s="102">
        <v>0</v>
      </c>
      <c r="DB56" s="102">
        <v>0</v>
      </c>
      <c r="DC56" s="102">
        <v>0</v>
      </c>
      <c r="DD56" s="102">
        <v>0</v>
      </c>
      <c r="DE56" s="102">
        <v>0</v>
      </c>
      <c r="DF56" s="102">
        <v>0</v>
      </c>
      <c r="DG56" s="102">
        <v>0</v>
      </c>
      <c r="DH56" s="102">
        <v>0</v>
      </c>
      <c r="DI56" s="102">
        <v>-0.27609</v>
      </c>
      <c r="DJ56" s="102">
        <v>0</v>
      </c>
      <c r="DK56" s="102">
        <v>0</v>
      </c>
      <c r="DL56" s="102">
        <v>-0.13500000000000001</v>
      </c>
      <c r="DM56" s="102">
        <v>-0.35561599999999999</v>
      </c>
      <c r="DN56" s="102">
        <v>0</v>
      </c>
      <c r="DO56" s="102">
        <v>0</v>
      </c>
      <c r="DP56" s="102">
        <v>-0.51880499999999996</v>
      </c>
      <c r="DQ56" s="940">
        <v>-0.48185699999999998</v>
      </c>
      <c r="DR56" s="940">
        <v>-1.2335</v>
      </c>
      <c r="DS56" s="940">
        <v>0</v>
      </c>
      <c r="DT56" s="940">
        <v>0</v>
      </c>
      <c r="DU56" s="940">
        <v>-1.1603399999999999</v>
      </c>
      <c r="DV56" s="940">
        <v>0</v>
      </c>
      <c r="DW56" s="940">
        <v>-0.87</v>
      </c>
      <c r="DX56" s="940">
        <v>0</v>
      </c>
      <c r="DY56" s="940">
        <v>0</v>
      </c>
      <c r="DZ56" s="940">
        <v>-0.78129999999999999</v>
      </c>
      <c r="EA56" s="940">
        <v>0</v>
      </c>
      <c r="EB56" s="940">
        <v>0</v>
      </c>
      <c r="EC56" s="940">
        <v>0</v>
      </c>
      <c r="ED56" s="940">
        <v>-9.2149999999999996E-2</v>
      </c>
      <c r="EE56" s="940">
        <v>0</v>
      </c>
      <c r="EF56" s="940">
        <v>0.51780254000000003</v>
      </c>
      <c r="EG56" s="145"/>
      <c r="EH56" s="102">
        <v>0</v>
      </c>
      <c r="EI56" s="102">
        <v>-1.741174</v>
      </c>
      <c r="EJ56" s="102">
        <v>-0.54671700000000001</v>
      </c>
      <c r="EK56" s="102">
        <v>0</v>
      </c>
      <c r="EL56" s="102">
        <v>0</v>
      </c>
      <c r="EM56" s="102">
        <v>0</v>
      </c>
      <c r="EN56" s="102">
        <v>-2.5492750000000002</v>
      </c>
      <c r="EO56" s="102">
        <v>-2.0304980000000001</v>
      </c>
      <c r="EP56" s="102">
        <v>-0.5</v>
      </c>
      <c r="EQ56" s="102">
        <v>-0.2</v>
      </c>
      <c r="ER56" s="102">
        <v>-1</v>
      </c>
      <c r="ES56" s="102">
        <v>-1.0466040000000001</v>
      </c>
      <c r="EU56" s="102">
        <v>-0.8</v>
      </c>
      <c r="EV56" s="102">
        <v>-10.8</v>
      </c>
      <c r="EW56" s="102">
        <v>-9.8000000000000007</v>
      </c>
      <c r="EX56" s="102">
        <v>-12.8</v>
      </c>
      <c r="EY56" s="102">
        <v>-1.8</v>
      </c>
      <c r="EZ56" s="102">
        <v>-6.8</v>
      </c>
      <c r="FA56" s="102">
        <v>-6.8</v>
      </c>
      <c r="FB56" s="102">
        <v>-1.8</v>
      </c>
      <c r="FC56" s="102">
        <v>-4.8</v>
      </c>
      <c r="FD56" s="102">
        <v>-2.8</v>
      </c>
      <c r="FE56" s="102">
        <v>-0.8</v>
      </c>
      <c r="FF56" s="102">
        <v>-0.8</v>
      </c>
      <c r="FG56" s="102">
        <v>0</v>
      </c>
      <c r="FH56" s="102">
        <v>-0.4</v>
      </c>
      <c r="FI56" s="102">
        <v>-1.4</v>
      </c>
      <c r="FJ56" s="102">
        <v>-7.4</v>
      </c>
      <c r="FK56" s="102">
        <v>-6.46</v>
      </c>
      <c r="FL56" s="102">
        <v>-1.5</v>
      </c>
      <c r="FM56" s="102">
        <v>-6.4</v>
      </c>
      <c r="FN56" s="102">
        <v>-1.4</v>
      </c>
      <c r="FO56" s="102">
        <v>0</v>
      </c>
      <c r="FP56" s="102">
        <v>-0.4</v>
      </c>
      <c r="FQ56" s="102">
        <v>0</v>
      </c>
      <c r="FR56" s="102">
        <v>0</v>
      </c>
      <c r="FS56" s="102">
        <v>-4.17</v>
      </c>
      <c r="FT56" s="102">
        <v>-1.27</v>
      </c>
      <c r="FU56" s="102">
        <v>-4.1239999999999997</v>
      </c>
      <c r="FV56" s="102">
        <v>-1.01</v>
      </c>
      <c r="FW56" s="102">
        <v>-3.97</v>
      </c>
      <c r="FX56" s="102">
        <v>-1.69</v>
      </c>
      <c r="FY56" s="102">
        <v>-3.41</v>
      </c>
      <c r="FZ56" s="102">
        <v>-1.9039999999999999</v>
      </c>
      <c r="GA56" s="102">
        <v>-3.71</v>
      </c>
      <c r="GB56" s="102">
        <v>-1.27</v>
      </c>
      <c r="GC56" s="102">
        <v>-3.41</v>
      </c>
      <c r="GD56" s="102">
        <v>-1.99</v>
      </c>
      <c r="GE56" s="102">
        <v>-0.2</v>
      </c>
      <c r="GF56" s="102">
        <v>0</v>
      </c>
      <c r="GG56" s="102">
        <v>-0.2</v>
      </c>
      <c r="GH56" s="102">
        <v>0</v>
      </c>
      <c r="GI56" s="102">
        <v>-0.2</v>
      </c>
      <c r="GJ56" s="102">
        <v>0</v>
      </c>
      <c r="GK56" s="102">
        <v>-0.2</v>
      </c>
      <c r="GL56" s="102">
        <v>0</v>
      </c>
      <c r="GM56" s="102">
        <v>-0.2</v>
      </c>
      <c r="GN56" s="102">
        <v>0</v>
      </c>
      <c r="GO56" s="102">
        <v>-0.2</v>
      </c>
      <c r="GP56" s="102">
        <v>0</v>
      </c>
      <c r="GQ56" s="102">
        <v>-0.2</v>
      </c>
      <c r="GR56" s="102">
        <v>0</v>
      </c>
      <c r="GS56" s="102">
        <v>-0.2</v>
      </c>
      <c r="GT56" s="102">
        <v>0</v>
      </c>
      <c r="GU56" s="102">
        <v>-0.2</v>
      </c>
      <c r="GV56" s="102">
        <v>0</v>
      </c>
      <c r="GW56" s="102">
        <v>-0.2</v>
      </c>
      <c r="GX56" s="102">
        <v>0</v>
      </c>
      <c r="GY56" s="102">
        <v>-0.2</v>
      </c>
      <c r="GZ56" s="102">
        <v>0</v>
      </c>
      <c r="HA56" s="102">
        <v>-0.2</v>
      </c>
      <c r="HB56" s="102">
        <v>0</v>
      </c>
      <c r="HD56" s="102">
        <f t="shared" si="226"/>
        <v>0</v>
      </c>
      <c r="HE56" s="102">
        <f t="shared" si="226"/>
        <v>-17.637902</v>
      </c>
      <c r="HF56" s="102">
        <f t="shared" si="226"/>
        <v>-14.123951180000001</v>
      </c>
      <c r="HG56" s="102">
        <f t="shared" si="226"/>
        <v>-34.884898299999996</v>
      </c>
      <c r="HH56" s="102">
        <f t="shared" si="227"/>
        <v>-4.8388509199999996</v>
      </c>
      <c r="HI56" s="102">
        <f t="shared" si="228"/>
        <v>-15.187650999999999</v>
      </c>
      <c r="HJ56" s="102">
        <f t="shared" si="229"/>
        <v>-12.976391000000001</v>
      </c>
      <c r="HK56" s="102">
        <f t="shared" si="230"/>
        <v>-11.300057000000001</v>
      </c>
      <c r="HL56" s="940">
        <f>+SUMIF($E$6:SEW$6,HL$7,$E56:SEW56)</f>
        <v>-2.2878910000000001</v>
      </c>
      <c r="HM56" s="940">
        <f>+SUMIF($E$6:SEX$6,HM$7,$E56:SEX56)</f>
        <v>-3.0008680000000001</v>
      </c>
      <c r="HN56" s="940">
        <f>+SUMIF($E$6:SEY$6,HN$7,$E56:SEY56)</f>
        <v>-2.3859874599999999</v>
      </c>
      <c r="HO56" s="102"/>
      <c r="HP56" s="102"/>
      <c r="HR56" s="929">
        <f t="shared" si="231"/>
        <v>-0.19922725616686154</v>
      </c>
      <c r="HS56" s="929">
        <f t="shared" si="232"/>
        <v>1.469910710920483</v>
      </c>
      <c r="HT56" s="929">
        <f t="shared" si="233"/>
        <v>-0.86129095523262567</v>
      </c>
      <c r="HU56" s="929">
        <f t="shared" si="234"/>
        <v>2.1386895878991039</v>
      </c>
      <c r="HV56" s="929">
        <f t="shared" si="235"/>
        <v>-0.1455959186841993</v>
      </c>
      <c r="HW56" s="929">
        <f t="shared" si="236"/>
        <v>-0.12918337617909326</v>
      </c>
      <c r="HX56" s="929">
        <f t="shared" si="237"/>
        <v>-0.79753279120627441</v>
      </c>
      <c r="HY56" s="929">
        <f t="shared" si="237"/>
        <v>0.31163066771974712</v>
      </c>
      <c r="HZ56" s="929">
        <f t="shared" si="237"/>
        <v>-0.20490089534094802</v>
      </c>
      <c r="IA56" s="929">
        <f t="shared" si="305"/>
        <v>-1</v>
      </c>
      <c r="IB56" s="929" t="str">
        <f t="shared" si="238"/>
        <v/>
      </c>
      <c r="IC56" s="929">
        <f t="shared" si="306"/>
        <v>-1</v>
      </c>
      <c r="IE56" s="102">
        <f t="shared" si="239"/>
        <v>3.5139508199999998</v>
      </c>
      <c r="IF56" s="102">
        <f t="shared" si="240"/>
        <v>-20.760947119999997</v>
      </c>
      <c r="IG56" s="102">
        <f t="shared" si="241"/>
        <v>30.046047379999997</v>
      </c>
      <c r="IH56" s="102">
        <f t="shared" si="242"/>
        <v>-10.34880008</v>
      </c>
      <c r="II56" s="102">
        <f t="shared" si="322"/>
        <v>2.2112599999999976</v>
      </c>
      <c r="IJ56" s="102">
        <f t="shared" si="323"/>
        <v>1.6763340000000007</v>
      </c>
      <c r="IK56" s="102">
        <f t="shared" si="324"/>
        <v>9.0121660000000006</v>
      </c>
      <c r="IL56" s="102">
        <f t="shared" si="307"/>
        <v>2.2878910000000001</v>
      </c>
      <c r="IM56" s="102">
        <f t="shared" si="243"/>
        <v>0</v>
      </c>
      <c r="IN56" s="102">
        <f t="shared" si="308"/>
        <v>2.2878910000000001</v>
      </c>
      <c r="IP56" s="32">
        <f t="shared" si="244"/>
        <v>-4.7987396434612646E-4</v>
      </c>
      <c r="IQ56" s="32">
        <f t="shared" si="245"/>
        <v>-3.5863082683331614E-4</v>
      </c>
      <c r="IR56" s="32">
        <f t="shared" si="246"/>
        <v>-2.0699784594103237E-3</v>
      </c>
      <c r="IS56" s="32">
        <f t="shared" si="247"/>
        <v>-7.8654581297875131E-4</v>
      </c>
      <c r="IT56" s="32">
        <f t="shared" si="248"/>
        <v>-1.1143779590576032E-3</v>
      </c>
      <c r="IU56" s="32">
        <f t="shared" si="249"/>
        <v>-9.1702483748790098E-4</v>
      </c>
      <c r="IV56" s="32">
        <f t="shared" si="250"/>
        <v>-5.3228461961516815E-4</v>
      </c>
      <c r="IW56" s="32">
        <f t="shared" si="251"/>
        <v>-1.8129250747699632E-4</v>
      </c>
      <c r="IX56" s="32" t="e">
        <f t="shared" si="252"/>
        <v>#DIV/0!</v>
      </c>
      <c r="IY56" s="32" t="e">
        <f t="shared" si="253"/>
        <v>#DIV/0!</v>
      </c>
      <c r="JA56" s="102">
        <f t="shared" si="254"/>
        <v>0</v>
      </c>
      <c r="JB56" s="102">
        <f t="shared" si="254"/>
        <v>-17.637902</v>
      </c>
      <c r="JC56" s="102">
        <f t="shared" si="254"/>
        <v>-14.123951180000001</v>
      </c>
      <c r="JD56" s="102">
        <f t="shared" si="254"/>
        <v>-34.884898299999996</v>
      </c>
      <c r="JE56" s="102">
        <f t="shared" si="254"/>
        <v>-4.8388509199999996</v>
      </c>
      <c r="JF56" s="102">
        <f t="shared" si="254"/>
        <v>-15.187650999999999</v>
      </c>
      <c r="JG56" s="102">
        <f t="shared" si="254"/>
        <v>-12.976391000000001</v>
      </c>
      <c r="JH56" s="102">
        <f t="shared" si="254"/>
        <v>-11.300057000000001</v>
      </c>
      <c r="JI56" s="102">
        <f t="shared" si="254"/>
        <v>-2.2878910000000001</v>
      </c>
      <c r="JJ56" s="102">
        <f t="shared" si="254"/>
        <v>-3.0008680000000001</v>
      </c>
      <c r="JK56" s="102">
        <f t="shared" si="254"/>
        <v>-2.3859874599999999</v>
      </c>
      <c r="JL56" s="102">
        <f t="shared" si="255"/>
        <v>-2.3859874599999999</v>
      </c>
      <c r="JM56" s="102"/>
      <c r="JN56" s="102"/>
      <c r="JO56" s="922"/>
      <c r="JP56" s="102">
        <f t="shared" si="256"/>
        <v>-2.3859874599999999</v>
      </c>
      <c r="JQ56" s="102">
        <f t="shared" si="257"/>
        <v>0</v>
      </c>
      <c r="JR56" s="145"/>
      <c r="JS56" s="929" t="str">
        <f t="shared" si="258"/>
        <v/>
      </c>
      <c r="JT56" s="930">
        <f t="shared" si="259"/>
        <v>-2.3859874599999999</v>
      </c>
      <c r="JV56" s="32">
        <f t="shared" si="260"/>
        <v>-7.9028255229739202E-5</v>
      </c>
      <c r="JW56" s="929" t="str">
        <f t="shared" si="261"/>
        <v/>
      </c>
      <c r="JY56" s="929">
        <f t="shared" si="309"/>
        <v>-0.19922725616686154</v>
      </c>
      <c r="JZ56" s="929">
        <f t="shared" si="310"/>
        <v>1.469910710920483</v>
      </c>
      <c r="KA56" s="929">
        <f t="shared" si="311"/>
        <v>-0.86129095523262567</v>
      </c>
      <c r="KB56" s="929">
        <f t="shared" si="312"/>
        <v>2.1386895878991039</v>
      </c>
      <c r="KC56" s="929">
        <f t="shared" si="313"/>
        <v>-0.1455959186841993</v>
      </c>
      <c r="KD56" s="929">
        <f t="shared" si="314"/>
        <v>-0.12918337617909326</v>
      </c>
      <c r="KE56" s="929">
        <f t="shared" si="315"/>
        <v>-0.79753279120627441</v>
      </c>
      <c r="KF56" s="929">
        <f t="shared" si="316"/>
        <v>-1</v>
      </c>
      <c r="KH56" s="102">
        <f t="shared" si="263"/>
        <v>3.5139508199999998</v>
      </c>
      <c r="KI56" s="102">
        <f t="shared" si="264"/>
        <v>-20.760947119999997</v>
      </c>
      <c r="KJ56" s="102">
        <f t="shared" si="265"/>
        <v>30.046047379999997</v>
      </c>
      <c r="KK56" s="102">
        <f t="shared" si="266"/>
        <v>-10.34880008</v>
      </c>
      <c r="KL56" s="102">
        <f t="shared" si="267"/>
        <v>2.2112599999999976</v>
      </c>
      <c r="KM56" s="102">
        <f t="shared" si="268"/>
        <v>1.6763340000000007</v>
      </c>
      <c r="KN56" s="102">
        <f t="shared" si="269"/>
        <v>9.0121660000000006</v>
      </c>
      <c r="KO56" s="102">
        <f t="shared" si="270"/>
        <v>2.2878910000000001</v>
      </c>
      <c r="KQ56" s="32">
        <f t="shared" si="271"/>
        <v>0</v>
      </c>
      <c r="KR56" s="32">
        <f t="shared" si="272"/>
        <v>-4.7987396434612646E-4</v>
      </c>
      <c r="KS56" s="32">
        <f t="shared" si="273"/>
        <v>-3.5863082683331614E-4</v>
      </c>
      <c r="KT56" s="32">
        <f t="shared" si="274"/>
        <v>-2.0699784594103237E-3</v>
      </c>
      <c r="KU56" s="32">
        <f t="shared" si="275"/>
        <v>-7.8654581297875131E-4</v>
      </c>
      <c r="KV56" s="32">
        <f t="shared" si="276"/>
        <v>-1.1143779590576032E-3</v>
      </c>
      <c r="KW56" s="32">
        <f t="shared" si="277"/>
        <v>-9.1702483748790098E-4</v>
      </c>
      <c r="KX56" s="32">
        <f t="shared" si="278"/>
        <v>-5.3228461961516815E-4</v>
      </c>
      <c r="KY56" s="32">
        <f t="shared" si="279"/>
        <v>-1.8129250747699632E-4</v>
      </c>
      <c r="KZ56" s="32" t="e">
        <f t="shared" si="280"/>
        <v>#DIV/0!</v>
      </c>
      <c r="LB56" s="102">
        <f t="shared" si="281"/>
        <v>0</v>
      </c>
      <c r="LC56" s="102">
        <f t="shared" si="281"/>
        <v>0</v>
      </c>
      <c r="LD56" s="102">
        <f t="shared" si="281"/>
        <v>0</v>
      </c>
      <c r="LE56" s="102">
        <f t="shared" si="281"/>
        <v>-1.3121984799999999</v>
      </c>
      <c r="LF56" s="102">
        <f t="shared" si="281"/>
        <v>0</v>
      </c>
      <c r="LG56" s="102">
        <f t="shared" si="281"/>
        <v>-0.08</v>
      </c>
      <c r="LH56" s="102">
        <f t="shared" si="281"/>
        <v>-1.5601320000000001</v>
      </c>
      <c r="LI56" s="102">
        <f t="shared" si="281"/>
        <v>-3.2265039999999998</v>
      </c>
      <c r="LJ56" s="102">
        <f t="shared" si="281"/>
        <v>0</v>
      </c>
      <c r="LK56" s="102">
        <f t="shared" si="281"/>
        <v>0</v>
      </c>
      <c r="LL56" s="102">
        <f t="shared" si="281"/>
        <v>0.51780254000000003</v>
      </c>
      <c r="LM56" s="102">
        <f t="shared" si="281"/>
        <v>0.51780254000000003</v>
      </c>
      <c r="LN56" s="102"/>
      <c r="LO56" s="102"/>
      <c r="LR56" s="32" t="str">
        <f t="shared" si="282"/>
        <v xml:space="preserve"> </v>
      </c>
      <c r="LS56" s="32" t="str">
        <f t="shared" si="283"/>
        <v xml:space="preserve"> </v>
      </c>
      <c r="LT56" s="32">
        <f t="shared" si="284"/>
        <v>-1</v>
      </c>
      <c r="LU56" s="32" t="str">
        <f t="shared" si="285"/>
        <v xml:space="preserve"> </v>
      </c>
      <c r="LV56" s="32">
        <f t="shared" si="286"/>
        <v>18.501650000000001</v>
      </c>
      <c r="LW56" s="32">
        <f t="shared" si="287"/>
        <v>1.0680968020654662</v>
      </c>
      <c r="LX56" s="32">
        <f t="shared" si="288"/>
        <v>-1</v>
      </c>
      <c r="LZ56" s="102">
        <f t="shared" si="289"/>
        <v>0</v>
      </c>
      <c r="MA56" s="102">
        <f t="shared" si="290"/>
        <v>-1.3121984799999999</v>
      </c>
      <c r="MB56" s="102">
        <f t="shared" si="291"/>
        <v>1.3121984799999999</v>
      </c>
      <c r="MC56" s="102">
        <f t="shared" si="292"/>
        <v>-0.08</v>
      </c>
      <c r="MD56" s="102">
        <f t="shared" si="293"/>
        <v>-1.480132</v>
      </c>
      <c r="ME56" s="102">
        <f t="shared" si="294"/>
        <v>-1.6663719999999997</v>
      </c>
      <c r="MF56" s="102">
        <f t="shared" si="295"/>
        <v>3.2265039999999998</v>
      </c>
      <c r="MH56" s="32">
        <f t="shared" si="296"/>
        <v>0</v>
      </c>
      <c r="MI56" s="32">
        <f t="shared" si="297"/>
        <v>0</v>
      </c>
      <c r="MJ56" s="32">
        <f t="shared" si="298"/>
        <v>0</v>
      </c>
      <c r="MK56" s="32">
        <f t="shared" si="299"/>
        <v>-2.2574612346735324E-3</v>
      </c>
      <c r="ML56" s="32">
        <f t="shared" si="300"/>
        <v>0</v>
      </c>
      <c r="MM56" s="32">
        <f t="shared" si="301"/>
        <v>-7.7769303859340298E-5</v>
      </c>
      <c r="MN56" s="32">
        <f t="shared" si="302"/>
        <v>-1.0032921567260289E-3</v>
      </c>
      <c r="MO56" s="32">
        <f t="shared" si="303"/>
        <v>-1.7144055249735245E-3</v>
      </c>
      <c r="MP56" s="32" t="e">
        <f t="shared" si="304"/>
        <v>#DIV/0!</v>
      </c>
    </row>
    <row r="57" spans="1:354" outlineLevel="2">
      <c r="A57" s="884">
        <v>5199</v>
      </c>
      <c r="B57" s="70"/>
      <c r="C57" s="29" t="s">
        <v>93</v>
      </c>
      <c r="D57" s="31" t="s">
        <v>59</v>
      </c>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v>0</v>
      </c>
      <c r="AP57" s="145">
        <v>0</v>
      </c>
      <c r="AQ57" s="143">
        <v>0</v>
      </c>
      <c r="AR57" s="220">
        <v>0</v>
      </c>
      <c r="AS57" s="102">
        <v>0</v>
      </c>
      <c r="AT57" s="102">
        <v>0</v>
      </c>
      <c r="AU57" s="102">
        <v>0</v>
      </c>
      <c r="AV57" s="102">
        <v>0</v>
      </c>
      <c r="AW57" s="102">
        <v>-87.301801180000012</v>
      </c>
      <c r="AX57" s="102">
        <v>-28.670762549999999</v>
      </c>
      <c r="AY57" s="102">
        <v>-1.6835231500000001</v>
      </c>
      <c r="AZ57" s="102">
        <f>(1015376684/1000000)*-1</f>
        <v>-1015.376684</v>
      </c>
      <c r="BA57" s="102">
        <v>0</v>
      </c>
      <c r="BB57" s="102">
        <v>0</v>
      </c>
      <c r="BC57" s="102">
        <v>0</v>
      </c>
      <c r="BD57" s="102">
        <v>0</v>
      </c>
      <c r="BE57" s="102">
        <v>0</v>
      </c>
      <c r="BF57" s="102">
        <v>0</v>
      </c>
      <c r="BG57" s="102">
        <v>0</v>
      </c>
      <c r="BH57" s="102">
        <v>0</v>
      </c>
      <c r="BI57" s="102">
        <v>0</v>
      </c>
      <c r="BJ57" s="102">
        <v>0</v>
      </c>
      <c r="BK57" s="102">
        <v>0</v>
      </c>
      <c r="BL57" s="102">
        <v>-152</v>
      </c>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940"/>
      <c r="DR57" s="940"/>
      <c r="DS57" s="940"/>
      <c r="DT57" s="940"/>
      <c r="DU57" s="940"/>
      <c r="DV57" s="940"/>
      <c r="DW57" s="940"/>
      <c r="DX57" s="940"/>
      <c r="DY57" s="940"/>
      <c r="DZ57" s="940"/>
      <c r="EA57" s="940"/>
      <c r="EB57" s="940"/>
      <c r="EC57" s="940"/>
      <c r="ED57" s="940"/>
      <c r="EE57" s="940"/>
      <c r="EF57" s="940"/>
      <c r="EG57" s="145"/>
      <c r="EH57" s="102">
        <v>0</v>
      </c>
      <c r="EI57" s="102">
        <v>0</v>
      </c>
      <c r="EJ57" s="102">
        <v>0</v>
      </c>
      <c r="EK57" s="102">
        <v>0</v>
      </c>
      <c r="EL57" s="102">
        <v>0</v>
      </c>
      <c r="EM57" s="102">
        <v>0</v>
      </c>
      <c r="EN57" s="102">
        <v>0</v>
      </c>
      <c r="EO57" s="102">
        <v>0</v>
      </c>
      <c r="EP57" s="102">
        <v>0</v>
      </c>
      <c r="EQ57" s="102">
        <v>0</v>
      </c>
      <c r="ER57" s="102">
        <v>0</v>
      </c>
      <c r="ES57" s="102">
        <v>0</v>
      </c>
      <c r="EU57" s="102">
        <v>-0.8</v>
      </c>
      <c r="EV57" s="102">
        <v>-10.8</v>
      </c>
      <c r="EW57" s="102">
        <v>-9.8000000000000007</v>
      </c>
      <c r="EX57" s="102">
        <v>-12.8</v>
      </c>
      <c r="EY57" s="102">
        <v>-1.8</v>
      </c>
      <c r="EZ57" s="102">
        <v>-6.8</v>
      </c>
      <c r="FA57" s="102">
        <v>-6.8</v>
      </c>
      <c r="FB57" s="102">
        <v>-1.8</v>
      </c>
      <c r="FC57" s="102">
        <v>-4.8</v>
      </c>
      <c r="FD57" s="102">
        <v>-2.8</v>
      </c>
      <c r="FE57" s="102">
        <v>-0.8</v>
      </c>
      <c r="FF57" s="102">
        <v>-0.8</v>
      </c>
      <c r="FG57" s="102">
        <v>-7.9533902236945684</v>
      </c>
      <c r="FH57" s="102">
        <v>-6.863219947731019</v>
      </c>
      <c r="FI57" s="102">
        <v>-6.255504428661923</v>
      </c>
      <c r="FJ57" s="102">
        <v>-6.4910781696206534</v>
      </c>
      <c r="FK57" s="102">
        <v>-6.4549870032261438</v>
      </c>
      <c r="FL57" s="102">
        <v>-7.2556382421396508</v>
      </c>
      <c r="FM57" s="102">
        <v>-7.9890168630523339</v>
      </c>
      <c r="FN57" s="102">
        <v>-8.5672104907254223</v>
      </c>
      <c r="FO57" s="102">
        <v>-9.7624085254824138</v>
      </c>
      <c r="FP57" s="102">
        <v>-10.955871346779711</v>
      </c>
      <c r="FQ57" s="102">
        <v>-11.044085242603474</v>
      </c>
      <c r="FR57" s="102">
        <v>-10.322033850603606</v>
      </c>
      <c r="FS57" s="102"/>
      <c r="FT57" s="102"/>
      <c r="FU57" s="102"/>
      <c r="FV57" s="102"/>
      <c r="FW57" s="102"/>
      <c r="FX57" s="102"/>
      <c r="FY57" s="102"/>
      <c r="FZ57" s="102"/>
      <c r="GA57" s="102"/>
      <c r="GB57" s="102"/>
      <c r="GC57" s="102"/>
      <c r="GD57" s="102"/>
      <c r="GE57" s="102">
        <v>0</v>
      </c>
      <c r="GF57" s="102">
        <v>0</v>
      </c>
      <c r="GG57" s="102">
        <v>0</v>
      </c>
      <c r="GH57" s="102">
        <v>0</v>
      </c>
      <c r="GI57" s="102">
        <v>0</v>
      </c>
      <c r="GJ57" s="102">
        <v>0</v>
      </c>
      <c r="GK57" s="102">
        <v>0</v>
      </c>
      <c r="GL57" s="102">
        <v>0</v>
      </c>
      <c r="GM57" s="102">
        <v>0</v>
      </c>
      <c r="GN57" s="102">
        <v>0</v>
      </c>
      <c r="GO57" s="102">
        <v>0</v>
      </c>
      <c r="GP57" s="102">
        <v>0</v>
      </c>
      <c r="GQ57" s="102">
        <v>0</v>
      </c>
      <c r="GR57" s="102">
        <v>0</v>
      </c>
      <c r="GS57" s="102">
        <v>0</v>
      </c>
      <c r="GT57" s="102">
        <v>0</v>
      </c>
      <c r="GU57" s="102">
        <v>0</v>
      </c>
      <c r="GV57" s="102">
        <v>0</v>
      </c>
      <c r="GW57" s="102">
        <v>0</v>
      </c>
      <c r="GX57" s="102">
        <v>0</v>
      </c>
      <c r="GY57" s="102">
        <v>0</v>
      </c>
      <c r="GZ57" s="102">
        <v>0</v>
      </c>
      <c r="HA57" s="102">
        <v>0</v>
      </c>
      <c r="HB57" s="102">
        <v>0</v>
      </c>
      <c r="HD57" s="102">
        <f t="shared" si="226"/>
        <v>0</v>
      </c>
      <c r="HE57" s="102">
        <f t="shared" si="226"/>
        <v>0</v>
      </c>
      <c r="HF57" s="102">
        <f t="shared" si="226"/>
        <v>0</v>
      </c>
      <c r="HG57" s="102">
        <f t="shared" si="226"/>
        <v>-1133.03277088</v>
      </c>
      <c r="HH57" s="102">
        <f t="shared" si="227"/>
        <v>-152</v>
      </c>
      <c r="HI57" s="102">
        <f t="shared" si="228"/>
        <v>0</v>
      </c>
      <c r="HJ57" s="102">
        <f t="shared" si="229"/>
        <v>0</v>
      </c>
      <c r="HK57" s="102">
        <f t="shared" si="230"/>
        <v>0</v>
      </c>
      <c r="HL57" s="940">
        <f>+SUMIF($E$6:SEW$6,HL$7,$E57:SEW57)</f>
        <v>0</v>
      </c>
      <c r="HM57" s="940">
        <f>+SUMIF($E$6:SEX$6,HM$7,$E57:SEX57)</f>
        <v>0</v>
      </c>
      <c r="HN57" s="940">
        <f>+SUMIF($E$6:SEY$6,HN$7,$E57:SEY57)</f>
        <v>0</v>
      </c>
      <c r="HO57" s="102"/>
      <c r="HP57" s="102"/>
      <c r="HR57" s="929" t="str">
        <f t="shared" si="231"/>
        <v/>
      </c>
      <c r="HS57" s="929" t="str">
        <f t="shared" si="232"/>
        <v/>
      </c>
      <c r="HT57" s="929">
        <f t="shared" si="233"/>
        <v>-0.86584677521556141</v>
      </c>
      <c r="HU57" s="929">
        <f t="shared" si="234"/>
        <v>-1</v>
      </c>
      <c r="HV57" s="929" t="str">
        <f t="shared" si="235"/>
        <v/>
      </c>
      <c r="HW57" s="929" t="str">
        <f t="shared" si="236"/>
        <v/>
      </c>
      <c r="HX57" s="929" t="str">
        <f t="shared" si="237"/>
        <v/>
      </c>
      <c r="HY57" s="929" t="str">
        <f t="shared" si="237"/>
        <v/>
      </c>
      <c r="HZ57" s="929" t="str">
        <f t="shared" si="237"/>
        <v/>
      </c>
      <c r="IA57" s="929" t="str">
        <f t="shared" si="305"/>
        <v/>
      </c>
      <c r="IB57" s="929" t="str">
        <f t="shared" si="238"/>
        <v/>
      </c>
      <c r="IC57" s="929" t="str">
        <f t="shared" si="306"/>
        <v/>
      </c>
      <c r="IE57" s="102">
        <f t="shared" si="239"/>
        <v>0</v>
      </c>
      <c r="IF57" s="102">
        <f t="shared" si="240"/>
        <v>-1133.03277088</v>
      </c>
      <c r="IG57" s="102">
        <f t="shared" si="241"/>
        <v>981.03277088000004</v>
      </c>
      <c r="IH57" s="102">
        <f t="shared" si="242"/>
        <v>152</v>
      </c>
      <c r="II57" s="102">
        <f t="shared" si="322"/>
        <v>0</v>
      </c>
      <c r="IJ57" s="102">
        <f t="shared" si="323"/>
        <v>0</v>
      </c>
      <c r="IK57" s="102">
        <f t="shared" si="324"/>
        <v>0</v>
      </c>
      <c r="IL57" s="102">
        <f t="shared" si="307"/>
        <v>0</v>
      </c>
      <c r="IM57" s="102">
        <f t="shared" si="243"/>
        <v>0</v>
      </c>
      <c r="IN57" s="102">
        <f t="shared" si="308"/>
        <v>0</v>
      </c>
      <c r="IP57" s="32">
        <f t="shared" si="244"/>
        <v>0</v>
      </c>
      <c r="IQ57" s="32">
        <f t="shared" si="245"/>
        <v>0</v>
      </c>
      <c r="IR57" s="32">
        <f t="shared" si="246"/>
        <v>-6.7231195841771813E-2</v>
      </c>
      <c r="IS57" s="32">
        <f t="shared" si="247"/>
        <v>-2.4707304595523727E-2</v>
      </c>
      <c r="IT57" s="32">
        <f t="shared" si="248"/>
        <v>0</v>
      </c>
      <c r="IU57" s="32">
        <f t="shared" si="249"/>
        <v>0</v>
      </c>
      <c r="IV57" s="32">
        <f t="shared" si="250"/>
        <v>0</v>
      </c>
      <c r="IW57" s="32">
        <f t="shared" si="251"/>
        <v>0</v>
      </c>
      <c r="IX57" s="32" t="e">
        <f t="shared" si="252"/>
        <v>#DIV/0!</v>
      </c>
      <c r="IY57" s="32" t="e">
        <f t="shared" si="253"/>
        <v>#DIV/0!</v>
      </c>
      <c r="JA57" s="102">
        <f t="shared" si="254"/>
        <v>0</v>
      </c>
      <c r="JB57" s="102">
        <f t="shared" si="254"/>
        <v>0</v>
      </c>
      <c r="JC57" s="102">
        <f t="shared" si="254"/>
        <v>0</v>
      </c>
      <c r="JD57" s="102">
        <f t="shared" si="254"/>
        <v>-1133.03277088</v>
      </c>
      <c r="JE57" s="102">
        <f t="shared" si="254"/>
        <v>-152</v>
      </c>
      <c r="JF57" s="102">
        <f t="shared" si="254"/>
        <v>0</v>
      </c>
      <c r="JG57" s="102">
        <f t="shared" si="254"/>
        <v>0</v>
      </c>
      <c r="JH57" s="102">
        <f t="shared" si="254"/>
        <v>0</v>
      </c>
      <c r="JI57" s="102">
        <f t="shared" si="254"/>
        <v>0</v>
      </c>
      <c r="JJ57" s="102">
        <f t="shared" si="254"/>
        <v>0</v>
      </c>
      <c r="JK57" s="102">
        <f t="shared" si="254"/>
        <v>0</v>
      </c>
      <c r="JL57" s="102">
        <f t="shared" si="255"/>
        <v>0</v>
      </c>
      <c r="JM57" s="102"/>
      <c r="JN57" s="102"/>
      <c r="JO57" s="1188"/>
      <c r="JP57" s="102">
        <f t="shared" si="256"/>
        <v>0</v>
      </c>
      <c r="JQ57" s="102">
        <f t="shared" si="257"/>
        <v>0</v>
      </c>
      <c r="JR57" s="145"/>
      <c r="JS57" s="929" t="str">
        <f t="shared" si="258"/>
        <v/>
      </c>
      <c r="JT57" s="930">
        <f t="shared" si="259"/>
        <v>0</v>
      </c>
      <c r="JV57" s="32">
        <f t="shared" si="260"/>
        <v>0</v>
      </c>
      <c r="JW57" s="929" t="str">
        <f t="shared" si="261"/>
        <v/>
      </c>
      <c r="JY57" s="929" t="str">
        <f t="shared" si="309"/>
        <v/>
      </c>
      <c r="JZ57" s="929" t="str">
        <f t="shared" si="310"/>
        <v/>
      </c>
      <c r="KA57" s="929">
        <f t="shared" si="311"/>
        <v>-0.86584677521556141</v>
      </c>
      <c r="KB57" s="929">
        <f t="shared" si="312"/>
        <v>-1</v>
      </c>
      <c r="KC57" s="929" t="str">
        <f t="shared" si="313"/>
        <v/>
      </c>
      <c r="KD57" s="929" t="str">
        <f t="shared" si="314"/>
        <v/>
      </c>
      <c r="KE57" s="929" t="str">
        <f t="shared" si="315"/>
        <v/>
      </c>
      <c r="KF57" s="929" t="str">
        <f t="shared" si="316"/>
        <v/>
      </c>
      <c r="KH57" s="102">
        <f t="shared" si="263"/>
        <v>0</v>
      </c>
      <c r="KI57" s="102">
        <f t="shared" si="264"/>
        <v>-1133.03277088</v>
      </c>
      <c r="KJ57" s="102">
        <f t="shared" si="265"/>
        <v>981.03277088000004</v>
      </c>
      <c r="KK57" s="102">
        <f t="shared" si="266"/>
        <v>152</v>
      </c>
      <c r="KL57" s="102">
        <f t="shared" si="267"/>
        <v>0</v>
      </c>
      <c r="KM57" s="102">
        <f t="shared" si="268"/>
        <v>0</v>
      </c>
      <c r="KN57" s="102">
        <f t="shared" si="269"/>
        <v>0</v>
      </c>
      <c r="KO57" s="102">
        <f t="shared" si="270"/>
        <v>0</v>
      </c>
      <c r="KQ57" s="32">
        <f t="shared" si="271"/>
        <v>0</v>
      </c>
      <c r="KR57" s="32">
        <f t="shared" si="272"/>
        <v>0</v>
      </c>
      <c r="KS57" s="32">
        <f t="shared" si="273"/>
        <v>0</v>
      </c>
      <c r="KT57" s="32">
        <f t="shared" si="274"/>
        <v>-6.7231195841771813E-2</v>
      </c>
      <c r="KU57" s="32">
        <f t="shared" si="275"/>
        <v>-2.4707304595523727E-2</v>
      </c>
      <c r="KV57" s="32">
        <f t="shared" si="276"/>
        <v>0</v>
      </c>
      <c r="KW57" s="32">
        <f t="shared" si="277"/>
        <v>0</v>
      </c>
      <c r="KX57" s="32">
        <f t="shared" si="278"/>
        <v>0</v>
      </c>
      <c r="KY57" s="32">
        <f t="shared" si="279"/>
        <v>0</v>
      </c>
      <c r="KZ57" s="32" t="e">
        <f t="shared" si="280"/>
        <v>#DIV/0!</v>
      </c>
      <c r="LB57" s="102">
        <f t="shared" si="281"/>
        <v>0</v>
      </c>
      <c r="LC57" s="102">
        <f t="shared" si="281"/>
        <v>0</v>
      </c>
      <c r="LD57" s="102">
        <f t="shared" si="281"/>
        <v>0</v>
      </c>
      <c r="LE57" s="102">
        <f t="shared" si="281"/>
        <v>-1015.376684</v>
      </c>
      <c r="LF57" s="102">
        <f t="shared" si="281"/>
        <v>-152</v>
      </c>
      <c r="LG57" s="102">
        <f t="shared" si="281"/>
        <v>0</v>
      </c>
      <c r="LH57" s="102">
        <f t="shared" si="281"/>
        <v>0</v>
      </c>
      <c r="LI57" s="102">
        <f t="shared" si="281"/>
        <v>0</v>
      </c>
      <c r="LJ57" s="102">
        <f t="shared" si="281"/>
        <v>0</v>
      </c>
      <c r="LK57" s="102">
        <f t="shared" si="281"/>
        <v>0</v>
      </c>
      <c r="LL57" s="102">
        <f t="shared" si="281"/>
        <v>0</v>
      </c>
      <c r="LM57" s="102">
        <f t="shared" si="281"/>
        <v>0</v>
      </c>
      <c r="LN57" s="102"/>
      <c r="LO57" s="102"/>
      <c r="LR57" s="32" t="str">
        <f t="shared" si="282"/>
        <v xml:space="preserve"> </v>
      </c>
      <c r="LS57" s="32" t="str">
        <f t="shared" si="283"/>
        <v xml:space="preserve"> </v>
      </c>
      <c r="LT57" s="32">
        <f t="shared" si="284"/>
        <v>-0.8503018609791122</v>
      </c>
      <c r="LU57" s="32">
        <f t="shared" si="285"/>
        <v>-1</v>
      </c>
      <c r="LV57" s="32" t="str">
        <f t="shared" si="286"/>
        <v xml:space="preserve"> </v>
      </c>
      <c r="LW57" s="32" t="str">
        <f t="shared" si="287"/>
        <v xml:space="preserve"> </v>
      </c>
      <c r="LX57" s="32" t="str">
        <f t="shared" si="288"/>
        <v xml:space="preserve"> </v>
      </c>
      <c r="LZ57" s="102">
        <f t="shared" si="289"/>
        <v>0</v>
      </c>
      <c r="MA57" s="102">
        <f t="shared" si="290"/>
        <v>-1015.376684</v>
      </c>
      <c r="MB57" s="102">
        <f t="shared" si="291"/>
        <v>863.37668399999995</v>
      </c>
      <c r="MC57" s="102">
        <f t="shared" si="292"/>
        <v>152</v>
      </c>
      <c r="MD57" s="102">
        <f t="shared" si="293"/>
        <v>0</v>
      </c>
      <c r="ME57" s="102">
        <f t="shared" si="294"/>
        <v>0</v>
      </c>
      <c r="MF57" s="102">
        <f t="shared" si="295"/>
        <v>0</v>
      </c>
      <c r="MH57" s="32">
        <f t="shared" si="296"/>
        <v>0</v>
      </c>
      <c r="MI57" s="32">
        <f t="shared" si="297"/>
        <v>0</v>
      </c>
      <c r="MJ57" s="32">
        <f t="shared" si="298"/>
        <v>0</v>
      </c>
      <c r="MK57" s="32">
        <f t="shared" si="299"/>
        <v>-1.7468192027789555</v>
      </c>
      <c r="ML57" s="32">
        <f t="shared" si="300"/>
        <v>-0.10089884025790402</v>
      </c>
      <c r="MM57" s="32">
        <f t="shared" si="301"/>
        <v>0</v>
      </c>
      <c r="MN57" s="32">
        <f t="shared" si="302"/>
        <v>0</v>
      </c>
      <c r="MO57" s="32">
        <f t="shared" si="303"/>
        <v>0</v>
      </c>
      <c r="MP57" s="32" t="e">
        <f t="shared" si="304"/>
        <v>#DIV/0!</v>
      </c>
    </row>
    <row r="58" spans="1:354" outlineLevel="2">
      <c r="A58" s="884">
        <v>5240</v>
      </c>
      <c r="B58" s="70" t="s">
        <v>641</v>
      </c>
      <c r="C58" s="399" t="s">
        <v>84</v>
      </c>
      <c r="D58" s="307" t="s">
        <v>59</v>
      </c>
      <c r="E58" s="931">
        <v>0</v>
      </c>
      <c r="F58" s="931">
        <v>0</v>
      </c>
      <c r="G58" s="931">
        <v>0</v>
      </c>
      <c r="H58" s="931">
        <v>0</v>
      </c>
      <c r="I58" s="931">
        <v>0</v>
      </c>
      <c r="J58" s="931">
        <v>0</v>
      </c>
      <c r="K58" s="931">
        <v>0</v>
      </c>
      <c r="L58" s="931">
        <v>0</v>
      </c>
      <c r="M58" s="931">
        <v>0</v>
      </c>
      <c r="N58" s="931">
        <v>0</v>
      </c>
      <c r="O58" s="931">
        <v>-31.394378</v>
      </c>
      <c r="P58" s="931">
        <v>4.8453039999999987</v>
      </c>
      <c r="Q58" s="931">
        <v>0</v>
      </c>
      <c r="R58" s="931">
        <v>0</v>
      </c>
      <c r="S58" s="931">
        <v>0</v>
      </c>
      <c r="T58" s="931">
        <v>0</v>
      </c>
      <c r="U58" s="931">
        <v>0</v>
      </c>
      <c r="V58" s="931">
        <v>0</v>
      </c>
      <c r="W58" s="931">
        <v>0</v>
      </c>
      <c r="X58" s="931">
        <v>0</v>
      </c>
      <c r="Y58" s="931">
        <v>0</v>
      </c>
      <c r="Z58" s="931">
        <v>0</v>
      </c>
      <c r="AA58" s="931">
        <v>0</v>
      </c>
      <c r="AB58" s="931">
        <v>-26.025024420000001</v>
      </c>
      <c r="AC58" s="931">
        <v>0</v>
      </c>
      <c r="AD58" s="931">
        <v>0</v>
      </c>
      <c r="AE58" s="931">
        <v>0</v>
      </c>
      <c r="AF58" s="931">
        <v>0</v>
      </c>
      <c r="AG58" s="931">
        <v>0</v>
      </c>
      <c r="AH58" s="931">
        <v>0</v>
      </c>
      <c r="AI58" s="931">
        <v>0</v>
      </c>
      <c r="AJ58" s="931">
        <v>-22.181892019999999</v>
      </c>
      <c r="AK58" s="931">
        <v>0</v>
      </c>
      <c r="AL58" s="931">
        <v>-3.8012800000000002</v>
      </c>
      <c r="AM58" s="931">
        <v>-4.2783092800000002</v>
      </c>
      <c r="AN58" s="931">
        <v>18.447227299999998</v>
      </c>
      <c r="AO58" s="931">
        <v>0</v>
      </c>
      <c r="AP58" s="932">
        <v>0</v>
      </c>
      <c r="AQ58" s="936">
        <v>0</v>
      </c>
      <c r="AR58" s="951">
        <v>0</v>
      </c>
      <c r="AS58" s="931">
        <v>-0.124</v>
      </c>
      <c r="AT58" s="931">
        <v>-0.60760000000000003</v>
      </c>
      <c r="AU58" s="931">
        <v>0</v>
      </c>
      <c r="AV58" s="931">
        <v>0</v>
      </c>
      <c r="AW58" s="931">
        <v>0</v>
      </c>
      <c r="AX58" s="931">
        <v>0</v>
      </c>
      <c r="AY58" s="931">
        <v>0</v>
      </c>
      <c r="AZ58" s="931">
        <v>0</v>
      </c>
      <c r="BA58" s="931">
        <v>0</v>
      </c>
      <c r="BB58" s="931">
        <v>0</v>
      </c>
      <c r="BC58" s="931">
        <v>0</v>
      </c>
      <c r="BD58" s="931">
        <v>0</v>
      </c>
      <c r="BE58" s="931">
        <v>0</v>
      </c>
      <c r="BF58" s="931">
        <v>0</v>
      </c>
      <c r="BG58" s="931">
        <v>0</v>
      </c>
      <c r="BH58" s="931">
        <v>0</v>
      </c>
      <c r="BI58" s="931">
        <v>0</v>
      </c>
      <c r="BJ58" s="931">
        <v>0</v>
      </c>
      <c r="BK58" s="931">
        <v>0</v>
      </c>
      <c r="BL58" s="931">
        <v>0</v>
      </c>
      <c r="BM58" s="102">
        <v>0</v>
      </c>
      <c r="BN58" s="931">
        <v>0</v>
      </c>
      <c r="BO58" s="931"/>
      <c r="BP58" s="931"/>
      <c r="BQ58" s="931"/>
      <c r="BR58" s="931"/>
      <c r="BS58" s="931"/>
      <c r="BT58" s="931">
        <v>0</v>
      </c>
      <c r="BU58" s="931">
        <v>0</v>
      </c>
      <c r="BV58" s="931">
        <v>0</v>
      </c>
      <c r="BW58" s="931">
        <v>0</v>
      </c>
      <c r="BX58" s="931">
        <v>0</v>
      </c>
      <c r="BY58" s="931">
        <v>0</v>
      </c>
      <c r="BZ58" s="931">
        <v>0</v>
      </c>
      <c r="CA58" s="931">
        <v>0</v>
      </c>
      <c r="CB58" s="931">
        <v>0</v>
      </c>
      <c r="CC58" s="931">
        <v>0</v>
      </c>
      <c r="CD58" s="931">
        <v>0</v>
      </c>
      <c r="CE58" s="931">
        <v>0</v>
      </c>
      <c r="CF58" s="931">
        <v>0</v>
      </c>
      <c r="CG58" s="931">
        <v>0</v>
      </c>
      <c r="CH58" s="931">
        <v>0</v>
      </c>
      <c r="CI58" s="931">
        <v>0</v>
      </c>
      <c r="CJ58" s="931">
        <v>0</v>
      </c>
      <c r="CK58" s="931">
        <v>0</v>
      </c>
      <c r="CL58" s="931">
        <v>0</v>
      </c>
      <c r="CM58" s="931">
        <v>0</v>
      </c>
      <c r="CN58" s="931">
        <v>0</v>
      </c>
      <c r="CO58" s="931">
        <v>0</v>
      </c>
      <c r="CP58" s="931">
        <v>0</v>
      </c>
      <c r="CQ58" s="931">
        <v>0</v>
      </c>
      <c r="CR58" s="931">
        <v>0</v>
      </c>
      <c r="CS58" s="931">
        <v>0</v>
      </c>
      <c r="CT58" s="931">
        <v>0</v>
      </c>
      <c r="CU58" s="931">
        <v>0</v>
      </c>
      <c r="CV58" s="931">
        <v>0</v>
      </c>
      <c r="CW58" s="931">
        <v>0</v>
      </c>
      <c r="CX58" s="931">
        <v>0</v>
      </c>
      <c r="CY58" s="931">
        <v>0</v>
      </c>
      <c r="CZ58" s="931">
        <v>0</v>
      </c>
      <c r="DA58" s="931">
        <v>0</v>
      </c>
      <c r="DB58" s="931">
        <v>0</v>
      </c>
      <c r="DC58" s="931">
        <v>0</v>
      </c>
      <c r="DD58" s="931">
        <v>0</v>
      </c>
      <c r="DE58" s="931">
        <v>0</v>
      </c>
      <c r="DF58" s="931">
        <v>0</v>
      </c>
      <c r="DG58" s="931">
        <v>0</v>
      </c>
      <c r="DH58" s="931">
        <v>0</v>
      </c>
      <c r="DI58" s="931">
        <v>0</v>
      </c>
      <c r="DJ58" s="931">
        <v>0</v>
      </c>
      <c r="DK58" s="931">
        <v>0</v>
      </c>
      <c r="DL58" s="931">
        <v>0</v>
      </c>
      <c r="DM58" s="931">
        <v>0</v>
      </c>
      <c r="DN58" s="931">
        <v>0</v>
      </c>
      <c r="DO58" s="931">
        <v>0</v>
      </c>
      <c r="DP58" s="931">
        <v>0</v>
      </c>
      <c r="DQ58" s="941">
        <v>0</v>
      </c>
      <c r="DR58" s="941">
        <v>0</v>
      </c>
      <c r="DS58" s="941">
        <v>0</v>
      </c>
      <c r="DT58" s="941">
        <v>0</v>
      </c>
      <c r="DU58" s="941">
        <v>0</v>
      </c>
      <c r="DV58" s="941">
        <v>0</v>
      </c>
      <c r="DW58" s="941">
        <v>0</v>
      </c>
      <c r="DX58" s="941">
        <v>0</v>
      </c>
      <c r="DY58" s="941">
        <v>0</v>
      </c>
      <c r="DZ58" s="941">
        <v>0</v>
      </c>
      <c r="EA58" s="941">
        <v>0</v>
      </c>
      <c r="EB58" s="941">
        <v>0</v>
      </c>
      <c r="EC58" s="941">
        <v>0</v>
      </c>
      <c r="ED58" s="941">
        <v>0</v>
      </c>
      <c r="EE58" s="941">
        <v>0</v>
      </c>
      <c r="EF58" s="941">
        <v>0</v>
      </c>
      <c r="EG58" s="145"/>
      <c r="EH58" s="931">
        <v>0</v>
      </c>
      <c r="EI58" s="931">
        <v>0</v>
      </c>
      <c r="EJ58" s="931">
        <v>0</v>
      </c>
      <c r="EK58" s="931">
        <v>0</v>
      </c>
      <c r="EL58" s="931">
        <v>0</v>
      </c>
      <c r="EM58" s="931">
        <v>0</v>
      </c>
      <c r="EN58" s="931">
        <v>0</v>
      </c>
      <c r="EO58" s="931">
        <v>0</v>
      </c>
      <c r="EP58" s="931">
        <v>0</v>
      </c>
      <c r="EQ58" s="931">
        <v>0</v>
      </c>
      <c r="ER58" s="931">
        <v>0</v>
      </c>
      <c r="ES58" s="931">
        <v>0</v>
      </c>
      <c r="EU58" s="931">
        <v>0</v>
      </c>
      <c r="EV58" s="931">
        <v>0</v>
      </c>
      <c r="EW58" s="931">
        <v>0</v>
      </c>
      <c r="EX58" s="931">
        <v>0</v>
      </c>
      <c r="EY58" s="931">
        <v>0</v>
      </c>
      <c r="EZ58" s="931">
        <v>0</v>
      </c>
      <c r="FA58" s="931">
        <v>0</v>
      </c>
      <c r="FB58" s="931">
        <v>0</v>
      </c>
      <c r="FC58" s="931">
        <v>0</v>
      </c>
      <c r="FD58" s="931">
        <v>0</v>
      </c>
      <c r="FE58" s="931">
        <v>0</v>
      </c>
      <c r="FF58" s="931">
        <v>0</v>
      </c>
      <c r="FG58" s="931"/>
      <c r="FH58" s="931"/>
      <c r="FI58" s="931"/>
      <c r="FJ58" s="931"/>
      <c r="FK58" s="931"/>
      <c r="FL58" s="931"/>
      <c r="FM58" s="931"/>
      <c r="FN58" s="931"/>
      <c r="FO58" s="931"/>
      <c r="FP58" s="931"/>
      <c r="FQ58" s="931"/>
      <c r="FR58" s="931"/>
      <c r="FS58" s="931" t="s">
        <v>647</v>
      </c>
      <c r="FT58" s="931">
        <f>+FT49/1000000</f>
        <v>-8.9999999999999999E-8</v>
      </c>
      <c r="FU58" s="931" t="s">
        <v>647</v>
      </c>
      <c r="FV58" s="931" t="s">
        <v>647</v>
      </c>
      <c r="FW58" s="931" t="s">
        <v>647</v>
      </c>
      <c r="FX58" s="931" t="s">
        <v>647</v>
      </c>
      <c r="FY58" s="931" t="s">
        <v>647</v>
      </c>
      <c r="FZ58" s="931" t="s">
        <v>647</v>
      </c>
      <c r="GA58" s="931" t="s">
        <v>647</v>
      </c>
      <c r="GB58" s="931" t="s">
        <v>647</v>
      </c>
      <c r="GC58" s="931" t="s">
        <v>647</v>
      </c>
      <c r="GD58" s="931" t="s">
        <v>647</v>
      </c>
      <c r="GE58" s="931">
        <v>0</v>
      </c>
      <c r="GF58" s="931">
        <v>0</v>
      </c>
      <c r="GG58" s="931">
        <v>0</v>
      </c>
      <c r="GH58" s="931">
        <v>0</v>
      </c>
      <c r="GI58" s="931">
        <v>0</v>
      </c>
      <c r="GJ58" s="931">
        <v>0</v>
      </c>
      <c r="GK58" s="931">
        <v>0</v>
      </c>
      <c r="GL58" s="931">
        <v>0</v>
      </c>
      <c r="GM58" s="931">
        <v>0</v>
      </c>
      <c r="GN58" s="931">
        <v>0</v>
      </c>
      <c r="GO58" s="931">
        <v>0</v>
      </c>
      <c r="GP58" s="931">
        <v>0</v>
      </c>
      <c r="GQ58" s="931">
        <v>0</v>
      </c>
      <c r="GR58" s="931">
        <v>0</v>
      </c>
      <c r="GS58" s="931">
        <v>0</v>
      </c>
      <c r="GT58" s="931">
        <v>0</v>
      </c>
      <c r="GU58" s="931">
        <v>0</v>
      </c>
      <c r="GV58" s="931">
        <v>0</v>
      </c>
      <c r="GW58" s="931">
        <v>0</v>
      </c>
      <c r="GX58" s="931">
        <v>0</v>
      </c>
      <c r="GY58" s="931">
        <v>0</v>
      </c>
      <c r="GZ58" s="931">
        <v>0</v>
      </c>
      <c r="HA58" s="931">
        <v>0</v>
      </c>
      <c r="HB58" s="931">
        <v>0</v>
      </c>
      <c r="HD58" s="931">
        <f t="shared" si="226"/>
        <v>-26.549074000000001</v>
      </c>
      <c r="HE58" s="931">
        <f t="shared" si="226"/>
        <v>-26.025024420000001</v>
      </c>
      <c r="HF58" s="931">
        <f t="shared" si="226"/>
        <v>-11.814254000000002</v>
      </c>
      <c r="HG58" s="931">
        <f t="shared" si="226"/>
        <v>-0.73160000000000003</v>
      </c>
      <c r="HH58" s="931">
        <f t="shared" si="227"/>
        <v>0</v>
      </c>
      <c r="HI58" s="931">
        <f t="shared" si="228"/>
        <v>0</v>
      </c>
      <c r="HJ58" s="931">
        <f t="shared" si="229"/>
        <v>0</v>
      </c>
      <c r="HK58" s="931">
        <f t="shared" si="230"/>
        <v>0</v>
      </c>
      <c r="HL58" s="941">
        <f>+SUMIF($E$6:SEW$6,HL$7,$E58:SEW58)</f>
        <v>0</v>
      </c>
      <c r="HM58" s="941">
        <f>+SUMIF($E$6:SEX$6,HM$7,$E58:SEX58)</f>
        <v>0</v>
      </c>
      <c r="HN58" s="941">
        <f>+SUMIF($E$6:SEY$6,HN$7,$E58:SEY58)</f>
        <v>0</v>
      </c>
      <c r="HO58" s="931"/>
      <c r="HP58" s="931"/>
      <c r="HR58" s="934">
        <f t="shared" si="231"/>
        <v>-0.54604253931378244</v>
      </c>
      <c r="HS58" s="934">
        <f t="shared" si="232"/>
        <v>-0.93807480353816675</v>
      </c>
      <c r="HT58" s="934">
        <f t="shared" si="233"/>
        <v>-1</v>
      </c>
      <c r="HU58" s="934" t="str">
        <f t="shared" si="234"/>
        <v/>
      </c>
      <c r="HV58" s="934" t="str">
        <f t="shared" si="235"/>
        <v/>
      </c>
      <c r="HW58" s="934" t="str">
        <f t="shared" si="236"/>
        <v/>
      </c>
      <c r="HX58" s="934" t="str">
        <f t="shared" si="237"/>
        <v/>
      </c>
      <c r="HY58" s="934" t="str">
        <f t="shared" si="237"/>
        <v/>
      </c>
      <c r="HZ58" s="934" t="str">
        <f t="shared" si="237"/>
        <v/>
      </c>
      <c r="IA58" s="934" t="str">
        <f t="shared" si="305"/>
        <v/>
      </c>
      <c r="IB58" s="934" t="str">
        <f t="shared" si="238"/>
        <v/>
      </c>
      <c r="IC58" s="934" t="str">
        <f t="shared" si="306"/>
        <v/>
      </c>
      <c r="IE58" s="931">
        <f t="shared" si="239"/>
        <v>14.210770419999999</v>
      </c>
      <c r="IF58" s="931">
        <f t="shared" si="240"/>
        <v>11.082654000000002</v>
      </c>
      <c r="IG58" s="931">
        <f t="shared" si="241"/>
        <v>0.73160000000000003</v>
      </c>
      <c r="IH58" s="931">
        <f t="shared" si="242"/>
        <v>0</v>
      </c>
      <c r="II58" s="931">
        <f t="shared" si="322"/>
        <v>0</v>
      </c>
      <c r="IJ58" s="931">
        <f t="shared" si="323"/>
        <v>0</v>
      </c>
      <c r="IK58" s="931">
        <f t="shared" si="324"/>
        <v>0</v>
      </c>
      <c r="IL58" s="931">
        <f t="shared" si="307"/>
        <v>0</v>
      </c>
      <c r="IM58" s="931">
        <f t="shared" si="243"/>
        <v>0</v>
      </c>
      <c r="IN58" s="931">
        <f t="shared" si="308"/>
        <v>0</v>
      </c>
      <c r="IP58" s="230">
        <f t="shared" si="244"/>
        <v>-7.0806219700223709E-4</v>
      </c>
      <c r="IQ58" s="230">
        <f t="shared" si="245"/>
        <v>-2.9998373871742689E-4</v>
      </c>
      <c r="IR58" s="230">
        <f t="shared" si="246"/>
        <v>-4.3411227055364326E-5</v>
      </c>
      <c r="IS58" s="230">
        <f t="shared" si="247"/>
        <v>0</v>
      </c>
      <c r="IT58" s="230">
        <f t="shared" si="248"/>
        <v>0</v>
      </c>
      <c r="IU58" s="230">
        <f t="shared" si="249"/>
        <v>0</v>
      </c>
      <c r="IV58" s="230">
        <f t="shared" si="250"/>
        <v>0</v>
      </c>
      <c r="IW58" s="230">
        <f t="shared" si="251"/>
        <v>0</v>
      </c>
      <c r="IX58" s="230" t="e">
        <f t="shared" si="252"/>
        <v>#DIV/0!</v>
      </c>
      <c r="IY58" s="230" t="e">
        <f t="shared" si="253"/>
        <v>#DIV/0!</v>
      </c>
      <c r="JA58" s="931">
        <f t="shared" si="254"/>
        <v>-26.549074000000001</v>
      </c>
      <c r="JB58" s="931">
        <f t="shared" si="254"/>
        <v>-26.025024420000001</v>
      </c>
      <c r="JC58" s="931">
        <f t="shared" si="254"/>
        <v>-11.814254000000002</v>
      </c>
      <c r="JD58" s="931">
        <f t="shared" si="254"/>
        <v>-0.73160000000000003</v>
      </c>
      <c r="JE58" s="931">
        <f t="shared" si="254"/>
        <v>0</v>
      </c>
      <c r="JF58" s="931">
        <f t="shared" si="254"/>
        <v>0</v>
      </c>
      <c r="JG58" s="931">
        <f t="shared" si="254"/>
        <v>0</v>
      </c>
      <c r="JH58" s="931">
        <f t="shared" si="254"/>
        <v>0</v>
      </c>
      <c r="JI58" s="931">
        <f t="shared" si="254"/>
        <v>0</v>
      </c>
      <c r="JJ58" s="931">
        <f t="shared" si="254"/>
        <v>0</v>
      </c>
      <c r="JK58" s="931">
        <f t="shared" si="254"/>
        <v>0</v>
      </c>
      <c r="JL58" s="931">
        <f t="shared" si="255"/>
        <v>0</v>
      </c>
      <c r="JM58" s="931"/>
      <c r="JN58" s="931"/>
      <c r="JO58" s="1188"/>
      <c r="JP58" s="931">
        <f t="shared" si="256"/>
        <v>0</v>
      </c>
      <c r="JQ58" s="931">
        <f t="shared" si="257"/>
        <v>0</v>
      </c>
      <c r="JR58" s="145"/>
      <c r="JS58" s="934" t="str">
        <f t="shared" si="258"/>
        <v/>
      </c>
      <c r="JT58" s="935">
        <f t="shared" si="259"/>
        <v>0</v>
      </c>
      <c r="JV58" s="230">
        <f t="shared" si="260"/>
        <v>0</v>
      </c>
      <c r="JW58" s="934" t="str">
        <f t="shared" si="261"/>
        <v/>
      </c>
      <c r="JY58" s="934">
        <f t="shared" si="309"/>
        <v>-0.54604253931378244</v>
      </c>
      <c r="JZ58" s="934">
        <f t="shared" si="310"/>
        <v>-0.93807480353816675</v>
      </c>
      <c r="KA58" s="934">
        <f t="shared" si="311"/>
        <v>-1</v>
      </c>
      <c r="KB58" s="934" t="str">
        <f t="shared" si="312"/>
        <v/>
      </c>
      <c r="KC58" s="934" t="str">
        <f t="shared" si="313"/>
        <v/>
      </c>
      <c r="KD58" s="934" t="str">
        <f t="shared" si="314"/>
        <v/>
      </c>
      <c r="KE58" s="934" t="str">
        <f t="shared" si="315"/>
        <v/>
      </c>
      <c r="KF58" s="934" t="str">
        <f t="shared" si="316"/>
        <v/>
      </c>
      <c r="KH58" s="931">
        <f t="shared" si="263"/>
        <v>14.210770419999999</v>
      </c>
      <c r="KI58" s="931">
        <f t="shared" si="264"/>
        <v>11.082654000000002</v>
      </c>
      <c r="KJ58" s="931">
        <f t="shared" si="265"/>
        <v>0.73160000000000003</v>
      </c>
      <c r="KK58" s="931">
        <f t="shared" si="266"/>
        <v>0</v>
      </c>
      <c r="KL58" s="931">
        <f t="shared" si="267"/>
        <v>0</v>
      </c>
      <c r="KM58" s="931">
        <f t="shared" si="268"/>
        <v>0</v>
      </c>
      <c r="KN58" s="931">
        <f t="shared" si="269"/>
        <v>0</v>
      </c>
      <c r="KO58" s="931">
        <f t="shared" si="270"/>
        <v>0</v>
      </c>
      <c r="KQ58" s="230">
        <f t="shared" si="271"/>
        <v>-7.3175506116122219E-4</v>
      </c>
      <c r="KR58" s="230">
        <f t="shared" si="272"/>
        <v>-7.0806219700223709E-4</v>
      </c>
      <c r="KS58" s="230">
        <f t="shared" si="273"/>
        <v>-2.9998373871742689E-4</v>
      </c>
      <c r="KT58" s="230">
        <f t="shared" si="274"/>
        <v>-4.3411227055364326E-5</v>
      </c>
      <c r="KU58" s="230">
        <f t="shared" si="275"/>
        <v>0</v>
      </c>
      <c r="KV58" s="230">
        <f t="shared" si="276"/>
        <v>0</v>
      </c>
      <c r="KW58" s="230">
        <f t="shared" si="277"/>
        <v>0</v>
      </c>
      <c r="KX58" s="230">
        <f t="shared" si="278"/>
        <v>0</v>
      </c>
      <c r="KY58" s="230">
        <f t="shared" si="279"/>
        <v>0</v>
      </c>
      <c r="KZ58" s="230" t="e">
        <f t="shared" si="280"/>
        <v>#DIV/0!</v>
      </c>
      <c r="LB58" s="931">
        <f t="shared" si="281"/>
        <v>4.8453039999999987</v>
      </c>
      <c r="LC58" s="931">
        <f t="shared" si="281"/>
        <v>-26.025024420000001</v>
      </c>
      <c r="LD58" s="931">
        <f t="shared" si="281"/>
        <v>18.447227299999998</v>
      </c>
      <c r="LE58" s="931">
        <f t="shared" si="281"/>
        <v>0</v>
      </c>
      <c r="LF58" s="931">
        <f t="shared" si="281"/>
        <v>0</v>
      </c>
      <c r="LG58" s="931">
        <f t="shared" si="281"/>
        <v>0</v>
      </c>
      <c r="LH58" s="931">
        <f t="shared" si="281"/>
        <v>0</v>
      </c>
      <c r="LI58" s="931">
        <f t="shared" si="281"/>
        <v>0</v>
      </c>
      <c r="LJ58" s="931">
        <f t="shared" si="281"/>
        <v>0</v>
      </c>
      <c r="LK58" s="931">
        <f t="shared" si="281"/>
        <v>0</v>
      </c>
      <c r="LL58" s="931">
        <f t="shared" si="281"/>
        <v>0</v>
      </c>
      <c r="LM58" s="931">
        <f t="shared" si="281"/>
        <v>0</v>
      </c>
      <c r="LN58" s="931"/>
      <c r="LO58" s="931"/>
      <c r="LR58" s="230">
        <f t="shared" si="282"/>
        <v>-1.7088265126015969</v>
      </c>
      <c r="LS58" s="230">
        <f t="shared" si="283"/>
        <v>-1</v>
      </c>
      <c r="LT58" s="230" t="str">
        <f t="shared" si="284"/>
        <v xml:space="preserve"> </v>
      </c>
      <c r="LU58" s="230" t="str">
        <f t="shared" si="285"/>
        <v xml:space="preserve"> </v>
      </c>
      <c r="LV58" s="230" t="str">
        <f t="shared" si="286"/>
        <v xml:space="preserve"> </v>
      </c>
      <c r="LW58" s="230" t="str">
        <f t="shared" si="287"/>
        <v xml:space="preserve"> </v>
      </c>
      <c r="LX58" s="230" t="str">
        <f t="shared" si="288"/>
        <v xml:space="preserve"> </v>
      </c>
      <c r="LZ58" s="931">
        <f t="shared" si="289"/>
        <v>44.472251720000003</v>
      </c>
      <c r="MA58" s="931">
        <f t="shared" si="290"/>
        <v>-18.447227299999998</v>
      </c>
      <c r="MB58" s="931">
        <f t="shared" si="291"/>
        <v>0</v>
      </c>
      <c r="MC58" s="931">
        <f t="shared" si="292"/>
        <v>0</v>
      </c>
      <c r="MD58" s="931">
        <f t="shared" si="293"/>
        <v>0</v>
      </c>
      <c r="ME58" s="931">
        <f t="shared" si="294"/>
        <v>0</v>
      </c>
      <c r="MF58" s="931">
        <f t="shared" si="295"/>
        <v>0</v>
      </c>
      <c r="MH58" s="230">
        <f t="shared" si="296"/>
        <v>1.6154544475783805E-3</v>
      </c>
      <c r="MI58" s="230">
        <f t="shared" si="297"/>
        <v>-4.7200961850541153E-3</v>
      </c>
      <c r="MJ58" s="230">
        <f t="shared" si="298"/>
        <v>3.5986532198691184E-3</v>
      </c>
      <c r="MK58" s="230">
        <f t="shared" si="299"/>
        <v>0</v>
      </c>
      <c r="ML58" s="230">
        <f t="shared" si="300"/>
        <v>0</v>
      </c>
      <c r="MM58" s="230">
        <f t="shared" si="301"/>
        <v>0</v>
      </c>
      <c r="MN58" s="230">
        <f t="shared" si="302"/>
        <v>0</v>
      </c>
      <c r="MO58" s="230">
        <f t="shared" si="303"/>
        <v>0</v>
      </c>
      <c r="MP58" s="230" t="e">
        <f t="shared" si="304"/>
        <v>#DIV/0!</v>
      </c>
    </row>
    <row r="59" spans="1:354" outlineLevel="1">
      <c r="A59" s="884"/>
      <c r="B59" s="70"/>
      <c r="E59" s="66"/>
      <c r="F59" s="66"/>
      <c r="G59" s="66"/>
      <c r="H59" s="66"/>
      <c r="I59" s="66"/>
      <c r="J59" s="66"/>
      <c r="K59" s="66"/>
      <c r="L59" s="66"/>
      <c r="M59" s="66"/>
      <c r="N59" s="66"/>
      <c r="O59" s="66"/>
      <c r="P59" s="66"/>
      <c r="Q59" s="102"/>
      <c r="R59" s="66"/>
      <c r="S59" s="66"/>
      <c r="T59" s="66"/>
      <c r="U59" s="66"/>
      <c r="V59" s="66"/>
      <c r="W59" s="66"/>
      <c r="X59" s="66"/>
      <c r="Y59" s="66"/>
      <c r="Z59" s="66"/>
      <c r="AA59" s="66"/>
      <c r="AB59" s="66"/>
      <c r="AC59" s="102"/>
      <c r="AD59" s="102"/>
      <c r="AE59" s="102"/>
      <c r="AF59" s="102"/>
      <c r="AG59" s="102"/>
      <c r="AH59" s="102"/>
      <c r="AI59" s="102"/>
      <c r="AJ59" s="102"/>
      <c r="AK59" s="102"/>
      <c r="AL59" s="102"/>
      <c r="AM59" s="102"/>
      <c r="AN59" s="102"/>
      <c r="AO59" s="66"/>
      <c r="AP59" s="88"/>
      <c r="AQ59" s="942"/>
      <c r="AR59" s="942"/>
      <c r="AS59" s="66"/>
      <c r="AT59" s="66"/>
      <c r="AU59" s="66"/>
      <c r="AV59" s="66"/>
      <c r="AW59" s="66"/>
      <c r="AX59" s="66"/>
      <c r="AY59" s="66"/>
      <c r="AZ59" s="66"/>
      <c r="BA59" s="66"/>
      <c r="BB59" s="66"/>
      <c r="BC59" s="66"/>
      <c r="BD59" s="66"/>
      <c r="BE59" s="66"/>
      <c r="BF59" s="66"/>
      <c r="BG59" s="66"/>
      <c r="BH59" s="66"/>
      <c r="BI59" s="66"/>
      <c r="BJ59" s="952"/>
      <c r="BK59" s="66"/>
      <c r="BL59" s="66"/>
      <c r="BM59" s="1522"/>
      <c r="BN59" s="66"/>
      <c r="BO59" s="66"/>
      <c r="BP59" s="66"/>
      <c r="BQ59" s="66"/>
      <c r="BR59" s="66"/>
      <c r="BS59" s="66"/>
      <c r="BT59" s="66"/>
      <c r="BU59" s="66"/>
      <c r="BV59" s="952"/>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873"/>
      <c r="DR59" s="873"/>
      <c r="DS59" s="873"/>
      <c r="DT59" s="873"/>
      <c r="DU59" s="873"/>
      <c r="DV59" s="873"/>
      <c r="DW59" s="873"/>
      <c r="DX59" s="873"/>
      <c r="DY59" s="873"/>
      <c r="DZ59" s="873"/>
      <c r="EA59" s="873"/>
      <c r="EB59" s="873"/>
      <c r="EC59" s="873"/>
      <c r="ED59" s="873"/>
      <c r="EE59" s="873"/>
      <c r="EF59" s="873"/>
      <c r="EH59" s="66"/>
      <c r="EI59" s="66"/>
      <c r="EJ59" s="66"/>
      <c r="EK59" s="66"/>
      <c r="EL59" s="66"/>
      <c r="EM59" s="66"/>
      <c r="EN59" s="66"/>
      <c r="EO59" s="66"/>
      <c r="EP59" s="66"/>
      <c r="EQ59" s="66"/>
      <c r="ER59" s="66"/>
      <c r="ES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D59" s="66"/>
      <c r="HE59" s="66"/>
      <c r="HF59" s="66"/>
      <c r="HG59" s="66"/>
      <c r="HH59" s="66"/>
      <c r="HI59" s="66"/>
      <c r="HJ59" s="66"/>
      <c r="HK59" s="66"/>
      <c r="HO59" s="66"/>
      <c r="HP59" s="66"/>
      <c r="HR59" s="50"/>
      <c r="HS59" s="50"/>
      <c r="HT59" s="50"/>
      <c r="HU59" s="922"/>
      <c r="HV59" s="922"/>
      <c r="HW59" s="922"/>
      <c r="HX59" s="922"/>
      <c r="HY59" s="922"/>
      <c r="HZ59" s="922"/>
      <c r="IA59" s="922" t="str">
        <f t="shared" si="305"/>
        <v/>
      </c>
      <c r="IB59" s="50"/>
      <c r="IC59" s="922" t="str">
        <f t="shared" si="306"/>
        <v/>
      </c>
      <c r="IE59" s="66"/>
      <c r="IF59" s="66"/>
      <c r="IG59" s="66"/>
      <c r="IH59" s="66"/>
      <c r="II59" s="66">
        <f t="shared" si="322"/>
        <v>0</v>
      </c>
      <c r="IJ59" s="66">
        <f t="shared" si="323"/>
        <v>0</v>
      </c>
      <c r="IK59" s="66">
        <f t="shared" si="324"/>
        <v>0</v>
      </c>
      <c r="IL59" s="66">
        <f t="shared" si="307"/>
        <v>0</v>
      </c>
      <c r="IM59" s="66"/>
      <c r="IN59" s="66">
        <f t="shared" si="308"/>
        <v>0</v>
      </c>
      <c r="IP59" s="50"/>
      <c r="IQ59" s="50"/>
      <c r="IR59" s="50"/>
      <c r="IS59" s="50"/>
      <c r="IT59" s="50"/>
      <c r="IU59" s="50"/>
      <c r="IV59" s="50"/>
      <c r="IW59" s="50"/>
      <c r="IX59" s="50"/>
      <c r="IY59" s="50"/>
      <c r="JA59" s="50"/>
      <c r="JB59" s="50"/>
      <c r="JC59" s="50"/>
      <c r="JD59" s="50"/>
      <c r="JE59" s="50"/>
      <c r="JF59" s="50"/>
      <c r="JG59" s="50"/>
      <c r="JH59" s="50"/>
      <c r="JI59" s="50"/>
      <c r="JJ59" s="50"/>
      <c r="JK59" s="50"/>
      <c r="JL59" s="50"/>
      <c r="JM59" s="66"/>
      <c r="JN59" s="66"/>
      <c r="JO59" s="1188"/>
      <c r="JP59" s="66"/>
      <c r="JQ59" s="66"/>
      <c r="JR59" s="88"/>
      <c r="JS59" s="50"/>
      <c r="JT59" s="66"/>
      <c r="JV59" s="50"/>
      <c r="JW59" s="50"/>
      <c r="JY59" s="50"/>
      <c r="JZ59" s="50"/>
      <c r="KA59" s="50"/>
      <c r="KB59" s="50"/>
      <c r="KC59" s="50"/>
      <c r="KD59" s="50"/>
      <c r="KE59" s="50"/>
      <c r="KF59" s="50"/>
      <c r="KH59" s="66"/>
      <c r="KI59" s="66"/>
      <c r="KJ59" s="66"/>
      <c r="KK59" s="66"/>
      <c r="KL59" s="66"/>
      <c r="KM59" s="66"/>
      <c r="KN59" s="66"/>
      <c r="KO59" s="66"/>
      <c r="KQ59" s="50"/>
      <c r="KR59" s="50"/>
      <c r="KS59" s="50"/>
      <c r="KT59" s="50"/>
      <c r="KU59" s="50"/>
      <c r="KV59" s="50"/>
      <c r="KW59" s="50"/>
      <c r="KX59" s="50"/>
      <c r="KY59" s="50"/>
      <c r="KZ59" s="50"/>
      <c r="LB59" s="66"/>
      <c r="LC59" s="66"/>
      <c r="LD59" s="66"/>
      <c r="LE59" s="66"/>
      <c r="LF59" s="66"/>
      <c r="LG59" s="66"/>
      <c r="LH59" s="66"/>
      <c r="LI59" s="66"/>
      <c r="LJ59" s="66"/>
      <c r="LK59" s="66"/>
      <c r="LL59" s="66"/>
      <c r="LM59" s="66"/>
      <c r="LN59" s="66"/>
      <c r="LO59" s="66"/>
      <c r="LR59" s="50"/>
      <c r="LS59" s="50"/>
      <c r="LT59" s="50"/>
      <c r="LU59" s="50"/>
      <c r="LV59" s="50"/>
      <c r="LW59" s="50"/>
      <c r="LX59" s="50"/>
      <c r="LZ59" s="66"/>
      <c r="MA59" s="66"/>
      <c r="MB59" s="66"/>
      <c r="MC59" s="66"/>
      <c r="MD59" s="66"/>
      <c r="ME59" s="66"/>
      <c r="MF59" s="66"/>
      <c r="MH59" s="50"/>
      <c r="MI59" s="50"/>
      <c r="MJ59" s="50"/>
      <c r="MK59" s="50"/>
      <c r="ML59" s="50"/>
      <c r="MM59" s="50"/>
      <c r="MN59" s="50"/>
      <c r="MO59" s="50"/>
      <c r="MP59" s="50"/>
    </row>
    <row r="60" spans="1:354">
      <c r="A60" s="884"/>
      <c r="B60" s="70"/>
      <c r="C60" s="1524" t="s">
        <v>89</v>
      </c>
      <c r="D60" s="1525" t="s">
        <v>59</v>
      </c>
      <c r="E60" s="1526">
        <f t="shared" ref="E60:BP60" si="325">+E39+E42</f>
        <v>-1248.2430213399998</v>
      </c>
      <c r="F60" s="1526">
        <f t="shared" si="325"/>
        <v>1136.0424797500004</v>
      </c>
      <c r="G60" s="1526">
        <f t="shared" si="325"/>
        <v>427.93651225000031</v>
      </c>
      <c r="H60" s="1526">
        <f t="shared" si="325"/>
        <v>669.57995113000061</v>
      </c>
      <c r="I60" s="1526">
        <f t="shared" si="325"/>
        <v>1503.4645574299986</v>
      </c>
      <c r="J60" s="1526">
        <f t="shared" si="325"/>
        <v>603.48692325999946</v>
      </c>
      <c r="K60" s="1526">
        <f t="shared" si="325"/>
        <v>832.6874230199985</v>
      </c>
      <c r="L60" s="1526">
        <f t="shared" si="325"/>
        <v>1576.5594846800016</v>
      </c>
      <c r="M60" s="1526">
        <f t="shared" si="325"/>
        <v>1499.5283981400014</v>
      </c>
      <c r="N60" s="1526">
        <f t="shared" si="325"/>
        <v>1184.436691869998</v>
      </c>
      <c r="O60" s="1526">
        <f t="shared" si="325"/>
        <v>1745.5891536600025</v>
      </c>
      <c r="P60" s="1526">
        <f t="shared" si="325"/>
        <v>155.36372760999825</v>
      </c>
      <c r="Q60" s="1526">
        <f t="shared" si="325"/>
        <v>-316.58809092999968</v>
      </c>
      <c r="R60" s="1526">
        <f t="shared" si="325"/>
        <v>1390.6624949899999</v>
      </c>
      <c r="S60" s="1526">
        <f t="shared" si="325"/>
        <v>-93.193246700000032</v>
      </c>
      <c r="T60" s="1526">
        <f t="shared" si="325"/>
        <v>-583.10566422999773</v>
      </c>
      <c r="U60" s="1526">
        <f t="shared" si="325"/>
        <v>1587.6106911300005</v>
      </c>
      <c r="V60" s="1526">
        <f t="shared" si="325"/>
        <v>1261.2795914199967</v>
      </c>
      <c r="W60" s="1526">
        <f t="shared" si="325"/>
        <v>644.12489243999892</v>
      </c>
      <c r="X60" s="1526">
        <f t="shared" si="325"/>
        <v>999.95789331000174</v>
      </c>
      <c r="Y60" s="1526">
        <f t="shared" si="325"/>
        <v>-570.34529576999842</v>
      </c>
      <c r="Z60" s="1526">
        <f t="shared" si="325"/>
        <v>160.64188324999645</v>
      </c>
      <c r="AA60" s="1526">
        <f t="shared" si="325"/>
        <v>2725.5463580400005</v>
      </c>
      <c r="AB60" s="1526">
        <f t="shared" si="325"/>
        <v>2442.137900590008</v>
      </c>
      <c r="AC60" s="1526">
        <f t="shared" si="325"/>
        <v>-403.11304543000028</v>
      </c>
      <c r="AD60" s="1526">
        <f t="shared" si="325"/>
        <v>1759.6170573600002</v>
      </c>
      <c r="AE60" s="1526">
        <f t="shared" si="325"/>
        <v>490.82695196999975</v>
      </c>
      <c r="AF60" s="1526">
        <f t="shared" si="325"/>
        <v>957.63625005000063</v>
      </c>
      <c r="AG60" s="1526">
        <f t="shared" si="325"/>
        <v>745.87039123000034</v>
      </c>
      <c r="AH60" s="1526">
        <f t="shared" si="325"/>
        <v>544.00775340000041</v>
      </c>
      <c r="AI60" s="1526">
        <f t="shared" si="325"/>
        <v>373.93849135000005</v>
      </c>
      <c r="AJ60" s="1526">
        <f t="shared" si="325"/>
        <v>808.2665488099999</v>
      </c>
      <c r="AK60" s="1526">
        <f t="shared" si="325"/>
        <v>858.17337001999954</v>
      </c>
      <c r="AL60" s="1526">
        <f t="shared" si="325"/>
        <v>1244.1622664499998</v>
      </c>
      <c r="AM60" s="1526">
        <f t="shared" si="325"/>
        <v>3416.3270713600004</v>
      </c>
      <c r="AN60" s="1526">
        <f t="shared" si="325"/>
        <v>-59.380278100001988</v>
      </c>
      <c r="AO60" s="1526">
        <f t="shared" si="325"/>
        <v>1180.6559501900003</v>
      </c>
      <c r="AP60" s="1526">
        <f t="shared" si="325"/>
        <v>-502.45394305999992</v>
      </c>
      <c r="AQ60" s="1526">
        <f t="shared" si="325"/>
        <v>-115.84278654000025</v>
      </c>
      <c r="AR60" s="1526">
        <f t="shared" si="325"/>
        <v>-279.20173565000027</v>
      </c>
      <c r="AS60" s="1526">
        <f t="shared" si="325"/>
        <v>-1193.8856324500002</v>
      </c>
      <c r="AT60" s="1526">
        <f t="shared" si="325"/>
        <v>-896.8379936</v>
      </c>
      <c r="AU60" s="1526">
        <f t="shared" si="325"/>
        <v>64.577150560000405</v>
      </c>
      <c r="AV60" s="1526">
        <f t="shared" si="325"/>
        <v>117.15924510000002</v>
      </c>
      <c r="AW60" s="1526">
        <f t="shared" si="325"/>
        <v>99.175554559999568</v>
      </c>
      <c r="AX60" s="1526">
        <f t="shared" si="325"/>
        <v>165.92813243000001</v>
      </c>
      <c r="AY60" s="1526">
        <f t="shared" si="325"/>
        <v>-477.05186212000012</v>
      </c>
      <c r="AZ60" s="1526">
        <f t="shared" si="325"/>
        <v>-1697.7313282</v>
      </c>
      <c r="BA60" s="1526">
        <f t="shared" si="325"/>
        <v>-52.205762940000028</v>
      </c>
      <c r="BB60" s="1526">
        <f t="shared" si="325"/>
        <v>-478.1899181500001</v>
      </c>
      <c r="BC60" s="1526">
        <f t="shared" si="325"/>
        <v>-606.79629743999999</v>
      </c>
      <c r="BD60" s="1526">
        <f t="shared" si="325"/>
        <v>-497.83869813000001</v>
      </c>
      <c r="BE60" s="1526">
        <f t="shared" si="325"/>
        <v>-275.62019642000007</v>
      </c>
      <c r="BF60" s="1526">
        <f t="shared" si="325"/>
        <v>-550.33981901999994</v>
      </c>
      <c r="BG60" s="1526">
        <f t="shared" si="325"/>
        <v>-179.34335879000005</v>
      </c>
      <c r="BH60" s="1526">
        <f t="shared" si="325"/>
        <v>35.819911319999875</v>
      </c>
      <c r="BI60" s="1526">
        <f t="shared" si="325"/>
        <v>-206.02228946000014</v>
      </c>
      <c r="BJ60" s="1526">
        <f t="shared" si="325"/>
        <v>-57.611085399999922</v>
      </c>
      <c r="BK60" s="1526">
        <f t="shared" si="325"/>
        <v>397.79181274000007</v>
      </c>
      <c r="BL60" s="1526">
        <f t="shared" si="325"/>
        <v>395.28956538000028</v>
      </c>
      <c r="BM60" s="1526">
        <f t="shared" si="325"/>
        <v>284.99773750999992</v>
      </c>
      <c r="BN60" s="1526">
        <f t="shared" si="325"/>
        <v>274.87844790999998</v>
      </c>
      <c r="BO60" s="1526">
        <f t="shared" si="325"/>
        <v>274.09652492999993</v>
      </c>
      <c r="BP60" s="1526">
        <f t="shared" si="325"/>
        <v>491.81107157000031</v>
      </c>
      <c r="BQ60" s="1526">
        <f t="shared" ref="BQ60:EB60" si="326">+BQ39+BQ42</f>
        <v>101.0106898599999</v>
      </c>
      <c r="BR60" s="1526">
        <f t="shared" si="326"/>
        <v>214.58035303000005</v>
      </c>
      <c r="BS60" s="1526">
        <f t="shared" si="326"/>
        <v>199.57417014000006</v>
      </c>
      <c r="BT60" s="1526">
        <f t="shared" si="326"/>
        <v>244.65305585000016</v>
      </c>
      <c r="BU60" s="1526">
        <f t="shared" si="326"/>
        <v>149.61818370000015</v>
      </c>
      <c r="BV60" s="1526">
        <f t="shared" si="326"/>
        <v>402.43456421999974</v>
      </c>
      <c r="BW60" s="1526">
        <f t="shared" si="326"/>
        <v>416.45949804000037</v>
      </c>
      <c r="BX60" s="1526">
        <f t="shared" si="326"/>
        <v>87.972332930000277</v>
      </c>
      <c r="BY60" s="1526">
        <f t="shared" si="326"/>
        <v>88.905493470000096</v>
      </c>
      <c r="BZ60" s="1526">
        <f t="shared" si="326"/>
        <v>127.08420186000018</v>
      </c>
      <c r="CA60" s="1526">
        <f t="shared" si="326"/>
        <v>122.08167013000011</v>
      </c>
      <c r="CB60" s="1526">
        <f t="shared" si="326"/>
        <v>9.0989087200000824</v>
      </c>
      <c r="CC60" s="1526">
        <f t="shared" si="326"/>
        <v>-47.546363889999924</v>
      </c>
      <c r="CD60" s="1526">
        <f t="shared" si="326"/>
        <v>61.99229477999981</v>
      </c>
      <c r="CE60" s="1526">
        <f t="shared" si="326"/>
        <v>-47.182758750000062</v>
      </c>
      <c r="CF60" s="1526">
        <f t="shared" si="326"/>
        <v>586.86624984000025</v>
      </c>
      <c r="CG60" s="1526">
        <f t="shared" si="326"/>
        <v>69.60389392999997</v>
      </c>
      <c r="CH60" s="1526">
        <f t="shared" si="326"/>
        <v>219.79665008000018</v>
      </c>
      <c r="CI60" s="1526">
        <f t="shared" si="326"/>
        <v>613.85130763000006</v>
      </c>
      <c r="CJ60" s="1526">
        <f t="shared" si="326"/>
        <v>232.11366712999984</v>
      </c>
      <c r="CK60" s="1526">
        <f t="shared" si="326"/>
        <v>239.36214853999965</v>
      </c>
      <c r="CL60" s="1526">
        <f t="shared" si="326"/>
        <v>42.08422452999983</v>
      </c>
      <c r="CM60" s="1526">
        <f t="shared" si="326"/>
        <v>509.51494679000001</v>
      </c>
      <c r="CN60" s="1526">
        <f t="shared" si="326"/>
        <v>238.32084363999996</v>
      </c>
      <c r="CO60" s="1526">
        <f t="shared" si="326"/>
        <v>504.47375250999983</v>
      </c>
      <c r="CP60" s="1526">
        <f t="shared" si="326"/>
        <v>161.1802761199998</v>
      </c>
      <c r="CQ60" s="1526">
        <f t="shared" si="326"/>
        <v>235.32571399000005</v>
      </c>
      <c r="CR60" s="1526">
        <f t="shared" si="326"/>
        <v>402.38942390000011</v>
      </c>
      <c r="CS60" s="1526">
        <f t="shared" si="326"/>
        <v>454.89161486999978</v>
      </c>
      <c r="CT60" s="1526">
        <f t="shared" si="326"/>
        <v>801.0160215100002</v>
      </c>
      <c r="CU60" s="1526">
        <f t="shared" si="326"/>
        <v>485.8993579800001</v>
      </c>
      <c r="CV60" s="1526">
        <f t="shared" si="326"/>
        <v>164.42237050999967</v>
      </c>
      <c r="CW60" s="1526">
        <f t="shared" si="326"/>
        <v>461.04943822000007</v>
      </c>
      <c r="CX60" s="1526">
        <f t="shared" si="326"/>
        <v>247.6483856399995</v>
      </c>
      <c r="CY60" s="1526">
        <f t="shared" si="326"/>
        <v>679.93009857000038</v>
      </c>
      <c r="CZ60" s="1526">
        <f t="shared" si="326"/>
        <v>-73.111713319999836</v>
      </c>
      <c r="DA60" s="1526">
        <f t="shared" si="326"/>
        <v>31.675038400000091</v>
      </c>
      <c r="DB60" s="1526">
        <f t="shared" si="326"/>
        <v>-201.98600461000004</v>
      </c>
      <c r="DC60" s="1526">
        <f t="shared" si="326"/>
        <v>-218.01837403999997</v>
      </c>
      <c r="DD60" s="1526">
        <f t="shared" si="326"/>
        <v>333.00444980000009</v>
      </c>
      <c r="DE60" s="1526">
        <f t="shared" si="326"/>
        <v>245.11800161999989</v>
      </c>
      <c r="DF60" s="1526">
        <f t="shared" si="326"/>
        <v>391.95039173000004</v>
      </c>
      <c r="DG60" s="1526">
        <f t="shared" si="326"/>
        <v>-41.539388670000221</v>
      </c>
      <c r="DH60" s="1526">
        <f t="shared" si="326"/>
        <v>152.48098350999987</v>
      </c>
      <c r="DI60" s="1526">
        <f t="shared" si="326"/>
        <v>121.43567959000012</v>
      </c>
      <c r="DJ60" s="1526">
        <f t="shared" si="326"/>
        <v>-90.876278649999733</v>
      </c>
      <c r="DK60" s="1526">
        <f t="shared" si="326"/>
        <v>201.94079329000013</v>
      </c>
      <c r="DL60" s="1526">
        <f t="shared" si="326"/>
        <v>320.90941712999995</v>
      </c>
      <c r="DM60" s="1526">
        <f t="shared" si="326"/>
        <v>176.37271704999984</v>
      </c>
      <c r="DN60" s="1526">
        <f t="shared" si="326"/>
        <v>140.56880583000031</v>
      </c>
      <c r="DO60" s="1526">
        <f t="shared" si="326"/>
        <v>227.98479070999963</v>
      </c>
      <c r="DP60" s="1526">
        <f t="shared" si="326"/>
        <v>407.48147771999993</v>
      </c>
      <c r="DQ60" s="1527">
        <f t="shared" si="326"/>
        <v>298.39846114999989</v>
      </c>
      <c r="DR60" s="1527">
        <f t="shared" si="326"/>
        <v>387.15433903000007</v>
      </c>
      <c r="DS60" s="1527">
        <f t="shared" si="326"/>
        <v>242.5764488299998</v>
      </c>
      <c r="DT60" s="1527">
        <f t="shared" si="326"/>
        <v>446.69637108999962</v>
      </c>
      <c r="DU60" s="1527">
        <f t="shared" si="326"/>
        <v>405.89299257999983</v>
      </c>
      <c r="DV60" s="1527">
        <f t="shared" si="326"/>
        <v>-169.26952538000018</v>
      </c>
      <c r="DW60" s="1527">
        <f t="shared" si="326"/>
        <v>233.13307968000012</v>
      </c>
      <c r="DX60" s="1527">
        <f t="shared" si="326"/>
        <v>82.971072759999942</v>
      </c>
      <c r="DY60" s="1527">
        <f t="shared" si="326"/>
        <v>194.32062318000015</v>
      </c>
      <c r="DZ60" s="1527">
        <f t="shared" si="326"/>
        <v>545.1202077300004</v>
      </c>
      <c r="EA60" s="1527">
        <f t="shared" si="326"/>
        <v>481.25150238999964</v>
      </c>
      <c r="EB60" s="1527">
        <f t="shared" si="326"/>
        <v>657.25072771000009</v>
      </c>
      <c r="EC60" s="1527">
        <f t="shared" ref="EC60:EF60" si="327">+EC39+EC42</f>
        <v>783.46495703000051</v>
      </c>
      <c r="ED60" s="1527">
        <f t="shared" si="327"/>
        <v>1446.8150178100002</v>
      </c>
      <c r="EE60" s="1527">
        <f t="shared" si="327"/>
        <v>1189.5434701599997</v>
      </c>
      <c r="EF60" s="1527">
        <f t="shared" si="327"/>
        <v>38.737134939999805</v>
      </c>
      <c r="EG60" s="949"/>
      <c r="EH60" s="1526">
        <f t="shared" ref="EH60:ES60" si="328">+EH39+EH42</f>
        <v>461.04943822000007</v>
      </c>
      <c r="EI60" s="1526">
        <f t="shared" si="328"/>
        <v>247.65413249999955</v>
      </c>
      <c r="EJ60" s="1526">
        <f t="shared" si="328"/>
        <v>679.9300985699997</v>
      </c>
      <c r="EK60" s="1526">
        <f t="shared" si="328"/>
        <v>-73.111713319999893</v>
      </c>
      <c r="EL60" s="1526">
        <f t="shared" si="328"/>
        <v>31.675038400000034</v>
      </c>
      <c r="EM60" s="1526">
        <f t="shared" si="328"/>
        <v>-201.98600460999998</v>
      </c>
      <c r="EN60" s="1526">
        <f t="shared" si="328"/>
        <v>-159.76547736184966</v>
      </c>
      <c r="EO60" s="1526">
        <f t="shared" si="328"/>
        <v>138.45228879650048</v>
      </c>
      <c r="EP60" s="1526">
        <f t="shared" si="328"/>
        <v>58.281820349150365</v>
      </c>
      <c r="EQ60" s="1526">
        <f t="shared" si="328"/>
        <v>-97.211661993499888</v>
      </c>
      <c r="ER60" s="1526">
        <f t="shared" si="328"/>
        <v>-126.40545916954994</v>
      </c>
      <c r="ES60" s="1526">
        <f t="shared" si="328"/>
        <v>-137.78923637879987</v>
      </c>
      <c r="EU60" s="1526">
        <v>622.14621517750743</v>
      </c>
      <c r="EV60" s="1526">
        <v>-334.30978869575904</v>
      </c>
      <c r="EW60" s="1526">
        <v>-237.03258232916494</v>
      </c>
      <c r="EX60" s="1526">
        <v>679.73743309430438</v>
      </c>
      <c r="EY60" s="1526">
        <v>341.29701632089694</v>
      </c>
      <c r="EZ60" s="1526">
        <v>543.28880961178197</v>
      </c>
      <c r="FA60" s="1526">
        <v>1387.7846263757888</v>
      </c>
      <c r="FB60" s="1526">
        <v>2209.845037548117</v>
      </c>
      <c r="FC60" s="1526">
        <v>1396.2980447035595</v>
      </c>
      <c r="FD60" s="1526">
        <v>1637.0219075590401</v>
      </c>
      <c r="FE60" s="1526">
        <v>1468.0107791037726</v>
      </c>
      <c r="FF60" s="1526">
        <v>1066.8667048574132</v>
      </c>
      <c r="FG60" s="1526">
        <f t="shared" ref="FG60:HB60" si="329">+FG39+FG42</f>
        <v>-182.82359112956044</v>
      </c>
      <c r="FH60" s="1526">
        <f t="shared" si="329"/>
        <v>-45.584436750366365</v>
      </c>
      <c r="FI60" s="1526">
        <f t="shared" si="329"/>
        <v>-29.45856852470331</v>
      </c>
      <c r="FJ60" s="1526">
        <f t="shared" si="329"/>
        <v>-97.639009168528958</v>
      </c>
      <c r="FK60" s="1526">
        <f t="shared" si="329"/>
        <v>109.24490857162789</v>
      </c>
      <c r="FL60" s="1526">
        <f t="shared" si="329"/>
        <v>320.89010179358502</v>
      </c>
      <c r="FM60" s="1526">
        <f t="shared" si="329"/>
        <v>383.86049724361192</v>
      </c>
      <c r="FN60" s="1526">
        <f t="shared" si="329"/>
        <v>453.85232322619459</v>
      </c>
      <c r="FO60" s="1526">
        <f t="shared" si="329"/>
        <v>419.57474811203338</v>
      </c>
      <c r="FP60" s="1526">
        <f t="shared" si="329"/>
        <v>478.60959561466711</v>
      </c>
      <c r="FQ60" s="1526">
        <f t="shared" si="329"/>
        <v>369.93309816674247</v>
      </c>
      <c r="FR60" s="1526">
        <f t="shared" si="329"/>
        <v>170.06329953912251</v>
      </c>
      <c r="FS60" s="1526">
        <f t="shared" si="329"/>
        <v>135.05859800000002</v>
      </c>
      <c r="FT60" s="1526">
        <f t="shared" si="329"/>
        <v>336.8367549100002</v>
      </c>
      <c r="FU60" s="1526">
        <f t="shared" si="329"/>
        <v>341.36084599999981</v>
      </c>
      <c r="FV60" s="1526">
        <f t="shared" si="329"/>
        <v>297.18355891000004</v>
      </c>
      <c r="FW60" s="1526">
        <f t="shared" si="329"/>
        <v>314.96711791000018</v>
      </c>
      <c r="FX60" s="1526">
        <f t="shared" si="329"/>
        <v>282.30310291000006</v>
      </c>
      <c r="FY60" s="1526">
        <f t="shared" si="329"/>
        <v>307.20153890999984</v>
      </c>
      <c r="FZ60" s="1526">
        <f t="shared" si="329"/>
        <v>101.67076090999996</v>
      </c>
      <c r="GA60" s="1526">
        <f t="shared" si="329"/>
        <v>-6.2338200000000938</v>
      </c>
      <c r="GB60" s="1526">
        <f t="shared" si="329"/>
        <v>-83.64703609</v>
      </c>
      <c r="GC60" s="1526">
        <f t="shared" si="329"/>
        <v>-26.128150090000162</v>
      </c>
      <c r="GD60" s="1526">
        <f t="shared" si="329"/>
        <v>-82.266508000000073</v>
      </c>
      <c r="GE60" s="1526">
        <f t="shared" si="329"/>
        <v>209.12499846034885</v>
      </c>
      <c r="GF60" s="1526">
        <f t="shared" si="329"/>
        <v>100.89741813949348</v>
      </c>
      <c r="GG60" s="1526">
        <f t="shared" si="329"/>
        <v>49.54475797906565</v>
      </c>
      <c r="GH60" s="1526">
        <f t="shared" si="329"/>
        <v>-30.701071004891332</v>
      </c>
      <c r="GI60" s="1526">
        <f t="shared" si="329"/>
        <v>85.853631979065796</v>
      </c>
      <c r="GJ60" s="1526">
        <f t="shared" si="329"/>
        <v>87.989001979065478</v>
      </c>
      <c r="GK60" s="1526">
        <f t="shared" si="329"/>
        <v>144.18804113949355</v>
      </c>
      <c r="GL60" s="1526">
        <f t="shared" si="329"/>
        <v>164.30569013949315</v>
      </c>
      <c r="GM60" s="1526">
        <f t="shared" si="329"/>
        <v>188.67355313949383</v>
      </c>
      <c r="GN60" s="1526">
        <f t="shared" si="329"/>
        <v>315.05278362077672</v>
      </c>
      <c r="GO60" s="1526">
        <f t="shared" si="329"/>
        <v>382.57682394163254</v>
      </c>
      <c r="GP60" s="1526">
        <f t="shared" si="329"/>
        <v>308.67915862077706</v>
      </c>
      <c r="GQ60" s="1526">
        <f t="shared" si="329"/>
        <v>209.12499846034885</v>
      </c>
      <c r="GR60" s="1526">
        <f t="shared" si="329"/>
        <v>100.89741813949348</v>
      </c>
      <c r="GS60" s="1526">
        <f t="shared" si="329"/>
        <v>49.54475797906565</v>
      </c>
      <c r="GT60" s="1526">
        <f t="shared" si="329"/>
        <v>-30.701071004891332</v>
      </c>
      <c r="GU60" s="1526">
        <f t="shared" si="329"/>
        <v>85.853631979065796</v>
      </c>
      <c r="GV60" s="1526">
        <f t="shared" si="329"/>
        <v>87.989001979065478</v>
      </c>
      <c r="GW60" s="1526">
        <f t="shared" si="329"/>
        <v>144.18804113949355</v>
      </c>
      <c r="GX60" s="1526">
        <f t="shared" si="329"/>
        <v>164.30569013949315</v>
      </c>
      <c r="GY60" s="1526">
        <f t="shared" si="329"/>
        <v>188.67355313949383</v>
      </c>
      <c r="GZ60" s="1526">
        <f t="shared" si="329"/>
        <v>315.05278362077672</v>
      </c>
      <c r="HA60" s="1526">
        <f t="shared" si="329"/>
        <v>382.57682394163254</v>
      </c>
      <c r="HB60" s="1526">
        <f t="shared" si="329"/>
        <v>308.67915862077706</v>
      </c>
      <c r="HD60" s="1526">
        <f>+SUMIF($E$6:$AZ$6,HD$7,$E60:$AZ60)</f>
        <v>10086.43228146</v>
      </c>
      <c r="HE60" s="1526">
        <f>+SUMIF($E$6:$AZ$6,HE$7,$E60:$AZ60)</f>
        <v>9648.7294075400059</v>
      </c>
      <c r="HF60" s="1526">
        <f>+SUMIF($E$6:$AZ$6,HF$7,$E60:$AZ60)</f>
        <v>10736.33282847</v>
      </c>
      <c r="HG60" s="1526">
        <f>+SUMIF($E$6:$AZ$6,HG$7,$E60:$AZ60)</f>
        <v>-3535.5092487800002</v>
      </c>
      <c r="HH60" s="1526">
        <f>+SUMIF($E$6:$BL$6,HH$7,$E60:$BL60)</f>
        <v>-2075.0661363100003</v>
      </c>
      <c r="HI60" s="1526">
        <f>+SUMIF($E$6:$BX$6,HI$7,$E60:$BX60)</f>
        <v>3142.0866296900008</v>
      </c>
      <c r="HJ60" s="1526">
        <f>+SUMIF($E$6:$CJ$6,HJ$7,$E60:$CJ60)</f>
        <v>2036.6652149300005</v>
      </c>
      <c r="HK60" s="1526">
        <f>+SUMIF($E$6:$CV$6,HK$7,$E60:$CV60)</f>
        <v>4238.8806948899992</v>
      </c>
      <c r="HL60" s="1527">
        <f>+SUMIF($E$6:SEW$6,HL$7,$E60:SEW60)</f>
        <v>2008.20130685</v>
      </c>
      <c r="HM60" s="1527">
        <f>+SUMIF($E$6:SEX$6,HM$7,$E60:SEX60)</f>
        <v>2880.6430227699993</v>
      </c>
      <c r="HN60" s="1527">
        <f>+SUMIF($E$6:SEY$6,HN$7,$E60:SEY60)</f>
        <v>5889.2312605900006</v>
      </c>
      <c r="HO60" s="1526"/>
      <c r="HP60" s="1526"/>
      <c r="HR60" s="1528">
        <f t="shared" ref="HR60:HZ61" si="330">+IFERROR(HF60/HE60-1,"")</f>
        <v>0.11271985926769656</v>
      </c>
      <c r="HS60" s="1528">
        <f t="shared" si="330"/>
        <v>-1.3293032458349965</v>
      </c>
      <c r="HT60" s="1528">
        <f t="shared" si="330"/>
        <v>-0.41307857219549227</v>
      </c>
      <c r="HU60" s="1528">
        <f t="shared" si="330"/>
        <v>-2.5142103544118535</v>
      </c>
      <c r="HV60" s="1528">
        <f t="shared" si="330"/>
        <v>-0.35181124680482201</v>
      </c>
      <c r="HW60" s="1528">
        <f t="shared" si="330"/>
        <v>1.0812849671199829</v>
      </c>
      <c r="HX60" s="1528">
        <f t="shared" si="330"/>
        <v>-0.52624255047543533</v>
      </c>
      <c r="HY60" s="1528">
        <f t="shared" si="330"/>
        <v>0.43443937265855248</v>
      </c>
      <c r="HZ60" s="1528">
        <f t="shared" si="330"/>
        <v>1.0444155051627919</v>
      </c>
      <c r="IA60" s="1528">
        <f t="shared" si="305"/>
        <v>-1</v>
      </c>
      <c r="IB60" s="1528" t="str">
        <f>+IFERROR(HP60/HO60-1,"")</f>
        <v/>
      </c>
      <c r="IC60" s="1528">
        <f t="shared" si="306"/>
        <v>-1</v>
      </c>
      <c r="IE60" s="1526">
        <f>+HF60-HE60</f>
        <v>1087.6034209299942</v>
      </c>
      <c r="IF60" s="1526">
        <f>+HG60-HF60</f>
        <v>-14271.842077249999</v>
      </c>
      <c r="IG60" s="1526">
        <f>+HH60-HG60</f>
        <v>1460.44311247</v>
      </c>
      <c r="IH60" s="1526">
        <f>+HI60-HH60</f>
        <v>5217.1527660000011</v>
      </c>
      <c r="II60" s="1526">
        <f t="shared" si="322"/>
        <v>-1105.4214147600003</v>
      </c>
      <c r="IJ60" s="1526">
        <f t="shared" si="323"/>
        <v>2202.2154799599984</v>
      </c>
      <c r="IK60" s="1526">
        <f t="shared" si="324"/>
        <v>-2230.6793880399991</v>
      </c>
      <c r="IL60" s="1526">
        <f t="shared" si="307"/>
        <v>-2008.20130685</v>
      </c>
      <c r="IM60" s="1526">
        <f>+HP60-HO60</f>
        <v>0</v>
      </c>
      <c r="IN60" s="1526">
        <f t="shared" si="308"/>
        <v>-2008.20130685</v>
      </c>
      <c r="IP60" s="1529">
        <f t="shared" ref="IP60:IW60" si="331">+HE60/HE$11</f>
        <v>0.26251274282504089</v>
      </c>
      <c r="IQ60" s="1529">
        <f t="shared" si="331"/>
        <v>0.27261351093340946</v>
      </c>
      <c r="IR60" s="1529">
        <f t="shared" si="331"/>
        <v>-0.20978785505075059</v>
      </c>
      <c r="IS60" s="1529">
        <f t="shared" si="331"/>
        <v>-0.33729796766886666</v>
      </c>
      <c r="IT60" s="1529">
        <f t="shared" si="331"/>
        <v>0.23054731015192054</v>
      </c>
      <c r="IU60" s="1529">
        <f t="shared" si="331"/>
        <v>0.1439285073745423</v>
      </c>
      <c r="IV60" s="1529">
        <f t="shared" si="331"/>
        <v>0.19967076256992355</v>
      </c>
      <c r="IW60" s="1529">
        <f t="shared" si="331"/>
        <v>0.15912989317997117</v>
      </c>
      <c r="IX60" s="1529" t="e">
        <f>+HO60/HO$11</f>
        <v>#DIV/0!</v>
      </c>
      <c r="IY60" s="1529" t="e">
        <f>+HP60/HP$11</f>
        <v>#DIV/0!</v>
      </c>
      <c r="JA60" s="1526">
        <f t="shared" ref="JA60:JK60" si="332">+IFERROR(SUMIFS($E60:$EG60,$E$6:$EG$6,JA$7,$E$5:$EG$5,"&lt;="&amp;$JC$5),"NA")</f>
        <v>10086.43228146</v>
      </c>
      <c r="JB60" s="1526">
        <f t="shared" si="332"/>
        <v>9648.7294075400059</v>
      </c>
      <c r="JC60" s="1526">
        <f t="shared" si="332"/>
        <v>10736.33282847</v>
      </c>
      <c r="JD60" s="1526">
        <f t="shared" si="332"/>
        <v>-3535.5092487800002</v>
      </c>
      <c r="JE60" s="1526">
        <f t="shared" si="332"/>
        <v>-2075.0661363100003</v>
      </c>
      <c r="JF60" s="1526">
        <f t="shared" si="332"/>
        <v>3142.0866296900008</v>
      </c>
      <c r="JG60" s="1526">
        <f t="shared" si="332"/>
        <v>2036.6652149300005</v>
      </c>
      <c r="JH60" s="1526">
        <f t="shared" si="332"/>
        <v>4238.8806948899992</v>
      </c>
      <c r="JI60" s="1526">
        <f t="shared" si="332"/>
        <v>2008.20130685</v>
      </c>
      <c r="JJ60" s="1526">
        <f t="shared" si="332"/>
        <v>2880.6430227699993</v>
      </c>
      <c r="JK60" s="1526">
        <f t="shared" si="332"/>
        <v>5889.2312605900006</v>
      </c>
      <c r="JL60" s="1526">
        <f>+SUMIF($DU$5:$EF$5,"&lt;="&amp;$JC$5,$DU60:$EF60)</f>
        <v>5889.2312605900006</v>
      </c>
      <c r="JM60" s="1526"/>
      <c r="JN60" s="1526"/>
      <c r="JO60" s="922">
        <f>+JJ60/JI60-1</f>
        <v>0.43443937265855248</v>
      </c>
      <c r="JP60" s="1526">
        <f>+JL60</f>
        <v>5889.2312605900006</v>
      </c>
      <c r="JQ60" s="1526">
        <f>+JM60</f>
        <v>0</v>
      </c>
      <c r="JR60" s="939"/>
      <c r="JS60" s="1528" t="str">
        <f>+IFERROR(JP60/JQ60,"")</f>
        <v/>
      </c>
      <c r="JT60" s="1530">
        <f>+IFERROR(JP60-JQ60,"NA")</f>
        <v>5889.2312605900006</v>
      </c>
      <c r="JV60" s="1529">
        <f>+JP60/JP$11</f>
        <v>0.19506207763927869</v>
      </c>
      <c r="JW60" s="1528" t="str">
        <f>+IFERROR(JQ60/JQ$11,"")</f>
        <v/>
      </c>
      <c r="JY60" s="1529">
        <f t="shared" ref="JY60:KE60" si="333">+IFERROR(JC60/JB60-1,"NA")</f>
        <v>0.11271985926769656</v>
      </c>
      <c r="JZ60" s="1529">
        <f t="shared" si="333"/>
        <v>-1.3293032458349965</v>
      </c>
      <c r="KA60" s="1529">
        <f t="shared" si="333"/>
        <v>-0.41307857219549227</v>
      </c>
      <c r="KB60" s="1529">
        <f t="shared" si="333"/>
        <v>-2.5142103544118535</v>
      </c>
      <c r="KC60" s="1529">
        <f t="shared" si="333"/>
        <v>-0.35181124680482201</v>
      </c>
      <c r="KD60" s="1529">
        <f t="shared" si="333"/>
        <v>1.0812849671199829</v>
      </c>
      <c r="KE60" s="1529">
        <f t="shared" si="333"/>
        <v>-0.52624255047543533</v>
      </c>
      <c r="KF60" s="1529">
        <f>+IFERROR(JN60/JI60-1,"NA")</f>
        <v>-1</v>
      </c>
      <c r="KH60" s="1526">
        <f t="shared" ref="KH60:KN60" si="334">+JC60-JB60</f>
        <v>1087.6034209299942</v>
      </c>
      <c r="KI60" s="1526">
        <f t="shared" si="334"/>
        <v>-14271.842077249999</v>
      </c>
      <c r="KJ60" s="1526">
        <f t="shared" si="334"/>
        <v>1460.44311247</v>
      </c>
      <c r="KK60" s="1526">
        <f t="shared" si="334"/>
        <v>5217.1527660000011</v>
      </c>
      <c r="KL60" s="1526">
        <f t="shared" si="334"/>
        <v>-1105.4214147600003</v>
      </c>
      <c r="KM60" s="1526">
        <f t="shared" si="334"/>
        <v>2202.2154799599984</v>
      </c>
      <c r="KN60" s="1526">
        <f t="shared" si="334"/>
        <v>-2230.6793880399991</v>
      </c>
      <c r="KO60" s="1526">
        <f>+JN60-JI60</f>
        <v>-2008.20130685</v>
      </c>
      <c r="KQ60" s="1529">
        <f t="shared" ref="KQ60:KY60" si="335">+JA60/JA$11</f>
        <v>0.27800584950790702</v>
      </c>
      <c r="KR60" s="1529">
        <f t="shared" si="335"/>
        <v>0.26251274282504089</v>
      </c>
      <c r="KS60" s="1529">
        <f t="shared" si="335"/>
        <v>0.27261351093340946</v>
      </c>
      <c r="KT60" s="1529">
        <f t="shared" si="335"/>
        <v>-0.20978785505075059</v>
      </c>
      <c r="KU60" s="1529">
        <f t="shared" si="335"/>
        <v>-0.33729796766886666</v>
      </c>
      <c r="KV60" s="1529">
        <f t="shared" si="335"/>
        <v>0.23054731015192054</v>
      </c>
      <c r="KW60" s="1529">
        <f t="shared" si="335"/>
        <v>0.1439285073745423</v>
      </c>
      <c r="KX60" s="1529">
        <f t="shared" si="335"/>
        <v>0.19967076256992355</v>
      </c>
      <c r="KY60" s="1529">
        <f t="shared" si="335"/>
        <v>0.15912989317997117</v>
      </c>
      <c r="KZ60" s="1529" t="e">
        <f>+JN60/JN$11</f>
        <v>#DIV/0!</v>
      </c>
      <c r="LB60" s="1526">
        <f>+SUMIFS($E60:$EG60,$E$6:$EG$6,LB$7,$E$5:$EG$5,$LD$5)</f>
        <v>155.36372760999825</v>
      </c>
      <c r="LC60" s="1526">
        <f t="shared" ref="LC60:LM60" si="336">+SUMIFS($E60:$EG60,$E$6:$EG$6,LC$7,$E$5:$EG$5,$LD$5)</f>
        <v>2442.137900590008</v>
      </c>
      <c r="LD60" s="1526">
        <f t="shared" si="336"/>
        <v>-59.380278100001988</v>
      </c>
      <c r="LE60" s="1526">
        <f t="shared" si="336"/>
        <v>-1697.7313282</v>
      </c>
      <c r="LF60" s="1526">
        <f t="shared" si="336"/>
        <v>395.28956538000028</v>
      </c>
      <c r="LG60" s="1526">
        <f t="shared" si="336"/>
        <v>87.972332930000277</v>
      </c>
      <c r="LH60" s="1526">
        <f t="shared" si="336"/>
        <v>232.11366712999984</v>
      </c>
      <c r="LI60" s="1526">
        <f t="shared" si="336"/>
        <v>164.42237050999967</v>
      </c>
      <c r="LJ60" s="1526">
        <f t="shared" si="336"/>
        <v>152.48098350999987</v>
      </c>
      <c r="LK60" s="1526">
        <f t="shared" si="336"/>
        <v>446.69637108999962</v>
      </c>
      <c r="LL60" s="1526">
        <f t="shared" si="336"/>
        <v>38.737134939999805</v>
      </c>
      <c r="LM60" s="1526">
        <f t="shared" si="336"/>
        <v>38.737134939999805</v>
      </c>
      <c r="LN60" s="1526"/>
      <c r="LO60" s="1526"/>
      <c r="LR60" s="1529">
        <f t="shared" ref="LR60:LW60" si="337">+IFERROR(LD60/LC60-1," ")</f>
        <v>-1.024314875128737</v>
      </c>
      <c r="LS60" s="1529">
        <f t="shared" si="337"/>
        <v>27.590828175995746</v>
      </c>
      <c r="LT60" s="1529">
        <f t="shared" si="337"/>
        <v>-1.2328339937032919</v>
      </c>
      <c r="LU60" s="1529">
        <f t="shared" si="337"/>
        <v>-0.77744838054242438</v>
      </c>
      <c r="LV60" s="1529">
        <f t="shared" si="337"/>
        <v>1.6384848440326465</v>
      </c>
      <c r="LW60" s="1529">
        <f t="shared" si="337"/>
        <v>-0.29162994776213813</v>
      </c>
      <c r="LX60" s="1529">
        <f t="shared" ref="LX60:LX71" si="338">+IFERROR(LO60/LI60-1," ")</f>
        <v>-1</v>
      </c>
      <c r="LZ60" s="1526">
        <f t="shared" ref="LZ60:ME60" si="339">+LD60-LC60</f>
        <v>-2501.5181786900102</v>
      </c>
      <c r="MA60" s="1526">
        <f t="shared" si="339"/>
        <v>-1638.351050099998</v>
      </c>
      <c r="MB60" s="1526">
        <f t="shared" si="339"/>
        <v>2093.0208935800001</v>
      </c>
      <c r="MC60" s="1526">
        <f t="shared" si="339"/>
        <v>-307.31723245000001</v>
      </c>
      <c r="MD60" s="1526">
        <f t="shared" si="339"/>
        <v>144.14133419999956</v>
      </c>
      <c r="ME60" s="1526">
        <f t="shared" si="339"/>
        <v>-67.691296620000173</v>
      </c>
      <c r="MF60" s="1526">
        <f t="shared" ref="MF60:MF71" si="340">+LO60-LI60</f>
        <v>-164.42237050999967</v>
      </c>
      <c r="MH60" s="1529">
        <f t="shared" ref="MH60:MO60" si="341">+LB60/LB$11</f>
        <v>5.1799231742719914E-2</v>
      </c>
      <c r="MI60" s="1529">
        <f t="shared" si="341"/>
        <v>0.44292468671393326</v>
      </c>
      <c r="MJ60" s="1529">
        <f t="shared" si="341"/>
        <v>-1.1583802026513539E-2</v>
      </c>
      <c r="MK60" s="1529">
        <f t="shared" si="341"/>
        <v>-2.9207187165026349</v>
      </c>
      <c r="ML60" s="1529">
        <f t="shared" si="341"/>
        <v>0.26239643890061154</v>
      </c>
      <c r="MM60" s="1529">
        <f t="shared" si="341"/>
        <v>8.5519338635603001E-2</v>
      </c>
      <c r="MN60" s="1529">
        <f t="shared" si="341"/>
        <v>0.1492680245648734</v>
      </c>
      <c r="MO60" s="1529">
        <f t="shared" si="341"/>
        <v>8.7365960318532804E-2</v>
      </c>
      <c r="MP60" s="1529" t="e">
        <f>+LO60/LO$11</f>
        <v>#DIV/0!</v>
      </c>
    </row>
    <row r="61" spans="1:354">
      <c r="A61" s="884"/>
      <c r="B61" s="70"/>
      <c r="C61" s="943" t="s">
        <v>90</v>
      </c>
      <c r="D61" s="944" t="s">
        <v>35</v>
      </c>
      <c r="E61" s="945">
        <f t="shared" ref="E61:AN61" si="342">IFERROR(+E60/E$11,0)</f>
        <v>-1.4931609185755041</v>
      </c>
      <c r="F61" s="945">
        <f t="shared" si="342"/>
        <v>0.3765881819507067</v>
      </c>
      <c r="G61" s="945">
        <f t="shared" si="342"/>
        <v>0.16526910125555178</v>
      </c>
      <c r="H61" s="945">
        <f t="shared" si="342"/>
        <v>0.23547649399023499</v>
      </c>
      <c r="I61" s="945">
        <f t="shared" si="342"/>
        <v>0.42914980631955779</v>
      </c>
      <c r="J61" s="945">
        <f t="shared" si="342"/>
        <v>0.18824709402720022</v>
      </c>
      <c r="K61" s="945">
        <f t="shared" si="342"/>
        <v>0.25141833962809185</v>
      </c>
      <c r="L61" s="945">
        <f t="shared" si="342"/>
        <v>0.44318479689569706</v>
      </c>
      <c r="M61" s="945">
        <f t="shared" si="342"/>
        <v>0.43230340708517867</v>
      </c>
      <c r="N61" s="945">
        <f t="shared" si="342"/>
        <v>0.41047815758424139</v>
      </c>
      <c r="O61" s="945">
        <f t="shared" si="342"/>
        <v>0.42954000602961873</v>
      </c>
      <c r="P61" s="945">
        <f t="shared" si="342"/>
        <v>5.1799231742719914E-2</v>
      </c>
      <c r="Q61" s="945">
        <f t="shared" si="342"/>
        <v>-0.14308062848604552</v>
      </c>
      <c r="R61" s="945">
        <f t="shared" si="342"/>
        <v>0.40454294048448108</v>
      </c>
      <c r="S61" s="945">
        <f t="shared" si="342"/>
        <v>-4.6841537861624649E-2</v>
      </c>
      <c r="T61" s="945">
        <f t="shared" si="342"/>
        <v>-0.29435228440267724</v>
      </c>
      <c r="U61" s="945">
        <f t="shared" si="342"/>
        <v>0.39033599348147285</v>
      </c>
      <c r="V61" s="945">
        <f t="shared" si="342"/>
        <v>0.37501856272316414</v>
      </c>
      <c r="W61" s="945">
        <f t="shared" si="342"/>
        <v>0.24610099353564818</v>
      </c>
      <c r="X61" s="945">
        <f t="shared" si="342"/>
        <v>0.32019059633674263</v>
      </c>
      <c r="Y61" s="945">
        <f t="shared" si="342"/>
        <v>-0.4368546597384193</v>
      </c>
      <c r="Z61" s="945">
        <f t="shared" si="342"/>
        <v>6.9246108142120233E-2</v>
      </c>
      <c r="AA61" s="945">
        <f t="shared" si="342"/>
        <v>0.56493648113173955</v>
      </c>
      <c r="AB61" s="945">
        <f t="shared" si="342"/>
        <v>0.44292468671393326</v>
      </c>
      <c r="AC61" s="945">
        <f t="shared" si="342"/>
        <v>-0.2684482848510687</v>
      </c>
      <c r="AD61" s="945">
        <f t="shared" si="342"/>
        <v>0.46388668425083784</v>
      </c>
      <c r="AE61" s="945">
        <f t="shared" si="342"/>
        <v>0.18627323266726459</v>
      </c>
      <c r="AF61" s="945">
        <f t="shared" si="342"/>
        <v>0.32587481024146853</v>
      </c>
      <c r="AG61" s="945">
        <f t="shared" si="342"/>
        <v>0.25917670529163056</v>
      </c>
      <c r="AH61" s="945">
        <f t="shared" si="342"/>
        <v>0.21682833006225816</v>
      </c>
      <c r="AI61" s="945">
        <f t="shared" si="342"/>
        <v>0.15271900483626238</v>
      </c>
      <c r="AJ61" s="945">
        <f t="shared" si="342"/>
        <v>0.25551674749178438</v>
      </c>
      <c r="AK61" s="945">
        <f t="shared" si="342"/>
        <v>0.29462436449959256</v>
      </c>
      <c r="AL61" s="945">
        <f t="shared" si="342"/>
        <v>0.34457303468731426</v>
      </c>
      <c r="AM61" s="945">
        <f t="shared" si="342"/>
        <v>0.58236943414953424</v>
      </c>
      <c r="AN61" s="945">
        <f t="shared" si="342"/>
        <v>-1.1583802026513539E-2</v>
      </c>
      <c r="AO61" s="945">
        <f>IFERROR(+AO60/AO$11,0)</f>
        <v>0.4175548242141664</v>
      </c>
      <c r="AP61" s="945">
        <f t="shared" ref="AP61:DA61" si="343">IFERROR(+AP60/AP$11,0)</f>
        <v>-0.33572687213163832</v>
      </c>
      <c r="AQ61" s="945">
        <f t="shared" si="343"/>
        <v>-7.2036250682072492E-2</v>
      </c>
      <c r="AR61" s="945">
        <f t="shared" si="343"/>
        <v>-0.20966748364780469</v>
      </c>
      <c r="AS61" s="945">
        <f t="shared" si="343"/>
        <v>-0.99866138495430823</v>
      </c>
      <c r="AT61" s="945">
        <f t="shared" si="343"/>
        <v>-1.0024265737039391</v>
      </c>
      <c r="AU61" s="945">
        <f t="shared" si="343"/>
        <v>4.298690448643637E-2</v>
      </c>
      <c r="AV61" s="945">
        <f t="shared" si="343"/>
        <v>8.2374606301648778E-2</v>
      </c>
      <c r="AW61" s="945">
        <f t="shared" si="343"/>
        <v>6.5775973193511833E-2</v>
      </c>
      <c r="AX61" s="945">
        <f t="shared" si="343"/>
        <v>0.10771969216080095</v>
      </c>
      <c r="AY61" s="945">
        <f t="shared" si="343"/>
        <v>-0.50494248664055918</v>
      </c>
      <c r="AZ61" s="945">
        <f t="shared" si="343"/>
        <v>-2.9207187165026349</v>
      </c>
      <c r="BA61" s="945">
        <f t="shared" si="343"/>
        <v>-9.8308549117646971E-2</v>
      </c>
      <c r="BB61" s="945">
        <f t="shared" si="343"/>
        <v>-1.3383613418366374</v>
      </c>
      <c r="BC61" s="945">
        <f t="shared" si="343"/>
        <v>-2.6294841807689084</v>
      </c>
      <c r="BD61" s="945">
        <f t="shared" si="343"/>
        <v>-4.949948616204356</v>
      </c>
      <c r="BE61" s="945">
        <f t="shared" si="343"/>
        <v>-0.58036878917866386</v>
      </c>
      <c r="BF61" s="945">
        <f t="shared" si="343"/>
        <v>-1.7636610491476508</v>
      </c>
      <c r="BG61" s="945">
        <f t="shared" si="343"/>
        <v>-0.49535965908752638</v>
      </c>
      <c r="BH61" s="945">
        <f t="shared" si="343"/>
        <v>8.5193351691104022E-2</v>
      </c>
      <c r="BI61" s="945">
        <f t="shared" si="343"/>
        <v>-0.84937656368933057</v>
      </c>
      <c r="BJ61" s="945">
        <f t="shared" si="343"/>
        <v>-9.920970466483793E-2</v>
      </c>
      <c r="BK61" s="945">
        <f t="shared" si="343"/>
        <v>0.38501538908508348</v>
      </c>
      <c r="BL61" s="945">
        <f t="shared" si="343"/>
        <v>0.26239643890061154</v>
      </c>
      <c r="BM61" s="945">
        <f t="shared" si="343"/>
        <v>0.23971598564059879</v>
      </c>
      <c r="BN61" s="945">
        <f t="shared" si="343"/>
        <v>0.23390255360971021</v>
      </c>
      <c r="BO61" s="945">
        <f t="shared" si="343"/>
        <v>0.24530970940877073</v>
      </c>
      <c r="BP61" s="945">
        <f t="shared" si="343"/>
        <v>0.3376319951673199</v>
      </c>
      <c r="BQ61" s="945">
        <f t="shared" si="343"/>
        <v>0.10211201511054921</v>
      </c>
      <c r="BR61" s="945">
        <f t="shared" si="343"/>
        <v>0.21161326291958549</v>
      </c>
      <c r="BS61" s="945">
        <f t="shared" si="343"/>
        <v>0.18207605273045335</v>
      </c>
      <c r="BT61" s="945">
        <f t="shared" si="343"/>
        <v>0.21207417946221507</v>
      </c>
      <c r="BU61" s="945">
        <f t="shared" si="343"/>
        <v>0.17191021874101323</v>
      </c>
      <c r="BV61" s="945">
        <f t="shared" si="343"/>
        <v>0.32968772773079658</v>
      </c>
      <c r="BW61" s="945">
        <f t="shared" si="343"/>
        <v>0.31595138295580655</v>
      </c>
      <c r="BX61" s="945">
        <f t="shared" si="343"/>
        <v>8.5519338635603001E-2</v>
      </c>
      <c r="BY61" s="945">
        <f t="shared" si="343"/>
        <v>9.1003259786905349E-2</v>
      </c>
      <c r="BZ61" s="945">
        <f t="shared" si="343"/>
        <v>0.12350571622578881</v>
      </c>
      <c r="CA61" s="945">
        <f t="shared" si="343"/>
        <v>0.12745164362546332</v>
      </c>
      <c r="CB61" s="945">
        <f t="shared" si="343"/>
        <v>1.1312504668785467E-2</v>
      </c>
      <c r="CC61" s="945">
        <f t="shared" si="343"/>
        <v>-7.3807460543855938E-2</v>
      </c>
      <c r="CD61" s="945">
        <f t="shared" si="343"/>
        <v>7.0674836649346387E-2</v>
      </c>
      <c r="CE61" s="945">
        <f t="shared" si="343"/>
        <v>-4.2231575054381396E-2</v>
      </c>
      <c r="CF61" s="945">
        <f t="shared" si="343"/>
        <v>0.34751721773119754</v>
      </c>
      <c r="CG61" s="945">
        <f t="shared" si="343"/>
        <v>5.8276174030315979E-2</v>
      </c>
      <c r="CH61" s="945">
        <f t="shared" si="343"/>
        <v>0.15212270292389307</v>
      </c>
      <c r="CI61" s="945">
        <f t="shared" si="343"/>
        <v>0.32987806131750452</v>
      </c>
      <c r="CJ61" s="945">
        <f t="shared" si="343"/>
        <v>0.1492680245648734</v>
      </c>
      <c r="CK61" s="945">
        <f t="shared" si="343"/>
        <v>0.15228457852768007</v>
      </c>
      <c r="CL61" s="945">
        <f t="shared" si="343"/>
        <v>3.3133735792560029E-2</v>
      </c>
      <c r="CM61" s="945">
        <f t="shared" si="343"/>
        <v>0.28054439283986798</v>
      </c>
      <c r="CN61" s="945">
        <f t="shared" si="343"/>
        <v>0.15666478110121068</v>
      </c>
      <c r="CO61" s="945">
        <f t="shared" si="343"/>
        <v>0.28450942974766652</v>
      </c>
      <c r="CP61" s="945">
        <f t="shared" si="343"/>
        <v>0.10533867726664928</v>
      </c>
      <c r="CQ61" s="945">
        <f t="shared" si="343"/>
        <v>0.13482640156810599</v>
      </c>
      <c r="CR61" s="945">
        <f t="shared" si="343"/>
        <v>0.21060782131565034</v>
      </c>
      <c r="CS61" s="945">
        <f t="shared" si="343"/>
        <v>0.24815791432724782</v>
      </c>
      <c r="CT61" s="945">
        <f t="shared" si="343"/>
        <v>0.34359912394118591</v>
      </c>
      <c r="CU61" s="945">
        <f t="shared" si="343"/>
        <v>0.23766735677594497</v>
      </c>
      <c r="CV61" s="945">
        <f t="shared" si="343"/>
        <v>8.7365960318532804E-2</v>
      </c>
      <c r="CW61" s="945">
        <f t="shared" si="343"/>
        <v>0.23638722644616461</v>
      </c>
      <c r="CX61" s="945">
        <f t="shared" si="343"/>
        <v>0.15612491673570864</v>
      </c>
      <c r="CY61" s="945">
        <f t="shared" si="343"/>
        <v>0.36675944888085238</v>
      </c>
      <c r="CZ61" s="945">
        <f t="shared" si="343"/>
        <v>-0.20376994560606726</v>
      </c>
      <c r="DA61" s="945">
        <f t="shared" si="343"/>
        <v>8.2822794338679104E-2</v>
      </c>
      <c r="DB61" s="945">
        <f t="shared" ref="DB61:EF61" si="344">IFERROR(+DB60/DB$11,0)</f>
        <v>-0.54467003709761153</v>
      </c>
      <c r="DC61" s="945">
        <f t="shared" si="344"/>
        <v>-0.40584366302306557</v>
      </c>
      <c r="DD61" s="945">
        <f t="shared" si="344"/>
        <v>0.28302996314417506</v>
      </c>
      <c r="DE61" s="945">
        <f t="shared" si="344"/>
        <v>0.22539755375632467</v>
      </c>
      <c r="DF61" s="945">
        <f t="shared" si="344"/>
        <v>0.30658137387854789</v>
      </c>
      <c r="DG61" s="945">
        <f t="shared" si="344"/>
        <v>-4.9056244945810082E-2</v>
      </c>
      <c r="DH61" s="945">
        <f t="shared" si="344"/>
        <v>0.12804722740740374</v>
      </c>
      <c r="DI61" s="945">
        <f t="shared" si="344"/>
        <v>0.11351700981365549</v>
      </c>
      <c r="DJ61" s="945">
        <f t="shared" si="344"/>
        <v>-0.11721226588786889</v>
      </c>
      <c r="DK61" s="945">
        <f t="shared" si="344"/>
        <v>0.18882161887051294</v>
      </c>
      <c r="DL61" s="945">
        <f t="shared" si="344"/>
        <v>0.24270430557670813</v>
      </c>
      <c r="DM61" s="945">
        <f t="shared" si="344"/>
        <v>0.15521689255880489</v>
      </c>
      <c r="DN61" s="945">
        <f t="shared" si="344"/>
        <v>0.13131575824168518</v>
      </c>
      <c r="DO61" s="945">
        <f t="shared" si="344"/>
        <v>0.18107511939418619</v>
      </c>
      <c r="DP61" s="945">
        <f t="shared" si="344"/>
        <v>0.28901022386478681</v>
      </c>
      <c r="DQ61" s="945">
        <f t="shared" si="344"/>
        <v>0.22759045133144643</v>
      </c>
      <c r="DR61" s="945">
        <f t="shared" si="344"/>
        <v>0.26662622303088479</v>
      </c>
      <c r="DS61" s="945">
        <f t="shared" si="344"/>
        <v>0.18120272397807302</v>
      </c>
      <c r="DT61" s="945">
        <f t="shared" si="344"/>
        <v>0.23566631419525805</v>
      </c>
      <c r="DU61" s="945">
        <f t="shared" si="344"/>
        <v>0.21650945502562657</v>
      </c>
      <c r="DV61" s="945">
        <f t="shared" si="344"/>
        <v>-0.12775085995996671</v>
      </c>
      <c r="DW61" s="945">
        <f t="shared" si="344"/>
        <v>0.14233957114162579</v>
      </c>
      <c r="DX61" s="945">
        <f t="shared" si="344"/>
        <v>5.5429539137549624E-2</v>
      </c>
      <c r="DY61" s="945">
        <f t="shared" si="344"/>
        <v>0.11777037046302448</v>
      </c>
      <c r="DZ61" s="945">
        <f t="shared" si="344"/>
        <v>0.2219798196886433</v>
      </c>
      <c r="EA61" s="945">
        <f t="shared" si="344"/>
        <v>0.23343093530647252</v>
      </c>
      <c r="EB61" s="945">
        <f t="shared" si="344"/>
        <v>0.25299142874153835</v>
      </c>
      <c r="EC61" s="945">
        <f t="shared" si="344"/>
        <v>0.27131456029817713</v>
      </c>
      <c r="ED61" s="945">
        <f t="shared" si="344"/>
        <v>0.36509327870502617</v>
      </c>
      <c r="EE61" s="945">
        <f t="shared" si="344"/>
        <v>0.28736593454611281</v>
      </c>
      <c r="EF61" s="945">
        <f t="shared" si="344"/>
        <v>9.4438239380267089E-3</v>
      </c>
      <c r="EH61" s="945">
        <f t="shared" ref="EH61:ES61" si="345">IFERROR(+EH60/EH$11,0)</f>
        <v>0.23638722644616461</v>
      </c>
      <c r="EI61" s="945">
        <f t="shared" si="345"/>
        <v>0.15612853972738161</v>
      </c>
      <c r="EJ61" s="945">
        <f t="shared" si="345"/>
        <v>0.36675944888085216</v>
      </c>
      <c r="EK61" s="945">
        <f t="shared" si="345"/>
        <v>-0.20376994560606745</v>
      </c>
      <c r="EL61" s="945">
        <f t="shared" si="345"/>
        <v>8.2822794338678979E-2</v>
      </c>
      <c r="EM61" s="945">
        <f t="shared" si="345"/>
        <v>-0.5446700370976113</v>
      </c>
      <c r="EN61" s="945">
        <f t="shared" si="345"/>
        <v>-0.32428888730693012</v>
      </c>
      <c r="EO61" s="945">
        <f t="shared" si="345"/>
        <v>0.15688950011208447</v>
      </c>
      <c r="EP61" s="945">
        <f t="shared" si="345"/>
        <v>7.2448811024052012E-2</v>
      </c>
      <c r="EQ61" s="945">
        <f t="shared" si="345"/>
        <v>-0.16998930393557052</v>
      </c>
      <c r="ER61" s="945">
        <f t="shared" si="345"/>
        <v>-0.25399985549461473</v>
      </c>
      <c r="ES61" s="945">
        <f t="shared" si="345"/>
        <v>-0.26490475978738565</v>
      </c>
      <c r="EU61" s="945">
        <v>0.21928142279407264</v>
      </c>
      <c r="EV61" s="945">
        <v>-0.23998306074368458</v>
      </c>
      <c r="EW61" s="945">
        <v>-0.1318805910082356</v>
      </c>
      <c r="EX61" s="945">
        <v>0.26156610453721241</v>
      </c>
      <c r="EY61" s="945">
        <v>0.16548446867860936</v>
      </c>
      <c r="EZ61" s="945">
        <v>0.22970964570319211</v>
      </c>
      <c r="FA61" s="945">
        <v>0.38004010215195716</v>
      </c>
      <c r="FB61" s="945">
        <v>0.48525069592304604</v>
      </c>
      <c r="FC61" s="945">
        <v>0.38951201035943328</v>
      </c>
      <c r="FD61" s="945">
        <v>0.4160431956982053</v>
      </c>
      <c r="FE61" s="945">
        <v>0.40158582885045407</v>
      </c>
      <c r="FF61" s="945">
        <v>0.26622497537082723</v>
      </c>
      <c r="FG61" s="945">
        <f t="shared" ref="FG61:GC61" si="346">IFERROR(+FG60/FG$11,0)</f>
        <v>-0.34713756359372649</v>
      </c>
      <c r="FH61" s="945">
        <f t="shared" si="346"/>
        <v>-4.508845778844691E-2</v>
      </c>
      <c r="FI61" s="945">
        <f t="shared" si="346"/>
        <v>-2.7917287220198029E-2</v>
      </c>
      <c r="FJ61" s="945">
        <f t="shared" si="346"/>
        <v>-9.7463354224628138E-2</v>
      </c>
      <c r="FK61" s="945">
        <f t="shared" si="346"/>
        <v>9.731790615805877E-2</v>
      </c>
      <c r="FL61" s="945">
        <f t="shared" si="346"/>
        <v>0.20809254185685744</v>
      </c>
      <c r="FM61" s="945">
        <f t="shared" si="346"/>
        <v>0.23573228150042361</v>
      </c>
      <c r="FN61" s="945">
        <f t="shared" si="346"/>
        <v>0.26346455370393279</v>
      </c>
      <c r="FO61" s="945">
        <f t="shared" si="346"/>
        <v>0.23916305405990204</v>
      </c>
      <c r="FP61" s="945">
        <f t="shared" si="346"/>
        <v>0.27046302942872924</v>
      </c>
      <c r="FQ61" s="945">
        <f t="shared" si="346"/>
        <v>0.23139551791465707</v>
      </c>
      <c r="FR61" s="945">
        <f t="shared" si="346"/>
        <v>0.14733409183544499</v>
      </c>
      <c r="FS61" s="945">
        <f t="shared" si="346"/>
        <v>0.14115652162180098</v>
      </c>
      <c r="FT61" s="945">
        <f t="shared" si="346"/>
        <v>0.29995393868321069</v>
      </c>
      <c r="FU61" s="945">
        <f t="shared" si="346"/>
        <v>0.29722543668069024</v>
      </c>
      <c r="FV61" s="945">
        <f t="shared" si="346"/>
        <v>0.28507913613507174</v>
      </c>
      <c r="FW61" s="945">
        <f t="shared" si="346"/>
        <v>0.28335611003999583</v>
      </c>
      <c r="FX61" s="945">
        <f t="shared" si="346"/>
        <v>0.29454748608883591</v>
      </c>
      <c r="FY61" s="945">
        <f t="shared" si="346"/>
        <v>0.28452470878687658</v>
      </c>
      <c r="FZ61" s="945">
        <f t="shared" si="346"/>
        <v>0.13922721995709414</v>
      </c>
      <c r="GA61" s="945">
        <f t="shared" si="346"/>
        <v>-1.1319297289936166E-2</v>
      </c>
      <c r="GB61" s="945">
        <f t="shared" si="346"/>
        <v>-0.18668504812917769</v>
      </c>
      <c r="GC61" s="945">
        <f t="shared" si="346"/>
        <v>-4.9950867826343288E-2</v>
      </c>
      <c r="GD61" s="947">
        <f t="shared" ref="GD61:HB61" si="347">+IFERROR(GD60/GD$11,"")</f>
        <v>-0.17279358618096749</v>
      </c>
      <c r="GE61" s="947">
        <f t="shared" si="347"/>
        <v>0.14278671775263013</v>
      </c>
      <c r="GF61" s="947">
        <f t="shared" si="347"/>
        <v>8.3642268976457296E-2</v>
      </c>
      <c r="GG61" s="947">
        <f t="shared" si="347"/>
        <v>4.4758183555129442E-2</v>
      </c>
      <c r="GH61" s="947">
        <f t="shared" si="347"/>
        <v>-3.1707498721820639E-2</v>
      </c>
      <c r="GI61" s="947">
        <f t="shared" si="347"/>
        <v>7.4641351506044687E-2</v>
      </c>
      <c r="GJ61" s="947">
        <f t="shared" si="347"/>
        <v>7.5551333483766955E-2</v>
      </c>
      <c r="GK61" s="947">
        <f t="shared" si="347"/>
        <v>0.11324845106113925</v>
      </c>
      <c r="GL61" s="947">
        <f t="shared" si="347"/>
        <v>0.12703864851911403</v>
      </c>
      <c r="GM61" s="947">
        <f t="shared" si="347"/>
        <v>0.14372368363521351</v>
      </c>
      <c r="GN61" s="947">
        <f t="shared" si="347"/>
        <v>0.2031544822045705</v>
      </c>
      <c r="GO61" s="947">
        <f t="shared" si="347"/>
        <v>0.22608357913382909</v>
      </c>
      <c r="GP61" s="947">
        <f t="shared" si="347"/>
        <v>0.19926881972912397</v>
      </c>
      <c r="GQ61" s="947">
        <f t="shared" si="347"/>
        <v>0.14278671775263013</v>
      </c>
      <c r="GR61" s="947">
        <f t="shared" si="347"/>
        <v>8.3642268976457296E-2</v>
      </c>
      <c r="GS61" s="947">
        <f t="shared" si="347"/>
        <v>4.4758183555129442E-2</v>
      </c>
      <c r="GT61" s="947">
        <f t="shared" si="347"/>
        <v>-3.1707498721820639E-2</v>
      </c>
      <c r="GU61" s="947">
        <f t="shared" si="347"/>
        <v>7.4641351506044687E-2</v>
      </c>
      <c r="GV61" s="947">
        <f t="shared" si="347"/>
        <v>7.5551333483766955E-2</v>
      </c>
      <c r="GW61" s="947">
        <f t="shared" si="347"/>
        <v>0.11324845106113925</v>
      </c>
      <c r="GX61" s="947">
        <f t="shared" si="347"/>
        <v>0.12703864851911403</v>
      </c>
      <c r="GY61" s="947">
        <f t="shared" si="347"/>
        <v>0.14372368363521351</v>
      </c>
      <c r="GZ61" s="947">
        <f t="shared" si="347"/>
        <v>0.2031544822045705</v>
      </c>
      <c r="HA61" s="947">
        <f t="shared" si="347"/>
        <v>0.22608357913382909</v>
      </c>
      <c r="HB61" s="947">
        <f t="shared" si="347"/>
        <v>0.19926881972912397</v>
      </c>
      <c r="HD61" s="947">
        <f t="shared" ref="HD61:HN61" si="348">+IFERROR(HD60/HD$11,"")</f>
        <v>0.27800584950790702</v>
      </c>
      <c r="HE61" s="947">
        <f t="shared" si="348"/>
        <v>0.26251274282504089</v>
      </c>
      <c r="HF61" s="947">
        <f t="shared" si="348"/>
        <v>0.27261351093340946</v>
      </c>
      <c r="HG61" s="947">
        <f t="shared" si="348"/>
        <v>-0.20978785505075059</v>
      </c>
      <c r="HH61" s="947">
        <f t="shared" si="348"/>
        <v>-0.33729796766886666</v>
      </c>
      <c r="HI61" s="947">
        <f t="shared" si="348"/>
        <v>0.23054731015192054</v>
      </c>
      <c r="HJ61" s="947">
        <f t="shared" si="348"/>
        <v>0.1439285073745423</v>
      </c>
      <c r="HK61" s="947">
        <f t="shared" si="348"/>
        <v>0.19967076256992355</v>
      </c>
      <c r="HL61" s="947">
        <f t="shared" si="348"/>
        <v>0.15912989317997117</v>
      </c>
      <c r="HM61" s="947">
        <f t="shared" si="348"/>
        <v>0.19064667329948054</v>
      </c>
      <c r="HN61" s="947">
        <f t="shared" si="348"/>
        <v>0.19506207763927869</v>
      </c>
      <c r="HO61" s="947"/>
      <c r="HP61" s="947"/>
      <c r="HR61" s="947">
        <f t="shared" si="330"/>
        <v>3.8477248760074634E-2</v>
      </c>
      <c r="HS61" s="947">
        <f t="shared" si="330"/>
        <v>-1.7695431320790072</v>
      </c>
      <c r="HT61" s="947">
        <f t="shared" si="330"/>
        <v>0.60780502564016214</v>
      </c>
      <c r="HU61" s="947">
        <f t="shared" si="330"/>
        <v>-1.6835123014386326</v>
      </c>
      <c r="HV61" s="947">
        <f t="shared" si="330"/>
        <v>-0.37570944861729361</v>
      </c>
      <c r="HW61" s="947">
        <f t="shared" si="330"/>
        <v>0.38729127545472486</v>
      </c>
      <c r="HX61" s="947">
        <f t="shared" si="330"/>
        <v>-0.20303858646182715</v>
      </c>
      <c r="HY61" s="947">
        <f t="shared" si="330"/>
        <v>0.19805694260012374</v>
      </c>
      <c r="HZ61" s="947">
        <f t="shared" si="330"/>
        <v>2.3160143648885745E-2</v>
      </c>
      <c r="IA61" s="947">
        <f t="shared" si="305"/>
        <v>-1</v>
      </c>
      <c r="IB61" s="947" t="str">
        <f>+IFERROR(HP61/HO61-1,"")</f>
        <v/>
      </c>
      <c r="IC61" s="947">
        <f t="shared" si="306"/>
        <v>-1</v>
      </c>
      <c r="IE61" s="947">
        <f>+IFERROR(HF61-HE61,"")</f>
        <v>1.0100768108368574E-2</v>
      </c>
      <c r="IF61" s="947">
        <f>+IFERROR(HG61-HF61,"")</f>
        <v>-0.48240136598416006</v>
      </c>
      <c r="IG61" s="947">
        <f>+IFERROR(HH61-HG61,"")</f>
        <v>-0.12751011261811607</v>
      </c>
      <c r="IH61" s="947">
        <f>+IFERROR(HI61-HH61,"")</f>
        <v>0.5678452778207872</v>
      </c>
      <c r="II61" s="947">
        <f t="shared" si="322"/>
        <v>-8.661880277737824E-2</v>
      </c>
      <c r="IJ61" s="947">
        <f t="shared" si="323"/>
        <v>5.5742255195381257E-2</v>
      </c>
      <c r="IK61" s="947">
        <f t="shared" si="324"/>
        <v>-4.0540869389952383E-2</v>
      </c>
      <c r="IL61" s="947">
        <f t="shared" si="307"/>
        <v>-0.15912989317997117</v>
      </c>
      <c r="IM61" s="947">
        <f>+IFERROR(HP61-HO61,"")</f>
        <v>0</v>
      </c>
      <c r="IN61" s="947">
        <f t="shared" si="308"/>
        <v>-0.15912989317997117</v>
      </c>
      <c r="IP61" s="945"/>
      <c r="IQ61" s="945"/>
      <c r="IR61" s="945"/>
      <c r="IS61" s="945"/>
      <c r="IT61" s="945"/>
      <c r="IU61" s="945"/>
      <c r="IV61" s="945"/>
      <c r="IW61" s="945"/>
      <c r="IX61" s="945"/>
      <c r="IY61" s="945"/>
      <c r="JA61" s="947">
        <f t="shared" ref="JA61" si="349">+JA60/JA$11</f>
        <v>0.27800584950790702</v>
      </c>
      <c r="JB61" s="947">
        <f t="shared" ref="JB61:JK61" si="350">+JB60/JB$11</f>
        <v>0.26251274282504089</v>
      </c>
      <c r="JC61" s="947">
        <f t="shared" si="350"/>
        <v>0.27261351093340946</v>
      </c>
      <c r="JD61" s="947">
        <f t="shared" si="350"/>
        <v>-0.20978785505075059</v>
      </c>
      <c r="JE61" s="947">
        <f t="shared" si="350"/>
        <v>-0.33729796766886666</v>
      </c>
      <c r="JF61" s="947">
        <f t="shared" si="350"/>
        <v>0.23054731015192054</v>
      </c>
      <c r="JG61" s="947">
        <f t="shared" si="350"/>
        <v>0.1439285073745423</v>
      </c>
      <c r="JH61" s="947">
        <f t="shared" si="350"/>
        <v>0.19967076256992355</v>
      </c>
      <c r="JI61" s="947">
        <f t="shared" si="350"/>
        <v>0.15912989317997117</v>
      </c>
      <c r="JJ61" s="947">
        <f t="shared" si="350"/>
        <v>0.19064667329948054</v>
      </c>
      <c r="JK61" s="947">
        <f t="shared" si="350"/>
        <v>0.19506207763927869</v>
      </c>
      <c r="JL61" s="947">
        <f>+JL60/JL11</f>
        <v>0.19506207763927869</v>
      </c>
      <c r="JM61" s="947"/>
      <c r="JN61" s="947"/>
      <c r="JP61" s="945">
        <f>+JL61</f>
        <v>0.19506207763927869</v>
      </c>
      <c r="JQ61" s="945">
        <f>IFERROR(+JQ60/JQ$11,0)</f>
        <v>0</v>
      </c>
      <c r="JR61" s="946"/>
      <c r="JS61" s="947" t="str">
        <f>+IFERROR(JP61/JQ61,"")</f>
        <v/>
      </c>
      <c r="JT61" s="945">
        <f>+IFERROR(JP61-JQ61,"NA")</f>
        <v>0.19506207763927869</v>
      </c>
      <c r="JV61" s="945"/>
      <c r="JW61" s="945"/>
      <c r="JY61" s="945"/>
      <c r="JZ61" s="945"/>
      <c r="KA61" s="945"/>
      <c r="KB61" s="945"/>
      <c r="KC61" s="945"/>
      <c r="KD61" s="945"/>
      <c r="KE61" s="945"/>
      <c r="KF61" s="945"/>
      <c r="KH61" s="945"/>
      <c r="KI61" s="945"/>
      <c r="KJ61" s="945"/>
      <c r="KK61" s="945"/>
      <c r="KL61" s="945"/>
      <c r="KM61" s="945"/>
      <c r="KN61" s="945"/>
      <c r="KO61" s="945"/>
      <c r="KQ61" s="945"/>
      <c r="KR61" s="945"/>
      <c r="KS61" s="945"/>
      <c r="KT61" s="945"/>
      <c r="KU61" s="945"/>
      <c r="KV61" s="945"/>
      <c r="KW61" s="945"/>
      <c r="KX61" s="945"/>
      <c r="KY61" s="945"/>
      <c r="KZ61" s="945"/>
      <c r="LB61" s="945">
        <f>LB60/LB$11</f>
        <v>5.1799231742719914E-2</v>
      </c>
      <c r="LC61" s="945">
        <f t="shared" ref="LC61:LM61" si="351">LC60/LC$11</f>
        <v>0.44292468671393326</v>
      </c>
      <c r="LD61" s="945">
        <f t="shared" si="351"/>
        <v>-1.1583802026513539E-2</v>
      </c>
      <c r="LE61" s="945">
        <f t="shared" si="351"/>
        <v>-2.9207187165026349</v>
      </c>
      <c r="LF61" s="945">
        <f t="shared" si="351"/>
        <v>0.26239643890061154</v>
      </c>
      <c r="LG61" s="945">
        <f t="shared" si="351"/>
        <v>8.5519338635603001E-2</v>
      </c>
      <c r="LH61" s="945">
        <f t="shared" si="351"/>
        <v>0.1492680245648734</v>
      </c>
      <c r="LI61" s="945">
        <f t="shared" si="351"/>
        <v>8.7365960318532804E-2</v>
      </c>
      <c r="LJ61" s="945">
        <f t="shared" si="351"/>
        <v>0.12804722740740374</v>
      </c>
      <c r="LK61" s="945">
        <f t="shared" si="351"/>
        <v>0.23566631419525805</v>
      </c>
      <c r="LL61" s="945">
        <f t="shared" si="351"/>
        <v>9.4438239380267089E-3</v>
      </c>
      <c r="LM61" s="945">
        <f t="shared" si="351"/>
        <v>9.4438239380267089E-3</v>
      </c>
      <c r="LN61" s="945"/>
      <c r="LO61" s="945"/>
      <c r="LR61" s="945"/>
      <c r="LS61" s="945"/>
      <c r="LT61" s="945"/>
      <c r="LU61" s="945"/>
      <c r="LV61" s="945"/>
      <c r="LW61" s="945"/>
      <c r="LX61" s="945">
        <f t="shared" si="338"/>
        <v>-1</v>
      </c>
      <c r="LZ61" s="945"/>
      <c r="MA61" s="945"/>
      <c r="MB61" s="945"/>
      <c r="MC61" s="945"/>
      <c r="MD61" s="945"/>
      <c r="ME61" s="945"/>
      <c r="MF61" s="945">
        <f t="shared" si="340"/>
        <v>-8.7365960318532804E-2</v>
      </c>
      <c r="MH61" s="945"/>
      <c r="MI61" s="945"/>
      <c r="MJ61" s="945"/>
      <c r="MK61" s="945"/>
      <c r="ML61" s="945"/>
      <c r="MM61" s="945"/>
      <c r="MN61" s="945"/>
      <c r="MO61" s="945"/>
      <c r="MP61" s="945"/>
    </row>
    <row r="62" spans="1:354">
      <c r="A62" s="884"/>
      <c r="B62" s="70"/>
      <c r="E62" s="66"/>
      <c r="F62" s="66"/>
      <c r="G62" s="66"/>
      <c r="H62" s="66"/>
      <c r="I62" s="66"/>
      <c r="J62" s="66"/>
      <c r="K62" s="66"/>
      <c r="L62" s="66"/>
      <c r="M62" s="66"/>
      <c r="N62" s="66"/>
      <c r="O62" s="66"/>
      <c r="P62" s="66"/>
      <c r="Q62" s="102"/>
      <c r="R62" s="66"/>
      <c r="S62" s="66"/>
      <c r="T62" s="66"/>
      <c r="U62" s="66"/>
      <c r="V62" s="66"/>
      <c r="W62" s="66"/>
      <c r="X62" s="66"/>
      <c r="Y62" s="66"/>
      <c r="Z62" s="66"/>
      <c r="AA62" s="66"/>
      <c r="AB62" s="66"/>
      <c r="AC62" s="102"/>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873"/>
      <c r="DR62" s="873"/>
      <c r="DS62" s="873"/>
      <c r="DT62" s="873"/>
      <c r="DU62" s="873"/>
      <c r="DV62" s="873"/>
      <c r="DW62" s="873"/>
      <c r="DX62" s="873"/>
      <c r="DY62" s="873"/>
      <c r="DZ62" s="873"/>
      <c r="EA62" s="873"/>
      <c r="EB62" s="873"/>
      <c r="EC62" s="873"/>
      <c r="ED62" s="873"/>
      <c r="EE62" s="873"/>
      <c r="EF62" s="873"/>
      <c r="EH62" s="66"/>
      <c r="EI62" s="66"/>
      <c r="EJ62" s="66"/>
      <c r="EK62" s="66"/>
      <c r="EL62" s="66"/>
      <c r="EM62" s="66"/>
      <c r="EN62" s="66"/>
      <c r="EO62" s="66"/>
      <c r="EP62" s="66"/>
      <c r="EQ62" s="66"/>
      <c r="ER62" s="66"/>
      <c r="ES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D62" s="66"/>
      <c r="HE62" s="66"/>
      <c r="HF62" s="66"/>
      <c r="HG62" s="66"/>
      <c r="HH62" s="66"/>
      <c r="HI62" s="66"/>
      <c r="HJ62" s="66"/>
      <c r="HK62" s="66"/>
      <c r="HO62" s="66"/>
      <c r="HP62" s="66"/>
      <c r="HR62" s="50"/>
      <c r="HS62" s="50"/>
      <c r="HT62" s="50"/>
      <c r="HU62" s="922"/>
      <c r="HV62" s="922"/>
      <c r="HW62" s="922"/>
      <c r="HX62" s="922"/>
      <c r="HY62" s="922"/>
      <c r="HZ62" s="922"/>
      <c r="IA62" s="922" t="str">
        <f t="shared" si="305"/>
        <v/>
      </c>
      <c r="IB62" s="50"/>
      <c r="IC62" s="922" t="str">
        <f t="shared" si="306"/>
        <v/>
      </c>
      <c r="IE62" s="66"/>
      <c r="IF62" s="66"/>
      <c r="IG62" s="66"/>
      <c r="IH62" s="66"/>
      <c r="II62" s="66">
        <f t="shared" si="322"/>
        <v>0</v>
      </c>
      <c r="IJ62" s="66">
        <f t="shared" si="323"/>
        <v>0</v>
      </c>
      <c r="IK62" s="66">
        <f t="shared" si="324"/>
        <v>0</v>
      </c>
      <c r="IL62" s="66">
        <f t="shared" si="307"/>
        <v>0</v>
      </c>
      <c r="IM62" s="66"/>
      <c r="IN62" s="66">
        <f t="shared" si="308"/>
        <v>0</v>
      </c>
      <c r="IP62" s="50"/>
      <c r="IQ62" s="50"/>
      <c r="IR62" s="50"/>
      <c r="IS62" s="50"/>
      <c r="IT62" s="50"/>
      <c r="IU62" s="50"/>
      <c r="IV62" s="50"/>
      <c r="IW62" s="50"/>
      <c r="IX62" s="50"/>
      <c r="IY62" s="50"/>
      <c r="JA62" s="66"/>
      <c r="JB62" s="66"/>
      <c r="JC62" s="66"/>
      <c r="JD62" s="66"/>
      <c r="JE62" s="66"/>
      <c r="JF62" s="66"/>
      <c r="JG62" s="66"/>
      <c r="JH62" s="66"/>
      <c r="JI62" s="66"/>
      <c r="JJ62" s="66"/>
      <c r="JK62" s="66"/>
      <c r="JL62" s="1187"/>
      <c r="JM62" s="66"/>
      <c r="JN62" s="66"/>
      <c r="JO62" s="1184"/>
      <c r="JP62" s="66"/>
      <c r="JQ62" s="66"/>
      <c r="JR62" s="88"/>
      <c r="JS62" s="50"/>
      <c r="JT62" s="66"/>
      <c r="JV62" s="50"/>
      <c r="JW62" s="50"/>
      <c r="JY62" s="50"/>
      <c r="JZ62" s="50"/>
      <c r="KA62" s="50"/>
      <c r="KB62" s="50"/>
      <c r="KC62" s="50"/>
      <c r="KD62" s="50"/>
      <c r="KE62" s="50"/>
      <c r="KF62" s="50"/>
      <c r="KH62" s="66"/>
      <c r="KI62" s="66"/>
      <c r="KJ62" s="66"/>
      <c r="KK62" s="66"/>
      <c r="KL62" s="66"/>
      <c r="KM62" s="66"/>
      <c r="KN62" s="66"/>
      <c r="KO62" s="66"/>
      <c r="KQ62" s="50"/>
      <c r="KR62" s="50"/>
      <c r="KS62" s="50"/>
      <c r="KT62" s="50"/>
      <c r="KU62" s="50"/>
      <c r="KV62" s="50"/>
      <c r="KW62" s="50"/>
      <c r="KX62" s="50"/>
      <c r="KY62" s="50"/>
      <c r="KZ62" s="50"/>
      <c r="LB62" s="50"/>
      <c r="LC62" s="50"/>
      <c r="LD62" s="50"/>
      <c r="LE62" s="50"/>
      <c r="LF62" s="50"/>
      <c r="LG62" s="50"/>
      <c r="LH62" s="50"/>
      <c r="LI62" s="50"/>
      <c r="LJ62" s="50"/>
      <c r="LK62" s="50"/>
      <c r="LL62" s="50"/>
      <c r="LM62" s="50"/>
      <c r="LN62" s="50"/>
      <c r="LO62" s="50"/>
      <c r="LR62" s="50"/>
      <c r="LS62" s="50"/>
      <c r="LT62" s="50"/>
      <c r="LU62" s="50"/>
      <c r="LV62" s="50"/>
      <c r="LW62" s="50"/>
      <c r="LX62" s="50" t="str">
        <f t="shared" si="338"/>
        <v xml:space="preserve"> </v>
      </c>
      <c r="LZ62" s="66"/>
      <c r="MA62" s="66"/>
      <c r="MB62" s="66"/>
      <c r="MC62" s="66"/>
      <c r="MD62" s="66"/>
      <c r="ME62" s="66"/>
      <c r="MF62" s="66">
        <f t="shared" si="340"/>
        <v>0</v>
      </c>
      <c r="MH62" s="50"/>
      <c r="MI62" s="50"/>
      <c r="MJ62" s="50"/>
      <c r="MK62" s="50"/>
      <c r="ML62" s="50"/>
      <c r="MM62" s="50"/>
      <c r="MN62" s="50"/>
      <c r="MO62" s="50"/>
      <c r="MP62" s="50"/>
    </row>
    <row r="63" spans="1:354">
      <c r="A63" s="884"/>
      <c r="B63" s="70"/>
      <c r="C63" s="185" t="s">
        <v>649</v>
      </c>
      <c r="D63" s="953" t="s">
        <v>59</v>
      </c>
      <c r="E63" s="933">
        <f t="shared" ref="E63:BJ63" si="352">+E64+E67</f>
        <v>-53.279629940000007</v>
      </c>
      <c r="F63" s="933">
        <f t="shared" si="352"/>
        <v>-67.748268370000005</v>
      </c>
      <c r="G63" s="933">
        <f t="shared" si="352"/>
        <v>-86.750514690000017</v>
      </c>
      <c r="H63" s="933">
        <f t="shared" si="352"/>
        <v>-69.512077449999992</v>
      </c>
      <c r="I63" s="933">
        <f t="shared" si="352"/>
        <v>-63.76192542999997</v>
      </c>
      <c r="J63" s="933">
        <f t="shared" si="352"/>
        <v>-70.423489600000011</v>
      </c>
      <c r="K63" s="933">
        <f t="shared" si="352"/>
        <v>-55.574052599999987</v>
      </c>
      <c r="L63" s="933">
        <f t="shared" si="352"/>
        <v>-109.69250660000002</v>
      </c>
      <c r="M63" s="933">
        <f t="shared" si="352"/>
        <v>-7.1134315999999878</v>
      </c>
      <c r="N63" s="933">
        <f t="shared" si="352"/>
        <v>-102.67171960000006</v>
      </c>
      <c r="O63" s="933">
        <f t="shared" si="352"/>
        <v>-60.270819089999961</v>
      </c>
      <c r="P63" s="933">
        <f t="shared" si="352"/>
        <v>-69.693883370000009</v>
      </c>
      <c r="Q63" s="933">
        <f t="shared" si="352"/>
        <v>-99.521728339999996</v>
      </c>
      <c r="R63" s="933">
        <f t="shared" si="352"/>
        <v>-81.107307720000009</v>
      </c>
      <c r="S63" s="933">
        <f t="shared" si="352"/>
        <v>-79.969570720000007</v>
      </c>
      <c r="T63" s="933">
        <f t="shared" si="352"/>
        <v>-78.631340120000004</v>
      </c>
      <c r="U63" s="933">
        <f t="shared" si="352"/>
        <v>-83.955766479999966</v>
      </c>
      <c r="V63" s="933">
        <f t="shared" si="352"/>
        <v>-75.113889589999971</v>
      </c>
      <c r="W63" s="933">
        <f t="shared" si="352"/>
        <v>-74.99743821000007</v>
      </c>
      <c r="X63" s="933">
        <f t="shared" si="352"/>
        <v>-80.224691670000027</v>
      </c>
      <c r="Y63" s="933">
        <f t="shared" si="352"/>
        <v>-73.244267939999986</v>
      </c>
      <c r="Z63" s="933">
        <f t="shared" si="352"/>
        <v>-76.081755060000006</v>
      </c>
      <c r="AA63" s="933">
        <f t="shared" si="352"/>
        <v>-179.17050670999987</v>
      </c>
      <c r="AB63" s="933">
        <f t="shared" si="352"/>
        <v>-116.9649122400001</v>
      </c>
      <c r="AC63" s="933">
        <f t="shared" si="352"/>
        <v>-74.672651930000001</v>
      </c>
      <c r="AD63" s="933">
        <f t="shared" si="352"/>
        <v>-75.165902930000001</v>
      </c>
      <c r="AE63" s="933">
        <f t="shared" si="352"/>
        <v>-74.844928890000006</v>
      </c>
      <c r="AF63" s="933">
        <f t="shared" si="352"/>
        <v>-74.912956129999998</v>
      </c>
      <c r="AG63" s="933">
        <f t="shared" si="352"/>
        <v>-68.260911929999992</v>
      </c>
      <c r="AH63" s="933">
        <f t="shared" si="352"/>
        <v>-79.428797930000002</v>
      </c>
      <c r="AI63" s="933">
        <f t="shared" si="352"/>
        <v>-74.701113929999991</v>
      </c>
      <c r="AJ63" s="933">
        <f t="shared" si="352"/>
        <v>-78.553022889999994</v>
      </c>
      <c r="AK63" s="933">
        <f t="shared" si="352"/>
        <v>-83.59315792999999</v>
      </c>
      <c r="AL63" s="933">
        <f t="shared" si="352"/>
        <v>-69.446449430000001</v>
      </c>
      <c r="AM63" s="933">
        <f t="shared" si="352"/>
        <v>-72.925533630000004</v>
      </c>
      <c r="AN63" s="933">
        <f t="shared" si="352"/>
        <v>-119.61533642000002</v>
      </c>
      <c r="AO63" s="933">
        <f t="shared" si="352"/>
        <v>-77.871058079999997</v>
      </c>
      <c r="AP63" s="933">
        <f t="shared" si="352"/>
        <v>-76.542095219999993</v>
      </c>
      <c r="AQ63" s="933">
        <f t="shared" si="352"/>
        <v>-76.402631219999989</v>
      </c>
      <c r="AR63" s="933">
        <f t="shared" si="352"/>
        <v>-73.397706629999988</v>
      </c>
      <c r="AS63" s="933">
        <f t="shared" si="352"/>
        <v>-39.56583887</v>
      </c>
      <c r="AT63" s="933">
        <f t="shared" si="352"/>
        <v>-117.55598293</v>
      </c>
      <c r="AU63" s="933">
        <f t="shared" si="352"/>
        <v>-115.16597830999999</v>
      </c>
      <c r="AV63" s="933">
        <f t="shared" si="352"/>
        <v>-104.65718071000001</v>
      </c>
      <c r="AW63" s="933">
        <f t="shared" si="352"/>
        <v>-152.42973889999999</v>
      </c>
      <c r="AX63" s="933">
        <f t="shared" si="352"/>
        <v>-92.57812822999999</v>
      </c>
      <c r="AY63" s="933">
        <f t="shared" si="352"/>
        <v>-72.867742639999918</v>
      </c>
      <c r="AZ63" s="933">
        <f t="shared" si="352"/>
        <v>-322.45418089999998</v>
      </c>
      <c r="BA63" s="933">
        <f t="shared" si="352"/>
        <v>105.87367812000001</v>
      </c>
      <c r="BB63" s="933">
        <f t="shared" si="352"/>
        <v>-120.70442298</v>
      </c>
      <c r="BC63" s="933">
        <f t="shared" si="352"/>
        <v>-121.18648200000001</v>
      </c>
      <c r="BD63" s="933">
        <f t="shared" si="352"/>
        <v>-120.572486</v>
      </c>
      <c r="BE63" s="933">
        <f t="shared" si="352"/>
        <v>-118.76285086999999</v>
      </c>
      <c r="BF63" s="933">
        <f t="shared" si="352"/>
        <v>-122.33470686999999</v>
      </c>
      <c r="BG63" s="933">
        <f t="shared" si="352"/>
        <v>-121.30276187</v>
      </c>
      <c r="BH63" s="933">
        <f t="shared" si="352"/>
        <v>-120.498249</v>
      </c>
      <c r="BI63" s="933">
        <f t="shared" si="352"/>
        <v>-114.413557</v>
      </c>
      <c r="BJ63" s="933">
        <f t="shared" si="352"/>
        <v>-117.38502</v>
      </c>
      <c r="BK63" s="933">
        <f>+BK64+BK67</f>
        <v>-116.952325</v>
      </c>
      <c r="BL63" s="933">
        <f>+BL64+BL67</f>
        <v>-300.49634500000002</v>
      </c>
      <c r="BM63" s="933">
        <f t="shared" ref="BM63:DX63" si="353">SUM(BM65:BM67)</f>
        <v>-77.728171779999997</v>
      </c>
      <c r="BN63" s="933">
        <f t="shared" si="353"/>
        <v>-61.190376349999994</v>
      </c>
      <c r="BO63" s="933">
        <f t="shared" si="353"/>
        <v>-62.052716119999999</v>
      </c>
      <c r="BP63" s="933">
        <f t="shared" si="353"/>
        <v>-60.028268890000007</v>
      </c>
      <c r="BQ63" s="933">
        <f t="shared" si="353"/>
        <v>-60.170330929999999</v>
      </c>
      <c r="BR63" s="933">
        <f t="shared" si="353"/>
        <v>-60.66453345</v>
      </c>
      <c r="BS63" s="933">
        <f t="shared" si="353"/>
        <v>-60.445020169999992</v>
      </c>
      <c r="BT63" s="933">
        <f t="shared" si="353"/>
        <v>-59.475307279999996</v>
      </c>
      <c r="BU63" s="933">
        <f t="shared" si="353"/>
        <v>-58.561948999999998</v>
      </c>
      <c r="BV63" s="933">
        <f t="shared" si="353"/>
        <v>-55.564616360000002</v>
      </c>
      <c r="BW63" s="933">
        <f t="shared" si="353"/>
        <v>-51.56800475</v>
      </c>
      <c r="BX63" s="933">
        <f t="shared" si="353"/>
        <v>-48.547706100000006</v>
      </c>
      <c r="BY63" s="933">
        <f t="shared" si="353"/>
        <v>-52.023218180000008</v>
      </c>
      <c r="BZ63" s="933">
        <f t="shared" si="353"/>
        <v>-52.896084610000003</v>
      </c>
      <c r="CA63" s="933">
        <f t="shared" si="353"/>
        <v>-54.889912729999999</v>
      </c>
      <c r="CB63" s="933">
        <f t="shared" si="353"/>
        <v>-51.673316949999993</v>
      </c>
      <c r="CC63" s="933">
        <f t="shared" si="353"/>
        <v>-53.032651819999998</v>
      </c>
      <c r="CD63" s="933">
        <f t="shared" si="353"/>
        <v>-53.126717760000005</v>
      </c>
      <c r="CE63" s="933">
        <f t="shared" si="353"/>
        <v>-52.698648890000001</v>
      </c>
      <c r="CF63" s="933">
        <f t="shared" si="353"/>
        <v>-54.108321580000002</v>
      </c>
      <c r="CG63" s="933">
        <f t="shared" si="353"/>
        <v>-62.061176379999992</v>
      </c>
      <c r="CH63" s="933">
        <f t="shared" si="353"/>
        <v>-58.973573610000003</v>
      </c>
      <c r="CI63" s="933">
        <f t="shared" si="353"/>
        <v>-58.901204190000001</v>
      </c>
      <c r="CJ63" s="933">
        <f t="shared" si="353"/>
        <v>-62.512583660000004</v>
      </c>
      <c r="CK63" s="933">
        <f t="shared" si="353"/>
        <v>-57.392174080000004</v>
      </c>
      <c r="CL63" s="933">
        <f t="shared" si="353"/>
        <v>-60.443720440000007</v>
      </c>
      <c r="CM63" s="933">
        <f t="shared" si="353"/>
        <v>-60.694359710000001</v>
      </c>
      <c r="CN63" s="933">
        <f t="shared" si="353"/>
        <v>-61.031049029999998</v>
      </c>
      <c r="CO63" s="933">
        <f t="shared" si="353"/>
        <v>-60.353906190000004</v>
      </c>
      <c r="CP63" s="933">
        <f t="shared" si="353"/>
        <v>-60.5363148</v>
      </c>
      <c r="CQ63" s="933">
        <f t="shared" si="353"/>
        <v>-62.934935750000001</v>
      </c>
      <c r="CR63" s="933">
        <f t="shared" si="353"/>
        <v>-63.38458785000001</v>
      </c>
      <c r="CS63" s="933">
        <f t="shared" si="353"/>
        <v>-64.208113779999991</v>
      </c>
      <c r="CT63" s="933">
        <f t="shared" si="353"/>
        <v>-64.61217413</v>
      </c>
      <c r="CU63" s="933">
        <f t="shared" si="353"/>
        <v>-66.737416969999998</v>
      </c>
      <c r="CV63" s="933">
        <f t="shared" si="353"/>
        <v>-63.81716102</v>
      </c>
      <c r="CW63" s="933">
        <f t="shared" si="353"/>
        <v>-64.328521260000002</v>
      </c>
      <c r="CX63" s="933">
        <f t="shared" si="353"/>
        <v>-60.46479283</v>
      </c>
      <c r="CY63" s="933">
        <f t="shared" si="353"/>
        <v>-65.768529409999999</v>
      </c>
      <c r="CZ63" s="933">
        <f t="shared" si="353"/>
        <v>-66.792883090000004</v>
      </c>
      <c r="DA63" s="933">
        <f t="shared" si="353"/>
        <v>-67.487420470000004</v>
      </c>
      <c r="DB63" s="933">
        <f t="shared" si="353"/>
        <v>-66.885824909999997</v>
      </c>
      <c r="DC63" s="933">
        <f t="shared" si="353"/>
        <v>-67.146543570000006</v>
      </c>
      <c r="DD63" s="933">
        <f t="shared" si="353"/>
        <v>-68.877870450000003</v>
      </c>
      <c r="DE63" s="933">
        <f t="shared" si="353"/>
        <v>-71.64438272999999</v>
      </c>
      <c r="DF63" s="933">
        <f t="shared" si="353"/>
        <v>-71.991724309999995</v>
      </c>
      <c r="DG63" s="933">
        <f t="shared" si="353"/>
        <v>-70.63778923000001</v>
      </c>
      <c r="DH63" s="933">
        <f t="shared" si="353"/>
        <v>-73.61351526</v>
      </c>
      <c r="DI63" s="933">
        <f t="shared" si="353"/>
        <v>-70.140163250000001</v>
      </c>
      <c r="DJ63" s="933">
        <f t="shared" si="353"/>
        <v>-71.889816269999997</v>
      </c>
      <c r="DK63" s="933">
        <f t="shared" si="353"/>
        <v>-69.159131790000004</v>
      </c>
      <c r="DL63" s="933">
        <f t="shared" si="353"/>
        <v>-68.809517679999999</v>
      </c>
      <c r="DM63" s="933">
        <f t="shared" si="353"/>
        <v>-69.57342632000001</v>
      </c>
      <c r="DN63" s="933">
        <f t="shared" si="353"/>
        <v>-71.323584140000008</v>
      </c>
      <c r="DO63" s="933">
        <f t="shared" si="353"/>
        <v>-71.720565070000006</v>
      </c>
      <c r="DP63" s="933">
        <f t="shared" si="353"/>
        <v>-67.362624920000002</v>
      </c>
      <c r="DQ63" s="1230">
        <f t="shared" si="353"/>
        <v>-65.786201449999993</v>
      </c>
      <c r="DR63" s="1230">
        <f t="shared" si="353"/>
        <v>-65.063310099999995</v>
      </c>
      <c r="DS63" s="1230">
        <f t="shared" si="353"/>
        <v>-68.759221069999995</v>
      </c>
      <c r="DT63" s="1230">
        <f t="shared" si="353"/>
        <v>-70.487730589999998</v>
      </c>
      <c r="DU63" s="1230">
        <f t="shared" si="353"/>
        <v>-74.146272039999999</v>
      </c>
      <c r="DV63" s="1230">
        <f t="shared" si="353"/>
        <v>-69.162777609999992</v>
      </c>
      <c r="DW63" s="1230">
        <f t="shared" si="353"/>
        <v>-75.287556629999997</v>
      </c>
      <c r="DX63" s="1230">
        <f t="shared" si="353"/>
        <v>-72.661545059999995</v>
      </c>
      <c r="DY63" s="1230">
        <f t="shared" ref="DY63:EF63" si="354">SUM(DY65:DY67)</f>
        <v>-68.516501959999999</v>
      </c>
      <c r="DZ63" s="1230">
        <f t="shared" si="354"/>
        <v>-72.026518789999997</v>
      </c>
      <c r="EA63" s="1230">
        <f t="shared" si="354"/>
        <v>-75.020720560000001</v>
      </c>
      <c r="EB63" s="1230">
        <f t="shared" si="354"/>
        <v>-80.071596420000006</v>
      </c>
      <c r="EC63" s="1230">
        <f t="shared" si="354"/>
        <v>-83.308217680000013</v>
      </c>
      <c r="ED63" s="1230">
        <f t="shared" si="354"/>
        <v>-87.799759280000004</v>
      </c>
      <c r="EE63" s="1230">
        <f t="shared" si="354"/>
        <v>-90.463184600000005</v>
      </c>
      <c r="EF63" s="1230">
        <f t="shared" si="354"/>
        <v>-91.608365780000042</v>
      </c>
      <c r="EG63" s="949"/>
      <c r="EH63" s="933">
        <f t="shared" ref="EH63:ES63" si="355">SUM(EH65:EH67)</f>
        <v>-64.328521260000002</v>
      </c>
      <c r="EI63" s="933">
        <f t="shared" si="355"/>
        <v>-60.46479283</v>
      </c>
      <c r="EJ63" s="933">
        <f t="shared" si="355"/>
        <v>-65.768529410000014</v>
      </c>
      <c r="EK63" s="933">
        <f t="shared" si="355"/>
        <v>-66.792883090000004</v>
      </c>
      <c r="EL63" s="933">
        <f t="shared" si="355"/>
        <v>-67.487420469999989</v>
      </c>
      <c r="EM63" s="933">
        <f t="shared" si="355"/>
        <v>-66.885824909999997</v>
      </c>
      <c r="EN63" s="933">
        <f t="shared" si="355"/>
        <v>-70.290333921666658</v>
      </c>
      <c r="EO63" s="933">
        <f t="shared" si="355"/>
        <v>-70.290333921666658</v>
      </c>
      <c r="EP63" s="933">
        <f t="shared" si="355"/>
        <v>-70.290333921666658</v>
      </c>
      <c r="EQ63" s="933">
        <f t="shared" si="355"/>
        <v>-70.290333921666658</v>
      </c>
      <c r="ER63" s="933">
        <f t="shared" si="355"/>
        <v>-70.290333921666658</v>
      </c>
      <c r="ES63" s="933">
        <f t="shared" si="355"/>
        <v>-70.290333921666658</v>
      </c>
      <c r="EU63" s="933">
        <v>-76.497914128749997</v>
      </c>
      <c r="EV63" s="933">
        <v>-109.84268835027778</v>
      </c>
      <c r="EW63" s="933">
        <v>-95.845969570277788</v>
      </c>
      <c r="EX63" s="933">
        <v>-106.35760227805555</v>
      </c>
      <c r="EY63" s="933">
        <v>-91.56945976763889</v>
      </c>
      <c r="EZ63" s="933">
        <v>-87.64510227805556</v>
      </c>
      <c r="FA63" s="933">
        <v>-89.288157833611109</v>
      </c>
      <c r="FB63" s="933">
        <v>-87.90621338916668</v>
      </c>
      <c r="FC63" s="933">
        <v>-87.938157833611115</v>
      </c>
      <c r="FD63" s="933">
        <v>-89.245102278055555</v>
      </c>
      <c r="FE63" s="933">
        <v>-88.19926894472222</v>
      </c>
      <c r="FF63" s="933">
        <v>-87.77010227805556</v>
      </c>
      <c r="FG63" s="933">
        <f t="shared" ref="FG63:HB63" si="356">+FG64+FG67</f>
        <v>-167.43973786666666</v>
      </c>
      <c r="FH63" s="933">
        <f t="shared" si="356"/>
        <v>-163.38441810199998</v>
      </c>
      <c r="FI63" s="933">
        <f t="shared" si="356"/>
        <v>-157.25078446125332</v>
      </c>
      <c r="FJ63" s="933">
        <f t="shared" si="356"/>
        <v>-151.61416283280317</v>
      </c>
      <c r="FK63" s="933">
        <f t="shared" si="356"/>
        <v>-145.79300606949104</v>
      </c>
      <c r="FL63" s="933">
        <f t="shared" si="356"/>
        <v>-140.2046955767114</v>
      </c>
      <c r="FM63" s="933">
        <f t="shared" si="356"/>
        <v>-135.18575083697627</v>
      </c>
      <c r="FN63" s="933">
        <f t="shared" si="356"/>
        <v>-130.14006388683055</v>
      </c>
      <c r="FO63" s="933">
        <f t="shared" si="356"/>
        <v>-125.17787108135731</v>
      </c>
      <c r="FP63" s="933">
        <f t="shared" si="356"/>
        <v>-120.41416598810302</v>
      </c>
      <c r="FQ63" s="933">
        <f t="shared" si="356"/>
        <v>-115.71600909857889</v>
      </c>
      <c r="FR63" s="933">
        <f t="shared" si="356"/>
        <v>-111.18577848463573</v>
      </c>
      <c r="FS63" s="933">
        <f t="shared" si="356"/>
        <v>-62.431831000000003</v>
      </c>
      <c r="FT63" s="933">
        <f t="shared" si="356"/>
        <v>-62.464212000000003</v>
      </c>
      <c r="FU63" s="933">
        <f t="shared" si="356"/>
        <v>-62.183587000000003</v>
      </c>
      <c r="FV63" s="933">
        <f t="shared" si="356"/>
        <v>-61.576006000000007</v>
      </c>
      <c r="FW63" s="933">
        <f t="shared" si="356"/>
        <v>-60.828530000000001</v>
      </c>
      <c r="FX63" s="933">
        <f t="shared" si="356"/>
        <v>-59.818515000000005</v>
      </c>
      <c r="FY63" s="933">
        <f t="shared" si="356"/>
        <v>-56.744641000000001</v>
      </c>
      <c r="FZ63" s="933">
        <f t="shared" si="356"/>
        <v>-54.374418000000006</v>
      </c>
      <c r="GA63" s="933">
        <f t="shared" si="356"/>
        <v>-54.241202999999999</v>
      </c>
      <c r="GB63" s="933">
        <f t="shared" si="356"/>
        <v>-54.172025000000005</v>
      </c>
      <c r="GC63" s="933">
        <f t="shared" si="356"/>
        <v>-54.159868000000003</v>
      </c>
      <c r="GD63" s="933">
        <f t="shared" si="356"/>
        <v>-53.940870000000004</v>
      </c>
      <c r="GE63" s="933">
        <f t="shared" si="356"/>
        <v>-63.520032023333329</v>
      </c>
      <c r="GF63" s="933">
        <f t="shared" si="356"/>
        <v>-63.520032023333329</v>
      </c>
      <c r="GG63" s="933">
        <f t="shared" si="356"/>
        <v>-63.520032023333329</v>
      </c>
      <c r="GH63" s="933">
        <f t="shared" si="356"/>
        <v>-63.520032023333329</v>
      </c>
      <c r="GI63" s="933">
        <f t="shared" si="356"/>
        <v>-63.520032023333329</v>
      </c>
      <c r="GJ63" s="933">
        <f t="shared" si="356"/>
        <v>-63.520032023333329</v>
      </c>
      <c r="GK63" s="933">
        <f t="shared" si="356"/>
        <v>-63.520032023333329</v>
      </c>
      <c r="GL63" s="933">
        <f t="shared" si="356"/>
        <v>-63.520032023333329</v>
      </c>
      <c r="GM63" s="933">
        <f t="shared" si="356"/>
        <v>-63.520032023333329</v>
      </c>
      <c r="GN63" s="933">
        <f t="shared" si="356"/>
        <v>-63.520032023333329</v>
      </c>
      <c r="GO63" s="933">
        <f t="shared" si="356"/>
        <v>-63.520032023333329</v>
      </c>
      <c r="GP63" s="933">
        <f t="shared" si="356"/>
        <v>-63.520032023333329</v>
      </c>
      <c r="GQ63" s="933">
        <f t="shared" si="356"/>
        <v>-63.520032023333329</v>
      </c>
      <c r="GR63" s="933">
        <f t="shared" si="356"/>
        <v>-63.520032023333329</v>
      </c>
      <c r="GS63" s="933">
        <f t="shared" si="356"/>
        <v>-63.520032023333329</v>
      </c>
      <c r="GT63" s="933">
        <f t="shared" si="356"/>
        <v>-63.520032023333329</v>
      </c>
      <c r="GU63" s="933">
        <f t="shared" si="356"/>
        <v>-63.520032023333329</v>
      </c>
      <c r="GV63" s="933">
        <f t="shared" si="356"/>
        <v>-63.520032023333329</v>
      </c>
      <c r="GW63" s="933">
        <f t="shared" si="356"/>
        <v>-63.520032023333329</v>
      </c>
      <c r="GX63" s="933">
        <f t="shared" si="356"/>
        <v>-63.520032023333329</v>
      </c>
      <c r="GY63" s="933">
        <f t="shared" si="356"/>
        <v>-63.520032023333329</v>
      </c>
      <c r="GZ63" s="933">
        <f t="shared" si="356"/>
        <v>-63.520032023333329</v>
      </c>
      <c r="HA63" s="933">
        <f t="shared" si="356"/>
        <v>-63.520032023333329</v>
      </c>
      <c r="HB63" s="933">
        <f t="shared" si="356"/>
        <v>-63.520032023333329</v>
      </c>
      <c r="HD63" s="116">
        <f t="shared" ref="HD63:HG69" si="357">+SUMIF($E$6:$AZ$6,HD$7,$E63:$AZ63)</f>
        <v>-816.49231833999988</v>
      </c>
      <c r="HE63" s="116">
        <f t="shared" si="357"/>
        <v>-1098.9831747999999</v>
      </c>
      <c r="HF63" s="116">
        <f t="shared" si="357"/>
        <v>-946.12076396999998</v>
      </c>
      <c r="HG63" s="116">
        <f t="shared" si="357"/>
        <v>-1321.4882626399999</v>
      </c>
      <c r="HH63" s="116">
        <f t="shared" ref="HH63:HH69" si="358">+SUMIF($E$6:$BL$6,HH$7,$E63:$BL63)</f>
        <v>-1388.73552847</v>
      </c>
      <c r="HI63" s="116">
        <f t="shared" ref="HI63:HI71" si="359">+SUMIF($E$6:$BX$6,HI$7,$E63:$BX63)</f>
        <v>-715.99700117999998</v>
      </c>
      <c r="HJ63" s="116">
        <f>+SUMIF($E$6:$CJ$6,HJ$7,$E63:$CJ63)</f>
        <v>-666.89741036000009</v>
      </c>
      <c r="HK63" s="116">
        <f t="shared" ref="HK63:HK71" si="360">+SUMIF($E$6:$CV$6,HK$7,$E63:$CV63)</f>
        <v>-746.14591374999998</v>
      </c>
      <c r="HL63" s="1186">
        <f>+SUMIF($E$6:SEW$6,HL$7,$E63:SEW63)</f>
        <v>-815.63979752</v>
      </c>
      <c r="HM63" s="1186">
        <f>+SUMIF($E$6:SEX$6,HM$7,$E63:SEX63)</f>
        <v>-830.07529264999994</v>
      </c>
      <c r="HN63" s="1186">
        <f>+SUMIF($E$6:SEY$6,HN$7,$E63:SEY63)</f>
        <v>-940.07301641000004</v>
      </c>
      <c r="HO63" s="116"/>
      <c r="HP63" s="116"/>
      <c r="HR63" s="954">
        <f t="shared" ref="HR63:HZ69" si="361">+IFERROR(HF63/HE63-1,"")</f>
        <v>-0.13909440502382475</v>
      </c>
      <c r="HS63" s="954">
        <f t="shared" si="361"/>
        <v>0.39674374875246077</v>
      </c>
      <c r="HT63" s="954">
        <f t="shared" si="361"/>
        <v>5.0887524112894544E-2</v>
      </c>
      <c r="HU63" s="954">
        <f t="shared" si="361"/>
        <v>-0.48442522964121948</v>
      </c>
      <c r="HV63" s="954">
        <f t="shared" si="361"/>
        <v>-6.8575134726934883E-2</v>
      </c>
      <c r="HW63" s="954">
        <f t="shared" si="361"/>
        <v>0.11883162561273175</v>
      </c>
      <c r="HX63" s="954">
        <f t="shared" si="361"/>
        <v>9.3137123033664837E-2</v>
      </c>
      <c r="HY63" s="954">
        <f t="shared" si="361"/>
        <v>1.7698370253501405E-2</v>
      </c>
      <c r="HZ63" s="954">
        <f t="shared" si="361"/>
        <v>0.13251535702121009</v>
      </c>
      <c r="IA63" s="954">
        <f t="shared" si="305"/>
        <v>-1</v>
      </c>
      <c r="IB63" s="954" t="str">
        <f t="shared" ref="IB63:IB69" si="362">+IFERROR(HP63/HO63-1,"")</f>
        <v/>
      </c>
      <c r="IC63" s="954">
        <f t="shared" si="306"/>
        <v>-1</v>
      </c>
      <c r="IE63" s="116">
        <f t="shared" ref="IE63:IH69" si="363">+HF63-HE63</f>
        <v>152.86241082999993</v>
      </c>
      <c r="IF63" s="116">
        <f t="shared" si="363"/>
        <v>-375.36749866999992</v>
      </c>
      <c r="IG63" s="116">
        <f t="shared" si="363"/>
        <v>-67.24726583000006</v>
      </c>
      <c r="IH63" s="116">
        <f t="shared" si="363"/>
        <v>672.73852728999998</v>
      </c>
      <c r="II63" s="116">
        <f t="shared" si="322"/>
        <v>49.099590819999889</v>
      </c>
      <c r="IJ63" s="116">
        <f t="shared" si="323"/>
        <v>-79.248503389999883</v>
      </c>
      <c r="IK63" s="116">
        <f t="shared" si="324"/>
        <v>-69.493883770000025</v>
      </c>
      <c r="IL63" s="116">
        <f t="shared" si="307"/>
        <v>815.63979752</v>
      </c>
      <c r="IM63" s="116">
        <f t="shared" ref="IM63:IM69" si="364">+HP63-HO63</f>
        <v>0</v>
      </c>
      <c r="IN63" s="116">
        <f t="shared" si="308"/>
        <v>815.63979752</v>
      </c>
      <c r="IP63" s="955">
        <f t="shared" ref="IP63:IW69" si="365">+HE63/HE$11</f>
        <v>-2.9900008109862954E-2</v>
      </c>
      <c r="IQ63" s="955">
        <f t="shared" si="365"/>
        <v>-2.4023594215420521E-2</v>
      </c>
      <c r="IR63" s="955">
        <f t="shared" si="365"/>
        <v>-7.8413650930103829E-2</v>
      </c>
      <c r="IS63" s="955">
        <f t="shared" si="365"/>
        <v>-0.22573626121403881</v>
      </c>
      <c r="IT63" s="955">
        <f t="shared" si="365"/>
        <v>-5.2535528823142746E-2</v>
      </c>
      <c r="IU63" s="955">
        <f t="shared" si="365"/>
        <v>-4.7128780980511535E-2</v>
      </c>
      <c r="IV63" s="955">
        <f t="shared" si="365"/>
        <v>-3.5146901814551094E-2</v>
      </c>
      <c r="IW63" s="955">
        <f t="shared" si="365"/>
        <v>-6.4631306338645667E-2</v>
      </c>
      <c r="IX63" s="955" t="e">
        <f t="shared" ref="IX63:IX74" si="366">+HO63/HO$11</f>
        <v>#DIV/0!</v>
      </c>
      <c r="IY63" s="955" t="e">
        <f t="shared" ref="IY63:IY74" si="367">+HP63/HP$11</f>
        <v>#DIV/0!</v>
      </c>
      <c r="JA63" s="116">
        <f t="shared" ref="JA63:JK72" si="368">+IFERROR(SUMIFS($E63:$EG63,$E$6:$EG$6,JA$7,$E$5:$EG$5,"&lt;="&amp;$JC$5),"NA")</f>
        <v>-816.49231833999988</v>
      </c>
      <c r="JB63" s="116">
        <f t="shared" si="368"/>
        <v>-1098.9831747999999</v>
      </c>
      <c r="JC63" s="116">
        <f t="shared" si="368"/>
        <v>-946.12076396999998</v>
      </c>
      <c r="JD63" s="116">
        <f t="shared" si="368"/>
        <v>-1321.4882626399999</v>
      </c>
      <c r="JE63" s="116">
        <f t="shared" si="368"/>
        <v>-1388.73552847</v>
      </c>
      <c r="JF63" s="116">
        <f t="shared" si="368"/>
        <v>-715.99700117999998</v>
      </c>
      <c r="JG63" s="116">
        <f t="shared" si="368"/>
        <v>-666.89741036000009</v>
      </c>
      <c r="JH63" s="116">
        <f t="shared" si="368"/>
        <v>-746.14591374999998</v>
      </c>
      <c r="JI63" s="116">
        <f t="shared" si="368"/>
        <v>-815.63979752</v>
      </c>
      <c r="JJ63" s="116">
        <f t="shared" si="368"/>
        <v>-830.07529264999994</v>
      </c>
      <c r="JK63" s="116">
        <f t="shared" si="368"/>
        <v>-940.07301641000004</v>
      </c>
      <c r="JL63" s="116">
        <f t="shared" ref="JL63:JL72" si="369">+SUMIF($DU$5:$EF$5,"&lt;="&amp;$JC$5,$DU63:$EF63)</f>
        <v>-940.07301641000004</v>
      </c>
      <c r="JM63" s="116"/>
      <c r="JN63" s="116"/>
      <c r="JP63" s="116">
        <f t="shared" ref="JP63:JP71" si="370">+JL63</f>
        <v>-940.07301641000004</v>
      </c>
      <c r="JQ63" s="116">
        <f t="shared" ref="JQ63:JQ71" si="371">+JM63</f>
        <v>0</v>
      </c>
      <c r="JR63" s="132"/>
      <c r="JS63" s="954" t="str">
        <f t="shared" ref="JS63:JS69" si="372">+IFERROR(JP63/JQ63,"")</f>
        <v/>
      </c>
      <c r="JT63" s="956">
        <f t="shared" ref="JT63:JT69" si="373">+IFERROR(JP63-JQ63,"NA")</f>
        <v>-940.07301641000004</v>
      </c>
      <c r="JV63" s="955">
        <f t="shared" ref="JV63:JV69" si="374">+JP63/JP$11</f>
        <v>-3.1136932410969292E-2</v>
      </c>
      <c r="JW63" s="954" t="str">
        <f t="shared" ref="JW63:JW69" si="375">+IFERROR(JQ63/JQ$11,"")</f>
        <v/>
      </c>
      <c r="JY63" s="955">
        <f t="shared" ref="JY63:KE63" si="376">+IFERROR(JC63/JB63-1,"NA")</f>
        <v>-0.13909440502382475</v>
      </c>
      <c r="JZ63" s="955">
        <f t="shared" si="376"/>
        <v>0.39674374875246077</v>
      </c>
      <c r="KA63" s="955">
        <f t="shared" si="376"/>
        <v>5.0887524112894544E-2</v>
      </c>
      <c r="KB63" s="955">
        <f t="shared" si="376"/>
        <v>-0.48442522964121948</v>
      </c>
      <c r="KC63" s="955">
        <f t="shared" si="376"/>
        <v>-6.8575134726934883E-2</v>
      </c>
      <c r="KD63" s="955">
        <f t="shared" si="376"/>
        <v>0.11883162561273175</v>
      </c>
      <c r="KE63" s="955">
        <f t="shared" si="376"/>
        <v>9.3137123033664837E-2</v>
      </c>
      <c r="KF63" s="955">
        <f>+IFERROR(JN63/JI63-1,"NA")</f>
        <v>-1</v>
      </c>
      <c r="KH63" s="116">
        <f t="shared" ref="KH63:KH71" si="377">+JC63-JB63</f>
        <v>152.86241082999993</v>
      </c>
      <c r="KI63" s="116">
        <f t="shared" ref="KI63:KI71" si="378">+JD63-JC63</f>
        <v>-375.36749866999992</v>
      </c>
      <c r="KJ63" s="116">
        <f t="shared" ref="KJ63:KJ71" si="379">+JE63-JD63</f>
        <v>-67.24726583000006</v>
      </c>
      <c r="KK63" s="116">
        <f t="shared" ref="KK63:KK71" si="380">+JF63-JE63</f>
        <v>672.73852728999998</v>
      </c>
      <c r="KL63" s="116">
        <f t="shared" ref="KL63:KL71" si="381">+JG63-JF63</f>
        <v>49.099590819999889</v>
      </c>
      <c r="KM63" s="116">
        <f t="shared" ref="KM63:KM71" si="382">+JH63-JG63</f>
        <v>-79.248503389999883</v>
      </c>
      <c r="KN63" s="116">
        <f t="shared" ref="KN63:KN71" si="383">+JI63-JH63</f>
        <v>-69.493883770000025</v>
      </c>
      <c r="KO63" s="116">
        <f t="shared" ref="KO63:KO71" si="384">+JN63-JI63</f>
        <v>815.63979752</v>
      </c>
      <c r="KQ63" s="955">
        <f t="shared" ref="KQ63:KY69" si="385">+JA63/JA$11</f>
        <v>-2.2504452936646855E-2</v>
      </c>
      <c r="KR63" s="955">
        <f t="shared" si="385"/>
        <v>-2.9900008109862954E-2</v>
      </c>
      <c r="KS63" s="955">
        <f t="shared" si="385"/>
        <v>-2.4023594215420521E-2</v>
      </c>
      <c r="KT63" s="955">
        <f t="shared" si="385"/>
        <v>-7.8413650930103829E-2</v>
      </c>
      <c r="KU63" s="955">
        <f t="shared" si="385"/>
        <v>-0.22573626121403881</v>
      </c>
      <c r="KV63" s="955">
        <f t="shared" si="385"/>
        <v>-5.2535528823142746E-2</v>
      </c>
      <c r="KW63" s="955">
        <f t="shared" si="385"/>
        <v>-4.7128780980511535E-2</v>
      </c>
      <c r="KX63" s="955">
        <f t="shared" si="385"/>
        <v>-3.5146901814551094E-2</v>
      </c>
      <c r="KY63" s="955">
        <f t="shared" si="385"/>
        <v>-6.4631306338645667E-2</v>
      </c>
      <c r="KZ63" s="955" t="e">
        <f t="shared" ref="KZ63:KZ69" si="386">+JN63/JN$11</f>
        <v>#DIV/0!</v>
      </c>
      <c r="LB63" s="116">
        <f t="shared" ref="LB63:LM71" si="387">+SUMIFS($E63:$EG63,$E$6:$EG$6,LB$7,$E$5:$EG$5,$LD$5)</f>
        <v>-69.693883370000009</v>
      </c>
      <c r="LC63" s="116">
        <f t="shared" si="387"/>
        <v>-116.9649122400001</v>
      </c>
      <c r="LD63" s="116">
        <f t="shared" si="387"/>
        <v>-119.61533642000002</v>
      </c>
      <c r="LE63" s="116">
        <f t="shared" si="387"/>
        <v>-322.45418089999998</v>
      </c>
      <c r="LF63" s="116">
        <f t="shared" si="387"/>
        <v>-300.49634500000002</v>
      </c>
      <c r="LG63" s="116">
        <f t="shared" si="387"/>
        <v>-48.547706100000006</v>
      </c>
      <c r="LH63" s="116">
        <f t="shared" si="387"/>
        <v>-62.512583660000004</v>
      </c>
      <c r="LI63" s="116">
        <f t="shared" si="387"/>
        <v>-63.81716102</v>
      </c>
      <c r="LJ63" s="116">
        <f t="shared" si="387"/>
        <v>-73.61351526</v>
      </c>
      <c r="LK63" s="116">
        <f t="shared" si="387"/>
        <v>-70.487730589999998</v>
      </c>
      <c r="LL63" s="116">
        <f t="shared" si="387"/>
        <v>-91.608365780000042</v>
      </c>
      <c r="LM63" s="116">
        <f t="shared" si="387"/>
        <v>-91.608365780000042</v>
      </c>
      <c r="LN63" s="116"/>
      <c r="LO63" s="116"/>
      <c r="LR63" s="955">
        <f t="shared" ref="LR63:LR71" si="388">+IFERROR(LD63/LC63-1," ")</f>
        <v>2.2659993747197626E-2</v>
      </c>
      <c r="LS63" s="955">
        <f t="shared" ref="LS63:LS71" si="389">+IFERROR(LE63/LD63-1," ")</f>
        <v>1.6957595117049284</v>
      </c>
      <c r="LT63" s="955">
        <f t="shared" ref="LT63:LT71" si="390">+IFERROR(LF63/LE63-1," ")</f>
        <v>-6.809598758717772E-2</v>
      </c>
      <c r="LU63" s="955">
        <f t="shared" ref="LU63:LU71" si="391">+IFERROR(LG63/LF63-1," ")</f>
        <v>-0.83844160866582251</v>
      </c>
      <c r="LV63" s="955">
        <f t="shared" ref="LV63:LV71" si="392">+IFERROR(LH63/LG63-1," ")</f>
        <v>0.28765267572549624</v>
      </c>
      <c r="LW63" s="955">
        <f t="shared" ref="LW63:LW71" si="393">+IFERROR(LI63/LH63-1," ")</f>
        <v>2.0869036018339449E-2</v>
      </c>
      <c r="LX63" s="955">
        <f t="shared" si="338"/>
        <v>-1</v>
      </c>
      <c r="LZ63" s="116">
        <f t="shared" ref="LZ63:LZ71" si="394">+LD63-LC63</f>
        <v>-2.6504241799999164</v>
      </c>
      <c r="MA63" s="116">
        <f t="shared" ref="MA63:MA71" si="395">+LE63-LD63</f>
        <v>-202.83884447999998</v>
      </c>
      <c r="MB63" s="116">
        <f t="shared" ref="MB63:MB71" si="396">+LF63-LE63</f>
        <v>21.957835899999964</v>
      </c>
      <c r="MC63" s="116">
        <f t="shared" ref="MC63:MC71" si="397">+LG63-LF63</f>
        <v>251.94863890000002</v>
      </c>
      <c r="MD63" s="116">
        <f t="shared" ref="MD63:MD71" si="398">+LH63-LG63</f>
        <v>-13.964877559999998</v>
      </c>
      <c r="ME63" s="116">
        <f t="shared" ref="ME63:ME71" si="399">+LI63-LH63</f>
        <v>-1.3045773599999961</v>
      </c>
      <c r="MF63" s="116">
        <f t="shared" si="340"/>
        <v>63.81716102</v>
      </c>
      <c r="MH63" s="955">
        <f t="shared" ref="MH63:MO69" si="400">+LB63/LB$11</f>
        <v>-2.3236373581322342E-2</v>
      </c>
      <c r="MI63" s="955">
        <f t="shared" si="400"/>
        <v>-2.1213645264630029E-2</v>
      </c>
      <c r="MJ63" s="955">
        <f t="shared" si="400"/>
        <v>-2.3334353101051721E-2</v>
      </c>
      <c r="MK63" s="955">
        <f t="shared" si="400"/>
        <v>-0.55473910725773479</v>
      </c>
      <c r="ML63" s="955">
        <f t="shared" si="400"/>
        <v>-0.19947192573841457</v>
      </c>
      <c r="MM63" s="955">
        <f t="shared" si="400"/>
        <v>-4.7194016342060614E-2</v>
      </c>
      <c r="MN63" s="955">
        <f t="shared" si="400"/>
        <v>-4.0200691276608455E-2</v>
      </c>
      <c r="MO63" s="955">
        <f t="shared" si="400"/>
        <v>-3.3909300419529324E-2</v>
      </c>
      <c r="MP63" s="955" t="e">
        <f t="shared" ref="MP63:MP69" si="401">+LO63/LO$11</f>
        <v>#DIV/0!</v>
      </c>
    </row>
    <row r="64" spans="1:354" outlineLevel="1">
      <c r="A64" s="884"/>
      <c r="B64" s="70"/>
      <c r="C64" s="47" t="s">
        <v>92</v>
      </c>
      <c r="D64" s="923" t="s">
        <v>59</v>
      </c>
      <c r="E64" s="924">
        <v>-46.624546000000002</v>
      </c>
      <c r="F64" s="924">
        <v>-61.112972430000006</v>
      </c>
      <c r="G64" s="924">
        <v>-80.121044000000012</v>
      </c>
      <c r="H64" s="924">
        <v>-62.875648999999996</v>
      </c>
      <c r="I64" s="924">
        <v>-57.161553959999971</v>
      </c>
      <c r="J64" s="924">
        <v>-63.184797000000003</v>
      </c>
      <c r="K64" s="924">
        <v>-48.357786999999988</v>
      </c>
      <c r="L64" s="924">
        <v>-102.49866800000001</v>
      </c>
      <c r="M64" s="924">
        <v>5.9094000000015967E-2</v>
      </c>
      <c r="N64" s="924">
        <v>-95.50364200000007</v>
      </c>
      <c r="O64" s="924">
        <v>-51.595444659999956</v>
      </c>
      <c r="P64" s="924">
        <v>-57.402037000000007</v>
      </c>
      <c r="Q64" s="924">
        <v>-80.932400279999996</v>
      </c>
      <c r="R64" s="924">
        <v>-62.517984660000003</v>
      </c>
      <c r="S64" s="924">
        <v>-59.132081660000011</v>
      </c>
      <c r="T64" s="924">
        <v>-57.590551240000011</v>
      </c>
      <c r="U64" s="924">
        <v>-62.421389269999956</v>
      </c>
      <c r="V64" s="924">
        <v>-52.980932609999975</v>
      </c>
      <c r="W64" s="924">
        <v>-52.887037230000082</v>
      </c>
      <c r="X64" s="924">
        <v>-52.972802919999999</v>
      </c>
      <c r="Y64" s="924">
        <v>-51.155321959999988</v>
      </c>
      <c r="Z64" s="924">
        <v>-54.003228080000007</v>
      </c>
      <c r="AA64" s="924">
        <v>-124.46551029999986</v>
      </c>
      <c r="AB64" s="924">
        <v>-93.954849410000122</v>
      </c>
      <c r="AC64" s="924">
        <v>-50.727313000000002</v>
      </c>
      <c r="AD64" s="924">
        <v>-50.970564000000003</v>
      </c>
      <c r="AE64" s="924">
        <v>-50.649589960000007</v>
      </c>
      <c r="AF64" s="924">
        <v>-50.9276172</v>
      </c>
      <c r="AG64" s="924">
        <v>-44.065573000000001</v>
      </c>
      <c r="AH64" s="924">
        <v>-55.233458999999996</v>
      </c>
      <c r="AI64" s="924">
        <v>-51.689022999999999</v>
      </c>
      <c r="AJ64" s="924">
        <v>-51.353318000000002</v>
      </c>
      <c r="AK64" s="924">
        <v>-56.393456999999998</v>
      </c>
      <c r="AL64" s="924">
        <v>-45.316417000000001</v>
      </c>
      <c r="AM64" s="924">
        <v>-51.395664200000006</v>
      </c>
      <c r="AN64" s="924">
        <v>-173.58643161000003</v>
      </c>
      <c r="AO64" s="924">
        <f t="shared" ref="AO64:AZ64" si="402">SUM(AO65:AO66)</f>
        <v>-66.133064000000005</v>
      </c>
      <c r="AP64" s="924">
        <f t="shared" si="402"/>
        <v>-64.80410114</v>
      </c>
      <c r="AQ64" s="924">
        <f t="shared" si="402"/>
        <v>-64.664637139999996</v>
      </c>
      <c r="AR64" s="924">
        <f t="shared" si="402"/>
        <v>-61.659712549999995</v>
      </c>
      <c r="AS64" s="924">
        <f t="shared" si="402"/>
        <v>-27.82784479</v>
      </c>
      <c r="AT64" s="924">
        <f t="shared" si="402"/>
        <v>-101.53005184999999</v>
      </c>
      <c r="AU64" s="924">
        <f t="shared" si="402"/>
        <v>-50.073682229999996</v>
      </c>
      <c r="AV64" s="924">
        <f t="shared" si="402"/>
        <v>-50.006734630000004</v>
      </c>
      <c r="AW64" s="924">
        <f t="shared" si="402"/>
        <v>-49.907353819999997</v>
      </c>
      <c r="AX64" s="924">
        <f t="shared" si="402"/>
        <v>-52.688997819999997</v>
      </c>
      <c r="AY64" s="924">
        <f t="shared" si="402"/>
        <v>-61.106642949999923</v>
      </c>
      <c r="AZ64" s="924">
        <f t="shared" si="402"/>
        <v>-314.77418089999998</v>
      </c>
      <c r="BA64" s="924">
        <v>137.823215</v>
      </c>
      <c r="BB64" s="924">
        <v>-88.802943999999997</v>
      </c>
      <c r="BC64" s="924">
        <v>-88.687544000000003</v>
      </c>
      <c r="BD64" s="924">
        <v>-88.175292999999996</v>
      </c>
      <c r="BE64" s="924">
        <v>-87.444237999999999</v>
      </c>
      <c r="BF64" s="924">
        <v>-89.038505999999998</v>
      </c>
      <c r="BG64" s="924">
        <v>-87.827258999999998</v>
      </c>
      <c r="BH64" s="924">
        <v>-87.201508000000004</v>
      </c>
      <c r="BI64" s="924">
        <v>-86.746508000000006</v>
      </c>
      <c r="BJ64" s="924">
        <v>-86.473861999999997</v>
      </c>
      <c r="BK64" s="924">
        <v>-86.041167000000002</v>
      </c>
      <c r="BL64" s="924">
        <v>-85.483345</v>
      </c>
      <c r="BM64" s="924">
        <f t="shared" ref="BM64:DX64" si="403">SUM(BM65:BM66)</f>
        <v>-62.648352780000003</v>
      </c>
      <c r="BN64" s="924">
        <f t="shared" si="403"/>
        <v>-46.300986349999995</v>
      </c>
      <c r="BO64" s="924">
        <f t="shared" si="403"/>
        <v>-45.78714712</v>
      </c>
      <c r="BP64" s="924">
        <f t="shared" si="403"/>
        <v>-45.699249890000004</v>
      </c>
      <c r="BQ64" s="924">
        <f t="shared" si="403"/>
        <v>-45.821104929999997</v>
      </c>
      <c r="BR64" s="924">
        <f t="shared" si="403"/>
        <v>-45.795901450000002</v>
      </c>
      <c r="BS64" s="924">
        <f t="shared" si="403"/>
        <v>-45.161309589999995</v>
      </c>
      <c r="BT64" s="924">
        <f t="shared" si="403"/>
        <v>-44.568342279999996</v>
      </c>
      <c r="BU64" s="924">
        <f t="shared" si="403"/>
        <v>-43.942591159999999</v>
      </c>
      <c r="BV64" s="924">
        <f t="shared" si="403"/>
        <v>-40.463069359999999</v>
      </c>
      <c r="BW64" s="924">
        <f t="shared" si="403"/>
        <v>-37.68312075</v>
      </c>
      <c r="BX64" s="924">
        <f t="shared" si="403"/>
        <v>-35.521261100000004</v>
      </c>
      <c r="BY64" s="924">
        <f t="shared" si="403"/>
        <v>-34.663618180000007</v>
      </c>
      <c r="BZ64" s="924">
        <f t="shared" si="403"/>
        <v>-36.176121610000003</v>
      </c>
      <c r="CA64" s="924">
        <f t="shared" si="403"/>
        <v>-36.124121729999999</v>
      </c>
      <c r="CB64" s="924">
        <f t="shared" si="403"/>
        <v>-34.000957949999993</v>
      </c>
      <c r="CC64" s="924">
        <f t="shared" si="403"/>
        <v>-34.136008820000001</v>
      </c>
      <c r="CD64" s="924">
        <f t="shared" si="403"/>
        <v>-34.329020040000003</v>
      </c>
      <c r="CE64" s="924">
        <f t="shared" si="403"/>
        <v>-33.98736289</v>
      </c>
      <c r="CF64" s="924">
        <f t="shared" si="403"/>
        <v>-35.308647579999999</v>
      </c>
      <c r="CG64" s="924">
        <f t="shared" si="403"/>
        <v>-35.603895379999997</v>
      </c>
      <c r="CH64" s="924">
        <f t="shared" si="403"/>
        <v>-36.428544610000003</v>
      </c>
      <c r="CI64" s="924">
        <f t="shared" si="403"/>
        <v>-37.33371219</v>
      </c>
      <c r="CJ64" s="924">
        <f t="shared" si="403"/>
        <v>-38.557321659999999</v>
      </c>
      <c r="CK64" s="924">
        <f t="shared" si="403"/>
        <v>-41.225980079999999</v>
      </c>
      <c r="CL64" s="924">
        <f t="shared" si="403"/>
        <v>-41.659434440000005</v>
      </c>
      <c r="CM64" s="924">
        <f t="shared" si="403"/>
        <v>-41.910073709999999</v>
      </c>
      <c r="CN64" s="924">
        <f t="shared" si="403"/>
        <v>-42.286810029999998</v>
      </c>
      <c r="CO64" s="924">
        <f t="shared" si="403"/>
        <v>-42.452653189999999</v>
      </c>
      <c r="CP64" s="924">
        <f t="shared" si="403"/>
        <v>-42.961557799999994</v>
      </c>
      <c r="CQ64" s="924">
        <f t="shared" si="403"/>
        <v>-45.22696775</v>
      </c>
      <c r="CR64" s="924">
        <f t="shared" si="403"/>
        <v>-45.676619850000009</v>
      </c>
      <c r="CS64" s="924">
        <f t="shared" si="403"/>
        <v>-46.50014577999999</v>
      </c>
      <c r="CT64" s="924">
        <f t="shared" si="403"/>
        <v>-46.772874129999998</v>
      </c>
      <c r="CU64" s="924">
        <f t="shared" si="403"/>
        <v>-47.561301970000002</v>
      </c>
      <c r="CV64" s="924">
        <f t="shared" si="403"/>
        <v>-48.386301020000005</v>
      </c>
      <c r="CW64" s="924">
        <f t="shared" si="403"/>
        <v>-49.064978260000004</v>
      </c>
      <c r="CX64" s="924">
        <f t="shared" si="403"/>
        <v>-49.273253830000002</v>
      </c>
      <c r="CY64" s="924">
        <f t="shared" si="403"/>
        <v>-50.607869409999999</v>
      </c>
      <c r="CZ64" s="924">
        <f t="shared" si="403"/>
        <v>-51.935241089999998</v>
      </c>
      <c r="DA64" s="924">
        <f t="shared" si="403"/>
        <v>-52.579261470000006</v>
      </c>
      <c r="DB64" s="924">
        <f t="shared" si="403"/>
        <v>-52.014447909999994</v>
      </c>
      <c r="DC64" s="924">
        <f t="shared" si="403"/>
        <v>-52.229880569999999</v>
      </c>
      <c r="DD64" s="924">
        <f t="shared" si="403"/>
        <v>-52.074034449999999</v>
      </c>
      <c r="DE64" s="924">
        <f t="shared" si="403"/>
        <v>-52.074046729999992</v>
      </c>
      <c r="DF64" s="924">
        <f t="shared" si="403"/>
        <v>-52.108808310000001</v>
      </c>
      <c r="DG64" s="924">
        <f t="shared" si="403"/>
        <v>-52.442235230000001</v>
      </c>
      <c r="DH64" s="924">
        <f t="shared" si="403"/>
        <v>-55.349836260000004</v>
      </c>
      <c r="DI64" s="924">
        <f t="shared" si="403"/>
        <v>-51.849705759999999</v>
      </c>
      <c r="DJ64" s="924">
        <f t="shared" si="403"/>
        <v>-49.24760886</v>
      </c>
      <c r="DK64" s="924">
        <f t="shared" si="403"/>
        <v>-48.812828379999999</v>
      </c>
      <c r="DL64" s="924">
        <f t="shared" si="403"/>
        <v>-48.517327680000001</v>
      </c>
      <c r="DM64" s="924">
        <f t="shared" si="403"/>
        <v>-49.378839320000004</v>
      </c>
      <c r="DN64" s="924">
        <f t="shared" si="403"/>
        <v>-50.342153140000001</v>
      </c>
      <c r="DO64" s="924">
        <f t="shared" si="403"/>
        <v>-51.178569070000009</v>
      </c>
      <c r="DP64" s="924">
        <f t="shared" si="403"/>
        <v>-50.151247919999996</v>
      </c>
      <c r="DQ64" s="960">
        <f t="shared" si="403"/>
        <v>-51.104657449999998</v>
      </c>
      <c r="DR64" s="960">
        <f t="shared" si="403"/>
        <v>-50.669563099999998</v>
      </c>
      <c r="DS64" s="960">
        <f t="shared" si="403"/>
        <v>-52.274020069999999</v>
      </c>
      <c r="DT64" s="960">
        <f t="shared" si="403"/>
        <v>-53.118145589999997</v>
      </c>
      <c r="DU64" s="960">
        <f t="shared" si="403"/>
        <v>-57.744715040000003</v>
      </c>
      <c r="DV64" s="960">
        <f t="shared" si="403"/>
        <v>-52.231138609999995</v>
      </c>
      <c r="DW64" s="960">
        <f t="shared" si="403"/>
        <v>-59.09737063</v>
      </c>
      <c r="DX64" s="960">
        <f t="shared" si="403"/>
        <v>-57.013296059999995</v>
      </c>
      <c r="DY64" s="960">
        <f t="shared" ref="DY64:EF64" si="404">SUM(DY65:DY66)</f>
        <v>-52.712682959999995</v>
      </c>
      <c r="DZ64" s="960">
        <f t="shared" si="404"/>
        <v>-56.138836789999999</v>
      </c>
      <c r="EA64" s="960">
        <f t="shared" si="404"/>
        <v>-58.435042559999999</v>
      </c>
      <c r="EB64" s="960">
        <f t="shared" si="404"/>
        <v>-62.113697420000001</v>
      </c>
      <c r="EC64" s="960">
        <f t="shared" si="404"/>
        <v>-65.576985680000007</v>
      </c>
      <c r="ED64" s="960">
        <f t="shared" si="404"/>
        <v>-69.63800028</v>
      </c>
      <c r="EE64" s="960">
        <f t="shared" si="404"/>
        <v>-72.822712690000003</v>
      </c>
      <c r="EF64" s="960">
        <f t="shared" si="404"/>
        <v>-73.87726378000005</v>
      </c>
      <c r="EH64" s="924">
        <f t="shared" ref="EH64:ES64" si="405">SUM(EH65:EH66)</f>
        <v>-49.064978260000004</v>
      </c>
      <c r="EI64" s="924">
        <f t="shared" si="405"/>
        <v>-49.273253830000002</v>
      </c>
      <c r="EJ64" s="924">
        <f t="shared" si="405"/>
        <v>-50.607869410000006</v>
      </c>
      <c r="EK64" s="924">
        <f t="shared" si="405"/>
        <v>-51.935241089999998</v>
      </c>
      <c r="EL64" s="924">
        <f t="shared" si="405"/>
        <v>-52.579261469999992</v>
      </c>
      <c r="EM64" s="924">
        <f t="shared" si="405"/>
        <v>-52.014447909999994</v>
      </c>
      <c r="EN64" s="924">
        <f t="shared" si="405"/>
        <v>-52.014447909999994</v>
      </c>
      <c r="EO64" s="924">
        <f t="shared" si="405"/>
        <v>-52.014447909999994</v>
      </c>
      <c r="EP64" s="924">
        <f t="shared" si="405"/>
        <v>-52.014447909999994</v>
      </c>
      <c r="EQ64" s="924">
        <f t="shared" si="405"/>
        <v>-52.014447909999994</v>
      </c>
      <c r="ER64" s="924">
        <f t="shared" si="405"/>
        <v>-52.014447909999994</v>
      </c>
      <c r="ES64" s="924">
        <f t="shared" si="405"/>
        <v>-52.014447909999994</v>
      </c>
      <c r="EU64" s="924">
        <v>-51.514072189583331</v>
      </c>
      <c r="EV64" s="924">
        <v>-84.858846411111116</v>
      </c>
      <c r="EW64" s="924">
        <v>-68.362127631111122</v>
      </c>
      <c r="EX64" s="924">
        <v>-78.873760338888886</v>
      </c>
      <c r="EY64" s="924">
        <v>-64.085617828472223</v>
      </c>
      <c r="EZ64" s="924">
        <v>-60.161260338888894</v>
      </c>
      <c r="FA64" s="924">
        <v>-61.804315894444443</v>
      </c>
      <c r="FB64" s="924">
        <v>-60.422371450000014</v>
      </c>
      <c r="FC64" s="924">
        <v>-60.454315894444449</v>
      </c>
      <c r="FD64" s="924">
        <v>-61.761260338888889</v>
      </c>
      <c r="FE64" s="924">
        <v>-60.715427005555554</v>
      </c>
      <c r="FF64" s="924">
        <v>-60.286260338888894</v>
      </c>
      <c r="FG64" s="924">
        <f t="shared" ref="FG64:HB64" si="406">SUM(FG65:FG66)</f>
        <v>-110.40042617</v>
      </c>
      <c r="FH64" s="924">
        <f t="shared" si="406"/>
        <v>-108.62667887319999</v>
      </c>
      <c r="FI64" s="924">
        <f t="shared" si="406"/>
        <v>-104.68335480160532</v>
      </c>
      <c r="FJ64" s="924">
        <f t="shared" si="406"/>
        <v>-101.11776369287443</v>
      </c>
      <c r="FK64" s="924">
        <f t="shared" si="406"/>
        <v>-97.141462895159464</v>
      </c>
      <c r="FL64" s="924">
        <f t="shared" si="406"/>
        <v>-93.324214129353066</v>
      </c>
      <c r="FM64" s="924">
        <f t="shared" si="406"/>
        <v>-89.980488647512288</v>
      </c>
      <c r="FN64" s="924">
        <f t="shared" si="406"/>
        <v>-86.743012184945115</v>
      </c>
      <c r="FO64" s="924">
        <f t="shared" si="406"/>
        <v>-83.516701447547305</v>
      </c>
      <c r="FP64" s="924">
        <f t="shared" si="406"/>
        <v>-80.419443139645423</v>
      </c>
      <c r="FQ64" s="924">
        <f t="shared" si="406"/>
        <v>-77.321075164059593</v>
      </c>
      <c r="FR64" s="924">
        <f t="shared" si="406"/>
        <v>-74.326641907497219</v>
      </c>
      <c r="FS64" s="924">
        <f t="shared" si="406"/>
        <v>-47.582211999999998</v>
      </c>
      <c r="FT64" s="924">
        <f t="shared" si="406"/>
        <v>-47.614592999999999</v>
      </c>
      <c r="FU64" s="924">
        <f t="shared" si="406"/>
        <v>-47.333967999999999</v>
      </c>
      <c r="FV64" s="924">
        <f t="shared" si="406"/>
        <v>-46.726387000000003</v>
      </c>
      <c r="FW64" s="924">
        <f t="shared" si="406"/>
        <v>-45.978910999999997</v>
      </c>
      <c r="FX64" s="924">
        <f t="shared" si="406"/>
        <v>-44.968896000000001</v>
      </c>
      <c r="FY64" s="924">
        <f t="shared" si="406"/>
        <v>-41.895021999999997</v>
      </c>
      <c r="FZ64" s="924">
        <f t="shared" si="406"/>
        <v>-39.524799000000002</v>
      </c>
      <c r="GA64" s="924">
        <f t="shared" si="406"/>
        <v>-39.391584000000002</v>
      </c>
      <c r="GB64" s="924">
        <f t="shared" si="406"/>
        <v>-39.322406000000001</v>
      </c>
      <c r="GC64" s="924">
        <f t="shared" si="406"/>
        <v>-39.310248999999999</v>
      </c>
      <c r="GD64" s="924">
        <f t="shared" si="406"/>
        <v>-39.091251</v>
      </c>
      <c r="GE64" s="924">
        <f t="shared" si="406"/>
        <v>-35.535339999999998</v>
      </c>
      <c r="GF64" s="924">
        <f t="shared" si="406"/>
        <v>-35.535339999999998</v>
      </c>
      <c r="GG64" s="924">
        <f t="shared" si="406"/>
        <v>-35.535339999999998</v>
      </c>
      <c r="GH64" s="924">
        <f t="shared" si="406"/>
        <v>-35.535339999999998</v>
      </c>
      <c r="GI64" s="924">
        <f t="shared" si="406"/>
        <v>-35.535339999999998</v>
      </c>
      <c r="GJ64" s="924">
        <f t="shared" si="406"/>
        <v>-35.535339999999998</v>
      </c>
      <c r="GK64" s="924">
        <f t="shared" si="406"/>
        <v>-35.535339999999998</v>
      </c>
      <c r="GL64" s="924">
        <f t="shared" si="406"/>
        <v>-35.535339999999998</v>
      </c>
      <c r="GM64" s="924">
        <f t="shared" si="406"/>
        <v>-35.535339999999998</v>
      </c>
      <c r="GN64" s="924">
        <f t="shared" si="406"/>
        <v>-35.535339999999998</v>
      </c>
      <c r="GO64" s="924">
        <f t="shared" si="406"/>
        <v>-35.535339999999998</v>
      </c>
      <c r="GP64" s="924">
        <f t="shared" si="406"/>
        <v>-35.535339999999998</v>
      </c>
      <c r="GQ64" s="924">
        <f t="shared" si="406"/>
        <v>-35.535339999999998</v>
      </c>
      <c r="GR64" s="924">
        <f t="shared" si="406"/>
        <v>-35.535339999999998</v>
      </c>
      <c r="GS64" s="924">
        <f t="shared" si="406"/>
        <v>-35.535339999999998</v>
      </c>
      <c r="GT64" s="924">
        <f t="shared" si="406"/>
        <v>-35.535339999999998</v>
      </c>
      <c r="GU64" s="924">
        <f t="shared" si="406"/>
        <v>-35.535339999999998</v>
      </c>
      <c r="GV64" s="924">
        <f t="shared" si="406"/>
        <v>-35.535339999999998</v>
      </c>
      <c r="GW64" s="924">
        <f t="shared" si="406"/>
        <v>-35.535339999999998</v>
      </c>
      <c r="GX64" s="924">
        <f t="shared" si="406"/>
        <v>-35.535339999999998</v>
      </c>
      <c r="GY64" s="924">
        <f t="shared" si="406"/>
        <v>-35.535339999999998</v>
      </c>
      <c r="GZ64" s="924">
        <f t="shared" si="406"/>
        <v>-35.535339999999998</v>
      </c>
      <c r="HA64" s="924">
        <f t="shared" si="406"/>
        <v>-35.535339999999998</v>
      </c>
      <c r="HB64" s="924">
        <f t="shared" si="406"/>
        <v>-35.535339999999998</v>
      </c>
      <c r="HD64" s="924">
        <f t="shared" si="357"/>
        <v>-726.37904705000005</v>
      </c>
      <c r="HE64" s="924">
        <f t="shared" si="357"/>
        <v>-805.01408962000005</v>
      </c>
      <c r="HF64" s="924">
        <f t="shared" si="357"/>
        <v>-732.30842697000003</v>
      </c>
      <c r="HG64" s="924">
        <f t="shared" si="357"/>
        <v>-965.17700381999975</v>
      </c>
      <c r="HH64" s="924">
        <f t="shared" si="358"/>
        <v>-824.09895899999992</v>
      </c>
      <c r="HI64" s="924">
        <f t="shared" si="359"/>
        <v>-539.39243676000001</v>
      </c>
      <c r="HJ64" s="924">
        <f t="shared" ref="HJ64:HJ71" si="407">+SUMIF($E$6:$CJ$6,HJ$7,$E64:$CJ64)</f>
        <v>-426.64933264000007</v>
      </c>
      <c r="HK64" s="924">
        <f t="shared" si="360"/>
        <v>-532.62071974999992</v>
      </c>
      <c r="HL64" s="960">
        <f>+SUMIF($E$6:SEW$6,HL$7,$E64:SEW64)</f>
        <v>-621.75389351999991</v>
      </c>
      <c r="HM64" s="960">
        <f>+SUMIF($E$6:SEX$6,HM$7,$E64:SEX64)</f>
        <v>-606.64466633999996</v>
      </c>
      <c r="HN64" s="960">
        <f>+SUMIF($E$6:SEY$6,HN$7,$E64:SEY64)</f>
        <v>-737.40174249999995</v>
      </c>
      <c r="HO64" s="924"/>
      <c r="HP64" s="924"/>
      <c r="HR64" s="927">
        <f t="shared" si="361"/>
        <v>-9.0316012585966221E-2</v>
      </c>
      <c r="HS64" s="927">
        <f t="shared" si="361"/>
        <v>0.31799248550712012</v>
      </c>
      <c r="HT64" s="927">
        <f t="shared" si="361"/>
        <v>-0.146168054420731</v>
      </c>
      <c r="HU64" s="927">
        <f t="shared" si="361"/>
        <v>-0.34547613381950648</v>
      </c>
      <c r="HV64" s="927">
        <f t="shared" si="361"/>
        <v>-0.20901869666030271</v>
      </c>
      <c r="HW64" s="927">
        <f t="shared" si="361"/>
        <v>0.24838052940168742</v>
      </c>
      <c r="HX64" s="927">
        <f t="shared" si="361"/>
        <v>0.16734830333269257</v>
      </c>
      <c r="HY64" s="927">
        <f t="shared" si="361"/>
        <v>-2.4300977183207562E-2</v>
      </c>
      <c r="HZ64" s="927">
        <f t="shared" si="361"/>
        <v>0.21554145847664286</v>
      </c>
      <c r="IA64" s="927">
        <f t="shared" si="305"/>
        <v>-1</v>
      </c>
      <c r="IB64" s="927" t="str">
        <f t="shared" si="362"/>
        <v/>
      </c>
      <c r="IC64" s="927">
        <f t="shared" si="306"/>
        <v>-1</v>
      </c>
      <c r="IE64" s="924">
        <f t="shared" si="363"/>
        <v>72.705662650000022</v>
      </c>
      <c r="IF64" s="924">
        <f t="shared" si="363"/>
        <v>-232.86857684999973</v>
      </c>
      <c r="IG64" s="924">
        <f t="shared" si="363"/>
        <v>141.07804481999983</v>
      </c>
      <c r="IH64" s="924">
        <f t="shared" si="363"/>
        <v>284.70652223999991</v>
      </c>
      <c r="II64" s="924">
        <f t="shared" si="322"/>
        <v>112.74310411999994</v>
      </c>
      <c r="IJ64" s="924">
        <f t="shared" si="323"/>
        <v>-105.97138710999985</v>
      </c>
      <c r="IK64" s="924">
        <f t="shared" si="324"/>
        <v>-89.133173769999985</v>
      </c>
      <c r="IL64" s="924">
        <f t="shared" si="307"/>
        <v>621.75389351999991</v>
      </c>
      <c r="IM64" s="924">
        <f t="shared" si="364"/>
        <v>0</v>
      </c>
      <c r="IN64" s="924">
        <f t="shared" si="308"/>
        <v>621.75389351999991</v>
      </c>
      <c r="IP64" s="76">
        <f t="shared" si="365"/>
        <v>-2.1901998465601938E-2</v>
      </c>
      <c r="IQ64" s="76">
        <f t="shared" si="365"/>
        <v>-1.8594540105260845E-2</v>
      </c>
      <c r="IR64" s="76">
        <f t="shared" si="365"/>
        <v>-5.72710744415613E-2</v>
      </c>
      <c r="IS64" s="76">
        <f t="shared" si="365"/>
        <v>-0.13395568418991458</v>
      </c>
      <c r="IT64" s="76">
        <f t="shared" si="365"/>
        <v>-3.9577354181217106E-2</v>
      </c>
      <c r="IU64" s="76">
        <f t="shared" si="365"/>
        <v>-3.0150758784050005E-2</v>
      </c>
      <c r="IV64" s="76">
        <f t="shared" si="365"/>
        <v>-2.5088883818133463E-2</v>
      </c>
      <c r="IW64" s="76">
        <f t="shared" si="365"/>
        <v>-4.9267785217838679E-2</v>
      </c>
      <c r="IX64" s="76" t="e">
        <f t="shared" si="366"/>
        <v>#DIV/0!</v>
      </c>
      <c r="IY64" s="76" t="e">
        <f t="shared" si="367"/>
        <v>#DIV/0!</v>
      </c>
      <c r="JA64" s="924">
        <f t="shared" si="368"/>
        <v>-726.37904705000005</v>
      </c>
      <c r="JB64" s="924">
        <f t="shared" si="368"/>
        <v>-805.01408962000005</v>
      </c>
      <c r="JC64" s="924">
        <f t="shared" si="368"/>
        <v>-732.30842697000003</v>
      </c>
      <c r="JD64" s="924">
        <f t="shared" si="368"/>
        <v>-965.17700381999975</v>
      </c>
      <c r="JE64" s="924">
        <f t="shared" si="368"/>
        <v>-824.09895899999992</v>
      </c>
      <c r="JF64" s="924">
        <f t="shared" si="368"/>
        <v>-539.39243676000001</v>
      </c>
      <c r="JG64" s="924">
        <f t="shared" si="368"/>
        <v>-426.64933264000007</v>
      </c>
      <c r="JH64" s="924">
        <f t="shared" si="368"/>
        <v>-532.62071974999992</v>
      </c>
      <c r="JI64" s="924">
        <f t="shared" si="368"/>
        <v>-621.75389351999991</v>
      </c>
      <c r="JJ64" s="924">
        <f t="shared" si="368"/>
        <v>-606.64466633999996</v>
      </c>
      <c r="JK64" s="924">
        <f t="shared" si="368"/>
        <v>-737.40174249999995</v>
      </c>
      <c r="JL64" s="924">
        <f t="shared" si="369"/>
        <v>-737.40174249999995</v>
      </c>
      <c r="JM64" s="924"/>
      <c r="JN64" s="924"/>
      <c r="JP64" s="924">
        <f t="shared" si="370"/>
        <v>-737.40174249999995</v>
      </c>
      <c r="JQ64" s="924">
        <f t="shared" si="371"/>
        <v>0</v>
      </c>
      <c r="JR64" s="145"/>
      <c r="JS64" s="927" t="str">
        <f t="shared" si="372"/>
        <v/>
      </c>
      <c r="JT64" s="928">
        <f t="shared" si="373"/>
        <v>-737.40174249999995</v>
      </c>
      <c r="JV64" s="76">
        <f t="shared" si="374"/>
        <v>-2.4424090272940676E-2</v>
      </c>
      <c r="JW64" s="927" t="str">
        <f t="shared" si="375"/>
        <v/>
      </c>
      <c r="JY64" s="927">
        <f t="shared" ref="JY64:KE69" si="408">+IFERROR(JC64/JB64-1,"")</f>
        <v>-9.0316012585966221E-2</v>
      </c>
      <c r="JZ64" s="927">
        <f t="shared" si="408"/>
        <v>0.31799248550712012</v>
      </c>
      <c r="KA64" s="927">
        <f t="shared" si="408"/>
        <v>-0.146168054420731</v>
      </c>
      <c r="KB64" s="927">
        <f t="shared" si="408"/>
        <v>-0.34547613381950648</v>
      </c>
      <c r="KC64" s="927">
        <f t="shared" si="408"/>
        <v>-0.20901869666030271</v>
      </c>
      <c r="KD64" s="927">
        <f t="shared" si="408"/>
        <v>0.24838052940168742</v>
      </c>
      <c r="KE64" s="927">
        <f t="shared" si="408"/>
        <v>0.16734830333269257</v>
      </c>
      <c r="KF64" s="927">
        <f t="shared" ref="KF64:KF71" si="409">+IFERROR(JN64/JI64-1,"")</f>
        <v>-1</v>
      </c>
      <c r="KH64" s="924">
        <f t="shared" si="377"/>
        <v>72.705662650000022</v>
      </c>
      <c r="KI64" s="924">
        <f t="shared" si="378"/>
        <v>-232.86857684999973</v>
      </c>
      <c r="KJ64" s="924">
        <f t="shared" si="379"/>
        <v>141.07804481999983</v>
      </c>
      <c r="KK64" s="924">
        <f t="shared" si="380"/>
        <v>284.70652223999991</v>
      </c>
      <c r="KL64" s="924">
        <f t="shared" si="381"/>
        <v>112.74310411999994</v>
      </c>
      <c r="KM64" s="924">
        <f t="shared" si="382"/>
        <v>-105.97138710999985</v>
      </c>
      <c r="KN64" s="924">
        <f t="shared" si="383"/>
        <v>-89.133173769999985</v>
      </c>
      <c r="KO64" s="924">
        <f t="shared" si="384"/>
        <v>621.75389351999991</v>
      </c>
      <c r="KQ64" s="76">
        <f t="shared" si="385"/>
        <v>-2.0020718764063222E-2</v>
      </c>
      <c r="KR64" s="76">
        <f t="shared" si="385"/>
        <v>-2.1901998465601938E-2</v>
      </c>
      <c r="KS64" s="76">
        <f t="shared" si="385"/>
        <v>-1.8594540105260845E-2</v>
      </c>
      <c r="KT64" s="76">
        <f t="shared" si="385"/>
        <v>-5.72710744415613E-2</v>
      </c>
      <c r="KU64" s="76">
        <f t="shared" si="385"/>
        <v>-0.13395568418991458</v>
      </c>
      <c r="KV64" s="76">
        <f t="shared" si="385"/>
        <v>-3.9577354181217106E-2</v>
      </c>
      <c r="KW64" s="76">
        <f t="shared" si="385"/>
        <v>-3.0150758784050005E-2</v>
      </c>
      <c r="KX64" s="76">
        <f t="shared" si="385"/>
        <v>-2.5088883818133463E-2</v>
      </c>
      <c r="KY64" s="76">
        <f t="shared" si="385"/>
        <v>-4.9267785217838679E-2</v>
      </c>
      <c r="KZ64" s="76" t="e">
        <f t="shared" si="386"/>
        <v>#DIV/0!</v>
      </c>
      <c r="LB64" s="924">
        <f t="shared" si="387"/>
        <v>-57.402037000000007</v>
      </c>
      <c r="LC64" s="924">
        <f t="shared" si="387"/>
        <v>-93.954849410000122</v>
      </c>
      <c r="LD64" s="924">
        <f t="shared" si="387"/>
        <v>-173.58643161000003</v>
      </c>
      <c r="LE64" s="924">
        <f t="shared" si="387"/>
        <v>-314.77418089999998</v>
      </c>
      <c r="LF64" s="924">
        <f t="shared" si="387"/>
        <v>-85.483345</v>
      </c>
      <c r="LG64" s="924">
        <f t="shared" si="387"/>
        <v>-35.521261100000004</v>
      </c>
      <c r="LH64" s="924">
        <f t="shared" si="387"/>
        <v>-38.557321659999999</v>
      </c>
      <c r="LI64" s="924">
        <f t="shared" si="387"/>
        <v>-48.386301020000005</v>
      </c>
      <c r="LJ64" s="924">
        <f t="shared" si="387"/>
        <v>-55.349836260000004</v>
      </c>
      <c r="LK64" s="924">
        <f t="shared" si="387"/>
        <v>-53.118145589999997</v>
      </c>
      <c r="LL64" s="924">
        <f t="shared" si="387"/>
        <v>-73.87726378000005</v>
      </c>
      <c r="LM64" s="924">
        <f t="shared" si="387"/>
        <v>-73.87726378000005</v>
      </c>
      <c r="LN64" s="924"/>
      <c r="LO64" s="924"/>
      <c r="LR64" s="76">
        <f t="shared" si="388"/>
        <v>0.84755159206848019</v>
      </c>
      <c r="LS64" s="76">
        <f t="shared" si="389"/>
        <v>0.81335705780973222</v>
      </c>
      <c r="LT64" s="76">
        <f t="shared" si="390"/>
        <v>-0.72842961657278671</v>
      </c>
      <c r="LU64" s="76">
        <f t="shared" si="391"/>
        <v>-0.58446570966543243</v>
      </c>
      <c r="LV64" s="76">
        <f t="shared" si="392"/>
        <v>8.5471643347707404E-2</v>
      </c>
      <c r="LW64" s="76">
        <f t="shared" si="393"/>
        <v>0.25491862341145843</v>
      </c>
      <c r="LX64" s="76">
        <f t="shared" si="338"/>
        <v>-1</v>
      </c>
      <c r="LZ64" s="924">
        <f t="shared" si="394"/>
        <v>-79.631582199999912</v>
      </c>
      <c r="MA64" s="924">
        <f t="shared" si="395"/>
        <v>-141.18774928999994</v>
      </c>
      <c r="MB64" s="924">
        <f t="shared" si="396"/>
        <v>229.29083589999999</v>
      </c>
      <c r="MC64" s="924">
        <f t="shared" si="397"/>
        <v>49.962083899999996</v>
      </c>
      <c r="MD64" s="924">
        <f t="shared" si="398"/>
        <v>-3.0360605599999957</v>
      </c>
      <c r="ME64" s="924">
        <f t="shared" si="399"/>
        <v>-9.8289793600000053</v>
      </c>
      <c r="MF64" s="924">
        <f t="shared" si="340"/>
        <v>48.386301020000005</v>
      </c>
      <c r="MH64" s="76">
        <f t="shared" si="400"/>
        <v>-1.9138195657425992E-2</v>
      </c>
      <c r="MI64" s="76">
        <f t="shared" si="400"/>
        <v>-1.7040365423314191E-2</v>
      </c>
      <c r="MJ64" s="76">
        <f t="shared" si="400"/>
        <v>-3.3862941074018056E-2</v>
      </c>
      <c r="MK64" s="76">
        <f t="shared" si="400"/>
        <v>-0.54152669880997262</v>
      </c>
      <c r="ML64" s="76">
        <f t="shared" si="400"/>
        <v>-5.6744541920173017E-2</v>
      </c>
      <c r="MM64" s="76">
        <f t="shared" si="400"/>
        <v>-3.4530796849410808E-2</v>
      </c>
      <c r="MN64" s="76">
        <f t="shared" si="400"/>
        <v>-2.4795503461143429E-2</v>
      </c>
      <c r="MO64" s="76">
        <f t="shared" si="400"/>
        <v>-2.5710100406421344E-2</v>
      </c>
      <c r="MP64" s="76" t="e">
        <f t="shared" si="401"/>
        <v>#DIV/0!</v>
      </c>
    </row>
    <row r="65" spans="1:354" outlineLevel="2">
      <c r="A65" s="884">
        <v>5160</v>
      </c>
      <c r="B65" s="70" t="s">
        <v>650</v>
      </c>
      <c r="C65" s="29" t="s">
        <v>651</v>
      </c>
      <c r="D65" s="31"/>
      <c r="E65" s="102">
        <v>-4.255763</v>
      </c>
      <c r="F65" s="102">
        <v>-4.255763</v>
      </c>
      <c r="G65" s="102">
        <v>-4.3357639999999993</v>
      </c>
      <c r="H65" s="102">
        <v>-4.3357639999999993</v>
      </c>
      <c r="I65" s="102">
        <v>-4.7350970000000032</v>
      </c>
      <c r="J65" s="102">
        <v>-4.3550969999999971</v>
      </c>
      <c r="K65" s="102">
        <v>-4.3151860000000006</v>
      </c>
      <c r="L65" s="102">
        <v>-8.3297430000000006</v>
      </c>
      <c r="M65" s="102">
        <v>2.9561999999998534E-2</v>
      </c>
      <c r="N65" s="102">
        <v>-30.585151999999994</v>
      </c>
      <c r="O65" s="102">
        <v>2.0434339999994222E-2</v>
      </c>
      <c r="P65" s="102">
        <v>-7.1911289999999894</v>
      </c>
      <c r="Q65" s="102">
        <v>-5.8684246299999998</v>
      </c>
      <c r="R65" s="102">
        <v>-5.8684246299999998</v>
      </c>
      <c r="S65" s="102">
        <v>-5.9883053000000039</v>
      </c>
      <c r="T65" s="102">
        <v>-5.8404964799999952</v>
      </c>
      <c r="U65" s="102">
        <v>-6.0632569099999998</v>
      </c>
      <c r="V65" s="102">
        <v>-6.019410360000002</v>
      </c>
      <c r="W65" s="102">
        <v>-5.9816181899999989</v>
      </c>
      <c r="X65" s="102">
        <v>-5.939620859999998</v>
      </c>
      <c r="Y65" s="102">
        <v>-5.9133708599999935</v>
      </c>
      <c r="Z65" s="102">
        <v>-5.9133708600000077</v>
      </c>
      <c r="AA65" s="102">
        <v>-27.742239120000001</v>
      </c>
      <c r="AB65" s="102">
        <v>-19.379099069999995</v>
      </c>
      <c r="AC65" s="102">
        <v>-11.001437999999998</v>
      </c>
      <c r="AD65" s="102">
        <v>-10.926603</v>
      </c>
      <c r="AE65" s="102">
        <v>-11.246464999999999</v>
      </c>
      <c r="AF65" s="102">
        <v>-11.076086</v>
      </c>
      <c r="AG65" s="102">
        <v>-11.324290999999999</v>
      </c>
      <c r="AH65" s="102">
        <v>-13.350705999999999</v>
      </c>
      <c r="AI65" s="102">
        <v>-11.794131</v>
      </c>
      <c r="AJ65" s="102">
        <v>-10.576292</v>
      </c>
      <c r="AK65" s="102">
        <v>-13.756864</v>
      </c>
      <c r="AL65" s="102">
        <v>-6.526097</v>
      </c>
      <c r="AM65" s="102">
        <v>-10.063778040000001</v>
      </c>
      <c r="AN65" s="102">
        <v>-10.215184000000047</v>
      </c>
      <c r="AO65" s="145">
        <v>-26.334599000000001</v>
      </c>
      <c r="AP65" s="145">
        <v>0</v>
      </c>
      <c r="AQ65" s="145">
        <v>0</v>
      </c>
      <c r="AR65" s="145">
        <v>0</v>
      </c>
      <c r="AS65" s="145">
        <v>0</v>
      </c>
      <c r="AT65" s="145">
        <v>0</v>
      </c>
      <c r="AU65" s="145">
        <v>0</v>
      </c>
      <c r="AV65" s="145">
        <v>0</v>
      </c>
      <c r="AW65" s="145">
        <v>0</v>
      </c>
      <c r="AX65" s="145">
        <v>0</v>
      </c>
      <c r="AY65" s="145">
        <v>0</v>
      </c>
      <c r="AZ65" s="145">
        <f>-637.4441809+284.72</f>
        <v>-352.72418089999996</v>
      </c>
      <c r="BA65" s="102"/>
      <c r="BB65" s="102"/>
      <c r="BC65" s="102"/>
      <c r="BD65" s="102"/>
      <c r="BE65" s="102"/>
      <c r="BF65" s="102"/>
      <c r="BG65" s="102"/>
      <c r="BH65" s="102"/>
      <c r="BI65" s="102"/>
      <c r="BJ65" s="102"/>
      <c r="BK65" s="102"/>
      <c r="BL65" s="102"/>
      <c r="BM65" s="102">
        <v>-8.1430825799999997</v>
      </c>
      <c r="BN65" s="102">
        <v>-8.1430819400000019</v>
      </c>
      <c r="BO65" s="102">
        <v>-8.0628875000000004</v>
      </c>
      <c r="BP65" s="102">
        <v>-8.0628875000000004</v>
      </c>
      <c r="BQ65" s="102">
        <v>-8.0628876599999995</v>
      </c>
      <c r="BR65" s="102">
        <v>-8.4128429600000008</v>
      </c>
      <c r="BS65" s="102">
        <v>-8.4987679600000003</v>
      </c>
      <c r="BT65" s="102">
        <v>-8.29404158</v>
      </c>
      <c r="BU65" s="102">
        <v>-8.2662678000000014</v>
      </c>
      <c r="BV65" s="102">
        <v>-7.9748275300000007</v>
      </c>
      <c r="BW65" s="102">
        <v>-7.1496914199999999</v>
      </c>
      <c r="BX65" s="102">
        <v>-7.0017302400000005</v>
      </c>
      <c r="BY65" s="102">
        <v>-6.6384303000000005</v>
      </c>
      <c r="BZ65" s="102">
        <v>-7.5632746600000003</v>
      </c>
      <c r="CA65" s="102">
        <v>-7.4343021500000006</v>
      </c>
      <c r="CB65" s="102">
        <v>-7.5869830399999989</v>
      </c>
      <c r="CC65" s="102">
        <v>-7.6238702899999993</v>
      </c>
      <c r="CD65" s="102">
        <v>-7.6599535899999998</v>
      </c>
      <c r="CE65" s="102">
        <v>-7.6441263800000012</v>
      </c>
      <c r="CF65" s="102">
        <v>-7.6664845999999995</v>
      </c>
      <c r="CG65" s="102">
        <v>-7.6698132599999997</v>
      </c>
      <c r="CH65" s="102">
        <v>-7.6710035899999998</v>
      </c>
      <c r="CI65" s="102">
        <v>-7.6769028900000009</v>
      </c>
      <c r="CJ65" s="102">
        <v>-7.6892292500000003</v>
      </c>
      <c r="CK65" s="102">
        <v>-7.6892280900000003</v>
      </c>
      <c r="CL65" s="102">
        <v>-7.7552287400000006</v>
      </c>
      <c r="CM65" s="102">
        <v>-7.7642939100000001</v>
      </c>
      <c r="CN65" s="102">
        <v>-7.7642939100000001</v>
      </c>
      <c r="CO65" s="102">
        <v>-7.8566870599999996</v>
      </c>
      <c r="CP65" s="102">
        <v>-8.163108900000001</v>
      </c>
      <c r="CQ65" s="102">
        <v>-8.4550197899999997</v>
      </c>
      <c r="CR65" s="102">
        <v>-8.4641450099999993</v>
      </c>
      <c r="CS65" s="102">
        <v>-8.7629408800000004</v>
      </c>
      <c r="CT65" s="102">
        <v>-8.9989205899999991</v>
      </c>
      <c r="CU65" s="102">
        <v>-9.0499296600000001</v>
      </c>
      <c r="CV65" s="102">
        <v>-9.2679149299999999</v>
      </c>
      <c r="CW65" s="102">
        <v>-9.3441316800000003</v>
      </c>
      <c r="CX65" s="102">
        <v>-9.3141316799999991</v>
      </c>
      <c r="CY65" s="102">
        <v>-9.8554321799999993</v>
      </c>
      <c r="CZ65" s="102">
        <v>-10.14628834</v>
      </c>
      <c r="DA65" s="102">
        <v>-10.146287630000002</v>
      </c>
      <c r="DB65" s="102">
        <v>-9.5270756700000003</v>
      </c>
      <c r="DC65" s="102">
        <v>-10.024442070000001</v>
      </c>
      <c r="DD65" s="102">
        <v>-9.5961979800000012</v>
      </c>
      <c r="DE65" s="102">
        <v>-9.6986693800000001</v>
      </c>
      <c r="DF65" s="102">
        <v>-9.6495818800000013</v>
      </c>
      <c r="DG65" s="102">
        <v>-9.3047099299999996</v>
      </c>
      <c r="DH65" s="102">
        <v>-9.7607029399999998</v>
      </c>
      <c r="DI65" s="102">
        <v>-9.7255233200000006</v>
      </c>
      <c r="DJ65" s="102">
        <v>-8.2936143199999997</v>
      </c>
      <c r="DK65" s="102">
        <v>-8.3183399199999997</v>
      </c>
      <c r="DL65" s="102">
        <v>-7.4973671399999997</v>
      </c>
      <c r="DM65" s="102">
        <v>-7.5260621500000005</v>
      </c>
      <c r="DN65" s="102">
        <v>-7.4899786900000001</v>
      </c>
      <c r="DO65" s="102">
        <v>-7.1986717599999999</v>
      </c>
      <c r="DP65" s="102">
        <v>-7.2054721600000002</v>
      </c>
      <c r="DQ65" s="940">
        <v>-7.3609401700000001</v>
      </c>
      <c r="DR65" s="940">
        <v>-7.3609401700000001</v>
      </c>
      <c r="DS65" s="940">
        <v>-7.3680998400000002</v>
      </c>
      <c r="DT65" s="940">
        <v>-7.7227310199999994</v>
      </c>
      <c r="DU65" s="940">
        <v>-7.73930586</v>
      </c>
      <c r="DV65" s="940">
        <v>-7.6479450599999996</v>
      </c>
      <c r="DW65" s="940">
        <v>-7.8332050099999995</v>
      </c>
      <c r="DX65" s="940">
        <v>-7.9607620499999996</v>
      </c>
      <c r="DY65" s="940">
        <v>-7.9724703799999999</v>
      </c>
      <c r="DZ65" s="940">
        <v>-8.0921996600000003</v>
      </c>
      <c r="EA65" s="940">
        <v>-8.5009123100000004</v>
      </c>
      <c r="EB65" s="940">
        <v>-7.9277902899999999</v>
      </c>
      <c r="EC65" s="940">
        <v>-7.7331666800000001</v>
      </c>
      <c r="ED65" s="940">
        <v>-7.5525229700000001</v>
      </c>
      <c r="EE65" s="940">
        <v>-7.67064609</v>
      </c>
      <c r="EF65" s="940">
        <v>-7.1763340099999997</v>
      </c>
      <c r="EH65" s="102">
        <v>-9.3441316800000003</v>
      </c>
      <c r="EI65" s="102">
        <v>-9.3141316799999991</v>
      </c>
      <c r="EJ65" s="102">
        <v>-9.8554321799999993</v>
      </c>
      <c r="EK65" s="102">
        <v>-10.14628834</v>
      </c>
      <c r="EL65" s="102">
        <v>-10.14628763</v>
      </c>
      <c r="EM65" s="102">
        <v>-9.5270756700000003</v>
      </c>
      <c r="EN65" s="102">
        <v>-9.5270756700000003</v>
      </c>
      <c r="EO65" s="102">
        <v>-9.5270756700000003</v>
      </c>
      <c r="EP65" s="102">
        <v>-9.5270756700000003</v>
      </c>
      <c r="EQ65" s="102">
        <v>-9.5270756700000003</v>
      </c>
      <c r="ER65" s="102">
        <v>-9.5270756700000003</v>
      </c>
      <c r="ES65" s="102">
        <v>-9.5270756700000003</v>
      </c>
      <c r="EU65" s="102">
        <v>-10.988161253333335</v>
      </c>
      <c r="EV65" s="102">
        <v>-10.988161253333335</v>
      </c>
      <c r="EW65" s="102">
        <v>-10.988161253333335</v>
      </c>
      <c r="EX65" s="102">
        <v>-10.988161253333335</v>
      </c>
      <c r="EY65" s="102">
        <v>-10.988161253333335</v>
      </c>
      <c r="EZ65" s="102">
        <v>-10.988161253333335</v>
      </c>
      <c r="FA65" s="102">
        <v>-10.988161253333335</v>
      </c>
      <c r="FB65" s="102">
        <v>-10.988161253333335</v>
      </c>
      <c r="FC65" s="102">
        <v>-10.988161253333335</v>
      </c>
      <c r="FD65" s="102">
        <v>-10.988161253333335</v>
      </c>
      <c r="FE65" s="102">
        <v>-10.988161253333335</v>
      </c>
      <c r="FF65" s="102">
        <v>-10.988161253333335</v>
      </c>
      <c r="FG65" s="102">
        <v>-75.887121120000003</v>
      </c>
      <c r="FH65" s="102">
        <v>-72.851636275199994</v>
      </c>
      <c r="FI65" s="102">
        <v>-69.937570824191994</v>
      </c>
      <c r="FJ65" s="102">
        <v>-67.140067991224313</v>
      </c>
      <c r="FK65" s="102">
        <v>-64.454465271575344</v>
      </c>
      <c r="FL65" s="102">
        <v>-61.876286660712317</v>
      </c>
      <c r="FM65" s="102">
        <v>-59.401235194283828</v>
      </c>
      <c r="FN65" s="102">
        <v>-57.025185786512466</v>
      </c>
      <c r="FO65" s="102">
        <v>-54.744178355051965</v>
      </c>
      <c r="FP65" s="102">
        <v>-52.554411220849886</v>
      </c>
      <c r="FQ65" s="102">
        <v>-50.452234772015885</v>
      </c>
      <c r="FR65" s="102">
        <v>-48.434145381135252</v>
      </c>
      <c r="FS65" s="102">
        <v>-47.582211999999998</v>
      </c>
      <c r="FT65" s="102">
        <v>-47.614592999999999</v>
      </c>
      <c r="FU65" s="102">
        <v>-47.333967999999999</v>
      </c>
      <c r="FV65" s="102">
        <v>-46.726387000000003</v>
      </c>
      <c r="FW65" s="102">
        <v>-45.978910999999997</v>
      </c>
      <c r="FX65" s="102">
        <v>-44.968896000000001</v>
      </c>
      <c r="FY65" s="102">
        <v>-41.895021999999997</v>
      </c>
      <c r="FZ65" s="102">
        <v>-39.524799000000002</v>
      </c>
      <c r="GA65" s="102">
        <v>-39.391584000000002</v>
      </c>
      <c r="GB65" s="102">
        <v>-39.322406000000001</v>
      </c>
      <c r="GC65" s="102">
        <v>-39.310248999999999</v>
      </c>
      <c r="GD65" s="102">
        <v>-39.091251</v>
      </c>
      <c r="GE65" s="102">
        <v>-7.6345720000000004</v>
      </c>
      <c r="GF65" s="102">
        <v>-7.6345720000000004</v>
      </c>
      <c r="GG65" s="102">
        <v>-7.6345720000000004</v>
      </c>
      <c r="GH65" s="102">
        <v>-7.6345720000000004</v>
      </c>
      <c r="GI65" s="102">
        <v>-7.6345720000000004</v>
      </c>
      <c r="GJ65" s="102">
        <v>-7.6345720000000004</v>
      </c>
      <c r="GK65" s="102">
        <v>-7.6345720000000004</v>
      </c>
      <c r="GL65" s="102">
        <v>-7.6345720000000004</v>
      </c>
      <c r="GM65" s="102">
        <v>-7.6345720000000004</v>
      </c>
      <c r="GN65" s="102">
        <v>-7.6345720000000004</v>
      </c>
      <c r="GO65" s="102">
        <v>-7.6345720000000004</v>
      </c>
      <c r="GP65" s="102">
        <v>-7.6345720000000004</v>
      </c>
      <c r="GQ65" s="102">
        <v>-7.6345720000000004</v>
      </c>
      <c r="GR65" s="102">
        <v>-7.6345720000000004</v>
      </c>
      <c r="GS65" s="102">
        <v>-7.6345720000000004</v>
      </c>
      <c r="GT65" s="102">
        <v>-7.6345720000000004</v>
      </c>
      <c r="GU65" s="102">
        <v>-7.6345720000000004</v>
      </c>
      <c r="GV65" s="102">
        <v>-7.6345720000000004</v>
      </c>
      <c r="GW65" s="102">
        <v>-7.6345720000000004</v>
      </c>
      <c r="GX65" s="102">
        <v>-7.6345720000000004</v>
      </c>
      <c r="GY65" s="102">
        <v>-7.6345720000000004</v>
      </c>
      <c r="GZ65" s="102">
        <v>-7.6345720000000004</v>
      </c>
      <c r="HA65" s="102">
        <v>-7.6345720000000004</v>
      </c>
      <c r="HB65" s="102">
        <v>-7.6345720000000004</v>
      </c>
      <c r="HD65" s="102">
        <f t="shared" si="357"/>
        <v>-76.64446165999999</v>
      </c>
      <c r="HE65" s="102">
        <f t="shared" si="357"/>
        <v>-106.51763726999999</v>
      </c>
      <c r="HF65" s="102">
        <f t="shared" si="357"/>
        <v>-131.85793504000003</v>
      </c>
      <c r="HG65" s="102">
        <f t="shared" si="357"/>
        <v>-379.05877989999999</v>
      </c>
      <c r="HH65" s="102">
        <f t="shared" si="358"/>
        <v>0</v>
      </c>
      <c r="HI65" s="102">
        <f t="shared" si="359"/>
        <v>-96.072996669999995</v>
      </c>
      <c r="HJ65" s="102">
        <f t="shared" si="407"/>
        <v>-90.524374000000009</v>
      </c>
      <c r="HK65" s="102">
        <f t="shared" si="360"/>
        <v>-99.991711470000013</v>
      </c>
      <c r="HL65" s="940">
        <f>+SUMIF($E$6:SEW$6,HL$7,$E65:SEW65)</f>
        <v>-116.36765136000001</v>
      </c>
      <c r="HM65" s="940">
        <f>+SUMIF($E$6:SEX$6,HM$7,$E65:SEX65)</f>
        <v>-93.067740660000013</v>
      </c>
      <c r="HN65" s="940">
        <f>+SUMIF($E$6:SEY$6,HN$7,$E65:SEY65)</f>
        <v>-93.807260370000009</v>
      </c>
      <c r="HO65" s="102"/>
      <c r="HP65" s="102"/>
      <c r="HR65" s="929">
        <f t="shared" si="361"/>
        <v>0.23789767046529264</v>
      </c>
      <c r="HS65" s="929">
        <f t="shared" si="361"/>
        <v>1.8747513737797417</v>
      </c>
      <c r="HT65" s="929">
        <f t="shared" si="361"/>
        <v>-1</v>
      </c>
      <c r="HU65" s="929" t="str">
        <f t="shared" si="361"/>
        <v/>
      </c>
      <c r="HV65" s="929">
        <f t="shared" si="361"/>
        <v>-5.7754237531060681E-2</v>
      </c>
      <c r="HW65" s="929">
        <f t="shared" si="361"/>
        <v>0.10458329675939004</v>
      </c>
      <c r="HX65" s="929">
        <f t="shared" si="361"/>
        <v>0.16377297327202145</v>
      </c>
      <c r="HY65" s="929">
        <f t="shared" si="361"/>
        <v>-0.20022669898113166</v>
      </c>
      <c r="HZ65" s="929">
        <f t="shared" si="361"/>
        <v>7.9460369915032025E-3</v>
      </c>
      <c r="IA65" s="929">
        <f t="shared" si="305"/>
        <v>-1</v>
      </c>
      <c r="IB65" s="929" t="str">
        <f t="shared" si="362"/>
        <v/>
      </c>
      <c r="IC65" s="929">
        <f t="shared" si="306"/>
        <v>-1</v>
      </c>
      <c r="IE65" s="102">
        <f t="shared" si="363"/>
        <v>-25.340297770000035</v>
      </c>
      <c r="IF65" s="102">
        <f t="shared" si="363"/>
        <v>-247.20084485999996</v>
      </c>
      <c r="IG65" s="102">
        <f t="shared" si="363"/>
        <v>379.05877989999999</v>
      </c>
      <c r="IH65" s="102">
        <f t="shared" si="363"/>
        <v>-96.072996669999995</v>
      </c>
      <c r="II65" s="102">
        <f t="shared" si="322"/>
        <v>5.5486226699999861</v>
      </c>
      <c r="IJ65" s="102">
        <f t="shared" si="323"/>
        <v>-9.4673374700000039</v>
      </c>
      <c r="IK65" s="102">
        <f t="shared" si="324"/>
        <v>-16.375939889999998</v>
      </c>
      <c r="IL65" s="102">
        <f t="shared" si="307"/>
        <v>116.36765136000001</v>
      </c>
      <c r="IM65" s="102">
        <f t="shared" si="364"/>
        <v>0</v>
      </c>
      <c r="IN65" s="102">
        <f t="shared" si="308"/>
        <v>116.36765136000001</v>
      </c>
      <c r="IP65" s="32">
        <f t="shared" si="365"/>
        <v>-2.8980227279603666E-3</v>
      </c>
      <c r="IQ65" s="32">
        <f t="shared" si="365"/>
        <v>-3.3480942878711434E-3</v>
      </c>
      <c r="IR65" s="32">
        <f t="shared" si="365"/>
        <v>-2.2492354786178607E-2</v>
      </c>
      <c r="IS65" s="32">
        <f t="shared" si="365"/>
        <v>0</v>
      </c>
      <c r="IT65" s="32">
        <f t="shared" si="365"/>
        <v>-7.0492553423608766E-3</v>
      </c>
      <c r="IU65" s="32">
        <f t="shared" si="365"/>
        <v>-6.3972409089741496E-3</v>
      </c>
      <c r="IV65" s="32">
        <f t="shared" si="365"/>
        <v>-4.7100691708438815E-3</v>
      </c>
      <c r="IW65" s="32">
        <f t="shared" si="365"/>
        <v>-9.2209739468634231E-3</v>
      </c>
      <c r="IX65" s="32" t="e">
        <f t="shared" si="366"/>
        <v>#DIV/0!</v>
      </c>
      <c r="IY65" s="32" t="e">
        <f t="shared" si="367"/>
        <v>#DIV/0!</v>
      </c>
      <c r="JA65" s="102">
        <f t="shared" si="368"/>
        <v>-76.64446165999999</v>
      </c>
      <c r="JB65" s="102">
        <f t="shared" si="368"/>
        <v>-106.51763726999999</v>
      </c>
      <c r="JC65" s="102">
        <f t="shared" si="368"/>
        <v>-131.85793504000003</v>
      </c>
      <c r="JD65" s="102">
        <f t="shared" si="368"/>
        <v>-379.05877989999999</v>
      </c>
      <c r="JE65" s="102">
        <f t="shared" si="368"/>
        <v>0</v>
      </c>
      <c r="JF65" s="102">
        <f t="shared" si="368"/>
        <v>-96.072996669999995</v>
      </c>
      <c r="JG65" s="102">
        <f t="shared" si="368"/>
        <v>-90.524374000000009</v>
      </c>
      <c r="JH65" s="102">
        <f t="shared" si="368"/>
        <v>-99.991711470000013</v>
      </c>
      <c r="JI65" s="102">
        <f t="shared" si="368"/>
        <v>-116.36765136000001</v>
      </c>
      <c r="JJ65" s="102">
        <f t="shared" si="368"/>
        <v>-93.067740660000013</v>
      </c>
      <c r="JK65" s="102">
        <f t="shared" si="368"/>
        <v>-93.807260370000009</v>
      </c>
      <c r="JL65" s="102">
        <f t="shared" si="369"/>
        <v>-93.807260370000009</v>
      </c>
      <c r="JM65" s="102"/>
      <c r="JN65" s="102"/>
      <c r="JP65" s="102">
        <f t="shared" si="370"/>
        <v>-93.807260370000009</v>
      </c>
      <c r="JQ65" s="102">
        <f t="shared" si="371"/>
        <v>0</v>
      </c>
      <c r="JR65" s="145"/>
      <c r="JS65" s="929" t="str">
        <f t="shared" si="372"/>
        <v/>
      </c>
      <c r="JT65" s="930">
        <f t="shared" si="373"/>
        <v>-93.807260370000009</v>
      </c>
      <c r="JV65" s="32">
        <f t="shared" si="374"/>
        <v>-3.1070675094507665E-3</v>
      </c>
      <c r="JW65" s="929" t="str">
        <f t="shared" si="375"/>
        <v/>
      </c>
      <c r="JY65" s="929">
        <f t="shared" si="408"/>
        <v>0.23789767046529264</v>
      </c>
      <c r="JZ65" s="929">
        <f t="shared" si="408"/>
        <v>1.8747513737797417</v>
      </c>
      <c r="KA65" s="929">
        <f t="shared" si="408"/>
        <v>-1</v>
      </c>
      <c r="KB65" s="929" t="str">
        <f t="shared" si="408"/>
        <v/>
      </c>
      <c r="KC65" s="929">
        <f t="shared" si="408"/>
        <v>-5.7754237531060681E-2</v>
      </c>
      <c r="KD65" s="929">
        <f t="shared" si="408"/>
        <v>0.10458329675939004</v>
      </c>
      <c r="KE65" s="929">
        <f t="shared" si="408"/>
        <v>0.16377297327202145</v>
      </c>
      <c r="KF65" s="929">
        <f t="shared" si="409"/>
        <v>-1</v>
      </c>
      <c r="KH65" s="102">
        <f t="shared" si="377"/>
        <v>-25.340297770000035</v>
      </c>
      <c r="KI65" s="102">
        <f t="shared" si="378"/>
        <v>-247.20084485999996</v>
      </c>
      <c r="KJ65" s="102">
        <f t="shared" si="379"/>
        <v>379.05877989999999</v>
      </c>
      <c r="KK65" s="102">
        <f t="shared" si="380"/>
        <v>-96.072996669999995</v>
      </c>
      <c r="KL65" s="102">
        <f t="shared" si="381"/>
        <v>5.5486226699999861</v>
      </c>
      <c r="KM65" s="102">
        <f t="shared" si="382"/>
        <v>-9.4673374700000039</v>
      </c>
      <c r="KN65" s="102">
        <f t="shared" si="383"/>
        <v>-16.375939889999998</v>
      </c>
      <c r="KO65" s="102">
        <f t="shared" si="384"/>
        <v>116.36765136000001</v>
      </c>
      <c r="KQ65" s="32">
        <f t="shared" si="385"/>
        <v>-2.1125020303789971E-3</v>
      </c>
      <c r="KR65" s="32">
        <f t="shared" si="385"/>
        <v>-2.8980227279603666E-3</v>
      </c>
      <c r="KS65" s="32">
        <f t="shared" si="385"/>
        <v>-3.3480942878711434E-3</v>
      </c>
      <c r="KT65" s="32">
        <f t="shared" si="385"/>
        <v>-2.2492354786178607E-2</v>
      </c>
      <c r="KU65" s="32">
        <f t="shared" si="385"/>
        <v>0</v>
      </c>
      <c r="KV65" s="32">
        <f t="shared" si="385"/>
        <v>-7.0492553423608766E-3</v>
      </c>
      <c r="KW65" s="32">
        <f t="shared" si="385"/>
        <v>-6.3972409089741496E-3</v>
      </c>
      <c r="KX65" s="32">
        <f t="shared" si="385"/>
        <v>-4.7100691708438815E-3</v>
      </c>
      <c r="KY65" s="32">
        <f t="shared" si="385"/>
        <v>-9.2209739468634231E-3</v>
      </c>
      <c r="KZ65" s="32" t="e">
        <f t="shared" si="386"/>
        <v>#DIV/0!</v>
      </c>
      <c r="LB65" s="102">
        <f t="shared" si="387"/>
        <v>-7.1911289999999894</v>
      </c>
      <c r="LC65" s="102">
        <f t="shared" si="387"/>
        <v>-19.379099069999995</v>
      </c>
      <c r="LD65" s="102">
        <f t="shared" si="387"/>
        <v>-10.215184000000047</v>
      </c>
      <c r="LE65" s="102">
        <f t="shared" si="387"/>
        <v>-352.72418089999996</v>
      </c>
      <c r="LF65" s="102">
        <f t="shared" si="387"/>
        <v>0</v>
      </c>
      <c r="LG65" s="102">
        <f t="shared" si="387"/>
        <v>-7.0017302400000005</v>
      </c>
      <c r="LH65" s="102">
        <f t="shared" si="387"/>
        <v>-7.6892292500000003</v>
      </c>
      <c r="LI65" s="102">
        <f t="shared" si="387"/>
        <v>-9.2679149299999999</v>
      </c>
      <c r="LJ65" s="102">
        <f t="shared" si="387"/>
        <v>-9.7607029399999998</v>
      </c>
      <c r="LK65" s="102">
        <f t="shared" si="387"/>
        <v>-7.7227310199999994</v>
      </c>
      <c r="LL65" s="102">
        <f t="shared" si="387"/>
        <v>-7.1763340099999997</v>
      </c>
      <c r="LM65" s="102">
        <f t="shared" si="387"/>
        <v>-7.1763340099999997</v>
      </c>
      <c r="LN65" s="102"/>
      <c r="LO65" s="102"/>
      <c r="LR65" s="32">
        <f t="shared" si="388"/>
        <v>-0.47287621766618848</v>
      </c>
      <c r="LS65" s="32">
        <f t="shared" si="389"/>
        <v>33.529400635367736</v>
      </c>
      <c r="LT65" s="32">
        <f t="shared" si="390"/>
        <v>-1</v>
      </c>
      <c r="LU65" s="32" t="str">
        <f t="shared" si="391"/>
        <v xml:space="preserve"> </v>
      </c>
      <c r="LV65" s="32">
        <f t="shared" si="392"/>
        <v>9.8189873993203003E-2</v>
      </c>
      <c r="LW65" s="32">
        <f t="shared" si="393"/>
        <v>0.20531130347037041</v>
      </c>
      <c r="LX65" s="32">
        <f t="shared" si="338"/>
        <v>-1</v>
      </c>
      <c r="LZ65" s="102">
        <f t="shared" si="394"/>
        <v>9.1639150699999483</v>
      </c>
      <c r="MA65" s="102">
        <f t="shared" si="395"/>
        <v>-342.50899689999994</v>
      </c>
      <c r="MB65" s="102">
        <f t="shared" si="396"/>
        <v>352.72418089999996</v>
      </c>
      <c r="MC65" s="102">
        <f t="shared" si="397"/>
        <v>-7.0017302400000005</v>
      </c>
      <c r="MD65" s="102">
        <f t="shared" si="398"/>
        <v>-0.6874990099999998</v>
      </c>
      <c r="ME65" s="102">
        <f t="shared" si="399"/>
        <v>-1.5786856799999995</v>
      </c>
      <c r="MF65" s="102">
        <f t="shared" si="340"/>
        <v>9.2679149299999999</v>
      </c>
      <c r="MH65" s="32">
        <f t="shared" si="400"/>
        <v>-2.3975670723983176E-3</v>
      </c>
      <c r="MI65" s="32">
        <f t="shared" si="400"/>
        <v>-3.5147406632132843E-3</v>
      </c>
      <c r="MJ65" s="32">
        <f t="shared" si="400"/>
        <v>-1.9927604401099169E-3</v>
      </c>
      <c r="MK65" s="32">
        <f t="shared" si="400"/>
        <v>-0.60681457649129755</v>
      </c>
      <c r="ML65" s="32">
        <f t="shared" si="400"/>
        <v>0</v>
      </c>
      <c r="MM65" s="32">
        <f t="shared" si="400"/>
        <v>-6.806496082196147E-3</v>
      </c>
      <c r="MN65" s="32">
        <f t="shared" si="400"/>
        <v>-4.9448017204911923E-3</v>
      </c>
      <c r="MO65" s="32">
        <f t="shared" si="400"/>
        <v>-4.9245141369657734E-3</v>
      </c>
      <c r="MP65" s="32" t="e">
        <f t="shared" si="401"/>
        <v>#DIV/0!</v>
      </c>
    </row>
    <row r="66" spans="1:354" outlineLevel="2">
      <c r="A66" s="884">
        <v>7460</v>
      </c>
      <c r="B66" s="70" t="s">
        <v>650</v>
      </c>
      <c r="C66" s="29" t="s">
        <v>652</v>
      </c>
      <c r="D66" s="31"/>
      <c r="E66" s="102">
        <v>-42.368783000000001</v>
      </c>
      <c r="F66" s="102">
        <v>-56.857209430000005</v>
      </c>
      <c r="G66" s="102">
        <v>-75.785280000000014</v>
      </c>
      <c r="H66" s="102">
        <v>-58.539884999999998</v>
      </c>
      <c r="I66" s="102">
        <v>-52.426456959999967</v>
      </c>
      <c r="J66" s="102">
        <v>-58.829700000000003</v>
      </c>
      <c r="K66" s="102">
        <v>-44.042600999999991</v>
      </c>
      <c r="L66" s="102">
        <v>-94.168925000000002</v>
      </c>
      <c r="M66" s="102">
        <v>2.9532000000017433E-2</v>
      </c>
      <c r="N66" s="102">
        <v>-64.918490000000077</v>
      </c>
      <c r="O66" s="102">
        <v>-51.61587899999995</v>
      </c>
      <c r="P66" s="102">
        <v>-50.210908000000018</v>
      </c>
      <c r="Q66" s="102">
        <v>-75.063975650000003</v>
      </c>
      <c r="R66" s="102">
        <v>-56.649560030000004</v>
      </c>
      <c r="S66" s="102">
        <v>-53.143776360000004</v>
      </c>
      <c r="T66" s="102">
        <v>-51.750054760000012</v>
      </c>
      <c r="U66" s="102">
        <v>-56.358132359999956</v>
      </c>
      <c r="V66" s="102">
        <v>-46.961522249999973</v>
      </c>
      <c r="W66" s="102">
        <v>-46.905419040000083</v>
      </c>
      <c r="X66" s="102">
        <v>-47.033182060000001</v>
      </c>
      <c r="Y66" s="102">
        <v>-45.241951099999994</v>
      </c>
      <c r="Z66" s="102">
        <v>-48.089857219999999</v>
      </c>
      <c r="AA66" s="102">
        <v>-96.72327117999987</v>
      </c>
      <c r="AB66" s="102">
        <v>-74.575750340000127</v>
      </c>
      <c r="AC66" s="102">
        <v>-39.725875000000002</v>
      </c>
      <c r="AD66" s="102">
        <v>-40.043961000000003</v>
      </c>
      <c r="AE66" s="102">
        <v>-39.403124960000007</v>
      </c>
      <c r="AF66" s="102">
        <v>-39.851531200000004</v>
      </c>
      <c r="AG66" s="102">
        <v>-32.741281999999998</v>
      </c>
      <c r="AH66" s="102">
        <v>-41.882753000000001</v>
      </c>
      <c r="AI66" s="102">
        <v>-39.894891999999999</v>
      </c>
      <c r="AJ66" s="102">
        <v>-40.777025999999999</v>
      </c>
      <c r="AK66" s="102">
        <v>-42.636592999999998</v>
      </c>
      <c r="AL66" s="102">
        <v>-38.790320000000001</v>
      </c>
      <c r="AM66" s="102">
        <v>-41.331886160000003</v>
      </c>
      <c r="AN66" s="102">
        <v>-163.37124760999998</v>
      </c>
      <c r="AO66" s="145">
        <v>-39.798465</v>
      </c>
      <c r="AP66" s="145">
        <v>-64.80410114</v>
      </c>
      <c r="AQ66" s="145">
        <v>-64.664637139999996</v>
      </c>
      <c r="AR66" s="145">
        <v>-61.659712549999995</v>
      </c>
      <c r="AS66" s="145">
        <v>-27.82784479</v>
      </c>
      <c r="AT66" s="145">
        <v>-101.53005184999999</v>
      </c>
      <c r="AU66" s="145">
        <v>-50.073682229999996</v>
      </c>
      <c r="AV66" s="145">
        <v>-50.006734630000004</v>
      </c>
      <c r="AW66" s="145">
        <v>-49.907353819999997</v>
      </c>
      <c r="AX66" s="145">
        <v>-52.688997819999997</v>
      </c>
      <c r="AY66" s="145">
        <v>-61.106642949999923</v>
      </c>
      <c r="AZ66" s="145">
        <v>37.950000000000003</v>
      </c>
      <c r="BA66" s="102"/>
      <c r="BB66" s="102"/>
      <c r="BC66" s="102"/>
      <c r="BD66" s="102"/>
      <c r="BE66" s="102"/>
      <c r="BF66" s="102"/>
      <c r="BG66" s="102"/>
      <c r="BH66" s="102"/>
      <c r="BI66" s="102"/>
      <c r="BJ66" s="102"/>
      <c r="BK66" s="102"/>
      <c r="BL66" s="102"/>
      <c r="BM66" s="102">
        <v>-54.505270200000005</v>
      </c>
      <c r="BN66" s="102">
        <v>-38.157904409999993</v>
      </c>
      <c r="BO66" s="102">
        <v>-37.724259619999998</v>
      </c>
      <c r="BP66" s="102">
        <v>-37.636362390000002</v>
      </c>
      <c r="BQ66" s="102">
        <v>-37.758217269999996</v>
      </c>
      <c r="BR66" s="102">
        <v>-37.383058490000003</v>
      </c>
      <c r="BS66" s="102">
        <v>-36.662541629999993</v>
      </c>
      <c r="BT66" s="102">
        <v>-36.274300699999998</v>
      </c>
      <c r="BU66" s="102">
        <v>-35.676323359999998</v>
      </c>
      <c r="BV66" s="102">
        <v>-32.48824183</v>
      </c>
      <c r="BW66" s="102">
        <v>-30.533429330000001</v>
      </c>
      <c r="BX66" s="102">
        <v>-28.519530860000003</v>
      </c>
      <c r="BY66" s="102">
        <v>-28.025187880000004</v>
      </c>
      <c r="BZ66" s="102">
        <v>-28.612846950000002</v>
      </c>
      <c r="CA66" s="102">
        <v>-28.689819579999998</v>
      </c>
      <c r="CB66" s="102">
        <v>-26.413974909999997</v>
      </c>
      <c r="CC66" s="102">
        <v>-26.512138530000001</v>
      </c>
      <c r="CD66" s="102">
        <v>-26.669066450000003</v>
      </c>
      <c r="CE66" s="102">
        <v>-26.343236509999997</v>
      </c>
      <c r="CF66" s="102">
        <v>-27.642162979999998</v>
      </c>
      <c r="CG66" s="102">
        <v>-27.934082119999996</v>
      </c>
      <c r="CH66" s="102">
        <v>-28.757541020000005</v>
      </c>
      <c r="CI66" s="102">
        <v>-29.656809299999995</v>
      </c>
      <c r="CJ66" s="102">
        <v>-30.868092409999996</v>
      </c>
      <c r="CK66" s="102">
        <v>-33.536751989999999</v>
      </c>
      <c r="CL66" s="102">
        <v>-33.904205700000006</v>
      </c>
      <c r="CM66" s="102">
        <v>-34.1457798</v>
      </c>
      <c r="CN66" s="102">
        <v>-34.522516119999999</v>
      </c>
      <c r="CO66" s="102">
        <v>-34.595966130000001</v>
      </c>
      <c r="CP66" s="102">
        <v>-34.798448899999997</v>
      </c>
      <c r="CQ66" s="102">
        <v>-36.771947959999999</v>
      </c>
      <c r="CR66" s="102">
        <v>-37.212474840000006</v>
      </c>
      <c r="CS66" s="102">
        <v>-37.737204899999988</v>
      </c>
      <c r="CT66" s="102">
        <v>-37.773953540000001</v>
      </c>
      <c r="CU66" s="102">
        <v>-38.511372310000006</v>
      </c>
      <c r="CV66" s="102">
        <v>-39.118386090000001</v>
      </c>
      <c r="CW66" s="102">
        <v>-39.72084658</v>
      </c>
      <c r="CX66" s="102">
        <v>-39.959122149999999</v>
      </c>
      <c r="CY66" s="102">
        <v>-40.752437229999998</v>
      </c>
      <c r="CZ66" s="102">
        <v>-41.78895275</v>
      </c>
      <c r="DA66" s="102">
        <v>-42.432973840000002</v>
      </c>
      <c r="DB66" s="102">
        <v>-42.487372239999992</v>
      </c>
      <c r="DC66" s="102">
        <v>-42.2054385</v>
      </c>
      <c r="DD66" s="102">
        <v>-42.47783647</v>
      </c>
      <c r="DE66" s="102">
        <v>-42.375377349999994</v>
      </c>
      <c r="DF66" s="102">
        <v>-42.459226430000001</v>
      </c>
      <c r="DG66" s="102">
        <v>-43.1375253</v>
      </c>
      <c r="DH66" s="102">
        <v>-45.589133320000002</v>
      </c>
      <c r="DI66" s="102">
        <v>-42.124182439999998</v>
      </c>
      <c r="DJ66" s="102">
        <v>-40.953994539999997</v>
      </c>
      <c r="DK66" s="102">
        <v>-40.494488459999999</v>
      </c>
      <c r="DL66" s="102">
        <v>-41.01996054</v>
      </c>
      <c r="DM66" s="102">
        <v>-41.852777170000003</v>
      </c>
      <c r="DN66" s="102">
        <v>-42.85217445</v>
      </c>
      <c r="DO66" s="102">
        <v>-43.979897310000005</v>
      </c>
      <c r="DP66" s="102">
        <v>-42.945775759999997</v>
      </c>
      <c r="DQ66" s="940">
        <v>-43.743717279999998</v>
      </c>
      <c r="DR66" s="940">
        <v>-43.308622929999999</v>
      </c>
      <c r="DS66" s="940">
        <v>-44.90592023</v>
      </c>
      <c r="DT66" s="940">
        <v>-45.39541457</v>
      </c>
      <c r="DU66" s="940">
        <v>-50.005409180000001</v>
      </c>
      <c r="DV66" s="940">
        <v>-44.583193549999997</v>
      </c>
      <c r="DW66" s="940">
        <v>-51.26416562</v>
      </c>
      <c r="DX66" s="940">
        <v>-49.052534009999995</v>
      </c>
      <c r="DY66" s="940">
        <v>-44.740212579999998</v>
      </c>
      <c r="DZ66" s="940">
        <v>-48.046637130000001</v>
      </c>
      <c r="EA66" s="940">
        <v>-49.934130250000003</v>
      </c>
      <c r="EB66" s="940">
        <v>-54.185907130000004</v>
      </c>
      <c r="EC66" s="940">
        <v>-57.843819000000003</v>
      </c>
      <c r="ED66" s="940">
        <v>-62.085477310000002</v>
      </c>
      <c r="EE66" s="940">
        <v>-65.152066599999998</v>
      </c>
      <c r="EF66" s="940">
        <v>-66.700929770000045</v>
      </c>
      <c r="EH66" s="102">
        <v>-39.720846580000007</v>
      </c>
      <c r="EI66" s="102">
        <v>-39.959122150000006</v>
      </c>
      <c r="EJ66" s="102">
        <v>-40.752437230000005</v>
      </c>
      <c r="EK66" s="102">
        <v>-41.78895275</v>
      </c>
      <c r="EL66" s="102">
        <v>-42.432973839999995</v>
      </c>
      <c r="EM66" s="102">
        <v>-42.487372239999992</v>
      </c>
      <c r="EN66" s="102">
        <v>-42.487372239999992</v>
      </c>
      <c r="EO66" s="102">
        <v>-42.487372239999992</v>
      </c>
      <c r="EP66" s="102">
        <v>-42.487372239999992</v>
      </c>
      <c r="EQ66" s="102">
        <v>-42.487372239999992</v>
      </c>
      <c r="ER66" s="102">
        <v>-42.487372239999992</v>
      </c>
      <c r="ES66" s="102">
        <v>-42.487372239999992</v>
      </c>
      <c r="EU66" s="102">
        <v>-40.52591093625</v>
      </c>
      <c r="EV66" s="102">
        <v>-73.870685157777785</v>
      </c>
      <c r="EW66" s="102">
        <v>-57.373966377777784</v>
      </c>
      <c r="EX66" s="102">
        <v>-67.885599085555555</v>
      </c>
      <c r="EY66" s="102">
        <v>-53.097456575138892</v>
      </c>
      <c r="EZ66" s="102">
        <v>-49.173099085555556</v>
      </c>
      <c r="FA66" s="102">
        <v>-50.816154641111112</v>
      </c>
      <c r="FB66" s="102">
        <v>-49.434210196666676</v>
      </c>
      <c r="FC66" s="102">
        <v>-49.46615464111111</v>
      </c>
      <c r="FD66" s="102">
        <v>-50.77309908555555</v>
      </c>
      <c r="FE66" s="102">
        <v>-49.727265752222223</v>
      </c>
      <c r="FF66" s="102">
        <v>-49.298099085555556</v>
      </c>
      <c r="FG66" s="102">
        <v>-34.51330505</v>
      </c>
      <c r="FH66" s="102">
        <v>-35.775042597999999</v>
      </c>
      <c r="FI66" s="102">
        <v>-34.745783977413325</v>
      </c>
      <c r="FJ66" s="102">
        <v>-33.977695701650127</v>
      </c>
      <c r="FK66" s="102">
        <v>-32.686997623584119</v>
      </c>
      <c r="FL66" s="102">
        <v>-31.447927468640756</v>
      </c>
      <c r="FM66" s="102">
        <v>-30.579253453228457</v>
      </c>
      <c r="FN66" s="102">
        <v>-29.717826398432653</v>
      </c>
      <c r="FO66" s="102">
        <v>-28.772523092495344</v>
      </c>
      <c r="FP66" s="102">
        <v>-27.865031918795534</v>
      </c>
      <c r="FQ66" s="102">
        <v>-26.868840392043708</v>
      </c>
      <c r="FR66" s="102">
        <v>-25.89249652636196</v>
      </c>
      <c r="FS66" s="102"/>
      <c r="FT66" s="102"/>
      <c r="FU66" s="102"/>
      <c r="FV66" s="102"/>
      <c r="FW66" s="102"/>
      <c r="FX66" s="102"/>
      <c r="FY66" s="102"/>
      <c r="FZ66" s="102"/>
      <c r="GA66" s="102"/>
      <c r="GB66" s="102"/>
      <c r="GC66" s="102"/>
      <c r="GD66" s="102"/>
      <c r="GE66" s="102">
        <v>-27.900767999999999</v>
      </c>
      <c r="GF66" s="102">
        <v>-27.900767999999999</v>
      </c>
      <c r="GG66" s="102">
        <v>-27.900767999999999</v>
      </c>
      <c r="GH66" s="102">
        <v>-27.900767999999999</v>
      </c>
      <c r="GI66" s="102">
        <v>-27.900767999999999</v>
      </c>
      <c r="GJ66" s="102">
        <v>-27.900767999999999</v>
      </c>
      <c r="GK66" s="102">
        <v>-27.900767999999999</v>
      </c>
      <c r="GL66" s="102">
        <v>-27.900767999999999</v>
      </c>
      <c r="GM66" s="102">
        <v>-27.900767999999999</v>
      </c>
      <c r="GN66" s="102">
        <v>-27.900767999999999</v>
      </c>
      <c r="GO66" s="102">
        <v>-27.900767999999999</v>
      </c>
      <c r="GP66" s="102">
        <v>-27.900767999999999</v>
      </c>
      <c r="GQ66" s="102">
        <v>-27.900767999999999</v>
      </c>
      <c r="GR66" s="102">
        <v>-27.900767999999999</v>
      </c>
      <c r="GS66" s="102">
        <v>-27.900767999999999</v>
      </c>
      <c r="GT66" s="102">
        <v>-27.900767999999999</v>
      </c>
      <c r="GU66" s="102">
        <v>-27.900767999999999</v>
      </c>
      <c r="GV66" s="102">
        <v>-27.900767999999999</v>
      </c>
      <c r="GW66" s="102">
        <v>-27.900767999999999</v>
      </c>
      <c r="GX66" s="102">
        <v>-27.900767999999999</v>
      </c>
      <c r="GY66" s="102">
        <v>-27.900767999999999</v>
      </c>
      <c r="GZ66" s="102">
        <v>-27.900767999999999</v>
      </c>
      <c r="HA66" s="102">
        <v>-27.900767999999999</v>
      </c>
      <c r="HB66" s="102">
        <v>-27.900767999999999</v>
      </c>
      <c r="HD66" s="102">
        <f t="shared" si="357"/>
        <v>-649.73458539000001</v>
      </c>
      <c r="HE66" s="102">
        <f t="shared" si="357"/>
        <v>-698.49645235000003</v>
      </c>
      <c r="HF66" s="102">
        <f t="shared" si="357"/>
        <v>-600.45049193</v>
      </c>
      <c r="HG66" s="102">
        <f t="shared" si="357"/>
        <v>-586.11822391999976</v>
      </c>
      <c r="HH66" s="102">
        <f t="shared" si="358"/>
        <v>0</v>
      </c>
      <c r="HI66" s="102">
        <f t="shared" si="359"/>
        <v>-443.31944008999994</v>
      </c>
      <c r="HJ66" s="102">
        <f t="shared" si="407"/>
        <v>-336.12495863999999</v>
      </c>
      <c r="HK66" s="102">
        <f t="shared" si="360"/>
        <v>-432.62900827999999</v>
      </c>
      <c r="HL66" s="940">
        <f>+SUMIF($E$6:SEW$6,HL$7,$E66:SEW66)</f>
        <v>-505.38624215999994</v>
      </c>
      <c r="HM66" s="940">
        <f>+SUMIF($E$6:SEX$6,HM$7,$E66:SEX66)</f>
        <v>-513.57692567999993</v>
      </c>
      <c r="HN66" s="940">
        <f>+SUMIF($E$6:SEY$6,HN$7,$E66:SEY66)</f>
        <v>-643.59448212999996</v>
      </c>
      <c r="HO66" s="102"/>
      <c r="HP66" s="102"/>
      <c r="HR66" s="929">
        <f t="shared" si="361"/>
        <v>-0.14036715589626436</v>
      </c>
      <c r="HS66" s="929">
        <f t="shared" si="361"/>
        <v>-2.3869191886133234E-2</v>
      </c>
      <c r="HT66" s="929">
        <f t="shared" si="361"/>
        <v>-1</v>
      </c>
      <c r="HU66" s="929" t="str">
        <f t="shared" si="361"/>
        <v/>
      </c>
      <c r="HV66" s="929">
        <f t="shared" si="361"/>
        <v>-0.2417996409727442</v>
      </c>
      <c r="HW66" s="929">
        <f t="shared" si="361"/>
        <v>0.28710765790932768</v>
      </c>
      <c r="HX66" s="929">
        <f t="shared" si="361"/>
        <v>0.16817465423610956</v>
      </c>
      <c r="HY66" s="929">
        <f t="shared" si="361"/>
        <v>1.6206779759166734E-2</v>
      </c>
      <c r="HZ66" s="929">
        <f t="shared" si="361"/>
        <v>0.25316082158062425</v>
      </c>
      <c r="IA66" s="929">
        <f t="shared" si="305"/>
        <v>-1</v>
      </c>
      <c r="IB66" s="929" t="str">
        <f t="shared" si="362"/>
        <v/>
      </c>
      <c r="IC66" s="929">
        <f t="shared" si="306"/>
        <v>-1</v>
      </c>
      <c r="IE66" s="102">
        <f t="shared" si="363"/>
        <v>98.045960420000029</v>
      </c>
      <c r="IF66" s="102">
        <f t="shared" si="363"/>
        <v>14.332268010000234</v>
      </c>
      <c r="IG66" s="102">
        <f t="shared" si="363"/>
        <v>586.11822391999976</v>
      </c>
      <c r="IH66" s="102">
        <f t="shared" si="363"/>
        <v>-443.31944008999994</v>
      </c>
      <c r="II66" s="102">
        <f t="shared" si="322"/>
        <v>107.19448144999996</v>
      </c>
      <c r="IJ66" s="102">
        <f t="shared" si="323"/>
        <v>-96.504049640000005</v>
      </c>
      <c r="IK66" s="102">
        <f t="shared" si="324"/>
        <v>-72.757233879999944</v>
      </c>
      <c r="IL66" s="102">
        <f t="shared" si="307"/>
        <v>505.38624215999994</v>
      </c>
      <c r="IM66" s="102">
        <f t="shared" si="364"/>
        <v>0</v>
      </c>
      <c r="IN66" s="102">
        <f t="shared" si="308"/>
        <v>505.38624215999994</v>
      </c>
      <c r="IP66" s="32">
        <f t="shared" si="365"/>
        <v>-1.9003975737641569E-2</v>
      </c>
      <c r="IQ66" s="32">
        <f t="shared" si="365"/>
        <v>-1.52464458173897E-2</v>
      </c>
      <c r="IR66" s="32">
        <f t="shared" si="365"/>
        <v>-3.4778719655382692E-2</v>
      </c>
      <c r="IS66" s="32">
        <f t="shared" si="365"/>
        <v>0</v>
      </c>
      <c r="IT66" s="32">
        <f t="shared" si="365"/>
        <v>-3.2528098838856226E-2</v>
      </c>
      <c r="IU66" s="32">
        <f t="shared" si="365"/>
        <v>-2.375351787507585E-2</v>
      </c>
      <c r="IV66" s="32">
        <f t="shared" si="365"/>
        <v>-2.0378814647289585E-2</v>
      </c>
      <c r="IW66" s="32">
        <f t="shared" si="365"/>
        <v>-4.0046811270975265E-2</v>
      </c>
      <c r="IX66" s="32" t="e">
        <f t="shared" si="366"/>
        <v>#DIV/0!</v>
      </c>
      <c r="IY66" s="32" t="e">
        <f t="shared" si="367"/>
        <v>#DIV/0!</v>
      </c>
      <c r="JA66" s="102">
        <f t="shared" si="368"/>
        <v>-649.73458539000001</v>
      </c>
      <c r="JB66" s="102">
        <f t="shared" si="368"/>
        <v>-698.49645235000003</v>
      </c>
      <c r="JC66" s="102">
        <f t="shared" si="368"/>
        <v>-600.45049193</v>
      </c>
      <c r="JD66" s="102">
        <f t="shared" si="368"/>
        <v>-586.11822391999976</v>
      </c>
      <c r="JE66" s="102">
        <f t="shared" si="368"/>
        <v>0</v>
      </c>
      <c r="JF66" s="102">
        <f t="shared" si="368"/>
        <v>-443.31944008999994</v>
      </c>
      <c r="JG66" s="102">
        <f t="shared" si="368"/>
        <v>-336.12495863999999</v>
      </c>
      <c r="JH66" s="102">
        <f t="shared" si="368"/>
        <v>-432.62900827999999</v>
      </c>
      <c r="JI66" s="102">
        <f t="shared" si="368"/>
        <v>-505.38624215999994</v>
      </c>
      <c r="JJ66" s="102">
        <f t="shared" si="368"/>
        <v>-513.57692567999993</v>
      </c>
      <c r="JK66" s="102">
        <f t="shared" si="368"/>
        <v>-643.59448212999996</v>
      </c>
      <c r="JL66" s="102">
        <f t="shared" si="369"/>
        <v>-643.59448212999996</v>
      </c>
      <c r="JM66" s="102"/>
      <c r="JN66" s="102"/>
      <c r="JP66" s="102">
        <f t="shared" si="370"/>
        <v>-643.59448212999996</v>
      </c>
      <c r="JQ66" s="102">
        <f t="shared" si="371"/>
        <v>0</v>
      </c>
      <c r="JR66" s="145"/>
      <c r="JS66" s="929" t="str">
        <f t="shared" si="372"/>
        <v/>
      </c>
      <c r="JT66" s="930">
        <f t="shared" si="373"/>
        <v>-643.59448212999996</v>
      </c>
      <c r="JV66" s="32">
        <f t="shared" si="374"/>
        <v>-2.1317022763489908E-2</v>
      </c>
      <c r="JW66" s="929" t="str">
        <f t="shared" si="375"/>
        <v/>
      </c>
      <c r="JY66" s="929">
        <f t="shared" si="408"/>
        <v>-0.14036715589626436</v>
      </c>
      <c r="JZ66" s="929">
        <f t="shared" si="408"/>
        <v>-2.3869191886133234E-2</v>
      </c>
      <c r="KA66" s="929">
        <f t="shared" si="408"/>
        <v>-1</v>
      </c>
      <c r="KB66" s="929" t="str">
        <f t="shared" si="408"/>
        <v/>
      </c>
      <c r="KC66" s="929">
        <f t="shared" si="408"/>
        <v>-0.2417996409727442</v>
      </c>
      <c r="KD66" s="929">
        <f t="shared" si="408"/>
        <v>0.28710765790932768</v>
      </c>
      <c r="KE66" s="929">
        <f t="shared" si="408"/>
        <v>0.16817465423610956</v>
      </c>
      <c r="KF66" s="929">
        <f t="shared" si="409"/>
        <v>-1</v>
      </c>
      <c r="KH66" s="102">
        <f t="shared" si="377"/>
        <v>98.045960420000029</v>
      </c>
      <c r="KI66" s="102">
        <f t="shared" si="378"/>
        <v>14.332268010000234</v>
      </c>
      <c r="KJ66" s="102">
        <f t="shared" si="379"/>
        <v>586.11822391999976</v>
      </c>
      <c r="KK66" s="102">
        <f t="shared" si="380"/>
        <v>-443.31944008999994</v>
      </c>
      <c r="KL66" s="102">
        <f t="shared" si="381"/>
        <v>107.19448144999996</v>
      </c>
      <c r="KM66" s="102">
        <f t="shared" si="382"/>
        <v>-96.504049640000005</v>
      </c>
      <c r="KN66" s="102">
        <f t="shared" si="383"/>
        <v>-72.757233879999944</v>
      </c>
      <c r="KO66" s="102">
        <f t="shared" si="384"/>
        <v>505.38624215999994</v>
      </c>
      <c r="KQ66" s="32">
        <f t="shared" si="385"/>
        <v>-1.7908216733684226E-2</v>
      </c>
      <c r="KR66" s="32">
        <f t="shared" si="385"/>
        <v>-1.9003975737641569E-2</v>
      </c>
      <c r="KS66" s="32">
        <f t="shared" si="385"/>
        <v>-1.52464458173897E-2</v>
      </c>
      <c r="KT66" s="32">
        <f t="shared" si="385"/>
        <v>-3.4778719655382692E-2</v>
      </c>
      <c r="KU66" s="32">
        <f t="shared" si="385"/>
        <v>0</v>
      </c>
      <c r="KV66" s="32">
        <f t="shared" si="385"/>
        <v>-3.2528098838856226E-2</v>
      </c>
      <c r="KW66" s="32">
        <f t="shared" si="385"/>
        <v>-2.375351787507585E-2</v>
      </c>
      <c r="KX66" s="32">
        <f t="shared" si="385"/>
        <v>-2.0378814647289585E-2</v>
      </c>
      <c r="KY66" s="32">
        <f t="shared" si="385"/>
        <v>-4.0046811270975265E-2</v>
      </c>
      <c r="KZ66" s="32" t="e">
        <f t="shared" si="386"/>
        <v>#DIV/0!</v>
      </c>
      <c r="LB66" s="102">
        <f t="shared" si="387"/>
        <v>-50.210908000000018</v>
      </c>
      <c r="LC66" s="102">
        <f t="shared" si="387"/>
        <v>-74.575750340000127</v>
      </c>
      <c r="LD66" s="102">
        <f t="shared" si="387"/>
        <v>-163.37124760999998</v>
      </c>
      <c r="LE66" s="102">
        <f t="shared" si="387"/>
        <v>37.950000000000003</v>
      </c>
      <c r="LF66" s="102">
        <f t="shared" si="387"/>
        <v>0</v>
      </c>
      <c r="LG66" s="102">
        <f t="shared" si="387"/>
        <v>-28.519530860000003</v>
      </c>
      <c r="LH66" s="102">
        <f t="shared" si="387"/>
        <v>-30.868092409999996</v>
      </c>
      <c r="LI66" s="102">
        <f t="shared" si="387"/>
        <v>-39.118386090000001</v>
      </c>
      <c r="LJ66" s="102">
        <f t="shared" si="387"/>
        <v>-45.589133320000002</v>
      </c>
      <c r="LK66" s="102">
        <f t="shared" si="387"/>
        <v>-45.39541457</v>
      </c>
      <c r="LL66" s="102">
        <f t="shared" si="387"/>
        <v>-66.700929770000045</v>
      </c>
      <c r="LM66" s="102">
        <f t="shared" si="387"/>
        <v>-66.700929770000045</v>
      </c>
      <c r="LN66" s="102"/>
      <c r="LO66" s="102"/>
      <c r="LR66" s="32">
        <f t="shared" si="388"/>
        <v>1.1906752109790397</v>
      </c>
      <c r="LS66" s="32">
        <f t="shared" si="389"/>
        <v>-1.2322930170099105</v>
      </c>
      <c r="LT66" s="32">
        <f t="shared" si="390"/>
        <v>-1</v>
      </c>
      <c r="LU66" s="32" t="str">
        <f t="shared" si="391"/>
        <v xml:space="preserve"> </v>
      </c>
      <c r="LV66" s="32">
        <f t="shared" si="392"/>
        <v>8.2349235039274937E-2</v>
      </c>
      <c r="LW66" s="32">
        <f t="shared" si="393"/>
        <v>0.2672757866089337</v>
      </c>
      <c r="LX66" s="32">
        <f t="shared" si="338"/>
        <v>-1</v>
      </c>
      <c r="LZ66" s="102">
        <f t="shared" si="394"/>
        <v>-88.795497269999856</v>
      </c>
      <c r="MA66" s="102">
        <f t="shared" si="395"/>
        <v>201.32124761</v>
      </c>
      <c r="MB66" s="102">
        <f t="shared" si="396"/>
        <v>-37.950000000000003</v>
      </c>
      <c r="MC66" s="102">
        <f t="shared" si="397"/>
        <v>-28.519530860000003</v>
      </c>
      <c r="MD66" s="102">
        <f t="shared" si="398"/>
        <v>-2.3485615499999923</v>
      </c>
      <c r="ME66" s="102">
        <f t="shared" si="399"/>
        <v>-8.2502936800000057</v>
      </c>
      <c r="MF66" s="102">
        <f t="shared" si="340"/>
        <v>39.118386090000001</v>
      </c>
      <c r="MH66" s="32">
        <f t="shared" si="400"/>
        <v>-1.6740628585027676E-2</v>
      </c>
      <c r="MI66" s="32">
        <f t="shared" si="400"/>
        <v>-1.3525624760100906E-2</v>
      </c>
      <c r="MJ66" s="32">
        <f t="shared" si="400"/>
        <v>-3.1870180633908139E-2</v>
      </c>
      <c r="MK66" s="32">
        <f t="shared" si="400"/>
        <v>6.5287877681324991E-2</v>
      </c>
      <c r="ML66" s="32">
        <f t="shared" si="400"/>
        <v>0</v>
      </c>
      <c r="MM66" s="32">
        <f t="shared" si="400"/>
        <v>-2.7724300767214664E-2</v>
      </c>
      <c r="MN66" s="32">
        <f t="shared" si="400"/>
        <v>-1.9850701740652236E-2</v>
      </c>
      <c r="MO66" s="32">
        <f t="shared" si="400"/>
        <v>-2.0785586269455571E-2</v>
      </c>
      <c r="MP66" s="32" t="e">
        <f t="shared" si="401"/>
        <v>#DIV/0!</v>
      </c>
    </row>
    <row r="67" spans="1:354" outlineLevel="1">
      <c r="A67" s="884"/>
      <c r="B67" s="70"/>
      <c r="C67" s="186" t="s">
        <v>50</v>
      </c>
      <c r="D67" s="307" t="s">
        <v>59</v>
      </c>
      <c r="E67" s="931">
        <v>-6.6550839400000008</v>
      </c>
      <c r="F67" s="931">
        <v>-6.6352959400000007</v>
      </c>
      <c r="G67" s="931">
        <v>-6.6294706899999998</v>
      </c>
      <c r="H67" s="931">
        <v>-6.6364284500000004</v>
      </c>
      <c r="I67" s="931">
        <v>-6.6003714700000007</v>
      </c>
      <c r="J67" s="931">
        <v>-7.2386926000000003</v>
      </c>
      <c r="K67" s="931">
        <v>-7.2162655999999981</v>
      </c>
      <c r="L67" s="931">
        <v>-7.1938386000000012</v>
      </c>
      <c r="M67" s="931">
        <v>-7.1725256000000037</v>
      </c>
      <c r="N67" s="931">
        <v>-7.1680775999999931</v>
      </c>
      <c r="O67" s="931">
        <v>-8.6753744300000086</v>
      </c>
      <c r="P67" s="931">
        <v>-12.291846369999995</v>
      </c>
      <c r="Q67" s="931">
        <v>-18.58932806</v>
      </c>
      <c r="R67" s="931">
        <v>-18.589323060000002</v>
      </c>
      <c r="S67" s="931">
        <v>-20.837489060000003</v>
      </c>
      <c r="T67" s="931">
        <v>-21.040788879999997</v>
      </c>
      <c r="U67" s="931">
        <v>-21.534377210000002</v>
      </c>
      <c r="V67" s="931">
        <v>-22.132956979999996</v>
      </c>
      <c r="W67" s="931">
        <v>-22.110400979999987</v>
      </c>
      <c r="X67" s="931">
        <v>-27.25188875000002</v>
      </c>
      <c r="Y67" s="931">
        <v>-22.088945979999991</v>
      </c>
      <c r="Z67" s="931">
        <v>-22.078526980000007</v>
      </c>
      <c r="AA67" s="931">
        <v>-54.704996409999993</v>
      </c>
      <c r="AB67" s="931">
        <v>-23.010062829999981</v>
      </c>
      <c r="AC67" s="931">
        <v>-23.945338929999998</v>
      </c>
      <c r="AD67" s="931">
        <v>-24.195338929999998</v>
      </c>
      <c r="AE67" s="931">
        <v>-24.195338929999998</v>
      </c>
      <c r="AF67" s="931">
        <v>-23.985338929999998</v>
      </c>
      <c r="AG67" s="931">
        <v>-24.195338929999998</v>
      </c>
      <c r="AH67" s="931">
        <v>-24.195338929999998</v>
      </c>
      <c r="AI67" s="931">
        <v>-23.012090929999999</v>
      </c>
      <c r="AJ67" s="931">
        <v>-27.19970489</v>
      </c>
      <c r="AK67" s="931">
        <v>-27.199700929999999</v>
      </c>
      <c r="AL67" s="931">
        <v>-24.13003243</v>
      </c>
      <c r="AM67" s="931">
        <v>-21.529869429999998</v>
      </c>
      <c r="AN67" s="931">
        <v>53.971095190000014</v>
      </c>
      <c r="AO67" s="931">
        <f t="shared" ref="AO67:AZ67" si="410">SUM(AO68:AO69)</f>
        <v>-11.737994079999998</v>
      </c>
      <c r="AP67" s="931">
        <f t="shared" si="410"/>
        <v>-11.73799408</v>
      </c>
      <c r="AQ67" s="931">
        <f t="shared" si="410"/>
        <v>-11.73799408</v>
      </c>
      <c r="AR67" s="931">
        <f t="shared" si="410"/>
        <v>-11.73799408</v>
      </c>
      <c r="AS67" s="931">
        <f t="shared" si="410"/>
        <v>-11.73799408</v>
      </c>
      <c r="AT67" s="931">
        <f t="shared" si="410"/>
        <v>-16.025931079999999</v>
      </c>
      <c r="AU67" s="931">
        <f t="shared" si="410"/>
        <v>-65.092296079999997</v>
      </c>
      <c r="AV67" s="931">
        <f t="shared" si="410"/>
        <v>-54.650446080000002</v>
      </c>
      <c r="AW67" s="931">
        <f t="shared" si="410"/>
        <v>-102.52238507999999</v>
      </c>
      <c r="AX67" s="931">
        <f t="shared" si="410"/>
        <v>-39.889130409999993</v>
      </c>
      <c r="AY67" s="931">
        <f t="shared" si="410"/>
        <v>-11.76109969</v>
      </c>
      <c r="AZ67" s="931">
        <f t="shared" si="410"/>
        <v>-7.68</v>
      </c>
      <c r="BA67" s="933">
        <v>-31.94953688</v>
      </c>
      <c r="BB67" s="933">
        <v>-31.90147898</v>
      </c>
      <c r="BC67" s="933">
        <v>-32.498938000000003</v>
      </c>
      <c r="BD67" s="933">
        <v>-32.397193000000001</v>
      </c>
      <c r="BE67" s="933">
        <v>-31.318612870000003</v>
      </c>
      <c r="BF67" s="933">
        <v>-33.29620087</v>
      </c>
      <c r="BG67" s="933">
        <v>-33.47550287</v>
      </c>
      <c r="BH67" s="933">
        <v>-33.296740999999997</v>
      </c>
      <c r="BI67" s="933">
        <v>-27.667048999999999</v>
      </c>
      <c r="BJ67" s="933">
        <v>-30.911158</v>
      </c>
      <c r="BK67" s="933">
        <v>-30.911158</v>
      </c>
      <c r="BL67" s="933">
        <v>-215.01300000000001</v>
      </c>
      <c r="BM67" s="931">
        <f t="shared" ref="BM67:DX67" si="411">SUM(BM68:BM69)</f>
        <v>-15.079819000000001</v>
      </c>
      <c r="BN67" s="931">
        <f t="shared" si="411"/>
        <v>-14.889390000000001</v>
      </c>
      <c r="BO67" s="931">
        <f t="shared" si="411"/>
        <v>-16.265568999999999</v>
      </c>
      <c r="BP67" s="931">
        <f t="shared" si="411"/>
        <v>-14.329019000000001</v>
      </c>
      <c r="BQ67" s="931">
        <f t="shared" si="411"/>
        <v>-14.349226</v>
      </c>
      <c r="BR67" s="931">
        <f t="shared" si="411"/>
        <v>-14.868632</v>
      </c>
      <c r="BS67" s="931">
        <f t="shared" si="411"/>
        <v>-15.283710579999999</v>
      </c>
      <c r="BT67" s="931">
        <f t="shared" si="411"/>
        <v>-14.906965</v>
      </c>
      <c r="BU67" s="931">
        <f t="shared" si="411"/>
        <v>-14.619357839999999</v>
      </c>
      <c r="BV67" s="931">
        <f t="shared" si="411"/>
        <v>-15.101547</v>
      </c>
      <c r="BW67" s="931">
        <f t="shared" si="411"/>
        <v>-13.884884</v>
      </c>
      <c r="BX67" s="931">
        <f t="shared" si="411"/>
        <v>-13.026445000000001</v>
      </c>
      <c r="BY67" s="931">
        <f t="shared" si="411"/>
        <v>-17.3596</v>
      </c>
      <c r="BZ67" s="931">
        <f t="shared" si="411"/>
        <v>-16.719963</v>
      </c>
      <c r="CA67" s="931">
        <f t="shared" si="411"/>
        <v>-18.765791</v>
      </c>
      <c r="CB67" s="931">
        <f t="shared" si="411"/>
        <v>-17.672359</v>
      </c>
      <c r="CC67" s="931">
        <f t="shared" si="411"/>
        <v>-18.896643000000001</v>
      </c>
      <c r="CD67" s="931">
        <f t="shared" si="411"/>
        <v>-18.797697719999999</v>
      </c>
      <c r="CE67" s="931">
        <f t="shared" si="411"/>
        <v>-18.711286000000001</v>
      </c>
      <c r="CF67" s="931">
        <f t="shared" si="411"/>
        <v>-18.799674000000003</v>
      </c>
      <c r="CG67" s="931">
        <f t="shared" si="411"/>
        <v>-26.457280999999998</v>
      </c>
      <c r="CH67" s="931">
        <f t="shared" si="411"/>
        <v>-22.545029</v>
      </c>
      <c r="CI67" s="931">
        <f t="shared" si="411"/>
        <v>-21.567492000000001</v>
      </c>
      <c r="CJ67" s="931">
        <f t="shared" si="411"/>
        <v>-23.955262000000001</v>
      </c>
      <c r="CK67" s="931">
        <f t="shared" si="411"/>
        <v>-16.166194000000001</v>
      </c>
      <c r="CL67" s="931">
        <f t="shared" si="411"/>
        <v>-18.784286000000002</v>
      </c>
      <c r="CM67" s="931">
        <f t="shared" si="411"/>
        <v>-18.784286000000002</v>
      </c>
      <c r="CN67" s="931">
        <f t="shared" si="411"/>
        <v>-18.744239</v>
      </c>
      <c r="CO67" s="931">
        <f t="shared" si="411"/>
        <v>-17.901253000000001</v>
      </c>
      <c r="CP67" s="931">
        <f t="shared" si="411"/>
        <v>-17.574757000000002</v>
      </c>
      <c r="CQ67" s="931">
        <f t="shared" si="411"/>
        <v>-17.707968000000001</v>
      </c>
      <c r="CR67" s="931">
        <f t="shared" si="411"/>
        <v>-17.707968000000001</v>
      </c>
      <c r="CS67" s="931">
        <f t="shared" si="411"/>
        <v>-17.707968000000001</v>
      </c>
      <c r="CT67" s="931">
        <f t="shared" si="411"/>
        <v>-17.839300000000001</v>
      </c>
      <c r="CU67" s="931">
        <f t="shared" si="411"/>
        <v>-19.176114999999999</v>
      </c>
      <c r="CV67" s="931">
        <f t="shared" si="411"/>
        <v>-15.430859999999999</v>
      </c>
      <c r="CW67" s="931">
        <f t="shared" si="411"/>
        <v>-15.263543</v>
      </c>
      <c r="CX67" s="931">
        <f t="shared" si="411"/>
        <v>-11.191539000000001</v>
      </c>
      <c r="CY67" s="931">
        <f t="shared" si="411"/>
        <v>-15.16066</v>
      </c>
      <c r="CZ67" s="931">
        <f t="shared" si="411"/>
        <v>-14.857642</v>
      </c>
      <c r="DA67" s="931">
        <f t="shared" si="411"/>
        <v>-14.908158999999999</v>
      </c>
      <c r="DB67" s="931">
        <f t="shared" si="411"/>
        <v>-14.871377000000001</v>
      </c>
      <c r="DC67" s="931">
        <f t="shared" si="411"/>
        <v>-14.916663</v>
      </c>
      <c r="DD67" s="931">
        <f t="shared" si="411"/>
        <v>-16.803836</v>
      </c>
      <c r="DE67" s="931">
        <f t="shared" si="411"/>
        <v>-19.570336000000001</v>
      </c>
      <c r="DF67" s="931">
        <f t="shared" si="411"/>
        <v>-19.882916000000002</v>
      </c>
      <c r="DG67" s="931">
        <f t="shared" si="411"/>
        <v>-18.195554000000001</v>
      </c>
      <c r="DH67" s="931">
        <f t="shared" si="411"/>
        <v>-18.263679</v>
      </c>
      <c r="DI67" s="931">
        <f t="shared" si="411"/>
        <v>-18.290457489999998</v>
      </c>
      <c r="DJ67" s="931">
        <f t="shared" si="411"/>
        <v>-22.642207410000001</v>
      </c>
      <c r="DK67" s="931">
        <f t="shared" si="411"/>
        <v>-20.346303410000001</v>
      </c>
      <c r="DL67" s="931">
        <f t="shared" si="411"/>
        <v>-20.292190000000002</v>
      </c>
      <c r="DM67" s="931">
        <f t="shared" si="411"/>
        <v>-20.194586999999999</v>
      </c>
      <c r="DN67" s="931">
        <f t="shared" si="411"/>
        <v>-20.981431000000001</v>
      </c>
      <c r="DO67" s="931">
        <f t="shared" si="411"/>
        <v>-20.541996000000001</v>
      </c>
      <c r="DP67" s="931">
        <f t="shared" si="411"/>
        <v>-17.211376999999999</v>
      </c>
      <c r="DQ67" s="941">
        <f t="shared" si="411"/>
        <v>-14.681544000000001</v>
      </c>
      <c r="DR67" s="941">
        <f t="shared" si="411"/>
        <v>-14.393746999999999</v>
      </c>
      <c r="DS67" s="941">
        <f t="shared" si="411"/>
        <v>-16.485201</v>
      </c>
      <c r="DT67" s="941">
        <f t="shared" si="411"/>
        <v>-17.369585000000001</v>
      </c>
      <c r="DU67" s="941">
        <f t="shared" si="411"/>
        <v>-16.401557</v>
      </c>
      <c r="DV67" s="941">
        <f t="shared" si="411"/>
        <v>-16.931639000000001</v>
      </c>
      <c r="DW67" s="941">
        <f t="shared" si="411"/>
        <v>-16.190186000000001</v>
      </c>
      <c r="DX67" s="941">
        <f t="shared" si="411"/>
        <v>-15.648249</v>
      </c>
      <c r="DY67" s="941">
        <f t="shared" ref="DY67:EF67" si="412">SUM(DY68:DY69)</f>
        <v>-15.803819000000001</v>
      </c>
      <c r="DZ67" s="941">
        <f t="shared" si="412"/>
        <v>-15.887682</v>
      </c>
      <c r="EA67" s="941">
        <f t="shared" si="412"/>
        <v>-16.585678000000001</v>
      </c>
      <c r="EB67" s="941">
        <f t="shared" si="412"/>
        <v>-17.957899000000001</v>
      </c>
      <c r="EC67" s="941">
        <f t="shared" si="412"/>
        <v>-17.731231999999999</v>
      </c>
      <c r="ED67" s="941">
        <f t="shared" si="412"/>
        <v>-18.161759</v>
      </c>
      <c r="EE67" s="941">
        <f t="shared" si="412"/>
        <v>-17.640471909999999</v>
      </c>
      <c r="EF67" s="941">
        <f t="shared" si="412"/>
        <v>-17.731102</v>
      </c>
      <c r="EH67" s="931">
        <f t="shared" ref="EH67:ES67" si="413">SUM(EH68:EH69)</f>
        <v>-15.263543</v>
      </c>
      <c r="EI67" s="931">
        <f t="shared" si="413"/>
        <v>-11.191539000000001</v>
      </c>
      <c r="EJ67" s="931">
        <f t="shared" si="413"/>
        <v>-15.16066</v>
      </c>
      <c r="EK67" s="931">
        <f t="shared" si="413"/>
        <v>-14.857642</v>
      </c>
      <c r="EL67" s="931">
        <f t="shared" si="413"/>
        <v>-14.908158999999999</v>
      </c>
      <c r="EM67" s="931">
        <f t="shared" si="413"/>
        <v>-14.871377000000001</v>
      </c>
      <c r="EN67" s="931">
        <f t="shared" si="413"/>
        <v>-18.275886011666667</v>
      </c>
      <c r="EO67" s="931">
        <f t="shared" si="413"/>
        <v>-18.275886011666667</v>
      </c>
      <c r="EP67" s="931">
        <f t="shared" si="413"/>
        <v>-18.275886011666667</v>
      </c>
      <c r="EQ67" s="931">
        <f t="shared" si="413"/>
        <v>-18.275886011666667</v>
      </c>
      <c r="ER67" s="931">
        <f t="shared" si="413"/>
        <v>-18.275886011666667</v>
      </c>
      <c r="ES67" s="931">
        <f t="shared" si="413"/>
        <v>-18.275886011666667</v>
      </c>
      <c r="EU67" s="931">
        <v>-24.983841939166666</v>
      </c>
      <c r="EV67" s="931">
        <v>-24.983841939166666</v>
      </c>
      <c r="EW67" s="931">
        <v>-27.483841939166666</v>
      </c>
      <c r="EX67" s="931">
        <v>-27.483841939166666</v>
      </c>
      <c r="EY67" s="931">
        <v>-27.483841939166666</v>
      </c>
      <c r="EZ67" s="931">
        <v>-27.483841939166666</v>
      </c>
      <c r="FA67" s="931">
        <v>-27.483841939166666</v>
      </c>
      <c r="FB67" s="931">
        <v>-27.483841939166666</v>
      </c>
      <c r="FC67" s="931">
        <v>-27.483841939166666</v>
      </c>
      <c r="FD67" s="931">
        <v>-27.483841939166666</v>
      </c>
      <c r="FE67" s="931">
        <v>-27.483841939166666</v>
      </c>
      <c r="FF67" s="931">
        <v>-27.483841939166666</v>
      </c>
      <c r="FG67" s="931">
        <f t="shared" ref="FG67:HB67" si="414">SUM(FG68:FG69)</f>
        <v>-57.039311696666665</v>
      </c>
      <c r="FH67" s="931">
        <f t="shared" si="414"/>
        <v>-54.757739228799991</v>
      </c>
      <c r="FI67" s="931">
        <f t="shared" si="414"/>
        <v>-52.567429659647985</v>
      </c>
      <c r="FJ67" s="931">
        <f t="shared" si="414"/>
        <v>-50.496399139928734</v>
      </c>
      <c r="FK67" s="931">
        <f t="shared" si="414"/>
        <v>-48.651543174331579</v>
      </c>
      <c r="FL67" s="931">
        <f t="shared" si="414"/>
        <v>-46.880481447358321</v>
      </c>
      <c r="FM67" s="931">
        <f t="shared" si="414"/>
        <v>-45.20526218946398</v>
      </c>
      <c r="FN67" s="931">
        <f t="shared" si="414"/>
        <v>-43.397051701885417</v>
      </c>
      <c r="FO67" s="931">
        <f t="shared" si="414"/>
        <v>-41.661169633810005</v>
      </c>
      <c r="FP67" s="931">
        <f t="shared" si="414"/>
        <v>-39.994722848457599</v>
      </c>
      <c r="FQ67" s="931">
        <f t="shared" si="414"/>
        <v>-38.394933934519294</v>
      </c>
      <c r="FR67" s="931">
        <f t="shared" si="414"/>
        <v>-36.859136577138521</v>
      </c>
      <c r="FS67" s="931">
        <f t="shared" si="414"/>
        <v>-14.849619000000001</v>
      </c>
      <c r="FT67" s="931">
        <f t="shared" si="414"/>
        <v>-14.849619000000001</v>
      </c>
      <c r="FU67" s="931">
        <f t="shared" si="414"/>
        <v>-14.849619000000001</v>
      </c>
      <c r="FV67" s="931">
        <f t="shared" si="414"/>
        <v>-14.849619000000001</v>
      </c>
      <c r="FW67" s="931">
        <f t="shared" si="414"/>
        <v>-14.849619000000001</v>
      </c>
      <c r="FX67" s="931">
        <f t="shared" si="414"/>
        <v>-14.849619000000001</v>
      </c>
      <c r="FY67" s="931">
        <f t="shared" si="414"/>
        <v>-14.849619000000001</v>
      </c>
      <c r="FZ67" s="931">
        <f t="shared" si="414"/>
        <v>-14.849619000000001</v>
      </c>
      <c r="GA67" s="931">
        <f t="shared" si="414"/>
        <v>-14.849619000000001</v>
      </c>
      <c r="GB67" s="931">
        <f t="shared" si="414"/>
        <v>-14.849619000000001</v>
      </c>
      <c r="GC67" s="931">
        <f t="shared" si="414"/>
        <v>-14.849619000000001</v>
      </c>
      <c r="GD67" s="931">
        <f t="shared" si="414"/>
        <v>-14.849619000000001</v>
      </c>
      <c r="GE67" s="931">
        <f t="shared" si="414"/>
        <v>-27.984692023333331</v>
      </c>
      <c r="GF67" s="931">
        <f t="shared" si="414"/>
        <v>-27.984692023333331</v>
      </c>
      <c r="GG67" s="931">
        <f t="shared" si="414"/>
        <v>-27.984692023333331</v>
      </c>
      <c r="GH67" s="931">
        <f t="shared" si="414"/>
        <v>-27.984692023333331</v>
      </c>
      <c r="GI67" s="931">
        <f t="shared" si="414"/>
        <v>-27.984692023333331</v>
      </c>
      <c r="GJ67" s="931">
        <f t="shared" si="414"/>
        <v>-27.984692023333331</v>
      </c>
      <c r="GK67" s="931">
        <f t="shared" si="414"/>
        <v>-27.984692023333331</v>
      </c>
      <c r="GL67" s="931">
        <f t="shared" si="414"/>
        <v>-27.984692023333331</v>
      </c>
      <c r="GM67" s="931">
        <f t="shared" si="414"/>
        <v>-27.984692023333331</v>
      </c>
      <c r="GN67" s="931">
        <f t="shared" si="414"/>
        <v>-27.984692023333331</v>
      </c>
      <c r="GO67" s="931">
        <f t="shared" si="414"/>
        <v>-27.984692023333331</v>
      </c>
      <c r="GP67" s="931">
        <f t="shared" si="414"/>
        <v>-27.984692023333331</v>
      </c>
      <c r="GQ67" s="931">
        <f t="shared" si="414"/>
        <v>-27.984692023333331</v>
      </c>
      <c r="GR67" s="931">
        <f t="shared" si="414"/>
        <v>-27.984692023333331</v>
      </c>
      <c r="GS67" s="931">
        <f t="shared" si="414"/>
        <v>-27.984692023333331</v>
      </c>
      <c r="GT67" s="931">
        <f t="shared" si="414"/>
        <v>-27.984692023333331</v>
      </c>
      <c r="GU67" s="931">
        <f t="shared" si="414"/>
        <v>-27.984692023333331</v>
      </c>
      <c r="GV67" s="931">
        <f t="shared" si="414"/>
        <v>-27.984692023333331</v>
      </c>
      <c r="GW67" s="931">
        <f t="shared" si="414"/>
        <v>-27.984692023333331</v>
      </c>
      <c r="GX67" s="931">
        <f t="shared" si="414"/>
        <v>-27.984692023333331</v>
      </c>
      <c r="GY67" s="931">
        <f t="shared" si="414"/>
        <v>-27.984692023333331</v>
      </c>
      <c r="GZ67" s="931">
        <f t="shared" si="414"/>
        <v>-27.984692023333331</v>
      </c>
      <c r="HA67" s="931">
        <f t="shared" si="414"/>
        <v>-27.984692023333331</v>
      </c>
      <c r="HB67" s="931">
        <f t="shared" si="414"/>
        <v>-27.984692023333331</v>
      </c>
      <c r="HD67" s="931">
        <f t="shared" si="357"/>
        <v>-90.11327129</v>
      </c>
      <c r="HE67" s="931">
        <f t="shared" si="357"/>
        <v>-293.96908517999998</v>
      </c>
      <c r="HF67" s="931">
        <f t="shared" si="357"/>
        <v>-213.81233699999996</v>
      </c>
      <c r="HG67" s="931">
        <f t="shared" si="357"/>
        <v>-356.31125881999998</v>
      </c>
      <c r="HH67" s="931">
        <f t="shared" si="358"/>
        <v>-564.63656947000004</v>
      </c>
      <c r="HI67" s="931">
        <f t="shared" si="359"/>
        <v>-176.60456442</v>
      </c>
      <c r="HJ67" s="931">
        <f t="shared" si="407"/>
        <v>-240.24807772000003</v>
      </c>
      <c r="HK67" s="931">
        <f t="shared" si="360"/>
        <v>-213.525194</v>
      </c>
      <c r="HL67" s="941">
        <f>+SUMIF($E$6:SEW$6,HL$7,$E67:SEW67)</f>
        <v>-193.88590400000001</v>
      </c>
      <c r="HM67" s="941">
        <f>+SUMIF($E$6:SEX$6,HM$7,$E67:SEX67)</f>
        <v>-223.43062630999998</v>
      </c>
      <c r="HN67" s="941">
        <f>+SUMIF($E$6:SEY$6,HN$7,$E67:SEY67)</f>
        <v>-202.67127391</v>
      </c>
      <c r="HO67" s="931"/>
      <c r="HP67" s="931"/>
      <c r="HR67" s="934">
        <f t="shared" si="361"/>
        <v>-0.2726706726012339</v>
      </c>
      <c r="HS67" s="934">
        <f t="shared" si="361"/>
        <v>0.66646725731265932</v>
      </c>
      <c r="HT67" s="934">
        <f t="shared" si="361"/>
        <v>0.58467226474940293</v>
      </c>
      <c r="HU67" s="934">
        <f t="shared" si="361"/>
        <v>-0.68722435993515063</v>
      </c>
      <c r="HV67" s="934">
        <f t="shared" si="361"/>
        <v>0.36037298078346014</v>
      </c>
      <c r="HW67" s="934">
        <f t="shared" si="361"/>
        <v>-0.11123037475931241</v>
      </c>
      <c r="HX67" s="934">
        <f t="shared" si="361"/>
        <v>-9.1976453139295589E-2</v>
      </c>
      <c r="HY67" s="934">
        <f t="shared" si="361"/>
        <v>0.15238200251009459</v>
      </c>
      <c r="HZ67" s="934">
        <f t="shared" si="361"/>
        <v>-9.291184804359498E-2</v>
      </c>
      <c r="IA67" s="934">
        <f t="shared" si="305"/>
        <v>-1</v>
      </c>
      <c r="IB67" s="934" t="str">
        <f t="shared" si="362"/>
        <v/>
      </c>
      <c r="IC67" s="934">
        <f t="shared" si="306"/>
        <v>-1</v>
      </c>
      <c r="IE67" s="931">
        <f t="shared" si="363"/>
        <v>80.156748180000022</v>
      </c>
      <c r="IF67" s="931">
        <f t="shared" si="363"/>
        <v>-142.49892182000002</v>
      </c>
      <c r="IG67" s="931">
        <f t="shared" si="363"/>
        <v>-208.32531065000006</v>
      </c>
      <c r="IH67" s="931">
        <f t="shared" si="363"/>
        <v>388.03200505000007</v>
      </c>
      <c r="II67" s="931">
        <f t="shared" si="322"/>
        <v>-63.643513300000023</v>
      </c>
      <c r="IJ67" s="931">
        <f t="shared" si="323"/>
        <v>26.722883720000027</v>
      </c>
      <c r="IK67" s="931">
        <f t="shared" si="324"/>
        <v>19.639289999999988</v>
      </c>
      <c r="IL67" s="931">
        <f t="shared" si="307"/>
        <v>193.88590400000001</v>
      </c>
      <c r="IM67" s="931">
        <f t="shared" si="364"/>
        <v>0</v>
      </c>
      <c r="IN67" s="931">
        <f t="shared" si="308"/>
        <v>193.88590400000001</v>
      </c>
      <c r="IP67" s="230">
        <f t="shared" si="365"/>
        <v>-7.9980096442610199E-3</v>
      </c>
      <c r="IQ67" s="230">
        <f t="shared" si="365"/>
        <v>-5.4290541101596765E-3</v>
      </c>
      <c r="IR67" s="230">
        <f t="shared" si="365"/>
        <v>-2.1142576488542512E-2</v>
      </c>
      <c r="IS67" s="230">
        <f t="shared" si="365"/>
        <v>-9.1780577024124232E-2</v>
      </c>
      <c r="IT67" s="230">
        <f t="shared" si="365"/>
        <v>-1.2958174641925642E-2</v>
      </c>
      <c r="IU67" s="230">
        <f t="shared" si="365"/>
        <v>-1.697802219646153E-2</v>
      </c>
      <c r="IV67" s="230">
        <f t="shared" si="365"/>
        <v>-1.0058017996417626E-2</v>
      </c>
      <c r="IW67" s="230">
        <f t="shared" si="365"/>
        <v>-1.5363521120806975E-2</v>
      </c>
      <c r="IX67" s="230" t="e">
        <f t="shared" si="366"/>
        <v>#DIV/0!</v>
      </c>
      <c r="IY67" s="230" t="e">
        <f t="shared" si="367"/>
        <v>#DIV/0!</v>
      </c>
      <c r="JA67" s="931">
        <f t="shared" si="368"/>
        <v>-90.11327129</v>
      </c>
      <c r="JB67" s="931">
        <f t="shared" si="368"/>
        <v>-293.96908517999998</v>
      </c>
      <c r="JC67" s="931">
        <f t="shared" si="368"/>
        <v>-213.81233699999996</v>
      </c>
      <c r="JD67" s="931">
        <f t="shared" si="368"/>
        <v>-356.31125881999998</v>
      </c>
      <c r="JE67" s="931">
        <f t="shared" si="368"/>
        <v>-564.63656947000004</v>
      </c>
      <c r="JF67" s="931">
        <f t="shared" si="368"/>
        <v>-176.60456442</v>
      </c>
      <c r="JG67" s="931">
        <f t="shared" si="368"/>
        <v>-240.24807772000003</v>
      </c>
      <c r="JH67" s="931">
        <f t="shared" si="368"/>
        <v>-213.525194</v>
      </c>
      <c r="JI67" s="931">
        <f t="shared" si="368"/>
        <v>-193.88590400000001</v>
      </c>
      <c r="JJ67" s="931">
        <f t="shared" si="368"/>
        <v>-223.43062630999998</v>
      </c>
      <c r="JK67" s="931">
        <f t="shared" si="368"/>
        <v>-202.67127391</v>
      </c>
      <c r="JL67" s="931">
        <f t="shared" si="369"/>
        <v>-202.67127391</v>
      </c>
      <c r="JM67" s="931"/>
      <c r="JN67" s="931"/>
      <c r="JP67" s="931">
        <f t="shared" si="370"/>
        <v>-202.67127391</v>
      </c>
      <c r="JQ67" s="931">
        <f t="shared" si="371"/>
        <v>0</v>
      </c>
      <c r="JR67" s="145"/>
      <c r="JS67" s="934" t="str">
        <f t="shared" si="372"/>
        <v/>
      </c>
      <c r="JT67" s="935">
        <f t="shared" si="373"/>
        <v>-202.67127391</v>
      </c>
      <c r="JV67" s="230">
        <f t="shared" si="374"/>
        <v>-6.7128421380286156E-3</v>
      </c>
      <c r="JW67" s="934" t="str">
        <f t="shared" si="375"/>
        <v/>
      </c>
      <c r="JY67" s="934">
        <f t="shared" si="408"/>
        <v>-0.2726706726012339</v>
      </c>
      <c r="JZ67" s="934">
        <f t="shared" si="408"/>
        <v>0.66646725731265932</v>
      </c>
      <c r="KA67" s="934">
        <f t="shared" si="408"/>
        <v>0.58467226474940293</v>
      </c>
      <c r="KB67" s="934">
        <f t="shared" si="408"/>
        <v>-0.68722435993515063</v>
      </c>
      <c r="KC67" s="934">
        <f t="shared" si="408"/>
        <v>0.36037298078346014</v>
      </c>
      <c r="KD67" s="934">
        <f t="shared" si="408"/>
        <v>-0.11123037475931241</v>
      </c>
      <c r="KE67" s="934">
        <f t="shared" si="408"/>
        <v>-9.1976453139295589E-2</v>
      </c>
      <c r="KF67" s="934">
        <f t="shared" si="409"/>
        <v>-1</v>
      </c>
      <c r="KH67" s="931">
        <f t="shared" si="377"/>
        <v>80.156748180000022</v>
      </c>
      <c r="KI67" s="931">
        <f t="shared" si="378"/>
        <v>-142.49892182000002</v>
      </c>
      <c r="KJ67" s="931">
        <f t="shared" si="379"/>
        <v>-208.32531065000006</v>
      </c>
      <c r="KK67" s="931">
        <f t="shared" si="380"/>
        <v>388.03200505000007</v>
      </c>
      <c r="KL67" s="931">
        <f t="shared" si="381"/>
        <v>-63.643513300000023</v>
      </c>
      <c r="KM67" s="931">
        <f t="shared" si="382"/>
        <v>26.722883720000027</v>
      </c>
      <c r="KN67" s="931">
        <f t="shared" si="383"/>
        <v>19.639289999999988</v>
      </c>
      <c r="KO67" s="931">
        <f t="shared" si="384"/>
        <v>193.88590400000001</v>
      </c>
      <c r="KQ67" s="230">
        <f t="shared" si="385"/>
        <v>-2.4837341725836371E-3</v>
      </c>
      <c r="KR67" s="230">
        <f t="shared" si="385"/>
        <v>-7.9980096442610199E-3</v>
      </c>
      <c r="KS67" s="230">
        <f t="shared" si="385"/>
        <v>-5.4290541101596765E-3</v>
      </c>
      <c r="KT67" s="230">
        <f t="shared" si="385"/>
        <v>-2.1142576488542512E-2</v>
      </c>
      <c r="KU67" s="230">
        <f t="shared" si="385"/>
        <v>-9.1780577024124232E-2</v>
      </c>
      <c r="KV67" s="230">
        <f t="shared" si="385"/>
        <v>-1.2958174641925642E-2</v>
      </c>
      <c r="KW67" s="230">
        <f t="shared" si="385"/>
        <v>-1.697802219646153E-2</v>
      </c>
      <c r="KX67" s="230">
        <f t="shared" si="385"/>
        <v>-1.0058017996417626E-2</v>
      </c>
      <c r="KY67" s="230">
        <f t="shared" si="385"/>
        <v>-1.5363521120806975E-2</v>
      </c>
      <c r="KZ67" s="230" t="e">
        <f t="shared" si="386"/>
        <v>#DIV/0!</v>
      </c>
      <c r="LB67" s="931">
        <f t="shared" si="387"/>
        <v>-12.291846369999995</v>
      </c>
      <c r="LC67" s="931">
        <f t="shared" si="387"/>
        <v>-23.010062829999981</v>
      </c>
      <c r="LD67" s="931">
        <f t="shared" si="387"/>
        <v>53.971095190000014</v>
      </c>
      <c r="LE67" s="931">
        <f t="shared" si="387"/>
        <v>-7.68</v>
      </c>
      <c r="LF67" s="931">
        <f t="shared" si="387"/>
        <v>-215.01300000000001</v>
      </c>
      <c r="LG67" s="931">
        <f t="shared" si="387"/>
        <v>-13.026445000000001</v>
      </c>
      <c r="LH67" s="931">
        <f t="shared" si="387"/>
        <v>-23.955262000000001</v>
      </c>
      <c r="LI67" s="931">
        <f t="shared" si="387"/>
        <v>-15.430859999999999</v>
      </c>
      <c r="LJ67" s="931">
        <f t="shared" si="387"/>
        <v>-18.263679</v>
      </c>
      <c r="LK67" s="931">
        <f t="shared" si="387"/>
        <v>-17.369585000000001</v>
      </c>
      <c r="LL67" s="931">
        <f t="shared" si="387"/>
        <v>-17.731102</v>
      </c>
      <c r="LM67" s="931">
        <f t="shared" si="387"/>
        <v>-17.731102</v>
      </c>
      <c r="LN67" s="931"/>
      <c r="LO67" s="931"/>
      <c r="LR67" s="230">
        <f t="shared" si="388"/>
        <v>-3.3455431473065671</v>
      </c>
      <c r="LS67" s="230">
        <f t="shared" si="389"/>
        <v>-1.1422983908879984</v>
      </c>
      <c r="LT67" s="230">
        <f t="shared" si="390"/>
        <v>26.996484375000001</v>
      </c>
      <c r="LU67" s="230">
        <f t="shared" si="391"/>
        <v>-0.93941554696692753</v>
      </c>
      <c r="LV67" s="230">
        <f t="shared" si="392"/>
        <v>0.83897156898908332</v>
      </c>
      <c r="LW67" s="230">
        <f t="shared" si="393"/>
        <v>-0.35584674465259458</v>
      </c>
      <c r="LX67" s="230">
        <f t="shared" si="338"/>
        <v>-1</v>
      </c>
      <c r="LZ67" s="931">
        <f t="shared" si="394"/>
        <v>76.981158019999995</v>
      </c>
      <c r="MA67" s="931">
        <f t="shared" si="395"/>
        <v>-61.651095190000014</v>
      </c>
      <c r="MB67" s="931">
        <f t="shared" si="396"/>
        <v>-207.333</v>
      </c>
      <c r="MC67" s="931">
        <f t="shared" si="397"/>
        <v>201.98655500000001</v>
      </c>
      <c r="MD67" s="931">
        <f t="shared" si="398"/>
        <v>-10.928817</v>
      </c>
      <c r="ME67" s="931">
        <f t="shared" si="399"/>
        <v>8.524402000000002</v>
      </c>
      <c r="MF67" s="931">
        <f t="shared" si="340"/>
        <v>15.430859999999999</v>
      </c>
      <c r="MH67" s="230">
        <f t="shared" si="400"/>
        <v>-4.0981779238963472E-3</v>
      </c>
      <c r="MI67" s="230">
        <f t="shared" si="400"/>
        <v>-4.1732798413158375E-3</v>
      </c>
      <c r="MJ67" s="230">
        <f t="shared" si="400"/>
        <v>1.0528587972966337E-2</v>
      </c>
      <c r="MK67" s="230">
        <f t="shared" si="400"/>
        <v>-1.3212408447762209E-2</v>
      </c>
      <c r="ML67" s="230">
        <f t="shared" si="400"/>
        <v>-0.14272738381824157</v>
      </c>
      <c r="MM67" s="230">
        <f t="shared" si="400"/>
        <v>-1.2663219492649803E-2</v>
      </c>
      <c r="MN67" s="230">
        <f t="shared" si="400"/>
        <v>-1.5405187815465026E-2</v>
      </c>
      <c r="MO67" s="230">
        <f t="shared" si="400"/>
        <v>-8.1992000131079837E-3</v>
      </c>
      <c r="MP67" s="230" t="e">
        <f t="shared" si="401"/>
        <v>#DIV/0!</v>
      </c>
    </row>
    <row r="68" spans="1:354" outlineLevel="1">
      <c r="A68" s="884">
        <v>5165</v>
      </c>
      <c r="B68" s="70" t="s">
        <v>653</v>
      </c>
      <c r="C68" s="186" t="s">
        <v>654</v>
      </c>
      <c r="D68" s="307"/>
      <c r="E68" s="931">
        <v>-1.173181</v>
      </c>
      <c r="F68" s="931">
        <v>-1.1533929999999999</v>
      </c>
      <c r="G68" s="931">
        <v>-1.1475677499999999</v>
      </c>
      <c r="H68" s="931">
        <v>-1.1545255300000004</v>
      </c>
      <c r="I68" s="931">
        <v>-1.1184685299999995</v>
      </c>
      <c r="J68" s="931">
        <v>-1.187394470000001</v>
      </c>
      <c r="K68" s="931">
        <v>-1.1649674699999988</v>
      </c>
      <c r="L68" s="931">
        <v>-1.1425404700000019</v>
      </c>
      <c r="M68" s="931">
        <v>-1.1212274699999973</v>
      </c>
      <c r="N68" s="931">
        <v>-1.1167794700000009</v>
      </c>
      <c r="O68" s="931">
        <v>-1.0784454700000019</v>
      </c>
      <c r="P68" s="931">
        <v>-1.0784454699999984</v>
      </c>
      <c r="Q68" s="931">
        <v>-7.3759271600000007</v>
      </c>
      <c r="R68" s="931">
        <v>-7.3759221600000009</v>
      </c>
      <c r="S68" s="931">
        <v>-7.8600881599999965</v>
      </c>
      <c r="T68" s="931">
        <v>-8.0633879800000052</v>
      </c>
      <c r="U68" s="931">
        <v>-8.556976309999996</v>
      </c>
      <c r="V68" s="931">
        <v>-9.1555560799999967</v>
      </c>
      <c r="W68" s="931">
        <v>-9.1330000800000093</v>
      </c>
      <c r="X68" s="931">
        <v>-9.1123850799999957</v>
      </c>
      <c r="Y68" s="931">
        <v>-9.1115450799999991</v>
      </c>
      <c r="Z68" s="931">
        <v>-9.1011260800000002</v>
      </c>
      <c r="AA68" s="931">
        <v>-39.030839279999995</v>
      </c>
      <c r="AB68" s="931">
        <v>-7.864231999999987</v>
      </c>
      <c r="AC68" s="931">
        <v>-8.4309066599999998</v>
      </c>
      <c r="AD68" s="931">
        <v>-8.6809066599999998</v>
      </c>
      <c r="AE68" s="931">
        <v>-8.6809066599999998</v>
      </c>
      <c r="AF68" s="931">
        <v>-8.6809066599999998</v>
      </c>
      <c r="AG68" s="931">
        <v>-8.6809066599999998</v>
      </c>
      <c r="AH68" s="931">
        <v>-8.6809066599999998</v>
      </c>
      <c r="AI68" s="931">
        <v>-8.6809066599999998</v>
      </c>
      <c r="AJ68" s="931">
        <v>-8.6809066599999998</v>
      </c>
      <c r="AK68" s="931">
        <v>-8.6809066599999998</v>
      </c>
      <c r="AL68" s="931">
        <v>-8.6809066599999998</v>
      </c>
      <c r="AM68" s="931">
        <v>-8.6809066599999998</v>
      </c>
      <c r="AN68" s="931">
        <v>-12.523397739999975</v>
      </c>
      <c r="AO68" s="931">
        <v>-2.3787666400000003</v>
      </c>
      <c r="AP68" s="931">
        <v>-2.3787666400000003</v>
      </c>
      <c r="AQ68" s="931">
        <v>-2.3787666400000003</v>
      </c>
      <c r="AR68" s="931">
        <v>-2.3787666400000003</v>
      </c>
      <c r="AS68" s="931">
        <v>-2.3787666400000003</v>
      </c>
      <c r="AT68" s="931">
        <v>-6.6667036399999997</v>
      </c>
      <c r="AU68" s="931">
        <v>-55.733068639999999</v>
      </c>
      <c r="AV68" s="931">
        <v>-45.291218640000004</v>
      </c>
      <c r="AW68" s="931">
        <v>-93.163157639999994</v>
      </c>
      <c r="AX68" s="931">
        <f>-61.92329364+32.14</f>
        <v>-29.783293639999997</v>
      </c>
      <c r="AY68" s="931"/>
      <c r="AZ68" s="931"/>
      <c r="BA68" s="931"/>
      <c r="BB68" s="931"/>
      <c r="BC68" s="931"/>
      <c r="BD68" s="931"/>
      <c r="BE68" s="931"/>
      <c r="BF68" s="931"/>
      <c r="BG68" s="931"/>
      <c r="BH68" s="931"/>
      <c r="BI68" s="931"/>
      <c r="BJ68" s="931"/>
      <c r="BK68" s="931"/>
      <c r="BL68" s="931"/>
      <c r="BM68" s="931">
        <v>-15.079819000000001</v>
      </c>
      <c r="BN68" s="931">
        <v>-14.889390000000001</v>
      </c>
      <c r="BO68" s="931">
        <v>-16.265568999999999</v>
      </c>
      <c r="BP68" s="931">
        <v>-14.329019000000001</v>
      </c>
      <c r="BQ68" s="931">
        <v>-14.349226</v>
      </c>
      <c r="BR68" s="931">
        <v>-14.868632</v>
      </c>
      <c r="BS68" s="931">
        <v>-15.283710579999999</v>
      </c>
      <c r="BT68" s="931">
        <v>-14.906965</v>
      </c>
      <c r="BU68" s="931">
        <v>-14.619357839999999</v>
      </c>
      <c r="BV68" s="931">
        <v>-15.101547</v>
      </c>
      <c r="BW68" s="931">
        <v>-13.884884</v>
      </c>
      <c r="BX68" s="931">
        <v>-13.026445000000001</v>
      </c>
      <c r="BY68" s="931">
        <v>-17.3596</v>
      </c>
      <c r="BZ68" s="931">
        <v>-15.577591</v>
      </c>
      <c r="CA68" s="931">
        <v>-17.684131000000001</v>
      </c>
      <c r="CB68" s="931">
        <v>-17.672359</v>
      </c>
      <c r="CC68" s="931">
        <v>-18.817219000000001</v>
      </c>
      <c r="CD68" s="931">
        <v>-18.756513719999997</v>
      </c>
      <c r="CE68" s="931">
        <v>-18.751294000000001</v>
      </c>
      <c r="CF68" s="931">
        <v>-21.104306000000001</v>
      </c>
      <c r="CG68" s="931">
        <v>-26.457280999999998</v>
      </c>
      <c r="CH68" s="931">
        <v>-22.545029</v>
      </c>
      <c r="CI68" s="931">
        <v>-21.567492000000001</v>
      </c>
      <c r="CJ68" s="931">
        <v>-23.955262000000001</v>
      </c>
      <c r="CK68" s="931">
        <v>-16.166194000000001</v>
      </c>
      <c r="CL68" s="931">
        <v>-18.784286000000002</v>
      </c>
      <c r="CM68" s="931">
        <v>-18.784286000000002</v>
      </c>
      <c r="CN68" s="931">
        <v>-18.744239</v>
      </c>
      <c r="CO68" s="931">
        <v>-17.901253000000001</v>
      </c>
      <c r="CP68" s="931">
        <v>-17.574757000000002</v>
      </c>
      <c r="CQ68" s="931">
        <v>-17.707968000000001</v>
      </c>
      <c r="CR68" s="931">
        <v>-17.707968000000001</v>
      </c>
      <c r="CS68" s="931">
        <v>-17.707968000000001</v>
      </c>
      <c r="CT68" s="931">
        <v>-17.839300000000001</v>
      </c>
      <c r="CU68" s="931">
        <v>-19.176114999999999</v>
      </c>
      <c r="CV68" s="931">
        <v>-15.430859999999999</v>
      </c>
      <c r="CW68" s="931">
        <v>-15.263543</v>
      </c>
      <c r="CX68" s="931">
        <v>-11.191539000000001</v>
      </c>
      <c r="CY68" s="931">
        <v>-15.16066</v>
      </c>
      <c r="CZ68" s="931">
        <v>-14.857642</v>
      </c>
      <c r="DA68" s="931">
        <v>-14.908158999999999</v>
      </c>
      <c r="DB68" s="931">
        <v>-14.871377000000001</v>
      </c>
      <c r="DC68" s="931">
        <v>-14.916663</v>
      </c>
      <c r="DD68" s="931">
        <v>-16.803836</v>
      </c>
      <c r="DE68" s="931">
        <v>-19.570336000000001</v>
      </c>
      <c r="DF68" s="931">
        <v>-19.882916000000002</v>
      </c>
      <c r="DG68" s="931">
        <v>-18.195554000000001</v>
      </c>
      <c r="DH68" s="931">
        <v>-18.263679</v>
      </c>
      <c r="DI68" s="931">
        <v>-18.290457489999998</v>
      </c>
      <c r="DJ68" s="931">
        <v>-22.642207410000001</v>
      </c>
      <c r="DK68" s="931">
        <v>-20.346303410000001</v>
      </c>
      <c r="DL68" s="931">
        <v>-20.292190000000002</v>
      </c>
      <c r="DM68" s="931">
        <v>-20.194586999999999</v>
      </c>
      <c r="DN68" s="931">
        <v>-20.981431000000001</v>
      </c>
      <c r="DO68" s="931">
        <v>-20.541996000000001</v>
      </c>
      <c r="DP68" s="931">
        <v>-17.211376999999999</v>
      </c>
      <c r="DQ68" s="941">
        <v>-14.681544000000001</v>
      </c>
      <c r="DR68" s="941">
        <v>-14.393746999999999</v>
      </c>
      <c r="DS68" s="941">
        <v>-16.485201</v>
      </c>
      <c r="DT68" s="941">
        <v>-17.369585000000001</v>
      </c>
      <c r="DU68" s="941">
        <v>-16.401557</v>
      </c>
      <c r="DV68" s="941">
        <v>-16.931639000000001</v>
      </c>
      <c r="DW68" s="941">
        <v>-15.648249</v>
      </c>
      <c r="DX68" s="941">
        <v>-15.648249</v>
      </c>
      <c r="DY68" s="941">
        <v>-15.803819000000001</v>
      </c>
      <c r="DZ68" s="941">
        <v>-15.887682</v>
      </c>
      <c r="EA68" s="941">
        <v>-16.585678000000001</v>
      </c>
      <c r="EB68" s="941">
        <v>-17.957899000000001</v>
      </c>
      <c r="EC68" s="941">
        <v>-17.731231999999999</v>
      </c>
      <c r="ED68" s="941">
        <v>-18.161759</v>
      </c>
      <c r="EE68" s="941">
        <v>-17.640471909999999</v>
      </c>
      <c r="EF68" s="941">
        <v>-17.731102</v>
      </c>
      <c r="EG68" s="657"/>
      <c r="EH68" s="931">
        <v>-15.263543</v>
      </c>
      <c r="EI68" s="931">
        <v>-11.191539000000001</v>
      </c>
      <c r="EJ68" s="931">
        <v>-15.16066</v>
      </c>
      <c r="EK68" s="931">
        <v>-14.857642</v>
      </c>
      <c r="EL68" s="931">
        <v>-14.908158999999999</v>
      </c>
      <c r="EM68" s="931">
        <v>-14.871377000000001</v>
      </c>
      <c r="EN68" s="931">
        <v>-14.871377000000001</v>
      </c>
      <c r="EO68" s="931">
        <v>-14.871377000000001</v>
      </c>
      <c r="EP68" s="931">
        <v>-14.871377000000001</v>
      </c>
      <c r="EQ68" s="931">
        <v>-14.871377000000001</v>
      </c>
      <c r="ER68" s="931">
        <v>-14.871377000000001</v>
      </c>
      <c r="ES68" s="931">
        <v>-14.871377000000001</v>
      </c>
      <c r="EU68" s="931">
        <v>-8.6600724916666678</v>
      </c>
      <c r="EV68" s="931">
        <v>-8.6600724916666678</v>
      </c>
      <c r="EW68" s="931">
        <v>-11.160072491666668</v>
      </c>
      <c r="EX68" s="931">
        <v>-11.160072491666668</v>
      </c>
      <c r="EY68" s="931">
        <v>-11.160072491666668</v>
      </c>
      <c r="EZ68" s="931">
        <v>-11.160072491666668</v>
      </c>
      <c r="FA68" s="931">
        <v>-11.160072491666668</v>
      </c>
      <c r="FB68" s="931">
        <v>-11.160072491666668</v>
      </c>
      <c r="FC68" s="931">
        <v>-11.160072491666668</v>
      </c>
      <c r="FD68" s="931">
        <v>-11.160072491666668</v>
      </c>
      <c r="FE68" s="931">
        <v>-11.160072491666668</v>
      </c>
      <c r="FF68" s="931">
        <v>-11.160072491666668</v>
      </c>
      <c r="FG68" s="931">
        <v>-14.383652029999999</v>
      </c>
      <c r="FH68" s="931">
        <v>-13.808305948799999</v>
      </c>
      <c r="FI68" s="931">
        <v>-13.255973710847998</v>
      </c>
      <c r="FJ68" s="931">
        <v>-12.725734762414078</v>
      </c>
      <c r="FK68" s="931">
        <v>-12.216705371917515</v>
      </c>
      <c r="FL68" s="931">
        <v>-11.728037157040815</v>
      </c>
      <c r="FM68" s="931">
        <v>-11.25891567075918</v>
      </c>
      <c r="FN68" s="931">
        <v>-10.808559043928813</v>
      </c>
      <c r="FO68" s="931">
        <v>-10.376216682171659</v>
      </c>
      <c r="FP68" s="931">
        <v>-9.9611680148847928</v>
      </c>
      <c r="FQ68" s="931">
        <v>-9.5627212942894015</v>
      </c>
      <c r="FR68" s="931">
        <v>-9.1802124425178242</v>
      </c>
      <c r="FS68" s="931">
        <v>-14.849619000000001</v>
      </c>
      <c r="FT68" s="931">
        <v>-14.849619000000001</v>
      </c>
      <c r="FU68" s="931">
        <v>-14.849619000000001</v>
      </c>
      <c r="FV68" s="931">
        <v>-14.849619000000001</v>
      </c>
      <c r="FW68" s="931">
        <v>-14.849619000000001</v>
      </c>
      <c r="FX68" s="931">
        <v>-14.849619000000001</v>
      </c>
      <c r="FY68" s="931">
        <v>-14.849619000000001</v>
      </c>
      <c r="FZ68" s="931">
        <v>-14.849619000000001</v>
      </c>
      <c r="GA68" s="931">
        <v>-14.849619000000001</v>
      </c>
      <c r="GB68" s="931">
        <v>-14.849619000000001</v>
      </c>
      <c r="GC68" s="931">
        <v>-14.849619000000001</v>
      </c>
      <c r="GD68" s="931">
        <v>-14.849619000000001</v>
      </c>
      <c r="GE68" s="931">
        <v>-25.264860511666665</v>
      </c>
      <c r="GF68" s="931">
        <v>-25.264860511666665</v>
      </c>
      <c r="GG68" s="931">
        <v>-25.264860511666665</v>
      </c>
      <c r="GH68" s="931">
        <v>-25.264860511666665</v>
      </c>
      <c r="GI68" s="931">
        <v>-25.264860511666665</v>
      </c>
      <c r="GJ68" s="931">
        <v>-25.264860511666665</v>
      </c>
      <c r="GK68" s="931">
        <v>-25.264860511666665</v>
      </c>
      <c r="GL68" s="931">
        <v>-25.264860511666665</v>
      </c>
      <c r="GM68" s="931">
        <v>-25.264860511666665</v>
      </c>
      <c r="GN68" s="931">
        <v>-25.264860511666665</v>
      </c>
      <c r="GO68" s="931">
        <v>-25.264860511666665</v>
      </c>
      <c r="GP68" s="931">
        <v>-25.264860511666665</v>
      </c>
      <c r="GQ68" s="931">
        <v>-25.264860511666665</v>
      </c>
      <c r="GR68" s="931">
        <v>-25.264860511666665</v>
      </c>
      <c r="GS68" s="931">
        <v>-25.264860511666665</v>
      </c>
      <c r="GT68" s="931">
        <v>-25.264860511666665</v>
      </c>
      <c r="GU68" s="931">
        <v>-25.264860511666665</v>
      </c>
      <c r="GV68" s="931">
        <v>-25.264860511666665</v>
      </c>
      <c r="GW68" s="931">
        <v>-25.264860511666665</v>
      </c>
      <c r="GX68" s="931">
        <v>-25.264860511666665</v>
      </c>
      <c r="GY68" s="931">
        <v>-25.264860511666665</v>
      </c>
      <c r="GZ68" s="931">
        <v>-25.264860511666665</v>
      </c>
      <c r="HA68" s="931">
        <v>-25.264860511666665</v>
      </c>
      <c r="HB68" s="931">
        <v>-25.264860511666665</v>
      </c>
      <c r="HD68" s="931">
        <f t="shared" si="357"/>
        <v>-13.6369361</v>
      </c>
      <c r="HE68" s="931">
        <f t="shared" si="357"/>
        <v>-131.74098544999998</v>
      </c>
      <c r="HF68" s="931">
        <f t="shared" si="357"/>
        <v>-107.76337099999999</v>
      </c>
      <c r="HG68" s="931">
        <f t="shared" si="357"/>
        <v>-242.53127540000003</v>
      </c>
      <c r="HH68" s="931">
        <f t="shared" si="358"/>
        <v>0</v>
      </c>
      <c r="HI68" s="931">
        <f t="shared" si="359"/>
        <v>-176.60456442</v>
      </c>
      <c r="HJ68" s="931">
        <f t="shared" si="407"/>
        <v>-240.24807771999997</v>
      </c>
      <c r="HK68" s="931">
        <f t="shared" si="360"/>
        <v>-213.525194</v>
      </c>
      <c r="HL68" s="941">
        <f>+SUMIF($E$6:SEW$6,HL$7,$E68:SEW68)</f>
        <v>-193.88590400000001</v>
      </c>
      <c r="HM68" s="941">
        <f>+SUMIF($E$6:SEX$6,HM$7,$E68:SEX68)</f>
        <v>-223.43062630999998</v>
      </c>
      <c r="HN68" s="941">
        <f>+SUMIF($E$6:SEY$6,HN$7,$E68:SEY68)</f>
        <v>-202.12933691000001</v>
      </c>
      <c r="HO68" s="931"/>
      <c r="HP68" s="931"/>
      <c r="HR68" s="934">
        <f t="shared" si="361"/>
        <v>-0.18200573168704803</v>
      </c>
      <c r="HS68" s="934">
        <f t="shared" si="361"/>
        <v>1.2505910231779964</v>
      </c>
      <c r="HT68" s="934">
        <f t="shared" si="361"/>
        <v>-1</v>
      </c>
      <c r="HU68" s="934" t="str">
        <f t="shared" si="361"/>
        <v/>
      </c>
      <c r="HV68" s="934">
        <f t="shared" si="361"/>
        <v>0.36037298078345992</v>
      </c>
      <c r="HW68" s="934">
        <f t="shared" si="361"/>
        <v>-0.11123037475931219</v>
      </c>
      <c r="HX68" s="934">
        <f t="shared" si="361"/>
        <v>-9.1976453139295589E-2</v>
      </c>
      <c r="HY68" s="934">
        <f t="shared" si="361"/>
        <v>0.15238200251009459</v>
      </c>
      <c r="HZ68" s="934">
        <f t="shared" si="361"/>
        <v>-9.5337374968664235E-2</v>
      </c>
      <c r="IA68" s="934">
        <f t="shared" si="305"/>
        <v>-1</v>
      </c>
      <c r="IB68" s="934" t="str">
        <f t="shared" si="362"/>
        <v/>
      </c>
      <c r="IC68" s="934">
        <f t="shared" si="306"/>
        <v>-1</v>
      </c>
      <c r="IE68" s="931">
        <f t="shared" si="363"/>
        <v>23.97761444999999</v>
      </c>
      <c r="IF68" s="931">
        <f t="shared" si="363"/>
        <v>-134.76790440000002</v>
      </c>
      <c r="IG68" s="931">
        <f t="shared" si="363"/>
        <v>242.53127540000003</v>
      </c>
      <c r="IH68" s="931">
        <f t="shared" si="363"/>
        <v>-176.60456442</v>
      </c>
      <c r="II68" s="931">
        <f t="shared" si="322"/>
        <v>-63.643513299999967</v>
      </c>
      <c r="IJ68" s="931">
        <f t="shared" si="323"/>
        <v>26.72288371999997</v>
      </c>
      <c r="IK68" s="931">
        <f t="shared" si="324"/>
        <v>19.639289999999988</v>
      </c>
      <c r="IL68" s="931">
        <f t="shared" si="307"/>
        <v>193.88590400000001</v>
      </c>
      <c r="IM68" s="931">
        <f t="shared" si="364"/>
        <v>0</v>
      </c>
      <c r="IN68" s="931">
        <f t="shared" si="308"/>
        <v>193.88590400000001</v>
      </c>
      <c r="IP68" s="230">
        <f t="shared" si="365"/>
        <v>-3.5842737392892225E-3</v>
      </c>
      <c r="IQ68" s="230">
        <f t="shared" si="365"/>
        <v>-2.7362928653280293E-3</v>
      </c>
      <c r="IR68" s="230">
        <f t="shared" si="365"/>
        <v>-1.4391170399694501E-2</v>
      </c>
      <c r="IS68" s="230">
        <f t="shared" si="365"/>
        <v>0</v>
      </c>
      <c r="IT68" s="230">
        <f t="shared" si="365"/>
        <v>-1.2958174641925642E-2</v>
      </c>
      <c r="IU68" s="230">
        <f t="shared" si="365"/>
        <v>-1.6978022196461523E-2</v>
      </c>
      <c r="IV68" s="230">
        <f t="shared" si="365"/>
        <v>-1.0058017996417626E-2</v>
      </c>
      <c r="IW68" s="230">
        <f t="shared" si="365"/>
        <v>-1.5363521120806975E-2</v>
      </c>
      <c r="IX68" s="230" t="e">
        <f t="shared" si="366"/>
        <v>#DIV/0!</v>
      </c>
      <c r="IY68" s="230" t="e">
        <f t="shared" si="367"/>
        <v>#DIV/0!</v>
      </c>
      <c r="JA68" s="931">
        <f t="shared" si="368"/>
        <v>-13.6369361</v>
      </c>
      <c r="JB68" s="931">
        <f t="shared" si="368"/>
        <v>-131.74098544999998</v>
      </c>
      <c r="JC68" s="931">
        <f t="shared" si="368"/>
        <v>-107.76337099999999</v>
      </c>
      <c r="JD68" s="931">
        <f t="shared" si="368"/>
        <v>-242.53127540000003</v>
      </c>
      <c r="JE68" s="931">
        <f t="shared" si="368"/>
        <v>0</v>
      </c>
      <c r="JF68" s="931">
        <f t="shared" si="368"/>
        <v>-176.60456442</v>
      </c>
      <c r="JG68" s="931">
        <f t="shared" si="368"/>
        <v>-240.24807771999997</v>
      </c>
      <c r="JH68" s="931">
        <f t="shared" si="368"/>
        <v>-213.525194</v>
      </c>
      <c r="JI68" s="931">
        <f t="shared" si="368"/>
        <v>-193.88590400000001</v>
      </c>
      <c r="JJ68" s="931">
        <f t="shared" si="368"/>
        <v>-223.43062630999998</v>
      </c>
      <c r="JK68" s="931">
        <f t="shared" si="368"/>
        <v>-202.12933691000001</v>
      </c>
      <c r="JL68" s="931">
        <f t="shared" si="369"/>
        <v>-202.12933691000001</v>
      </c>
      <c r="JM68" s="931"/>
      <c r="JN68" s="931"/>
      <c r="JP68" s="931">
        <f t="shared" si="370"/>
        <v>-202.12933691000001</v>
      </c>
      <c r="JQ68" s="931">
        <f t="shared" si="371"/>
        <v>0</v>
      </c>
      <c r="JR68" s="145"/>
      <c r="JS68" s="934" t="str">
        <f t="shared" si="372"/>
        <v/>
      </c>
      <c r="JT68" s="935">
        <f t="shared" si="373"/>
        <v>-202.12933691000001</v>
      </c>
      <c r="JV68" s="230">
        <f t="shared" si="374"/>
        <v>-6.6948921964331814E-3</v>
      </c>
      <c r="JW68" s="934" t="str">
        <f t="shared" si="375"/>
        <v/>
      </c>
      <c r="JY68" s="934">
        <f t="shared" si="408"/>
        <v>-0.18200573168704803</v>
      </c>
      <c r="JZ68" s="934">
        <f t="shared" si="408"/>
        <v>1.2505910231779964</v>
      </c>
      <c r="KA68" s="934">
        <f t="shared" si="408"/>
        <v>-1</v>
      </c>
      <c r="KB68" s="934" t="str">
        <f t="shared" si="408"/>
        <v/>
      </c>
      <c r="KC68" s="934">
        <f t="shared" si="408"/>
        <v>0.36037298078345992</v>
      </c>
      <c r="KD68" s="934">
        <f t="shared" si="408"/>
        <v>-0.11123037475931219</v>
      </c>
      <c r="KE68" s="934">
        <f t="shared" si="408"/>
        <v>-9.1976453139295589E-2</v>
      </c>
      <c r="KF68" s="934">
        <f t="shared" si="409"/>
        <v>-1</v>
      </c>
      <c r="KH68" s="931">
        <f t="shared" si="377"/>
        <v>23.97761444999999</v>
      </c>
      <c r="KI68" s="931">
        <f t="shared" si="378"/>
        <v>-134.76790440000002</v>
      </c>
      <c r="KJ68" s="931">
        <f t="shared" si="379"/>
        <v>242.53127540000003</v>
      </c>
      <c r="KK68" s="931">
        <f t="shared" si="380"/>
        <v>-176.60456442</v>
      </c>
      <c r="KL68" s="931">
        <f t="shared" si="381"/>
        <v>-63.643513299999967</v>
      </c>
      <c r="KM68" s="931">
        <f t="shared" si="382"/>
        <v>26.72288371999997</v>
      </c>
      <c r="KN68" s="931">
        <f t="shared" si="383"/>
        <v>19.639289999999988</v>
      </c>
      <c r="KO68" s="931">
        <f t="shared" si="384"/>
        <v>193.88590400000001</v>
      </c>
      <c r="KQ68" s="230">
        <f t="shared" si="385"/>
        <v>-3.7586610402710007E-4</v>
      </c>
      <c r="KR68" s="230">
        <f t="shared" si="385"/>
        <v>-3.5842737392892225E-3</v>
      </c>
      <c r="KS68" s="230">
        <f t="shared" si="385"/>
        <v>-2.7362928653280293E-3</v>
      </c>
      <c r="KT68" s="230">
        <f t="shared" si="385"/>
        <v>-1.4391170399694501E-2</v>
      </c>
      <c r="KU68" s="230">
        <f t="shared" si="385"/>
        <v>0</v>
      </c>
      <c r="KV68" s="230">
        <f t="shared" si="385"/>
        <v>-1.2958174641925642E-2</v>
      </c>
      <c r="KW68" s="230">
        <f t="shared" si="385"/>
        <v>-1.6978022196461523E-2</v>
      </c>
      <c r="KX68" s="230">
        <f t="shared" si="385"/>
        <v>-1.0058017996417626E-2</v>
      </c>
      <c r="KY68" s="230">
        <f t="shared" si="385"/>
        <v>-1.5363521120806975E-2</v>
      </c>
      <c r="KZ68" s="230" t="e">
        <f t="shared" si="386"/>
        <v>#DIV/0!</v>
      </c>
      <c r="LB68" s="931">
        <f t="shared" si="387"/>
        <v>-1.0784454699999984</v>
      </c>
      <c r="LC68" s="931">
        <f t="shared" si="387"/>
        <v>-7.864231999999987</v>
      </c>
      <c r="LD68" s="931">
        <f t="shared" si="387"/>
        <v>-12.523397739999975</v>
      </c>
      <c r="LE68" s="931">
        <f t="shared" si="387"/>
        <v>0</v>
      </c>
      <c r="LF68" s="931">
        <f t="shared" si="387"/>
        <v>0</v>
      </c>
      <c r="LG68" s="931">
        <f t="shared" si="387"/>
        <v>-13.026445000000001</v>
      </c>
      <c r="LH68" s="931">
        <f t="shared" si="387"/>
        <v>-23.955262000000001</v>
      </c>
      <c r="LI68" s="931">
        <f t="shared" si="387"/>
        <v>-15.430859999999999</v>
      </c>
      <c r="LJ68" s="931">
        <f t="shared" si="387"/>
        <v>-18.263679</v>
      </c>
      <c r="LK68" s="931">
        <f t="shared" si="387"/>
        <v>-17.369585000000001</v>
      </c>
      <c r="LL68" s="931">
        <f t="shared" si="387"/>
        <v>-17.731102</v>
      </c>
      <c r="LM68" s="931">
        <f t="shared" si="387"/>
        <v>-17.731102</v>
      </c>
      <c r="LN68" s="931"/>
      <c r="LO68" s="931"/>
      <c r="LR68" s="230">
        <f t="shared" si="388"/>
        <v>0.59245018966886986</v>
      </c>
      <c r="LS68" s="230">
        <f t="shared" si="389"/>
        <v>-1</v>
      </c>
      <c r="LT68" s="230" t="str">
        <f t="shared" si="390"/>
        <v xml:space="preserve"> </v>
      </c>
      <c r="LU68" s="230" t="str">
        <f t="shared" si="391"/>
        <v xml:space="preserve"> </v>
      </c>
      <c r="LV68" s="230">
        <f t="shared" si="392"/>
        <v>0.83897156898908332</v>
      </c>
      <c r="LW68" s="230">
        <f t="shared" si="393"/>
        <v>-0.35584674465259458</v>
      </c>
      <c r="LX68" s="230">
        <f t="shared" si="338"/>
        <v>-1</v>
      </c>
      <c r="LZ68" s="931">
        <f t="shared" si="394"/>
        <v>-4.6591657399999882</v>
      </c>
      <c r="MA68" s="931">
        <f t="shared" si="395"/>
        <v>12.523397739999975</v>
      </c>
      <c r="MB68" s="931">
        <f t="shared" si="396"/>
        <v>0</v>
      </c>
      <c r="MC68" s="931">
        <f t="shared" si="397"/>
        <v>-13.026445000000001</v>
      </c>
      <c r="MD68" s="931">
        <f t="shared" si="398"/>
        <v>-10.928817</v>
      </c>
      <c r="ME68" s="931">
        <f t="shared" si="399"/>
        <v>8.524402000000002</v>
      </c>
      <c r="MF68" s="931">
        <f t="shared" si="340"/>
        <v>15.430859999999999</v>
      </c>
      <c r="MH68" s="230">
        <f t="shared" si="400"/>
        <v>-3.5956041787723838E-4</v>
      </c>
      <c r="MI68" s="230">
        <f t="shared" si="400"/>
        <v>-1.4263168734264123E-3</v>
      </c>
      <c r="MJ68" s="230">
        <f t="shared" si="400"/>
        <v>-2.4430427872893699E-3</v>
      </c>
      <c r="MK68" s="230">
        <f t="shared" si="400"/>
        <v>0</v>
      </c>
      <c r="ML68" s="230">
        <f t="shared" si="400"/>
        <v>0</v>
      </c>
      <c r="MM68" s="230">
        <f t="shared" si="400"/>
        <v>-1.2663219492649803E-2</v>
      </c>
      <c r="MN68" s="230">
        <f t="shared" si="400"/>
        <v>-1.5405187815465026E-2</v>
      </c>
      <c r="MO68" s="230">
        <f t="shared" si="400"/>
        <v>-8.1992000131079837E-3</v>
      </c>
      <c r="MP68" s="230" t="e">
        <f t="shared" si="401"/>
        <v>#DIV/0!</v>
      </c>
    </row>
    <row r="69" spans="1:354" outlineLevel="1">
      <c r="A69" s="884">
        <v>7465</v>
      </c>
      <c r="B69" s="70" t="s">
        <v>653</v>
      </c>
      <c r="C69" s="186" t="s">
        <v>655</v>
      </c>
      <c r="D69" s="307"/>
      <c r="E69" s="931">
        <v>-5.4819029400000003</v>
      </c>
      <c r="F69" s="931">
        <v>-5.4819029400000003</v>
      </c>
      <c r="G69" s="931">
        <v>-5.4819029399999994</v>
      </c>
      <c r="H69" s="931">
        <v>-5.4819029199999996</v>
      </c>
      <c r="I69" s="931">
        <v>-5.4819029400000012</v>
      </c>
      <c r="J69" s="931">
        <v>-6.0512981299999993</v>
      </c>
      <c r="K69" s="931">
        <v>-6.0512981299999993</v>
      </c>
      <c r="L69" s="931">
        <v>-6.0512981299999993</v>
      </c>
      <c r="M69" s="931">
        <v>-6.0512981300000064</v>
      </c>
      <c r="N69" s="931">
        <v>-6.0512981299999922</v>
      </c>
      <c r="O69" s="931">
        <v>-7.5969289600000067</v>
      </c>
      <c r="P69" s="931">
        <v>-11.213400899999996</v>
      </c>
      <c r="Q69" s="931">
        <v>-11.2134009</v>
      </c>
      <c r="R69" s="931">
        <v>-11.2134009</v>
      </c>
      <c r="S69" s="931">
        <v>-12.977400900000006</v>
      </c>
      <c r="T69" s="931">
        <v>-12.977400899999992</v>
      </c>
      <c r="U69" s="931">
        <v>-12.977400900000006</v>
      </c>
      <c r="V69" s="931">
        <v>-12.977400899999999</v>
      </c>
      <c r="W69" s="931">
        <v>-12.977400899999978</v>
      </c>
      <c r="X69" s="931">
        <v>-18.139503670000025</v>
      </c>
      <c r="Y69" s="931">
        <v>-12.977400899999992</v>
      </c>
      <c r="Z69" s="931">
        <v>-12.977400900000006</v>
      </c>
      <c r="AA69" s="931">
        <v>-15.674157129999998</v>
      </c>
      <c r="AB69" s="931">
        <v>-15.145830829999994</v>
      </c>
      <c r="AC69" s="931">
        <v>-15.51443227</v>
      </c>
      <c r="AD69" s="931">
        <v>-15.51443227</v>
      </c>
      <c r="AE69" s="931">
        <v>-15.51443227</v>
      </c>
      <c r="AF69" s="931">
        <v>-15.30443227</v>
      </c>
      <c r="AG69" s="931">
        <v>-15.51443227</v>
      </c>
      <c r="AH69" s="931">
        <v>-15.51443227</v>
      </c>
      <c r="AI69" s="931">
        <v>-14.331184270000001</v>
      </c>
      <c r="AJ69" s="931">
        <v>-18.518798230000002</v>
      </c>
      <c r="AK69" s="931">
        <v>-18.518794270000001</v>
      </c>
      <c r="AL69" s="931">
        <v>-15.44912577</v>
      </c>
      <c r="AM69" s="931">
        <v>-12.84896277</v>
      </c>
      <c r="AN69" s="931">
        <v>66.494492929999993</v>
      </c>
      <c r="AO69" s="931">
        <v>-9.359227439999998</v>
      </c>
      <c r="AP69" s="931">
        <v>-9.3592274399999997</v>
      </c>
      <c r="AQ69" s="931">
        <v>-9.3592274399999997</v>
      </c>
      <c r="AR69" s="931">
        <v>-9.3592274399999997</v>
      </c>
      <c r="AS69" s="931">
        <v>-9.3592274399999997</v>
      </c>
      <c r="AT69" s="931">
        <v>-9.3592274399999997</v>
      </c>
      <c r="AU69" s="931">
        <v>-9.3592274399999997</v>
      </c>
      <c r="AV69" s="931">
        <v>-9.3592274399999997</v>
      </c>
      <c r="AW69" s="931">
        <v>-9.3592274399999997</v>
      </c>
      <c r="AX69" s="931">
        <v>-10.10583677</v>
      </c>
      <c r="AY69" s="931">
        <v>-11.76109969</v>
      </c>
      <c r="AZ69" s="931">
        <v>-7.68</v>
      </c>
      <c r="BA69" s="931"/>
      <c r="BB69" s="931"/>
      <c r="BC69" s="931"/>
      <c r="BD69" s="931"/>
      <c r="BE69" s="931"/>
      <c r="BF69" s="931"/>
      <c r="BG69" s="931"/>
      <c r="BH69" s="931"/>
      <c r="BI69" s="931"/>
      <c r="BJ69" s="931"/>
      <c r="BK69" s="931"/>
      <c r="BL69" s="931"/>
      <c r="BM69" s="931">
        <v>0</v>
      </c>
      <c r="BN69" s="931">
        <v>0</v>
      </c>
      <c r="BO69" s="931">
        <v>0</v>
      </c>
      <c r="BP69" s="931">
        <v>0</v>
      </c>
      <c r="BQ69" s="931">
        <v>0</v>
      </c>
      <c r="BR69" s="931">
        <v>0</v>
      </c>
      <c r="BS69" s="931">
        <v>0</v>
      </c>
      <c r="BT69" s="931">
        <v>0</v>
      </c>
      <c r="BU69" s="931">
        <v>0</v>
      </c>
      <c r="BV69" s="931">
        <v>0</v>
      </c>
      <c r="BW69" s="931">
        <v>0</v>
      </c>
      <c r="BX69" s="931">
        <v>0</v>
      </c>
      <c r="BY69" s="931">
        <v>0</v>
      </c>
      <c r="BZ69" s="931">
        <v>-1.1423719999999999</v>
      </c>
      <c r="CA69" s="931">
        <v>-1.0816600000000001</v>
      </c>
      <c r="CB69" s="931">
        <v>0</v>
      </c>
      <c r="CC69" s="931">
        <v>-7.9423999999999995E-2</v>
      </c>
      <c r="CD69" s="931">
        <v>-4.1183999999999998E-2</v>
      </c>
      <c r="CE69" s="931">
        <v>4.0008000000000002E-2</v>
      </c>
      <c r="CF69" s="931">
        <v>2.3046319999999998</v>
      </c>
      <c r="CG69" s="931">
        <v>0</v>
      </c>
      <c r="CH69" s="931">
        <v>0</v>
      </c>
      <c r="CI69" s="931">
        <v>0</v>
      </c>
      <c r="CJ69" s="931">
        <v>0</v>
      </c>
      <c r="CK69" s="931">
        <v>0</v>
      </c>
      <c r="CL69" s="931">
        <v>0</v>
      </c>
      <c r="CM69" s="931">
        <v>0</v>
      </c>
      <c r="CN69" s="931">
        <v>0</v>
      </c>
      <c r="CO69" s="931">
        <v>0</v>
      </c>
      <c r="CP69" s="931">
        <v>0</v>
      </c>
      <c r="CQ69" s="931">
        <v>0</v>
      </c>
      <c r="CR69" s="931">
        <v>0</v>
      </c>
      <c r="CS69" s="931">
        <v>0</v>
      </c>
      <c r="CT69" s="931">
        <v>0</v>
      </c>
      <c r="CU69" s="931">
        <v>0</v>
      </c>
      <c r="CV69" s="931">
        <v>0</v>
      </c>
      <c r="CW69" s="931">
        <v>0</v>
      </c>
      <c r="CX69" s="931">
        <v>0</v>
      </c>
      <c r="CY69" s="931">
        <v>0</v>
      </c>
      <c r="CZ69" s="931">
        <v>0</v>
      </c>
      <c r="DA69" s="931">
        <v>0</v>
      </c>
      <c r="DB69" s="931">
        <v>0</v>
      </c>
      <c r="DC69" s="931">
        <v>0</v>
      </c>
      <c r="DD69" s="931">
        <v>0</v>
      </c>
      <c r="DE69" s="931">
        <v>0</v>
      </c>
      <c r="DF69" s="931">
        <v>0</v>
      </c>
      <c r="DG69" s="931">
        <v>0</v>
      </c>
      <c r="DH69" s="931">
        <v>0</v>
      </c>
      <c r="DI69" s="931">
        <v>0</v>
      </c>
      <c r="DJ69" s="931">
        <v>0</v>
      </c>
      <c r="DK69" s="931">
        <v>0</v>
      </c>
      <c r="DL69" s="931">
        <v>0</v>
      </c>
      <c r="DM69" s="931">
        <v>0</v>
      </c>
      <c r="DN69" s="931">
        <v>0</v>
      </c>
      <c r="DO69" s="931">
        <v>0</v>
      </c>
      <c r="DP69" s="931">
        <v>0</v>
      </c>
      <c r="DQ69" s="941">
        <v>0</v>
      </c>
      <c r="DR69" s="941">
        <v>0</v>
      </c>
      <c r="DS69" s="941">
        <v>0</v>
      </c>
      <c r="DT69" s="941">
        <v>0</v>
      </c>
      <c r="DU69" s="941">
        <v>0</v>
      </c>
      <c r="DV69" s="941">
        <v>0</v>
      </c>
      <c r="DW69" s="941">
        <v>-0.541937</v>
      </c>
      <c r="DX69" s="941">
        <v>0</v>
      </c>
      <c r="DY69" s="941">
        <v>0</v>
      </c>
      <c r="DZ69" s="941">
        <v>0</v>
      </c>
      <c r="EA69" s="941">
        <v>0</v>
      </c>
      <c r="EB69" s="941">
        <v>0</v>
      </c>
      <c r="EC69" s="941">
        <v>0</v>
      </c>
      <c r="ED69" s="941">
        <v>0</v>
      </c>
      <c r="EE69" s="941">
        <v>0</v>
      </c>
      <c r="EF69" s="941">
        <v>0</v>
      </c>
      <c r="EH69" s="931">
        <v>0</v>
      </c>
      <c r="EI69" s="931">
        <v>0</v>
      </c>
      <c r="EJ69" s="931">
        <v>0</v>
      </c>
      <c r="EK69" s="931">
        <v>0</v>
      </c>
      <c r="EL69" s="931">
        <v>0</v>
      </c>
      <c r="EM69" s="931">
        <v>0</v>
      </c>
      <c r="EN69" s="931">
        <v>-3.4045090116666668</v>
      </c>
      <c r="EO69" s="931">
        <v>-3.4045090116666668</v>
      </c>
      <c r="EP69" s="931">
        <v>-3.4045090116666668</v>
      </c>
      <c r="EQ69" s="931">
        <v>-3.4045090116666668</v>
      </c>
      <c r="ER69" s="931">
        <v>-3.4045090116666668</v>
      </c>
      <c r="ES69" s="931">
        <v>-3.4045090116666668</v>
      </c>
      <c r="EU69" s="931">
        <v>-16.323769447499998</v>
      </c>
      <c r="EV69" s="931">
        <v>-16.323769447499998</v>
      </c>
      <c r="EW69" s="931">
        <v>-16.323769447499998</v>
      </c>
      <c r="EX69" s="931">
        <v>-16.323769447499998</v>
      </c>
      <c r="EY69" s="931">
        <v>-16.323769447499998</v>
      </c>
      <c r="EZ69" s="931">
        <v>-16.323769447499998</v>
      </c>
      <c r="FA69" s="931">
        <v>-16.323769447499998</v>
      </c>
      <c r="FB69" s="931">
        <v>-16.323769447499998</v>
      </c>
      <c r="FC69" s="931">
        <v>-16.323769447499998</v>
      </c>
      <c r="FD69" s="931">
        <v>-16.323769447499998</v>
      </c>
      <c r="FE69" s="931">
        <v>-16.323769447499998</v>
      </c>
      <c r="FF69" s="931">
        <v>-16.323769447499998</v>
      </c>
      <c r="FG69" s="931">
        <v>-42.655659666666665</v>
      </c>
      <c r="FH69" s="931">
        <v>-40.949433279999994</v>
      </c>
      <c r="FI69" s="931">
        <v>-39.311455948799988</v>
      </c>
      <c r="FJ69" s="931">
        <v>-37.770664377514656</v>
      </c>
      <c r="FK69" s="931">
        <v>-36.434837802414066</v>
      </c>
      <c r="FL69" s="931">
        <v>-35.152444290317504</v>
      </c>
      <c r="FM69" s="931">
        <v>-33.9463465187048</v>
      </c>
      <c r="FN69" s="931">
        <v>-32.588492657956607</v>
      </c>
      <c r="FO69" s="931">
        <v>-31.284952951638342</v>
      </c>
      <c r="FP69" s="931">
        <v>-30.033554833572804</v>
      </c>
      <c r="FQ69" s="931">
        <v>-28.832212640229891</v>
      </c>
      <c r="FR69" s="931">
        <v>-27.678924134620697</v>
      </c>
      <c r="FS69" s="931"/>
      <c r="FT69" s="931"/>
      <c r="FU69" s="931"/>
      <c r="FV69" s="931"/>
      <c r="FW69" s="931"/>
      <c r="FX69" s="931"/>
      <c r="FY69" s="931"/>
      <c r="FZ69" s="931"/>
      <c r="GA69" s="931"/>
      <c r="GB69" s="931"/>
      <c r="GC69" s="931"/>
      <c r="GD69" s="931"/>
      <c r="GE69" s="931">
        <v>-2.7198315116666669</v>
      </c>
      <c r="GF69" s="931">
        <v>-2.7198315116666669</v>
      </c>
      <c r="GG69" s="931">
        <v>-2.7198315116666669</v>
      </c>
      <c r="GH69" s="931">
        <v>-2.7198315116666669</v>
      </c>
      <c r="GI69" s="931">
        <v>-2.7198315116666669</v>
      </c>
      <c r="GJ69" s="931">
        <v>-2.7198315116666669</v>
      </c>
      <c r="GK69" s="931">
        <v>-2.7198315116666669</v>
      </c>
      <c r="GL69" s="931">
        <v>-2.7198315116666669</v>
      </c>
      <c r="GM69" s="931">
        <v>-2.7198315116666669</v>
      </c>
      <c r="GN69" s="931">
        <v>-2.7198315116666669</v>
      </c>
      <c r="GO69" s="931">
        <v>-2.7198315116666669</v>
      </c>
      <c r="GP69" s="931">
        <v>-2.7198315116666669</v>
      </c>
      <c r="GQ69" s="931">
        <v>-2.7198315116666669</v>
      </c>
      <c r="GR69" s="931">
        <v>-2.7198315116666669</v>
      </c>
      <c r="GS69" s="931">
        <v>-2.7198315116666669</v>
      </c>
      <c r="GT69" s="931">
        <v>-2.7198315116666669</v>
      </c>
      <c r="GU69" s="931">
        <v>-2.7198315116666669</v>
      </c>
      <c r="GV69" s="931">
        <v>-2.7198315116666669</v>
      </c>
      <c r="GW69" s="931">
        <v>-2.7198315116666669</v>
      </c>
      <c r="GX69" s="931">
        <v>-2.7198315116666669</v>
      </c>
      <c r="GY69" s="931">
        <v>-2.7198315116666669</v>
      </c>
      <c r="GZ69" s="931">
        <v>-2.7198315116666669</v>
      </c>
      <c r="HA69" s="931">
        <v>-2.7198315116666669</v>
      </c>
      <c r="HB69" s="931">
        <v>-2.7198315116666669</v>
      </c>
      <c r="HD69" s="931">
        <f t="shared" si="357"/>
        <v>-76.47633519</v>
      </c>
      <c r="HE69" s="931">
        <f t="shared" si="357"/>
        <v>-162.22809973</v>
      </c>
      <c r="HF69" s="931">
        <f t="shared" si="357"/>
        <v>-106.04896599999999</v>
      </c>
      <c r="HG69" s="931">
        <f t="shared" si="357"/>
        <v>-113.77998341999998</v>
      </c>
      <c r="HH69" s="931">
        <f t="shared" si="358"/>
        <v>0</v>
      </c>
      <c r="HI69" s="931">
        <f t="shared" si="359"/>
        <v>0</v>
      </c>
      <c r="HJ69" s="931">
        <f t="shared" si="407"/>
        <v>-4.4408920985006262E-16</v>
      </c>
      <c r="HK69" s="931">
        <f t="shared" si="360"/>
        <v>0</v>
      </c>
      <c r="HL69" s="941">
        <f>+SUMIF($E$6:SEW$6,HL$7,$E69:SEW69)</f>
        <v>0</v>
      </c>
      <c r="HM69" s="941">
        <f>+SUMIF($E$6:SEX$6,HM$7,$E69:SEX69)</f>
        <v>0</v>
      </c>
      <c r="HN69" s="941">
        <f>+SUMIF($E$6:SEY$6,HN$7,$E69:SEY69)</f>
        <v>-0.541937</v>
      </c>
      <c r="HO69" s="931"/>
      <c r="HP69" s="931"/>
      <c r="HR69" s="934">
        <f t="shared" si="361"/>
        <v>-0.34629718170588353</v>
      </c>
      <c r="HS69" s="934">
        <f t="shared" si="361"/>
        <v>7.2900450721980592E-2</v>
      </c>
      <c r="HT69" s="934">
        <f t="shared" si="361"/>
        <v>-1</v>
      </c>
      <c r="HU69" s="934" t="str">
        <f t="shared" si="361"/>
        <v/>
      </c>
      <c r="HV69" s="934" t="str">
        <f t="shared" si="361"/>
        <v/>
      </c>
      <c r="HW69" s="934">
        <f t="shared" si="361"/>
        <v>-1</v>
      </c>
      <c r="HX69" s="934" t="str">
        <f t="shared" si="361"/>
        <v/>
      </c>
      <c r="HY69" s="934" t="str">
        <f t="shared" si="361"/>
        <v/>
      </c>
      <c r="HZ69" s="934" t="str">
        <f t="shared" si="361"/>
        <v/>
      </c>
      <c r="IA69" s="934" t="str">
        <f t="shared" si="305"/>
        <v/>
      </c>
      <c r="IB69" s="934" t="str">
        <f t="shared" si="362"/>
        <v/>
      </c>
      <c r="IC69" s="934" t="str">
        <f t="shared" si="306"/>
        <v/>
      </c>
      <c r="IE69" s="931">
        <f t="shared" si="363"/>
        <v>56.179133730000004</v>
      </c>
      <c r="IF69" s="931">
        <f t="shared" si="363"/>
        <v>-7.7310174199999864</v>
      </c>
      <c r="IG69" s="931">
        <f t="shared" si="363"/>
        <v>113.77998341999998</v>
      </c>
      <c r="IH69" s="931">
        <f t="shared" si="363"/>
        <v>0</v>
      </c>
      <c r="II69" s="931">
        <f t="shared" si="322"/>
        <v>-4.4408920985006262E-16</v>
      </c>
      <c r="IJ69" s="931">
        <f t="shared" si="323"/>
        <v>4.4408920985006262E-16</v>
      </c>
      <c r="IK69" s="931">
        <f t="shared" si="324"/>
        <v>0</v>
      </c>
      <c r="IL69" s="931">
        <f t="shared" si="307"/>
        <v>0</v>
      </c>
      <c r="IM69" s="931">
        <f t="shared" si="364"/>
        <v>0</v>
      </c>
      <c r="IN69" s="931">
        <f t="shared" si="308"/>
        <v>0</v>
      </c>
      <c r="IP69" s="230">
        <f t="shared" si="365"/>
        <v>-4.4137359049717965E-3</v>
      </c>
      <c r="IQ69" s="230">
        <f t="shared" si="365"/>
        <v>-2.6927612448316481E-3</v>
      </c>
      <c r="IR69" s="230">
        <f t="shared" si="365"/>
        <v>-6.7514060888480137E-3</v>
      </c>
      <c r="IS69" s="230">
        <f t="shared" si="365"/>
        <v>0</v>
      </c>
      <c r="IT69" s="230">
        <f t="shared" si="365"/>
        <v>0</v>
      </c>
      <c r="IU69" s="230">
        <f t="shared" si="365"/>
        <v>-3.1383212442726485E-20</v>
      </c>
      <c r="IV69" s="230">
        <f t="shared" si="365"/>
        <v>0</v>
      </c>
      <c r="IW69" s="230">
        <f t="shared" si="365"/>
        <v>0</v>
      </c>
      <c r="IX69" s="230" t="e">
        <f t="shared" si="366"/>
        <v>#DIV/0!</v>
      </c>
      <c r="IY69" s="230" t="e">
        <f t="shared" si="367"/>
        <v>#DIV/0!</v>
      </c>
      <c r="JA69" s="931">
        <f t="shared" si="368"/>
        <v>-76.47633519</v>
      </c>
      <c r="JB69" s="931">
        <f t="shared" si="368"/>
        <v>-162.22809973</v>
      </c>
      <c r="JC69" s="931">
        <f t="shared" si="368"/>
        <v>-106.04896599999999</v>
      </c>
      <c r="JD69" s="931">
        <f t="shared" si="368"/>
        <v>-113.77998341999998</v>
      </c>
      <c r="JE69" s="931">
        <f t="shared" si="368"/>
        <v>0</v>
      </c>
      <c r="JF69" s="931">
        <f t="shared" si="368"/>
        <v>0</v>
      </c>
      <c r="JG69" s="931">
        <f t="shared" si="368"/>
        <v>-4.4408920985006262E-16</v>
      </c>
      <c r="JH69" s="931">
        <f t="shared" si="368"/>
        <v>0</v>
      </c>
      <c r="JI69" s="931">
        <f t="shared" si="368"/>
        <v>0</v>
      </c>
      <c r="JJ69" s="931">
        <f t="shared" si="368"/>
        <v>0</v>
      </c>
      <c r="JK69" s="931">
        <f t="shared" si="368"/>
        <v>-0.541937</v>
      </c>
      <c r="JL69" s="931">
        <f t="shared" si="369"/>
        <v>-0.541937</v>
      </c>
      <c r="JM69" s="931"/>
      <c r="JN69" s="931"/>
      <c r="JO69" s="1184"/>
      <c r="JP69" s="931">
        <f t="shared" si="370"/>
        <v>-0.541937</v>
      </c>
      <c r="JQ69" s="931">
        <f t="shared" si="371"/>
        <v>0</v>
      </c>
      <c r="JR69" s="145"/>
      <c r="JS69" s="934" t="str">
        <f t="shared" si="372"/>
        <v/>
      </c>
      <c r="JT69" s="935">
        <f t="shared" si="373"/>
        <v>-0.541937</v>
      </c>
      <c r="JV69" s="230">
        <f t="shared" si="374"/>
        <v>-1.7949941595434527E-5</v>
      </c>
      <c r="JW69" s="934" t="str">
        <f t="shared" si="375"/>
        <v/>
      </c>
      <c r="JY69" s="934">
        <f t="shared" si="408"/>
        <v>-0.34629718170588353</v>
      </c>
      <c r="JZ69" s="934">
        <f t="shared" si="408"/>
        <v>7.2900450721980592E-2</v>
      </c>
      <c r="KA69" s="934">
        <f t="shared" si="408"/>
        <v>-1</v>
      </c>
      <c r="KB69" s="934" t="str">
        <f t="shared" si="408"/>
        <v/>
      </c>
      <c r="KC69" s="934" t="str">
        <f t="shared" si="408"/>
        <v/>
      </c>
      <c r="KD69" s="934">
        <f t="shared" si="408"/>
        <v>-1</v>
      </c>
      <c r="KE69" s="934" t="str">
        <f t="shared" si="408"/>
        <v/>
      </c>
      <c r="KF69" s="934" t="str">
        <f t="shared" si="409"/>
        <v/>
      </c>
      <c r="KH69" s="931">
        <f t="shared" si="377"/>
        <v>56.179133730000004</v>
      </c>
      <c r="KI69" s="931">
        <f t="shared" si="378"/>
        <v>-7.7310174199999864</v>
      </c>
      <c r="KJ69" s="931">
        <f t="shared" si="379"/>
        <v>113.77998341999998</v>
      </c>
      <c r="KK69" s="931">
        <f t="shared" si="380"/>
        <v>0</v>
      </c>
      <c r="KL69" s="931">
        <f t="shared" si="381"/>
        <v>-4.4408920985006262E-16</v>
      </c>
      <c r="KM69" s="931">
        <f t="shared" si="382"/>
        <v>4.4408920985006262E-16</v>
      </c>
      <c r="KN69" s="931">
        <f t="shared" si="383"/>
        <v>0</v>
      </c>
      <c r="KO69" s="931">
        <f t="shared" si="384"/>
        <v>0</v>
      </c>
      <c r="KQ69" s="230">
        <f t="shared" si="385"/>
        <v>-2.1078680685565369E-3</v>
      </c>
      <c r="KR69" s="230">
        <f t="shared" si="385"/>
        <v>-4.4137359049717965E-3</v>
      </c>
      <c r="KS69" s="230">
        <f t="shared" si="385"/>
        <v>-2.6927612448316481E-3</v>
      </c>
      <c r="KT69" s="230">
        <f t="shared" si="385"/>
        <v>-6.7514060888480137E-3</v>
      </c>
      <c r="KU69" s="230">
        <f t="shared" si="385"/>
        <v>0</v>
      </c>
      <c r="KV69" s="230">
        <f t="shared" si="385"/>
        <v>0</v>
      </c>
      <c r="KW69" s="230">
        <f t="shared" si="385"/>
        <v>-3.1383212442726485E-20</v>
      </c>
      <c r="KX69" s="230">
        <f t="shared" si="385"/>
        <v>0</v>
      </c>
      <c r="KY69" s="230">
        <f t="shared" si="385"/>
        <v>0</v>
      </c>
      <c r="KZ69" s="230" t="e">
        <f t="shared" si="386"/>
        <v>#DIV/0!</v>
      </c>
      <c r="LB69" s="931">
        <f t="shared" si="387"/>
        <v>-11.213400899999996</v>
      </c>
      <c r="LC69" s="931">
        <f t="shared" si="387"/>
        <v>-15.145830829999994</v>
      </c>
      <c r="LD69" s="931">
        <f t="shared" si="387"/>
        <v>66.494492929999993</v>
      </c>
      <c r="LE69" s="931">
        <f t="shared" si="387"/>
        <v>-7.68</v>
      </c>
      <c r="LF69" s="931">
        <f t="shared" si="387"/>
        <v>0</v>
      </c>
      <c r="LG69" s="931">
        <f t="shared" si="387"/>
        <v>0</v>
      </c>
      <c r="LH69" s="931">
        <f t="shared" si="387"/>
        <v>0</v>
      </c>
      <c r="LI69" s="931">
        <f t="shared" si="387"/>
        <v>0</v>
      </c>
      <c r="LJ69" s="931">
        <f t="shared" si="387"/>
        <v>0</v>
      </c>
      <c r="LK69" s="931">
        <f t="shared" si="387"/>
        <v>0</v>
      </c>
      <c r="LL69" s="931">
        <f t="shared" si="387"/>
        <v>0</v>
      </c>
      <c r="LM69" s="931">
        <f t="shared" si="387"/>
        <v>0</v>
      </c>
      <c r="LN69" s="931"/>
      <c r="LO69" s="931"/>
      <c r="LR69" s="230">
        <f t="shared" si="388"/>
        <v>-5.3902836150983218</v>
      </c>
      <c r="LS69" s="230">
        <f t="shared" si="389"/>
        <v>-1.1154982865736698</v>
      </c>
      <c r="LT69" s="230">
        <f t="shared" si="390"/>
        <v>-1</v>
      </c>
      <c r="LU69" s="230" t="str">
        <f t="shared" si="391"/>
        <v xml:space="preserve"> </v>
      </c>
      <c r="LV69" s="230" t="str">
        <f t="shared" si="392"/>
        <v xml:space="preserve"> </v>
      </c>
      <c r="LW69" s="230" t="str">
        <f t="shared" si="393"/>
        <v xml:space="preserve"> </v>
      </c>
      <c r="LX69" s="230" t="str">
        <f t="shared" si="338"/>
        <v xml:space="preserve"> </v>
      </c>
      <c r="LZ69" s="931">
        <f t="shared" si="394"/>
        <v>81.640323759999987</v>
      </c>
      <c r="MA69" s="931">
        <f t="shared" si="395"/>
        <v>-74.174492929999985</v>
      </c>
      <c r="MB69" s="931">
        <f t="shared" si="396"/>
        <v>7.68</v>
      </c>
      <c r="MC69" s="931">
        <f t="shared" si="397"/>
        <v>0</v>
      </c>
      <c r="MD69" s="931">
        <f t="shared" si="398"/>
        <v>0</v>
      </c>
      <c r="ME69" s="931">
        <f t="shared" si="399"/>
        <v>0</v>
      </c>
      <c r="MF69" s="931">
        <f t="shared" si="340"/>
        <v>0</v>
      </c>
      <c r="MH69" s="230">
        <f t="shared" si="400"/>
        <v>-3.7386175060191091E-3</v>
      </c>
      <c r="MI69" s="230">
        <f t="shared" si="400"/>
        <v>-2.7469629678894252E-3</v>
      </c>
      <c r="MJ69" s="230">
        <f t="shared" si="400"/>
        <v>1.2971630760255707E-2</v>
      </c>
      <c r="MK69" s="230">
        <f t="shared" si="400"/>
        <v>-1.3212408447762209E-2</v>
      </c>
      <c r="ML69" s="230">
        <f t="shared" si="400"/>
        <v>0</v>
      </c>
      <c r="MM69" s="230">
        <f t="shared" si="400"/>
        <v>0</v>
      </c>
      <c r="MN69" s="230">
        <f t="shared" si="400"/>
        <v>0</v>
      </c>
      <c r="MO69" s="230">
        <f t="shared" si="400"/>
        <v>0</v>
      </c>
      <c r="MP69" s="230" t="e">
        <f t="shared" si="401"/>
        <v>#DIV/0!</v>
      </c>
    </row>
    <row r="70" spans="1:354" outlineLevel="2">
      <c r="A70" s="884"/>
      <c r="B70" s="1219">
        <f>+HL60+HL63</f>
        <v>1192.56150933</v>
      </c>
      <c r="C70" s="29" t="s">
        <v>656</v>
      </c>
      <c r="D70" s="31"/>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45"/>
      <c r="AQ70" s="143"/>
      <c r="AR70" s="143"/>
      <c r="AS70" s="102"/>
      <c r="AT70" s="102"/>
      <c r="AU70" s="102"/>
      <c r="AV70" s="102"/>
      <c r="AW70" s="102"/>
      <c r="AX70" s="102"/>
      <c r="AY70" s="102"/>
      <c r="AZ70" s="102"/>
      <c r="BA70" s="102">
        <v>-32.980728999999997</v>
      </c>
      <c r="BB70" s="102">
        <v>-8.5428090000000001</v>
      </c>
      <c r="BC70" s="102">
        <v>-5.8246599999999997</v>
      </c>
      <c r="BD70" s="102">
        <v>-54.087308999999998</v>
      </c>
      <c r="BE70" s="102">
        <v>-28.001034000000001</v>
      </c>
      <c r="BF70" s="102">
        <v>-75.420088000000007</v>
      </c>
      <c r="BG70" s="102">
        <v>-76.258741000000001</v>
      </c>
      <c r="BH70" s="102">
        <v>-77.323158000000006</v>
      </c>
      <c r="BI70" s="102">
        <v>-67.804768999999993</v>
      </c>
      <c r="BJ70" s="102">
        <v>-97.539164999999997</v>
      </c>
      <c r="BK70" s="102">
        <v>-135.69105099999999</v>
      </c>
      <c r="BL70" s="102">
        <v>-137.00238372999999</v>
      </c>
      <c r="BM70" s="102">
        <v>4.5880010199999992</v>
      </c>
      <c r="BN70" s="102">
        <v>11.603701170000003</v>
      </c>
      <c r="BO70" s="102">
        <v>-40.052883000000001</v>
      </c>
      <c r="BP70" s="102">
        <v>-14.552191000000001</v>
      </c>
      <c r="BQ70" s="102">
        <v>-27.481998000000001</v>
      </c>
      <c r="BR70" s="102">
        <v>-32.992108000000002</v>
      </c>
      <c r="BS70" s="102">
        <v>-15.538558999999999</v>
      </c>
      <c r="BT70" s="102">
        <v>-54.753310999999997</v>
      </c>
      <c r="BU70" s="102">
        <v>-55.897544000000003</v>
      </c>
      <c r="BV70" s="102">
        <v>-17.949293999999998</v>
      </c>
      <c r="BW70" s="102">
        <v>-10.914099999999999</v>
      </c>
      <c r="BX70" s="102">
        <v>-3.8660730000000001</v>
      </c>
      <c r="BY70" s="102">
        <v>-5.055104</v>
      </c>
      <c r="BZ70" s="102">
        <v>-5.1417729999999997</v>
      </c>
      <c r="CA70" s="102">
        <v>-7.7203799999999996</v>
      </c>
      <c r="CB70" s="102">
        <v>-12.862152999999999</v>
      </c>
      <c r="CC70" s="102">
        <v>0</v>
      </c>
      <c r="CD70" s="102">
        <v>0</v>
      </c>
      <c r="CE70" s="102">
        <v>0</v>
      </c>
      <c r="CF70" s="102">
        <v>-1.8407500000000001</v>
      </c>
      <c r="CG70" s="102">
        <v>-0.204323</v>
      </c>
      <c r="CH70" s="102">
        <v>-0.16306200000000001</v>
      </c>
      <c r="CI70" s="102">
        <v>-0.20998600000000001</v>
      </c>
      <c r="CJ70" s="102">
        <v>0</v>
      </c>
      <c r="CK70" s="102">
        <v>0</v>
      </c>
      <c r="CL70" s="102">
        <v>0</v>
      </c>
      <c r="CM70" s="102">
        <v>0</v>
      </c>
      <c r="CN70" s="102">
        <v>0</v>
      </c>
      <c r="CO70" s="102">
        <v>0</v>
      </c>
      <c r="CP70" s="102">
        <v>0</v>
      </c>
      <c r="CQ70" s="102">
        <v>0</v>
      </c>
      <c r="CR70" s="102">
        <v>0</v>
      </c>
      <c r="CS70" s="102">
        <v>0</v>
      </c>
      <c r="CT70" s="102">
        <v>0</v>
      </c>
      <c r="CU70" s="102">
        <v>0</v>
      </c>
      <c r="CV70" s="102">
        <v>0</v>
      </c>
      <c r="CW70" s="102">
        <v>0</v>
      </c>
      <c r="CX70" s="102">
        <v>0</v>
      </c>
      <c r="CY70" s="102">
        <v>0</v>
      </c>
      <c r="CZ70" s="102">
        <v>0</v>
      </c>
      <c r="DA70" s="102">
        <v>0</v>
      </c>
      <c r="DB70" s="102">
        <v>-0.89066299999999998</v>
      </c>
      <c r="DC70" s="102">
        <v>-4.6087829999999999</v>
      </c>
      <c r="DD70" s="102">
        <v>-4.7586389999999996</v>
      </c>
      <c r="DE70" s="102">
        <v>10.258084999999999</v>
      </c>
      <c r="DF70" s="102">
        <v>0</v>
      </c>
      <c r="DG70" s="102">
        <v>0</v>
      </c>
      <c r="DH70" s="102">
        <v>0</v>
      </c>
      <c r="DI70" s="102">
        <v>0</v>
      </c>
      <c r="DJ70" s="102">
        <v>0</v>
      </c>
      <c r="DK70" s="102">
        <v>0</v>
      </c>
      <c r="DL70" s="102">
        <v>0</v>
      </c>
      <c r="DM70" s="102">
        <v>0</v>
      </c>
      <c r="DN70" s="102">
        <v>0</v>
      </c>
      <c r="DO70" s="102">
        <v>0</v>
      </c>
      <c r="DP70" s="102">
        <v>0</v>
      </c>
      <c r="DQ70" s="940">
        <v>0</v>
      </c>
      <c r="DR70" s="940">
        <v>0</v>
      </c>
      <c r="DS70" s="940">
        <v>0</v>
      </c>
      <c r="DT70" s="940">
        <v>0</v>
      </c>
      <c r="DU70" s="940">
        <v>0</v>
      </c>
      <c r="DV70" s="940">
        <v>0</v>
      </c>
      <c r="DW70" s="940">
        <v>0</v>
      </c>
      <c r="DX70" s="940">
        <v>0</v>
      </c>
      <c r="DY70" s="940">
        <v>0</v>
      </c>
      <c r="DZ70" s="940">
        <v>0</v>
      </c>
      <c r="EA70" s="940">
        <v>0</v>
      </c>
      <c r="EB70" s="940">
        <v>0</v>
      </c>
      <c r="EC70" s="940">
        <v>0</v>
      </c>
      <c r="ED70" s="940">
        <v>0</v>
      </c>
      <c r="EE70" s="940">
        <v>0</v>
      </c>
      <c r="EF70" s="940">
        <v>0</v>
      </c>
      <c r="EG70" s="949"/>
      <c r="EH70" s="957"/>
      <c r="EI70" s="957"/>
      <c r="EJ70" s="957"/>
      <c r="EK70" s="957"/>
      <c r="EL70" s="957"/>
      <c r="EM70" s="957"/>
      <c r="EN70" s="957"/>
      <c r="EO70" s="957"/>
      <c r="EP70" s="957"/>
      <c r="EQ70" s="957"/>
      <c r="ER70" s="957"/>
      <c r="ES70" s="957"/>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v>-28.492540839143999</v>
      </c>
      <c r="FT70" s="102">
        <v>-18.055975436423999</v>
      </c>
      <c r="FU70" s="102">
        <v>-44.236682871120003</v>
      </c>
      <c r="FV70" s="102">
        <v>-18.464484894120002</v>
      </c>
      <c r="FW70" s="102">
        <v>-47.922558188544002</v>
      </c>
      <c r="FX70" s="102">
        <v>-11.975951237832</v>
      </c>
      <c r="FY70" s="102">
        <v>-23.372431766712001</v>
      </c>
      <c r="FZ70" s="102">
        <v>-67.157070879456001</v>
      </c>
      <c r="GA70" s="102">
        <v>-17.71619184</v>
      </c>
      <c r="GB70" s="102">
        <v>0</v>
      </c>
      <c r="GC70" s="102">
        <v>0</v>
      </c>
      <c r="GD70" s="102">
        <v>0</v>
      </c>
      <c r="GE70" s="145"/>
      <c r="GF70" s="145"/>
      <c r="GG70" s="145"/>
      <c r="GH70" s="145"/>
      <c r="GI70" s="145"/>
      <c r="GJ70" s="145"/>
      <c r="GK70" s="145"/>
      <c r="GL70" s="145"/>
      <c r="GM70" s="145"/>
      <c r="GN70" s="145"/>
      <c r="GO70" s="145"/>
      <c r="GP70" s="145"/>
      <c r="GQ70" s="145"/>
      <c r="GR70" s="145"/>
      <c r="GS70" s="145"/>
      <c r="GT70" s="145"/>
      <c r="GU70" s="145"/>
      <c r="GV70" s="145"/>
      <c r="GW70" s="145"/>
      <c r="GX70" s="145"/>
      <c r="GY70" s="145"/>
      <c r="GZ70" s="145"/>
      <c r="HA70" s="145"/>
      <c r="HB70" s="145"/>
      <c r="HD70" s="102"/>
      <c r="HE70" s="102"/>
      <c r="HF70" s="102"/>
      <c r="HG70" s="102"/>
      <c r="HH70" s="102"/>
      <c r="HI70" s="102">
        <f t="shared" si="359"/>
        <v>-257.80635881000001</v>
      </c>
      <c r="HJ70" s="102">
        <f t="shared" si="407"/>
        <v>-33.197530999999998</v>
      </c>
      <c r="HK70" s="102">
        <f t="shared" si="360"/>
        <v>0</v>
      </c>
      <c r="HL70" s="940">
        <f>+SUMIF($E$6:SEW$6,HL$7,$E70:SEW70)</f>
        <v>0</v>
      </c>
      <c r="HM70" s="940">
        <f>+SUMIF($E$6:SEX$6,HM$7,$E70:SEX70)</f>
        <v>0</v>
      </c>
      <c r="HN70" s="940">
        <f>+SUMIF($E$6:SEY$6,HN$7,$E70:SEY70)</f>
        <v>0</v>
      </c>
      <c r="HO70" s="102"/>
      <c r="HP70" s="102"/>
      <c r="HR70" s="32"/>
      <c r="HS70" s="32"/>
      <c r="HT70" s="32"/>
      <c r="HU70" s="929" t="str">
        <f t="shared" ref="HU70:HZ71" si="415">+IFERROR(HI70/HH70-1,"")</f>
        <v/>
      </c>
      <c r="HV70" s="929">
        <f t="shared" si="415"/>
        <v>-0.87123075181994969</v>
      </c>
      <c r="HW70" s="929">
        <f t="shared" si="415"/>
        <v>-1</v>
      </c>
      <c r="HX70" s="929" t="str">
        <f t="shared" si="415"/>
        <v/>
      </c>
      <c r="HY70" s="929" t="str">
        <f t="shared" si="415"/>
        <v/>
      </c>
      <c r="HZ70" s="929" t="str">
        <f t="shared" si="415"/>
        <v/>
      </c>
      <c r="IA70" s="929" t="str">
        <f t="shared" si="305"/>
        <v/>
      </c>
      <c r="IB70" s="32"/>
      <c r="IC70" s="929" t="str">
        <f t="shared" si="306"/>
        <v/>
      </c>
      <c r="IE70" s="102"/>
      <c r="IF70" s="102"/>
      <c r="IG70" s="102"/>
      <c r="IH70" s="102">
        <f>+HI70-HH70</f>
        <v>-257.80635881000001</v>
      </c>
      <c r="II70" s="102">
        <f t="shared" si="322"/>
        <v>224.60882781000001</v>
      </c>
      <c r="IJ70" s="102">
        <f t="shared" si="323"/>
        <v>33.197530999999998</v>
      </c>
      <c r="IK70" s="102">
        <f t="shared" si="324"/>
        <v>0</v>
      </c>
      <c r="IL70" s="102">
        <f t="shared" si="307"/>
        <v>0</v>
      </c>
      <c r="IM70" s="102"/>
      <c r="IN70" s="102">
        <f t="shared" si="308"/>
        <v>0</v>
      </c>
      <c r="IP70" s="32"/>
      <c r="IQ70" s="32"/>
      <c r="IR70" s="32"/>
      <c r="IS70" s="32"/>
      <c r="IT70" s="32">
        <f t="shared" ref="IT70:IW72" si="416">+HI70/HI$11</f>
        <v>-1.8916271118078757E-2</v>
      </c>
      <c r="IU70" s="32">
        <f t="shared" si="416"/>
        <v>-2.3460267550719266E-3</v>
      </c>
      <c r="IV70" s="32">
        <f t="shared" si="416"/>
        <v>0</v>
      </c>
      <c r="IW70" s="32">
        <f t="shared" si="416"/>
        <v>0</v>
      </c>
      <c r="IX70" s="32" t="e">
        <f t="shared" si="366"/>
        <v>#DIV/0!</v>
      </c>
      <c r="IY70" s="32" t="e">
        <f t="shared" si="367"/>
        <v>#DIV/0!</v>
      </c>
      <c r="JA70" s="102">
        <f t="shared" si="368"/>
        <v>0</v>
      </c>
      <c r="JB70" s="102">
        <f t="shared" si="368"/>
        <v>0</v>
      </c>
      <c r="JC70" s="102">
        <f t="shared" si="368"/>
        <v>0</v>
      </c>
      <c r="JD70" s="102">
        <f t="shared" si="368"/>
        <v>0</v>
      </c>
      <c r="JE70" s="102">
        <f t="shared" si="368"/>
        <v>-796.47589673000004</v>
      </c>
      <c r="JF70" s="102">
        <f t="shared" si="368"/>
        <v>-257.80635881000001</v>
      </c>
      <c r="JG70" s="102">
        <f t="shared" si="368"/>
        <v>-33.197530999999998</v>
      </c>
      <c r="JH70" s="102">
        <f t="shared" si="368"/>
        <v>0</v>
      </c>
      <c r="JI70" s="102">
        <f t="shared" si="368"/>
        <v>0</v>
      </c>
      <c r="JJ70" s="102">
        <f t="shared" si="368"/>
        <v>0</v>
      </c>
      <c r="JK70" s="102">
        <f t="shared" si="368"/>
        <v>0</v>
      </c>
      <c r="JL70" s="102">
        <f t="shared" si="369"/>
        <v>0</v>
      </c>
      <c r="JM70" s="102"/>
      <c r="JN70" s="102"/>
      <c r="JO70" s="1184"/>
      <c r="JP70" s="102">
        <f t="shared" si="370"/>
        <v>0</v>
      </c>
      <c r="JQ70" s="102">
        <f t="shared" si="371"/>
        <v>0</v>
      </c>
      <c r="JR70" s="145"/>
      <c r="JS70" s="929"/>
      <c r="JT70" s="930"/>
      <c r="JV70" s="32"/>
      <c r="JW70" s="32"/>
      <c r="JY70" s="32"/>
      <c r="JZ70" s="32"/>
      <c r="KA70" s="32"/>
      <c r="KB70" s="929">
        <f t="shared" ref="KB70:KE71" si="417">+IFERROR(JF70/JE70-1,"")</f>
        <v>-0.6763161824878241</v>
      </c>
      <c r="KC70" s="929">
        <f t="shared" si="417"/>
        <v>-0.87123075181994969</v>
      </c>
      <c r="KD70" s="929">
        <f t="shared" si="417"/>
        <v>-1</v>
      </c>
      <c r="KE70" s="929" t="str">
        <f t="shared" si="417"/>
        <v/>
      </c>
      <c r="KF70" s="929" t="str">
        <f t="shared" si="409"/>
        <v/>
      </c>
      <c r="KH70" s="102">
        <f t="shared" si="377"/>
        <v>0</v>
      </c>
      <c r="KI70" s="102">
        <f t="shared" si="378"/>
        <v>0</v>
      </c>
      <c r="KJ70" s="102">
        <f t="shared" si="379"/>
        <v>-796.47589673000004</v>
      </c>
      <c r="KK70" s="102">
        <f t="shared" si="380"/>
        <v>538.66953792000004</v>
      </c>
      <c r="KL70" s="102">
        <f t="shared" si="381"/>
        <v>224.60882781000001</v>
      </c>
      <c r="KM70" s="102">
        <f t="shared" si="382"/>
        <v>33.197530999999998</v>
      </c>
      <c r="KN70" s="102">
        <f t="shared" si="383"/>
        <v>0</v>
      </c>
      <c r="KO70" s="102">
        <f t="shared" si="384"/>
        <v>0</v>
      </c>
      <c r="KQ70" s="32"/>
      <c r="KR70" s="32"/>
      <c r="KS70" s="32"/>
      <c r="KT70" s="32"/>
      <c r="KU70" s="32"/>
      <c r="KV70" s="32"/>
      <c r="KW70" s="32"/>
      <c r="KX70" s="32"/>
      <c r="KY70" s="32"/>
      <c r="KZ70" s="32"/>
      <c r="LB70" s="102">
        <f t="shared" si="387"/>
        <v>0</v>
      </c>
      <c r="LC70" s="102">
        <f t="shared" si="387"/>
        <v>0</v>
      </c>
      <c r="LD70" s="102">
        <f t="shared" si="387"/>
        <v>0</v>
      </c>
      <c r="LE70" s="102">
        <f t="shared" si="387"/>
        <v>0</v>
      </c>
      <c r="LF70" s="102">
        <f t="shared" si="387"/>
        <v>-137.00238372999999</v>
      </c>
      <c r="LG70" s="102">
        <f t="shared" si="387"/>
        <v>-3.8660730000000001</v>
      </c>
      <c r="LH70" s="102">
        <f t="shared" si="387"/>
        <v>0</v>
      </c>
      <c r="LI70" s="102">
        <f t="shared" si="387"/>
        <v>0</v>
      </c>
      <c r="LJ70" s="102">
        <f t="shared" si="387"/>
        <v>0</v>
      </c>
      <c r="LK70" s="102">
        <f t="shared" si="387"/>
        <v>0</v>
      </c>
      <c r="LL70" s="102">
        <f t="shared" si="387"/>
        <v>0</v>
      </c>
      <c r="LM70" s="102">
        <f t="shared" si="387"/>
        <v>0</v>
      </c>
      <c r="LN70" s="102"/>
      <c r="LO70" s="102"/>
      <c r="LR70" s="32" t="str">
        <f t="shared" si="388"/>
        <v xml:space="preserve"> </v>
      </c>
      <c r="LS70" s="32" t="str">
        <f t="shared" si="389"/>
        <v xml:space="preserve"> </v>
      </c>
      <c r="LT70" s="32" t="str">
        <f t="shared" si="390"/>
        <v xml:space="preserve"> </v>
      </c>
      <c r="LU70" s="32">
        <f t="shared" si="391"/>
        <v>-0.97178098004762359</v>
      </c>
      <c r="LV70" s="32">
        <f t="shared" si="392"/>
        <v>-1</v>
      </c>
      <c r="LW70" s="32" t="str">
        <f t="shared" si="393"/>
        <v xml:space="preserve"> </v>
      </c>
      <c r="LX70" s="32" t="str">
        <f t="shared" si="338"/>
        <v xml:space="preserve"> </v>
      </c>
      <c r="LZ70" s="102">
        <f t="shared" si="394"/>
        <v>0</v>
      </c>
      <c r="MA70" s="102">
        <f t="shared" si="395"/>
        <v>0</v>
      </c>
      <c r="MB70" s="102">
        <f t="shared" si="396"/>
        <v>-137.00238372999999</v>
      </c>
      <c r="MC70" s="102">
        <f t="shared" si="397"/>
        <v>133.13631072999999</v>
      </c>
      <c r="MD70" s="102">
        <f t="shared" si="398"/>
        <v>3.8660730000000001</v>
      </c>
      <c r="ME70" s="102">
        <f t="shared" si="399"/>
        <v>0</v>
      </c>
      <c r="MF70" s="102">
        <f t="shared" si="340"/>
        <v>0</v>
      </c>
      <c r="MH70" s="32"/>
      <c r="MI70" s="32"/>
      <c r="MJ70" s="32"/>
      <c r="MK70" s="32"/>
      <c r="ML70" s="32"/>
      <c r="MM70" s="32"/>
      <c r="MN70" s="32"/>
      <c r="MO70" s="32"/>
      <c r="MP70" s="32"/>
    </row>
    <row r="71" spans="1:354" outlineLevel="2">
      <c r="A71" s="884"/>
      <c r="B71" s="1219">
        <f>+B70-HL74</f>
        <v>248.6061610000005</v>
      </c>
      <c r="C71" s="29" t="s">
        <v>657</v>
      </c>
      <c r="D71" s="31"/>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45"/>
      <c r="AQ71" s="143"/>
      <c r="AR71" s="143"/>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940"/>
      <c r="DR71" s="940"/>
      <c r="DS71" s="940"/>
      <c r="DT71" s="940"/>
      <c r="DU71" s="940"/>
      <c r="DV71" s="940"/>
      <c r="DW71" s="940"/>
      <c r="DX71" s="940"/>
      <c r="DY71" s="940"/>
      <c r="DZ71" s="940"/>
      <c r="EA71" s="940"/>
      <c r="EB71" s="940"/>
      <c r="EC71" s="940"/>
      <c r="ED71" s="940"/>
      <c r="EE71" s="940"/>
      <c r="EF71" s="940"/>
      <c r="EH71" s="102"/>
      <c r="EI71" s="102"/>
      <c r="EJ71" s="102"/>
      <c r="EK71" s="102"/>
      <c r="EL71" s="102"/>
      <c r="EM71" s="102"/>
      <c r="EN71" s="102"/>
      <c r="EO71" s="102"/>
      <c r="EP71" s="102"/>
      <c r="EQ71" s="102"/>
      <c r="ER71" s="102"/>
      <c r="ES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v>-16.643508625833299</v>
      </c>
      <c r="FT71" s="102">
        <v>-16.643508625833299</v>
      </c>
      <c r="FU71" s="102">
        <v>-16.643508625833299</v>
      </c>
      <c r="FV71" s="102">
        <v>-16.643508625833299</v>
      </c>
      <c r="FW71" s="102">
        <v>-16.643508625833299</v>
      </c>
      <c r="FX71" s="102">
        <v>-16.643508625833299</v>
      </c>
      <c r="FY71" s="102">
        <v>-16.643508625833299</v>
      </c>
      <c r="FZ71" s="102">
        <v>-16.643508625833299</v>
      </c>
      <c r="GA71" s="102">
        <v>-16.643508625833299</v>
      </c>
      <c r="GB71" s="102">
        <v>-16.643508625833299</v>
      </c>
      <c r="GC71" s="102">
        <v>-16.643508625833299</v>
      </c>
      <c r="GD71" s="102">
        <v>-16.643508625833299</v>
      </c>
      <c r="GE71" s="145"/>
      <c r="GF71" s="145"/>
      <c r="GG71" s="145"/>
      <c r="GH71" s="145"/>
      <c r="GI71" s="145"/>
      <c r="GJ71" s="145"/>
      <c r="GK71" s="145"/>
      <c r="GL71" s="145"/>
      <c r="GM71" s="145"/>
      <c r="GN71" s="145"/>
      <c r="GO71" s="145"/>
      <c r="GP71" s="145"/>
      <c r="GQ71" s="145"/>
      <c r="GR71" s="145"/>
      <c r="GS71" s="145"/>
      <c r="GT71" s="145"/>
      <c r="GU71" s="145"/>
      <c r="GV71" s="145"/>
      <c r="GW71" s="145"/>
      <c r="GX71" s="145"/>
      <c r="GY71" s="145"/>
      <c r="GZ71" s="145"/>
      <c r="HA71" s="145"/>
      <c r="HB71" s="145"/>
      <c r="HD71" s="102"/>
      <c r="HE71" s="102"/>
      <c r="HF71" s="102"/>
      <c r="HG71" s="102"/>
      <c r="HH71" s="102"/>
      <c r="HI71" s="102">
        <f t="shared" si="359"/>
        <v>0</v>
      </c>
      <c r="HJ71" s="102">
        <f t="shared" si="407"/>
        <v>0</v>
      </c>
      <c r="HK71" s="102">
        <f t="shared" si="360"/>
        <v>0</v>
      </c>
      <c r="HL71" s="940">
        <f>+SUMIF($E$6:SEW$6,HL$7,$E71:SEW71)</f>
        <v>0</v>
      </c>
      <c r="HM71" s="940">
        <f>+SUMIF($E$6:SEX$6,HM$7,$E71:SEX71)</f>
        <v>0</v>
      </c>
      <c r="HN71" s="940">
        <f>+SUMIF($E$6:SEY$6,HN$7,$E71:SEY71)</f>
        <v>0</v>
      </c>
      <c r="HO71" s="102"/>
      <c r="HP71" s="102"/>
      <c r="HR71" s="32"/>
      <c r="HS71" s="32"/>
      <c r="HT71" s="32"/>
      <c r="HU71" s="929" t="str">
        <f t="shared" si="415"/>
        <v/>
      </c>
      <c r="HV71" s="929" t="str">
        <f t="shared" si="415"/>
        <v/>
      </c>
      <c r="HW71" s="929" t="str">
        <f t="shared" si="415"/>
        <v/>
      </c>
      <c r="HX71" s="929" t="str">
        <f t="shared" si="415"/>
        <v/>
      </c>
      <c r="HY71" s="929" t="str">
        <f t="shared" si="415"/>
        <v/>
      </c>
      <c r="HZ71" s="929" t="str">
        <f t="shared" si="415"/>
        <v/>
      </c>
      <c r="IA71" s="929" t="str">
        <f t="shared" si="305"/>
        <v/>
      </c>
      <c r="IB71" s="32"/>
      <c r="IC71" s="929" t="str">
        <f t="shared" si="306"/>
        <v/>
      </c>
      <c r="IE71" s="102"/>
      <c r="IF71" s="102"/>
      <c r="IG71" s="102"/>
      <c r="IH71" s="102">
        <f>+HI71-HH71</f>
        <v>0</v>
      </c>
      <c r="II71" s="102">
        <f t="shared" si="322"/>
        <v>0</v>
      </c>
      <c r="IJ71" s="102">
        <f t="shared" si="323"/>
        <v>0</v>
      </c>
      <c r="IK71" s="102">
        <f t="shared" si="324"/>
        <v>0</v>
      </c>
      <c r="IL71" s="102">
        <f t="shared" si="307"/>
        <v>0</v>
      </c>
      <c r="IM71" s="102"/>
      <c r="IN71" s="102">
        <f t="shared" si="308"/>
        <v>0</v>
      </c>
      <c r="IP71" s="32"/>
      <c r="IQ71" s="32"/>
      <c r="IR71" s="32"/>
      <c r="IS71" s="32"/>
      <c r="IT71" s="32">
        <f t="shared" si="416"/>
        <v>0</v>
      </c>
      <c r="IU71" s="32">
        <f t="shared" si="416"/>
        <v>0</v>
      </c>
      <c r="IV71" s="32">
        <f t="shared" si="416"/>
        <v>0</v>
      </c>
      <c r="IW71" s="32">
        <f t="shared" si="416"/>
        <v>0</v>
      </c>
      <c r="IX71" s="32" t="e">
        <f t="shared" si="366"/>
        <v>#DIV/0!</v>
      </c>
      <c r="IY71" s="32" t="e">
        <f t="shared" si="367"/>
        <v>#DIV/0!</v>
      </c>
      <c r="JA71" s="102">
        <f t="shared" si="368"/>
        <v>0</v>
      </c>
      <c r="JB71" s="102">
        <f t="shared" si="368"/>
        <v>0</v>
      </c>
      <c r="JC71" s="102">
        <f t="shared" si="368"/>
        <v>0</v>
      </c>
      <c r="JD71" s="102">
        <f t="shared" si="368"/>
        <v>0</v>
      </c>
      <c r="JE71" s="102">
        <f t="shared" si="368"/>
        <v>0</v>
      </c>
      <c r="JF71" s="102">
        <f t="shared" si="368"/>
        <v>0</v>
      </c>
      <c r="JG71" s="102">
        <f t="shared" si="368"/>
        <v>0</v>
      </c>
      <c r="JH71" s="102">
        <f t="shared" si="368"/>
        <v>0</v>
      </c>
      <c r="JI71" s="102">
        <f t="shared" si="368"/>
        <v>0</v>
      </c>
      <c r="JJ71" s="102">
        <f t="shared" si="368"/>
        <v>0</v>
      </c>
      <c r="JK71" s="102">
        <f t="shared" si="368"/>
        <v>0</v>
      </c>
      <c r="JL71" s="102">
        <f t="shared" si="369"/>
        <v>0</v>
      </c>
      <c r="JM71" s="102"/>
      <c r="JN71" s="102"/>
      <c r="JO71" s="1184"/>
      <c r="JP71" s="102">
        <f t="shared" si="370"/>
        <v>0</v>
      </c>
      <c r="JQ71" s="102">
        <f t="shared" si="371"/>
        <v>0</v>
      </c>
      <c r="JR71" s="145"/>
      <c r="JS71" s="929"/>
      <c r="JT71" s="930"/>
      <c r="JV71" s="32"/>
      <c r="JW71" s="32"/>
      <c r="JY71" s="32"/>
      <c r="JZ71" s="32"/>
      <c r="KA71" s="32"/>
      <c r="KB71" s="929" t="str">
        <f t="shared" si="417"/>
        <v/>
      </c>
      <c r="KC71" s="929" t="str">
        <f t="shared" si="417"/>
        <v/>
      </c>
      <c r="KD71" s="929" t="str">
        <f t="shared" si="417"/>
        <v/>
      </c>
      <c r="KE71" s="929" t="str">
        <f t="shared" si="417"/>
        <v/>
      </c>
      <c r="KF71" s="929" t="str">
        <f t="shared" si="409"/>
        <v/>
      </c>
      <c r="KH71" s="102">
        <f t="shared" si="377"/>
        <v>0</v>
      </c>
      <c r="KI71" s="102">
        <f t="shared" si="378"/>
        <v>0</v>
      </c>
      <c r="KJ71" s="102">
        <f t="shared" si="379"/>
        <v>0</v>
      </c>
      <c r="KK71" s="102">
        <f t="shared" si="380"/>
        <v>0</v>
      </c>
      <c r="KL71" s="102">
        <f t="shared" si="381"/>
        <v>0</v>
      </c>
      <c r="KM71" s="102">
        <f t="shared" si="382"/>
        <v>0</v>
      </c>
      <c r="KN71" s="102">
        <f t="shared" si="383"/>
        <v>0</v>
      </c>
      <c r="KO71" s="102">
        <f t="shared" si="384"/>
        <v>0</v>
      </c>
      <c r="KQ71" s="32"/>
      <c r="KR71" s="32"/>
      <c r="KS71" s="32"/>
      <c r="KT71" s="32"/>
      <c r="KU71" s="32"/>
      <c r="KV71" s="32"/>
      <c r="KW71" s="32"/>
      <c r="KX71" s="32"/>
      <c r="KY71" s="32"/>
      <c r="KZ71" s="32"/>
      <c r="LB71" s="102">
        <f t="shared" si="387"/>
        <v>0</v>
      </c>
      <c r="LC71" s="102">
        <f t="shared" si="387"/>
        <v>0</v>
      </c>
      <c r="LD71" s="102">
        <f t="shared" si="387"/>
        <v>0</v>
      </c>
      <c r="LE71" s="102">
        <f t="shared" si="387"/>
        <v>0</v>
      </c>
      <c r="LF71" s="102">
        <f t="shared" si="387"/>
        <v>0</v>
      </c>
      <c r="LG71" s="102">
        <f t="shared" si="387"/>
        <v>0</v>
      </c>
      <c r="LH71" s="102">
        <f t="shared" si="387"/>
        <v>0</v>
      </c>
      <c r="LI71" s="102">
        <f t="shared" si="387"/>
        <v>0</v>
      </c>
      <c r="LJ71" s="102">
        <f t="shared" si="387"/>
        <v>0</v>
      </c>
      <c r="LK71" s="102">
        <f t="shared" si="387"/>
        <v>0</v>
      </c>
      <c r="LL71" s="102">
        <f t="shared" si="387"/>
        <v>0</v>
      </c>
      <c r="LM71" s="102">
        <f t="shared" si="387"/>
        <v>0</v>
      </c>
      <c r="LN71" s="102"/>
      <c r="LO71" s="102"/>
      <c r="LR71" s="32" t="str">
        <f t="shared" si="388"/>
        <v xml:space="preserve"> </v>
      </c>
      <c r="LS71" s="32" t="str">
        <f t="shared" si="389"/>
        <v xml:space="preserve"> </v>
      </c>
      <c r="LT71" s="32" t="str">
        <f t="shared" si="390"/>
        <v xml:space="preserve"> </v>
      </c>
      <c r="LU71" s="32" t="str">
        <f t="shared" si="391"/>
        <v xml:space="preserve"> </v>
      </c>
      <c r="LV71" s="32" t="str">
        <f t="shared" si="392"/>
        <v xml:space="preserve"> </v>
      </c>
      <c r="LW71" s="32" t="str">
        <f t="shared" si="393"/>
        <v xml:space="preserve"> </v>
      </c>
      <c r="LX71" s="32" t="str">
        <f t="shared" si="338"/>
        <v xml:space="preserve"> </v>
      </c>
      <c r="LZ71" s="102">
        <f t="shared" si="394"/>
        <v>0</v>
      </c>
      <c r="MA71" s="102">
        <f t="shared" si="395"/>
        <v>0</v>
      </c>
      <c r="MB71" s="102">
        <f t="shared" si="396"/>
        <v>0</v>
      </c>
      <c r="MC71" s="102">
        <f t="shared" si="397"/>
        <v>0</v>
      </c>
      <c r="MD71" s="102">
        <f t="shared" si="398"/>
        <v>0</v>
      </c>
      <c r="ME71" s="102">
        <f t="shared" si="399"/>
        <v>0</v>
      </c>
      <c r="MF71" s="102">
        <f t="shared" si="340"/>
        <v>0</v>
      </c>
      <c r="MH71" s="32"/>
      <c r="MI71" s="32"/>
      <c r="MJ71" s="32"/>
      <c r="MK71" s="32"/>
      <c r="ML71" s="32"/>
      <c r="MM71" s="32"/>
      <c r="MN71" s="32"/>
      <c r="MO71" s="32"/>
      <c r="MP71" s="32"/>
    </row>
    <row r="72" spans="1:354" outlineLevel="2">
      <c r="A72" s="884"/>
      <c r="B72" s="70"/>
      <c r="C72" s="29" t="s">
        <v>658</v>
      </c>
      <c r="D72" s="31"/>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45"/>
      <c r="AQ72" s="143"/>
      <c r="AR72" s="143"/>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f t="shared" ref="BY72:CA72" si="418">+BY63+BY70</f>
        <v>-57.078322180000008</v>
      </c>
      <c r="BZ72" s="102">
        <f t="shared" si="418"/>
        <v>-58.037857610000003</v>
      </c>
      <c r="CA72" s="102">
        <f t="shared" si="418"/>
        <v>-62.610292729999998</v>
      </c>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v>-61.637700000000002</v>
      </c>
      <c r="CZ72" s="102"/>
      <c r="DA72" s="102">
        <v>-186.96846099999999</v>
      </c>
      <c r="DB72" s="102"/>
      <c r="DC72" s="102"/>
      <c r="DD72" s="102"/>
      <c r="DE72" s="102"/>
      <c r="DF72" s="102"/>
      <c r="DG72" s="102"/>
      <c r="DH72" s="102"/>
      <c r="DI72" s="102"/>
      <c r="DJ72" s="102"/>
      <c r="DK72" s="102"/>
      <c r="DL72" s="102"/>
      <c r="DM72" s="102"/>
      <c r="DN72" s="102"/>
      <c r="DO72" s="102"/>
      <c r="DP72" s="102"/>
      <c r="DQ72" s="940"/>
      <c r="DR72" s="940"/>
      <c r="DS72" s="940"/>
      <c r="DT72" s="940"/>
      <c r="DU72" s="940"/>
      <c r="DV72" s="940"/>
      <c r="DW72" s="940"/>
      <c r="DX72" s="940"/>
      <c r="DY72" s="940"/>
      <c r="DZ72" s="940"/>
      <c r="EA72" s="940"/>
      <c r="EB72" s="940"/>
      <c r="EC72" s="940"/>
      <c r="ED72" s="940"/>
      <c r="EE72" s="940"/>
      <c r="EF72" s="940"/>
      <c r="EH72" s="102"/>
      <c r="EI72" s="102"/>
      <c r="EJ72" s="102"/>
      <c r="EK72" s="102"/>
      <c r="EL72" s="102"/>
      <c r="EM72" s="102"/>
      <c r="EN72" s="102"/>
      <c r="EO72" s="102"/>
      <c r="EP72" s="102"/>
      <c r="EQ72" s="102"/>
      <c r="ER72" s="102"/>
      <c r="ES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D72" s="102"/>
      <c r="HE72" s="102"/>
      <c r="HF72" s="102"/>
      <c r="HG72" s="102"/>
      <c r="HH72" s="102"/>
      <c r="HI72" s="102"/>
      <c r="HJ72" s="102"/>
      <c r="HK72" s="102"/>
      <c r="HL72" s="940"/>
      <c r="HM72" s="940"/>
      <c r="HN72" s="940"/>
      <c r="HO72" s="102"/>
      <c r="HP72" s="102"/>
      <c r="HR72" s="32"/>
      <c r="HS72" s="32"/>
      <c r="HT72" s="32"/>
      <c r="HU72" s="929"/>
      <c r="HV72" s="929"/>
      <c r="HW72" s="929"/>
      <c r="HX72" s="929"/>
      <c r="HY72" s="929"/>
      <c r="HZ72" s="929"/>
      <c r="IA72" s="929" t="str">
        <f t="shared" si="305"/>
        <v/>
      </c>
      <c r="IB72" s="32"/>
      <c r="IC72" s="929" t="str">
        <f t="shared" si="306"/>
        <v/>
      </c>
      <c r="IE72" s="102"/>
      <c r="IF72" s="102"/>
      <c r="IG72" s="102"/>
      <c r="IH72" s="102">
        <f>+HI72-HH72</f>
        <v>0</v>
      </c>
      <c r="II72" s="102">
        <f t="shared" si="322"/>
        <v>0</v>
      </c>
      <c r="IJ72" s="102">
        <f t="shared" si="323"/>
        <v>0</v>
      </c>
      <c r="IK72" s="102">
        <f t="shared" si="324"/>
        <v>0</v>
      </c>
      <c r="IL72" s="102">
        <f t="shared" si="307"/>
        <v>0</v>
      </c>
      <c r="IM72" s="102"/>
      <c r="IN72" s="102">
        <f t="shared" si="308"/>
        <v>0</v>
      </c>
      <c r="IP72" s="32"/>
      <c r="IQ72" s="32"/>
      <c r="IR72" s="32"/>
      <c r="IS72" s="32"/>
      <c r="IT72" s="32">
        <f t="shared" si="416"/>
        <v>0</v>
      </c>
      <c r="IU72" s="32">
        <f t="shared" si="416"/>
        <v>0</v>
      </c>
      <c r="IV72" s="32">
        <f t="shared" si="416"/>
        <v>0</v>
      </c>
      <c r="IW72" s="32">
        <f t="shared" si="416"/>
        <v>0</v>
      </c>
      <c r="IX72" s="32" t="e">
        <f t="shared" si="366"/>
        <v>#DIV/0!</v>
      </c>
      <c r="IY72" s="32" t="e">
        <f t="shared" si="367"/>
        <v>#DIV/0!</v>
      </c>
      <c r="JA72" s="102">
        <f t="shared" si="368"/>
        <v>0</v>
      </c>
      <c r="JB72" s="102">
        <f t="shared" si="368"/>
        <v>0</v>
      </c>
      <c r="JC72" s="102">
        <f t="shared" si="368"/>
        <v>0</v>
      </c>
      <c r="JD72" s="102">
        <f t="shared" si="368"/>
        <v>0</v>
      </c>
      <c r="JE72" s="102">
        <f t="shared" si="368"/>
        <v>0</v>
      </c>
      <c r="JF72" s="102">
        <f t="shared" si="368"/>
        <v>0</v>
      </c>
      <c r="JG72" s="102">
        <f t="shared" si="368"/>
        <v>-177.72647252000002</v>
      </c>
      <c r="JH72" s="102">
        <f t="shared" si="368"/>
        <v>0</v>
      </c>
      <c r="JI72" s="102">
        <f t="shared" si="368"/>
        <v>-248.60616099999999</v>
      </c>
      <c r="JJ72" s="102">
        <f t="shared" si="368"/>
        <v>0</v>
      </c>
      <c r="JK72" s="102">
        <f t="shared" si="368"/>
        <v>0</v>
      </c>
      <c r="JL72" s="102">
        <f t="shared" si="369"/>
        <v>0</v>
      </c>
      <c r="JM72" s="102"/>
      <c r="JN72" s="102"/>
      <c r="JP72" s="102"/>
      <c r="JQ72" s="102"/>
      <c r="JR72" s="145"/>
      <c r="JS72" s="929"/>
      <c r="JT72" s="930"/>
      <c r="JV72" s="32"/>
      <c r="JW72" s="32"/>
      <c r="JY72" s="32"/>
      <c r="JZ72" s="32"/>
      <c r="KA72" s="32"/>
      <c r="KB72" s="32"/>
      <c r="KC72" s="32"/>
      <c r="KD72" s="32"/>
      <c r="KE72" s="32"/>
      <c r="KF72" s="32"/>
      <c r="KH72" s="102"/>
      <c r="KI72" s="102"/>
      <c r="KJ72" s="102"/>
      <c r="KK72" s="102"/>
      <c r="KL72" s="102"/>
      <c r="KM72" s="102"/>
      <c r="KN72" s="102"/>
      <c r="KO72" s="102"/>
      <c r="KQ72" s="32"/>
      <c r="KR72" s="32"/>
      <c r="KS72" s="32"/>
      <c r="KT72" s="32"/>
      <c r="KU72" s="32"/>
      <c r="KV72" s="32"/>
      <c r="KW72" s="32"/>
      <c r="KX72" s="32"/>
      <c r="KY72" s="32"/>
      <c r="KZ72" s="32"/>
      <c r="LB72" s="102"/>
      <c r="LC72" s="102"/>
      <c r="LD72" s="102"/>
      <c r="LE72" s="102"/>
      <c r="LF72" s="102"/>
      <c r="LG72" s="102"/>
      <c r="LH72" s="102"/>
      <c r="LI72" s="102"/>
      <c r="LJ72" s="102"/>
      <c r="LK72" s="102"/>
      <c r="LL72" s="102"/>
      <c r="LM72" s="102"/>
      <c r="LN72" s="102"/>
      <c r="LO72" s="102"/>
      <c r="LR72" s="32"/>
      <c r="LS72" s="32"/>
      <c r="LT72" s="32"/>
      <c r="LU72" s="32"/>
      <c r="LV72" s="32"/>
      <c r="LW72" s="32"/>
      <c r="LX72" s="32"/>
      <c r="LZ72" s="102"/>
      <c r="MA72" s="102"/>
      <c r="MB72" s="102"/>
      <c r="MC72" s="102"/>
      <c r="MD72" s="102"/>
      <c r="ME72" s="102"/>
      <c r="MF72" s="102"/>
      <c r="MH72" s="32"/>
      <c r="MI72" s="32"/>
      <c r="MJ72" s="32"/>
      <c r="MK72" s="32"/>
      <c r="ML72" s="32"/>
      <c r="MM72" s="32"/>
      <c r="MN72" s="32"/>
      <c r="MO72" s="32"/>
      <c r="MP72" s="32"/>
    </row>
    <row r="73" spans="1:354" outlineLevel="1">
      <c r="A73" s="884"/>
      <c r="B73" s="70"/>
      <c r="D73" s="31"/>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45"/>
      <c r="AQ73" s="143"/>
      <c r="AR73" s="143"/>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957"/>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940"/>
      <c r="DR73" s="940"/>
      <c r="DS73" s="940"/>
      <c r="DT73" s="940"/>
      <c r="DU73" s="940"/>
      <c r="DV73" s="940"/>
      <c r="DW73" s="940"/>
      <c r="DX73" s="940"/>
      <c r="DY73" s="940"/>
      <c r="DZ73" s="940"/>
      <c r="EA73" s="940"/>
      <c r="EB73" s="940"/>
      <c r="EC73" s="940"/>
      <c r="ED73" s="940"/>
      <c r="EE73" s="940"/>
      <c r="EF73" s="940"/>
      <c r="EH73" s="102"/>
      <c r="EI73" s="102"/>
      <c r="EJ73" s="102"/>
      <c r="EK73" s="102"/>
      <c r="EL73" s="102"/>
      <c r="EM73" s="102"/>
      <c r="EN73" s="102"/>
      <c r="EO73" s="102"/>
      <c r="EP73" s="102"/>
      <c r="EQ73" s="102"/>
      <c r="ER73" s="102"/>
      <c r="ES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D73" s="102"/>
      <c r="HE73" s="102"/>
      <c r="HF73" s="102"/>
      <c r="HG73" s="102"/>
      <c r="HH73" s="102"/>
      <c r="HI73" s="102"/>
      <c r="HJ73" s="102"/>
      <c r="HK73" s="102"/>
      <c r="HL73" s="940"/>
      <c r="HM73" s="940"/>
      <c r="HN73" s="940"/>
      <c r="HO73" s="102"/>
      <c r="HP73" s="102"/>
      <c r="HR73" s="32"/>
      <c r="HS73" s="32"/>
      <c r="HT73" s="32"/>
      <c r="HU73" s="929"/>
      <c r="HV73" s="929"/>
      <c r="HW73" s="929"/>
      <c r="HX73" s="929"/>
      <c r="HY73" s="929"/>
      <c r="HZ73" s="929"/>
      <c r="IA73" s="929" t="str">
        <f t="shared" ref="IA73:IA78" si="419">+IFERROR(HO73/HL73-1,"")</f>
        <v/>
      </c>
      <c r="IB73" s="32"/>
      <c r="IC73" s="929" t="str">
        <f t="shared" ref="IC73:IC78" si="420">+IFERROR(HP73/HL73-1,"")</f>
        <v/>
      </c>
      <c r="IE73" s="102"/>
      <c r="IF73" s="102"/>
      <c r="IG73" s="102"/>
      <c r="IH73" s="102"/>
      <c r="II73" s="102">
        <f t="shared" si="322"/>
        <v>0</v>
      </c>
      <c r="IJ73" s="102">
        <f t="shared" si="323"/>
        <v>0</v>
      </c>
      <c r="IK73" s="102">
        <f t="shared" si="324"/>
        <v>0</v>
      </c>
      <c r="IL73" s="102">
        <f t="shared" si="307"/>
        <v>0</v>
      </c>
      <c r="IM73" s="102"/>
      <c r="IN73" s="102">
        <f t="shared" si="308"/>
        <v>0</v>
      </c>
      <c r="IP73" s="32"/>
      <c r="IQ73" s="32"/>
      <c r="IR73" s="32"/>
      <c r="IS73" s="32"/>
      <c r="IT73" s="32"/>
      <c r="IU73" s="32">
        <f t="shared" ref="IU73:IW74" si="421">+HJ73/HJ$11</f>
        <v>0</v>
      </c>
      <c r="IV73" s="32">
        <f t="shared" si="421"/>
        <v>0</v>
      </c>
      <c r="IW73" s="32">
        <f t="shared" si="421"/>
        <v>0</v>
      </c>
      <c r="IX73" s="32" t="e">
        <f t="shared" si="366"/>
        <v>#DIV/0!</v>
      </c>
      <c r="IY73" s="32" t="e">
        <f t="shared" si="367"/>
        <v>#DIV/0!</v>
      </c>
      <c r="JA73" s="102"/>
      <c r="JB73" s="102"/>
      <c r="JC73" s="102"/>
      <c r="JD73" s="102"/>
      <c r="JE73" s="102"/>
      <c r="JF73" s="102"/>
      <c r="JG73" s="102"/>
      <c r="JH73" s="102"/>
      <c r="JI73" s="102"/>
      <c r="JJ73" s="102"/>
      <c r="JK73" s="102"/>
      <c r="JL73" s="102"/>
      <c r="JM73" s="102"/>
      <c r="JN73" s="102"/>
      <c r="JO73" s="1184"/>
      <c r="JP73" s="102"/>
      <c r="JQ73" s="102"/>
      <c r="JR73" s="145"/>
      <c r="JS73" s="32"/>
      <c r="JT73" s="102"/>
      <c r="JV73" s="32"/>
      <c r="JW73" s="32"/>
      <c r="JY73" s="32"/>
      <c r="JZ73" s="32"/>
      <c r="KA73" s="32"/>
      <c r="KB73" s="32"/>
      <c r="KC73" s="32"/>
      <c r="KD73" s="32"/>
      <c r="KE73" s="32"/>
      <c r="KF73" s="32"/>
      <c r="KH73" s="102"/>
      <c r="KI73" s="102"/>
      <c r="KJ73" s="102"/>
      <c r="KK73" s="102"/>
      <c r="KL73" s="102"/>
      <c r="KM73" s="102"/>
      <c r="KN73" s="102"/>
      <c r="KO73" s="102"/>
      <c r="KQ73" s="32"/>
      <c r="KR73" s="32"/>
      <c r="KS73" s="32"/>
      <c r="KT73" s="32"/>
      <c r="KU73" s="32"/>
      <c r="KV73" s="32"/>
      <c r="KW73" s="32"/>
      <c r="KX73" s="32"/>
      <c r="KY73" s="32"/>
      <c r="KZ73" s="32"/>
      <c r="LB73" s="102"/>
      <c r="LC73" s="102"/>
      <c r="LD73" s="102"/>
      <c r="LE73" s="102"/>
      <c r="LF73" s="102"/>
      <c r="LG73" s="102"/>
      <c r="LH73" s="102"/>
      <c r="LI73" s="102"/>
      <c r="LJ73" s="102"/>
      <c r="LK73" s="102"/>
      <c r="LL73" s="102"/>
      <c r="LM73" s="102"/>
      <c r="LN73" s="102"/>
      <c r="LO73" s="102"/>
      <c r="LR73" s="32"/>
      <c r="LS73" s="32"/>
      <c r="LT73" s="32"/>
      <c r="LU73" s="32"/>
      <c r="LV73" s="32"/>
      <c r="LW73" s="32"/>
      <c r="LX73" s="32"/>
      <c r="LZ73" s="102"/>
      <c r="MA73" s="102"/>
      <c r="MB73" s="102"/>
      <c r="MC73" s="102"/>
      <c r="MD73" s="102"/>
      <c r="ME73" s="102"/>
      <c r="MF73" s="102"/>
      <c r="MH73" s="32"/>
      <c r="MI73" s="32"/>
      <c r="MJ73" s="32"/>
      <c r="MK73" s="32"/>
      <c r="ML73" s="32"/>
      <c r="MM73" s="32"/>
      <c r="MN73" s="32"/>
      <c r="MO73" s="32"/>
      <c r="MP73" s="32"/>
    </row>
    <row r="74" spans="1:354">
      <c r="A74" s="884"/>
      <c r="B74" s="70"/>
      <c r="C74" s="1524" t="s">
        <v>94</v>
      </c>
      <c r="D74" s="1525" t="s">
        <v>59</v>
      </c>
      <c r="E74" s="1526">
        <f t="shared" ref="E74:AZ74" si="422">+E60+E63</f>
        <v>-1301.5226512799998</v>
      </c>
      <c r="F74" s="1526">
        <f t="shared" si="422"/>
        <v>1068.2942113800004</v>
      </c>
      <c r="G74" s="1526">
        <f t="shared" si="422"/>
        <v>341.18599756000026</v>
      </c>
      <c r="H74" s="1526">
        <f t="shared" si="422"/>
        <v>600.06787368000062</v>
      </c>
      <c r="I74" s="1526">
        <f t="shared" si="422"/>
        <v>1439.7026319999986</v>
      </c>
      <c r="J74" s="1526">
        <f t="shared" si="422"/>
        <v>533.06343365999942</v>
      </c>
      <c r="K74" s="1526">
        <f t="shared" si="422"/>
        <v>777.11337041999855</v>
      </c>
      <c r="L74" s="1526">
        <f t="shared" si="422"/>
        <v>1466.8669780800014</v>
      </c>
      <c r="M74" s="1526">
        <f t="shared" si="422"/>
        <v>1492.4149665400014</v>
      </c>
      <c r="N74" s="1526">
        <f t="shared" si="422"/>
        <v>1081.764972269998</v>
      </c>
      <c r="O74" s="1526">
        <f t="shared" si="422"/>
        <v>1685.3183345700024</v>
      </c>
      <c r="P74" s="1526">
        <f t="shared" si="422"/>
        <v>85.669844239998241</v>
      </c>
      <c r="Q74" s="1526">
        <f t="shared" si="422"/>
        <v>-416.10981926999966</v>
      </c>
      <c r="R74" s="1526">
        <f t="shared" si="422"/>
        <v>1309.5551872699998</v>
      </c>
      <c r="S74" s="1526">
        <f t="shared" si="422"/>
        <v>-173.16281742000004</v>
      </c>
      <c r="T74" s="1526">
        <f t="shared" si="422"/>
        <v>-661.73700434999773</v>
      </c>
      <c r="U74" s="1526">
        <f t="shared" si="422"/>
        <v>1503.6549246500006</v>
      </c>
      <c r="V74" s="1526">
        <f t="shared" si="422"/>
        <v>1186.1657018299968</v>
      </c>
      <c r="W74" s="1526">
        <f t="shared" si="422"/>
        <v>569.12745422999888</v>
      </c>
      <c r="X74" s="1526">
        <f t="shared" si="422"/>
        <v>919.73320164000165</v>
      </c>
      <c r="Y74" s="1526">
        <f t="shared" si="422"/>
        <v>-643.5895637099984</v>
      </c>
      <c r="Z74" s="1526">
        <f t="shared" si="422"/>
        <v>84.560128189996448</v>
      </c>
      <c r="AA74" s="1526">
        <f t="shared" si="422"/>
        <v>2546.3758513300008</v>
      </c>
      <c r="AB74" s="1526">
        <f t="shared" si="422"/>
        <v>2325.1729883500079</v>
      </c>
      <c r="AC74" s="1526">
        <f t="shared" si="422"/>
        <v>-477.78569736000031</v>
      </c>
      <c r="AD74" s="1526">
        <f t="shared" si="422"/>
        <v>1684.4511544300003</v>
      </c>
      <c r="AE74" s="1526">
        <f t="shared" si="422"/>
        <v>415.98202307999975</v>
      </c>
      <c r="AF74" s="1526">
        <f t="shared" si="422"/>
        <v>882.72329392000063</v>
      </c>
      <c r="AG74" s="1526">
        <f t="shared" si="422"/>
        <v>677.60947930000032</v>
      </c>
      <c r="AH74" s="1526">
        <f t="shared" si="422"/>
        <v>464.57895547000044</v>
      </c>
      <c r="AI74" s="1526">
        <f t="shared" si="422"/>
        <v>299.23737742000003</v>
      </c>
      <c r="AJ74" s="1526">
        <f t="shared" si="422"/>
        <v>729.71352591999994</v>
      </c>
      <c r="AK74" s="1526">
        <f t="shared" si="422"/>
        <v>774.58021208999958</v>
      </c>
      <c r="AL74" s="1526">
        <f t="shared" si="422"/>
        <v>1174.7158170199998</v>
      </c>
      <c r="AM74" s="1526">
        <f t="shared" si="422"/>
        <v>3343.4015377300007</v>
      </c>
      <c r="AN74" s="1526">
        <f t="shared" si="422"/>
        <v>-178.99561452000199</v>
      </c>
      <c r="AO74" s="1526">
        <f t="shared" si="422"/>
        <v>1102.7848921100003</v>
      </c>
      <c r="AP74" s="1526">
        <f t="shared" si="422"/>
        <v>-578.99603827999988</v>
      </c>
      <c r="AQ74" s="1526">
        <f t="shared" si="422"/>
        <v>-192.24541776000024</v>
      </c>
      <c r="AR74" s="1526">
        <f t="shared" si="422"/>
        <v>-352.59944228000029</v>
      </c>
      <c r="AS74" s="1526">
        <f t="shared" si="422"/>
        <v>-1233.4514713200003</v>
      </c>
      <c r="AT74" s="1526">
        <f t="shared" si="422"/>
        <v>-1014.39397653</v>
      </c>
      <c r="AU74" s="1526">
        <f t="shared" si="422"/>
        <v>-50.588827749999581</v>
      </c>
      <c r="AV74" s="1526">
        <f t="shared" si="422"/>
        <v>12.502064390000015</v>
      </c>
      <c r="AW74" s="1526">
        <f t="shared" si="422"/>
        <v>-53.254184340000421</v>
      </c>
      <c r="AX74" s="1526">
        <f t="shared" si="422"/>
        <v>73.350004200000015</v>
      </c>
      <c r="AY74" s="1526">
        <f t="shared" si="422"/>
        <v>-549.91960476000008</v>
      </c>
      <c r="AZ74" s="1526">
        <f t="shared" si="422"/>
        <v>-2020.1855091</v>
      </c>
      <c r="BA74" s="1526">
        <f t="shared" ref="BA74:CV74" si="423">+BA60+BA63+BA70+BA71</f>
        <v>20.687186179999983</v>
      </c>
      <c r="BB74" s="1526">
        <f t="shared" si="423"/>
        <v>-607.43715013000019</v>
      </c>
      <c r="BC74" s="1526">
        <f t="shared" si="423"/>
        <v>-733.80743944000005</v>
      </c>
      <c r="BD74" s="1526">
        <f t="shared" si="423"/>
        <v>-672.49849313000004</v>
      </c>
      <c r="BE74" s="1526">
        <f t="shared" si="423"/>
        <v>-422.38408129000004</v>
      </c>
      <c r="BF74" s="1526">
        <f t="shared" si="423"/>
        <v>-748.09461388999989</v>
      </c>
      <c r="BG74" s="1526">
        <f t="shared" si="423"/>
        <v>-376.90486166000005</v>
      </c>
      <c r="BH74" s="1526">
        <f t="shared" si="423"/>
        <v>-162.00149568000012</v>
      </c>
      <c r="BI74" s="1526">
        <f t="shared" si="423"/>
        <v>-388.24061546000007</v>
      </c>
      <c r="BJ74" s="1526">
        <f t="shared" si="423"/>
        <v>-272.53527039999994</v>
      </c>
      <c r="BK74" s="1526">
        <f t="shared" si="423"/>
        <v>145.14843674000011</v>
      </c>
      <c r="BL74" s="1526">
        <f t="shared" si="423"/>
        <v>-42.209163349999727</v>
      </c>
      <c r="BM74" s="1526">
        <f t="shared" si="423"/>
        <v>211.85756674999993</v>
      </c>
      <c r="BN74" s="1526">
        <f t="shared" si="423"/>
        <v>225.29177272999996</v>
      </c>
      <c r="BO74" s="1526">
        <f t="shared" si="423"/>
        <v>171.99092580999991</v>
      </c>
      <c r="BP74" s="1526">
        <f t="shared" si="423"/>
        <v>417.23061168000032</v>
      </c>
      <c r="BQ74" s="1526">
        <f t="shared" si="423"/>
        <v>13.3583609299999</v>
      </c>
      <c r="BR74" s="1526">
        <f t="shared" si="423"/>
        <v>120.92371158000006</v>
      </c>
      <c r="BS74" s="1526">
        <f t="shared" si="423"/>
        <v>123.59059097000008</v>
      </c>
      <c r="BT74" s="1526">
        <f t="shared" si="423"/>
        <v>130.42443757000018</v>
      </c>
      <c r="BU74" s="1526">
        <f t="shared" si="423"/>
        <v>35.158690700000143</v>
      </c>
      <c r="BV74" s="1526">
        <f t="shared" si="423"/>
        <v>328.92065385999973</v>
      </c>
      <c r="BW74" s="1526">
        <f t="shared" si="423"/>
        <v>353.97739329000035</v>
      </c>
      <c r="BX74" s="1526">
        <f t="shared" si="423"/>
        <v>35.558553830000271</v>
      </c>
      <c r="BY74" s="1526">
        <f t="shared" si="423"/>
        <v>31.827171290000088</v>
      </c>
      <c r="BZ74" s="1526">
        <f t="shared" si="423"/>
        <v>69.046344250000175</v>
      </c>
      <c r="CA74" s="1526">
        <f t="shared" si="423"/>
        <v>59.471377400000115</v>
      </c>
      <c r="CB74" s="1526">
        <f t="shared" si="423"/>
        <v>-55.43656122999991</v>
      </c>
      <c r="CC74" s="1526">
        <f t="shared" si="423"/>
        <v>-100.57901570999992</v>
      </c>
      <c r="CD74" s="1526">
        <f t="shared" si="423"/>
        <v>8.8655770199998045</v>
      </c>
      <c r="CE74" s="1526">
        <f t="shared" si="423"/>
        <v>-99.881407640000063</v>
      </c>
      <c r="CF74" s="1526">
        <f t="shared" si="423"/>
        <v>530.91717826000024</v>
      </c>
      <c r="CG74" s="1526">
        <f t="shared" si="423"/>
        <v>7.3383945499999781</v>
      </c>
      <c r="CH74" s="1526">
        <f t="shared" si="423"/>
        <v>160.66001447000016</v>
      </c>
      <c r="CI74" s="1526">
        <f t="shared" si="423"/>
        <v>554.74011744000006</v>
      </c>
      <c r="CJ74" s="1526">
        <f t="shared" si="423"/>
        <v>169.60108346999982</v>
      </c>
      <c r="CK74" s="1526">
        <f t="shared" si="423"/>
        <v>181.96997445999966</v>
      </c>
      <c r="CL74" s="1526">
        <f t="shared" si="423"/>
        <v>-18.359495910000177</v>
      </c>
      <c r="CM74" s="1526">
        <f t="shared" si="423"/>
        <v>448.82058708</v>
      </c>
      <c r="CN74" s="1526">
        <f t="shared" si="423"/>
        <v>177.28979460999997</v>
      </c>
      <c r="CO74" s="1526">
        <f t="shared" si="423"/>
        <v>444.11984631999985</v>
      </c>
      <c r="CP74" s="1526">
        <f t="shared" si="423"/>
        <v>100.6439613199998</v>
      </c>
      <c r="CQ74" s="1526">
        <f t="shared" si="423"/>
        <v>172.39077824000006</v>
      </c>
      <c r="CR74" s="1526">
        <f t="shared" si="423"/>
        <v>339.00483605000011</v>
      </c>
      <c r="CS74" s="1526">
        <f t="shared" si="423"/>
        <v>390.68350108999982</v>
      </c>
      <c r="CT74" s="1526">
        <f t="shared" si="423"/>
        <v>736.40384738000023</v>
      </c>
      <c r="CU74" s="1526">
        <f t="shared" si="423"/>
        <v>419.16194101000008</v>
      </c>
      <c r="CV74" s="1526">
        <f t="shared" si="423"/>
        <v>100.60520948999967</v>
      </c>
      <c r="CW74" s="1526">
        <f t="shared" ref="CW74:EF74" si="424">+CW60+CW63+CW70+CW71+CW72</f>
        <v>396.72091696000007</v>
      </c>
      <c r="CX74" s="1526">
        <f t="shared" si="424"/>
        <v>187.18359280999951</v>
      </c>
      <c r="CY74" s="1526">
        <f t="shared" si="424"/>
        <v>552.52386916000034</v>
      </c>
      <c r="CZ74" s="1526">
        <f t="shared" si="424"/>
        <v>-139.90459640999984</v>
      </c>
      <c r="DA74" s="1526">
        <f t="shared" si="424"/>
        <v>-222.78084306999989</v>
      </c>
      <c r="DB74" s="1526">
        <f t="shared" si="424"/>
        <v>-269.76249252000002</v>
      </c>
      <c r="DC74" s="1526">
        <f t="shared" si="424"/>
        <v>-289.77370060999999</v>
      </c>
      <c r="DD74" s="1526">
        <f t="shared" si="424"/>
        <v>259.36794035000008</v>
      </c>
      <c r="DE74" s="1526">
        <f t="shared" si="424"/>
        <v>183.73170388999989</v>
      </c>
      <c r="DF74" s="1526">
        <f t="shared" si="424"/>
        <v>319.95866742000004</v>
      </c>
      <c r="DG74" s="1526">
        <f t="shared" si="424"/>
        <v>-112.17717790000023</v>
      </c>
      <c r="DH74" s="1526">
        <f t="shared" si="424"/>
        <v>78.867468249999874</v>
      </c>
      <c r="DI74" s="1526">
        <f t="shared" si="424"/>
        <v>51.29551634000012</v>
      </c>
      <c r="DJ74" s="1526">
        <f t="shared" si="424"/>
        <v>-162.76609491999972</v>
      </c>
      <c r="DK74" s="1526">
        <f t="shared" si="424"/>
        <v>132.78166150000013</v>
      </c>
      <c r="DL74" s="1526">
        <f t="shared" si="424"/>
        <v>252.09989944999995</v>
      </c>
      <c r="DM74" s="1526">
        <f t="shared" si="424"/>
        <v>106.79929072999983</v>
      </c>
      <c r="DN74" s="1526">
        <f t="shared" si="424"/>
        <v>69.245221690000307</v>
      </c>
      <c r="DO74" s="1526">
        <f t="shared" si="424"/>
        <v>156.26422563999961</v>
      </c>
      <c r="DP74" s="1526">
        <f t="shared" si="424"/>
        <v>340.1188527999999</v>
      </c>
      <c r="DQ74" s="1527">
        <f t="shared" si="424"/>
        <v>232.6122596999999</v>
      </c>
      <c r="DR74" s="1527">
        <f t="shared" si="424"/>
        <v>322.09102893000011</v>
      </c>
      <c r="DS74" s="1527">
        <f t="shared" si="424"/>
        <v>173.81722775999981</v>
      </c>
      <c r="DT74" s="1527">
        <f t="shared" si="424"/>
        <v>376.2086404999996</v>
      </c>
      <c r="DU74" s="1527">
        <f t="shared" si="424"/>
        <v>331.74672053999984</v>
      </c>
      <c r="DV74" s="1527">
        <f t="shared" si="424"/>
        <v>-238.43230299000015</v>
      </c>
      <c r="DW74" s="1527">
        <f t="shared" si="424"/>
        <v>157.84552305000011</v>
      </c>
      <c r="DX74" s="1527">
        <f t="shared" si="424"/>
        <v>10.309527699999947</v>
      </c>
      <c r="DY74" s="1527">
        <f t="shared" si="424"/>
        <v>125.80412122000016</v>
      </c>
      <c r="DZ74" s="1527">
        <f t="shared" si="424"/>
        <v>473.09368894000039</v>
      </c>
      <c r="EA74" s="1527">
        <f t="shared" si="424"/>
        <v>406.23078182999961</v>
      </c>
      <c r="EB74" s="1527">
        <f t="shared" si="424"/>
        <v>577.1791312900001</v>
      </c>
      <c r="EC74" s="1527">
        <f t="shared" si="424"/>
        <v>700.15673935000052</v>
      </c>
      <c r="ED74" s="1527">
        <f t="shared" si="424"/>
        <v>1359.0152585300002</v>
      </c>
      <c r="EE74" s="1527">
        <f t="shared" si="424"/>
        <v>1099.0802855599998</v>
      </c>
      <c r="EF74" s="1527">
        <f t="shared" si="424"/>
        <v>-52.871230840000237</v>
      </c>
      <c r="EG74" s="949"/>
      <c r="EH74" s="1526">
        <f t="shared" ref="EH74:ES74" si="425">+EH60+EH63+EH70+EH71</f>
        <v>396.72091696000007</v>
      </c>
      <c r="EI74" s="1526">
        <f t="shared" si="425"/>
        <v>187.18933966999955</v>
      </c>
      <c r="EJ74" s="1526">
        <f t="shared" si="425"/>
        <v>614.16156915999966</v>
      </c>
      <c r="EK74" s="1526">
        <f t="shared" si="425"/>
        <v>-139.9045964099999</v>
      </c>
      <c r="EL74" s="1526">
        <f t="shared" si="425"/>
        <v>-35.812382069999956</v>
      </c>
      <c r="EM74" s="1526">
        <f t="shared" si="425"/>
        <v>-268.87182952000001</v>
      </c>
      <c r="EN74" s="1526">
        <f t="shared" si="425"/>
        <v>-230.05581128351633</v>
      </c>
      <c r="EO74" s="1526">
        <f t="shared" si="425"/>
        <v>68.161954874833825</v>
      </c>
      <c r="EP74" s="1526">
        <f t="shared" si="425"/>
        <v>-12.008513572516293</v>
      </c>
      <c r="EQ74" s="1526">
        <f t="shared" si="425"/>
        <v>-167.50199591516656</v>
      </c>
      <c r="ER74" s="1526">
        <f t="shared" si="425"/>
        <v>-196.69579309121661</v>
      </c>
      <c r="ES74" s="1526">
        <f t="shared" si="425"/>
        <v>-208.07957030046651</v>
      </c>
      <c r="EU74" s="1526">
        <v>545.64830104875739</v>
      </c>
      <c r="EV74" s="1526">
        <v>-444.15247704603684</v>
      </c>
      <c r="EW74" s="1526">
        <v>-332.87855189944275</v>
      </c>
      <c r="EX74" s="1526">
        <v>573.37983081624884</v>
      </c>
      <c r="EY74" s="1526">
        <v>249.72755655325807</v>
      </c>
      <c r="EZ74" s="1526">
        <v>455.64370733372641</v>
      </c>
      <c r="FA74" s="1526">
        <v>1298.4964685421776</v>
      </c>
      <c r="FB74" s="1526">
        <v>2121.9388241589504</v>
      </c>
      <c r="FC74" s="1526">
        <v>1308.3598868699485</v>
      </c>
      <c r="FD74" s="1526">
        <v>1547.7768052809845</v>
      </c>
      <c r="FE74" s="1526">
        <v>1379.8115101590504</v>
      </c>
      <c r="FF74" s="1526">
        <v>979.09660257935764</v>
      </c>
      <c r="FG74" s="1526">
        <f t="shared" ref="FG74:FR74" si="426">+FG60+FG63</f>
        <v>-350.26332899622707</v>
      </c>
      <c r="FH74" s="1526">
        <f t="shared" si="426"/>
        <v>-208.96885485236635</v>
      </c>
      <c r="FI74" s="1526">
        <f t="shared" si="426"/>
        <v>-186.70935298595663</v>
      </c>
      <c r="FJ74" s="1526">
        <f t="shared" si="426"/>
        <v>-249.25317200133213</v>
      </c>
      <c r="FK74" s="1526">
        <f t="shared" si="426"/>
        <v>-36.548097497863154</v>
      </c>
      <c r="FL74" s="1526">
        <f t="shared" si="426"/>
        <v>180.68540621687362</v>
      </c>
      <c r="FM74" s="1526">
        <f t="shared" si="426"/>
        <v>248.67474640663565</v>
      </c>
      <c r="FN74" s="1526">
        <f t="shared" si="426"/>
        <v>323.71225933936404</v>
      </c>
      <c r="FO74" s="1526">
        <f t="shared" si="426"/>
        <v>294.39687703067608</v>
      </c>
      <c r="FP74" s="1526">
        <f t="shared" si="426"/>
        <v>358.19542962656408</v>
      </c>
      <c r="FQ74" s="1526">
        <f t="shared" si="426"/>
        <v>254.21708906816357</v>
      </c>
      <c r="FR74" s="1526">
        <f t="shared" si="426"/>
        <v>58.877521054486778</v>
      </c>
      <c r="FS74" s="1526">
        <f t="shared" ref="FS74:HB74" si="427">+FS60+FS63+FS70+FS71</f>
        <v>27.490717535022718</v>
      </c>
      <c r="FT74" s="1526">
        <f t="shared" si="427"/>
        <v>239.67305884774294</v>
      </c>
      <c r="FU74" s="1526">
        <f t="shared" si="427"/>
        <v>218.29706750304652</v>
      </c>
      <c r="FV74" s="1526">
        <f t="shared" si="427"/>
        <v>200.49955939004673</v>
      </c>
      <c r="FW74" s="1526">
        <f t="shared" si="427"/>
        <v>189.57252109562288</v>
      </c>
      <c r="FX74" s="1526">
        <f t="shared" si="427"/>
        <v>193.86512804633477</v>
      </c>
      <c r="FY74" s="1526">
        <f t="shared" si="427"/>
        <v>210.44095751745454</v>
      </c>
      <c r="FZ74" s="1526">
        <f t="shared" si="427"/>
        <v>-36.504236595289349</v>
      </c>
      <c r="GA74" s="1526">
        <f t="shared" si="427"/>
        <v>-94.834723465833406</v>
      </c>
      <c r="GB74" s="1526">
        <f t="shared" si="427"/>
        <v>-154.4625697158333</v>
      </c>
      <c r="GC74" s="1526">
        <f t="shared" si="427"/>
        <v>-96.931526715833456</v>
      </c>
      <c r="GD74" s="1526">
        <f t="shared" si="427"/>
        <v>-152.85088662583337</v>
      </c>
      <c r="GE74" s="1526">
        <f t="shared" si="427"/>
        <v>145.60496643701552</v>
      </c>
      <c r="GF74" s="1526">
        <f t="shared" si="427"/>
        <v>37.377386116160153</v>
      </c>
      <c r="GG74" s="1526">
        <f t="shared" si="427"/>
        <v>-13.975274044267678</v>
      </c>
      <c r="GH74" s="1526">
        <f t="shared" si="427"/>
        <v>-94.221103028224661</v>
      </c>
      <c r="GI74" s="1526">
        <f t="shared" si="427"/>
        <v>22.333599955732467</v>
      </c>
      <c r="GJ74" s="1526">
        <f t="shared" si="427"/>
        <v>24.468969955732149</v>
      </c>
      <c r="GK74" s="1526">
        <f t="shared" si="427"/>
        <v>80.668009116160221</v>
      </c>
      <c r="GL74" s="1526">
        <f t="shared" si="427"/>
        <v>100.78565811615982</v>
      </c>
      <c r="GM74" s="1526">
        <f t="shared" si="427"/>
        <v>125.1535211161605</v>
      </c>
      <c r="GN74" s="1526">
        <f t="shared" si="427"/>
        <v>251.53275159744339</v>
      </c>
      <c r="GO74" s="1526">
        <f t="shared" si="427"/>
        <v>319.05679191829921</v>
      </c>
      <c r="GP74" s="1526">
        <f t="shared" si="427"/>
        <v>245.15912659744373</v>
      </c>
      <c r="GQ74" s="1526">
        <f t="shared" si="427"/>
        <v>145.60496643701552</v>
      </c>
      <c r="GR74" s="1526">
        <f t="shared" si="427"/>
        <v>37.377386116160153</v>
      </c>
      <c r="GS74" s="1526">
        <f t="shared" si="427"/>
        <v>-13.975274044267678</v>
      </c>
      <c r="GT74" s="1526">
        <f t="shared" si="427"/>
        <v>-94.221103028224661</v>
      </c>
      <c r="GU74" s="1526">
        <f t="shared" si="427"/>
        <v>22.333599955732467</v>
      </c>
      <c r="GV74" s="1526">
        <f t="shared" si="427"/>
        <v>24.468969955732149</v>
      </c>
      <c r="GW74" s="1526">
        <f t="shared" si="427"/>
        <v>80.668009116160221</v>
      </c>
      <c r="GX74" s="1526">
        <f t="shared" si="427"/>
        <v>100.78565811615982</v>
      </c>
      <c r="GY74" s="1526">
        <f t="shared" si="427"/>
        <v>125.1535211161605</v>
      </c>
      <c r="GZ74" s="1526">
        <f t="shared" si="427"/>
        <v>251.53275159744339</v>
      </c>
      <c r="HA74" s="1526">
        <f t="shared" si="427"/>
        <v>319.05679191829921</v>
      </c>
      <c r="HB74" s="1526">
        <f t="shared" si="427"/>
        <v>245.15912659744373</v>
      </c>
      <c r="HD74" s="1526">
        <f>+SUMIF($E$6:$AZ$6,HD$7,$E74:$AZ74)</f>
        <v>9269.9399631199994</v>
      </c>
      <c r="HE74" s="1526">
        <f>+SUMIF($E$6:$AZ$6,HE$7,$E74:$AZ74)</f>
        <v>8549.7462327400062</v>
      </c>
      <c r="HF74" s="1526">
        <f>+SUMIF($E$6:$AZ$6,HF$7,$E74:$AZ74)</f>
        <v>9790.2120645000014</v>
      </c>
      <c r="HG74" s="1526">
        <f>+SUMIF($E$6:$AZ$6,HG$7,$E74:$AZ74)</f>
        <v>-4856.9975114199997</v>
      </c>
      <c r="HH74" s="1526">
        <f>+SUMIF($E$6:$BL$6,HH$7,$E74:$BL74)</f>
        <v>-4260.2775615099999</v>
      </c>
      <c r="HI74" s="1526">
        <f>+SUMIF($E$6:$BX$6,HI$7,$E74:$BX74)</f>
        <v>2168.2832697000008</v>
      </c>
      <c r="HJ74" s="1526">
        <f>+SUMIF($E$6:$CJ$6,HJ$7,$E74:$CJ74)</f>
        <v>1336.5702735700004</v>
      </c>
      <c r="HK74" s="1526">
        <f>+SUMIF($E$6:$CV$6,HK$7,$E74:$CV74)</f>
        <v>3492.7347811399991</v>
      </c>
      <c r="HL74" s="1527">
        <f>+SUMIF($E$6:SEW$6,HL$7,$E74:SEW74)</f>
        <v>943.95534832999954</v>
      </c>
      <c r="HM74" s="1527">
        <f>+SUMIF($E$6:SEX$6,HM$7,$E74:SEX74)</f>
        <v>2050.5677301199994</v>
      </c>
      <c r="HN74" s="1527">
        <f>+SUMIF($E$6:SEY$6,HN$7,$E74:SEY74)</f>
        <v>4949.1582441800001</v>
      </c>
      <c r="HO74" s="1526"/>
      <c r="HP74" s="1526"/>
      <c r="HR74" s="1528">
        <f t="shared" ref="HR74:HZ75" si="428">+IFERROR(HF74/HE74-1,"")</f>
        <v>0.14508802928089404</v>
      </c>
      <c r="HS74" s="1528">
        <f t="shared" si="428"/>
        <v>-1.4961074877051759</v>
      </c>
      <c r="HT74" s="1528">
        <f t="shared" si="428"/>
        <v>-0.12285778374540313</v>
      </c>
      <c r="HU74" s="1528">
        <f t="shared" si="428"/>
        <v>-1.5089535220168804</v>
      </c>
      <c r="HV74" s="1528">
        <f t="shared" si="428"/>
        <v>-0.38358133725077093</v>
      </c>
      <c r="HW74" s="1528">
        <f t="shared" si="428"/>
        <v>1.6132069897161854</v>
      </c>
      <c r="HX74" s="1528">
        <f t="shared" si="428"/>
        <v>-0.7297374672055974</v>
      </c>
      <c r="HY74" s="1528">
        <f t="shared" si="428"/>
        <v>1.1723143300663166</v>
      </c>
      <c r="HZ74" s="1528">
        <f t="shared" si="428"/>
        <v>1.4135551201180636</v>
      </c>
      <c r="IA74" s="1528">
        <f t="shared" si="419"/>
        <v>-1</v>
      </c>
      <c r="IB74" s="1528" t="str">
        <f>+IFERROR(HP74/HO74-1,"")</f>
        <v/>
      </c>
      <c r="IC74" s="1528">
        <f t="shared" si="420"/>
        <v>-1</v>
      </c>
      <c r="IE74" s="1526">
        <f>+HF74-HE74</f>
        <v>1240.4658317599951</v>
      </c>
      <c r="IF74" s="1526">
        <f>+HG74-HF74</f>
        <v>-14647.209575920002</v>
      </c>
      <c r="IG74" s="1526">
        <f>+HH74-HG74</f>
        <v>596.71994990999974</v>
      </c>
      <c r="IH74" s="1526">
        <f>+HI74-HH74</f>
        <v>6428.5608312100012</v>
      </c>
      <c r="II74" s="1526">
        <f t="shared" si="322"/>
        <v>-831.71299613000042</v>
      </c>
      <c r="IJ74" s="1526">
        <f t="shared" si="323"/>
        <v>2156.1645075699989</v>
      </c>
      <c r="IK74" s="1526">
        <f t="shared" si="324"/>
        <v>-2548.7794328099994</v>
      </c>
      <c r="IL74" s="1526">
        <f t="shared" si="307"/>
        <v>-943.95534832999954</v>
      </c>
      <c r="IM74" s="1526">
        <f>+HP74-HO74</f>
        <v>0</v>
      </c>
      <c r="IN74" s="1526">
        <f t="shared" si="308"/>
        <v>-943.95534832999954</v>
      </c>
      <c r="IP74" s="1529">
        <f>+HE74/HE$11</f>
        <v>0.23261273471517796</v>
      </c>
      <c r="IQ74" s="1529">
        <f>+HF74/HF$11</f>
        <v>0.248589916717989</v>
      </c>
      <c r="IR74" s="1529">
        <f>+HG74/HG$11</f>
        <v>-0.28820150598085437</v>
      </c>
      <c r="IS74" s="1529">
        <f>+HH74/HH$11</f>
        <v>-0.69249983798488579</v>
      </c>
      <c r="IT74" s="1529">
        <f>+HI74/HI$11</f>
        <v>0.15909551021069904</v>
      </c>
      <c r="IU74" s="1529">
        <f t="shared" si="421"/>
        <v>9.4453699638958846E-2</v>
      </c>
      <c r="IV74" s="1529">
        <f t="shared" si="421"/>
        <v>0.16452386075537245</v>
      </c>
      <c r="IW74" s="1529">
        <f t="shared" si="421"/>
        <v>7.4799031966587187E-2</v>
      </c>
      <c r="IX74" s="1529" t="e">
        <f t="shared" si="366"/>
        <v>#DIV/0!</v>
      </c>
      <c r="IY74" s="1529" t="e">
        <f t="shared" si="367"/>
        <v>#DIV/0!</v>
      </c>
      <c r="JA74" s="1526">
        <f t="shared" ref="JA74:JK74" si="429">+IFERROR(SUMIFS($E74:$EG74,$E$6:$EG$6,JA$7,$E$5:$EG$5,"&lt;="&amp;$JC$5),"NA")</f>
        <v>9269.9399631199994</v>
      </c>
      <c r="JB74" s="1526">
        <f t="shared" si="429"/>
        <v>8549.7462327400062</v>
      </c>
      <c r="JC74" s="1526">
        <f t="shared" si="429"/>
        <v>9790.2120645000014</v>
      </c>
      <c r="JD74" s="1526">
        <f t="shared" si="429"/>
        <v>-4856.9975114199997</v>
      </c>
      <c r="JE74" s="1526">
        <f t="shared" si="429"/>
        <v>-4260.2775615099999</v>
      </c>
      <c r="JF74" s="1526">
        <f t="shared" si="429"/>
        <v>2168.2832697000008</v>
      </c>
      <c r="JG74" s="1526">
        <f t="shared" si="429"/>
        <v>1336.5702735700004</v>
      </c>
      <c r="JH74" s="1526">
        <f t="shared" si="429"/>
        <v>3492.7347811399991</v>
      </c>
      <c r="JI74" s="1526">
        <f t="shared" si="429"/>
        <v>943.95534832999954</v>
      </c>
      <c r="JJ74" s="1526">
        <f t="shared" si="429"/>
        <v>2050.5677301199994</v>
      </c>
      <c r="JK74" s="1526">
        <f t="shared" si="429"/>
        <v>4949.1582441800001</v>
      </c>
      <c r="JL74" s="1526">
        <f>+SUMIF($DU$5:$EF$5,"&lt;="&amp;$JC$5,$DU74:$EF74)</f>
        <v>4949.1582441800001</v>
      </c>
      <c r="JM74" s="1526"/>
      <c r="JN74" s="1526"/>
      <c r="JP74" s="1526">
        <f>+JL74</f>
        <v>4949.1582441800001</v>
      </c>
      <c r="JQ74" s="1526">
        <f>+JM74</f>
        <v>0</v>
      </c>
      <c r="JR74" s="939"/>
      <c r="JS74" s="1528" t="str">
        <f>+IFERROR(JP74/JQ74,"")</f>
        <v/>
      </c>
      <c r="JT74" s="1530">
        <f>+IFERROR(JP74-JQ74,"NA")</f>
        <v>4949.1582441800001</v>
      </c>
      <c r="JV74" s="1529">
        <f>+JP74/JP$11</f>
        <v>0.16392514522830937</v>
      </c>
      <c r="JW74" s="1528" t="str">
        <f>+IFERROR(JQ74/JQ$11,"")</f>
        <v/>
      </c>
      <c r="JY74" s="1529">
        <f t="shared" ref="JY74:KE74" si="430">+IFERROR(JC74/JB74-1,"NA")</f>
        <v>0.14508802928089404</v>
      </c>
      <c r="JZ74" s="1529">
        <f t="shared" si="430"/>
        <v>-1.4961074877051759</v>
      </c>
      <c r="KA74" s="1529">
        <f t="shared" si="430"/>
        <v>-0.12285778374540313</v>
      </c>
      <c r="KB74" s="1529">
        <f t="shared" si="430"/>
        <v>-1.5089535220168804</v>
      </c>
      <c r="KC74" s="1529">
        <f t="shared" si="430"/>
        <v>-0.38358133725077093</v>
      </c>
      <c r="KD74" s="1529">
        <f t="shared" si="430"/>
        <v>1.6132069897161854</v>
      </c>
      <c r="KE74" s="1529">
        <f t="shared" si="430"/>
        <v>-0.7297374672055974</v>
      </c>
      <c r="KF74" s="1529">
        <f>+IFERROR(JN74/JI74-1,"NA")</f>
        <v>-1</v>
      </c>
      <c r="KH74" s="1526">
        <f t="shared" ref="KH74:KN74" si="431">+JC74-JB74</f>
        <v>1240.4658317599951</v>
      </c>
      <c r="KI74" s="1526">
        <f t="shared" si="431"/>
        <v>-14647.209575920002</v>
      </c>
      <c r="KJ74" s="1526">
        <f t="shared" si="431"/>
        <v>596.71994990999974</v>
      </c>
      <c r="KK74" s="1526">
        <f t="shared" si="431"/>
        <v>6428.5608312100012</v>
      </c>
      <c r="KL74" s="1526">
        <f t="shared" si="431"/>
        <v>-831.71299613000042</v>
      </c>
      <c r="KM74" s="1526">
        <f t="shared" si="431"/>
        <v>2156.1645075699989</v>
      </c>
      <c r="KN74" s="1526">
        <f t="shared" si="431"/>
        <v>-2548.7794328099994</v>
      </c>
      <c r="KO74" s="1526">
        <f>+JN74-JI74</f>
        <v>-943.95534832999954</v>
      </c>
      <c r="KQ74" s="1529">
        <f t="shared" ref="KQ74:KY74" si="432">+JA74/JA$11</f>
        <v>0.25550139657126014</v>
      </c>
      <c r="KR74" s="1529">
        <f t="shared" si="432"/>
        <v>0.23261273471517796</v>
      </c>
      <c r="KS74" s="1529">
        <f t="shared" si="432"/>
        <v>0.248589916717989</v>
      </c>
      <c r="KT74" s="1529">
        <f t="shared" si="432"/>
        <v>-0.28820150598085437</v>
      </c>
      <c r="KU74" s="1529">
        <f t="shared" si="432"/>
        <v>-0.69249983798488579</v>
      </c>
      <c r="KV74" s="1529">
        <f t="shared" si="432"/>
        <v>0.15909551021069904</v>
      </c>
      <c r="KW74" s="1529">
        <f t="shared" si="432"/>
        <v>9.4453699638958846E-2</v>
      </c>
      <c r="KX74" s="1529">
        <f t="shared" si="432"/>
        <v>0.16452386075537245</v>
      </c>
      <c r="KY74" s="1529">
        <f t="shared" si="432"/>
        <v>7.4799031966587187E-2</v>
      </c>
      <c r="KZ74" s="1529" t="e">
        <f>+JN74/JN$11</f>
        <v>#DIV/0!</v>
      </c>
      <c r="LB74" s="1526">
        <f t="shared" ref="LB74:LM74" si="433">+SUMIFS($E74:$EG74,$E$6:$EG$6,LB$7,$E$5:$EG$5,$LD$5)</f>
        <v>85.669844239998241</v>
      </c>
      <c r="LC74" s="1526">
        <f t="shared" si="433"/>
        <v>2325.1729883500079</v>
      </c>
      <c r="LD74" s="1526">
        <f t="shared" si="433"/>
        <v>-178.99561452000199</v>
      </c>
      <c r="LE74" s="1526">
        <f t="shared" si="433"/>
        <v>-2020.1855091</v>
      </c>
      <c r="LF74" s="1526">
        <f t="shared" si="433"/>
        <v>-42.209163349999727</v>
      </c>
      <c r="LG74" s="1526">
        <f t="shared" si="433"/>
        <v>35.558553830000271</v>
      </c>
      <c r="LH74" s="1526">
        <f t="shared" si="433"/>
        <v>169.60108346999982</v>
      </c>
      <c r="LI74" s="1526">
        <f t="shared" si="433"/>
        <v>100.60520948999967</v>
      </c>
      <c r="LJ74" s="1526">
        <f t="shared" si="433"/>
        <v>78.867468249999874</v>
      </c>
      <c r="LK74" s="1526">
        <f t="shared" si="433"/>
        <v>376.2086404999996</v>
      </c>
      <c r="LL74" s="1526">
        <f t="shared" si="433"/>
        <v>-52.871230840000237</v>
      </c>
      <c r="LM74" s="1526">
        <f t="shared" si="433"/>
        <v>-52.871230840000237</v>
      </c>
      <c r="LN74" s="1526"/>
      <c r="LO74" s="1526"/>
      <c r="LR74" s="1529">
        <f t="shared" ref="LR74:LW74" si="434">+IFERROR(LD74/LC74-1," ")</f>
        <v>-1.0769816333738769</v>
      </c>
      <c r="LS74" s="1529">
        <f t="shared" si="434"/>
        <v>10.286229076155678</v>
      </c>
      <c r="LT74" s="1529">
        <f t="shared" si="434"/>
        <v>-0.97910629337757993</v>
      </c>
      <c r="LU74" s="1529">
        <f t="shared" si="434"/>
        <v>-1.8424368314327295</v>
      </c>
      <c r="LV74" s="1529">
        <f t="shared" si="434"/>
        <v>3.7696282666847285</v>
      </c>
      <c r="LW74" s="1529">
        <f t="shared" si="434"/>
        <v>-0.40681269581750412</v>
      </c>
      <c r="LX74" s="1529">
        <f>+IFERROR(LO74/LI74-1," ")</f>
        <v>-1</v>
      </c>
      <c r="LZ74" s="1526">
        <f t="shared" ref="LZ74:ME74" si="435">+LD74-LC74</f>
        <v>-2504.1686028700101</v>
      </c>
      <c r="MA74" s="1526">
        <f t="shared" si="435"/>
        <v>-1841.1898945799981</v>
      </c>
      <c r="MB74" s="1526">
        <f t="shared" si="435"/>
        <v>1977.9763457500003</v>
      </c>
      <c r="MC74" s="1526">
        <f t="shared" si="435"/>
        <v>77.767717180000005</v>
      </c>
      <c r="MD74" s="1526">
        <f t="shared" si="435"/>
        <v>134.04252963999954</v>
      </c>
      <c r="ME74" s="1526">
        <f t="shared" si="435"/>
        <v>-68.995873980000155</v>
      </c>
      <c r="MF74" s="1526">
        <f>+LO74-LI74</f>
        <v>-100.60520948999967</v>
      </c>
      <c r="MH74" s="1529">
        <f t="shared" ref="MH74:MO74" si="436">+LB74/LB$11</f>
        <v>2.8562858161397569E-2</v>
      </c>
      <c r="MI74" s="1529">
        <f t="shared" si="436"/>
        <v>0.42171104144930321</v>
      </c>
      <c r="MJ74" s="1529">
        <f t="shared" si="436"/>
        <v>-3.4918155127565256E-2</v>
      </c>
      <c r="MK74" s="1529">
        <f t="shared" si="436"/>
        <v>-3.4754578237603697</v>
      </c>
      <c r="ML74" s="1529">
        <f t="shared" si="436"/>
        <v>-2.8018787041259208E-2</v>
      </c>
      <c r="MM74" s="1529">
        <f t="shared" si="436"/>
        <v>3.4567049720050001E-2</v>
      </c>
      <c r="MN74" s="1529">
        <f t="shared" si="436"/>
        <v>0.10906733328826493</v>
      </c>
      <c r="MO74" s="1529">
        <f t="shared" si="436"/>
        <v>5.3456659899003472E-2</v>
      </c>
      <c r="MP74" s="1529" t="e">
        <f>+LO74/LO$11</f>
        <v>#DIV/0!</v>
      </c>
    </row>
    <row r="75" spans="1:354">
      <c r="A75" s="884"/>
      <c r="B75" s="70"/>
      <c r="C75" s="943" t="s">
        <v>95</v>
      </c>
      <c r="D75" s="944" t="s">
        <v>35</v>
      </c>
      <c r="E75" s="945">
        <f t="shared" ref="E75:AN75" si="437">IFERROR(+E74/E$11,0)</f>
        <v>-1.5568945504264318</v>
      </c>
      <c r="F75" s="945">
        <f t="shared" si="437"/>
        <v>0.354130221380974</v>
      </c>
      <c r="G75" s="945">
        <f t="shared" si="437"/>
        <v>0.13176604838237913</v>
      </c>
      <c r="H75" s="945">
        <f t="shared" si="437"/>
        <v>0.21103063019117735</v>
      </c>
      <c r="I75" s="945">
        <f t="shared" si="437"/>
        <v>0.41094956487481016</v>
      </c>
      <c r="J75" s="945">
        <f t="shared" si="437"/>
        <v>0.16627972943735764</v>
      </c>
      <c r="K75" s="945">
        <f t="shared" si="437"/>
        <v>0.23463853048864164</v>
      </c>
      <c r="L75" s="945">
        <f t="shared" si="437"/>
        <v>0.41234926437637176</v>
      </c>
      <c r="M75" s="945">
        <f t="shared" si="437"/>
        <v>0.43025265518173905</v>
      </c>
      <c r="N75" s="945">
        <f t="shared" si="437"/>
        <v>0.37489626571387408</v>
      </c>
      <c r="O75" s="945">
        <f t="shared" si="437"/>
        <v>0.41470906603377411</v>
      </c>
      <c r="P75" s="945">
        <f t="shared" si="437"/>
        <v>2.8562858161397569E-2</v>
      </c>
      <c r="Q75" s="945">
        <f t="shared" si="437"/>
        <v>-0.18805904633200671</v>
      </c>
      <c r="R75" s="945">
        <f t="shared" si="437"/>
        <v>0.38094887012015127</v>
      </c>
      <c r="S75" s="945">
        <f t="shared" si="437"/>
        <v>-8.703648553543232E-2</v>
      </c>
      <c r="T75" s="945">
        <f t="shared" si="437"/>
        <v>-0.33404545840147509</v>
      </c>
      <c r="U75" s="945">
        <f t="shared" si="437"/>
        <v>0.36969430991221935</v>
      </c>
      <c r="V75" s="945">
        <f t="shared" si="437"/>
        <v>0.35268481285024789</v>
      </c>
      <c r="W75" s="945">
        <f t="shared" si="437"/>
        <v>0.21744669951171605</v>
      </c>
      <c r="X75" s="945">
        <f t="shared" si="437"/>
        <v>0.29450232282182448</v>
      </c>
      <c r="Y75" s="945">
        <f t="shared" si="437"/>
        <v>-0.49295593730838755</v>
      </c>
      <c r="Z75" s="945">
        <f t="shared" si="437"/>
        <v>3.6450393027598997E-2</v>
      </c>
      <c r="AA75" s="945">
        <f t="shared" si="437"/>
        <v>0.52779898930931923</v>
      </c>
      <c r="AB75" s="945">
        <f t="shared" si="437"/>
        <v>0.42171104144930321</v>
      </c>
      <c r="AC75" s="945">
        <f t="shared" si="437"/>
        <v>-0.3181756394061826</v>
      </c>
      <c r="AD75" s="945">
        <f t="shared" si="437"/>
        <v>0.44407074683816466</v>
      </c>
      <c r="AE75" s="945">
        <f t="shared" si="437"/>
        <v>0.15786891053879276</v>
      </c>
      <c r="AF75" s="945">
        <f t="shared" si="437"/>
        <v>0.30038262010955091</v>
      </c>
      <c r="AG75" s="945">
        <f t="shared" si="437"/>
        <v>0.23545725153365982</v>
      </c>
      <c r="AH75" s="945">
        <f t="shared" si="437"/>
        <v>0.18516993272072049</v>
      </c>
      <c r="AI75" s="945">
        <f t="shared" si="437"/>
        <v>0.12221056549811492</v>
      </c>
      <c r="AJ75" s="945">
        <f t="shared" si="437"/>
        <v>0.23068383445826635</v>
      </c>
      <c r="AK75" s="945">
        <f t="shared" si="437"/>
        <v>0.26592552357533228</v>
      </c>
      <c r="AL75" s="945">
        <f t="shared" si="437"/>
        <v>0.32533971241607024</v>
      </c>
      <c r="AM75" s="945">
        <f t="shared" si="437"/>
        <v>0.56993807120680251</v>
      </c>
      <c r="AN75" s="945">
        <f t="shared" si="437"/>
        <v>-3.4918155127565256E-2</v>
      </c>
      <c r="AO75" s="945">
        <f>IFERROR(+AO74/AO$11,0)</f>
        <v>0.39001467929495187</v>
      </c>
      <c r="AP75" s="946">
        <v>-0.390826872250709</v>
      </c>
      <c r="AQ75" s="945">
        <v>-0.13075706418005822</v>
      </c>
      <c r="AR75" s="945">
        <v>-0.28065709655711024</v>
      </c>
      <c r="AS75" s="945">
        <v>-1.1486821504392215</v>
      </c>
      <c r="AT75" s="945">
        <v>-1.1156613593682376</v>
      </c>
      <c r="AU75" s="945">
        <v>-5.7414247332509903E-2</v>
      </c>
      <c r="AV75" s="945">
        <v>-1.6994475150116487E-2</v>
      </c>
      <c r="AW75" s="945">
        <v>-1.379742675971787E-2</v>
      </c>
      <c r="AX75" s="945">
        <v>1.5118811154014795E-2</v>
      </c>
      <c r="AY75" s="945">
        <v>-0.66142163232307272</v>
      </c>
      <c r="AZ75" s="945">
        <v>-1.3063051751836927</v>
      </c>
      <c r="BA75" s="945">
        <f t="shared" ref="BA75:DL75" si="438">IFERROR(+BA74/BA$11,0)</f>
        <v>3.8955991525682604E-2</v>
      </c>
      <c r="BB75" s="945">
        <f t="shared" si="438"/>
        <v>-1.7000994133765801</v>
      </c>
      <c r="BC75" s="945">
        <f t="shared" si="438"/>
        <v>-3.179872820382216</v>
      </c>
      <c r="BD75" s="945">
        <f t="shared" si="438"/>
        <v>-6.6865693606628867</v>
      </c>
      <c r="BE75" s="945">
        <f t="shared" si="438"/>
        <v>-0.88940702100461699</v>
      </c>
      <c r="BF75" s="945">
        <f t="shared" si="438"/>
        <v>-2.3974011801370239</v>
      </c>
      <c r="BG75" s="945">
        <f t="shared" si="438"/>
        <v>-1.0410391833853581</v>
      </c>
      <c r="BH75" s="945">
        <f t="shared" si="438"/>
        <v>-0.3853010766178292</v>
      </c>
      <c r="BI75" s="945">
        <f t="shared" si="438"/>
        <v>-1.6006155484844764</v>
      </c>
      <c r="BJ75" s="945">
        <f t="shared" si="438"/>
        <v>-0.46932189351071968</v>
      </c>
      <c r="BK75" s="945">
        <f t="shared" si="438"/>
        <v>0.14048650589766976</v>
      </c>
      <c r="BL75" s="945">
        <f t="shared" si="438"/>
        <v>-2.8018787041259208E-2</v>
      </c>
      <c r="BM75" s="945">
        <f t="shared" si="438"/>
        <v>0.17819666174407167</v>
      </c>
      <c r="BN75" s="945">
        <f t="shared" si="438"/>
        <v>0.19170772153828211</v>
      </c>
      <c r="BO75" s="945">
        <f t="shared" si="438"/>
        <v>0.15392768675987947</v>
      </c>
      <c r="BP75" s="945">
        <f t="shared" si="438"/>
        <v>0.28643194919687665</v>
      </c>
      <c r="BQ75" s="945">
        <f t="shared" si="438"/>
        <v>1.3504007892896113E-2</v>
      </c>
      <c r="BR75" s="945">
        <f t="shared" si="438"/>
        <v>0.11925165007167791</v>
      </c>
      <c r="BS75" s="945">
        <f t="shared" si="438"/>
        <v>0.11275450596966526</v>
      </c>
      <c r="BT75" s="945">
        <f t="shared" si="438"/>
        <v>0.11305665275007709</v>
      </c>
      <c r="BU75" s="945">
        <f t="shared" si="438"/>
        <v>4.0397083158045625E-2</v>
      </c>
      <c r="BV75" s="945">
        <f t="shared" si="438"/>
        <v>0.26946269683622265</v>
      </c>
      <c r="BW75" s="945">
        <f t="shared" si="438"/>
        <v>0.26854867633328655</v>
      </c>
      <c r="BX75" s="945">
        <f t="shared" si="438"/>
        <v>3.4567049720050001E-2</v>
      </c>
      <c r="BY75" s="945">
        <f t="shared" si="438"/>
        <v>3.2578148145182444E-2</v>
      </c>
      <c r="BZ75" s="945">
        <f t="shared" si="438"/>
        <v>6.7102110841148685E-2</v>
      </c>
      <c r="CA75" s="945">
        <f t="shared" si="438"/>
        <v>6.2087328836744199E-2</v>
      </c>
      <c r="CB75" s="945">
        <f t="shared" si="438"/>
        <v>-6.892324970326548E-2</v>
      </c>
      <c r="CC75" s="945">
        <f t="shared" si="438"/>
        <v>-0.15613142890863652</v>
      </c>
      <c r="CD75" s="945">
        <f t="shared" si="438"/>
        <v>1.0107275588269281E-2</v>
      </c>
      <c r="CE75" s="945">
        <f t="shared" si="438"/>
        <v>-8.9400223196697257E-2</v>
      </c>
      <c r="CF75" s="945">
        <f t="shared" si="438"/>
        <v>0.31438655858113373</v>
      </c>
      <c r="CG75" s="945">
        <f t="shared" si="438"/>
        <v>6.1441039251195987E-3</v>
      </c>
      <c r="CH75" s="945">
        <f t="shared" si="438"/>
        <v>0.11119384960631871</v>
      </c>
      <c r="CI75" s="945">
        <f t="shared" si="438"/>
        <v>0.2981122499888092</v>
      </c>
      <c r="CJ75" s="945">
        <f t="shared" si="438"/>
        <v>0.10906733328826493</v>
      </c>
      <c r="CK75" s="945">
        <f t="shared" si="438"/>
        <v>0.11577110681183141</v>
      </c>
      <c r="CL75" s="945">
        <f t="shared" si="438"/>
        <v>-1.4454791398921727E-2</v>
      </c>
      <c r="CM75" s="945">
        <f t="shared" si="438"/>
        <v>0.24712542760455669</v>
      </c>
      <c r="CN75" s="945">
        <f t="shared" si="438"/>
        <v>0.11654484953909612</v>
      </c>
      <c r="CO75" s="945">
        <f t="shared" si="438"/>
        <v>0.25047147366427114</v>
      </c>
      <c r="CP75" s="945">
        <f t="shared" si="438"/>
        <v>6.5775428703395158E-2</v>
      </c>
      <c r="CQ75" s="945">
        <f t="shared" si="438"/>
        <v>9.8768757138934002E-2</v>
      </c>
      <c r="CR75" s="945">
        <f t="shared" si="438"/>
        <v>0.17743276958915058</v>
      </c>
      <c r="CS75" s="945">
        <f t="shared" si="438"/>
        <v>0.21313033615769858</v>
      </c>
      <c r="CT75" s="945">
        <f t="shared" si="438"/>
        <v>0.31588346553880753</v>
      </c>
      <c r="CU75" s="945">
        <f t="shared" si="438"/>
        <v>0.20502416589943662</v>
      </c>
      <c r="CV75" s="945">
        <f t="shared" si="438"/>
        <v>5.3456659899003472E-2</v>
      </c>
      <c r="CW75" s="945">
        <f t="shared" si="438"/>
        <v>0.20340499187118516</v>
      </c>
      <c r="CX75" s="945">
        <f t="shared" si="438"/>
        <v>0.11800611082615423</v>
      </c>
      <c r="CY75" s="945">
        <f t="shared" si="438"/>
        <v>0.29803556302747691</v>
      </c>
      <c r="CZ75" s="945">
        <f t="shared" si="438"/>
        <v>-0.38992865446508357</v>
      </c>
      <c r="DA75" s="945">
        <f t="shared" si="438"/>
        <v>-0.58251963944530183</v>
      </c>
      <c r="DB75" s="945">
        <f t="shared" si="438"/>
        <v>-0.72743429472805254</v>
      </c>
      <c r="DC75" s="945">
        <f t="shared" si="438"/>
        <v>-0.53941701299788092</v>
      </c>
      <c r="DD75" s="945">
        <f t="shared" si="438"/>
        <v>0.22044419719355082</v>
      </c>
      <c r="DE75" s="945">
        <f t="shared" si="438"/>
        <v>0.16894996014404678</v>
      </c>
      <c r="DF75" s="945">
        <f t="shared" si="438"/>
        <v>0.25026985534829072</v>
      </c>
      <c r="DG75" s="945">
        <f t="shared" si="438"/>
        <v>-0.13247645891251139</v>
      </c>
      <c r="DH75" s="945">
        <f t="shared" si="438"/>
        <v>6.622963998255979E-2</v>
      </c>
      <c r="DI75" s="945">
        <f t="shared" si="438"/>
        <v>4.795059945663465E-2</v>
      </c>
      <c r="DJ75" s="945">
        <f t="shared" si="438"/>
        <v>-0.20993578388889242</v>
      </c>
      <c r="DK75" s="945">
        <f t="shared" si="438"/>
        <v>0.12415544116805262</v>
      </c>
      <c r="DL75" s="945">
        <f t="shared" si="438"/>
        <v>0.19066355727162701</v>
      </c>
      <c r="DM75" s="945">
        <f t="shared" ref="DM75:EF75" si="439">IFERROR(+DM74/DM$11,0)</f>
        <v>9.3988766016999833E-2</v>
      </c>
      <c r="DN75" s="945">
        <f t="shared" si="439"/>
        <v>6.4687102783193326E-2</v>
      </c>
      <c r="DO75" s="945">
        <f t="shared" si="439"/>
        <v>0.12411162703741671</v>
      </c>
      <c r="DP75" s="945">
        <f t="shared" si="439"/>
        <v>0.24123262323080999</v>
      </c>
      <c r="DQ75" s="945">
        <f t="shared" si="439"/>
        <v>0.17741488667978883</v>
      </c>
      <c r="DR75" s="945">
        <f t="shared" si="439"/>
        <v>0.22181829275348197</v>
      </c>
      <c r="DS75" s="945">
        <f t="shared" si="439"/>
        <v>0.12984011966677747</v>
      </c>
      <c r="DT75" s="945">
        <f t="shared" si="439"/>
        <v>0.19847867458314494</v>
      </c>
      <c r="DU75" s="945">
        <f t="shared" si="439"/>
        <v>0.17695871321675388</v>
      </c>
      <c r="DV75" s="945">
        <f t="shared" si="439"/>
        <v>-0.17994929495328293</v>
      </c>
      <c r="DW75" s="945">
        <f t="shared" si="439"/>
        <v>9.6372698753870001E-2</v>
      </c>
      <c r="DX75" s="945">
        <f t="shared" si="439"/>
        <v>6.8873686952290935E-3</v>
      </c>
      <c r="DY75" s="945">
        <f t="shared" si="439"/>
        <v>7.6245113459370309E-2</v>
      </c>
      <c r="DZ75" s="945">
        <f t="shared" si="439"/>
        <v>0.19264971336148254</v>
      </c>
      <c r="EA75" s="945">
        <f t="shared" si="439"/>
        <v>0.19704215131158181</v>
      </c>
      <c r="EB75" s="945">
        <f t="shared" si="439"/>
        <v>0.22216996788063861</v>
      </c>
      <c r="EC75" s="945">
        <f t="shared" si="439"/>
        <v>0.24246485585860955</v>
      </c>
      <c r="ED75" s="945">
        <f t="shared" si="439"/>
        <v>0.34293764609791649</v>
      </c>
      <c r="EE75" s="945">
        <f t="shared" si="439"/>
        <v>0.26551214085406732</v>
      </c>
      <c r="EF75" s="945">
        <f t="shared" si="439"/>
        <v>-1.2889610865984525E-2</v>
      </c>
      <c r="EH75" s="945">
        <f t="shared" ref="EH75:ER75" si="440">IFERROR(+CL74/CL$11,0)</f>
        <v>-1.4454791398921727E-2</v>
      </c>
      <c r="EI75" s="945">
        <f t="shared" si="440"/>
        <v>0.24712542760455669</v>
      </c>
      <c r="EJ75" s="945">
        <f t="shared" si="440"/>
        <v>0.11654484953909612</v>
      </c>
      <c r="EK75" s="945">
        <f t="shared" si="440"/>
        <v>0.25047147366427114</v>
      </c>
      <c r="EL75" s="945">
        <f t="shared" si="440"/>
        <v>6.5775428703395158E-2</v>
      </c>
      <c r="EM75" s="945">
        <f t="shared" si="440"/>
        <v>9.8768757138934002E-2</v>
      </c>
      <c r="EN75" s="945">
        <f t="shared" si="440"/>
        <v>0.17743276958915058</v>
      </c>
      <c r="EO75" s="945">
        <f t="shared" si="440"/>
        <v>0.21313033615769858</v>
      </c>
      <c r="EP75" s="945">
        <f t="shared" si="440"/>
        <v>0.31588346553880753</v>
      </c>
      <c r="EQ75" s="945">
        <f t="shared" si="440"/>
        <v>0.20502416589943662</v>
      </c>
      <c r="ER75" s="945">
        <f t="shared" si="440"/>
        <v>5.3456659899003472E-2</v>
      </c>
      <c r="ES75" s="945">
        <f>IFERROR(+EG74/EG$11,0)</f>
        <v>0</v>
      </c>
      <c r="EU75" s="945">
        <v>0.19231899653203219</v>
      </c>
      <c r="EV75" s="945">
        <v>-0.31883323337384883</v>
      </c>
      <c r="EW75" s="945">
        <v>-0.18520753445406216</v>
      </c>
      <c r="EX75" s="945">
        <v>0.22063920782483207</v>
      </c>
      <c r="EY75" s="945">
        <v>0.12108524257290137</v>
      </c>
      <c r="EZ75" s="945">
        <v>0.19265214509628917</v>
      </c>
      <c r="FA75" s="945">
        <v>0.3555888436647795</v>
      </c>
      <c r="FB75" s="945">
        <v>0.46594773553520746</v>
      </c>
      <c r="FC75" s="945">
        <v>0.36498073727271413</v>
      </c>
      <c r="FD75" s="945">
        <v>0.39336187580827198</v>
      </c>
      <c r="FE75" s="945">
        <v>0.37745822908937177</v>
      </c>
      <c r="FF75" s="945">
        <v>0.24432290155890407</v>
      </c>
      <c r="FG75" s="945">
        <f t="shared" ref="FG75:GC75" si="441">IFERROR(+FG74/FG$11,0)</f>
        <v>-0.66506492894460223</v>
      </c>
      <c r="FH75" s="945">
        <f t="shared" si="441"/>
        <v>-0.206695180697506</v>
      </c>
      <c r="FI75" s="945">
        <f t="shared" si="441"/>
        <v>-0.17694066259992469</v>
      </c>
      <c r="FJ75" s="945">
        <f t="shared" si="441"/>
        <v>-0.24880475950393138</v>
      </c>
      <c r="FK75" s="945">
        <f t="shared" si="441"/>
        <v>-3.2557895549160318E-2</v>
      </c>
      <c r="FL75" s="945">
        <f t="shared" si="441"/>
        <v>0.11717184558186867</v>
      </c>
      <c r="FM75" s="945">
        <f t="shared" si="441"/>
        <v>0.15271346164274016</v>
      </c>
      <c r="FN75" s="945">
        <f t="shared" si="441"/>
        <v>0.18791730607233537</v>
      </c>
      <c r="FO75" s="945">
        <f t="shared" si="441"/>
        <v>0.16781004227059343</v>
      </c>
      <c r="FP75" s="945">
        <f t="shared" si="441"/>
        <v>0.20241679630327253</v>
      </c>
      <c r="FQ75" s="945">
        <f t="shared" si="441"/>
        <v>0.1590144144419588</v>
      </c>
      <c r="FR75" s="945">
        <f t="shared" si="441"/>
        <v>5.1008454602455372E-2</v>
      </c>
      <c r="FS75" s="945">
        <f t="shared" si="441"/>
        <v>2.8731929115177527E-2</v>
      </c>
      <c r="FT75" s="945">
        <f t="shared" si="441"/>
        <v>0.21342943413892596</v>
      </c>
      <c r="FU75" s="945">
        <f t="shared" si="441"/>
        <v>0.19007288614086443</v>
      </c>
      <c r="FV75" s="945">
        <f t="shared" si="441"/>
        <v>0.19233312029783922</v>
      </c>
      <c r="FW75" s="945">
        <f t="shared" si="441"/>
        <v>0.17054647642132567</v>
      </c>
      <c r="FX75" s="945">
        <f t="shared" si="441"/>
        <v>0.20227367505961419</v>
      </c>
      <c r="FY75" s="945">
        <f t="shared" si="441"/>
        <v>0.19490674547703637</v>
      </c>
      <c r="FZ75" s="945">
        <f t="shared" si="441"/>
        <v>-4.9988643070323191E-2</v>
      </c>
      <c r="GA75" s="945">
        <f t="shared" si="441"/>
        <v>-0.17219977931968483</v>
      </c>
      <c r="GB75" s="945">
        <f t="shared" si="441"/>
        <v>-0.34473250469425931</v>
      </c>
      <c r="GC75" s="945">
        <f t="shared" si="441"/>
        <v>-0.18531024441111629</v>
      </c>
      <c r="GD75" s="947">
        <f t="shared" ref="GD75:HB75" si="442">+IFERROR(GD74/GD$11,"")</f>
        <v>-0.32104988400648055</v>
      </c>
      <c r="GE75" s="947">
        <f t="shared" si="442"/>
        <v>9.9416403582019849E-2</v>
      </c>
      <c r="GF75" s="947">
        <f t="shared" si="442"/>
        <v>3.098522678590775E-2</v>
      </c>
      <c r="GG75" s="947">
        <f t="shared" si="442"/>
        <v>-1.2625107204497141E-2</v>
      </c>
      <c r="GH75" s="947">
        <f t="shared" si="442"/>
        <v>-9.7309813828969985E-2</v>
      </c>
      <c r="GI75" s="947">
        <f t="shared" si="442"/>
        <v>1.9416884833686338E-2</v>
      </c>
      <c r="GJ75" s="947">
        <f t="shared" si="442"/>
        <v>2.1010163401667309E-2</v>
      </c>
      <c r="GK75" s="947">
        <f t="shared" si="442"/>
        <v>6.3358424252070347E-2</v>
      </c>
      <c r="GL75" s="947">
        <f t="shared" si="442"/>
        <v>7.792593054030135E-2</v>
      </c>
      <c r="GM75" s="947">
        <f t="shared" si="442"/>
        <v>9.5336759049813286E-2</v>
      </c>
      <c r="GN75" s="947">
        <f t="shared" si="442"/>
        <v>0.16219506243048343</v>
      </c>
      <c r="GO75" s="947">
        <f t="shared" si="442"/>
        <v>0.18854644858166167</v>
      </c>
      <c r="GP75" s="947">
        <f t="shared" si="442"/>
        <v>0.15826325956431855</v>
      </c>
      <c r="GQ75" s="947">
        <f t="shared" si="442"/>
        <v>9.9416403582019849E-2</v>
      </c>
      <c r="GR75" s="947">
        <f t="shared" si="442"/>
        <v>3.098522678590775E-2</v>
      </c>
      <c r="GS75" s="947">
        <f t="shared" si="442"/>
        <v>-1.2625107204497141E-2</v>
      </c>
      <c r="GT75" s="947">
        <f t="shared" si="442"/>
        <v>-9.7309813828969985E-2</v>
      </c>
      <c r="GU75" s="947">
        <f t="shared" si="442"/>
        <v>1.9416884833686338E-2</v>
      </c>
      <c r="GV75" s="947">
        <f t="shared" si="442"/>
        <v>2.1010163401667309E-2</v>
      </c>
      <c r="GW75" s="947">
        <f t="shared" si="442"/>
        <v>6.3358424252070347E-2</v>
      </c>
      <c r="GX75" s="947">
        <f t="shared" si="442"/>
        <v>7.792593054030135E-2</v>
      </c>
      <c r="GY75" s="947">
        <f t="shared" si="442"/>
        <v>9.5336759049813286E-2</v>
      </c>
      <c r="GZ75" s="947">
        <f t="shared" si="442"/>
        <v>0.16219506243048343</v>
      </c>
      <c r="HA75" s="947">
        <f t="shared" si="442"/>
        <v>0.18854644858166167</v>
      </c>
      <c r="HB75" s="947">
        <f t="shared" si="442"/>
        <v>0.15826325956431855</v>
      </c>
      <c r="HD75" s="947">
        <f t="shared" ref="HD75:HN75" si="443">+IFERROR(HD74/HD$11,"")</f>
        <v>0.25550139657126014</v>
      </c>
      <c r="HE75" s="947">
        <f t="shared" si="443"/>
        <v>0.23261273471517796</v>
      </c>
      <c r="HF75" s="947">
        <f t="shared" si="443"/>
        <v>0.248589916717989</v>
      </c>
      <c r="HG75" s="947">
        <f t="shared" si="443"/>
        <v>-0.28820150598085437</v>
      </c>
      <c r="HH75" s="947">
        <f t="shared" si="443"/>
        <v>-0.69249983798488579</v>
      </c>
      <c r="HI75" s="947">
        <f t="shared" si="443"/>
        <v>0.15909551021069904</v>
      </c>
      <c r="HJ75" s="947">
        <f t="shared" si="443"/>
        <v>9.4453699638958846E-2</v>
      </c>
      <c r="HK75" s="947">
        <f t="shared" si="443"/>
        <v>0.16452386075537245</v>
      </c>
      <c r="HL75" s="947">
        <f t="shared" si="443"/>
        <v>7.4799031966587187E-2</v>
      </c>
      <c r="HM75" s="947">
        <f t="shared" si="443"/>
        <v>0.13571064273931677</v>
      </c>
      <c r="HN75" s="947">
        <f t="shared" si="443"/>
        <v>0.16392514522830937</v>
      </c>
      <c r="HO75" s="947"/>
      <c r="HP75" s="947"/>
      <c r="HR75" s="947">
        <f t="shared" si="428"/>
        <v>6.8685757993319996E-2</v>
      </c>
      <c r="HS75" s="947">
        <f t="shared" si="428"/>
        <v>-2.1593451165913637</v>
      </c>
      <c r="HT75" s="947">
        <f t="shared" si="428"/>
        <v>1.4028321282640679</v>
      </c>
      <c r="HU75" s="947">
        <f t="shared" si="428"/>
        <v>-1.2297408627179656</v>
      </c>
      <c r="HV75" s="947">
        <f t="shared" si="428"/>
        <v>-0.4063082011939334</v>
      </c>
      <c r="HW75" s="947">
        <f t="shared" si="428"/>
        <v>0.74184665486106716</v>
      </c>
      <c r="HX75" s="947">
        <f t="shared" si="428"/>
        <v>-0.54536058403221821</v>
      </c>
      <c r="HY75" s="947">
        <f t="shared" si="428"/>
        <v>0.81433688607011478</v>
      </c>
      <c r="HZ75" s="947">
        <f t="shared" si="428"/>
        <v>0.20790191483500031</v>
      </c>
      <c r="IA75" s="947">
        <f t="shared" si="419"/>
        <v>-1</v>
      </c>
      <c r="IB75" s="947" t="str">
        <f>+IFERROR(HP75/HO75-1,"")</f>
        <v/>
      </c>
      <c r="IC75" s="947">
        <f t="shared" si="420"/>
        <v>-1</v>
      </c>
      <c r="IE75" s="947">
        <f>+IFERROR(HF75-HE75,"")</f>
        <v>1.5977182002811036E-2</v>
      </c>
      <c r="IF75" s="947">
        <f>+IFERROR(HG75-HF75,"")</f>
        <v>-0.53679142269884339</v>
      </c>
      <c r="IG75" s="947">
        <f>+IFERROR(HH75-HG75,"")</f>
        <v>-0.40429833200403142</v>
      </c>
      <c r="IH75" s="947">
        <f>+IFERROR(HI75-HH75,"")</f>
        <v>0.8515953481955848</v>
      </c>
      <c r="II75" s="947">
        <f t="shared" si="322"/>
        <v>-6.4641810571740191E-2</v>
      </c>
      <c r="IJ75" s="947">
        <f t="shared" si="323"/>
        <v>7.0070161116413607E-2</v>
      </c>
      <c r="IK75" s="947">
        <f t="shared" si="324"/>
        <v>-8.9724828788785266E-2</v>
      </c>
      <c r="IL75" s="947">
        <f t="shared" si="307"/>
        <v>-7.4799031966587187E-2</v>
      </c>
      <c r="IM75" s="947">
        <f>+IFERROR(HP75-HO75,"")</f>
        <v>0</v>
      </c>
      <c r="IN75" s="947">
        <f t="shared" si="308"/>
        <v>-7.4799031966587187E-2</v>
      </c>
      <c r="IP75" s="945"/>
      <c r="IQ75" s="945"/>
      <c r="IR75" s="945"/>
      <c r="IS75" s="945"/>
      <c r="IT75" s="945"/>
      <c r="IU75" s="945"/>
      <c r="IV75" s="945"/>
      <c r="IW75" s="945"/>
      <c r="IX75" s="945"/>
      <c r="IY75" s="945"/>
      <c r="JA75" s="945">
        <f t="shared" ref="JA75" si="444">+JA74/JA$11</f>
        <v>0.25550139657126014</v>
      </c>
      <c r="JB75" s="945">
        <f t="shared" ref="JB75:JL75" si="445">+JB74/JB$11</f>
        <v>0.23261273471517796</v>
      </c>
      <c r="JC75" s="945">
        <f t="shared" si="445"/>
        <v>0.248589916717989</v>
      </c>
      <c r="JD75" s="945">
        <f t="shared" si="445"/>
        <v>-0.28820150598085437</v>
      </c>
      <c r="JE75" s="945">
        <f t="shared" si="445"/>
        <v>-0.69249983798488579</v>
      </c>
      <c r="JF75" s="945">
        <f t="shared" si="445"/>
        <v>0.15909551021069904</v>
      </c>
      <c r="JG75" s="945">
        <f t="shared" si="445"/>
        <v>9.4453699638958846E-2</v>
      </c>
      <c r="JH75" s="945">
        <f t="shared" si="445"/>
        <v>0.16452386075537245</v>
      </c>
      <c r="JI75" s="945">
        <f t="shared" si="445"/>
        <v>7.4799031966587187E-2</v>
      </c>
      <c r="JJ75" s="945">
        <f t="shared" si="445"/>
        <v>0.13571064273931677</v>
      </c>
      <c r="JK75" s="945">
        <f t="shared" si="445"/>
        <v>0.16392514522830937</v>
      </c>
      <c r="JL75" s="945">
        <f t="shared" si="445"/>
        <v>0.16392514522830937</v>
      </c>
      <c r="JM75" s="945"/>
      <c r="JN75" s="945"/>
      <c r="JP75" s="945">
        <f>+JL75</f>
        <v>0.16392514522830937</v>
      </c>
      <c r="JQ75" s="945">
        <f>IFERROR(+JQ74/JQ$11,0)</f>
        <v>0</v>
      </c>
      <c r="JR75" s="946"/>
      <c r="JS75" s="947" t="str">
        <f>+IFERROR(JP75/JQ75,"")</f>
        <v/>
      </c>
      <c r="JT75" s="945">
        <f>+IFERROR(JP75-JQ75,"NA")</f>
        <v>0.16392514522830937</v>
      </c>
      <c r="JV75" s="945"/>
      <c r="JW75" s="945"/>
      <c r="JY75" s="945"/>
      <c r="JZ75" s="945"/>
      <c r="KA75" s="945"/>
      <c r="KB75" s="945"/>
      <c r="KC75" s="945"/>
      <c r="KD75" s="945"/>
      <c r="KE75" s="945"/>
      <c r="KF75" s="945"/>
      <c r="KH75" s="945"/>
      <c r="KI75" s="945"/>
      <c r="KJ75" s="945"/>
      <c r="KK75" s="945"/>
      <c r="KL75" s="945"/>
      <c r="KM75" s="945"/>
      <c r="KN75" s="945"/>
      <c r="KO75" s="945"/>
      <c r="KQ75" s="945"/>
      <c r="KR75" s="945"/>
      <c r="KS75" s="945"/>
      <c r="KT75" s="945"/>
      <c r="KU75" s="945"/>
      <c r="KV75" s="945"/>
      <c r="KW75" s="945"/>
      <c r="KX75" s="945"/>
      <c r="KY75" s="945"/>
      <c r="KZ75" s="945"/>
      <c r="LB75" s="945">
        <f>LB74/LB$11</f>
        <v>2.8562858161397569E-2</v>
      </c>
      <c r="LC75" s="945">
        <f t="shared" ref="LC75:LM75" si="446">LC74/LC$11</f>
        <v>0.42171104144930321</v>
      </c>
      <c r="LD75" s="945">
        <f t="shared" si="446"/>
        <v>-3.4918155127565256E-2</v>
      </c>
      <c r="LE75" s="945">
        <f t="shared" si="446"/>
        <v>-3.4754578237603697</v>
      </c>
      <c r="LF75" s="945">
        <f t="shared" si="446"/>
        <v>-2.8018787041259208E-2</v>
      </c>
      <c r="LG75" s="945">
        <f t="shared" si="446"/>
        <v>3.4567049720050001E-2</v>
      </c>
      <c r="LH75" s="945">
        <f t="shared" si="446"/>
        <v>0.10906733328826493</v>
      </c>
      <c r="LI75" s="945">
        <f t="shared" si="446"/>
        <v>5.3456659899003472E-2</v>
      </c>
      <c r="LJ75" s="945">
        <f t="shared" si="446"/>
        <v>6.622963998255979E-2</v>
      </c>
      <c r="LK75" s="945">
        <f t="shared" si="446"/>
        <v>0.19847867458314494</v>
      </c>
      <c r="LL75" s="945">
        <f t="shared" si="446"/>
        <v>-1.2889610865984525E-2</v>
      </c>
      <c r="LM75" s="945">
        <f t="shared" si="446"/>
        <v>-1.2889610865984525E-2</v>
      </c>
      <c r="LN75" s="945"/>
      <c r="LO75" s="945"/>
      <c r="LR75" s="945"/>
      <c r="LS75" s="945"/>
      <c r="LT75" s="945"/>
      <c r="LU75" s="945"/>
      <c r="LV75" s="945"/>
      <c r="LW75" s="945"/>
      <c r="LX75" s="945">
        <f>+IFERROR(LO75/LI75-1," ")</f>
        <v>-1</v>
      </c>
      <c r="LZ75" s="945"/>
      <c r="MA75" s="945"/>
      <c r="MB75" s="945"/>
      <c r="MC75" s="945"/>
      <c r="MD75" s="945"/>
      <c r="ME75" s="945"/>
      <c r="MF75" s="945">
        <f>+LO75-LI75</f>
        <v>-5.3456659899003472E-2</v>
      </c>
      <c r="MH75" s="945"/>
      <c r="MI75" s="945"/>
      <c r="MJ75" s="945"/>
      <c r="MK75" s="945"/>
      <c r="ML75" s="945"/>
      <c r="MM75" s="945"/>
      <c r="MN75" s="945"/>
      <c r="MO75" s="945"/>
      <c r="MP75" s="945"/>
    </row>
    <row r="76" spans="1:354">
      <c r="A76" s="884"/>
      <c r="B76" s="70"/>
      <c r="C76" s="29"/>
      <c r="D76" s="31"/>
      <c r="E76" s="66"/>
      <c r="F76" s="66"/>
      <c r="G76" s="66"/>
      <c r="H76" s="66"/>
      <c r="I76" s="66"/>
      <c r="J76" s="66"/>
      <c r="K76" s="66"/>
      <c r="L76" s="66"/>
      <c r="M76" s="66"/>
      <c r="N76" s="66"/>
      <c r="O76" s="66"/>
      <c r="P76" s="66"/>
      <c r="Q76" s="102"/>
      <c r="R76" s="66"/>
      <c r="S76" s="66"/>
      <c r="T76" s="66"/>
      <c r="U76" s="66"/>
      <c r="V76" s="66"/>
      <c r="W76" s="66"/>
      <c r="X76" s="66"/>
      <c r="Y76" s="66"/>
      <c r="Z76" s="66"/>
      <c r="AA76" s="66"/>
      <c r="AB76" s="66"/>
      <c r="AC76" s="102"/>
      <c r="AD76" s="66"/>
      <c r="AE76" s="66"/>
      <c r="AF76" s="66"/>
      <c r="AG76" s="66"/>
      <c r="AH76" s="66"/>
      <c r="AI76" s="66"/>
      <c r="AJ76" s="66"/>
      <c r="AK76" s="66"/>
      <c r="AL76" s="66"/>
      <c r="AM76" s="66"/>
      <c r="AN76" s="66"/>
      <c r="AO76" s="66"/>
      <c r="AP76" s="88"/>
      <c r="AQ76" s="958"/>
      <c r="AR76" s="959"/>
      <c r="AS76" s="959"/>
      <c r="AT76" s="959"/>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873"/>
      <c r="DR76" s="873"/>
      <c r="DS76" s="873"/>
      <c r="DT76" s="873"/>
      <c r="DU76" s="873"/>
      <c r="DV76" s="873"/>
      <c r="DW76" s="873"/>
      <c r="DX76" s="873"/>
      <c r="DY76" s="873"/>
      <c r="DZ76" s="873"/>
      <c r="EA76" s="873"/>
      <c r="EB76" s="873"/>
      <c r="EC76" s="873"/>
      <c r="ED76" s="873"/>
      <c r="EE76" s="873"/>
      <c r="EF76" s="873"/>
      <c r="EH76" s="66"/>
      <c r="EI76" s="66"/>
      <c r="EJ76" s="66"/>
      <c r="EK76" s="66"/>
      <c r="EL76" s="66"/>
      <c r="EM76" s="66"/>
      <c r="EN76" s="66"/>
      <c r="EO76" s="66"/>
      <c r="EP76" s="66"/>
      <c r="EQ76" s="66"/>
      <c r="ER76" s="66"/>
      <c r="ES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D76" s="66"/>
      <c r="HE76" s="66"/>
      <c r="HF76" s="66"/>
      <c r="HG76" s="66"/>
      <c r="HH76" s="66"/>
      <c r="HI76" s="66"/>
      <c r="HJ76" s="66"/>
      <c r="HK76" s="66"/>
      <c r="HO76" s="66"/>
      <c r="HP76" s="66"/>
      <c r="HR76" s="50"/>
      <c r="HS76" s="50"/>
      <c r="HT76" s="50"/>
      <c r="HU76" s="922"/>
      <c r="HV76" s="922"/>
      <c r="HW76" s="922"/>
      <c r="HX76" s="922"/>
      <c r="HY76" s="922"/>
      <c r="HZ76" s="922"/>
      <c r="IA76" s="922" t="str">
        <f t="shared" si="419"/>
        <v/>
      </c>
      <c r="IB76" s="50"/>
      <c r="IC76" s="922" t="str">
        <f t="shared" si="420"/>
        <v/>
      </c>
      <c r="IE76" s="66"/>
      <c r="IF76" s="66"/>
      <c r="IG76" s="66"/>
      <c r="IH76" s="66"/>
      <c r="II76" s="66">
        <f t="shared" si="322"/>
        <v>0</v>
      </c>
      <c r="IJ76" s="66">
        <f t="shared" si="323"/>
        <v>0</v>
      </c>
      <c r="IK76" s="66">
        <f t="shared" si="324"/>
        <v>0</v>
      </c>
      <c r="IL76" s="66">
        <f t="shared" si="307"/>
        <v>0</v>
      </c>
      <c r="IM76" s="66"/>
      <c r="IN76" s="66">
        <f t="shared" si="308"/>
        <v>0</v>
      </c>
      <c r="IP76" s="50"/>
      <c r="IQ76" s="50"/>
      <c r="IR76" s="50"/>
      <c r="IS76" s="50"/>
      <c r="IT76" s="50"/>
      <c r="IU76" s="50"/>
      <c r="IV76" s="50"/>
      <c r="IW76" s="50"/>
      <c r="IX76" s="50"/>
      <c r="IY76" s="50"/>
      <c r="JA76" s="66"/>
      <c r="JB76" s="66"/>
      <c r="JC76" s="66"/>
      <c r="JD76" s="66"/>
      <c r="JE76" s="66"/>
      <c r="JF76" s="66"/>
      <c r="JG76" s="66"/>
      <c r="JH76" s="66"/>
      <c r="JI76" s="66"/>
      <c r="JJ76" s="66"/>
      <c r="JK76" s="66"/>
      <c r="JL76" s="66"/>
      <c r="JM76" s="66"/>
      <c r="JN76" s="66"/>
      <c r="JO76" s="1184"/>
      <c r="JP76" s="66"/>
      <c r="JQ76" s="66"/>
      <c r="JR76" s="88"/>
      <c r="JS76" s="50"/>
      <c r="JT76" s="66"/>
      <c r="JV76" s="50"/>
      <c r="JW76" s="50"/>
      <c r="JY76" s="50"/>
      <c r="JZ76" s="50"/>
      <c r="KA76" s="50"/>
      <c r="KB76" s="50"/>
      <c r="KC76" s="50"/>
      <c r="KD76" s="50"/>
      <c r="KE76" s="50"/>
      <c r="KF76" s="50"/>
      <c r="KH76" s="66"/>
      <c r="KI76" s="66"/>
      <c r="KJ76" s="66"/>
      <c r="KK76" s="66"/>
      <c r="KL76" s="66"/>
      <c r="KM76" s="66"/>
      <c r="KN76" s="66"/>
      <c r="KO76" s="66"/>
      <c r="KQ76" s="50"/>
      <c r="KR76" s="50"/>
      <c r="KS76" s="50"/>
      <c r="KT76" s="50"/>
      <c r="KU76" s="50"/>
      <c r="KV76" s="50"/>
      <c r="KW76" s="50"/>
      <c r="KX76" s="50"/>
      <c r="KY76" s="50"/>
      <c r="KZ76" s="50"/>
      <c r="LB76" s="66"/>
      <c r="LC76" s="66"/>
      <c r="LD76" s="66"/>
      <c r="LE76" s="66"/>
      <c r="LF76" s="66"/>
      <c r="LG76" s="66"/>
      <c r="LH76" s="66"/>
      <c r="LI76" s="66"/>
      <c r="LJ76" s="66"/>
      <c r="LK76" s="66"/>
      <c r="LL76" s="66"/>
      <c r="LM76" s="66"/>
      <c r="LN76" s="66"/>
      <c r="LO76" s="66"/>
      <c r="LR76" s="50"/>
      <c r="LS76" s="50"/>
      <c r="LT76" s="50"/>
      <c r="LU76" s="50"/>
      <c r="LV76" s="50"/>
      <c r="LW76" s="50"/>
      <c r="LX76" s="50"/>
      <c r="LZ76" s="66"/>
      <c r="MA76" s="66"/>
      <c r="MB76" s="66"/>
      <c r="MC76" s="66"/>
      <c r="MD76" s="66"/>
      <c r="ME76" s="66"/>
      <c r="MF76" s="66"/>
      <c r="MH76" s="50"/>
      <c r="MI76" s="50"/>
      <c r="MJ76" s="50"/>
      <c r="MK76" s="50"/>
      <c r="ML76" s="50"/>
      <c r="MM76" s="50"/>
      <c r="MN76" s="50"/>
      <c r="MO76" s="50"/>
      <c r="MP76" s="50"/>
    </row>
    <row r="77" spans="1:354">
      <c r="A77" s="884"/>
      <c r="B77" s="70"/>
      <c r="C77" s="1431" t="s">
        <v>96</v>
      </c>
      <c r="D77" s="1531" t="s">
        <v>59</v>
      </c>
      <c r="E77" s="1532">
        <f>+SUBTOTAL(9,E78:E83)</f>
        <v>0.21647158000000002</v>
      </c>
      <c r="F77" s="1532">
        <f t="shared" ref="F77:AK77" si="447">SUM(F78:F83)</f>
        <v>2.8062983300000002</v>
      </c>
      <c r="G77" s="1532">
        <f t="shared" si="447"/>
        <v>6.4418054799999993</v>
      </c>
      <c r="H77" s="1532">
        <f t="shared" si="447"/>
        <v>0.29266876000000053</v>
      </c>
      <c r="I77" s="1532">
        <f t="shared" si="447"/>
        <v>16.761590869999999</v>
      </c>
      <c r="J77" s="1532">
        <f t="shared" si="447"/>
        <v>2.844020640000001</v>
      </c>
      <c r="K77" s="1532">
        <f t="shared" si="447"/>
        <v>2.850992779999999</v>
      </c>
      <c r="L77" s="1532">
        <f t="shared" si="447"/>
        <v>43.620217049999994</v>
      </c>
      <c r="M77" s="1532">
        <f t="shared" si="447"/>
        <v>18.788762440000003</v>
      </c>
      <c r="N77" s="1532">
        <f t="shared" si="447"/>
        <v>4.0030024599999985</v>
      </c>
      <c r="O77" s="1532">
        <f t="shared" si="447"/>
        <v>4.0381258999999998</v>
      </c>
      <c r="P77" s="1532">
        <f t="shared" si="447"/>
        <v>1.3304409799999999</v>
      </c>
      <c r="Q77" s="1532">
        <f t="shared" si="447"/>
        <v>49.797820540000004</v>
      </c>
      <c r="R77" s="1532">
        <f t="shared" si="447"/>
        <v>0.75465596999999973</v>
      </c>
      <c r="S77" s="1532">
        <f t="shared" si="447"/>
        <v>36.850361709999994</v>
      </c>
      <c r="T77" s="1532">
        <f t="shared" si="447"/>
        <v>18.809462570000001</v>
      </c>
      <c r="U77" s="1532">
        <f t="shared" si="447"/>
        <v>27.246188930000002</v>
      </c>
      <c r="V77" s="1532">
        <f t="shared" si="447"/>
        <v>13.244010660000001</v>
      </c>
      <c r="W77" s="1532">
        <f t="shared" si="447"/>
        <v>11.49119468</v>
      </c>
      <c r="X77" s="1532">
        <f t="shared" si="447"/>
        <v>53.626004349999995</v>
      </c>
      <c r="Y77" s="1532">
        <f t="shared" si="447"/>
        <v>20.139720820000012</v>
      </c>
      <c r="Z77" s="1532">
        <f t="shared" si="447"/>
        <v>5.7748406299999999</v>
      </c>
      <c r="AA77" s="1532">
        <f t="shared" si="447"/>
        <v>5.6822215699999958</v>
      </c>
      <c r="AB77" s="1532">
        <f t="shared" si="447"/>
        <v>870.85560901999997</v>
      </c>
      <c r="AC77" s="1532">
        <f t="shared" si="447"/>
        <v>57.182977749999999</v>
      </c>
      <c r="AD77" s="1532">
        <f t="shared" si="447"/>
        <v>46.045810430000003</v>
      </c>
      <c r="AE77" s="1532">
        <f t="shared" si="447"/>
        <v>51.466310180000001</v>
      </c>
      <c r="AF77" s="1532">
        <f t="shared" si="447"/>
        <v>10.696172879999999</v>
      </c>
      <c r="AG77" s="1532">
        <f t="shared" si="447"/>
        <v>15.12402254</v>
      </c>
      <c r="AH77" s="1532">
        <f t="shared" si="447"/>
        <v>4.2375541200000004</v>
      </c>
      <c r="AI77" s="1532">
        <f t="shared" si="447"/>
        <v>14.201904930000001</v>
      </c>
      <c r="AJ77" s="1532">
        <f t="shared" si="447"/>
        <v>5.2938577799999997</v>
      </c>
      <c r="AK77" s="1532">
        <f t="shared" si="447"/>
        <v>106.87113808000001</v>
      </c>
      <c r="AL77" s="1532">
        <f t="shared" ref="AL77:BL77" si="448">SUM(AL78:AL83)</f>
        <v>34.234093399999999</v>
      </c>
      <c r="AM77" s="1532">
        <f t="shared" si="448"/>
        <v>81.288565729999988</v>
      </c>
      <c r="AN77" s="1532">
        <f t="shared" si="448"/>
        <v>2262.0280587500001</v>
      </c>
      <c r="AO77" s="1532">
        <f t="shared" si="448"/>
        <v>60.71978244000001</v>
      </c>
      <c r="AP77" s="1532">
        <f t="shared" si="448"/>
        <v>47.022048499999983</v>
      </c>
      <c r="AQ77" s="1532">
        <f t="shared" si="448"/>
        <v>168.44177738000002</v>
      </c>
      <c r="AR77" s="1532">
        <f t="shared" si="448"/>
        <v>28.136522860000003</v>
      </c>
      <c r="AS77" s="1532">
        <f t="shared" si="448"/>
        <v>45.664231610000002</v>
      </c>
      <c r="AT77" s="1532">
        <f t="shared" si="448"/>
        <v>3366.6350324800001</v>
      </c>
      <c r="AU77" s="1532">
        <f t="shared" si="448"/>
        <v>180.86248143</v>
      </c>
      <c r="AV77" s="1532">
        <f t="shared" si="448"/>
        <v>47.172657219999998</v>
      </c>
      <c r="AW77" s="1532">
        <f t="shared" si="448"/>
        <v>24.462457209999997</v>
      </c>
      <c r="AX77" s="1532">
        <f t="shared" si="448"/>
        <v>6.3825940800000005</v>
      </c>
      <c r="AY77" s="1532">
        <f t="shared" si="448"/>
        <v>47.119995270000004</v>
      </c>
      <c r="AZ77" s="1532">
        <f t="shared" si="448"/>
        <v>1801.5886277</v>
      </c>
      <c r="BA77" s="1532">
        <f t="shared" si="448"/>
        <v>81.447395870000008</v>
      </c>
      <c r="BB77" s="1532">
        <f t="shared" si="448"/>
        <v>32.219665190000001</v>
      </c>
      <c r="BC77" s="1532">
        <f t="shared" si="448"/>
        <v>18.893252830000002</v>
      </c>
      <c r="BD77" s="1532">
        <f t="shared" si="448"/>
        <v>349.45115303</v>
      </c>
      <c r="BE77" s="1533">
        <f t="shared" si="448"/>
        <v>101.46521113</v>
      </c>
      <c r="BF77" s="1532">
        <f t="shared" si="448"/>
        <v>33.318387439999995</v>
      </c>
      <c r="BG77" s="1532">
        <f t="shared" si="448"/>
        <v>109.1413647</v>
      </c>
      <c r="BH77" s="1532">
        <f t="shared" si="448"/>
        <v>30.919275680000002</v>
      </c>
      <c r="BI77" s="1532">
        <f t="shared" si="448"/>
        <v>38.287481400000004</v>
      </c>
      <c r="BJ77" s="1532">
        <f t="shared" si="448"/>
        <v>446.13952749999999</v>
      </c>
      <c r="BK77" s="1532">
        <f t="shared" si="448"/>
        <v>140.82425549999999</v>
      </c>
      <c r="BL77" s="1532">
        <f t="shared" si="448"/>
        <v>66.159208860000007</v>
      </c>
      <c r="BM77" s="1534">
        <f t="shared" ref="BM77:DX77" si="449">+SUBTOTAL(9,BM78:BM83)</f>
        <v>8.00966019</v>
      </c>
      <c r="BN77" s="1534">
        <f t="shared" si="449"/>
        <v>4.0144015499999997</v>
      </c>
      <c r="BO77" s="1534">
        <v>9.1674794599999991</v>
      </c>
      <c r="BP77" s="1534">
        <f t="shared" si="449"/>
        <v>19.318470620000003</v>
      </c>
      <c r="BQ77" s="1534">
        <v>69.610647990000004</v>
      </c>
      <c r="BR77" s="1534">
        <f t="shared" si="449"/>
        <v>41.055233700000002</v>
      </c>
      <c r="BS77" s="1534">
        <f t="shared" si="449"/>
        <v>22.746062439999999</v>
      </c>
      <c r="BT77" s="1534">
        <f t="shared" si="449"/>
        <v>9.3222917699999996</v>
      </c>
      <c r="BU77" s="1534">
        <f t="shared" si="449"/>
        <v>8.66332974</v>
      </c>
      <c r="BV77" s="1534">
        <f t="shared" si="449"/>
        <v>17.546503550000001</v>
      </c>
      <c r="BW77" s="1534">
        <f t="shared" si="449"/>
        <v>8.4010181299999989</v>
      </c>
      <c r="BX77" s="1534">
        <f t="shared" si="449"/>
        <v>105.51788175000002</v>
      </c>
      <c r="BY77" s="1534">
        <f t="shared" si="449"/>
        <v>11.20382889</v>
      </c>
      <c r="BZ77" s="1534">
        <f t="shared" si="449"/>
        <v>59.218423989999998</v>
      </c>
      <c r="CA77" s="1534">
        <f t="shared" si="449"/>
        <v>39.623491270000002</v>
      </c>
      <c r="CB77" s="1534">
        <f t="shared" si="449"/>
        <v>80.682656940000001</v>
      </c>
      <c r="CC77" s="1534">
        <f t="shared" si="449"/>
        <v>27.468681259999997</v>
      </c>
      <c r="CD77" s="1534">
        <v>42.467716410000001</v>
      </c>
      <c r="CE77" s="1534">
        <f t="shared" si="449"/>
        <v>11.77351721</v>
      </c>
      <c r="CF77" s="1534">
        <f t="shared" si="449"/>
        <v>50.804467639999999</v>
      </c>
      <c r="CG77" s="1534">
        <f t="shared" si="449"/>
        <v>21.675422569999999</v>
      </c>
      <c r="CH77" s="1534">
        <f t="shared" si="449"/>
        <v>59.992800969999998</v>
      </c>
      <c r="CI77" s="1534">
        <f t="shared" si="449"/>
        <v>52.748789160000001</v>
      </c>
      <c r="CJ77" s="1534">
        <f t="shared" si="449"/>
        <v>181.00158694999999</v>
      </c>
      <c r="CK77" s="1534">
        <f t="shared" si="449"/>
        <v>0.77876433999999994</v>
      </c>
      <c r="CL77" s="1534">
        <f t="shared" si="449"/>
        <v>6.8045900600000007</v>
      </c>
      <c r="CM77" s="1534">
        <f t="shared" si="449"/>
        <v>53.688784200000001</v>
      </c>
      <c r="CN77" s="1534">
        <f t="shared" si="449"/>
        <v>79.866924529999991</v>
      </c>
      <c r="CO77" s="1534">
        <f t="shared" si="449"/>
        <v>147.06835525</v>
      </c>
      <c r="CP77" s="1534">
        <f t="shared" si="449"/>
        <v>48.901018469999997</v>
      </c>
      <c r="CQ77" s="1534">
        <f t="shared" si="449"/>
        <v>50.414737729999999</v>
      </c>
      <c r="CR77" s="1534">
        <f t="shared" si="449"/>
        <v>106.73669172999999</v>
      </c>
      <c r="CS77" s="1534">
        <f t="shared" si="449"/>
        <v>44.590800410000007</v>
      </c>
      <c r="CT77" s="1534">
        <f t="shared" si="449"/>
        <v>53.342474909999993</v>
      </c>
      <c r="CU77" s="1534">
        <f t="shared" si="449"/>
        <v>7.4457560100000002</v>
      </c>
      <c r="CV77" s="1534">
        <f t="shared" si="449"/>
        <v>59.646191959999996</v>
      </c>
      <c r="CW77" s="1534">
        <f t="shared" si="449"/>
        <v>22.056283639999997</v>
      </c>
      <c r="CX77" s="1535">
        <f t="shared" si="449"/>
        <v>17.606245379999997</v>
      </c>
      <c r="CY77" s="1534">
        <f t="shared" si="449"/>
        <v>440.59967475999997</v>
      </c>
      <c r="CZ77" s="1534">
        <f t="shared" si="449"/>
        <v>107.68538001999998</v>
      </c>
      <c r="DA77" s="1534">
        <f t="shared" si="449"/>
        <v>56.130835839999996</v>
      </c>
      <c r="DB77" s="1534">
        <f t="shared" si="449"/>
        <v>154.59219954</v>
      </c>
      <c r="DC77" s="1534">
        <f t="shared" si="449"/>
        <v>36.420138019999996</v>
      </c>
      <c r="DD77" s="1534">
        <f t="shared" si="449"/>
        <v>36.841732809999996</v>
      </c>
      <c r="DE77" s="1534">
        <f t="shared" si="449"/>
        <v>91.518744650000002</v>
      </c>
      <c r="DF77" s="1534">
        <f t="shared" si="449"/>
        <v>37.435212280000002</v>
      </c>
      <c r="DG77" s="1534">
        <f t="shared" si="449"/>
        <v>10.632488949999999</v>
      </c>
      <c r="DH77" s="1534">
        <f t="shared" si="449"/>
        <v>141.27804249999997</v>
      </c>
      <c r="DI77" s="1534">
        <f t="shared" si="449"/>
        <v>83.635899109999997</v>
      </c>
      <c r="DJ77" s="1534">
        <f t="shared" si="449"/>
        <v>120.24504947</v>
      </c>
      <c r="DK77" s="1534">
        <f t="shared" si="449"/>
        <v>74.20032544</v>
      </c>
      <c r="DL77" s="1534">
        <f t="shared" si="449"/>
        <v>94.034372539999993</v>
      </c>
      <c r="DM77" s="1534">
        <f t="shared" si="449"/>
        <v>128.52988671</v>
      </c>
      <c r="DN77" s="1534">
        <f t="shared" si="449"/>
        <v>70.87131918</v>
      </c>
      <c r="DO77" s="1534">
        <f t="shared" si="449"/>
        <v>112.33261095000002</v>
      </c>
      <c r="DP77" s="1534">
        <f t="shared" si="449"/>
        <v>68.490346810000005</v>
      </c>
      <c r="DQ77" s="1535">
        <f t="shared" si="449"/>
        <v>38.346614079999995</v>
      </c>
      <c r="DR77" s="1535">
        <f t="shared" si="449"/>
        <v>16.732701409999997</v>
      </c>
      <c r="DS77" s="1535">
        <f t="shared" si="449"/>
        <v>131.03143446999999</v>
      </c>
      <c r="DT77" s="1535">
        <f t="shared" si="449"/>
        <v>49.36475342</v>
      </c>
      <c r="DU77" s="1535">
        <f t="shared" si="449"/>
        <v>83.643685869999999</v>
      </c>
      <c r="DV77" s="1535">
        <f t="shared" si="449"/>
        <v>24.895455269999999</v>
      </c>
      <c r="DW77" s="1535">
        <f t="shared" si="449"/>
        <v>50.071428570000009</v>
      </c>
      <c r="DX77" s="1535">
        <f t="shared" si="449"/>
        <v>111.92428778</v>
      </c>
      <c r="DY77" s="1535">
        <f t="shared" ref="DY77:EF77" si="450">+SUBTOTAL(9,DY78:DY83)</f>
        <v>48.029868359999995</v>
      </c>
      <c r="DZ77" s="1535">
        <f t="shared" si="450"/>
        <v>71.471213219999996</v>
      </c>
      <c r="EA77" s="1535">
        <f t="shared" si="450"/>
        <v>123.78017360999999</v>
      </c>
      <c r="EB77" s="1535">
        <f t="shared" si="450"/>
        <v>157.80399989</v>
      </c>
      <c r="EC77" s="1535">
        <f t="shared" si="450"/>
        <v>176.02959319999999</v>
      </c>
      <c r="ED77" s="1535">
        <f t="shared" si="450"/>
        <v>301.74087652999998</v>
      </c>
      <c r="EE77" s="1535">
        <f t="shared" si="450"/>
        <v>125.38870958</v>
      </c>
      <c r="EF77" s="1535">
        <f t="shared" si="450"/>
        <v>198.45833986</v>
      </c>
      <c r="EG77" s="949"/>
      <c r="EH77" s="1534">
        <f t="shared" ref="EH77:ES77" si="451">SUM(EH78:EH83)</f>
        <v>22.05628364</v>
      </c>
      <c r="EI77" s="1534">
        <f t="shared" si="451"/>
        <v>17.606245380000001</v>
      </c>
      <c r="EJ77" s="1534">
        <f t="shared" si="451"/>
        <v>440.59967475999997</v>
      </c>
      <c r="EK77" s="1534">
        <f t="shared" si="451"/>
        <v>107.68538001999998</v>
      </c>
      <c r="EL77" s="1534">
        <f t="shared" si="451"/>
        <v>56.130835839999996</v>
      </c>
      <c r="EM77" s="1534">
        <f t="shared" si="451"/>
        <v>154.59219954</v>
      </c>
      <c r="EN77" s="1534">
        <f t="shared" si="451"/>
        <v>9.5218912100000015</v>
      </c>
      <c r="EO77" s="1534">
        <f t="shared" si="451"/>
        <v>9.5218912100000015</v>
      </c>
      <c r="EP77" s="1534">
        <f t="shared" si="451"/>
        <v>9.5218912100000015</v>
      </c>
      <c r="EQ77" s="1534">
        <f t="shared" si="451"/>
        <v>9.5218912100000015</v>
      </c>
      <c r="ER77" s="1534">
        <f t="shared" si="451"/>
        <v>9.5218912100000015</v>
      </c>
      <c r="ES77" s="1534">
        <f t="shared" si="451"/>
        <v>9.5218912100000015</v>
      </c>
      <c r="EU77" s="1534">
        <v>50</v>
      </c>
      <c r="EV77" s="1534">
        <v>150</v>
      </c>
      <c r="EW77" s="1534">
        <v>150</v>
      </c>
      <c r="EX77" s="1534">
        <v>50</v>
      </c>
      <c r="EY77" s="1534">
        <v>50</v>
      </c>
      <c r="EZ77" s="1534">
        <v>50</v>
      </c>
      <c r="FA77" s="1534">
        <v>50</v>
      </c>
      <c r="FB77" s="1534">
        <v>50</v>
      </c>
      <c r="FC77" s="1534">
        <v>50</v>
      </c>
      <c r="FD77" s="1534">
        <v>50</v>
      </c>
      <c r="FE77" s="1534">
        <v>50</v>
      </c>
      <c r="FF77" s="1534">
        <v>50</v>
      </c>
      <c r="FG77" s="1534">
        <f t="shared" ref="FG77:HB77" si="452">SUM(FG78:FG83)</f>
        <v>91.900846757450836</v>
      </c>
      <c r="FH77" s="1534">
        <f t="shared" si="452"/>
        <v>93.450734054458835</v>
      </c>
      <c r="FI77" s="1534">
        <f t="shared" si="452"/>
        <v>1343.5922019517955</v>
      </c>
      <c r="FJ77" s="1534">
        <f t="shared" si="452"/>
        <v>93.421300886847632</v>
      </c>
      <c r="FK77" s="1534">
        <f t="shared" si="452"/>
        <v>93.80771642149405</v>
      </c>
      <c r="FL77" s="1534">
        <f t="shared" si="452"/>
        <v>95.150108975087647</v>
      </c>
      <c r="FM77" s="1534">
        <f t="shared" si="452"/>
        <v>95.42633286492844</v>
      </c>
      <c r="FN77" s="1534">
        <f t="shared" si="452"/>
        <v>95.727954238101233</v>
      </c>
      <c r="FO77" s="1534">
        <f t="shared" si="452"/>
        <v>100.88802073436359</v>
      </c>
      <c r="FP77" s="1534">
        <f t="shared" si="452"/>
        <v>95.878232558747641</v>
      </c>
      <c r="FQ77" s="1534">
        <f t="shared" si="452"/>
        <v>95.331388620174039</v>
      </c>
      <c r="FR77" s="1534">
        <f t="shared" si="452"/>
        <v>93.909197142055632</v>
      </c>
      <c r="FS77" s="1534">
        <f t="shared" si="452"/>
        <v>22.297518439999983</v>
      </c>
      <c r="FT77" s="1534">
        <f t="shared" si="452"/>
        <v>22.297518439999983</v>
      </c>
      <c r="FU77" s="1534">
        <f t="shared" si="452"/>
        <v>22.297518439999983</v>
      </c>
      <c r="FV77" s="1534">
        <f t="shared" si="452"/>
        <v>22.297518439999983</v>
      </c>
      <c r="FW77" s="1534">
        <f t="shared" si="452"/>
        <v>22.297518439999983</v>
      </c>
      <c r="FX77" s="1534">
        <f t="shared" si="452"/>
        <v>22.297518439999983</v>
      </c>
      <c r="FY77" s="1534">
        <f t="shared" si="452"/>
        <v>22.297518439999983</v>
      </c>
      <c r="FZ77" s="1534">
        <f t="shared" si="452"/>
        <v>22.297518439999983</v>
      </c>
      <c r="GA77" s="1534">
        <f t="shared" si="452"/>
        <v>22.297518439999983</v>
      </c>
      <c r="GB77" s="1534">
        <f t="shared" si="452"/>
        <v>22.297518439999983</v>
      </c>
      <c r="GC77" s="1534">
        <f t="shared" si="452"/>
        <v>22.297518439999983</v>
      </c>
      <c r="GD77" s="1534">
        <f t="shared" si="452"/>
        <v>22.297518439999983</v>
      </c>
      <c r="GE77" s="1534">
        <f t="shared" si="452"/>
        <v>1.44022896</v>
      </c>
      <c r="GF77" s="1534">
        <f t="shared" si="452"/>
        <v>1.44022896</v>
      </c>
      <c r="GG77" s="1534">
        <f t="shared" si="452"/>
        <v>1.44022896</v>
      </c>
      <c r="GH77" s="1534">
        <f t="shared" si="452"/>
        <v>1.44022896</v>
      </c>
      <c r="GI77" s="1534">
        <f t="shared" si="452"/>
        <v>1.44022896</v>
      </c>
      <c r="GJ77" s="1534">
        <f t="shared" si="452"/>
        <v>1.44022896</v>
      </c>
      <c r="GK77" s="1534">
        <f t="shared" si="452"/>
        <v>1.44022896</v>
      </c>
      <c r="GL77" s="1534">
        <f t="shared" si="452"/>
        <v>1.44022896</v>
      </c>
      <c r="GM77" s="1534">
        <f t="shared" si="452"/>
        <v>1.44022896</v>
      </c>
      <c r="GN77" s="1534">
        <f t="shared" si="452"/>
        <v>1.44022896</v>
      </c>
      <c r="GO77" s="1534">
        <f t="shared" si="452"/>
        <v>1.44022896</v>
      </c>
      <c r="GP77" s="1534">
        <f t="shared" si="452"/>
        <v>1.44022896</v>
      </c>
      <c r="GQ77" s="1534">
        <f t="shared" si="452"/>
        <v>1.44022896</v>
      </c>
      <c r="GR77" s="1534">
        <f t="shared" si="452"/>
        <v>1.44022896</v>
      </c>
      <c r="GS77" s="1534">
        <f t="shared" si="452"/>
        <v>1.44022896</v>
      </c>
      <c r="GT77" s="1534">
        <f t="shared" si="452"/>
        <v>1.44022896</v>
      </c>
      <c r="GU77" s="1534">
        <f t="shared" si="452"/>
        <v>1.44022896</v>
      </c>
      <c r="GV77" s="1534">
        <f t="shared" si="452"/>
        <v>1.44022896</v>
      </c>
      <c r="GW77" s="1534">
        <f t="shared" si="452"/>
        <v>1.44022896</v>
      </c>
      <c r="GX77" s="1534">
        <f t="shared" si="452"/>
        <v>1.44022896</v>
      </c>
      <c r="GY77" s="1534">
        <f t="shared" si="452"/>
        <v>1.44022896</v>
      </c>
      <c r="GZ77" s="1534">
        <f t="shared" si="452"/>
        <v>1.44022896</v>
      </c>
      <c r="HA77" s="1534">
        <f t="shared" si="452"/>
        <v>1.44022896</v>
      </c>
      <c r="HB77" s="1534">
        <f t="shared" si="452"/>
        <v>1.44022896</v>
      </c>
      <c r="HD77" s="1534">
        <f t="shared" ref="HD77:HG80" si="453">+SUMIF($E$6:$AZ$6,HD$7,$E77:$AZ77)</f>
        <v>103.99439727000001</v>
      </c>
      <c r="HE77" s="1534">
        <f t="shared" si="453"/>
        <v>1114.2720914500001</v>
      </c>
      <c r="HF77" s="1534">
        <f t="shared" si="453"/>
        <v>2688.6704665699999</v>
      </c>
      <c r="HG77" s="1534">
        <f t="shared" si="453"/>
        <v>5824.2082081799999</v>
      </c>
      <c r="HH77" s="1534">
        <f>+SUMIF($E$6:$BL$6,HH$7,$E77:$BL77)</f>
        <v>1448.26617913</v>
      </c>
      <c r="HI77" s="1534">
        <f>+SUMIF($E$6:$BX$6,HI$7,$E77:$BX77)</f>
        <v>323.37298089000001</v>
      </c>
      <c r="HJ77" s="1534">
        <f>+SUMIF($E$6:$CJ$6,HJ$7,$E77:$CJ77)</f>
        <v>638.66138326000009</v>
      </c>
      <c r="HK77" s="1534">
        <f>+SUMIF($E$6:$CV$6,HK$7,$E77:$CV77)</f>
        <v>659.28508959999999</v>
      </c>
      <c r="HL77" s="1535">
        <f>+SUMIF($E$6:SEW$6,HL$7,$E77:SEW77)</f>
        <v>1152.79697839</v>
      </c>
      <c r="HM77" s="1535">
        <f>+SUMIF($E$6:SEX$6,HM$7,$E77:SEX77)</f>
        <v>987.81531358999996</v>
      </c>
      <c r="HN77" s="1535">
        <f>+SUMIF($E$6:SEY$6,HN$7,$E77:SEY77)</f>
        <v>1473.2376317400001</v>
      </c>
      <c r="HO77" s="1534"/>
      <c r="HP77" s="1534"/>
      <c r="HR77" s="1536">
        <f t="shared" ref="HR77:HZ78" si="454">+IFERROR(HF77/HE77-1,"")</f>
        <v>1.4129388927539579</v>
      </c>
      <c r="HS77" s="1536">
        <f t="shared" si="454"/>
        <v>1.1662038098741343</v>
      </c>
      <c r="HT77" s="1536">
        <f t="shared" si="454"/>
        <v>-0.75133681225613891</v>
      </c>
      <c r="HU77" s="1536">
        <f t="shared" si="454"/>
        <v>-0.77671716321908724</v>
      </c>
      <c r="HV77" s="1536">
        <f t="shared" si="454"/>
        <v>0.97499921453626337</v>
      </c>
      <c r="HW77" s="1536">
        <f t="shared" si="454"/>
        <v>3.2292082910552189E-2</v>
      </c>
      <c r="HX77" s="1536">
        <f t="shared" si="454"/>
        <v>0.74855612022019558</v>
      </c>
      <c r="HY77" s="1536">
        <f t="shared" si="454"/>
        <v>-0.1431142411827051</v>
      </c>
      <c r="HZ77" s="1536">
        <f t="shared" si="454"/>
        <v>0.49140999483581438</v>
      </c>
      <c r="IA77" s="1536">
        <f t="shared" si="419"/>
        <v>-1</v>
      </c>
      <c r="IB77" s="1536" t="str">
        <f>+IFERROR(HP77/HO77-1,"")</f>
        <v/>
      </c>
      <c r="IC77" s="1536">
        <f t="shared" si="420"/>
        <v>-1</v>
      </c>
      <c r="IE77" s="1534">
        <f t="shared" ref="IE77:IH78" si="455">+HF77-HE77</f>
        <v>1574.3983751199999</v>
      </c>
      <c r="IF77" s="1534">
        <f t="shared" si="455"/>
        <v>3135.53774161</v>
      </c>
      <c r="IG77" s="1534">
        <f t="shared" si="455"/>
        <v>-4375.9420290500002</v>
      </c>
      <c r="IH77" s="1534">
        <f t="shared" si="455"/>
        <v>-1124.8931982399999</v>
      </c>
      <c r="II77" s="1534">
        <f t="shared" si="322"/>
        <v>315.28840237000009</v>
      </c>
      <c r="IJ77" s="1534">
        <f t="shared" si="323"/>
        <v>20.623706339999899</v>
      </c>
      <c r="IK77" s="1534">
        <f t="shared" si="324"/>
        <v>493.51188879000006</v>
      </c>
      <c r="IL77" s="1534">
        <f t="shared" si="307"/>
        <v>-1152.79697839</v>
      </c>
      <c r="IM77" s="1534">
        <f>+HP77-HO77</f>
        <v>0</v>
      </c>
      <c r="IN77" s="1534">
        <f t="shared" si="308"/>
        <v>-1152.79697839</v>
      </c>
      <c r="IP77" s="1537">
        <f t="shared" ref="IP77:IW78" si="456">+HE77/HE$11</f>
        <v>3.0315973287773176E-2</v>
      </c>
      <c r="IQ77" s="1537">
        <f t="shared" si="456"/>
        <v>6.826985595034582E-2</v>
      </c>
      <c r="IR77" s="1537">
        <f t="shared" si="456"/>
        <v>0.3455932544327755</v>
      </c>
      <c r="IS77" s="1537">
        <f t="shared" si="456"/>
        <v>0.23541285278394891</v>
      </c>
      <c r="IT77" s="1537">
        <f t="shared" si="456"/>
        <v>2.3727153228538866E-2</v>
      </c>
      <c r="IU77" s="1537">
        <f t="shared" si="456"/>
        <v>4.5133377315295105E-2</v>
      </c>
      <c r="IV77" s="1537">
        <f t="shared" si="456"/>
        <v>3.1055357785866745E-2</v>
      </c>
      <c r="IW77" s="1537">
        <f t="shared" si="456"/>
        <v>9.1347644981438297E-2</v>
      </c>
      <c r="IX77" s="1537" t="e">
        <f>+HO77/HO$11</f>
        <v>#DIV/0!</v>
      </c>
      <c r="IY77" s="1537" t="e">
        <f>+HP77/HP$11</f>
        <v>#DIV/0!</v>
      </c>
      <c r="JA77" s="1534">
        <f t="shared" ref="JA77:JK90" si="457">+IFERROR(SUMIFS($E77:$EG77,$E$6:$EG$6,JA$7,$E$5:$EG$5,"&lt;="&amp;$JC$5),"NA")</f>
        <v>103.99439727000001</v>
      </c>
      <c r="JB77" s="1534">
        <f t="shared" si="457"/>
        <v>1114.2720914500001</v>
      </c>
      <c r="JC77" s="1534">
        <f t="shared" si="457"/>
        <v>2688.6704665699999</v>
      </c>
      <c r="JD77" s="1534">
        <f t="shared" si="457"/>
        <v>5824.2082081799999</v>
      </c>
      <c r="JE77" s="1534">
        <f t="shared" si="457"/>
        <v>1448.26617913</v>
      </c>
      <c r="JF77" s="1534">
        <f t="shared" si="457"/>
        <v>323.37298089000001</v>
      </c>
      <c r="JG77" s="1534">
        <f t="shared" si="457"/>
        <v>638.66138326000009</v>
      </c>
      <c r="JH77" s="1534">
        <f t="shared" si="457"/>
        <v>659.28508959999999</v>
      </c>
      <c r="JI77" s="1534">
        <f t="shared" si="457"/>
        <v>1152.79697839</v>
      </c>
      <c r="JJ77" s="1534">
        <f t="shared" si="457"/>
        <v>987.81531358999996</v>
      </c>
      <c r="JK77" s="1534">
        <f t="shared" si="457"/>
        <v>1473.2376317400001</v>
      </c>
      <c r="JL77" s="1534">
        <f t="shared" ref="JL77:JL90" si="458">+SUMIF($DU$5:$EF$5,"&lt;="&amp;$JC$5,$DU77:$EF77)</f>
        <v>1473.2376317400001</v>
      </c>
      <c r="JM77" s="1534"/>
      <c r="JN77" s="1534"/>
      <c r="JP77" s="1534">
        <f>+JL77</f>
        <v>1473.2376317400001</v>
      </c>
      <c r="JQ77" s="1534">
        <f>+JM77</f>
        <v>0</v>
      </c>
      <c r="JR77" s="939"/>
      <c r="JS77" s="1536" t="str">
        <f>+IFERROR(JP77/JQ77,"")</f>
        <v/>
      </c>
      <c r="JT77" s="1538">
        <f>+IFERROR(JP77-JQ77,"NA")</f>
        <v>1473.2376317400001</v>
      </c>
      <c r="JV77" s="1537">
        <f>+JP77/JP$11</f>
        <v>4.8796316630769415E-2</v>
      </c>
      <c r="JW77" s="1536" t="str">
        <f>+IFERROR(JQ77/JQ$11,"")</f>
        <v/>
      </c>
      <c r="JY77" s="1537">
        <f t="shared" ref="JY77:KE77" si="459">+IFERROR(JC77/JB77-1,"NA")</f>
        <v>1.4129388927539579</v>
      </c>
      <c r="JZ77" s="1537">
        <f t="shared" si="459"/>
        <v>1.1662038098741343</v>
      </c>
      <c r="KA77" s="1537">
        <f t="shared" si="459"/>
        <v>-0.75133681225613891</v>
      </c>
      <c r="KB77" s="1537">
        <f t="shared" si="459"/>
        <v>-0.77671716321908724</v>
      </c>
      <c r="KC77" s="1537">
        <f t="shared" si="459"/>
        <v>0.97499921453626337</v>
      </c>
      <c r="KD77" s="1537">
        <f t="shared" si="459"/>
        <v>3.2292082910552189E-2</v>
      </c>
      <c r="KE77" s="1537">
        <f t="shared" si="459"/>
        <v>0.74855612022019558</v>
      </c>
      <c r="KF77" s="1537">
        <f>+IFERROR(JN77/JI77-1,"NA")</f>
        <v>-1</v>
      </c>
      <c r="KH77" s="1534">
        <f t="shared" ref="KH77:KN78" si="460">+JC77-JB77</f>
        <v>1574.3983751199999</v>
      </c>
      <c r="KI77" s="1534">
        <f t="shared" si="460"/>
        <v>3135.53774161</v>
      </c>
      <c r="KJ77" s="1534">
        <f t="shared" si="460"/>
        <v>-4375.9420290500002</v>
      </c>
      <c r="KK77" s="1534">
        <f t="shared" si="460"/>
        <v>-1124.8931982399999</v>
      </c>
      <c r="KL77" s="1534">
        <f t="shared" si="460"/>
        <v>315.28840237000009</v>
      </c>
      <c r="KM77" s="1534">
        <f t="shared" si="460"/>
        <v>20.623706339999899</v>
      </c>
      <c r="KN77" s="1534">
        <f t="shared" si="460"/>
        <v>493.51188879000006</v>
      </c>
      <c r="KO77" s="1534">
        <f>+JN77-JI77</f>
        <v>-1152.79697839</v>
      </c>
      <c r="KQ77" s="1537">
        <f t="shared" ref="KQ77:KY78" si="461">+JA77/JA$11</f>
        <v>2.8663307253101668E-3</v>
      </c>
      <c r="KR77" s="1537">
        <f t="shared" si="461"/>
        <v>3.0315973287773176E-2</v>
      </c>
      <c r="KS77" s="1537">
        <f t="shared" si="461"/>
        <v>6.826985595034582E-2</v>
      </c>
      <c r="KT77" s="1537">
        <f t="shared" si="461"/>
        <v>0.3455932544327755</v>
      </c>
      <c r="KU77" s="1537">
        <f t="shared" si="461"/>
        <v>0.23541285278394891</v>
      </c>
      <c r="KV77" s="1537">
        <f t="shared" si="461"/>
        <v>2.3727153228538866E-2</v>
      </c>
      <c r="KW77" s="1537">
        <f t="shared" si="461"/>
        <v>4.5133377315295105E-2</v>
      </c>
      <c r="KX77" s="1537">
        <f t="shared" si="461"/>
        <v>3.1055357785866745E-2</v>
      </c>
      <c r="KY77" s="1537">
        <f t="shared" si="461"/>
        <v>9.1347644981438297E-2</v>
      </c>
      <c r="KZ77" s="1537" t="e">
        <f>+JN77/JN$11</f>
        <v>#DIV/0!</v>
      </c>
      <c r="LB77" s="1534">
        <f t="shared" ref="LB77:LM90" si="462">+SUMIFS($E77:$EG77,$E$6:$EG$6,LB$7,$E$5:$EG$5,$LD$5)</f>
        <v>1.3304409799999999</v>
      </c>
      <c r="LC77" s="1534">
        <f t="shared" si="462"/>
        <v>870.85560901999997</v>
      </c>
      <c r="LD77" s="1534">
        <f t="shared" si="462"/>
        <v>2262.0280587500001</v>
      </c>
      <c r="LE77" s="1534">
        <f t="shared" si="462"/>
        <v>1801.5886277</v>
      </c>
      <c r="LF77" s="1534">
        <f t="shared" si="462"/>
        <v>66.159208860000007</v>
      </c>
      <c r="LG77" s="1534">
        <f t="shared" si="462"/>
        <v>105.51788175000002</v>
      </c>
      <c r="LH77" s="1534">
        <f t="shared" si="462"/>
        <v>181.00158694999999</v>
      </c>
      <c r="LI77" s="1534">
        <f t="shared" si="462"/>
        <v>59.646191959999996</v>
      </c>
      <c r="LJ77" s="1534">
        <f t="shared" si="462"/>
        <v>141.27804249999997</v>
      </c>
      <c r="LK77" s="1534">
        <f t="shared" si="462"/>
        <v>49.36475342</v>
      </c>
      <c r="LL77" s="1534">
        <f t="shared" si="462"/>
        <v>198.45833986</v>
      </c>
      <c r="LM77" s="1534">
        <f t="shared" si="462"/>
        <v>198.45833986</v>
      </c>
      <c r="LN77" s="1534"/>
      <c r="LO77" s="1534"/>
      <c r="LR77" s="1537">
        <f t="shared" ref="LR77:LW78" si="463">+IFERROR(LD77/LC77-1," ")</f>
        <v>1.5974777395021067</v>
      </c>
      <c r="LS77" s="1537">
        <f t="shared" si="463"/>
        <v>-0.20355160019740848</v>
      </c>
      <c r="LT77" s="1537">
        <f t="shared" si="463"/>
        <v>-0.96327729435966625</v>
      </c>
      <c r="LU77" s="1537">
        <f t="shared" si="463"/>
        <v>0.59490845746488885</v>
      </c>
      <c r="LV77" s="1537">
        <f t="shared" si="463"/>
        <v>0.71536410652026716</v>
      </c>
      <c r="LW77" s="1537">
        <f t="shared" si="463"/>
        <v>-0.67046591709454617</v>
      </c>
      <c r="LX77" s="1537">
        <f>+IFERROR(LO77/LI77-1," ")</f>
        <v>-1</v>
      </c>
      <c r="LZ77" s="1534">
        <f t="shared" ref="LZ77:ME78" si="464">+LD77-LC77</f>
        <v>1391.1724497300002</v>
      </c>
      <c r="MA77" s="1534">
        <f t="shared" si="464"/>
        <v>-460.43943105000017</v>
      </c>
      <c r="MB77" s="1534">
        <f t="shared" si="464"/>
        <v>-1735.4294188399999</v>
      </c>
      <c r="MC77" s="1534">
        <f t="shared" si="464"/>
        <v>39.358672890000008</v>
      </c>
      <c r="MD77" s="1534">
        <f t="shared" si="464"/>
        <v>75.483705199999974</v>
      </c>
      <c r="ME77" s="1534">
        <f t="shared" si="464"/>
        <v>-121.35539498999999</v>
      </c>
      <c r="MF77" s="1534">
        <f>+LO77-LI77</f>
        <v>-59.646191959999996</v>
      </c>
      <c r="MH77" s="1537">
        <f t="shared" ref="MH77:MO78" si="465">+LB77/LB$11</f>
        <v>4.4357728604470215E-4</v>
      </c>
      <c r="MI77" s="1537">
        <f t="shared" si="465"/>
        <v>0.15794499061869774</v>
      </c>
      <c r="MJ77" s="1537">
        <f t="shared" si="465"/>
        <v>0.44127252430260783</v>
      </c>
      <c r="MK77" s="1537">
        <f t="shared" si="465"/>
        <v>3.0993912505228915</v>
      </c>
      <c r="ML77" s="1537">
        <f t="shared" si="465"/>
        <v>4.3917022673384536E-2</v>
      </c>
      <c r="MM77" s="1537">
        <f t="shared" si="465"/>
        <v>0.10257565260512112</v>
      </c>
      <c r="MN77" s="1537">
        <f t="shared" si="465"/>
        <v>0.11639878711666661</v>
      </c>
      <c r="MO77" s="1537">
        <f t="shared" si="465"/>
        <v>3.169305261665735E-2</v>
      </c>
      <c r="MP77" s="1537" t="e">
        <f>+LO77/LO$11</f>
        <v>#DIV/0!</v>
      </c>
    </row>
    <row r="78" spans="1:354" outlineLevel="1">
      <c r="A78" s="884">
        <v>4210</v>
      </c>
      <c r="B78" s="70" t="s">
        <v>659</v>
      </c>
      <c r="C78" s="47" t="s">
        <v>97</v>
      </c>
      <c r="D78" s="923" t="s">
        <v>59</v>
      </c>
      <c r="E78" s="924">
        <v>0.21617525000000001</v>
      </c>
      <c r="F78" s="924">
        <v>5.7139950000000023E-2</v>
      </c>
      <c r="G78" s="924">
        <v>3.5136120100000001</v>
      </c>
      <c r="H78" s="924">
        <v>0.2921282000000005</v>
      </c>
      <c r="I78" s="924">
        <v>10.465397199999998</v>
      </c>
      <c r="J78" s="924">
        <v>2.8401576600000009</v>
      </c>
      <c r="K78" s="924">
        <v>0.18355683000000056</v>
      </c>
      <c r="L78" s="924">
        <v>9.5109219799999991</v>
      </c>
      <c r="M78" s="924">
        <v>1.760102400000001</v>
      </c>
      <c r="N78" s="924">
        <v>4.0015560999999984</v>
      </c>
      <c r="O78" s="924">
        <v>4.0344713900000002</v>
      </c>
      <c r="P78" s="924">
        <v>1.3245375199999998</v>
      </c>
      <c r="Q78" s="924">
        <v>1.45689884</v>
      </c>
      <c r="R78" s="924">
        <v>0.75375239999999977</v>
      </c>
      <c r="S78" s="924">
        <v>15.330882150000001</v>
      </c>
      <c r="T78" s="924">
        <v>8.9854248599999984</v>
      </c>
      <c r="U78" s="924">
        <v>19.063411290000005</v>
      </c>
      <c r="V78" s="924">
        <v>10.391298769999999</v>
      </c>
      <c r="W78" s="924">
        <v>2.9221339799999981</v>
      </c>
      <c r="X78" s="924">
        <v>1.8173424699999927</v>
      </c>
      <c r="Y78" s="924">
        <v>18.078813780000011</v>
      </c>
      <c r="Z78" s="924">
        <v>0.57847187999999505</v>
      </c>
      <c r="AA78" s="924">
        <v>3.2372866399999936</v>
      </c>
      <c r="AB78" s="924">
        <v>17.945471599999991</v>
      </c>
      <c r="AC78" s="924">
        <v>38.844884329999999</v>
      </c>
      <c r="AD78" s="924">
        <v>34.629919100000002</v>
      </c>
      <c r="AE78" s="924">
        <v>7.9924534299999994</v>
      </c>
      <c r="AF78" s="924">
        <v>2.5150332799999999</v>
      </c>
      <c r="AG78" s="924">
        <v>-1.5156567599999999</v>
      </c>
      <c r="AH78" s="924">
        <v>4.19651087</v>
      </c>
      <c r="AI78" s="924">
        <v>2.4748465199999998</v>
      </c>
      <c r="AJ78" s="924">
        <v>3.8856688999999998</v>
      </c>
      <c r="AK78" s="924">
        <v>53.089294260000003</v>
      </c>
      <c r="AL78" s="924">
        <v>25.844637150000001</v>
      </c>
      <c r="AM78" s="924">
        <v>66.684560699999992</v>
      </c>
      <c r="AN78" s="102">
        <v>9.0544061599999139</v>
      </c>
      <c r="AO78" s="960">
        <v>47.507961380000012</v>
      </c>
      <c r="AP78" s="961">
        <v>45.264006699999982</v>
      </c>
      <c r="AQ78" s="962">
        <v>67.177859940000005</v>
      </c>
      <c r="AR78" s="962">
        <v>22.929552600000005</v>
      </c>
      <c r="AS78" s="960">
        <v>33.89906397</v>
      </c>
      <c r="AT78" s="960">
        <v>16.634481210000001</v>
      </c>
      <c r="AU78" s="960">
        <v>60.729207610000003</v>
      </c>
      <c r="AV78" s="960">
        <v>38.555109459999997</v>
      </c>
      <c r="AW78" s="960">
        <v>21.695015699999999</v>
      </c>
      <c r="AX78" s="960">
        <v>4.8886371100000003</v>
      </c>
      <c r="AY78" s="960">
        <v>45.258469720000001</v>
      </c>
      <c r="AZ78" s="960">
        <f>213.91889044+1</f>
        <v>214.91889044000001</v>
      </c>
      <c r="BA78" s="102">
        <v>81.250755120000008</v>
      </c>
      <c r="BB78" s="102">
        <v>17.085883980000002</v>
      </c>
      <c r="BC78" s="102">
        <v>10.194731630000001</v>
      </c>
      <c r="BD78" s="102">
        <v>41.952031259999998</v>
      </c>
      <c r="BE78" s="924">
        <v>96.516526650000003</v>
      </c>
      <c r="BF78" s="924">
        <v>24.641454579999998</v>
      </c>
      <c r="BG78" s="924">
        <f>107.09019493</f>
        <v>107.09019493</v>
      </c>
      <c r="BH78" s="924">
        <v>30.060597010000002</v>
      </c>
      <c r="BI78" s="924">
        <v>18.28409942</v>
      </c>
      <c r="BJ78" s="924">
        <f>446.13887201</f>
        <v>446.13887201</v>
      </c>
      <c r="BK78" s="924">
        <v>95.18093691</v>
      </c>
      <c r="BL78" s="924">
        <v>65.906130000000005</v>
      </c>
      <c r="BM78" s="102">
        <f t="shared" ref="BM78:DT78" si="466">+SUBTOTAL(9,BM79:BM80)</f>
        <v>7.8427657200000001</v>
      </c>
      <c r="BN78" s="102">
        <f t="shared" si="466"/>
        <v>4.01423693</v>
      </c>
      <c r="BO78" s="102">
        <f t="shared" si="466"/>
        <v>7.6809319699999996</v>
      </c>
      <c r="BP78" s="102">
        <f t="shared" si="466"/>
        <v>19.318318090000002</v>
      </c>
      <c r="BQ78" s="924">
        <f t="shared" si="466"/>
        <v>69.608317449999987</v>
      </c>
      <c r="BR78" s="924">
        <f t="shared" si="466"/>
        <v>41.054653090000002</v>
      </c>
      <c r="BS78" s="924">
        <f t="shared" si="466"/>
        <v>22.74380171</v>
      </c>
      <c r="BT78" s="924">
        <f t="shared" si="466"/>
        <v>9.3219504499999992</v>
      </c>
      <c r="BU78" s="924">
        <f t="shared" si="466"/>
        <v>8.6615327900000008</v>
      </c>
      <c r="BV78" s="924">
        <f t="shared" si="466"/>
        <v>17.545622529999999</v>
      </c>
      <c r="BW78" s="924">
        <f t="shared" si="466"/>
        <v>8.3487375399999983</v>
      </c>
      <c r="BX78" s="924">
        <f t="shared" si="466"/>
        <v>105.44793851000001</v>
      </c>
      <c r="BY78" s="924">
        <f t="shared" si="466"/>
        <v>11.20113634</v>
      </c>
      <c r="BZ78" s="924">
        <f t="shared" si="466"/>
        <v>59.21762038</v>
      </c>
      <c r="CA78" s="924">
        <f t="shared" si="466"/>
        <v>39.622279630000001</v>
      </c>
      <c r="CB78" s="924">
        <f t="shared" si="466"/>
        <v>71.340445830000007</v>
      </c>
      <c r="CC78" s="924">
        <f t="shared" si="466"/>
        <v>27.464923459999998</v>
      </c>
      <c r="CD78" s="924">
        <f t="shared" si="466"/>
        <v>42.206760249999995</v>
      </c>
      <c r="CE78" s="924">
        <f t="shared" si="466"/>
        <v>11.00005166</v>
      </c>
      <c r="CF78" s="924">
        <f t="shared" si="466"/>
        <v>50.804076459999997</v>
      </c>
      <c r="CG78" s="924">
        <f t="shared" si="466"/>
        <v>21.656185519999998</v>
      </c>
      <c r="CH78" s="924">
        <f t="shared" si="466"/>
        <v>59.418280729999999</v>
      </c>
      <c r="CI78" s="924">
        <f t="shared" si="466"/>
        <v>52.747209560000002</v>
      </c>
      <c r="CJ78" s="924">
        <f t="shared" si="466"/>
        <v>86.173182980000007</v>
      </c>
      <c r="CK78" s="924">
        <f t="shared" si="466"/>
        <v>0.77770193999999992</v>
      </c>
      <c r="CL78" s="924">
        <f t="shared" si="466"/>
        <v>6.8021617500000007</v>
      </c>
      <c r="CM78" s="924">
        <f t="shared" si="466"/>
        <v>53.688085780000002</v>
      </c>
      <c r="CN78" s="924">
        <f t="shared" si="466"/>
        <v>79.866384099999991</v>
      </c>
      <c r="CO78" s="924">
        <f t="shared" si="466"/>
        <v>144.13232356</v>
      </c>
      <c r="CP78" s="924">
        <f t="shared" si="466"/>
        <v>48.900156609999996</v>
      </c>
      <c r="CQ78" s="924">
        <f t="shared" si="466"/>
        <v>49.997363010000001</v>
      </c>
      <c r="CR78" s="924">
        <f t="shared" si="466"/>
        <v>106.73626481999999</v>
      </c>
      <c r="CS78" s="924">
        <f t="shared" si="466"/>
        <v>44.586173790000004</v>
      </c>
      <c r="CT78" s="924">
        <f t="shared" si="466"/>
        <v>53.225788879999996</v>
      </c>
      <c r="CU78" s="924">
        <f t="shared" si="466"/>
        <v>2.8125513299999998</v>
      </c>
      <c r="CV78" s="924">
        <f t="shared" si="466"/>
        <v>59.640770899999993</v>
      </c>
      <c r="CW78" s="924">
        <f t="shared" si="466"/>
        <v>22.055013999999996</v>
      </c>
      <c r="CX78" s="924">
        <f t="shared" si="466"/>
        <v>17.599586979999998</v>
      </c>
      <c r="CY78" s="924">
        <f t="shared" si="466"/>
        <v>440.59867654999999</v>
      </c>
      <c r="CZ78" s="924">
        <f t="shared" si="466"/>
        <v>107.67727131999999</v>
      </c>
      <c r="DA78" s="924">
        <f t="shared" si="466"/>
        <v>56.129836019999999</v>
      </c>
      <c r="DB78" s="924">
        <f t="shared" si="466"/>
        <v>132.51597569</v>
      </c>
      <c r="DC78" s="924">
        <f t="shared" si="466"/>
        <v>18.069018539999998</v>
      </c>
      <c r="DD78" s="924">
        <f t="shared" si="466"/>
        <v>12.264165770000002</v>
      </c>
      <c r="DE78" s="924">
        <f t="shared" si="466"/>
        <v>67.297151240000005</v>
      </c>
      <c r="DF78" s="924">
        <f t="shared" si="466"/>
        <v>37.433284520000001</v>
      </c>
      <c r="DG78" s="924">
        <f t="shared" si="466"/>
        <v>10.631450109999999</v>
      </c>
      <c r="DH78" s="924">
        <f t="shared" si="466"/>
        <v>14.55160856</v>
      </c>
      <c r="DI78" s="924">
        <f t="shared" si="466"/>
        <v>59.635894350000001</v>
      </c>
      <c r="DJ78" s="924">
        <f t="shared" si="466"/>
        <v>90.267108820000004</v>
      </c>
      <c r="DK78" s="924">
        <f t="shared" si="466"/>
        <v>43.791066669999999</v>
      </c>
      <c r="DL78" s="924">
        <f t="shared" si="466"/>
        <v>61.374205539999998</v>
      </c>
      <c r="DM78" s="924">
        <f t="shared" si="466"/>
        <v>124.30889375000001</v>
      </c>
      <c r="DN78" s="924">
        <f t="shared" si="466"/>
        <v>95.869419230000005</v>
      </c>
      <c r="DO78" s="924">
        <f t="shared" si="466"/>
        <v>112.33037000000002</v>
      </c>
      <c r="DP78" s="924">
        <f t="shared" si="466"/>
        <v>68.490338460000004</v>
      </c>
      <c r="DQ78" s="960">
        <f t="shared" si="466"/>
        <v>34.890553509999997</v>
      </c>
      <c r="DR78" s="960">
        <f t="shared" si="466"/>
        <v>16.503790859999999</v>
      </c>
      <c r="DS78" s="960">
        <f t="shared" si="466"/>
        <v>126.6006835</v>
      </c>
      <c r="DT78" s="960">
        <f t="shared" si="466"/>
        <v>71.809445839999995</v>
      </c>
      <c r="DU78" s="960">
        <f t="shared" ref="DU78:EF78" si="467">+SUBTOTAL(9,DU79:DU81)</f>
        <v>83.388414580000003</v>
      </c>
      <c r="DV78" s="960">
        <f t="shared" si="467"/>
        <v>24.664941859999999</v>
      </c>
      <c r="DW78" s="960">
        <f t="shared" si="467"/>
        <v>49.761648680000008</v>
      </c>
      <c r="DX78" s="960">
        <f t="shared" si="467"/>
        <v>111.64760568</v>
      </c>
      <c r="DY78" s="960">
        <f t="shared" si="467"/>
        <v>47.748453159999997</v>
      </c>
      <c r="DZ78" s="960">
        <f t="shared" si="467"/>
        <v>71.179430879999998</v>
      </c>
      <c r="EA78" s="960">
        <f t="shared" si="467"/>
        <v>112.88414132</v>
      </c>
      <c r="EB78" s="960">
        <f t="shared" si="467"/>
        <v>145.35106819999999</v>
      </c>
      <c r="EC78" s="960">
        <f t="shared" si="467"/>
        <v>179.18313813</v>
      </c>
      <c r="ED78" s="960">
        <f t="shared" si="467"/>
        <v>295.45958724999997</v>
      </c>
      <c r="EE78" s="960">
        <f t="shared" si="467"/>
        <v>118.24260601</v>
      </c>
      <c r="EF78" s="960">
        <f t="shared" si="467"/>
        <v>190.06131508999999</v>
      </c>
      <c r="EH78" s="924">
        <v>22.055014</v>
      </c>
      <c r="EI78" s="924">
        <v>17.599586980000002</v>
      </c>
      <c r="EJ78" s="924">
        <v>440.59867654999999</v>
      </c>
      <c r="EK78" s="924">
        <v>107.67727131999999</v>
      </c>
      <c r="EL78" s="924">
        <v>56.129836019999999</v>
      </c>
      <c r="EM78" s="924">
        <v>132.51597569</v>
      </c>
      <c r="EN78" s="924">
        <v>9.5218912100000015</v>
      </c>
      <c r="EO78" s="924">
        <v>9.5218912100000015</v>
      </c>
      <c r="EP78" s="924">
        <v>9.5218912100000015</v>
      </c>
      <c r="EQ78" s="924">
        <v>9.5218912100000015</v>
      </c>
      <c r="ER78" s="924">
        <v>9.5218912100000015</v>
      </c>
      <c r="ES78" s="924">
        <v>9.5218912100000015</v>
      </c>
      <c r="EU78" s="924">
        <v>29.3</v>
      </c>
      <c r="EV78" s="924">
        <v>29.3</v>
      </c>
      <c r="EW78" s="924">
        <v>29.3</v>
      </c>
      <c r="EX78" s="924">
        <v>29.3</v>
      </c>
      <c r="EY78" s="924">
        <v>29.3</v>
      </c>
      <c r="EZ78" s="924">
        <v>29.3</v>
      </c>
      <c r="FA78" s="924">
        <v>29.3</v>
      </c>
      <c r="FB78" s="924">
        <v>29.3</v>
      </c>
      <c r="FC78" s="924">
        <v>29.3</v>
      </c>
      <c r="FD78" s="924">
        <v>29.3</v>
      </c>
      <c r="FE78" s="924">
        <v>29.3</v>
      </c>
      <c r="FF78" s="924">
        <v>29.3</v>
      </c>
      <c r="FG78" s="924">
        <v>34.819198589950837</v>
      </c>
      <c r="FH78" s="924">
        <v>36.369085886958835</v>
      </c>
      <c r="FI78" s="924">
        <v>36.510553784295631</v>
      </c>
      <c r="FJ78" s="924">
        <v>36.339652719347633</v>
      </c>
      <c r="FK78" s="924">
        <v>36.726068253994036</v>
      </c>
      <c r="FL78" s="924">
        <v>38.068460807587641</v>
      </c>
      <c r="FM78" s="924">
        <v>38.344684697428434</v>
      </c>
      <c r="FN78" s="924">
        <v>38.646306070601234</v>
      </c>
      <c r="FO78" s="924">
        <v>38.747792678061231</v>
      </c>
      <c r="FP78" s="924">
        <v>38.796584391247634</v>
      </c>
      <c r="FQ78" s="924">
        <v>38.24974045267404</v>
      </c>
      <c r="FR78" s="924">
        <v>36.827548974555633</v>
      </c>
      <c r="FS78" s="924">
        <v>22.297518439999983</v>
      </c>
      <c r="FT78" s="924">
        <v>22.297518439999983</v>
      </c>
      <c r="FU78" s="924">
        <v>22.297518439999983</v>
      </c>
      <c r="FV78" s="924">
        <v>22.297518439999983</v>
      </c>
      <c r="FW78" s="924">
        <v>22.297518439999983</v>
      </c>
      <c r="FX78" s="924">
        <v>22.297518439999983</v>
      </c>
      <c r="FY78" s="924">
        <v>22.297518439999983</v>
      </c>
      <c r="FZ78" s="924">
        <v>22.297518439999983</v>
      </c>
      <c r="GA78" s="924">
        <v>22.297518439999983</v>
      </c>
      <c r="GB78" s="924">
        <v>22.297518439999983</v>
      </c>
      <c r="GC78" s="924">
        <v>22.297518439999983</v>
      </c>
      <c r="GD78" s="924">
        <v>22.297518439999983</v>
      </c>
      <c r="GE78" s="924">
        <v>1.44022896</v>
      </c>
      <c r="GF78" s="924">
        <v>1.44022896</v>
      </c>
      <c r="GG78" s="924">
        <v>1.44022896</v>
      </c>
      <c r="GH78" s="924">
        <v>1.44022896</v>
      </c>
      <c r="GI78" s="924">
        <v>1.44022896</v>
      </c>
      <c r="GJ78" s="924">
        <v>1.44022896</v>
      </c>
      <c r="GK78" s="924">
        <v>1.44022896</v>
      </c>
      <c r="GL78" s="924">
        <v>1.44022896</v>
      </c>
      <c r="GM78" s="924">
        <v>1.44022896</v>
      </c>
      <c r="GN78" s="924">
        <v>1.44022896</v>
      </c>
      <c r="GO78" s="924">
        <v>1.44022896</v>
      </c>
      <c r="GP78" s="924">
        <v>1.44022896</v>
      </c>
      <c r="GQ78" s="924">
        <v>1.44022896</v>
      </c>
      <c r="GR78" s="924">
        <v>1.44022896</v>
      </c>
      <c r="GS78" s="924">
        <v>1.44022896</v>
      </c>
      <c r="GT78" s="924">
        <v>1.44022896</v>
      </c>
      <c r="GU78" s="924">
        <v>1.44022896</v>
      </c>
      <c r="GV78" s="924">
        <v>1.44022896</v>
      </c>
      <c r="GW78" s="924">
        <v>1.44022896</v>
      </c>
      <c r="GX78" s="924">
        <v>1.44022896</v>
      </c>
      <c r="GY78" s="924">
        <v>1.44022896</v>
      </c>
      <c r="GZ78" s="924">
        <v>1.44022896</v>
      </c>
      <c r="HA78" s="924">
        <v>1.44022896</v>
      </c>
      <c r="HB78" s="924">
        <v>1.44022896</v>
      </c>
      <c r="HD78" s="924">
        <f t="shared" si="453"/>
        <v>38.199756489999999</v>
      </c>
      <c r="HE78" s="924">
        <f t="shared" si="453"/>
        <v>100.56118865999998</v>
      </c>
      <c r="HF78" s="924">
        <f t="shared" si="453"/>
        <v>247.69655793999993</v>
      </c>
      <c r="HG78" s="924">
        <f t="shared" si="453"/>
        <v>619.45825583999999</v>
      </c>
      <c r="HH78" s="924">
        <f>+SUMIF($E$6:$BL$6,HH$7,$E78:$BL78)</f>
        <v>1034.3022135000001</v>
      </c>
      <c r="HI78" s="924">
        <f>+SUMIF($E$6:$BX$6,HI$7,$E78:$BX78)</f>
        <v>321.58880678000003</v>
      </c>
      <c r="HJ78" s="924">
        <f>+SUMIF($E$6:$CJ$6,HJ$7,$E78:$CJ78)</f>
        <v>532.8521528</v>
      </c>
      <c r="HK78" s="924">
        <f>+SUMIF($E$6:$CV$6,HK$7,$E78:$CV78)</f>
        <v>651.16572646999998</v>
      </c>
      <c r="HL78" s="960">
        <f>+SUMIF($E$6:SEW$6,HL$7,$E78:SEW78)</f>
        <v>936.82303929999989</v>
      </c>
      <c r="HM78" s="960">
        <f>+SUMIF($E$6:SEX$6,HM$7,$E78:SEX78)</f>
        <v>905.87177052999994</v>
      </c>
      <c r="HN78" s="960">
        <f>+SUMIF($E$6:SEY$6,HN$7,$E78:SEY78)</f>
        <v>1429.5723508399997</v>
      </c>
      <c r="HO78" s="924"/>
      <c r="HP78" s="924"/>
      <c r="HR78" s="927">
        <f t="shared" si="454"/>
        <v>1.4631427018774459</v>
      </c>
      <c r="HS78" s="927">
        <f t="shared" si="454"/>
        <v>1.5008755107127998</v>
      </c>
      <c r="HT78" s="927">
        <f t="shared" si="454"/>
        <v>0.669688318379843</v>
      </c>
      <c r="HU78" s="927">
        <f t="shared" si="454"/>
        <v>-0.68907655559223069</v>
      </c>
      <c r="HV78" s="927">
        <f t="shared" si="454"/>
        <v>0.65693625389308385</v>
      </c>
      <c r="HW78" s="927">
        <f t="shared" si="454"/>
        <v>0.22203827656188091</v>
      </c>
      <c r="HX78" s="927">
        <f t="shared" si="454"/>
        <v>0.43868603831249176</v>
      </c>
      <c r="HY78" s="927">
        <f t="shared" si="454"/>
        <v>-3.3038543536596743E-2</v>
      </c>
      <c r="HZ78" s="927">
        <f t="shared" si="454"/>
        <v>0.57811778371633915</v>
      </c>
      <c r="IA78" s="927">
        <f t="shared" si="419"/>
        <v>-1</v>
      </c>
      <c r="IB78" s="927" t="str">
        <f>+IFERROR(HP78/HO78-1,"")</f>
        <v/>
      </c>
      <c r="IC78" s="927">
        <f t="shared" si="420"/>
        <v>-1</v>
      </c>
      <c r="IE78" s="924">
        <f t="shared" si="455"/>
        <v>147.13536927999996</v>
      </c>
      <c r="IF78" s="924">
        <f t="shared" si="455"/>
        <v>371.76169790000006</v>
      </c>
      <c r="IG78" s="924">
        <f t="shared" si="455"/>
        <v>414.84395766000011</v>
      </c>
      <c r="IH78" s="924">
        <f t="shared" si="455"/>
        <v>-712.71340672000008</v>
      </c>
      <c r="II78" s="924">
        <f t="shared" si="322"/>
        <v>211.26334601999997</v>
      </c>
      <c r="IJ78" s="924">
        <f t="shared" si="323"/>
        <v>118.31357366999998</v>
      </c>
      <c r="IK78" s="924">
        <f t="shared" si="324"/>
        <v>285.65731282999991</v>
      </c>
      <c r="IL78" s="924">
        <f t="shared" si="307"/>
        <v>-936.82303929999989</v>
      </c>
      <c r="IM78" s="924">
        <f>+HP78-HO78</f>
        <v>0</v>
      </c>
      <c r="IN78" s="924">
        <f t="shared" si="308"/>
        <v>-936.82303929999989</v>
      </c>
      <c r="IP78" s="76">
        <f t="shared" si="456"/>
        <v>2.7359657776550141E-3</v>
      </c>
      <c r="IQ78" s="76">
        <f t="shared" si="456"/>
        <v>6.2894313528623069E-3</v>
      </c>
      <c r="IR78" s="76">
        <f t="shared" si="456"/>
        <v>3.6757029791676055E-2</v>
      </c>
      <c r="IS78" s="76">
        <f t="shared" si="456"/>
        <v>0.16812381468926918</v>
      </c>
      <c r="IT78" s="76">
        <f t="shared" si="456"/>
        <v>2.3596241324959754E-2</v>
      </c>
      <c r="IU78" s="76">
        <f t="shared" si="456"/>
        <v>3.7655975288236776E-2</v>
      </c>
      <c r="IV78" s="76">
        <f t="shared" si="456"/>
        <v>3.0672898465956281E-2</v>
      </c>
      <c r="IW78" s="76">
        <f t="shared" si="456"/>
        <v>7.423386772224623E-2</v>
      </c>
      <c r="IX78" s="76" t="e">
        <f>+HO78/HO$11</f>
        <v>#DIV/0!</v>
      </c>
      <c r="IY78" s="76" t="e">
        <f>+HP78/HP$11</f>
        <v>#DIV/0!</v>
      </c>
      <c r="JA78" s="924">
        <f t="shared" si="457"/>
        <v>38.199756489999999</v>
      </c>
      <c r="JB78" s="924">
        <f t="shared" si="457"/>
        <v>100.56118865999998</v>
      </c>
      <c r="JC78" s="924">
        <f t="shared" si="457"/>
        <v>247.69655793999993</v>
      </c>
      <c r="JD78" s="924">
        <f t="shared" si="457"/>
        <v>619.45825583999999</v>
      </c>
      <c r="JE78" s="924">
        <f t="shared" si="457"/>
        <v>1034.3022135000001</v>
      </c>
      <c r="JF78" s="924">
        <f t="shared" si="457"/>
        <v>321.58880678000003</v>
      </c>
      <c r="JG78" s="924">
        <f t="shared" si="457"/>
        <v>532.8521528</v>
      </c>
      <c r="JH78" s="924">
        <f t="shared" si="457"/>
        <v>651.16572646999998</v>
      </c>
      <c r="JI78" s="924">
        <f t="shared" si="457"/>
        <v>936.82303929999989</v>
      </c>
      <c r="JJ78" s="924">
        <f t="shared" si="457"/>
        <v>905.87177052999994</v>
      </c>
      <c r="JK78" s="924">
        <f t="shared" si="457"/>
        <v>1429.5723508399997</v>
      </c>
      <c r="JL78" s="924">
        <f t="shared" si="458"/>
        <v>1429.5723508399997</v>
      </c>
      <c r="JM78" s="924"/>
      <c r="JN78" s="924"/>
      <c r="JP78" s="924">
        <f>+JL78</f>
        <v>1429.5723508399997</v>
      </c>
      <c r="JQ78" s="924">
        <f>+JM78</f>
        <v>0</v>
      </c>
      <c r="JR78" s="145"/>
      <c r="JS78" s="927" t="str">
        <f>+IFERROR(JP78/JQ78,"")</f>
        <v/>
      </c>
      <c r="JT78" s="928">
        <f>+IFERROR(JP78-JQ78,"NA")</f>
        <v>1429.5723508399997</v>
      </c>
      <c r="JV78" s="76">
        <f>+JP78/JP$11</f>
        <v>4.7350042909094663E-2</v>
      </c>
      <c r="JW78" s="927" t="str">
        <f>+IFERROR(JQ78/JQ$11,"")</f>
        <v/>
      </c>
      <c r="JY78" s="927">
        <f t="shared" ref="JY78:KE78" si="468">+IFERROR(JC78/JB78-1,"")</f>
        <v>1.4631427018774459</v>
      </c>
      <c r="JZ78" s="927">
        <f t="shared" si="468"/>
        <v>1.5008755107127998</v>
      </c>
      <c r="KA78" s="927">
        <f t="shared" si="468"/>
        <v>0.669688318379843</v>
      </c>
      <c r="KB78" s="927">
        <f t="shared" si="468"/>
        <v>-0.68907655559223069</v>
      </c>
      <c r="KC78" s="927">
        <f t="shared" si="468"/>
        <v>0.65693625389308385</v>
      </c>
      <c r="KD78" s="927">
        <f t="shared" si="468"/>
        <v>0.22203827656188091</v>
      </c>
      <c r="KE78" s="927">
        <f t="shared" si="468"/>
        <v>0.43868603831249176</v>
      </c>
      <c r="KF78" s="927">
        <f>+IFERROR(JN78/JI78-1,"")</f>
        <v>-1</v>
      </c>
      <c r="KH78" s="924">
        <f t="shared" si="460"/>
        <v>147.13536927999996</v>
      </c>
      <c r="KI78" s="924">
        <f t="shared" si="460"/>
        <v>371.76169790000006</v>
      </c>
      <c r="KJ78" s="924">
        <f t="shared" si="460"/>
        <v>414.84395766000011</v>
      </c>
      <c r="KK78" s="924">
        <f t="shared" si="460"/>
        <v>-712.71340672000008</v>
      </c>
      <c r="KL78" s="924">
        <f t="shared" si="460"/>
        <v>211.26334601999997</v>
      </c>
      <c r="KM78" s="924">
        <f t="shared" si="460"/>
        <v>118.31357366999998</v>
      </c>
      <c r="KN78" s="924">
        <f t="shared" si="460"/>
        <v>285.65731282999991</v>
      </c>
      <c r="KO78" s="924">
        <f>+JN78-JI78</f>
        <v>-936.82303929999989</v>
      </c>
      <c r="KQ78" s="76">
        <f t="shared" si="461"/>
        <v>1.0528753336814588E-3</v>
      </c>
      <c r="KR78" s="76">
        <f t="shared" si="461"/>
        <v>2.7359657776550141E-3</v>
      </c>
      <c r="KS78" s="76">
        <f t="shared" si="461"/>
        <v>6.2894313528623069E-3</v>
      </c>
      <c r="KT78" s="76">
        <f t="shared" si="461"/>
        <v>3.6757029791676055E-2</v>
      </c>
      <c r="KU78" s="76">
        <f t="shared" si="461"/>
        <v>0.16812381468926918</v>
      </c>
      <c r="KV78" s="76">
        <f t="shared" si="461"/>
        <v>2.3596241324959754E-2</v>
      </c>
      <c r="KW78" s="76">
        <f t="shared" si="461"/>
        <v>3.7655975288236776E-2</v>
      </c>
      <c r="KX78" s="76">
        <f t="shared" si="461"/>
        <v>3.0672898465956281E-2</v>
      </c>
      <c r="KY78" s="76">
        <f t="shared" si="461"/>
        <v>7.423386772224623E-2</v>
      </c>
      <c r="KZ78" s="76" t="e">
        <f>+JN78/JN$11</f>
        <v>#DIV/0!</v>
      </c>
      <c r="LB78" s="924">
        <f t="shared" si="462"/>
        <v>1.3245375199999998</v>
      </c>
      <c r="LC78" s="924">
        <f t="shared" si="462"/>
        <v>17.945471599999991</v>
      </c>
      <c r="LD78" s="924">
        <f t="shared" si="462"/>
        <v>9.0544061599999139</v>
      </c>
      <c r="LE78" s="924">
        <f t="shared" si="462"/>
        <v>214.91889044000001</v>
      </c>
      <c r="LF78" s="924">
        <f t="shared" si="462"/>
        <v>65.906130000000005</v>
      </c>
      <c r="LG78" s="924">
        <f t="shared" si="462"/>
        <v>105.44793851000001</v>
      </c>
      <c r="LH78" s="924">
        <f t="shared" si="462"/>
        <v>86.173182980000007</v>
      </c>
      <c r="LI78" s="924">
        <f t="shared" si="462"/>
        <v>59.640770899999993</v>
      </c>
      <c r="LJ78" s="924">
        <f t="shared" si="462"/>
        <v>14.55160856</v>
      </c>
      <c r="LK78" s="924">
        <f t="shared" si="462"/>
        <v>71.809445839999995</v>
      </c>
      <c r="LL78" s="924">
        <f t="shared" si="462"/>
        <v>190.06131508999999</v>
      </c>
      <c r="LM78" s="924">
        <f t="shared" si="462"/>
        <v>190.06131508999999</v>
      </c>
      <c r="LN78" s="924"/>
      <c r="LO78" s="924"/>
      <c r="LR78" s="76">
        <f t="shared" si="463"/>
        <v>-0.49544897109307962</v>
      </c>
      <c r="LS78" s="76">
        <f t="shared" si="463"/>
        <v>22.7363871956018</v>
      </c>
      <c r="LT78" s="76">
        <f t="shared" si="463"/>
        <v>-0.69334417339922316</v>
      </c>
      <c r="LU78" s="76">
        <f t="shared" si="463"/>
        <v>0.59997163404982223</v>
      </c>
      <c r="LV78" s="76">
        <f t="shared" si="463"/>
        <v>-0.18278930629044121</v>
      </c>
      <c r="LW78" s="76">
        <f t="shared" si="463"/>
        <v>-0.30789639145809367</v>
      </c>
      <c r="LX78" s="76">
        <f>+IFERROR(LO78/LI78-1," ")</f>
        <v>-1</v>
      </c>
      <c r="LZ78" s="924">
        <f t="shared" si="464"/>
        <v>-8.8910654400000766</v>
      </c>
      <c r="MA78" s="924">
        <f t="shared" si="464"/>
        <v>205.86448428000011</v>
      </c>
      <c r="MB78" s="924">
        <f t="shared" si="464"/>
        <v>-149.01276044000002</v>
      </c>
      <c r="MC78" s="924">
        <f t="shared" si="464"/>
        <v>39.54180851000001</v>
      </c>
      <c r="MD78" s="924">
        <f t="shared" si="464"/>
        <v>-19.274755530000007</v>
      </c>
      <c r="ME78" s="924">
        <f t="shared" si="464"/>
        <v>-26.532412080000014</v>
      </c>
      <c r="MF78" s="924">
        <f>+LO78-LI78</f>
        <v>-59.640770899999993</v>
      </c>
      <c r="MH78" s="76">
        <f t="shared" si="465"/>
        <v>4.4160903581456153E-4</v>
      </c>
      <c r="MI78" s="76">
        <f t="shared" si="465"/>
        <v>3.2547270915550949E-3</v>
      </c>
      <c r="MJ78" s="76">
        <f t="shared" si="465"/>
        <v>1.7663179052218041E-3</v>
      </c>
      <c r="MK78" s="76">
        <f t="shared" si="465"/>
        <v>0.36973908380639803</v>
      </c>
      <c r="ML78" s="76">
        <f t="shared" si="465"/>
        <v>4.374902686109642E-2</v>
      </c>
      <c r="MM78" s="76">
        <f t="shared" si="465"/>
        <v>0.10250765964156529</v>
      </c>
      <c r="MN78" s="76">
        <f t="shared" si="465"/>
        <v>5.541638694927796E-2</v>
      </c>
      <c r="MO78" s="76">
        <f t="shared" si="465"/>
        <v>3.1690172132016636E-2</v>
      </c>
      <c r="MP78" s="76" t="e">
        <f>+LO78/LO$11</f>
        <v>#DIV/0!</v>
      </c>
    </row>
    <row r="79" spans="1:354" outlineLevel="2">
      <c r="A79" s="884">
        <v>421005</v>
      </c>
      <c r="B79" s="70"/>
      <c r="C79" s="40" t="s">
        <v>249</v>
      </c>
      <c r="D79" s="31"/>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940"/>
      <c r="AP79" s="963"/>
      <c r="AQ79" s="962"/>
      <c r="AR79" s="962"/>
      <c r="AS79" s="940"/>
      <c r="AT79" s="940"/>
      <c r="AU79" s="940"/>
      <c r="AV79" s="940"/>
      <c r="AW79" s="940"/>
      <c r="AX79" s="940"/>
      <c r="AY79" s="940"/>
      <c r="AZ79" s="940"/>
      <c r="BA79" s="102"/>
      <c r="BB79" s="102"/>
      <c r="BC79" s="102"/>
      <c r="BD79" s="102"/>
      <c r="BE79" s="102"/>
      <c r="BF79" s="102"/>
      <c r="BG79" s="102"/>
      <c r="BH79" s="102"/>
      <c r="BI79" s="102"/>
      <c r="BJ79" s="102"/>
      <c r="BK79" s="102"/>
      <c r="BL79" s="102"/>
      <c r="BM79" s="102">
        <v>0.81370783999999996</v>
      </c>
      <c r="BN79" s="102">
        <v>0.8552884300000001</v>
      </c>
      <c r="BO79" s="102">
        <v>0.78910116000000008</v>
      </c>
      <c r="BP79" s="102">
        <v>0.31440252000000002</v>
      </c>
      <c r="BQ79" s="102">
        <v>0.57549293000000001</v>
      </c>
      <c r="BR79" s="102">
        <v>0.27995705999999998</v>
      </c>
      <c r="BS79" s="102">
        <v>0.42098226999999999</v>
      </c>
      <c r="BT79" s="102">
        <v>1.7881676499999999</v>
      </c>
      <c r="BU79" s="102">
        <v>0.78038187999999997</v>
      </c>
      <c r="BV79" s="102">
        <v>1.3102524</v>
      </c>
      <c r="BW79" s="102">
        <v>1.37522374</v>
      </c>
      <c r="BX79" s="102">
        <v>3.2694998499999999</v>
      </c>
      <c r="BY79" s="102">
        <v>0.65030393000000009</v>
      </c>
      <c r="BZ79" s="102">
        <v>0.57003386999999994</v>
      </c>
      <c r="CA79" s="102">
        <v>0.20873402999999999</v>
      </c>
      <c r="CB79" s="102">
        <v>0.36714660999999998</v>
      </c>
      <c r="CC79" s="102">
        <v>0.51770496999999993</v>
      </c>
      <c r="CD79" s="102">
        <v>0.64387485999999994</v>
      </c>
      <c r="CE79" s="102">
        <v>2.7274005800000003</v>
      </c>
      <c r="CF79" s="102">
        <v>5.3431069000000004</v>
      </c>
      <c r="CG79" s="102">
        <v>2.93047229</v>
      </c>
      <c r="CH79" s="102">
        <v>1.44022896</v>
      </c>
      <c r="CI79" s="102">
        <v>0.82357548000000003</v>
      </c>
      <c r="CJ79" s="102">
        <v>1.27394056</v>
      </c>
      <c r="CK79" s="102">
        <v>0.77770193999999992</v>
      </c>
      <c r="CL79" s="102">
        <v>1.1574631000000002</v>
      </c>
      <c r="CM79" s="102">
        <v>0.76266615000000004</v>
      </c>
      <c r="CN79" s="102">
        <v>0.84830525000000001</v>
      </c>
      <c r="CO79" s="102">
        <v>2.1033438199999996</v>
      </c>
      <c r="CP79" s="102">
        <v>2.26608053</v>
      </c>
      <c r="CQ79" s="102">
        <v>3.6272569900000002</v>
      </c>
      <c r="CR79" s="102">
        <v>3.9123431099999997</v>
      </c>
      <c r="CS79" s="102">
        <v>5.8778960099999997</v>
      </c>
      <c r="CT79" s="102">
        <v>3.2462907300000001</v>
      </c>
      <c r="CU79" s="102">
        <v>0.25193851</v>
      </c>
      <c r="CV79" s="102">
        <v>5.4077350199999996</v>
      </c>
      <c r="CW79" s="102">
        <v>1.8197746000000001</v>
      </c>
      <c r="CX79" s="102">
        <v>2.8810860299999996</v>
      </c>
      <c r="CY79" s="102">
        <v>0.14808391000000001</v>
      </c>
      <c r="CZ79" s="102">
        <v>0.76084225000000005</v>
      </c>
      <c r="DA79" s="102">
        <v>2.5894783299999999</v>
      </c>
      <c r="DB79" s="102">
        <v>1.5218912099999999</v>
      </c>
      <c r="DC79" s="102">
        <v>2.7624546299999997</v>
      </c>
      <c r="DD79" s="102">
        <v>1.3159218100000001</v>
      </c>
      <c r="DE79" s="102">
        <v>1.24252491</v>
      </c>
      <c r="DF79" s="102">
        <v>9.1991869999999989E-2</v>
      </c>
      <c r="DG79" s="102">
        <v>7.4955729999999998E-2</v>
      </c>
      <c r="DH79" s="102">
        <v>0.17430585000000001</v>
      </c>
      <c r="DI79" s="102">
        <v>0.55302931999999994</v>
      </c>
      <c r="DJ79" s="102">
        <v>0.21294732999999999</v>
      </c>
      <c r="DK79" s="102">
        <v>1.0709350000000001E-2</v>
      </c>
      <c r="DL79" s="102">
        <v>0.78468545000000001</v>
      </c>
      <c r="DM79" s="102">
        <v>1.7644170000000011E-2</v>
      </c>
      <c r="DN79" s="102">
        <v>0.49835546999999997</v>
      </c>
      <c r="DO79" s="102">
        <v>0.55987388999999999</v>
      </c>
      <c r="DP79" s="102">
        <v>1.2015940700000001</v>
      </c>
      <c r="DQ79" s="940">
        <v>0.49334057000000003</v>
      </c>
      <c r="DR79" s="940">
        <v>0.47006555999999999</v>
      </c>
      <c r="DS79" s="940">
        <v>2.9470090000000001E-2</v>
      </c>
      <c r="DT79" s="940">
        <v>0.85663920999999998</v>
      </c>
      <c r="DU79" s="940">
        <v>1.06144423</v>
      </c>
      <c r="DV79" s="940">
        <v>0.65568987000000001</v>
      </c>
      <c r="DW79" s="940">
        <v>0.77270835999999998</v>
      </c>
      <c r="DX79" s="940">
        <v>0.7252130699999999</v>
      </c>
      <c r="DY79" s="940">
        <v>0.65458883000000001</v>
      </c>
      <c r="DZ79" s="940">
        <v>0.76678757999999991</v>
      </c>
      <c r="EA79" s="940">
        <v>1.9952747399999999</v>
      </c>
      <c r="EB79" s="940">
        <v>4.5895573299999999</v>
      </c>
      <c r="EC79" s="940">
        <v>3.2983804800000001</v>
      </c>
      <c r="ED79" s="940">
        <v>1.1265393500000001</v>
      </c>
      <c r="EE79" s="940">
        <v>3.08114351</v>
      </c>
      <c r="EF79" s="940">
        <v>5.1106206199999997</v>
      </c>
      <c r="EH79" s="102"/>
      <c r="EI79" s="102"/>
      <c r="EJ79" s="102"/>
      <c r="EK79" s="102"/>
      <c r="EL79" s="102"/>
      <c r="EM79" s="102"/>
      <c r="EN79" s="102"/>
      <c r="EO79" s="102"/>
      <c r="EP79" s="102"/>
      <c r="EQ79" s="102"/>
      <c r="ER79" s="102"/>
      <c r="ES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D79" s="102">
        <f t="shared" si="453"/>
        <v>0</v>
      </c>
      <c r="HE79" s="102">
        <f t="shared" si="453"/>
        <v>0</v>
      </c>
      <c r="HF79" s="102">
        <f t="shared" si="453"/>
        <v>0</v>
      </c>
      <c r="HG79" s="102">
        <f t="shared" si="453"/>
        <v>0</v>
      </c>
      <c r="HH79" s="102">
        <f>+SUMIF($E$6:$BL$6,HH$7,$E79:$BL79)</f>
        <v>0</v>
      </c>
      <c r="HI79" s="102">
        <f>+SUMIF($E$6:$BX$6,HI$7,$E79:$BX79)</f>
        <v>12.57245773</v>
      </c>
      <c r="HJ79" s="102">
        <f>+SUMIF($E$6:$CJ$6,HJ$7,$E79:$CJ79)</f>
        <v>17.496523040000003</v>
      </c>
      <c r="HK79" s="102">
        <f>+SUMIF($E$6:$CV$6,HK$7,$E79:$CV79)</f>
        <v>30.23902116</v>
      </c>
      <c r="HL79" s="940">
        <f>+SUMIF($E$6:SEW$6,HL$7,$E79:SEW79)</f>
        <v>15.383311129999999</v>
      </c>
      <c r="HM79" s="940">
        <f>+SUMIF($E$6:SEX$6,HM$7,$E79:SEX79)</f>
        <v>5.6883544800000001</v>
      </c>
      <c r="HN79" s="940">
        <f>+SUMIF($E$6:SEY$6,HN$7,$E79:SEY79)</f>
        <v>23.837947969999998</v>
      </c>
      <c r="HO79" s="102"/>
      <c r="HP79" s="102"/>
      <c r="HR79" s="929"/>
      <c r="HS79" s="929"/>
      <c r="HT79" s="929"/>
      <c r="HU79" s="929"/>
      <c r="HV79" s="929"/>
      <c r="HW79" s="929"/>
      <c r="HX79" s="929"/>
      <c r="HY79" s="929"/>
      <c r="HZ79" s="929"/>
      <c r="IA79" s="929"/>
      <c r="IB79" s="929"/>
      <c r="IC79" s="929"/>
      <c r="IE79" s="102"/>
      <c r="IF79" s="102"/>
      <c r="IG79" s="102"/>
      <c r="IH79" s="102"/>
      <c r="II79" s="102"/>
      <c r="IJ79" s="102"/>
      <c r="IK79" s="102"/>
      <c r="IL79" s="102"/>
      <c r="IM79" s="102"/>
      <c r="IN79" s="102"/>
      <c r="IP79" s="32"/>
      <c r="IQ79" s="32"/>
      <c r="IR79" s="32"/>
      <c r="IS79" s="32"/>
      <c r="IT79" s="32"/>
      <c r="IU79" s="32"/>
      <c r="IV79" s="32"/>
      <c r="IW79" s="32"/>
      <c r="IX79" s="32"/>
      <c r="IY79" s="32"/>
      <c r="JA79" s="102">
        <f t="shared" si="457"/>
        <v>0</v>
      </c>
      <c r="JB79" s="102">
        <f t="shared" si="457"/>
        <v>0</v>
      </c>
      <c r="JC79" s="102">
        <f t="shared" si="457"/>
        <v>0</v>
      </c>
      <c r="JD79" s="102">
        <f t="shared" si="457"/>
        <v>0</v>
      </c>
      <c r="JE79" s="102">
        <f t="shared" si="457"/>
        <v>0</v>
      </c>
      <c r="JF79" s="102">
        <f t="shared" si="457"/>
        <v>12.57245773</v>
      </c>
      <c r="JG79" s="102">
        <f t="shared" si="457"/>
        <v>17.496523040000003</v>
      </c>
      <c r="JH79" s="102">
        <f t="shared" si="457"/>
        <v>30.23902116</v>
      </c>
      <c r="JI79" s="102">
        <f t="shared" si="457"/>
        <v>15.383311129999999</v>
      </c>
      <c r="JJ79" s="102">
        <f t="shared" si="457"/>
        <v>5.6883544800000001</v>
      </c>
      <c r="JK79" s="102">
        <f t="shared" si="457"/>
        <v>23.837947969999998</v>
      </c>
      <c r="JL79" s="102">
        <f t="shared" si="458"/>
        <v>23.837947969999998</v>
      </c>
      <c r="JM79" s="102"/>
      <c r="JN79" s="102"/>
      <c r="JO79" s="1184"/>
      <c r="JP79" s="102"/>
      <c r="JQ79" s="102"/>
      <c r="JR79" s="145"/>
      <c r="JS79" s="929"/>
      <c r="JT79" s="930"/>
      <c r="JV79" s="32"/>
      <c r="JW79" s="929"/>
      <c r="JY79" s="929"/>
      <c r="JZ79" s="929"/>
      <c r="KA79" s="929"/>
      <c r="KB79" s="929"/>
      <c r="KC79" s="929"/>
      <c r="KD79" s="929"/>
      <c r="KE79" s="929"/>
      <c r="KF79" s="929"/>
      <c r="KH79" s="102"/>
      <c r="KI79" s="102"/>
      <c r="KJ79" s="102"/>
      <c r="KK79" s="102"/>
      <c r="KL79" s="102"/>
      <c r="KM79" s="102"/>
      <c r="KN79" s="102"/>
      <c r="KO79" s="102"/>
      <c r="KQ79" s="32"/>
      <c r="KR79" s="32"/>
      <c r="KS79" s="32"/>
      <c r="KT79" s="32"/>
      <c r="KU79" s="32"/>
      <c r="KV79" s="32"/>
      <c r="KW79" s="32"/>
      <c r="KX79" s="32"/>
      <c r="KY79" s="32"/>
      <c r="KZ79" s="32"/>
      <c r="LB79" s="102">
        <f t="shared" si="462"/>
        <v>0</v>
      </c>
      <c r="LC79" s="102">
        <f t="shared" si="462"/>
        <v>0</v>
      </c>
      <c r="LD79" s="102">
        <f t="shared" si="462"/>
        <v>0</v>
      </c>
      <c r="LE79" s="102">
        <f t="shared" si="462"/>
        <v>0</v>
      </c>
      <c r="LF79" s="102">
        <f t="shared" si="462"/>
        <v>0</v>
      </c>
      <c r="LG79" s="102">
        <f t="shared" si="462"/>
        <v>3.2694998499999999</v>
      </c>
      <c r="LH79" s="102">
        <f t="shared" si="462"/>
        <v>1.27394056</v>
      </c>
      <c r="LI79" s="102">
        <f t="shared" si="462"/>
        <v>5.4077350199999996</v>
      </c>
      <c r="LJ79" s="102">
        <f t="shared" si="462"/>
        <v>0.17430585000000001</v>
      </c>
      <c r="LK79" s="102">
        <f t="shared" si="462"/>
        <v>0.85663920999999998</v>
      </c>
      <c r="LL79" s="102">
        <f t="shared" si="462"/>
        <v>5.1106206199999997</v>
      </c>
      <c r="LM79" s="102">
        <f t="shared" si="462"/>
        <v>5.1106206199999997</v>
      </c>
      <c r="LN79" s="102"/>
      <c r="LO79" s="102"/>
      <c r="LR79" s="32"/>
      <c r="LS79" s="32"/>
      <c r="LT79" s="32"/>
      <c r="LU79" s="32"/>
      <c r="LV79" s="32"/>
      <c r="LW79" s="32"/>
      <c r="LX79" s="32"/>
      <c r="LZ79" s="102"/>
      <c r="MA79" s="102"/>
      <c r="MB79" s="102"/>
      <c r="MC79" s="102"/>
      <c r="MD79" s="102"/>
      <c r="ME79" s="102"/>
      <c r="MF79" s="102"/>
      <c r="MH79" s="32"/>
      <c r="MI79" s="32"/>
      <c r="MJ79" s="32"/>
      <c r="MK79" s="32"/>
      <c r="ML79" s="32"/>
      <c r="MM79" s="32"/>
      <c r="MN79" s="32"/>
      <c r="MO79" s="32"/>
      <c r="MP79" s="32"/>
    </row>
    <row r="80" spans="1:354" outlineLevel="2">
      <c r="A80" s="884">
        <v>421020</v>
      </c>
      <c r="B80" s="70"/>
      <c r="C80" s="40" t="s">
        <v>230</v>
      </c>
      <c r="D80" s="31"/>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940"/>
      <c r="AP80" s="963"/>
      <c r="AQ80" s="962"/>
      <c r="AR80" s="962"/>
      <c r="AS80" s="940"/>
      <c r="AT80" s="940"/>
      <c r="AU80" s="940"/>
      <c r="AV80" s="940"/>
      <c r="AW80" s="940"/>
      <c r="AX80" s="940"/>
      <c r="AY80" s="940"/>
      <c r="AZ80" s="940"/>
      <c r="BA80" s="102"/>
      <c r="BB80" s="102"/>
      <c r="BC80" s="102"/>
      <c r="BD80" s="102"/>
      <c r="BE80" s="102"/>
      <c r="BF80" s="102"/>
      <c r="BG80" s="102"/>
      <c r="BH80" s="102"/>
      <c r="BI80" s="102"/>
      <c r="BJ80" s="102"/>
      <c r="BK80" s="102"/>
      <c r="BL80" s="102"/>
      <c r="BM80" s="102">
        <v>7.0290578799999999</v>
      </c>
      <c r="BN80" s="102">
        <v>3.1589485000000002</v>
      </c>
      <c r="BO80" s="102">
        <v>6.8918308099999992</v>
      </c>
      <c r="BP80" s="102">
        <v>19.00391557</v>
      </c>
      <c r="BQ80" s="102">
        <v>69.032824519999991</v>
      </c>
      <c r="BR80" s="102">
        <v>40.774696030000001</v>
      </c>
      <c r="BS80" s="102">
        <v>22.32281944</v>
      </c>
      <c r="BT80" s="102">
        <v>7.5337828</v>
      </c>
      <c r="BU80" s="102">
        <v>7.8811509100000006</v>
      </c>
      <c r="BV80" s="102">
        <v>16.23537013</v>
      </c>
      <c r="BW80" s="102">
        <v>6.9735137999999974</v>
      </c>
      <c r="BX80" s="102">
        <v>102.17843866000001</v>
      </c>
      <c r="BY80" s="102">
        <v>10.55083241</v>
      </c>
      <c r="BZ80" s="102">
        <v>58.647586509999996</v>
      </c>
      <c r="CA80" s="102">
        <v>39.413545599999999</v>
      </c>
      <c r="CB80" s="102">
        <v>70.973299220000001</v>
      </c>
      <c r="CC80" s="102">
        <v>26.947218489999997</v>
      </c>
      <c r="CD80" s="102">
        <v>41.562885389999998</v>
      </c>
      <c r="CE80" s="102">
        <v>8.2726510799999993</v>
      </c>
      <c r="CF80" s="102">
        <v>45.460969559999995</v>
      </c>
      <c r="CG80" s="102">
        <v>18.725713229999997</v>
      </c>
      <c r="CH80" s="102">
        <v>57.97805177</v>
      </c>
      <c r="CI80" s="102">
        <v>51.923634079999999</v>
      </c>
      <c r="CJ80" s="102">
        <v>84.899242420000007</v>
      </c>
      <c r="CK80" s="102">
        <v>0</v>
      </c>
      <c r="CL80" s="102">
        <v>5.6446986500000005</v>
      </c>
      <c r="CM80" s="102">
        <v>52.92541963</v>
      </c>
      <c r="CN80" s="102">
        <v>79.018078849999995</v>
      </c>
      <c r="CO80" s="102">
        <v>142.02897974000001</v>
      </c>
      <c r="CP80" s="102">
        <v>46.63407608</v>
      </c>
      <c r="CQ80" s="102">
        <v>46.370106020000001</v>
      </c>
      <c r="CR80" s="102">
        <v>102.82392170999999</v>
      </c>
      <c r="CS80" s="102">
        <v>38.708277780000003</v>
      </c>
      <c r="CT80" s="102">
        <v>49.979498149999998</v>
      </c>
      <c r="CU80" s="102">
        <v>2.5606128199999998</v>
      </c>
      <c r="CV80" s="102">
        <v>54.233035879999996</v>
      </c>
      <c r="CW80" s="102">
        <v>20.235239399999998</v>
      </c>
      <c r="CX80" s="102">
        <v>14.718500949999999</v>
      </c>
      <c r="CY80" s="102">
        <v>440.45059263999997</v>
      </c>
      <c r="CZ80" s="102">
        <v>106.91642906999999</v>
      </c>
      <c r="DA80" s="102">
        <v>53.54035769</v>
      </c>
      <c r="DB80" s="102">
        <v>130.99408448</v>
      </c>
      <c r="DC80" s="102">
        <v>15.306563909999999</v>
      </c>
      <c r="DD80" s="102">
        <v>10.948243960000001</v>
      </c>
      <c r="DE80" s="102">
        <v>66.054626330000005</v>
      </c>
      <c r="DF80" s="102">
        <v>37.34129265</v>
      </c>
      <c r="DG80" s="102">
        <v>10.55649438</v>
      </c>
      <c r="DH80" s="102">
        <v>14.37730271</v>
      </c>
      <c r="DI80" s="102">
        <v>59.082865030000001</v>
      </c>
      <c r="DJ80" s="102">
        <v>90.054161489999998</v>
      </c>
      <c r="DK80" s="102">
        <v>43.78035732</v>
      </c>
      <c r="DL80" s="102">
        <v>60.589520090000001</v>
      </c>
      <c r="DM80" s="102">
        <v>124.29124958000001</v>
      </c>
      <c r="DN80" s="102">
        <v>95.371063759999998</v>
      </c>
      <c r="DO80" s="102">
        <v>111.77049611000001</v>
      </c>
      <c r="DP80" s="102">
        <v>67.288744390000005</v>
      </c>
      <c r="DQ80" s="940">
        <v>34.397212939999996</v>
      </c>
      <c r="DR80" s="940">
        <v>16.0337253</v>
      </c>
      <c r="DS80" s="940">
        <v>126.57121341</v>
      </c>
      <c r="DT80" s="940">
        <v>70.952806629999998</v>
      </c>
      <c r="DU80" s="940">
        <v>79.16197034999999</v>
      </c>
      <c r="DV80" s="940">
        <v>19.005251989999998</v>
      </c>
      <c r="DW80" s="940">
        <v>48.118190320000004</v>
      </c>
      <c r="DX80" s="940">
        <v>109.19214261</v>
      </c>
      <c r="DY80" s="940">
        <v>57.863864329999998</v>
      </c>
      <c r="DZ80" s="940">
        <v>70.412643299999999</v>
      </c>
      <c r="EA80" s="940">
        <v>110.88886658</v>
      </c>
      <c r="EB80" s="940">
        <v>140.76151087</v>
      </c>
      <c r="EC80" s="940">
        <v>175.88475765000001</v>
      </c>
      <c r="ED80" s="940">
        <v>294.3330479</v>
      </c>
      <c r="EE80" s="940">
        <v>115.1614625</v>
      </c>
      <c r="EF80" s="940">
        <v>184.95069447</v>
      </c>
      <c r="EH80" s="102"/>
      <c r="EI80" s="102"/>
      <c r="EJ80" s="102"/>
      <c r="EK80" s="102"/>
      <c r="EL80" s="102"/>
      <c r="EM80" s="102"/>
      <c r="EN80" s="102"/>
      <c r="EO80" s="102"/>
      <c r="EP80" s="102"/>
      <c r="EQ80" s="102"/>
      <c r="ER80" s="102"/>
      <c r="ES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D80" s="102">
        <f t="shared" si="453"/>
        <v>0</v>
      </c>
      <c r="HE80" s="102">
        <f t="shared" si="453"/>
        <v>0</v>
      </c>
      <c r="HF80" s="102">
        <f t="shared" si="453"/>
        <v>0</v>
      </c>
      <c r="HG80" s="102">
        <f t="shared" si="453"/>
        <v>0</v>
      </c>
      <c r="HH80" s="102">
        <f>+SUMIF($E$6:$BL$6,HH$7,$E80:$BL80)</f>
        <v>0</v>
      </c>
      <c r="HI80" s="102">
        <f>+SUMIF($E$6:$BX$6,HI$7,$E80:$BX80)</f>
        <v>309.01634905000003</v>
      </c>
      <c r="HJ80" s="102">
        <f>+SUMIF($E$6:$CJ$6,HJ$7,$E80:$CJ80)</f>
        <v>515.35562975999994</v>
      </c>
      <c r="HK80" s="102">
        <f>+SUMIF($E$6:$CV$6,HK$7,$E80:$CV80)</f>
        <v>620.92670530999987</v>
      </c>
      <c r="HL80" s="940">
        <f>+SUMIF($E$6:SEW$6,HL$7,$E80:SEW80)</f>
        <v>921.43972816999985</v>
      </c>
      <c r="HM80" s="940">
        <f>+SUMIF($E$6:SEX$6,HM$7,$E80:SEX80)</f>
        <v>900.18341605000023</v>
      </c>
      <c r="HN80" s="940">
        <f>+SUMIF($E$6:SEY$6,HN$7,$E80:SEY80)</f>
        <v>1405.7344028699999</v>
      </c>
      <c r="HO80" s="102"/>
      <c r="HP80" s="102"/>
      <c r="HR80" s="929"/>
      <c r="HS80" s="929"/>
      <c r="HT80" s="929"/>
      <c r="HU80" s="929"/>
      <c r="HV80" s="929"/>
      <c r="HW80" s="929"/>
      <c r="HX80" s="929"/>
      <c r="HY80" s="929"/>
      <c r="HZ80" s="929"/>
      <c r="IA80" s="929"/>
      <c r="IB80" s="929"/>
      <c r="IC80" s="929"/>
      <c r="IE80" s="102"/>
      <c r="IF80" s="102"/>
      <c r="IG80" s="102"/>
      <c r="IH80" s="102"/>
      <c r="II80" s="102"/>
      <c r="IJ80" s="102"/>
      <c r="IK80" s="102"/>
      <c r="IL80" s="102"/>
      <c r="IM80" s="102"/>
      <c r="IN80" s="102"/>
      <c r="IP80" s="32"/>
      <c r="IQ80" s="32"/>
      <c r="IR80" s="32"/>
      <c r="IS80" s="32"/>
      <c r="IT80" s="32"/>
      <c r="IU80" s="32"/>
      <c r="IV80" s="32"/>
      <c r="IW80" s="32"/>
      <c r="IX80" s="32"/>
      <c r="IY80" s="32"/>
      <c r="JA80" s="102">
        <f t="shared" si="457"/>
        <v>0</v>
      </c>
      <c r="JB80" s="102">
        <f t="shared" si="457"/>
        <v>0</v>
      </c>
      <c r="JC80" s="102">
        <f t="shared" si="457"/>
        <v>0</v>
      </c>
      <c r="JD80" s="102">
        <f t="shared" si="457"/>
        <v>0</v>
      </c>
      <c r="JE80" s="102">
        <f t="shared" si="457"/>
        <v>0</v>
      </c>
      <c r="JF80" s="102">
        <f t="shared" si="457"/>
        <v>309.01634905000003</v>
      </c>
      <c r="JG80" s="102">
        <f t="shared" si="457"/>
        <v>515.35562975999994</v>
      </c>
      <c r="JH80" s="102">
        <f t="shared" si="457"/>
        <v>620.92670530999987</v>
      </c>
      <c r="JI80" s="102">
        <f t="shared" si="457"/>
        <v>921.43972816999985</v>
      </c>
      <c r="JJ80" s="102">
        <f t="shared" si="457"/>
        <v>900.18341605000023</v>
      </c>
      <c r="JK80" s="102">
        <f t="shared" si="457"/>
        <v>1405.7344028699999</v>
      </c>
      <c r="JL80" s="102">
        <f t="shared" si="458"/>
        <v>1405.7344028699999</v>
      </c>
      <c r="JM80" s="102"/>
      <c r="JN80" s="102"/>
      <c r="JO80" s="1184"/>
      <c r="JP80" s="102"/>
      <c r="JQ80" s="102"/>
      <c r="JR80" s="145"/>
      <c r="JS80" s="929"/>
      <c r="JT80" s="930"/>
      <c r="JV80" s="32"/>
      <c r="JW80" s="929"/>
      <c r="JY80" s="929"/>
      <c r="JZ80" s="929"/>
      <c r="KA80" s="929"/>
      <c r="KB80" s="929"/>
      <c r="KC80" s="929"/>
      <c r="KD80" s="929"/>
      <c r="KE80" s="929"/>
      <c r="KF80" s="929"/>
      <c r="KH80" s="102"/>
      <c r="KI80" s="102"/>
      <c r="KJ80" s="102"/>
      <c r="KK80" s="102"/>
      <c r="KL80" s="102"/>
      <c r="KM80" s="102"/>
      <c r="KN80" s="102"/>
      <c r="KO80" s="102"/>
      <c r="KQ80" s="32"/>
      <c r="KR80" s="32"/>
      <c r="KS80" s="32"/>
      <c r="KT80" s="32"/>
      <c r="KU80" s="32"/>
      <c r="KV80" s="32"/>
      <c r="KW80" s="32"/>
      <c r="KX80" s="32"/>
      <c r="KY80" s="32"/>
      <c r="KZ80" s="32"/>
      <c r="LB80" s="102">
        <f t="shared" si="462"/>
        <v>0</v>
      </c>
      <c r="LC80" s="102">
        <f t="shared" si="462"/>
        <v>0</v>
      </c>
      <c r="LD80" s="102">
        <f t="shared" si="462"/>
        <v>0</v>
      </c>
      <c r="LE80" s="102">
        <f t="shared" si="462"/>
        <v>0</v>
      </c>
      <c r="LF80" s="102">
        <f t="shared" si="462"/>
        <v>0</v>
      </c>
      <c r="LG80" s="102">
        <f t="shared" si="462"/>
        <v>102.17843866000001</v>
      </c>
      <c r="LH80" s="102">
        <f t="shared" si="462"/>
        <v>84.899242420000007</v>
      </c>
      <c r="LI80" s="102">
        <f t="shared" si="462"/>
        <v>54.233035879999996</v>
      </c>
      <c r="LJ80" s="102">
        <f t="shared" si="462"/>
        <v>14.37730271</v>
      </c>
      <c r="LK80" s="102">
        <f t="shared" si="462"/>
        <v>70.952806629999998</v>
      </c>
      <c r="LL80" s="102">
        <f t="shared" si="462"/>
        <v>184.95069447</v>
      </c>
      <c r="LM80" s="102">
        <f t="shared" si="462"/>
        <v>184.95069447</v>
      </c>
      <c r="LN80" s="102"/>
      <c r="LO80" s="102"/>
      <c r="LR80" s="32"/>
      <c r="LS80" s="32"/>
      <c r="LT80" s="32"/>
      <c r="LU80" s="32"/>
      <c r="LV80" s="32"/>
      <c r="LW80" s="32"/>
      <c r="LX80" s="32"/>
      <c r="LZ80" s="102"/>
      <c r="MA80" s="102"/>
      <c r="MB80" s="102"/>
      <c r="MC80" s="102"/>
      <c r="MD80" s="102"/>
      <c r="ME80" s="102"/>
      <c r="MF80" s="102"/>
      <c r="MH80" s="32"/>
      <c r="MI80" s="32"/>
      <c r="MJ80" s="32"/>
      <c r="MK80" s="32"/>
      <c r="ML80" s="32"/>
      <c r="MM80" s="32"/>
      <c r="MN80" s="32"/>
      <c r="MO80" s="32"/>
      <c r="MP80" s="32"/>
    </row>
    <row r="81" spans="1:354" outlineLevel="2">
      <c r="A81" s="884">
        <v>421040</v>
      </c>
      <c r="B81" s="70"/>
      <c r="C81" s="40" t="s">
        <v>660</v>
      </c>
      <c r="D81" s="31"/>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940"/>
      <c r="AP81" s="963"/>
      <c r="AQ81" s="962"/>
      <c r="AR81" s="962"/>
      <c r="AS81" s="940"/>
      <c r="AT81" s="940"/>
      <c r="AU81" s="940"/>
      <c r="AV81" s="940"/>
      <c r="AW81" s="940"/>
      <c r="AX81" s="940"/>
      <c r="AY81" s="940"/>
      <c r="AZ81" s="940"/>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940"/>
      <c r="DR81" s="940"/>
      <c r="DS81" s="940">
        <v>0</v>
      </c>
      <c r="DT81" s="940">
        <v>2.2770000000000001</v>
      </c>
      <c r="DU81" s="940">
        <v>3.165</v>
      </c>
      <c r="DV81" s="940">
        <v>5.0039999999999996</v>
      </c>
      <c r="DW81" s="940">
        <v>0.87075000000000002</v>
      </c>
      <c r="DX81" s="940">
        <v>1.7302500000000001</v>
      </c>
      <c r="DY81" s="940">
        <v>-10.77</v>
      </c>
      <c r="DZ81" s="940">
        <v>0</v>
      </c>
      <c r="EA81" s="940">
        <v>0</v>
      </c>
      <c r="EB81" s="940">
        <v>0</v>
      </c>
      <c r="EC81" s="940">
        <v>0</v>
      </c>
      <c r="ED81" s="940">
        <v>0</v>
      </c>
      <c r="EE81" s="940">
        <v>0</v>
      </c>
      <c r="EF81" s="940">
        <v>0</v>
      </c>
      <c r="EH81" s="102"/>
      <c r="EI81" s="102"/>
      <c r="EJ81" s="102"/>
      <c r="EK81" s="102"/>
      <c r="EL81" s="102"/>
      <c r="EM81" s="102"/>
      <c r="EN81" s="102"/>
      <c r="EO81" s="102"/>
      <c r="EP81" s="102"/>
      <c r="EQ81" s="102"/>
      <c r="ER81" s="102"/>
      <c r="ES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D81" s="102"/>
      <c r="HE81" s="102"/>
      <c r="HF81" s="102"/>
      <c r="HG81" s="102"/>
      <c r="HH81" s="102"/>
      <c r="HI81" s="102"/>
      <c r="HJ81" s="102"/>
      <c r="HK81" s="102"/>
      <c r="HL81" s="940"/>
      <c r="HM81" s="940"/>
      <c r="HN81" s="940"/>
      <c r="HO81" s="102"/>
      <c r="HP81" s="102"/>
      <c r="HR81" s="929"/>
      <c r="HS81" s="929"/>
      <c r="HT81" s="929"/>
      <c r="HU81" s="929"/>
      <c r="HV81" s="929"/>
      <c r="HW81" s="929"/>
      <c r="HX81" s="929"/>
      <c r="HY81" s="929"/>
      <c r="HZ81" s="929"/>
      <c r="IA81" s="929"/>
      <c r="IB81" s="929"/>
      <c r="IC81" s="929"/>
      <c r="IE81" s="102"/>
      <c r="IF81" s="102"/>
      <c r="IG81" s="102"/>
      <c r="IH81" s="102"/>
      <c r="II81" s="102"/>
      <c r="IJ81" s="102"/>
      <c r="IK81" s="102"/>
      <c r="IL81" s="102"/>
      <c r="IM81" s="102"/>
      <c r="IN81" s="102"/>
      <c r="IP81" s="32"/>
      <c r="IQ81" s="32"/>
      <c r="IR81" s="32"/>
      <c r="IS81" s="32"/>
      <c r="IT81" s="32"/>
      <c r="IU81" s="32"/>
      <c r="IV81" s="32"/>
      <c r="IW81" s="32"/>
      <c r="IX81" s="32"/>
      <c r="IY81" s="32"/>
      <c r="JA81" s="102">
        <f t="shared" si="457"/>
        <v>0</v>
      </c>
      <c r="JB81" s="102">
        <f t="shared" si="457"/>
        <v>0</v>
      </c>
      <c r="JC81" s="102">
        <f t="shared" si="457"/>
        <v>0</v>
      </c>
      <c r="JD81" s="102">
        <f t="shared" si="457"/>
        <v>0</v>
      </c>
      <c r="JE81" s="102">
        <f t="shared" si="457"/>
        <v>0</v>
      </c>
      <c r="JF81" s="102">
        <f t="shared" si="457"/>
        <v>0</v>
      </c>
      <c r="JG81" s="102">
        <f t="shared" si="457"/>
        <v>0</v>
      </c>
      <c r="JH81" s="102">
        <f t="shared" si="457"/>
        <v>0</v>
      </c>
      <c r="JI81" s="102">
        <f t="shared" si="457"/>
        <v>0</v>
      </c>
      <c r="JJ81" s="102">
        <f t="shared" si="457"/>
        <v>2.2770000000000001</v>
      </c>
      <c r="JK81" s="102">
        <f t="shared" si="457"/>
        <v>0</v>
      </c>
      <c r="JL81" s="102">
        <f t="shared" si="458"/>
        <v>0</v>
      </c>
      <c r="JM81" s="102"/>
      <c r="JN81" s="102"/>
      <c r="JO81" s="1184"/>
      <c r="JP81" s="102"/>
      <c r="JQ81" s="102"/>
      <c r="JR81" s="145"/>
      <c r="JS81" s="929"/>
      <c r="JT81" s="930"/>
      <c r="JV81" s="32"/>
      <c r="JW81" s="929"/>
      <c r="JY81" s="929"/>
      <c r="JZ81" s="929"/>
      <c r="KA81" s="929"/>
      <c r="KB81" s="929"/>
      <c r="KC81" s="929"/>
      <c r="KD81" s="929"/>
      <c r="KE81" s="929"/>
      <c r="KF81" s="929"/>
      <c r="KH81" s="102"/>
      <c r="KI81" s="102"/>
      <c r="KJ81" s="102"/>
      <c r="KK81" s="102"/>
      <c r="KL81" s="102"/>
      <c r="KM81" s="102"/>
      <c r="KN81" s="102"/>
      <c r="KO81" s="102"/>
      <c r="KQ81" s="32"/>
      <c r="KR81" s="32"/>
      <c r="KS81" s="32"/>
      <c r="KT81" s="32"/>
      <c r="KU81" s="32"/>
      <c r="KV81" s="32"/>
      <c r="KW81" s="32"/>
      <c r="KX81" s="32"/>
      <c r="KY81" s="32"/>
      <c r="KZ81" s="32"/>
      <c r="LB81" s="102">
        <f t="shared" si="462"/>
        <v>0</v>
      </c>
      <c r="LC81" s="102">
        <f t="shared" si="462"/>
        <v>0</v>
      </c>
      <c r="LD81" s="102">
        <f t="shared" si="462"/>
        <v>0</v>
      </c>
      <c r="LE81" s="102">
        <f t="shared" si="462"/>
        <v>0</v>
      </c>
      <c r="LF81" s="102">
        <f t="shared" si="462"/>
        <v>0</v>
      </c>
      <c r="LG81" s="102">
        <f t="shared" si="462"/>
        <v>0</v>
      </c>
      <c r="LH81" s="102">
        <f t="shared" si="462"/>
        <v>0</v>
      </c>
      <c r="LI81" s="102">
        <f t="shared" si="462"/>
        <v>0</v>
      </c>
      <c r="LJ81" s="102">
        <f t="shared" si="462"/>
        <v>0</v>
      </c>
      <c r="LK81" s="102">
        <f t="shared" si="462"/>
        <v>2.2770000000000001</v>
      </c>
      <c r="LL81" s="102">
        <f t="shared" si="462"/>
        <v>0</v>
      </c>
      <c r="LM81" s="102">
        <f t="shared" si="462"/>
        <v>0</v>
      </c>
      <c r="LN81" s="102"/>
      <c r="LO81" s="102"/>
      <c r="LR81" s="32"/>
      <c r="LS81" s="32"/>
      <c r="LT81" s="32"/>
      <c r="LU81" s="32"/>
      <c r="LV81" s="32"/>
      <c r="LW81" s="32"/>
      <c r="LX81" s="32"/>
      <c r="LZ81" s="102"/>
      <c r="MA81" s="102"/>
      <c r="MB81" s="102"/>
      <c r="MC81" s="102"/>
      <c r="MD81" s="102"/>
      <c r="ME81" s="102"/>
      <c r="MF81" s="102"/>
      <c r="MH81" s="32"/>
      <c r="MI81" s="32"/>
      <c r="MJ81" s="32"/>
      <c r="MK81" s="32"/>
      <c r="ML81" s="32"/>
      <c r="MM81" s="32"/>
      <c r="MN81" s="32"/>
      <c r="MO81" s="32"/>
      <c r="MP81" s="32"/>
    </row>
    <row r="82" spans="1:354" outlineLevel="1">
      <c r="A82" s="884">
        <v>4215</v>
      </c>
      <c r="B82" s="70" t="s">
        <v>661</v>
      </c>
      <c r="C82" s="17" t="s">
        <v>98</v>
      </c>
      <c r="D82" s="31" t="s">
        <v>59</v>
      </c>
      <c r="E82" s="102">
        <v>0</v>
      </c>
      <c r="F82" s="102">
        <v>2.7480311200000003</v>
      </c>
      <c r="G82" s="102">
        <v>2.9275264799999992</v>
      </c>
      <c r="H82" s="102">
        <v>0</v>
      </c>
      <c r="I82" s="102">
        <v>6.2958286200000018</v>
      </c>
      <c r="J82" s="102">
        <v>0</v>
      </c>
      <c r="K82" s="102">
        <v>2.6650655999999984</v>
      </c>
      <c r="L82" s="102">
        <v>0</v>
      </c>
      <c r="M82" s="102">
        <v>0</v>
      </c>
      <c r="N82" s="102">
        <v>0</v>
      </c>
      <c r="O82" s="102">
        <v>0</v>
      </c>
      <c r="P82" s="102">
        <v>0</v>
      </c>
      <c r="Q82" s="102">
        <v>33.205745759999999</v>
      </c>
      <c r="R82" s="102">
        <v>0</v>
      </c>
      <c r="S82" s="102">
        <v>13.614067899999995</v>
      </c>
      <c r="T82" s="102">
        <v>0</v>
      </c>
      <c r="U82" s="102">
        <v>0</v>
      </c>
      <c r="V82" s="102">
        <v>0</v>
      </c>
      <c r="W82" s="102">
        <v>0</v>
      </c>
      <c r="X82" s="102">
        <v>50.297960000000003</v>
      </c>
      <c r="Y82" s="102">
        <v>0</v>
      </c>
      <c r="Z82" s="102">
        <v>0.1373494900000054</v>
      </c>
      <c r="AA82" s="102">
        <v>0</v>
      </c>
      <c r="AB82" s="102">
        <v>837.33682714999998</v>
      </c>
      <c r="AC82" s="102">
        <v>2.448569</v>
      </c>
      <c r="AD82" s="102">
        <v>2.049023</v>
      </c>
      <c r="AE82" s="102">
        <v>2.0800320000000001</v>
      </c>
      <c r="AF82" s="102">
        <v>0</v>
      </c>
      <c r="AG82" s="102">
        <v>16.127880000000001</v>
      </c>
      <c r="AH82" s="102">
        <v>0</v>
      </c>
      <c r="AI82" s="102">
        <v>7.568549</v>
      </c>
      <c r="AJ82" s="102">
        <v>0</v>
      </c>
      <c r="AK82" s="102">
        <v>28.983671000000001</v>
      </c>
      <c r="AL82" s="102">
        <v>0</v>
      </c>
      <c r="AM82" s="102">
        <v>2.627202</v>
      </c>
      <c r="AN82" s="102">
        <v>120.097217</v>
      </c>
      <c r="AO82" s="940">
        <v>7.2116530000000001</v>
      </c>
      <c r="AP82" s="963">
        <v>0</v>
      </c>
      <c r="AQ82" s="962">
        <v>0</v>
      </c>
      <c r="AR82" s="962">
        <v>0</v>
      </c>
      <c r="AS82" s="940">
        <v>0</v>
      </c>
      <c r="AT82" s="940">
        <v>0</v>
      </c>
      <c r="AU82" s="940">
        <v>0</v>
      </c>
      <c r="AV82" s="940">
        <v>0</v>
      </c>
      <c r="AW82" s="940">
        <v>-1.5828540000000002</v>
      </c>
      <c r="AX82" s="940">
        <v>0</v>
      </c>
      <c r="AY82" s="940">
        <v>0</v>
      </c>
      <c r="AZ82" s="940">
        <f>318.331-318.37</f>
        <v>-3.8999999999987267E-2</v>
      </c>
      <c r="BA82" s="102">
        <v>0</v>
      </c>
      <c r="BB82" s="102">
        <v>0</v>
      </c>
      <c r="BC82" s="102">
        <v>0</v>
      </c>
      <c r="BD82" s="102">
        <v>0</v>
      </c>
      <c r="BE82" s="102">
        <v>0</v>
      </c>
      <c r="BF82" s="102">
        <v>0</v>
      </c>
      <c r="BG82" s="102">
        <v>0</v>
      </c>
      <c r="BH82" s="102">
        <v>0</v>
      </c>
      <c r="BI82" s="102">
        <v>0</v>
      </c>
      <c r="BJ82" s="102">
        <v>0</v>
      </c>
      <c r="BK82" s="102">
        <v>0</v>
      </c>
      <c r="BL82" s="102"/>
      <c r="BM82" s="102">
        <v>0</v>
      </c>
      <c r="BN82" s="102">
        <v>0</v>
      </c>
      <c r="BO82" s="102">
        <v>0</v>
      </c>
      <c r="BP82" s="102">
        <v>0</v>
      </c>
      <c r="BQ82" s="102">
        <v>0</v>
      </c>
      <c r="BR82" s="102">
        <v>0</v>
      </c>
      <c r="BS82" s="102">
        <v>0</v>
      </c>
      <c r="BT82" s="102">
        <v>0</v>
      </c>
      <c r="BU82" s="102">
        <v>0</v>
      </c>
      <c r="BV82" s="102">
        <v>0</v>
      </c>
      <c r="BW82" s="102">
        <v>0</v>
      </c>
      <c r="BX82" s="102">
        <v>0</v>
      </c>
      <c r="BY82" s="102">
        <v>0</v>
      </c>
      <c r="BZ82" s="102">
        <v>0</v>
      </c>
      <c r="CA82" s="102">
        <v>0</v>
      </c>
      <c r="CB82" s="102">
        <v>0</v>
      </c>
      <c r="CC82" s="102">
        <v>0</v>
      </c>
      <c r="CD82" s="102">
        <v>0</v>
      </c>
      <c r="CE82" s="102">
        <v>0</v>
      </c>
      <c r="CF82" s="102">
        <v>0</v>
      </c>
      <c r="CG82" s="102">
        <v>0</v>
      </c>
      <c r="CH82" s="102">
        <v>0</v>
      </c>
      <c r="CI82" s="102">
        <v>0</v>
      </c>
      <c r="CJ82" s="102">
        <v>0</v>
      </c>
      <c r="CK82" s="102">
        <v>0</v>
      </c>
      <c r="CL82" s="102">
        <v>0</v>
      </c>
      <c r="CM82" s="102">
        <v>0</v>
      </c>
      <c r="CN82" s="102">
        <v>0</v>
      </c>
      <c r="CO82" s="102">
        <v>0</v>
      </c>
      <c r="CP82" s="102">
        <v>0</v>
      </c>
      <c r="CQ82" s="102">
        <v>0</v>
      </c>
      <c r="CR82" s="102">
        <v>0</v>
      </c>
      <c r="CS82" s="102">
        <v>0</v>
      </c>
      <c r="CT82" s="102">
        <v>0</v>
      </c>
      <c r="CU82" s="102">
        <v>0</v>
      </c>
      <c r="CV82" s="102">
        <v>0</v>
      </c>
      <c r="CW82" s="102">
        <v>0</v>
      </c>
      <c r="CX82" s="102">
        <v>0</v>
      </c>
      <c r="CY82" s="102">
        <v>0</v>
      </c>
      <c r="CZ82" s="102">
        <v>0</v>
      </c>
      <c r="DA82" s="102">
        <v>0</v>
      </c>
      <c r="DB82" s="102">
        <v>0</v>
      </c>
      <c r="DC82" s="102">
        <v>0</v>
      </c>
      <c r="DD82" s="102">
        <v>0</v>
      </c>
      <c r="DE82" s="102">
        <v>0</v>
      </c>
      <c r="DF82" s="102">
        <v>0</v>
      </c>
      <c r="DG82" s="102">
        <v>0</v>
      </c>
      <c r="DH82" s="102">
        <v>0</v>
      </c>
      <c r="DI82" s="102">
        <v>0</v>
      </c>
      <c r="DJ82" s="102">
        <v>0</v>
      </c>
      <c r="DK82" s="102">
        <v>0</v>
      </c>
      <c r="DL82" s="102">
        <v>0</v>
      </c>
      <c r="DM82" s="102">
        <v>0</v>
      </c>
      <c r="DN82" s="102">
        <v>0</v>
      </c>
      <c r="DO82" s="102">
        <v>0</v>
      </c>
      <c r="DP82" s="102">
        <v>0</v>
      </c>
      <c r="DQ82" s="940">
        <v>0</v>
      </c>
      <c r="DR82" s="940">
        <v>0</v>
      </c>
      <c r="DS82" s="940">
        <v>0</v>
      </c>
      <c r="DT82" s="940">
        <v>0</v>
      </c>
      <c r="DU82" s="940">
        <v>0</v>
      </c>
      <c r="DV82" s="940">
        <v>0</v>
      </c>
      <c r="DW82" s="940">
        <v>0</v>
      </c>
      <c r="DX82" s="940">
        <v>0</v>
      </c>
      <c r="DY82" s="940">
        <v>0</v>
      </c>
      <c r="DZ82" s="940">
        <v>0</v>
      </c>
      <c r="EA82" s="940">
        <v>0</v>
      </c>
      <c r="EB82" s="940">
        <v>0</v>
      </c>
      <c r="EC82" s="940">
        <v>0</v>
      </c>
      <c r="ED82" s="940">
        <v>0</v>
      </c>
      <c r="EE82" s="940">
        <v>0</v>
      </c>
      <c r="EF82" s="940">
        <v>0</v>
      </c>
      <c r="EH82" s="102">
        <v>0</v>
      </c>
      <c r="EI82" s="102">
        <v>0</v>
      </c>
      <c r="EJ82" s="102">
        <v>0</v>
      </c>
      <c r="EK82" s="102">
        <v>0</v>
      </c>
      <c r="EL82" s="102">
        <v>0</v>
      </c>
      <c r="EM82" s="102">
        <v>0</v>
      </c>
      <c r="EN82" s="102">
        <v>0</v>
      </c>
      <c r="EO82" s="102">
        <v>0</v>
      </c>
      <c r="EP82" s="102">
        <v>0</v>
      </c>
      <c r="EQ82" s="102">
        <v>0</v>
      </c>
      <c r="ER82" s="102">
        <v>0</v>
      </c>
      <c r="ES82" s="102">
        <v>0</v>
      </c>
      <c r="EU82" s="102">
        <v>5</v>
      </c>
      <c r="EV82" s="102">
        <v>5</v>
      </c>
      <c r="EW82" s="102">
        <v>5</v>
      </c>
      <c r="EX82" s="102">
        <v>5</v>
      </c>
      <c r="EY82" s="102">
        <v>5</v>
      </c>
      <c r="EZ82" s="102">
        <v>5</v>
      </c>
      <c r="FA82" s="102">
        <v>5</v>
      </c>
      <c r="FB82" s="102">
        <v>5</v>
      </c>
      <c r="FC82" s="102">
        <v>5</v>
      </c>
      <c r="FD82" s="102">
        <v>5</v>
      </c>
      <c r="FE82" s="102">
        <v>5</v>
      </c>
      <c r="FF82" s="102">
        <v>5</v>
      </c>
      <c r="FG82" s="102">
        <v>0</v>
      </c>
      <c r="FH82" s="102">
        <v>0</v>
      </c>
      <c r="FI82" s="102">
        <v>0</v>
      </c>
      <c r="FJ82" s="102">
        <v>0</v>
      </c>
      <c r="FK82" s="102">
        <v>0</v>
      </c>
      <c r="FL82" s="102">
        <v>0</v>
      </c>
      <c r="FM82" s="102">
        <v>0</v>
      </c>
      <c r="FN82" s="102">
        <v>0</v>
      </c>
      <c r="FO82" s="102">
        <v>5.0585798888023641</v>
      </c>
      <c r="FP82" s="102">
        <v>0</v>
      </c>
      <c r="FQ82" s="102">
        <v>0</v>
      </c>
      <c r="FR82" s="102">
        <v>0</v>
      </c>
      <c r="FS82" s="102"/>
      <c r="FT82" s="102"/>
      <c r="FU82" s="102"/>
      <c r="FV82" s="102"/>
      <c r="FW82" s="102"/>
      <c r="FX82" s="102"/>
      <c r="FY82" s="102"/>
      <c r="FZ82" s="102"/>
      <c r="GA82" s="102"/>
      <c r="GB82" s="102"/>
      <c r="GC82" s="102"/>
      <c r="GD82" s="102"/>
      <c r="GE82" s="102">
        <v>0</v>
      </c>
      <c r="GF82" s="102">
        <v>0</v>
      </c>
      <c r="GG82" s="102">
        <v>0</v>
      </c>
      <c r="GH82" s="102">
        <v>0</v>
      </c>
      <c r="GI82" s="102">
        <v>0</v>
      </c>
      <c r="GJ82" s="102">
        <v>0</v>
      </c>
      <c r="GK82" s="102">
        <v>0</v>
      </c>
      <c r="GL82" s="102">
        <v>0</v>
      </c>
      <c r="GM82" s="102">
        <v>0</v>
      </c>
      <c r="GN82" s="102">
        <v>0</v>
      </c>
      <c r="GO82" s="102">
        <v>0</v>
      </c>
      <c r="GP82" s="102">
        <v>0</v>
      </c>
      <c r="GQ82" s="102">
        <v>0</v>
      </c>
      <c r="GR82" s="102">
        <v>0</v>
      </c>
      <c r="GS82" s="102">
        <v>0</v>
      </c>
      <c r="GT82" s="102">
        <v>0</v>
      </c>
      <c r="GU82" s="102">
        <v>0</v>
      </c>
      <c r="GV82" s="102">
        <v>0</v>
      </c>
      <c r="GW82" s="102">
        <v>0</v>
      </c>
      <c r="GX82" s="102">
        <v>0</v>
      </c>
      <c r="GY82" s="102">
        <v>0</v>
      </c>
      <c r="GZ82" s="102">
        <v>0</v>
      </c>
      <c r="HA82" s="102">
        <v>0</v>
      </c>
      <c r="HB82" s="102">
        <v>0</v>
      </c>
      <c r="HD82" s="102">
        <f t="shared" ref="HD82:HG90" si="469">+SUMIF($E$6:$AZ$6,HD$7,$E82:$AZ82)</f>
        <v>14.63645182</v>
      </c>
      <c r="HE82" s="102">
        <f t="shared" si="469"/>
        <v>934.59195030000001</v>
      </c>
      <c r="HF82" s="102">
        <f t="shared" si="469"/>
        <v>181.98214300000001</v>
      </c>
      <c r="HG82" s="102">
        <f t="shared" si="469"/>
        <v>5.5897990000000126</v>
      </c>
      <c r="HH82" s="102">
        <f t="shared" ref="HH82:HH90" si="470">+SUMIF($E$6:$BL$6,HH$7,$E82:$BL82)</f>
        <v>0</v>
      </c>
      <c r="HI82" s="102">
        <f t="shared" ref="HI82:HI90" si="471">+SUMIF($E$6:$BX$6,HI$7,$E82:$BX82)</f>
        <v>0</v>
      </c>
      <c r="HJ82" s="102">
        <f t="shared" ref="HJ82:HJ105" si="472">+SUMIF($E$6:$CJ$6,HJ$7,$E82:$CJ82)</f>
        <v>0</v>
      </c>
      <c r="HK82" s="102">
        <f t="shared" ref="HK82:HK105" si="473">+SUMIF($E$6:$CV$6,HK$7,$E82:$CV82)</f>
        <v>0</v>
      </c>
      <c r="HL82" s="940">
        <f>+SUMIF($E$6:SEW$6,HL$7,$E82:SEW82)</f>
        <v>0</v>
      </c>
      <c r="HM82" s="940">
        <f>+SUMIF($E$6:SEX$6,HM$7,$E82:SEX82)</f>
        <v>0</v>
      </c>
      <c r="HN82" s="940">
        <f>+SUMIF($E$6:SEY$6,HN$7,$E82:SEY82)</f>
        <v>0</v>
      </c>
      <c r="HO82" s="102"/>
      <c r="HP82" s="102"/>
      <c r="HR82" s="929">
        <f t="shared" ref="HR82:HR90" si="474">+IFERROR(HF82/HE82-1,"")</f>
        <v>-0.80528171364884482</v>
      </c>
      <c r="HS82" s="929">
        <f t="shared" ref="HS82:HS90" si="475">+IFERROR(HG82/HF82-1,"")</f>
        <v>-0.96928380495002742</v>
      </c>
      <c r="HT82" s="929">
        <f t="shared" ref="HT82:HT90" si="476">+IFERROR(HH82/HG82-1,"")</f>
        <v>-1</v>
      </c>
      <c r="HU82" s="929" t="str">
        <f t="shared" ref="HU82:HU90" si="477">+IFERROR(HI82/HH82-1,"")</f>
        <v/>
      </c>
      <c r="HV82" s="929" t="str">
        <f t="shared" ref="HV82:HV90" si="478">+IFERROR(HJ82/HI82-1,"")</f>
        <v/>
      </c>
      <c r="HW82" s="929" t="str">
        <f t="shared" ref="HW82:HW90" si="479">+IFERROR(HK82/HJ82-1,"")</f>
        <v/>
      </c>
      <c r="HX82" s="929" t="str">
        <f t="shared" ref="HX82:HZ90" si="480">+IFERROR(HL82/HK82-1,"")</f>
        <v/>
      </c>
      <c r="HY82" s="929" t="str">
        <f t="shared" si="480"/>
        <v/>
      </c>
      <c r="HZ82" s="929" t="str">
        <f t="shared" si="480"/>
        <v/>
      </c>
      <c r="IA82" s="929" t="str">
        <f t="shared" ref="IA82:IA93" si="481">+IFERROR(HO82/HL82-1,"")</f>
        <v/>
      </c>
      <c r="IB82" s="929" t="str">
        <f t="shared" ref="IB82:IB90" si="482">+IFERROR(HP82/HO82-1,"")</f>
        <v/>
      </c>
      <c r="IC82" s="929" t="str">
        <f t="shared" ref="IC82:IC93" si="483">+IFERROR(HP82/HL82-1,"")</f>
        <v/>
      </c>
      <c r="IE82" s="102">
        <f t="shared" ref="IE82:IE90" si="484">+HF82-HE82</f>
        <v>-752.60980730000006</v>
      </c>
      <c r="IF82" s="102">
        <f t="shared" ref="IF82:IF90" si="485">+HG82-HF82</f>
        <v>-176.39234400000001</v>
      </c>
      <c r="IG82" s="102">
        <f t="shared" ref="IG82:IG90" si="486">+HH82-HG82</f>
        <v>-5.5897990000000126</v>
      </c>
      <c r="IH82" s="102">
        <f t="shared" ref="IH82:IH90" si="487">+HI82-HH82</f>
        <v>0</v>
      </c>
      <c r="II82" s="102">
        <f t="shared" ref="II82:II90" si="488">+HJ82-HI82</f>
        <v>0</v>
      </c>
      <c r="IJ82" s="102">
        <f t="shared" ref="IJ82:IJ90" si="489">+HK82-HJ82</f>
        <v>0</v>
      </c>
      <c r="IK82" s="102">
        <f t="shared" ref="IK82:IK90" si="490">+HL82-HK82</f>
        <v>0</v>
      </c>
      <c r="IL82" s="102">
        <f t="shared" ref="IL82:IL93" si="491">+HO82-HL82</f>
        <v>0</v>
      </c>
      <c r="IM82" s="102">
        <f t="shared" ref="IM82:IM90" si="492">+HP82-HO82</f>
        <v>0</v>
      </c>
      <c r="IN82" s="102">
        <f t="shared" ref="IN82:IN93" si="493">+HP82-HL82</f>
        <v>0</v>
      </c>
      <c r="IP82" s="32">
        <f t="shared" ref="IP82:IP90" si="494">+HE82/HE$11</f>
        <v>2.5427420122667594E-2</v>
      </c>
      <c r="IQ82" s="32">
        <f t="shared" ref="IQ82:IQ90" si="495">+HF82/HF$11</f>
        <v>4.6208320590491294E-3</v>
      </c>
      <c r="IR82" s="32">
        <f t="shared" ref="IR82:IR90" si="496">+HG82/HG$11</f>
        <v>3.3168402622040595E-4</v>
      </c>
      <c r="IS82" s="32">
        <f t="shared" ref="IS82:IS90" si="497">+HH82/HH$11</f>
        <v>0</v>
      </c>
      <c r="IT82" s="32">
        <f t="shared" ref="IT82:IT90" si="498">+HI82/HI$11</f>
        <v>0</v>
      </c>
      <c r="IU82" s="32">
        <f t="shared" ref="IU82:IU90" si="499">+HJ82/HJ$11</f>
        <v>0</v>
      </c>
      <c r="IV82" s="32">
        <f t="shared" ref="IV82:IV90" si="500">+HK82/HK$11</f>
        <v>0</v>
      </c>
      <c r="IW82" s="32">
        <f t="shared" ref="IW82:IW90" si="501">+HL82/HL$11</f>
        <v>0</v>
      </c>
      <c r="IX82" s="32" t="e">
        <f t="shared" ref="IX82:IX90" si="502">+HO82/HO$11</f>
        <v>#DIV/0!</v>
      </c>
      <c r="IY82" s="32" t="e">
        <f t="shared" ref="IY82:IY90" si="503">+HP82/HP$11</f>
        <v>#DIV/0!</v>
      </c>
      <c r="JA82" s="102">
        <f t="shared" si="457"/>
        <v>14.63645182</v>
      </c>
      <c r="JB82" s="102">
        <f t="shared" si="457"/>
        <v>934.59195030000001</v>
      </c>
      <c r="JC82" s="102">
        <f t="shared" si="457"/>
        <v>181.98214300000001</v>
      </c>
      <c r="JD82" s="102">
        <f t="shared" si="457"/>
        <v>5.5897990000000126</v>
      </c>
      <c r="JE82" s="102">
        <f t="shared" si="457"/>
        <v>0</v>
      </c>
      <c r="JF82" s="102">
        <f t="shared" si="457"/>
        <v>0</v>
      </c>
      <c r="JG82" s="102">
        <f t="shared" si="457"/>
        <v>0</v>
      </c>
      <c r="JH82" s="102">
        <f t="shared" si="457"/>
        <v>0</v>
      </c>
      <c r="JI82" s="102">
        <f t="shared" si="457"/>
        <v>0</v>
      </c>
      <c r="JJ82" s="102">
        <f t="shared" si="457"/>
        <v>0</v>
      </c>
      <c r="JK82" s="102">
        <f t="shared" si="457"/>
        <v>0</v>
      </c>
      <c r="JL82" s="102">
        <f t="shared" si="458"/>
        <v>0</v>
      </c>
      <c r="JM82" s="102"/>
      <c r="JN82" s="102"/>
      <c r="JO82" s="1184"/>
      <c r="JP82" s="102">
        <f t="shared" ref="JP82:JP90" si="504">+JL82</f>
        <v>0</v>
      </c>
      <c r="JQ82" s="102">
        <f t="shared" ref="JQ82:JQ90" si="505">+JM82</f>
        <v>0</v>
      </c>
      <c r="JR82" s="145"/>
      <c r="JS82" s="929" t="str">
        <f t="shared" ref="JS82:JS90" si="506">+IFERROR(JP82/JQ82,"")</f>
        <v/>
      </c>
      <c r="JT82" s="930">
        <f t="shared" ref="JT82:JT90" si="507">+IFERROR(JP82-JQ82,"NA")</f>
        <v>0</v>
      </c>
      <c r="JV82" s="32">
        <f t="shared" ref="JV82:JV90" si="508">+JP82/JP$11</f>
        <v>0</v>
      </c>
      <c r="JW82" s="929" t="str">
        <f t="shared" ref="JW82:JW90" si="509">+IFERROR(JQ82/JQ$11,"")</f>
        <v/>
      </c>
      <c r="JY82" s="929">
        <f t="shared" ref="JY82:JY90" si="510">+IFERROR(JC82/JB82-1,"")</f>
        <v>-0.80528171364884482</v>
      </c>
      <c r="JZ82" s="929">
        <f t="shared" ref="JZ82:JZ90" si="511">+IFERROR(JD82/JC82-1,"")</f>
        <v>-0.96928380495002742</v>
      </c>
      <c r="KA82" s="929">
        <f t="shared" ref="KA82:KA90" si="512">+IFERROR(JE82/JD82-1,"")</f>
        <v>-1</v>
      </c>
      <c r="KB82" s="929" t="str">
        <f t="shared" ref="KB82:KB90" si="513">+IFERROR(JF82/JE82-1,"")</f>
        <v/>
      </c>
      <c r="KC82" s="929" t="str">
        <f t="shared" ref="KC82:KC90" si="514">+IFERROR(JG82/JF82-1,"")</f>
        <v/>
      </c>
      <c r="KD82" s="929" t="str">
        <f t="shared" ref="KD82:KD90" si="515">+IFERROR(JH82/JG82-1,"")</f>
        <v/>
      </c>
      <c r="KE82" s="929" t="str">
        <f t="shared" ref="KE82:KE90" si="516">+IFERROR(JI82/JH82-1,"")</f>
        <v/>
      </c>
      <c r="KF82" s="929" t="str">
        <f t="shared" ref="KF82:KF90" si="517">+IFERROR(JN82/JI82-1,"")</f>
        <v/>
      </c>
      <c r="KH82" s="102">
        <f t="shared" ref="KH82:KH90" si="518">+JC82-JB82</f>
        <v>-752.60980730000006</v>
      </c>
      <c r="KI82" s="102">
        <f t="shared" ref="KI82:KI90" si="519">+JD82-JC82</f>
        <v>-176.39234400000001</v>
      </c>
      <c r="KJ82" s="102">
        <f t="shared" ref="KJ82:KJ90" si="520">+JE82-JD82</f>
        <v>-5.5897990000000126</v>
      </c>
      <c r="KK82" s="102">
        <f t="shared" ref="KK82:KK90" si="521">+JF82-JE82</f>
        <v>0</v>
      </c>
      <c r="KL82" s="102">
        <f t="shared" ref="KL82:KL90" si="522">+JG82-JF82</f>
        <v>0</v>
      </c>
      <c r="KM82" s="102">
        <f t="shared" ref="KM82:KM90" si="523">+JH82-JG82</f>
        <v>0</v>
      </c>
      <c r="KN82" s="102">
        <f t="shared" ref="KN82:KN90" si="524">+JI82-JH82</f>
        <v>0</v>
      </c>
      <c r="KO82" s="102">
        <f t="shared" ref="KO82:KO90" si="525">+JN82-JI82</f>
        <v>0</v>
      </c>
      <c r="KQ82" s="32">
        <f t="shared" ref="KQ82:KQ90" si="526">+JA82/JA$11</f>
        <v>4.0341511333794093E-4</v>
      </c>
      <c r="KR82" s="32">
        <f t="shared" ref="KR82:KR90" si="527">+JB82/JB$11</f>
        <v>2.5427420122667594E-2</v>
      </c>
      <c r="KS82" s="32">
        <f t="shared" ref="KS82:KS90" si="528">+JC82/JC$11</f>
        <v>4.6208320590491294E-3</v>
      </c>
      <c r="KT82" s="32">
        <f t="shared" ref="KT82:KT90" si="529">+JD82/JD$11</f>
        <v>3.3168402622040595E-4</v>
      </c>
      <c r="KU82" s="32">
        <f t="shared" ref="KU82:KU90" si="530">+JE82/JE$11</f>
        <v>0</v>
      </c>
      <c r="KV82" s="32">
        <f t="shared" ref="KV82:KV90" si="531">+JF82/JF$11</f>
        <v>0</v>
      </c>
      <c r="KW82" s="32">
        <f t="shared" ref="KW82:KW90" si="532">+JG82/JG$11</f>
        <v>0</v>
      </c>
      <c r="KX82" s="32">
        <f t="shared" ref="KX82:KX90" si="533">+JH82/JH$11</f>
        <v>0</v>
      </c>
      <c r="KY82" s="32">
        <f t="shared" ref="KY82:KY90" si="534">+JI82/JI$11</f>
        <v>0</v>
      </c>
      <c r="KZ82" s="32" t="e">
        <f t="shared" ref="KZ82:KZ90" si="535">+JN82/JN$11</f>
        <v>#DIV/0!</v>
      </c>
      <c r="LB82" s="102">
        <f t="shared" si="462"/>
        <v>0</v>
      </c>
      <c r="LC82" s="102">
        <f t="shared" si="462"/>
        <v>837.33682714999998</v>
      </c>
      <c r="LD82" s="102">
        <f t="shared" si="462"/>
        <v>120.097217</v>
      </c>
      <c r="LE82" s="102">
        <f t="shared" si="462"/>
        <v>-3.8999999999987267E-2</v>
      </c>
      <c r="LF82" s="102">
        <f t="shared" si="462"/>
        <v>0</v>
      </c>
      <c r="LG82" s="102">
        <f t="shared" si="462"/>
        <v>0</v>
      </c>
      <c r="LH82" s="102">
        <f t="shared" si="462"/>
        <v>0</v>
      </c>
      <c r="LI82" s="102">
        <f t="shared" si="462"/>
        <v>0</v>
      </c>
      <c r="LJ82" s="102">
        <f t="shared" si="462"/>
        <v>0</v>
      </c>
      <c r="LK82" s="102">
        <f t="shared" si="462"/>
        <v>0</v>
      </c>
      <c r="LL82" s="102">
        <f t="shared" si="462"/>
        <v>0</v>
      </c>
      <c r="LM82" s="102">
        <f t="shared" si="462"/>
        <v>0</v>
      </c>
      <c r="LN82" s="102"/>
      <c r="LO82" s="102"/>
      <c r="LR82" s="32">
        <f t="shared" ref="LR82:LR90" si="536">+IFERROR(LD82/LC82-1," ")</f>
        <v>-0.85657239344318736</v>
      </c>
      <c r="LS82" s="32">
        <f t="shared" ref="LS82:LS90" si="537">+IFERROR(LE82/LD82-1," ")</f>
        <v>-1.0003247369170927</v>
      </c>
      <c r="LT82" s="32">
        <f t="shared" ref="LT82:LT90" si="538">+IFERROR(LF82/LE82-1," ")</f>
        <v>-1</v>
      </c>
      <c r="LU82" s="32" t="str">
        <f t="shared" ref="LU82:LU90" si="539">+IFERROR(LG82/LF82-1," ")</f>
        <v xml:space="preserve"> </v>
      </c>
      <c r="LV82" s="32" t="str">
        <f t="shared" ref="LV82:LV90" si="540">+IFERROR(LH82/LG82-1," ")</f>
        <v xml:space="preserve"> </v>
      </c>
      <c r="LW82" s="32" t="str">
        <f t="shared" ref="LW82:LW90" si="541">+IFERROR(LI82/LH82-1," ")</f>
        <v xml:space="preserve"> </v>
      </c>
      <c r="LX82" s="32" t="str">
        <f t="shared" ref="LX82:LX90" si="542">+IFERROR(LO82/LI82-1," ")</f>
        <v xml:space="preserve"> </v>
      </c>
      <c r="LZ82" s="102">
        <f t="shared" ref="LZ82:LZ90" si="543">+LD82-LC82</f>
        <v>-717.23961014999998</v>
      </c>
      <c r="MA82" s="102">
        <f t="shared" ref="MA82:MA90" si="544">+LE82-LD82</f>
        <v>-120.13621699999999</v>
      </c>
      <c r="MB82" s="102">
        <f t="shared" ref="MB82:MB90" si="545">+LF82-LE82</f>
        <v>3.8999999999987267E-2</v>
      </c>
      <c r="MC82" s="102">
        <f t="shared" ref="MC82:MC90" si="546">+LG82-LF82</f>
        <v>0</v>
      </c>
      <c r="MD82" s="102">
        <f t="shared" ref="MD82:MD90" si="547">+LH82-LG82</f>
        <v>0</v>
      </c>
      <c r="ME82" s="102">
        <f t="shared" ref="ME82:ME90" si="548">+LI82-LH82</f>
        <v>0</v>
      </c>
      <c r="MF82" s="102">
        <f t="shared" ref="MF82:MF90" si="549">+LO82-LI82</f>
        <v>0</v>
      </c>
      <c r="MH82" s="32">
        <f t="shared" ref="MH82:MH90" si="550">+LB82/LB$11</f>
        <v>0</v>
      </c>
      <c r="MI82" s="32">
        <f t="shared" ref="MI82:MI90" si="551">+LC82/LC$11</f>
        <v>0.15186576963972861</v>
      </c>
      <c r="MJ82" s="32">
        <f t="shared" ref="MJ82:MJ90" si="552">+LD82/LD$11</f>
        <v>2.3428357531777706E-2</v>
      </c>
      <c r="MK82" s="32">
        <f t="shared" ref="MK82:MK90" si="553">+LE82/LE$11</f>
        <v>-6.7094261648770567E-5</v>
      </c>
      <c r="ML82" s="32">
        <f t="shared" ref="ML82:ML90" si="554">+LF82/LF$11</f>
        <v>0</v>
      </c>
      <c r="MM82" s="32">
        <f t="shared" ref="MM82:MM90" si="555">+LG82/LG$11</f>
        <v>0</v>
      </c>
      <c r="MN82" s="32">
        <f t="shared" ref="MN82:MN90" si="556">+LH82/LH$11</f>
        <v>0</v>
      </c>
      <c r="MO82" s="32">
        <f t="shared" ref="MO82:MO90" si="557">+LI82/LI$11</f>
        <v>0</v>
      </c>
      <c r="MP82" s="32" t="e">
        <f t="shared" ref="MP82:MP90" si="558">+LO82/LO$11</f>
        <v>#DIV/0!</v>
      </c>
    </row>
    <row r="83" spans="1:354" outlineLevel="1">
      <c r="A83" s="884"/>
      <c r="B83" s="70"/>
      <c r="C83" s="186" t="s">
        <v>99</v>
      </c>
      <c r="D83" s="307" t="s">
        <v>59</v>
      </c>
      <c r="E83" s="931">
        <v>2.9632999999999998E-4</v>
      </c>
      <c r="F83" s="931">
        <v>1.1272599999999999E-3</v>
      </c>
      <c r="G83" s="931">
        <v>6.669899999999999E-4</v>
      </c>
      <c r="H83" s="931">
        <v>5.4055999999999983E-4</v>
      </c>
      <c r="I83" s="931">
        <v>3.6505000000000044E-4</v>
      </c>
      <c r="J83" s="931">
        <v>3.8629800000000002E-3</v>
      </c>
      <c r="K83" s="931">
        <v>2.3703499999999994E-3</v>
      </c>
      <c r="L83" s="931">
        <v>34.109295069999995</v>
      </c>
      <c r="M83" s="931">
        <v>17.028660040000002</v>
      </c>
      <c r="N83" s="931">
        <v>1.446359999999999E-3</v>
      </c>
      <c r="O83" s="931">
        <v>3.6545100000000014E-3</v>
      </c>
      <c r="P83" s="931">
        <v>5.9034599999999993E-3</v>
      </c>
      <c r="Q83" s="931">
        <v>15.13517594</v>
      </c>
      <c r="R83" s="931">
        <v>9.0356999999999981E-4</v>
      </c>
      <c r="S83" s="931">
        <v>7.9054116600000004</v>
      </c>
      <c r="T83" s="931">
        <v>9.8240377100000025</v>
      </c>
      <c r="U83" s="931">
        <v>8.1827776399999976</v>
      </c>
      <c r="V83" s="931">
        <v>2.8527118900000019</v>
      </c>
      <c r="W83" s="931">
        <v>8.5690607000000014</v>
      </c>
      <c r="X83" s="931">
        <v>1.5107018799999992</v>
      </c>
      <c r="Y83" s="931">
        <v>2.06090704</v>
      </c>
      <c r="Z83" s="931">
        <v>5.0590192599999995</v>
      </c>
      <c r="AA83" s="931">
        <v>2.4449349300000023</v>
      </c>
      <c r="AB83" s="931">
        <v>15.573310269999993</v>
      </c>
      <c r="AC83" s="931">
        <v>15.889524420000001</v>
      </c>
      <c r="AD83" s="931">
        <v>9.3668683300000009</v>
      </c>
      <c r="AE83" s="931">
        <v>41.39382475</v>
      </c>
      <c r="AF83" s="931">
        <v>8.1811395999999998</v>
      </c>
      <c r="AG83" s="931">
        <v>0.51179929999999996</v>
      </c>
      <c r="AH83" s="931">
        <v>4.1043249999999996E-2</v>
      </c>
      <c r="AI83" s="931">
        <v>4.1585094099999997</v>
      </c>
      <c r="AJ83" s="931">
        <v>1.40818888</v>
      </c>
      <c r="AK83" s="931">
        <v>24.798172819999998</v>
      </c>
      <c r="AL83" s="931">
        <v>8.3894562500000003</v>
      </c>
      <c r="AM83" s="931">
        <v>11.976803030000001</v>
      </c>
      <c r="AN83" s="931">
        <v>2132.8764355900003</v>
      </c>
      <c r="AO83" s="931">
        <f>+AO84+AO87</f>
        <v>6.00016806</v>
      </c>
      <c r="AP83" s="931">
        <f t="shared" ref="AP83:AZ83" si="559">+AP84+AP87</f>
        <v>1.7580418000000002</v>
      </c>
      <c r="AQ83" s="931">
        <f t="shared" si="559"/>
        <v>101.26391744</v>
      </c>
      <c r="AR83" s="931">
        <f t="shared" si="559"/>
        <v>5.2069702599999994</v>
      </c>
      <c r="AS83" s="931">
        <f t="shared" si="559"/>
        <v>11.765167640000001</v>
      </c>
      <c r="AT83" s="931">
        <f t="shared" si="559"/>
        <v>3350.00055127</v>
      </c>
      <c r="AU83" s="931">
        <f t="shared" si="559"/>
        <v>120.13327382000001</v>
      </c>
      <c r="AV83" s="931">
        <f t="shared" si="559"/>
        <v>8.617547759999999</v>
      </c>
      <c r="AW83" s="931">
        <f t="shared" si="559"/>
        <v>4.3502955099999996</v>
      </c>
      <c r="AX83" s="931">
        <f t="shared" si="559"/>
        <v>1.4939569699999997</v>
      </c>
      <c r="AY83" s="931">
        <f t="shared" si="559"/>
        <v>1.8615255500000001</v>
      </c>
      <c r="AZ83" s="931">
        <f t="shared" si="559"/>
        <v>1586.7087372599999</v>
      </c>
      <c r="BA83" s="933">
        <f>+BA84+BA87</f>
        <v>0.19664075</v>
      </c>
      <c r="BB83" s="933">
        <f>+BB84+BB87</f>
        <v>15.133781210000002</v>
      </c>
      <c r="BC83" s="933">
        <f>+BC84+BC87</f>
        <v>8.6985212000000001</v>
      </c>
      <c r="BD83" s="933">
        <f>+BD84+BD87</f>
        <v>307.49912176999999</v>
      </c>
      <c r="BE83" s="933">
        <f t="shared" ref="BE83:DP83" si="560">+BE84+BE87</f>
        <v>4.9486844799999998</v>
      </c>
      <c r="BF83" s="933">
        <f t="shared" si="560"/>
        <v>8.6769328599999991</v>
      </c>
      <c r="BG83" s="933">
        <f t="shared" si="560"/>
        <v>2.05116977</v>
      </c>
      <c r="BH83" s="933">
        <f t="shared" si="560"/>
        <v>0.85867866999999998</v>
      </c>
      <c r="BI83" s="933">
        <f t="shared" si="560"/>
        <v>20.00338198</v>
      </c>
      <c r="BJ83" s="933">
        <f t="shared" si="560"/>
        <v>6.5549E-4</v>
      </c>
      <c r="BK83" s="933">
        <f t="shared" si="560"/>
        <v>45.64331859</v>
      </c>
      <c r="BL83" s="933">
        <f t="shared" si="560"/>
        <v>0.25307886000000002</v>
      </c>
      <c r="BM83" s="931">
        <f t="shared" si="560"/>
        <v>0.16689446999999999</v>
      </c>
      <c r="BN83" s="931">
        <f t="shared" si="560"/>
        <v>1.6462000000000001E-4</v>
      </c>
      <c r="BO83" s="931">
        <f t="shared" si="560"/>
        <v>2.2274899999999999E-3</v>
      </c>
      <c r="BP83" s="931">
        <f t="shared" si="560"/>
        <v>1.5253E-4</v>
      </c>
      <c r="BQ83" s="931">
        <f t="shared" si="560"/>
        <v>2.3305399999999999E-3</v>
      </c>
      <c r="BR83" s="931">
        <f t="shared" si="560"/>
        <v>5.8061000000000007E-4</v>
      </c>
      <c r="BS83" s="931">
        <f t="shared" si="560"/>
        <v>2.2607299999999999E-3</v>
      </c>
      <c r="BT83" s="931">
        <f t="shared" si="560"/>
        <v>3.4131999999999999E-4</v>
      </c>
      <c r="BU83" s="931">
        <f t="shared" si="560"/>
        <v>1.7969500000000001E-3</v>
      </c>
      <c r="BV83" s="931">
        <f t="shared" si="560"/>
        <v>8.8101999999999994E-4</v>
      </c>
      <c r="BW83" s="931">
        <f t="shared" si="560"/>
        <v>5.2280589999999995E-2</v>
      </c>
      <c r="BX83" s="931">
        <f t="shared" si="560"/>
        <v>6.994323999999999E-2</v>
      </c>
      <c r="BY83" s="931">
        <f t="shared" si="560"/>
        <v>2.6925500000000002E-3</v>
      </c>
      <c r="BZ83" s="931">
        <f t="shared" si="560"/>
        <v>8.0361000000000007E-4</v>
      </c>
      <c r="CA83" s="931">
        <f t="shared" si="560"/>
        <v>1.2116399999999999E-3</v>
      </c>
      <c r="CB83" s="931">
        <f t="shared" si="560"/>
        <v>9.3422111099999992</v>
      </c>
      <c r="CC83" s="931">
        <f t="shared" si="560"/>
        <v>3.7578000000000004E-3</v>
      </c>
      <c r="CD83" s="931">
        <f t="shared" si="560"/>
        <v>4.9815999999999999E-4</v>
      </c>
      <c r="CE83" s="931">
        <f t="shared" si="560"/>
        <v>0.77346554999999995</v>
      </c>
      <c r="CF83" s="931">
        <f t="shared" si="560"/>
        <v>3.9118000000000003E-4</v>
      </c>
      <c r="CG83" s="931">
        <f t="shared" si="560"/>
        <v>1.9237049999999999E-2</v>
      </c>
      <c r="CH83" s="931">
        <f t="shared" si="560"/>
        <v>0.57452024000000002</v>
      </c>
      <c r="CI83" s="931">
        <f t="shared" si="560"/>
        <v>1.5796E-3</v>
      </c>
      <c r="CJ83" s="931">
        <f t="shared" si="560"/>
        <v>94.828403969999997</v>
      </c>
      <c r="CK83" s="931">
        <f t="shared" si="560"/>
        <v>1.0624E-3</v>
      </c>
      <c r="CL83" s="931">
        <f t="shared" si="560"/>
        <v>2.4283099999999999E-3</v>
      </c>
      <c r="CM83" s="931">
        <f t="shared" si="560"/>
        <v>6.9841999999999994E-4</v>
      </c>
      <c r="CN83" s="931">
        <f t="shared" si="560"/>
        <v>5.4043000000000006E-4</v>
      </c>
      <c r="CO83" s="931">
        <f t="shared" si="560"/>
        <v>2.9360316900000001</v>
      </c>
      <c r="CP83" s="931">
        <f t="shared" si="560"/>
        <v>8.6185999999999999E-4</v>
      </c>
      <c r="CQ83" s="931">
        <f t="shared" si="560"/>
        <v>0.41737471999999998</v>
      </c>
      <c r="CR83" s="931">
        <f t="shared" si="560"/>
        <v>4.2691000000014899E-4</v>
      </c>
      <c r="CS83" s="931">
        <f t="shared" si="560"/>
        <v>4.6266199999999997E-3</v>
      </c>
      <c r="CT83" s="931">
        <f t="shared" si="560"/>
        <v>0.11668603000000001</v>
      </c>
      <c r="CU83" s="931">
        <f t="shared" si="560"/>
        <v>4.6332046800000004</v>
      </c>
      <c r="CV83" s="931">
        <f t="shared" si="560"/>
        <v>5.4210600000000001E-3</v>
      </c>
      <c r="CW83" s="931">
        <f t="shared" si="560"/>
        <v>1.26964E-3</v>
      </c>
      <c r="CX83" s="931">
        <f t="shared" si="560"/>
        <v>6.6583999999999992E-3</v>
      </c>
      <c r="CY83" s="931">
        <f t="shared" si="560"/>
        <v>9.9821000000000003E-4</v>
      </c>
      <c r="CZ83" s="931">
        <f t="shared" si="560"/>
        <v>8.1086999999999999E-3</v>
      </c>
      <c r="DA83" s="931">
        <f t="shared" si="560"/>
        <v>9.9982000000000001E-4</v>
      </c>
      <c r="DB83" s="931">
        <f t="shared" si="560"/>
        <v>22.076223850000002</v>
      </c>
      <c r="DC83" s="931">
        <f t="shared" si="560"/>
        <v>18.351119480000001</v>
      </c>
      <c r="DD83" s="931">
        <f t="shared" si="560"/>
        <v>24.577567039999998</v>
      </c>
      <c r="DE83" s="931">
        <f t="shared" si="560"/>
        <v>24.221593410000001</v>
      </c>
      <c r="DF83" s="931">
        <f t="shared" si="560"/>
        <v>1.9277599999999999E-3</v>
      </c>
      <c r="DG83" s="931">
        <f t="shared" si="560"/>
        <v>1.0388399999999999E-3</v>
      </c>
      <c r="DH83" s="931">
        <f t="shared" si="560"/>
        <v>126.72643393999998</v>
      </c>
      <c r="DI83" s="931">
        <f t="shared" si="560"/>
        <v>24.000004760000003</v>
      </c>
      <c r="DJ83" s="931">
        <f t="shared" si="560"/>
        <v>29.977940649999997</v>
      </c>
      <c r="DK83" s="931">
        <f t="shared" si="560"/>
        <v>30.409258770000001</v>
      </c>
      <c r="DL83" s="931">
        <f t="shared" si="560"/>
        <v>32.660167000000001</v>
      </c>
      <c r="DM83" s="931">
        <f t="shared" si="560"/>
        <v>4.2209929599999993</v>
      </c>
      <c r="DN83" s="931">
        <f t="shared" si="560"/>
        <v>-24.998100050000001</v>
      </c>
      <c r="DO83" s="931">
        <f t="shared" si="560"/>
        <v>2.2409499999999998E-3</v>
      </c>
      <c r="DP83" s="931">
        <f t="shared" si="560"/>
        <v>8.3499999999999997E-6</v>
      </c>
      <c r="DQ83" s="941">
        <f t="shared" ref="DQ83:EF83" si="561">+DQ84+DQ87</f>
        <v>3.45606057</v>
      </c>
      <c r="DR83" s="941">
        <f t="shared" si="561"/>
        <v>0.22891054999999999</v>
      </c>
      <c r="DS83" s="941">
        <f t="shared" si="561"/>
        <v>4.4307509700000001</v>
      </c>
      <c r="DT83" s="941">
        <f t="shared" si="561"/>
        <v>-24.72169242</v>
      </c>
      <c r="DU83" s="941">
        <f t="shared" si="561"/>
        <v>0.25527129000000004</v>
      </c>
      <c r="DV83" s="941">
        <f t="shared" si="561"/>
        <v>0.23051341</v>
      </c>
      <c r="DW83" s="941">
        <f t="shared" si="561"/>
        <v>0.30977989</v>
      </c>
      <c r="DX83" s="941">
        <f t="shared" si="561"/>
        <v>0.27668209999999999</v>
      </c>
      <c r="DY83" s="941">
        <f t="shared" si="561"/>
        <v>0.28141519999999998</v>
      </c>
      <c r="DZ83" s="941">
        <f t="shared" si="561"/>
        <v>0.29178233999999997</v>
      </c>
      <c r="EA83" s="941">
        <f t="shared" si="561"/>
        <v>10.896032290000001</v>
      </c>
      <c r="EB83" s="941">
        <f t="shared" si="561"/>
        <v>12.452931690000002</v>
      </c>
      <c r="EC83" s="941">
        <f t="shared" si="561"/>
        <v>-3.1535449299999998</v>
      </c>
      <c r="ED83" s="941">
        <f t="shared" si="561"/>
        <v>6.2812892800000002</v>
      </c>
      <c r="EE83" s="941">
        <f t="shared" si="561"/>
        <v>7.1461035700000002</v>
      </c>
      <c r="EF83" s="941">
        <f t="shared" si="561"/>
        <v>8.3970247699999998</v>
      </c>
      <c r="EH83" s="931">
        <f t="shared" ref="EH83:ES83" si="562">+EH84+EH87</f>
        <v>1.26964E-3</v>
      </c>
      <c r="EI83" s="931">
        <f t="shared" si="562"/>
        <v>6.6583999999999992E-3</v>
      </c>
      <c r="EJ83" s="931">
        <f t="shared" si="562"/>
        <v>9.9821000000000003E-4</v>
      </c>
      <c r="EK83" s="931">
        <f t="shared" si="562"/>
        <v>8.1086999999999999E-3</v>
      </c>
      <c r="EL83" s="931">
        <f t="shared" si="562"/>
        <v>9.9982000000000001E-4</v>
      </c>
      <c r="EM83" s="931">
        <f t="shared" si="562"/>
        <v>22.076223850000002</v>
      </c>
      <c r="EN83" s="931">
        <f t="shared" si="562"/>
        <v>0</v>
      </c>
      <c r="EO83" s="931">
        <f t="shared" si="562"/>
        <v>0</v>
      </c>
      <c r="EP83" s="931">
        <f t="shared" si="562"/>
        <v>0</v>
      </c>
      <c r="EQ83" s="931">
        <f t="shared" si="562"/>
        <v>0</v>
      </c>
      <c r="ER83" s="931">
        <f t="shared" si="562"/>
        <v>0</v>
      </c>
      <c r="ES83" s="931">
        <f t="shared" si="562"/>
        <v>0</v>
      </c>
      <c r="EU83" s="931">
        <v>15.7</v>
      </c>
      <c r="EV83" s="931">
        <v>115.7</v>
      </c>
      <c r="EW83" s="931">
        <v>115.7</v>
      </c>
      <c r="EX83" s="931">
        <v>15.7</v>
      </c>
      <c r="EY83" s="931">
        <v>15.7</v>
      </c>
      <c r="EZ83" s="931">
        <v>15.7</v>
      </c>
      <c r="FA83" s="931">
        <v>15.7</v>
      </c>
      <c r="FB83" s="931">
        <v>15.7</v>
      </c>
      <c r="FC83" s="931">
        <v>15.7</v>
      </c>
      <c r="FD83" s="931">
        <v>15.7</v>
      </c>
      <c r="FE83" s="931">
        <v>15.7</v>
      </c>
      <c r="FF83" s="931">
        <v>15.7</v>
      </c>
      <c r="FG83" s="931">
        <f t="shared" ref="FG83:HB83" si="563">+FG84+FG87</f>
        <v>57.081648167499999</v>
      </c>
      <c r="FH83" s="931">
        <f t="shared" si="563"/>
        <v>57.081648167499999</v>
      </c>
      <c r="FI83" s="931">
        <f t="shared" si="563"/>
        <v>1307.0816481674999</v>
      </c>
      <c r="FJ83" s="931">
        <f t="shared" si="563"/>
        <v>57.081648167499992</v>
      </c>
      <c r="FK83" s="931">
        <f t="shared" si="563"/>
        <v>57.081648167500013</v>
      </c>
      <c r="FL83" s="931">
        <f t="shared" si="563"/>
        <v>57.081648167500013</v>
      </c>
      <c r="FM83" s="931">
        <f t="shared" si="563"/>
        <v>57.081648167499999</v>
      </c>
      <c r="FN83" s="931">
        <f t="shared" si="563"/>
        <v>57.081648167499999</v>
      </c>
      <c r="FO83" s="931">
        <f t="shared" si="563"/>
        <v>57.081648167499999</v>
      </c>
      <c r="FP83" s="931">
        <f t="shared" si="563"/>
        <v>57.081648167499999</v>
      </c>
      <c r="FQ83" s="931">
        <f t="shared" si="563"/>
        <v>57.081648167499999</v>
      </c>
      <c r="FR83" s="931">
        <f t="shared" si="563"/>
        <v>57.081648167499999</v>
      </c>
      <c r="FS83" s="931">
        <f t="shared" si="563"/>
        <v>0</v>
      </c>
      <c r="FT83" s="931">
        <f t="shared" si="563"/>
        <v>0</v>
      </c>
      <c r="FU83" s="931">
        <f t="shared" si="563"/>
        <v>0</v>
      </c>
      <c r="FV83" s="931">
        <f t="shared" si="563"/>
        <v>0</v>
      </c>
      <c r="FW83" s="931">
        <f t="shared" si="563"/>
        <v>0</v>
      </c>
      <c r="FX83" s="931">
        <f t="shared" si="563"/>
        <v>0</v>
      </c>
      <c r="FY83" s="931">
        <f t="shared" si="563"/>
        <v>0</v>
      </c>
      <c r="FZ83" s="931">
        <f t="shared" si="563"/>
        <v>0</v>
      </c>
      <c r="GA83" s="931">
        <f t="shared" si="563"/>
        <v>0</v>
      </c>
      <c r="GB83" s="931">
        <f t="shared" si="563"/>
        <v>0</v>
      </c>
      <c r="GC83" s="931">
        <f t="shared" si="563"/>
        <v>0</v>
      </c>
      <c r="GD83" s="931">
        <f t="shared" si="563"/>
        <v>0</v>
      </c>
      <c r="GE83" s="931">
        <f t="shared" si="563"/>
        <v>0</v>
      </c>
      <c r="GF83" s="931">
        <f t="shared" si="563"/>
        <v>0</v>
      </c>
      <c r="GG83" s="931">
        <f t="shared" si="563"/>
        <v>0</v>
      </c>
      <c r="GH83" s="931">
        <f t="shared" si="563"/>
        <v>0</v>
      </c>
      <c r="GI83" s="931">
        <f t="shared" si="563"/>
        <v>0</v>
      </c>
      <c r="GJ83" s="931">
        <f t="shared" si="563"/>
        <v>0</v>
      </c>
      <c r="GK83" s="931">
        <f t="shared" si="563"/>
        <v>0</v>
      </c>
      <c r="GL83" s="931">
        <f t="shared" si="563"/>
        <v>0</v>
      </c>
      <c r="GM83" s="931">
        <f t="shared" si="563"/>
        <v>0</v>
      </c>
      <c r="GN83" s="931">
        <f t="shared" si="563"/>
        <v>0</v>
      </c>
      <c r="GO83" s="931">
        <f t="shared" si="563"/>
        <v>0</v>
      </c>
      <c r="GP83" s="931">
        <f t="shared" si="563"/>
        <v>0</v>
      </c>
      <c r="GQ83" s="931">
        <f t="shared" si="563"/>
        <v>0</v>
      </c>
      <c r="GR83" s="931">
        <f t="shared" si="563"/>
        <v>0</v>
      </c>
      <c r="GS83" s="931">
        <f t="shared" si="563"/>
        <v>0</v>
      </c>
      <c r="GT83" s="931">
        <f t="shared" si="563"/>
        <v>0</v>
      </c>
      <c r="GU83" s="931">
        <f t="shared" si="563"/>
        <v>0</v>
      </c>
      <c r="GV83" s="931">
        <f t="shared" si="563"/>
        <v>0</v>
      </c>
      <c r="GW83" s="931">
        <f t="shared" si="563"/>
        <v>0</v>
      </c>
      <c r="GX83" s="931">
        <f t="shared" si="563"/>
        <v>0</v>
      </c>
      <c r="GY83" s="931">
        <f t="shared" si="563"/>
        <v>0</v>
      </c>
      <c r="GZ83" s="931">
        <f t="shared" si="563"/>
        <v>0</v>
      </c>
      <c r="HA83" s="931">
        <f t="shared" si="563"/>
        <v>0</v>
      </c>
      <c r="HB83" s="931">
        <f t="shared" si="563"/>
        <v>0</v>
      </c>
      <c r="HD83" s="931">
        <f t="shared" si="469"/>
        <v>51.158188959999997</v>
      </c>
      <c r="HE83" s="931">
        <f t="shared" si="469"/>
        <v>79.118952489999998</v>
      </c>
      <c r="HF83" s="931">
        <f t="shared" si="469"/>
        <v>2258.9917656300004</v>
      </c>
      <c r="HG83" s="931">
        <f t="shared" si="469"/>
        <v>5199.1601533399989</v>
      </c>
      <c r="HH83" s="931">
        <f t="shared" si="470"/>
        <v>413.96396562999996</v>
      </c>
      <c r="HI83" s="931">
        <f t="shared" si="471"/>
        <v>0.29985410999999995</v>
      </c>
      <c r="HJ83" s="931">
        <f t="shared" si="472"/>
        <v>105.54877246</v>
      </c>
      <c r="HK83" s="931">
        <f t="shared" si="473"/>
        <v>8.11936313</v>
      </c>
      <c r="HL83" s="941">
        <f>+SUMIF($E$6:SEW$6,HL$7,$E83:SEW83)</f>
        <v>215.97393908999999</v>
      </c>
      <c r="HM83" s="941">
        <f>+SUMIF($E$6:SEX$6,HM$7,$E83:SEX83)</f>
        <v>79.666543060000009</v>
      </c>
      <c r="HN83" s="941">
        <f>+SUMIF($E$6:SEY$6,HN$7,$E83:SEY83)</f>
        <v>43.665280900000006</v>
      </c>
      <c r="HO83" s="931"/>
      <c r="HP83" s="931"/>
      <c r="HR83" s="934">
        <f t="shared" si="474"/>
        <v>27.551841177567649</v>
      </c>
      <c r="HS83" s="934">
        <f t="shared" si="475"/>
        <v>1.3015401084873046</v>
      </c>
      <c r="HT83" s="934">
        <f t="shared" si="476"/>
        <v>-0.92037868551441626</v>
      </c>
      <c r="HU83" s="934">
        <f t="shared" si="477"/>
        <v>-0.99927565166319809</v>
      </c>
      <c r="HV83" s="934">
        <f t="shared" si="478"/>
        <v>351.00041933725709</v>
      </c>
      <c r="HW83" s="934">
        <f t="shared" si="479"/>
        <v>-0.92307477443115682</v>
      </c>
      <c r="HX83" s="934">
        <f t="shared" si="480"/>
        <v>25.599862037455146</v>
      </c>
      <c r="HY83" s="934">
        <f t="shared" si="480"/>
        <v>-0.63112890659089382</v>
      </c>
      <c r="HZ83" s="934">
        <f t="shared" si="480"/>
        <v>-0.45189938934448348</v>
      </c>
      <c r="IA83" s="934">
        <f t="shared" si="481"/>
        <v>-1</v>
      </c>
      <c r="IB83" s="934" t="str">
        <f t="shared" si="482"/>
        <v/>
      </c>
      <c r="IC83" s="934">
        <f t="shared" si="483"/>
        <v>-1</v>
      </c>
      <c r="IE83" s="931">
        <f t="shared" si="484"/>
        <v>2179.8728131400003</v>
      </c>
      <c r="IF83" s="931">
        <f t="shared" si="485"/>
        <v>2940.1683877099986</v>
      </c>
      <c r="IG83" s="931">
        <f t="shared" si="486"/>
        <v>-4785.1961877099993</v>
      </c>
      <c r="IH83" s="931">
        <f t="shared" si="487"/>
        <v>-413.66411151999995</v>
      </c>
      <c r="II83" s="931">
        <f t="shared" si="488"/>
        <v>105.24891835</v>
      </c>
      <c r="IJ83" s="931">
        <f t="shared" si="489"/>
        <v>-97.429409329999999</v>
      </c>
      <c r="IK83" s="931">
        <f t="shared" si="490"/>
        <v>207.85457595999998</v>
      </c>
      <c r="IL83" s="931">
        <f t="shared" si="491"/>
        <v>-215.97393908999999</v>
      </c>
      <c r="IM83" s="931">
        <f t="shared" si="492"/>
        <v>0</v>
      </c>
      <c r="IN83" s="931">
        <f t="shared" si="493"/>
        <v>-215.97393908999999</v>
      </c>
      <c r="IP83" s="230">
        <f t="shared" si="494"/>
        <v>2.1525873874505669E-3</v>
      </c>
      <c r="IQ83" s="230">
        <f t="shared" si="495"/>
        <v>5.7359592538434402E-2</v>
      </c>
      <c r="IR83" s="230">
        <f t="shared" si="496"/>
        <v>0.30850454061487903</v>
      </c>
      <c r="IS83" s="230">
        <f t="shared" si="497"/>
        <v>6.7289038094679759E-2</v>
      </c>
      <c r="IT83" s="230">
        <f t="shared" si="498"/>
        <v>2.2001480750172231E-5</v>
      </c>
      <c r="IU83" s="230">
        <f t="shared" si="499"/>
        <v>7.4589957956860981E-3</v>
      </c>
      <c r="IV83" s="230">
        <f t="shared" si="500"/>
        <v>3.8245931991046333E-4</v>
      </c>
      <c r="IW83" s="230">
        <f t="shared" si="501"/>
        <v>1.7113777259192057E-2</v>
      </c>
      <c r="IX83" s="230" t="e">
        <f t="shared" si="502"/>
        <v>#DIV/0!</v>
      </c>
      <c r="IY83" s="230" t="e">
        <f t="shared" si="503"/>
        <v>#DIV/0!</v>
      </c>
      <c r="JA83" s="931">
        <f t="shared" si="457"/>
        <v>51.158188959999997</v>
      </c>
      <c r="JB83" s="931">
        <f t="shared" si="457"/>
        <v>79.118952489999998</v>
      </c>
      <c r="JC83" s="931">
        <f t="shared" si="457"/>
        <v>2258.9917656300004</v>
      </c>
      <c r="JD83" s="931">
        <f t="shared" si="457"/>
        <v>5199.1601533399989</v>
      </c>
      <c r="JE83" s="931">
        <f t="shared" si="457"/>
        <v>413.96396562999996</v>
      </c>
      <c r="JF83" s="931">
        <f t="shared" si="457"/>
        <v>0.29985410999999995</v>
      </c>
      <c r="JG83" s="931">
        <f t="shared" si="457"/>
        <v>105.54877246</v>
      </c>
      <c r="JH83" s="931">
        <f t="shared" si="457"/>
        <v>8.11936313</v>
      </c>
      <c r="JI83" s="931">
        <f t="shared" si="457"/>
        <v>215.97393908999999</v>
      </c>
      <c r="JJ83" s="931">
        <f t="shared" si="457"/>
        <v>79.666543060000009</v>
      </c>
      <c r="JK83" s="931">
        <f t="shared" si="457"/>
        <v>43.665280900000006</v>
      </c>
      <c r="JL83" s="931">
        <f t="shared" si="458"/>
        <v>43.665280900000006</v>
      </c>
      <c r="JM83" s="931"/>
      <c r="JN83" s="931"/>
      <c r="JP83" s="931">
        <f t="shared" si="504"/>
        <v>43.665280900000006</v>
      </c>
      <c r="JQ83" s="931">
        <f t="shared" si="505"/>
        <v>0</v>
      </c>
      <c r="JR83" s="145"/>
      <c r="JS83" s="934" t="str">
        <f t="shared" si="506"/>
        <v/>
      </c>
      <c r="JT83" s="935">
        <f t="shared" si="507"/>
        <v>43.665280900000006</v>
      </c>
      <c r="JV83" s="230">
        <f t="shared" si="508"/>
        <v>1.4462737216747389E-3</v>
      </c>
      <c r="JW83" s="934" t="str">
        <f t="shared" si="509"/>
        <v/>
      </c>
      <c r="JY83" s="934">
        <f t="shared" si="510"/>
        <v>27.551841177567649</v>
      </c>
      <c r="JZ83" s="934">
        <f t="shared" si="511"/>
        <v>1.3015401084873046</v>
      </c>
      <c r="KA83" s="934">
        <f t="shared" si="512"/>
        <v>-0.92037868551441626</v>
      </c>
      <c r="KB83" s="934">
        <f t="shared" si="513"/>
        <v>-0.99927565166319809</v>
      </c>
      <c r="KC83" s="934">
        <f t="shared" si="514"/>
        <v>351.00041933725709</v>
      </c>
      <c r="KD83" s="934">
        <f t="shared" si="515"/>
        <v>-0.92307477443115682</v>
      </c>
      <c r="KE83" s="934">
        <f t="shared" si="516"/>
        <v>25.599862037455146</v>
      </c>
      <c r="KF83" s="934">
        <f t="shared" si="517"/>
        <v>-1</v>
      </c>
      <c r="KH83" s="931">
        <f t="shared" si="518"/>
        <v>2179.8728131400003</v>
      </c>
      <c r="KI83" s="931">
        <f t="shared" si="519"/>
        <v>2940.1683877099986</v>
      </c>
      <c r="KJ83" s="931">
        <f t="shared" si="520"/>
        <v>-4785.1961877099993</v>
      </c>
      <c r="KK83" s="931">
        <f t="shared" si="521"/>
        <v>-413.66411151999995</v>
      </c>
      <c r="KL83" s="931">
        <f t="shared" si="522"/>
        <v>105.24891835</v>
      </c>
      <c r="KM83" s="931">
        <f t="shared" si="523"/>
        <v>-97.429409329999999</v>
      </c>
      <c r="KN83" s="931">
        <f t="shared" si="524"/>
        <v>207.85457595999998</v>
      </c>
      <c r="KO83" s="931">
        <f t="shared" si="525"/>
        <v>-215.97393908999999</v>
      </c>
      <c r="KQ83" s="230">
        <f t="shared" si="526"/>
        <v>1.4100402782907667E-3</v>
      </c>
      <c r="KR83" s="230">
        <f t="shared" si="527"/>
        <v>2.1525873874505669E-3</v>
      </c>
      <c r="KS83" s="230">
        <f t="shared" si="528"/>
        <v>5.7359592538434402E-2</v>
      </c>
      <c r="KT83" s="230">
        <f t="shared" si="529"/>
        <v>0.30850454061487903</v>
      </c>
      <c r="KU83" s="230">
        <f t="shared" si="530"/>
        <v>6.7289038094679759E-2</v>
      </c>
      <c r="KV83" s="230">
        <f t="shared" si="531"/>
        <v>2.2001480750172231E-5</v>
      </c>
      <c r="KW83" s="230">
        <f t="shared" si="532"/>
        <v>7.4589957956860981E-3</v>
      </c>
      <c r="KX83" s="230">
        <f t="shared" si="533"/>
        <v>3.8245931991046333E-4</v>
      </c>
      <c r="KY83" s="230">
        <f t="shared" si="534"/>
        <v>1.7113777259192057E-2</v>
      </c>
      <c r="KZ83" s="230" t="e">
        <f t="shared" si="535"/>
        <v>#DIV/0!</v>
      </c>
      <c r="LB83" s="931">
        <f t="shared" si="462"/>
        <v>5.9034599999999993E-3</v>
      </c>
      <c r="LC83" s="931">
        <f t="shared" si="462"/>
        <v>15.573310269999993</v>
      </c>
      <c r="LD83" s="931">
        <f t="shared" si="462"/>
        <v>2132.8764355900003</v>
      </c>
      <c r="LE83" s="931">
        <f t="shared" si="462"/>
        <v>1586.7087372599999</v>
      </c>
      <c r="LF83" s="931">
        <f t="shared" si="462"/>
        <v>0.25307886000000002</v>
      </c>
      <c r="LG83" s="931">
        <f t="shared" si="462"/>
        <v>6.994323999999999E-2</v>
      </c>
      <c r="LH83" s="931">
        <f t="shared" si="462"/>
        <v>94.828403969999997</v>
      </c>
      <c r="LI83" s="931">
        <f t="shared" si="462"/>
        <v>5.4210600000000001E-3</v>
      </c>
      <c r="LJ83" s="931">
        <f t="shared" si="462"/>
        <v>126.72643393999998</v>
      </c>
      <c r="LK83" s="931">
        <f t="shared" si="462"/>
        <v>-24.72169242</v>
      </c>
      <c r="LL83" s="931">
        <f t="shared" si="462"/>
        <v>8.3970247699999998</v>
      </c>
      <c r="LM83" s="931">
        <f t="shared" si="462"/>
        <v>8.3970247699999998</v>
      </c>
      <c r="LN83" s="931"/>
      <c r="LO83" s="931"/>
      <c r="LR83" s="230">
        <f t="shared" si="536"/>
        <v>135.95716572851671</v>
      </c>
      <c r="LS83" s="230">
        <f t="shared" si="537"/>
        <v>-0.25607095151713199</v>
      </c>
      <c r="LT83" s="230">
        <f t="shared" si="538"/>
        <v>-0.99984050074594222</v>
      </c>
      <c r="LU83" s="230">
        <f t="shared" si="539"/>
        <v>-0.72363065014596639</v>
      </c>
      <c r="LV83" s="230">
        <f t="shared" si="540"/>
        <v>1354.7908379709033</v>
      </c>
      <c r="LW83" s="230">
        <f t="shared" si="541"/>
        <v>-0.99994283295117237</v>
      </c>
      <c r="LX83" s="230">
        <f t="shared" si="542"/>
        <v>-1</v>
      </c>
      <c r="LZ83" s="931">
        <f t="shared" si="543"/>
        <v>2117.3031253200002</v>
      </c>
      <c r="MA83" s="931">
        <f t="shared" si="544"/>
        <v>-546.16769833000035</v>
      </c>
      <c r="MB83" s="931">
        <f t="shared" si="545"/>
        <v>-1586.4556583999999</v>
      </c>
      <c r="MC83" s="931">
        <f t="shared" si="546"/>
        <v>-0.18313562000000003</v>
      </c>
      <c r="MD83" s="931">
        <f t="shared" si="547"/>
        <v>94.758460729999996</v>
      </c>
      <c r="ME83" s="931">
        <f t="shared" si="548"/>
        <v>-94.822982909999993</v>
      </c>
      <c r="MF83" s="931">
        <f t="shared" si="549"/>
        <v>-5.4210600000000001E-3</v>
      </c>
      <c r="MH83" s="230">
        <f t="shared" si="550"/>
        <v>1.9682502301405786E-6</v>
      </c>
      <c r="MI83" s="230">
        <f t="shared" si="551"/>
        <v>2.8244938874140368E-3</v>
      </c>
      <c r="MJ83" s="230">
        <f t="shared" si="552"/>
        <v>0.41607784886560834</v>
      </c>
      <c r="MK83" s="230">
        <f t="shared" si="553"/>
        <v>2.729719260978142</v>
      </c>
      <c r="ML83" s="230">
        <f t="shared" si="554"/>
        <v>1.6799581228810827E-4</v>
      </c>
      <c r="MM83" s="230">
        <f t="shared" si="555"/>
        <v>6.799296355583455E-5</v>
      </c>
      <c r="MN83" s="230">
        <f t="shared" si="556"/>
        <v>6.0982400167388658E-2</v>
      </c>
      <c r="MO83" s="230">
        <f t="shared" si="557"/>
        <v>2.8804846407173136E-6</v>
      </c>
      <c r="MP83" s="230" t="e">
        <f t="shared" si="558"/>
        <v>#DIV/0!</v>
      </c>
    </row>
    <row r="84" spans="1:354" outlineLevel="2">
      <c r="A84" s="884"/>
      <c r="B84" s="70"/>
      <c r="C84" s="29" t="s">
        <v>662</v>
      </c>
      <c r="D84" s="31" t="s">
        <v>59</v>
      </c>
      <c r="E84" s="102">
        <v>0</v>
      </c>
      <c r="F84" s="102">
        <v>0</v>
      </c>
      <c r="G84" s="102">
        <v>0</v>
      </c>
      <c r="H84" s="102">
        <v>0</v>
      </c>
      <c r="I84" s="102">
        <v>0</v>
      </c>
      <c r="J84" s="102">
        <v>0</v>
      </c>
      <c r="K84" s="102">
        <v>0</v>
      </c>
      <c r="L84" s="102">
        <v>34.108465029999998</v>
      </c>
      <c r="M84" s="102">
        <v>17.025162000000002</v>
      </c>
      <c r="N84" s="102">
        <v>0</v>
      </c>
      <c r="O84" s="102">
        <v>0</v>
      </c>
      <c r="P84" s="102">
        <v>0</v>
      </c>
      <c r="Q84" s="102">
        <v>15.132695999999999</v>
      </c>
      <c r="R84" s="102">
        <v>0</v>
      </c>
      <c r="S84" s="102">
        <v>0</v>
      </c>
      <c r="T84" s="102">
        <v>7.9493780000000029</v>
      </c>
      <c r="U84" s="102">
        <v>0</v>
      </c>
      <c r="V84" s="102">
        <v>0</v>
      </c>
      <c r="W84" s="102">
        <v>6</v>
      </c>
      <c r="X84" s="102">
        <v>0</v>
      </c>
      <c r="Y84" s="102">
        <v>0</v>
      </c>
      <c r="Z84" s="102">
        <v>3.1999999999999993</v>
      </c>
      <c r="AA84" s="102">
        <v>0</v>
      </c>
      <c r="AB84" s="102">
        <v>0</v>
      </c>
      <c r="AC84" s="102">
        <v>1.21469768</v>
      </c>
      <c r="AD84" s="102">
        <v>7.6194267400000006</v>
      </c>
      <c r="AE84" s="102">
        <v>16.6509</v>
      </c>
      <c r="AF84" s="102">
        <v>0</v>
      </c>
      <c r="AG84" s="102">
        <v>0</v>
      </c>
      <c r="AH84" s="102">
        <v>0</v>
      </c>
      <c r="AI84" s="102">
        <v>0</v>
      </c>
      <c r="AJ84" s="102">
        <v>0</v>
      </c>
      <c r="AK84" s="102">
        <v>8.4976199999999995</v>
      </c>
      <c r="AL84" s="102">
        <v>0.54</v>
      </c>
      <c r="AM84" s="102">
        <v>3.8012800000000002</v>
      </c>
      <c r="AN84" s="102">
        <v>2061.4334434800003</v>
      </c>
      <c r="AO84" s="102">
        <f>SUM(AO85:AO86)</f>
        <v>0</v>
      </c>
      <c r="AP84" s="102">
        <f t="shared" ref="AP84:AZ84" si="564">SUM(AP85:AP86)</f>
        <v>0</v>
      </c>
      <c r="AQ84" s="102">
        <f t="shared" si="564"/>
        <v>1.7435</v>
      </c>
      <c r="AR84" s="102">
        <f t="shared" si="564"/>
        <v>0</v>
      </c>
      <c r="AS84" s="102">
        <f t="shared" si="564"/>
        <v>1.360625</v>
      </c>
      <c r="AT84" s="102">
        <f t="shared" si="564"/>
        <v>0</v>
      </c>
      <c r="AU84" s="102">
        <f t="shared" si="564"/>
        <v>11.82559781</v>
      </c>
      <c r="AV84" s="102">
        <f t="shared" si="564"/>
        <v>0</v>
      </c>
      <c r="AW84" s="102">
        <f t="shared" si="564"/>
        <v>0</v>
      </c>
      <c r="AX84" s="102">
        <f t="shared" si="564"/>
        <v>5.0821999999999999E-2</v>
      </c>
      <c r="AY84" s="102">
        <f t="shared" si="564"/>
        <v>0.75949968000000001</v>
      </c>
      <c r="AZ84" s="102">
        <f t="shared" si="564"/>
        <v>-0.24551199999996243</v>
      </c>
      <c r="BA84" s="102">
        <f>SUM(BA85:BA86)</f>
        <v>0</v>
      </c>
      <c r="BB84" s="102">
        <f>SUM(BB85:BB86)</f>
        <v>4.1160290000000002</v>
      </c>
      <c r="BC84" s="102">
        <f>SUM(BC85:BC86)</f>
        <v>6.9308100000000001</v>
      </c>
      <c r="BD84" s="102">
        <f>SUM(BD85:BD86)</f>
        <v>308.48402584000002</v>
      </c>
      <c r="BE84" s="102">
        <f>SUM(BE85:BE86)</f>
        <v>4.5056435700000002</v>
      </c>
      <c r="BF84" s="102">
        <f t="shared" ref="BF84:BL84" si="565">SUM(BF85:BF86)</f>
        <v>8.3267183899999999</v>
      </c>
      <c r="BG84" s="102">
        <f t="shared" si="565"/>
        <v>0</v>
      </c>
      <c r="BH84" s="102">
        <f t="shared" si="565"/>
        <v>2.6590630000000001E-2</v>
      </c>
      <c r="BI84" s="102">
        <f t="shared" si="565"/>
        <v>19.95264959</v>
      </c>
      <c r="BJ84" s="102">
        <f t="shared" si="565"/>
        <v>0</v>
      </c>
      <c r="BK84" s="102">
        <f t="shared" si="565"/>
        <v>45.642482940000001</v>
      </c>
      <c r="BL84" s="102">
        <f t="shared" si="565"/>
        <v>1.4454610000000001</v>
      </c>
      <c r="BM84" s="102">
        <f t="shared" ref="BM84" si="566">+SUM(BM85:BM86)</f>
        <v>0.16505728</v>
      </c>
      <c r="BN84" s="102">
        <f t="shared" ref="BN84" si="567">+SUM(BN85:BN86)</f>
        <v>0</v>
      </c>
      <c r="BO84" s="102">
        <f t="shared" ref="BO84:DZ84" si="568">+SUM(BO85:BO86)</f>
        <v>0</v>
      </c>
      <c r="BP84" s="102">
        <f t="shared" si="568"/>
        <v>0</v>
      </c>
      <c r="BQ84" s="102">
        <f t="shared" si="568"/>
        <v>0</v>
      </c>
      <c r="BR84" s="102">
        <f t="shared" si="568"/>
        <v>0</v>
      </c>
      <c r="BS84" s="102">
        <f t="shared" si="568"/>
        <v>0</v>
      </c>
      <c r="BT84" s="102">
        <f t="shared" si="568"/>
        <v>0</v>
      </c>
      <c r="BU84" s="102">
        <f t="shared" si="568"/>
        <v>0</v>
      </c>
      <c r="BV84" s="102">
        <f t="shared" si="568"/>
        <v>0</v>
      </c>
      <c r="BW84" s="102">
        <f t="shared" si="568"/>
        <v>0</v>
      </c>
      <c r="BX84" s="102">
        <f t="shared" si="568"/>
        <v>0</v>
      </c>
      <c r="BY84" s="102">
        <f t="shared" si="568"/>
        <v>0</v>
      </c>
      <c r="BZ84" s="102">
        <f t="shared" si="568"/>
        <v>0</v>
      </c>
      <c r="CA84" s="102">
        <f t="shared" si="568"/>
        <v>0</v>
      </c>
      <c r="CB84" s="102">
        <f t="shared" si="568"/>
        <v>8.865599679999999</v>
      </c>
      <c r="CC84" s="102">
        <f t="shared" si="568"/>
        <v>0</v>
      </c>
      <c r="CD84" s="102">
        <f t="shared" si="568"/>
        <v>0</v>
      </c>
      <c r="CE84" s="102">
        <f t="shared" si="568"/>
        <v>0.77251999999999998</v>
      </c>
      <c r="CF84" s="102">
        <f t="shared" si="568"/>
        <v>0</v>
      </c>
      <c r="CG84" s="102">
        <f t="shared" si="568"/>
        <v>0</v>
      </c>
      <c r="CH84" s="102">
        <f t="shared" si="568"/>
        <v>0</v>
      </c>
      <c r="CI84" s="102">
        <f t="shared" si="568"/>
        <v>0</v>
      </c>
      <c r="CJ84" s="102">
        <f t="shared" si="568"/>
        <v>94.824130599999989</v>
      </c>
      <c r="CK84" s="102">
        <f t="shared" si="568"/>
        <v>0</v>
      </c>
      <c r="CL84" s="102">
        <f t="shared" si="568"/>
        <v>0</v>
      </c>
      <c r="CM84" s="102">
        <f t="shared" si="568"/>
        <v>0</v>
      </c>
      <c r="CN84" s="102">
        <f t="shared" si="568"/>
        <v>0</v>
      </c>
      <c r="CO84" s="102">
        <f t="shared" si="568"/>
        <v>2.93</v>
      </c>
      <c r="CP84" s="102">
        <f t="shared" si="568"/>
        <v>0</v>
      </c>
      <c r="CQ84" s="102">
        <f t="shared" si="568"/>
        <v>0.4145508</v>
      </c>
      <c r="CR84" s="102">
        <f t="shared" si="568"/>
        <v>0</v>
      </c>
      <c r="CS84" s="102">
        <f t="shared" si="568"/>
        <v>0</v>
      </c>
      <c r="CT84" s="102">
        <f t="shared" si="568"/>
        <v>0</v>
      </c>
      <c r="CU84" s="102">
        <f t="shared" si="568"/>
        <v>0</v>
      </c>
      <c r="CV84" s="102">
        <f t="shared" si="568"/>
        <v>0</v>
      </c>
      <c r="CW84" s="102">
        <f t="shared" si="568"/>
        <v>0</v>
      </c>
      <c r="CX84" s="102">
        <f t="shared" si="568"/>
        <v>0</v>
      </c>
      <c r="CY84" s="102">
        <f t="shared" si="568"/>
        <v>0</v>
      </c>
      <c r="CZ84" s="102">
        <f t="shared" si="568"/>
        <v>0</v>
      </c>
      <c r="DA84" s="102">
        <f t="shared" si="568"/>
        <v>0</v>
      </c>
      <c r="DB84" s="102">
        <f t="shared" si="568"/>
        <v>0</v>
      </c>
      <c r="DC84" s="102">
        <f t="shared" si="568"/>
        <v>2.92521187</v>
      </c>
      <c r="DD84" s="102">
        <f t="shared" si="568"/>
        <v>5.6623199999999993E-3</v>
      </c>
      <c r="DE84" s="102">
        <f t="shared" si="568"/>
        <v>0</v>
      </c>
      <c r="DF84" s="102">
        <f t="shared" si="568"/>
        <v>0</v>
      </c>
      <c r="DG84" s="102">
        <f t="shared" si="568"/>
        <v>0</v>
      </c>
      <c r="DH84" s="102">
        <f t="shared" si="568"/>
        <v>16.3692308</v>
      </c>
      <c r="DI84" s="102">
        <f t="shared" si="568"/>
        <v>0</v>
      </c>
      <c r="DJ84" s="102">
        <f t="shared" si="568"/>
        <v>0.95499999999999996</v>
      </c>
      <c r="DK84" s="102">
        <f t="shared" si="568"/>
        <v>0</v>
      </c>
      <c r="DL84" s="102">
        <f t="shared" si="568"/>
        <v>0.43635120000000016</v>
      </c>
      <c r="DM84" s="102">
        <f t="shared" si="568"/>
        <v>4.22</v>
      </c>
      <c r="DN84" s="102">
        <f t="shared" si="568"/>
        <v>0</v>
      </c>
      <c r="DO84" s="102">
        <f t="shared" si="568"/>
        <v>0</v>
      </c>
      <c r="DP84" s="102">
        <f t="shared" si="568"/>
        <v>0</v>
      </c>
      <c r="DQ84" s="940">
        <f t="shared" si="568"/>
        <v>3.4536487999999999</v>
      </c>
      <c r="DR84" s="940">
        <f t="shared" si="568"/>
        <v>0</v>
      </c>
      <c r="DS84" s="940">
        <f t="shared" si="568"/>
        <v>-0.72</v>
      </c>
      <c r="DT84" s="940">
        <f t="shared" si="568"/>
        <v>0</v>
      </c>
      <c r="DU84" s="940">
        <f t="shared" si="568"/>
        <v>0.25486762000000002</v>
      </c>
      <c r="DV84" s="940">
        <f t="shared" si="568"/>
        <v>0.223521</v>
      </c>
      <c r="DW84" s="940">
        <f t="shared" si="568"/>
        <v>0.24968199999999999</v>
      </c>
      <c r="DX84" s="940">
        <f t="shared" si="568"/>
        <v>0.27542499999999998</v>
      </c>
      <c r="DY84" s="940">
        <f t="shared" si="568"/>
        <v>0.275227</v>
      </c>
      <c r="DZ84" s="940">
        <f t="shared" si="568"/>
        <v>0.29167399999999999</v>
      </c>
      <c r="EA84" s="940">
        <f t="shared" ref="EA84:EF84" si="569">+SUM(EA85:EA86)</f>
        <v>1.0459689999999999</v>
      </c>
      <c r="EB84" s="940">
        <f t="shared" si="569"/>
        <v>8.0025670000000009</v>
      </c>
      <c r="EC84" s="940">
        <f t="shared" si="569"/>
        <v>-7.3041179999999999</v>
      </c>
      <c r="ED84" s="940">
        <f t="shared" si="569"/>
        <v>0.38127899999999998</v>
      </c>
      <c r="EE84" s="940">
        <f t="shared" si="569"/>
        <v>0.39311499999999999</v>
      </c>
      <c r="EF84" s="940">
        <f t="shared" si="569"/>
        <v>0.39673999999999998</v>
      </c>
      <c r="EH84" s="102">
        <v>0</v>
      </c>
      <c r="EI84" s="102">
        <v>0</v>
      </c>
      <c r="EJ84" s="102">
        <v>0</v>
      </c>
      <c r="EK84" s="102">
        <v>0</v>
      </c>
      <c r="EL84" s="102">
        <v>0</v>
      </c>
      <c r="EM84" s="102">
        <v>0</v>
      </c>
      <c r="EN84" s="102">
        <v>0</v>
      </c>
      <c r="EO84" s="102">
        <v>0</v>
      </c>
      <c r="EP84" s="102">
        <v>0</v>
      </c>
      <c r="EQ84" s="102">
        <v>0</v>
      </c>
      <c r="ER84" s="102">
        <v>0</v>
      </c>
      <c r="ES84" s="102">
        <v>0</v>
      </c>
      <c r="EU84" s="102">
        <v>3.7</v>
      </c>
      <c r="EV84" s="102">
        <v>3.7</v>
      </c>
      <c r="EW84" s="102">
        <v>3.7</v>
      </c>
      <c r="EX84" s="102">
        <v>3.7</v>
      </c>
      <c r="EY84" s="102">
        <v>3.7</v>
      </c>
      <c r="EZ84" s="102">
        <v>3.7</v>
      </c>
      <c r="FA84" s="102">
        <v>3.7</v>
      </c>
      <c r="FB84" s="102">
        <v>3.7</v>
      </c>
      <c r="FC84" s="102">
        <v>3.7</v>
      </c>
      <c r="FD84" s="102">
        <v>3.7</v>
      </c>
      <c r="FE84" s="102">
        <v>3.7</v>
      </c>
      <c r="FF84" s="102">
        <v>3.7</v>
      </c>
      <c r="FG84" s="102">
        <f t="shared" ref="FG84:HB84" si="570">SUM(FG85:FG86)</f>
        <v>0</v>
      </c>
      <c r="FH84" s="102">
        <f t="shared" si="570"/>
        <v>0</v>
      </c>
      <c r="FI84" s="102">
        <f t="shared" si="570"/>
        <v>1.0244548320770263E-14</v>
      </c>
      <c r="FJ84" s="102">
        <f t="shared" si="570"/>
        <v>-9.3132257461547859E-15</v>
      </c>
      <c r="FK84" s="102">
        <f t="shared" si="570"/>
        <v>1.3038516044616699E-14</v>
      </c>
      <c r="FL84" s="102">
        <f t="shared" si="570"/>
        <v>1.3038516044616699E-14</v>
      </c>
      <c r="FM84" s="102">
        <f t="shared" si="570"/>
        <v>0</v>
      </c>
      <c r="FN84" s="102">
        <f t="shared" si="570"/>
        <v>0</v>
      </c>
      <c r="FO84" s="102">
        <f t="shared" si="570"/>
        <v>0</v>
      </c>
      <c r="FP84" s="102">
        <f t="shared" si="570"/>
        <v>0</v>
      </c>
      <c r="FQ84" s="102">
        <f t="shared" si="570"/>
        <v>0</v>
      </c>
      <c r="FR84" s="102">
        <f t="shared" si="570"/>
        <v>0</v>
      </c>
      <c r="FS84" s="102">
        <f t="shared" si="570"/>
        <v>0</v>
      </c>
      <c r="FT84" s="102">
        <f t="shared" si="570"/>
        <v>0</v>
      </c>
      <c r="FU84" s="102">
        <f t="shared" si="570"/>
        <v>0</v>
      </c>
      <c r="FV84" s="102">
        <f t="shared" si="570"/>
        <v>0</v>
      </c>
      <c r="FW84" s="102">
        <f t="shared" si="570"/>
        <v>0</v>
      </c>
      <c r="FX84" s="102">
        <f t="shared" si="570"/>
        <v>0</v>
      </c>
      <c r="FY84" s="102">
        <f t="shared" si="570"/>
        <v>0</v>
      </c>
      <c r="FZ84" s="102">
        <f t="shared" si="570"/>
        <v>0</v>
      </c>
      <c r="GA84" s="102">
        <f t="shared" si="570"/>
        <v>0</v>
      </c>
      <c r="GB84" s="102">
        <f t="shared" si="570"/>
        <v>0</v>
      </c>
      <c r="GC84" s="102">
        <f t="shared" si="570"/>
        <v>0</v>
      </c>
      <c r="GD84" s="102">
        <f t="shared" si="570"/>
        <v>0</v>
      </c>
      <c r="GE84" s="102">
        <f t="shared" si="570"/>
        <v>0</v>
      </c>
      <c r="GF84" s="102">
        <f t="shared" si="570"/>
        <v>0</v>
      </c>
      <c r="GG84" s="102">
        <f t="shared" si="570"/>
        <v>0</v>
      </c>
      <c r="GH84" s="102">
        <f t="shared" si="570"/>
        <v>0</v>
      </c>
      <c r="GI84" s="102">
        <f t="shared" si="570"/>
        <v>0</v>
      </c>
      <c r="GJ84" s="102">
        <f t="shared" si="570"/>
        <v>0</v>
      </c>
      <c r="GK84" s="102">
        <f t="shared" si="570"/>
        <v>0</v>
      </c>
      <c r="GL84" s="102">
        <f t="shared" si="570"/>
        <v>0</v>
      </c>
      <c r="GM84" s="102">
        <f t="shared" si="570"/>
        <v>0</v>
      </c>
      <c r="GN84" s="102">
        <f t="shared" si="570"/>
        <v>0</v>
      </c>
      <c r="GO84" s="102">
        <f t="shared" si="570"/>
        <v>0</v>
      </c>
      <c r="GP84" s="102">
        <f t="shared" si="570"/>
        <v>0</v>
      </c>
      <c r="GQ84" s="102">
        <f t="shared" si="570"/>
        <v>0</v>
      </c>
      <c r="GR84" s="102">
        <f t="shared" si="570"/>
        <v>0</v>
      </c>
      <c r="GS84" s="102">
        <f t="shared" si="570"/>
        <v>0</v>
      </c>
      <c r="GT84" s="102">
        <f t="shared" si="570"/>
        <v>0</v>
      </c>
      <c r="GU84" s="102">
        <f t="shared" si="570"/>
        <v>0</v>
      </c>
      <c r="GV84" s="102">
        <f t="shared" si="570"/>
        <v>0</v>
      </c>
      <c r="GW84" s="102">
        <f t="shared" si="570"/>
        <v>0</v>
      </c>
      <c r="GX84" s="102">
        <f t="shared" si="570"/>
        <v>0</v>
      </c>
      <c r="GY84" s="102">
        <f t="shared" si="570"/>
        <v>0</v>
      </c>
      <c r="GZ84" s="102">
        <f t="shared" si="570"/>
        <v>0</v>
      </c>
      <c r="HA84" s="102">
        <f t="shared" si="570"/>
        <v>0</v>
      </c>
      <c r="HB84" s="102">
        <f t="shared" si="570"/>
        <v>0</v>
      </c>
      <c r="HD84" s="102">
        <f t="shared" si="469"/>
        <v>51.13362703</v>
      </c>
      <c r="HE84" s="102">
        <f t="shared" si="469"/>
        <v>32.282074000000001</v>
      </c>
      <c r="HF84" s="102">
        <f t="shared" si="469"/>
        <v>2099.7573679000002</v>
      </c>
      <c r="HG84" s="102">
        <f t="shared" si="469"/>
        <v>15.494532490000037</v>
      </c>
      <c r="HH84" s="102">
        <f t="shared" si="470"/>
        <v>399.43041096000002</v>
      </c>
      <c r="HI84" s="102">
        <f t="shared" si="471"/>
        <v>0.16505728</v>
      </c>
      <c r="HJ84" s="102">
        <f t="shared" si="472"/>
        <v>104.46225027999999</v>
      </c>
      <c r="HK84" s="102">
        <f t="shared" si="473"/>
        <v>3.3445508000000004</v>
      </c>
      <c r="HL84" s="940">
        <f>+SUMIF($E$6:SEW$6,HL$7,$E84:SEW84)</f>
        <v>19.300104990000001</v>
      </c>
      <c r="HM84" s="940">
        <f>+SUMIF($E$6:SEX$6,HM$7,$E84:SEX84)</f>
        <v>8.3449999999999989</v>
      </c>
      <c r="HN84" s="940">
        <f>+SUMIF($E$6:SEY$6,HN$7,$E84:SEY84)</f>
        <v>4.4859486200000012</v>
      </c>
      <c r="HO84" s="102"/>
      <c r="HP84" s="102"/>
      <c r="HR84" s="929">
        <f t="shared" si="474"/>
        <v>64.044066496471075</v>
      </c>
      <c r="HS84" s="929">
        <f t="shared" si="475"/>
        <v>-0.99262079860898578</v>
      </c>
      <c r="HT84" s="929">
        <f t="shared" si="476"/>
        <v>24.77879721235778</v>
      </c>
      <c r="HU84" s="929">
        <f t="shared" si="477"/>
        <v>-0.99958676836948068</v>
      </c>
      <c r="HV84" s="929">
        <f t="shared" si="478"/>
        <v>631.88484022031616</v>
      </c>
      <c r="HW84" s="929">
        <f t="shared" si="479"/>
        <v>-0.96798316338164947</v>
      </c>
      <c r="HX84" s="929">
        <f t="shared" si="480"/>
        <v>4.7706120026641541</v>
      </c>
      <c r="HY84" s="929">
        <f t="shared" si="480"/>
        <v>-0.56761893241908223</v>
      </c>
      <c r="HZ84" s="929">
        <f t="shared" si="480"/>
        <v>-0.46243875134811241</v>
      </c>
      <c r="IA84" s="929">
        <f t="shared" si="481"/>
        <v>-1</v>
      </c>
      <c r="IB84" s="929" t="str">
        <f t="shared" si="482"/>
        <v/>
      </c>
      <c r="IC84" s="929">
        <f t="shared" si="483"/>
        <v>-1</v>
      </c>
      <c r="IE84" s="102">
        <f t="shared" si="484"/>
        <v>2067.4752939</v>
      </c>
      <c r="IF84" s="102">
        <f t="shared" si="485"/>
        <v>-2084.2628354100002</v>
      </c>
      <c r="IG84" s="102">
        <f t="shared" si="486"/>
        <v>383.93587846999998</v>
      </c>
      <c r="IH84" s="102">
        <f t="shared" si="487"/>
        <v>-399.26535368000003</v>
      </c>
      <c r="II84" s="102">
        <f t="shared" si="488"/>
        <v>104.29719299999999</v>
      </c>
      <c r="IJ84" s="102">
        <f t="shared" si="489"/>
        <v>-101.11769948</v>
      </c>
      <c r="IK84" s="102">
        <f t="shared" si="490"/>
        <v>15.955554190000001</v>
      </c>
      <c r="IL84" s="102">
        <f t="shared" si="491"/>
        <v>-19.300104990000001</v>
      </c>
      <c r="IM84" s="102">
        <f t="shared" si="492"/>
        <v>0</v>
      </c>
      <c r="IN84" s="102">
        <f t="shared" si="493"/>
        <v>-19.300104990000001</v>
      </c>
      <c r="IP84" s="32">
        <f t="shared" si="494"/>
        <v>8.7829759047844901E-4</v>
      </c>
      <c r="IQ84" s="32">
        <f t="shared" si="495"/>
        <v>5.3316363912787518E-2</v>
      </c>
      <c r="IR84" s="32">
        <f t="shared" si="496"/>
        <v>9.1940495904881234E-4</v>
      </c>
      <c r="IS84" s="32">
        <f t="shared" si="497"/>
        <v>6.4926637028315387E-2</v>
      </c>
      <c r="IT84" s="32">
        <f t="shared" si="498"/>
        <v>1.2110904761638212E-5</v>
      </c>
      <c r="IU84" s="32">
        <f t="shared" si="499"/>
        <v>7.3822126727406271E-3</v>
      </c>
      <c r="IV84" s="32">
        <f t="shared" si="500"/>
        <v>1.5754371419202633E-4</v>
      </c>
      <c r="IW84" s="32">
        <f t="shared" si="501"/>
        <v>1.5293405272394486E-3</v>
      </c>
      <c r="IX84" s="32" t="e">
        <f t="shared" si="502"/>
        <v>#DIV/0!</v>
      </c>
      <c r="IY84" s="32" t="e">
        <f t="shared" si="503"/>
        <v>#DIV/0!</v>
      </c>
      <c r="JA84" s="102">
        <f t="shared" si="457"/>
        <v>51.13362703</v>
      </c>
      <c r="JB84" s="102">
        <f t="shared" si="457"/>
        <v>32.282074000000001</v>
      </c>
      <c r="JC84" s="102">
        <f t="shared" si="457"/>
        <v>2099.7573679000002</v>
      </c>
      <c r="JD84" s="102">
        <f t="shared" si="457"/>
        <v>15.494532490000037</v>
      </c>
      <c r="JE84" s="102">
        <f t="shared" si="457"/>
        <v>399.43041096000002</v>
      </c>
      <c r="JF84" s="102">
        <f t="shared" si="457"/>
        <v>0.16505728</v>
      </c>
      <c r="JG84" s="102">
        <f t="shared" si="457"/>
        <v>104.46225027999999</v>
      </c>
      <c r="JH84" s="102">
        <f t="shared" si="457"/>
        <v>3.3445508000000004</v>
      </c>
      <c r="JI84" s="102">
        <f t="shared" si="457"/>
        <v>19.300104990000001</v>
      </c>
      <c r="JJ84" s="102">
        <f t="shared" si="457"/>
        <v>8.3449999999999989</v>
      </c>
      <c r="JK84" s="102">
        <f t="shared" si="457"/>
        <v>4.4859486200000012</v>
      </c>
      <c r="JL84" s="102">
        <f t="shared" si="458"/>
        <v>4.4859486200000012</v>
      </c>
      <c r="JM84" s="102"/>
      <c r="JN84" s="102"/>
      <c r="JO84" s="1184"/>
      <c r="JP84" s="102">
        <f t="shared" si="504"/>
        <v>4.4859486200000012</v>
      </c>
      <c r="JQ84" s="102">
        <f t="shared" si="505"/>
        <v>0</v>
      </c>
      <c r="JR84" s="145"/>
      <c r="JS84" s="929" t="str">
        <f t="shared" si="506"/>
        <v/>
      </c>
      <c r="JT84" s="930">
        <f t="shared" si="507"/>
        <v>4.4859486200000012</v>
      </c>
      <c r="JV84" s="32">
        <f t="shared" si="508"/>
        <v>1.4858279786971574E-4</v>
      </c>
      <c r="JW84" s="929" t="str">
        <f t="shared" si="509"/>
        <v/>
      </c>
      <c r="JY84" s="929">
        <f t="shared" si="510"/>
        <v>64.044066496471075</v>
      </c>
      <c r="JZ84" s="929">
        <f t="shared" si="511"/>
        <v>-0.99262079860898578</v>
      </c>
      <c r="KA84" s="929">
        <f t="shared" si="512"/>
        <v>24.77879721235778</v>
      </c>
      <c r="KB84" s="929">
        <f t="shared" si="513"/>
        <v>-0.99958676836948068</v>
      </c>
      <c r="KC84" s="929">
        <f t="shared" si="514"/>
        <v>631.88484022031616</v>
      </c>
      <c r="KD84" s="929">
        <f t="shared" si="515"/>
        <v>-0.96798316338164947</v>
      </c>
      <c r="KE84" s="929">
        <f t="shared" si="516"/>
        <v>4.7706120026641541</v>
      </c>
      <c r="KF84" s="929">
        <f t="shared" si="517"/>
        <v>-1</v>
      </c>
      <c r="KH84" s="102">
        <f t="shared" si="518"/>
        <v>2067.4752939</v>
      </c>
      <c r="KI84" s="102">
        <f t="shared" si="519"/>
        <v>-2084.2628354100002</v>
      </c>
      <c r="KJ84" s="102">
        <f t="shared" si="520"/>
        <v>383.93587846999998</v>
      </c>
      <c r="KK84" s="102">
        <f t="shared" si="521"/>
        <v>-399.26535368000003</v>
      </c>
      <c r="KL84" s="102">
        <f t="shared" si="522"/>
        <v>104.29719299999999</v>
      </c>
      <c r="KM84" s="102">
        <f t="shared" si="523"/>
        <v>-101.11769948</v>
      </c>
      <c r="KN84" s="102">
        <f t="shared" si="524"/>
        <v>15.955554190000001</v>
      </c>
      <c r="KO84" s="102">
        <f t="shared" si="525"/>
        <v>-19.300104990000001</v>
      </c>
      <c r="KQ84" s="32">
        <f t="shared" si="526"/>
        <v>1.4093632936023595E-3</v>
      </c>
      <c r="KR84" s="32">
        <f t="shared" si="527"/>
        <v>8.7829759047844901E-4</v>
      </c>
      <c r="KS84" s="32">
        <f t="shared" si="528"/>
        <v>5.3316363912787518E-2</v>
      </c>
      <c r="KT84" s="32">
        <f t="shared" si="529"/>
        <v>9.1940495904881234E-4</v>
      </c>
      <c r="KU84" s="32">
        <f t="shared" si="530"/>
        <v>6.4926637028315387E-2</v>
      </c>
      <c r="KV84" s="32">
        <f t="shared" si="531"/>
        <v>1.2110904761638212E-5</v>
      </c>
      <c r="KW84" s="32">
        <f t="shared" si="532"/>
        <v>7.3822126727406271E-3</v>
      </c>
      <c r="KX84" s="32">
        <f t="shared" si="533"/>
        <v>1.5754371419202633E-4</v>
      </c>
      <c r="KY84" s="32">
        <f t="shared" si="534"/>
        <v>1.5293405272394486E-3</v>
      </c>
      <c r="KZ84" s="32" t="e">
        <f t="shared" si="535"/>
        <v>#DIV/0!</v>
      </c>
      <c r="LB84" s="102">
        <f t="shared" si="462"/>
        <v>0</v>
      </c>
      <c r="LC84" s="102">
        <f t="shared" si="462"/>
        <v>0</v>
      </c>
      <c r="LD84" s="102">
        <f t="shared" si="462"/>
        <v>2061.4334434800003</v>
      </c>
      <c r="LE84" s="102">
        <f t="shared" si="462"/>
        <v>-0.24551199999996243</v>
      </c>
      <c r="LF84" s="102">
        <f t="shared" si="462"/>
        <v>1.4454610000000001</v>
      </c>
      <c r="LG84" s="102">
        <f t="shared" si="462"/>
        <v>0</v>
      </c>
      <c r="LH84" s="102">
        <f t="shared" si="462"/>
        <v>94.824130599999989</v>
      </c>
      <c r="LI84" s="102">
        <f t="shared" si="462"/>
        <v>0</v>
      </c>
      <c r="LJ84" s="102">
        <f t="shared" si="462"/>
        <v>16.3692308</v>
      </c>
      <c r="LK84" s="102">
        <f t="shared" si="462"/>
        <v>0</v>
      </c>
      <c r="LL84" s="102">
        <f t="shared" si="462"/>
        <v>0.39673999999999998</v>
      </c>
      <c r="LM84" s="102">
        <f t="shared" si="462"/>
        <v>0.39673999999999998</v>
      </c>
      <c r="LN84" s="102"/>
      <c r="LO84" s="102"/>
      <c r="LR84" s="32" t="str">
        <f t="shared" si="536"/>
        <v xml:space="preserve"> </v>
      </c>
      <c r="LS84" s="32">
        <f t="shared" si="537"/>
        <v>-1.0001190977088183</v>
      </c>
      <c r="LT84" s="32">
        <f t="shared" si="538"/>
        <v>-6.8875370653989272</v>
      </c>
      <c r="LU84" s="32">
        <f t="shared" si="539"/>
        <v>-1</v>
      </c>
      <c r="LV84" s="32" t="str">
        <f t="shared" si="540"/>
        <v xml:space="preserve"> </v>
      </c>
      <c r="LW84" s="32">
        <f t="shared" si="541"/>
        <v>-1</v>
      </c>
      <c r="LX84" s="32" t="str">
        <f t="shared" si="542"/>
        <v xml:space="preserve"> </v>
      </c>
      <c r="LZ84" s="102">
        <f t="shared" si="543"/>
        <v>2061.4334434800003</v>
      </c>
      <c r="MA84" s="102">
        <f t="shared" si="544"/>
        <v>-2061.6789554800002</v>
      </c>
      <c r="MB84" s="102">
        <f t="shared" si="545"/>
        <v>1.6909729999999625</v>
      </c>
      <c r="MC84" s="102">
        <f t="shared" si="546"/>
        <v>-1.4454610000000001</v>
      </c>
      <c r="MD84" s="102">
        <f t="shared" si="547"/>
        <v>94.824130599999989</v>
      </c>
      <c r="ME84" s="102">
        <f t="shared" si="548"/>
        <v>-94.824130599999989</v>
      </c>
      <c r="MF84" s="102">
        <f t="shared" si="549"/>
        <v>0</v>
      </c>
      <c r="MH84" s="32">
        <f t="shared" si="550"/>
        <v>0</v>
      </c>
      <c r="MI84" s="32">
        <f t="shared" si="551"/>
        <v>0</v>
      </c>
      <c r="MJ84" s="32">
        <f t="shared" si="552"/>
        <v>0.40214087343766769</v>
      </c>
      <c r="MK84" s="32">
        <f t="shared" si="553"/>
        <v>-4.223704196388671E-4</v>
      </c>
      <c r="ML84" s="32">
        <f t="shared" si="554"/>
        <v>9.5950880617125137E-4</v>
      </c>
      <c r="MM84" s="32">
        <f t="shared" si="555"/>
        <v>0</v>
      </c>
      <c r="MN84" s="32">
        <f t="shared" si="556"/>
        <v>6.0979652041843004E-2</v>
      </c>
      <c r="MO84" s="32">
        <f t="shared" si="557"/>
        <v>0</v>
      </c>
      <c r="MP84" s="32" t="e">
        <f t="shared" si="558"/>
        <v>#DIV/0!</v>
      </c>
    </row>
    <row r="85" spans="1:354" outlineLevel="2">
      <c r="A85" s="884">
        <v>4265</v>
      </c>
      <c r="B85" s="70"/>
      <c r="C85" s="40" t="s">
        <v>663</v>
      </c>
      <c r="D85" s="31"/>
      <c r="E85" s="102">
        <v>0</v>
      </c>
      <c r="F85" s="102">
        <v>0</v>
      </c>
      <c r="G85" s="102">
        <v>0</v>
      </c>
      <c r="H85" s="102">
        <v>0</v>
      </c>
      <c r="I85" s="102">
        <v>0</v>
      </c>
      <c r="J85" s="102">
        <v>0</v>
      </c>
      <c r="K85" s="102">
        <v>0</v>
      </c>
      <c r="L85" s="102">
        <v>34.108465029999998</v>
      </c>
      <c r="M85" s="102">
        <v>0</v>
      </c>
      <c r="N85" s="102">
        <v>0</v>
      </c>
      <c r="O85" s="102">
        <v>0</v>
      </c>
      <c r="P85" s="102">
        <v>0</v>
      </c>
      <c r="Q85" s="102">
        <v>0</v>
      </c>
      <c r="R85" s="102">
        <v>0</v>
      </c>
      <c r="S85" s="102">
        <v>0</v>
      </c>
      <c r="T85" s="102">
        <v>0</v>
      </c>
      <c r="U85" s="102">
        <v>0</v>
      </c>
      <c r="V85" s="102">
        <v>0</v>
      </c>
      <c r="W85" s="102">
        <v>0</v>
      </c>
      <c r="X85" s="102">
        <v>0</v>
      </c>
      <c r="Y85" s="102">
        <v>0</v>
      </c>
      <c r="Z85" s="102">
        <v>0</v>
      </c>
      <c r="AA85" s="102">
        <v>0</v>
      </c>
      <c r="AB85" s="102">
        <v>0</v>
      </c>
      <c r="AC85" s="102">
        <v>0</v>
      </c>
      <c r="AD85" s="102">
        <v>0</v>
      </c>
      <c r="AE85" s="102">
        <v>0</v>
      </c>
      <c r="AF85" s="102">
        <v>0</v>
      </c>
      <c r="AG85" s="102">
        <v>0</v>
      </c>
      <c r="AH85" s="102">
        <v>0</v>
      </c>
      <c r="AI85" s="102">
        <v>0</v>
      </c>
      <c r="AJ85" s="102">
        <v>0</v>
      </c>
      <c r="AK85" s="102">
        <v>0</v>
      </c>
      <c r="AL85" s="102">
        <v>0</v>
      </c>
      <c r="AM85" s="102">
        <v>0</v>
      </c>
      <c r="AN85" s="102">
        <v>0</v>
      </c>
      <c r="AO85" s="102">
        <v>0</v>
      </c>
      <c r="AP85" s="145">
        <v>0</v>
      </c>
      <c r="AQ85" s="143">
        <v>0</v>
      </c>
      <c r="AR85" s="143">
        <v>0</v>
      </c>
      <c r="AS85" s="102">
        <v>0</v>
      </c>
      <c r="AT85" s="102">
        <v>0</v>
      </c>
      <c r="AU85" s="102">
        <v>0</v>
      </c>
      <c r="AV85" s="102">
        <v>0</v>
      </c>
      <c r="AW85" s="102">
        <v>0</v>
      </c>
      <c r="AX85" s="102">
        <v>0</v>
      </c>
      <c r="AY85" s="102">
        <v>0</v>
      </c>
      <c r="AZ85" s="102">
        <v>0</v>
      </c>
      <c r="BA85" s="102">
        <v>0</v>
      </c>
      <c r="BB85" s="102">
        <v>0</v>
      </c>
      <c r="BC85" s="102">
        <v>0</v>
      </c>
      <c r="BD85" s="102">
        <v>0</v>
      </c>
      <c r="BE85" s="102">
        <v>0</v>
      </c>
      <c r="BF85" s="102">
        <v>0</v>
      </c>
      <c r="BG85" s="102">
        <v>0</v>
      </c>
      <c r="BH85" s="102">
        <v>0</v>
      </c>
      <c r="BI85" s="102">
        <v>0</v>
      </c>
      <c r="BJ85" s="102">
        <v>0</v>
      </c>
      <c r="BK85" s="102">
        <v>0</v>
      </c>
      <c r="BL85" s="102"/>
      <c r="BM85" s="102">
        <v>0</v>
      </c>
      <c r="BN85" s="102">
        <v>0</v>
      </c>
      <c r="BO85" s="102">
        <v>0</v>
      </c>
      <c r="BP85" s="102">
        <v>0</v>
      </c>
      <c r="BQ85" s="102">
        <v>0</v>
      </c>
      <c r="BR85" s="102">
        <v>0</v>
      </c>
      <c r="BS85" s="102">
        <v>0</v>
      </c>
      <c r="BT85" s="102">
        <v>0</v>
      </c>
      <c r="BU85" s="102">
        <v>0</v>
      </c>
      <c r="BV85" s="102">
        <v>0</v>
      </c>
      <c r="BW85" s="102">
        <v>0</v>
      </c>
      <c r="BX85" s="102">
        <v>0</v>
      </c>
      <c r="BY85" s="102">
        <v>0</v>
      </c>
      <c r="BZ85" s="102">
        <v>0</v>
      </c>
      <c r="CA85" s="102">
        <v>0</v>
      </c>
      <c r="CB85" s="102">
        <v>0</v>
      </c>
      <c r="CC85" s="102">
        <v>0</v>
      </c>
      <c r="CD85" s="102">
        <v>0</v>
      </c>
      <c r="CE85" s="102">
        <v>0</v>
      </c>
      <c r="CF85" s="102">
        <v>0</v>
      </c>
      <c r="CG85" s="102">
        <v>0</v>
      </c>
      <c r="CH85" s="102">
        <v>0</v>
      </c>
      <c r="CI85" s="102">
        <v>0</v>
      </c>
      <c r="CJ85" s="102">
        <v>0</v>
      </c>
      <c r="CK85" s="102">
        <v>0</v>
      </c>
      <c r="CL85" s="102">
        <v>0</v>
      </c>
      <c r="CM85" s="102">
        <v>0</v>
      </c>
      <c r="CN85" s="102">
        <v>0</v>
      </c>
      <c r="CO85" s="102">
        <v>0</v>
      </c>
      <c r="CP85" s="102">
        <v>0</v>
      </c>
      <c r="CQ85" s="102">
        <v>0</v>
      </c>
      <c r="CR85" s="102">
        <v>0</v>
      </c>
      <c r="CS85" s="102">
        <v>0</v>
      </c>
      <c r="CT85" s="102">
        <v>0</v>
      </c>
      <c r="CU85" s="102">
        <v>0</v>
      </c>
      <c r="CV85" s="102">
        <v>0</v>
      </c>
      <c r="CW85" s="102">
        <v>0</v>
      </c>
      <c r="CX85" s="102">
        <v>0</v>
      </c>
      <c r="CY85" s="102">
        <v>0</v>
      </c>
      <c r="CZ85" s="102">
        <v>0</v>
      </c>
      <c r="DA85" s="102">
        <v>0</v>
      </c>
      <c r="DB85" s="102">
        <v>0</v>
      </c>
      <c r="DC85" s="102">
        <v>0</v>
      </c>
      <c r="DD85" s="102">
        <v>0</v>
      </c>
      <c r="DE85" s="102">
        <v>0</v>
      </c>
      <c r="DF85" s="102">
        <v>0</v>
      </c>
      <c r="DG85" s="102">
        <v>0</v>
      </c>
      <c r="DH85" s="102">
        <v>0</v>
      </c>
      <c r="DI85" s="102">
        <v>0</v>
      </c>
      <c r="DJ85" s="102">
        <v>0</v>
      </c>
      <c r="DK85" s="102">
        <v>0</v>
      </c>
      <c r="DL85" s="102">
        <v>0</v>
      </c>
      <c r="DM85" s="102">
        <v>0</v>
      </c>
      <c r="DN85" s="102">
        <v>0</v>
      </c>
      <c r="DO85" s="102">
        <v>0</v>
      </c>
      <c r="DP85" s="102">
        <v>0</v>
      </c>
      <c r="DQ85" s="940">
        <v>0</v>
      </c>
      <c r="DR85" s="940">
        <v>0</v>
      </c>
      <c r="DS85" s="940">
        <v>0</v>
      </c>
      <c r="DT85" s="940">
        <v>0</v>
      </c>
      <c r="DU85" s="940">
        <v>0</v>
      </c>
      <c r="DV85" s="940">
        <v>0</v>
      </c>
      <c r="DW85" s="940">
        <v>0</v>
      </c>
      <c r="DX85" s="940">
        <v>0</v>
      </c>
      <c r="DY85" s="940">
        <v>0</v>
      </c>
      <c r="DZ85" s="940">
        <v>0</v>
      </c>
      <c r="EA85" s="940">
        <v>0</v>
      </c>
      <c r="EB85" s="940">
        <v>0</v>
      </c>
      <c r="EC85" s="940">
        <v>0</v>
      </c>
      <c r="ED85" s="940">
        <v>0</v>
      </c>
      <c r="EE85" s="940">
        <v>0</v>
      </c>
      <c r="EF85" s="940">
        <v>0</v>
      </c>
      <c r="EH85" s="102"/>
      <c r="EI85" s="102"/>
      <c r="EJ85" s="102"/>
      <c r="EK85" s="102"/>
      <c r="EL85" s="102"/>
      <c r="EM85" s="102"/>
      <c r="EN85" s="102"/>
      <c r="EO85" s="102"/>
      <c r="EP85" s="102"/>
      <c r="EQ85" s="102"/>
      <c r="ER85" s="102"/>
      <c r="ES85" s="102"/>
      <c r="EU85" s="102"/>
      <c r="EV85" s="102"/>
      <c r="EW85" s="102"/>
      <c r="EX85" s="102"/>
      <c r="EY85" s="102"/>
      <c r="EZ85" s="102"/>
      <c r="FA85" s="102"/>
      <c r="FB85" s="102"/>
      <c r="FC85" s="102"/>
      <c r="FD85" s="102"/>
      <c r="FE85" s="102"/>
      <c r="FF85" s="102"/>
      <c r="FG85" s="102">
        <v>0</v>
      </c>
      <c r="FH85" s="102">
        <v>0</v>
      </c>
      <c r="FI85" s="102">
        <v>0</v>
      </c>
      <c r="FJ85" s="102">
        <v>0</v>
      </c>
      <c r="FK85" s="102">
        <v>0</v>
      </c>
      <c r="FL85" s="102">
        <v>0</v>
      </c>
      <c r="FM85" s="102">
        <v>0</v>
      </c>
      <c r="FN85" s="102">
        <v>0</v>
      </c>
      <c r="FO85" s="102">
        <v>0</v>
      </c>
      <c r="FP85" s="102">
        <v>0</v>
      </c>
      <c r="FQ85" s="102">
        <v>0</v>
      </c>
      <c r="FR85" s="102">
        <v>0</v>
      </c>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D85" s="102">
        <f t="shared" si="469"/>
        <v>34.108465029999998</v>
      </c>
      <c r="HE85" s="102">
        <f t="shared" si="469"/>
        <v>0</v>
      </c>
      <c r="HF85" s="102">
        <f t="shared" si="469"/>
        <v>0</v>
      </c>
      <c r="HG85" s="102">
        <f t="shared" si="469"/>
        <v>0</v>
      </c>
      <c r="HH85" s="102">
        <f t="shared" si="470"/>
        <v>0</v>
      </c>
      <c r="HI85" s="102">
        <f t="shared" si="471"/>
        <v>0</v>
      </c>
      <c r="HJ85" s="102">
        <f t="shared" si="472"/>
        <v>0</v>
      </c>
      <c r="HK85" s="102">
        <f t="shared" si="473"/>
        <v>0</v>
      </c>
      <c r="HL85" s="940">
        <f>+SUMIF($E$6:SEW$6,HL$7,$E85:SEW85)</f>
        <v>0</v>
      </c>
      <c r="HM85" s="940">
        <f>+SUMIF($E$6:SEX$6,HM$7,$E85:SEX85)</f>
        <v>0</v>
      </c>
      <c r="HN85" s="940">
        <f>+SUMIF($E$6:SEY$6,HN$7,$E85:SEY85)</f>
        <v>0</v>
      </c>
      <c r="HO85" s="102"/>
      <c r="HP85" s="102"/>
      <c r="HR85" s="929" t="str">
        <f t="shared" si="474"/>
        <v/>
      </c>
      <c r="HS85" s="929" t="str">
        <f t="shared" si="475"/>
        <v/>
      </c>
      <c r="HT85" s="929" t="str">
        <f t="shared" si="476"/>
        <v/>
      </c>
      <c r="HU85" s="929" t="str">
        <f t="shared" si="477"/>
        <v/>
      </c>
      <c r="HV85" s="929" t="str">
        <f t="shared" si="478"/>
        <v/>
      </c>
      <c r="HW85" s="929" t="str">
        <f t="shared" si="479"/>
        <v/>
      </c>
      <c r="HX85" s="929" t="str">
        <f t="shared" si="480"/>
        <v/>
      </c>
      <c r="HY85" s="929" t="str">
        <f t="shared" si="480"/>
        <v/>
      </c>
      <c r="HZ85" s="929" t="str">
        <f t="shared" si="480"/>
        <v/>
      </c>
      <c r="IA85" s="929" t="str">
        <f t="shared" si="481"/>
        <v/>
      </c>
      <c r="IB85" s="929" t="str">
        <f t="shared" si="482"/>
        <v/>
      </c>
      <c r="IC85" s="929" t="str">
        <f t="shared" si="483"/>
        <v/>
      </c>
      <c r="IE85" s="102">
        <f t="shared" si="484"/>
        <v>0</v>
      </c>
      <c r="IF85" s="102">
        <f t="shared" si="485"/>
        <v>0</v>
      </c>
      <c r="IG85" s="102">
        <f t="shared" si="486"/>
        <v>0</v>
      </c>
      <c r="IH85" s="102">
        <f t="shared" si="487"/>
        <v>0</v>
      </c>
      <c r="II85" s="102">
        <f t="shared" si="488"/>
        <v>0</v>
      </c>
      <c r="IJ85" s="102">
        <f t="shared" si="489"/>
        <v>0</v>
      </c>
      <c r="IK85" s="102">
        <f t="shared" si="490"/>
        <v>0</v>
      </c>
      <c r="IL85" s="102">
        <f t="shared" si="491"/>
        <v>0</v>
      </c>
      <c r="IM85" s="102">
        <f t="shared" si="492"/>
        <v>0</v>
      </c>
      <c r="IN85" s="102">
        <f t="shared" si="493"/>
        <v>0</v>
      </c>
      <c r="IP85" s="32">
        <f t="shared" si="494"/>
        <v>0</v>
      </c>
      <c r="IQ85" s="32">
        <f t="shared" si="495"/>
        <v>0</v>
      </c>
      <c r="IR85" s="32">
        <f t="shared" si="496"/>
        <v>0</v>
      </c>
      <c r="IS85" s="32">
        <f t="shared" si="497"/>
        <v>0</v>
      </c>
      <c r="IT85" s="32">
        <f t="shared" si="498"/>
        <v>0</v>
      </c>
      <c r="IU85" s="32">
        <f t="shared" si="499"/>
        <v>0</v>
      </c>
      <c r="IV85" s="32">
        <f t="shared" si="500"/>
        <v>0</v>
      </c>
      <c r="IW85" s="32">
        <f t="shared" si="501"/>
        <v>0</v>
      </c>
      <c r="IX85" s="32" t="e">
        <f t="shared" si="502"/>
        <v>#DIV/0!</v>
      </c>
      <c r="IY85" s="32" t="e">
        <f t="shared" si="503"/>
        <v>#DIV/0!</v>
      </c>
      <c r="JA85" s="102">
        <f t="shared" si="457"/>
        <v>34.108465029999998</v>
      </c>
      <c r="JB85" s="102">
        <f t="shared" si="457"/>
        <v>0</v>
      </c>
      <c r="JC85" s="102">
        <f t="shared" si="457"/>
        <v>0</v>
      </c>
      <c r="JD85" s="102">
        <f t="shared" si="457"/>
        <v>0</v>
      </c>
      <c r="JE85" s="102">
        <f t="shared" si="457"/>
        <v>0</v>
      </c>
      <c r="JF85" s="102">
        <f t="shared" si="457"/>
        <v>0</v>
      </c>
      <c r="JG85" s="102">
        <f t="shared" si="457"/>
        <v>0</v>
      </c>
      <c r="JH85" s="102">
        <f t="shared" si="457"/>
        <v>0</v>
      </c>
      <c r="JI85" s="102">
        <f t="shared" si="457"/>
        <v>0</v>
      </c>
      <c r="JJ85" s="102">
        <f t="shared" si="457"/>
        <v>0</v>
      </c>
      <c r="JK85" s="102">
        <f t="shared" si="457"/>
        <v>0</v>
      </c>
      <c r="JL85" s="102">
        <f t="shared" si="458"/>
        <v>0</v>
      </c>
      <c r="JM85" s="102"/>
      <c r="JN85" s="102"/>
      <c r="JO85" s="1184"/>
      <c r="JP85" s="102">
        <f t="shared" si="504"/>
        <v>0</v>
      </c>
      <c r="JQ85" s="102">
        <f t="shared" si="505"/>
        <v>0</v>
      </c>
      <c r="JR85" s="145"/>
      <c r="JS85" s="929" t="str">
        <f t="shared" si="506"/>
        <v/>
      </c>
      <c r="JT85" s="930">
        <f t="shared" si="507"/>
        <v>0</v>
      </c>
      <c r="JV85" s="32">
        <f t="shared" si="508"/>
        <v>0</v>
      </c>
      <c r="JW85" s="929" t="str">
        <f t="shared" si="509"/>
        <v/>
      </c>
      <c r="JY85" s="929" t="str">
        <f t="shared" si="510"/>
        <v/>
      </c>
      <c r="JZ85" s="929" t="str">
        <f t="shared" si="511"/>
        <v/>
      </c>
      <c r="KA85" s="929" t="str">
        <f t="shared" si="512"/>
        <v/>
      </c>
      <c r="KB85" s="929" t="str">
        <f t="shared" si="513"/>
        <v/>
      </c>
      <c r="KC85" s="929" t="str">
        <f t="shared" si="514"/>
        <v/>
      </c>
      <c r="KD85" s="929" t="str">
        <f t="shared" si="515"/>
        <v/>
      </c>
      <c r="KE85" s="929" t="str">
        <f t="shared" si="516"/>
        <v/>
      </c>
      <c r="KF85" s="929" t="str">
        <f t="shared" si="517"/>
        <v/>
      </c>
      <c r="KH85" s="102">
        <f t="shared" si="518"/>
        <v>0</v>
      </c>
      <c r="KI85" s="102">
        <f t="shared" si="519"/>
        <v>0</v>
      </c>
      <c r="KJ85" s="102">
        <f t="shared" si="520"/>
        <v>0</v>
      </c>
      <c r="KK85" s="102">
        <f t="shared" si="521"/>
        <v>0</v>
      </c>
      <c r="KL85" s="102">
        <f t="shared" si="522"/>
        <v>0</v>
      </c>
      <c r="KM85" s="102">
        <f t="shared" si="523"/>
        <v>0</v>
      </c>
      <c r="KN85" s="102">
        <f t="shared" si="524"/>
        <v>0</v>
      </c>
      <c r="KO85" s="102">
        <f t="shared" si="525"/>
        <v>0</v>
      </c>
      <c r="KQ85" s="32">
        <f t="shared" si="526"/>
        <v>9.4010969701402978E-4</v>
      </c>
      <c r="KR85" s="32">
        <f t="shared" si="527"/>
        <v>0</v>
      </c>
      <c r="KS85" s="32">
        <f t="shared" si="528"/>
        <v>0</v>
      </c>
      <c r="KT85" s="32">
        <f t="shared" si="529"/>
        <v>0</v>
      </c>
      <c r="KU85" s="32">
        <f t="shared" si="530"/>
        <v>0</v>
      </c>
      <c r="KV85" s="32">
        <f t="shared" si="531"/>
        <v>0</v>
      </c>
      <c r="KW85" s="32">
        <f t="shared" si="532"/>
        <v>0</v>
      </c>
      <c r="KX85" s="32">
        <f t="shared" si="533"/>
        <v>0</v>
      </c>
      <c r="KY85" s="32">
        <f t="shared" si="534"/>
        <v>0</v>
      </c>
      <c r="KZ85" s="32" t="e">
        <f t="shared" si="535"/>
        <v>#DIV/0!</v>
      </c>
      <c r="LB85" s="102">
        <f t="shared" si="462"/>
        <v>0</v>
      </c>
      <c r="LC85" s="102">
        <f t="shared" si="462"/>
        <v>0</v>
      </c>
      <c r="LD85" s="102">
        <f t="shared" si="462"/>
        <v>0</v>
      </c>
      <c r="LE85" s="102">
        <f t="shared" si="462"/>
        <v>0</v>
      </c>
      <c r="LF85" s="102">
        <f t="shared" si="462"/>
        <v>0</v>
      </c>
      <c r="LG85" s="102">
        <f t="shared" si="462"/>
        <v>0</v>
      </c>
      <c r="LH85" s="102">
        <f t="shared" si="462"/>
        <v>0</v>
      </c>
      <c r="LI85" s="102">
        <f t="shared" si="462"/>
        <v>0</v>
      </c>
      <c r="LJ85" s="102">
        <f t="shared" si="462"/>
        <v>0</v>
      </c>
      <c r="LK85" s="102">
        <f t="shared" si="462"/>
        <v>0</v>
      </c>
      <c r="LL85" s="102">
        <f t="shared" si="462"/>
        <v>0</v>
      </c>
      <c r="LM85" s="102">
        <f t="shared" si="462"/>
        <v>0</v>
      </c>
      <c r="LN85" s="102"/>
      <c r="LO85" s="102"/>
      <c r="LR85" s="32" t="str">
        <f t="shared" si="536"/>
        <v xml:space="preserve"> </v>
      </c>
      <c r="LS85" s="32" t="str">
        <f t="shared" si="537"/>
        <v xml:space="preserve"> </v>
      </c>
      <c r="LT85" s="32" t="str">
        <f t="shared" si="538"/>
        <v xml:space="preserve"> </v>
      </c>
      <c r="LU85" s="32" t="str">
        <f t="shared" si="539"/>
        <v xml:space="preserve"> </v>
      </c>
      <c r="LV85" s="32" t="str">
        <f t="shared" si="540"/>
        <v xml:space="preserve"> </v>
      </c>
      <c r="LW85" s="32" t="str">
        <f t="shared" si="541"/>
        <v xml:space="preserve"> </v>
      </c>
      <c r="LX85" s="32" t="str">
        <f t="shared" si="542"/>
        <v xml:space="preserve"> </v>
      </c>
      <c r="LZ85" s="102">
        <f t="shared" si="543"/>
        <v>0</v>
      </c>
      <c r="MA85" s="102">
        <f t="shared" si="544"/>
        <v>0</v>
      </c>
      <c r="MB85" s="102">
        <f t="shared" si="545"/>
        <v>0</v>
      </c>
      <c r="MC85" s="102">
        <f t="shared" si="546"/>
        <v>0</v>
      </c>
      <c r="MD85" s="102">
        <f t="shared" si="547"/>
        <v>0</v>
      </c>
      <c r="ME85" s="102">
        <f t="shared" si="548"/>
        <v>0</v>
      </c>
      <c r="MF85" s="102">
        <f t="shared" si="549"/>
        <v>0</v>
      </c>
      <c r="MH85" s="32">
        <f t="shared" si="550"/>
        <v>0</v>
      </c>
      <c r="MI85" s="32">
        <f t="shared" si="551"/>
        <v>0</v>
      </c>
      <c r="MJ85" s="32">
        <f t="shared" si="552"/>
        <v>0</v>
      </c>
      <c r="MK85" s="32">
        <f t="shared" si="553"/>
        <v>0</v>
      </c>
      <c r="ML85" s="32">
        <f t="shared" si="554"/>
        <v>0</v>
      </c>
      <c r="MM85" s="32">
        <f t="shared" si="555"/>
        <v>0</v>
      </c>
      <c r="MN85" s="32">
        <f t="shared" si="556"/>
        <v>0</v>
      </c>
      <c r="MO85" s="32">
        <f t="shared" si="557"/>
        <v>0</v>
      </c>
      <c r="MP85" s="32" t="e">
        <f t="shared" si="558"/>
        <v>#DIV/0!</v>
      </c>
    </row>
    <row r="86" spans="1:354" outlineLevel="2">
      <c r="A86" s="884">
        <v>4250</v>
      </c>
      <c r="B86" s="70" t="s">
        <v>664</v>
      </c>
      <c r="C86" s="40" t="s">
        <v>665</v>
      </c>
      <c r="D86" s="31"/>
      <c r="E86" s="102">
        <v>0</v>
      </c>
      <c r="F86" s="102">
        <v>0</v>
      </c>
      <c r="G86" s="102">
        <v>0</v>
      </c>
      <c r="H86" s="102">
        <v>0</v>
      </c>
      <c r="I86" s="102">
        <v>0</v>
      </c>
      <c r="J86" s="102">
        <v>0</v>
      </c>
      <c r="K86" s="102">
        <v>0</v>
      </c>
      <c r="L86" s="102">
        <v>0</v>
      </c>
      <c r="M86" s="102">
        <v>17.025162000000002</v>
      </c>
      <c r="N86" s="102">
        <v>0</v>
      </c>
      <c r="O86" s="102">
        <v>0</v>
      </c>
      <c r="P86" s="102">
        <v>0</v>
      </c>
      <c r="Q86" s="102">
        <v>15.132695999999999</v>
      </c>
      <c r="R86" s="102">
        <v>0</v>
      </c>
      <c r="S86" s="102">
        <v>0</v>
      </c>
      <c r="T86" s="102">
        <v>7.9493780000000029</v>
      </c>
      <c r="U86" s="102">
        <v>0</v>
      </c>
      <c r="V86" s="102">
        <v>0</v>
      </c>
      <c r="W86" s="102">
        <v>6</v>
      </c>
      <c r="X86" s="102">
        <v>0</v>
      </c>
      <c r="Y86" s="102">
        <v>0</v>
      </c>
      <c r="Z86" s="102">
        <v>3.1999999999999993</v>
      </c>
      <c r="AA86" s="102">
        <v>0</v>
      </c>
      <c r="AB86" s="102">
        <v>0</v>
      </c>
      <c r="AC86" s="102">
        <v>1.21469768</v>
      </c>
      <c r="AD86" s="102">
        <v>7.6194267400000006</v>
      </c>
      <c r="AE86" s="102">
        <v>16.6509</v>
      </c>
      <c r="AF86" s="102">
        <v>0</v>
      </c>
      <c r="AG86" s="102">
        <v>0</v>
      </c>
      <c r="AH86" s="102">
        <v>0</v>
      </c>
      <c r="AI86" s="102">
        <v>0</v>
      </c>
      <c r="AJ86" s="102">
        <v>0</v>
      </c>
      <c r="AK86" s="102">
        <v>8.4976199999999995</v>
      </c>
      <c r="AL86" s="102">
        <v>0.54</v>
      </c>
      <c r="AM86" s="102">
        <v>3.8012800000000002</v>
      </c>
      <c r="AN86" s="102">
        <v>2061.4334434800003</v>
      </c>
      <c r="AO86" s="940">
        <v>0</v>
      </c>
      <c r="AP86" s="963">
        <v>0</v>
      </c>
      <c r="AQ86" s="962">
        <v>1.7435</v>
      </c>
      <c r="AR86" s="962">
        <v>0</v>
      </c>
      <c r="AS86" s="940">
        <v>1.360625</v>
      </c>
      <c r="AT86" s="940">
        <v>0</v>
      </c>
      <c r="AU86" s="940">
        <v>11.82559781</v>
      </c>
      <c r="AV86" s="940">
        <v>0</v>
      </c>
      <c r="AW86" s="940">
        <v>0</v>
      </c>
      <c r="AX86" s="940">
        <v>5.0821999999999999E-2</v>
      </c>
      <c r="AY86" s="940">
        <v>0.75949968000000001</v>
      </c>
      <c r="AZ86" s="940">
        <f>605.004488+605.01-1210.26</f>
        <v>-0.24551199999996243</v>
      </c>
      <c r="BA86" s="102">
        <v>0</v>
      </c>
      <c r="BB86" s="102">
        <v>4.1160290000000002</v>
      </c>
      <c r="BC86" s="102">
        <v>6.9308100000000001</v>
      </c>
      <c r="BD86" s="102">
        <f>308.48402584</f>
        <v>308.48402584000002</v>
      </c>
      <c r="BE86" s="102">
        <v>4.5056435700000002</v>
      </c>
      <c r="BF86" s="102">
        <v>8.3267183899999999</v>
      </c>
      <c r="BG86" s="102">
        <v>0</v>
      </c>
      <c r="BH86" s="102">
        <v>2.6590630000000001E-2</v>
      </c>
      <c r="BI86" s="102">
        <v>19.95264959</v>
      </c>
      <c r="BJ86" s="102">
        <v>0</v>
      </c>
      <c r="BK86" s="102">
        <v>45.642482940000001</v>
      </c>
      <c r="BL86" s="102">
        <v>1.4454610000000001</v>
      </c>
      <c r="BM86" s="102">
        <v>0.16505728</v>
      </c>
      <c r="BN86" s="102">
        <v>0</v>
      </c>
      <c r="BO86" s="102">
        <v>0</v>
      </c>
      <c r="BP86" s="102">
        <v>0</v>
      </c>
      <c r="BQ86" s="102">
        <v>0</v>
      </c>
      <c r="BR86" s="102">
        <v>0</v>
      </c>
      <c r="BS86" s="102">
        <v>0</v>
      </c>
      <c r="BT86" s="102">
        <v>0</v>
      </c>
      <c r="BU86" s="102">
        <v>0</v>
      </c>
      <c r="BV86" s="102">
        <v>0</v>
      </c>
      <c r="BW86" s="102">
        <v>0</v>
      </c>
      <c r="BX86" s="102">
        <v>0</v>
      </c>
      <c r="BY86" s="102">
        <v>0</v>
      </c>
      <c r="BZ86" s="102">
        <v>0</v>
      </c>
      <c r="CA86" s="102">
        <v>0</v>
      </c>
      <c r="CB86" s="102">
        <v>8.865599679999999</v>
      </c>
      <c r="CC86" s="102">
        <v>0</v>
      </c>
      <c r="CD86" s="102">
        <v>0</v>
      </c>
      <c r="CE86" s="102">
        <v>0.77251999999999998</v>
      </c>
      <c r="CF86" s="102">
        <v>0</v>
      </c>
      <c r="CG86" s="102">
        <v>0</v>
      </c>
      <c r="CH86" s="102">
        <v>0</v>
      </c>
      <c r="CI86" s="102">
        <v>0</v>
      </c>
      <c r="CJ86" s="102">
        <v>94.824130599999989</v>
      </c>
      <c r="CK86" s="102">
        <v>0</v>
      </c>
      <c r="CL86" s="102">
        <v>0</v>
      </c>
      <c r="CM86" s="102">
        <v>0</v>
      </c>
      <c r="CN86" s="102">
        <v>0</v>
      </c>
      <c r="CO86" s="102">
        <v>2.93</v>
      </c>
      <c r="CP86" s="102">
        <v>0</v>
      </c>
      <c r="CQ86" s="102">
        <v>0.4145508</v>
      </c>
      <c r="CR86" s="102">
        <v>0</v>
      </c>
      <c r="CS86" s="102">
        <v>0</v>
      </c>
      <c r="CT86" s="102">
        <v>0</v>
      </c>
      <c r="CU86" s="102">
        <v>0</v>
      </c>
      <c r="CV86" s="102">
        <v>0</v>
      </c>
      <c r="CW86" s="102">
        <v>0</v>
      </c>
      <c r="CX86" s="102">
        <v>0</v>
      </c>
      <c r="CY86" s="102">
        <v>0</v>
      </c>
      <c r="CZ86" s="102">
        <v>0</v>
      </c>
      <c r="DA86" s="102">
        <v>0</v>
      </c>
      <c r="DB86" s="102">
        <v>0</v>
      </c>
      <c r="DC86" s="102">
        <v>2.92521187</v>
      </c>
      <c r="DD86" s="102">
        <v>5.6623199999999993E-3</v>
      </c>
      <c r="DE86" s="102">
        <v>0</v>
      </c>
      <c r="DF86" s="102">
        <v>0</v>
      </c>
      <c r="DG86" s="102">
        <v>0</v>
      </c>
      <c r="DH86" s="102">
        <v>16.3692308</v>
      </c>
      <c r="DI86" s="102">
        <v>0</v>
      </c>
      <c r="DJ86" s="102">
        <v>0.95499999999999996</v>
      </c>
      <c r="DK86" s="102">
        <v>0</v>
      </c>
      <c r="DL86" s="102">
        <v>0.43635120000000016</v>
      </c>
      <c r="DM86" s="102">
        <v>4.22</v>
      </c>
      <c r="DN86" s="102">
        <v>0</v>
      </c>
      <c r="DO86" s="102">
        <v>0</v>
      </c>
      <c r="DP86" s="102">
        <v>0</v>
      </c>
      <c r="DQ86" s="940">
        <v>3.4536487999999999</v>
      </c>
      <c r="DR86" s="940">
        <v>0</v>
      </c>
      <c r="DS86" s="940">
        <v>-0.72</v>
      </c>
      <c r="DT86" s="940">
        <v>0</v>
      </c>
      <c r="DU86" s="940">
        <v>0.25486762000000002</v>
      </c>
      <c r="DV86" s="940">
        <v>0.223521</v>
      </c>
      <c r="DW86" s="940">
        <v>0.24968199999999999</v>
      </c>
      <c r="DX86" s="940">
        <v>0.27542499999999998</v>
      </c>
      <c r="DY86" s="940">
        <v>0.275227</v>
      </c>
      <c r="DZ86" s="940">
        <v>0.29167399999999999</v>
      </c>
      <c r="EA86" s="940">
        <v>1.0459689999999999</v>
      </c>
      <c r="EB86" s="940">
        <v>8.0025670000000009</v>
      </c>
      <c r="EC86" s="940">
        <v>-7.3041179999999999</v>
      </c>
      <c r="ED86" s="940">
        <v>0.38127899999999998</v>
      </c>
      <c r="EE86" s="940">
        <v>0.39311499999999999</v>
      </c>
      <c r="EF86" s="940">
        <v>0.39673999999999998</v>
      </c>
      <c r="EH86" s="102">
        <v>0</v>
      </c>
      <c r="EI86" s="102">
        <v>0</v>
      </c>
      <c r="EJ86" s="102">
        <v>0</v>
      </c>
      <c r="EK86" s="102">
        <v>0</v>
      </c>
      <c r="EL86" s="102">
        <v>0</v>
      </c>
      <c r="EM86" s="102">
        <v>0</v>
      </c>
      <c r="EN86" s="102">
        <v>0</v>
      </c>
      <c r="EO86" s="102">
        <v>0</v>
      </c>
      <c r="EP86" s="102">
        <v>0</v>
      </c>
      <c r="EQ86" s="102">
        <v>0</v>
      </c>
      <c r="ER86" s="102">
        <v>0</v>
      </c>
      <c r="ES86" s="102">
        <v>0</v>
      </c>
      <c r="EU86" s="102">
        <v>3.7</v>
      </c>
      <c r="EV86" s="102">
        <v>3.7</v>
      </c>
      <c r="EW86" s="102">
        <v>3.7</v>
      </c>
      <c r="EX86" s="102">
        <v>3.7</v>
      </c>
      <c r="EY86" s="102">
        <v>3.7</v>
      </c>
      <c r="EZ86" s="102">
        <v>3.7</v>
      </c>
      <c r="FA86" s="102">
        <v>3.7</v>
      </c>
      <c r="FB86" s="102">
        <v>3.7</v>
      </c>
      <c r="FC86" s="102">
        <v>3.7</v>
      </c>
      <c r="FD86" s="102">
        <v>3.7</v>
      </c>
      <c r="FE86" s="102">
        <v>3.7</v>
      </c>
      <c r="FF86" s="102">
        <v>3.7</v>
      </c>
      <c r="FG86" s="102">
        <v>0</v>
      </c>
      <c r="FH86" s="102">
        <v>0</v>
      </c>
      <c r="FI86" s="102">
        <v>1.0244548320770263E-14</v>
      </c>
      <c r="FJ86" s="102">
        <v>-9.3132257461547859E-15</v>
      </c>
      <c r="FK86" s="102">
        <v>1.3038516044616699E-14</v>
      </c>
      <c r="FL86" s="102">
        <v>1.3038516044616699E-14</v>
      </c>
      <c r="FM86" s="102">
        <v>0</v>
      </c>
      <c r="FN86" s="102">
        <v>0</v>
      </c>
      <c r="FO86" s="102">
        <v>0</v>
      </c>
      <c r="FP86" s="102">
        <v>0</v>
      </c>
      <c r="FQ86" s="102">
        <v>0</v>
      </c>
      <c r="FR86" s="102">
        <v>0</v>
      </c>
      <c r="FS86" s="102"/>
      <c r="FT86" s="102"/>
      <c r="FU86" s="102"/>
      <c r="FV86" s="102"/>
      <c r="FW86" s="102"/>
      <c r="FX86" s="102"/>
      <c r="FY86" s="102"/>
      <c r="FZ86" s="102"/>
      <c r="GA86" s="102"/>
      <c r="GB86" s="102"/>
      <c r="GC86" s="102"/>
      <c r="GD86" s="102"/>
      <c r="GE86" s="102">
        <v>0</v>
      </c>
      <c r="GF86" s="102">
        <v>0</v>
      </c>
      <c r="GG86" s="102">
        <v>0</v>
      </c>
      <c r="GH86" s="102">
        <v>0</v>
      </c>
      <c r="GI86" s="102">
        <v>0</v>
      </c>
      <c r="GJ86" s="102">
        <v>0</v>
      </c>
      <c r="GK86" s="102">
        <v>0</v>
      </c>
      <c r="GL86" s="102">
        <v>0</v>
      </c>
      <c r="GM86" s="102">
        <v>0</v>
      </c>
      <c r="GN86" s="102">
        <v>0</v>
      </c>
      <c r="GO86" s="102">
        <v>0</v>
      </c>
      <c r="GP86" s="102">
        <v>0</v>
      </c>
      <c r="GQ86" s="102">
        <v>0</v>
      </c>
      <c r="GR86" s="102">
        <v>0</v>
      </c>
      <c r="GS86" s="102">
        <v>0</v>
      </c>
      <c r="GT86" s="102">
        <v>0</v>
      </c>
      <c r="GU86" s="102">
        <v>0</v>
      </c>
      <c r="GV86" s="102">
        <v>0</v>
      </c>
      <c r="GW86" s="102">
        <v>0</v>
      </c>
      <c r="GX86" s="102">
        <v>0</v>
      </c>
      <c r="GY86" s="102">
        <v>0</v>
      </c>
      <c r="GZ86" s="102">
        <v>0</v>
      </c>
      <c r="HA86" s="102">
        <v>0</v>
      </c>
      <c r="HB86" s="102">
        <v>0</v>
      </c>
      <c r="HD86" s="102">
        <f t="shared" si="469"/>
        <v>17.025162000000002</v>
      </c>
      <c r="HE86" s="102">
        <f t="shared" si="469"/>
        <v>32.282074000000001</v>
      </c>
      <c r="HF86" s="102">
        <f t="shared" si="469"/>
        <v>2099.7573679000002</v>
      </c>
      <c r="HG86" s="102">
        <f t="shared" si="469"/>
        <v>15.494532490000037</v>
      </c>
      <c r="HH86" s="102">
        <f t="shared" si="470"/>
        <v>399.43041096000002</v>
      </c>
      <c r="HI86" s="102">
        <f t="shared" si="471"/>
        <v>0.16505728</v>
      </c>
      <c r="HJ86" s="102">
        <f t="shared" si="472"/>
        <v>104.46225027999999</v>
      </c>
      <c r="HK86" s="102">
        <f t="shared" si="473"/>
        <v>3.3445508000000004</v>
      </c>
      <c r="HL86" s="940">
        <f>+SUMIF($E$6:SEW$6,HL$7,$E86:SEW86)</f>
        <v>19.300104990000001</v>
      </c>
      <c r="HM86" s="940">
        <f>+SUMIF($E$6:SEX$6,HM$7,$E86:SEX86)</f>
        <v>8.3449999999999989</v>
      </c>
      <c r="HN86" s="940">
        <f>+SUMIF($E$6:SEY$6,HN$7,$E86:SEY86)</f>
        <v>4.4859486200000012</v>
      </c>
      <c r="HO86" s="102"/>
      <c r="HP86" s="102"/>
      <c r="HR86" s="929">
        <f t="shared" si="474"/>
        <v>64.044066496471075</v>
      </c>
      <c r="HS86" s="929">
        <f t="shared" si="475"/>
        <v>-0.99262079860898578</v>
      </c>
      <c r="HT86" s="929">
        <f t="shared" si="476"/>
        <v>24.77879721235778</v>
      </c>
      <c r="HU86" s="929">
        <f t="shared" si="477"/>
        <v>-0.99958676836948068</v>
      </c>
      <c r="HV86" s="929">
        <f t="shared" si="478"/>
        <v>631.88484022031616</v>
      </c>
      <c r="HW86" s="929">
        <f t="shared" si="479"/>
        <v>-0.96798316338164947</v>
      </c>
      <c r="HX86" s="929">
        <f t="shared" si="480"/>
        <v>4.7706120026641541</v>
      </c>
      <c r="HY86" s="929">
        <f t="shared" si="480"/>
        <v>-0.56761893241908223</v>
      </c>
      <c r="HZ86" s="929">
        <f t="shared" si="480"/>
        <v>-0.46243875134811241</v>
      </c>
      <c r="IA86" s="929">
        <f t="shared" si="481"/>
        <v>-1</v>
      </c>
      <c r="IB86" s="929" t="str">
        <f t="shared" si="482"/>
        <v/>
      </c>
      <c r="IC86" s="929">
        <f t="shared" si="483"/>
        <v>-1</v>
      </c>
      <c r="IE86" s="102">
        <f t="shared" si="484"/>
        <v>2067.4752939</v>
      </c>
      <c r="IF86" s="102">
        <f t="shared" si="485"/>
        <v>-2084.2628354100002</v>
      </c>
      <c r="IG86" s="102">
        <f t="shared" si="486"/>
        <v>383.93587846999998</v>
      </c>
      <c r="IH86" s="102">
        <f t="shared" si="487"/>
        <v>-399.26535368000003</v>
      </c>
      <c r="II86" s="102">
        <f t="shared" si="488"/>
        <v>104.29719299999999</v>
      </c>
      <c r="IJ86" s="102">
        <f t="shared" si="489"/>
        <v>-101.11769948</v>
      </c>
      <c r="IK86" s="102">
        <f t="shared" si="490"/>
        <v>15.955554190000001</v>
      </c>
      <c r="IL86" s="102">
        <f t="shared" si="491"/>
        <v>-19.300104990000001</v>
      </c>
      <c r="IM86" s="102">
        <f t="shared" si="492"/>
        <v>0</v>
      </c>
      <c r="IN86" s="102">
        <f t="shared" si="493"/>
        <v>-19.300104990000001</v>
      </c>
      <c r="IP86" s="32">
        <f t="shared" si="494"/>
        <v>8.7829759047844901E-4</v>
      </c>
      <c r="IQ86" s="32">
        <f t="shared" si="495"/>
        <v>5.3316363912787518E-2</v>
      </c>
      <c r="IR86" s="32">
        <f t="shared" si="496"/>
        <v>9.1940495904881234E-4</v>
      </c>
      <c r="IS86" s="32">
        <f t="shared" si="497"/>
        <v>6.4926637028315387E-2</v>
      </c>
      <c r="IT86" s="32">
        <f t="shared" si="498"/>
        <v>1.2110904761638212E-5</v>
      </c>
      <c r="IU86" s="32">
        <f t="shared" si="499"/>
        <v>7.3822126727406271E-3</v>
      </c>
      <c r="IV86" s="32">
        <f t="shared" si="500"/>
        <v>1.5754371419202633E-4</v>
      </c>
      <c r="IW86" s="32">
        <f t="shared" si="501"/>
        <v>1.5293405272394486E-3</v>
      </c>
      <c r="IX86" s="32" t="e">
        <f t="shared" si="502"/>
        <v>#DIV/0!</v>
      </c>
      <c r="IY86" s="32" t="e">
        <f t="shared" si="503"/>
        <v>#DIV/0!</v>
      </c>
      <c r="JA86" s="102">
        <f t="shared" si="457"/>
        <v>17.025162000000002</v>
      </c>
      <c r="JB86" s="102">
        <f t="shared" si="457"/>
        <v>32.282074000000001</v>
      </c>
      <c r="JC86" s="102">
        <f t="shared" si="457"/>
        <v>2099.7573679000002</v>
      </c>
      <c r="JD86" s="102">
        <f t="shared" si="457"/>
        <v>15.494532490000037</v>
      </c>
      <c r="JE86" s="102">
        <f t="shared" si="457"/>
        <v>399.43041096000002</v>
      </c>
      <c r="JF86" s="102">
        <f t="shared" si="457"/>
        <v>0.16505728</v>
      </c>
      <c r="JG86" s="102">
        <f t="shared" si="457"/>
        <v>104.46225027999999</v>
      </c>
      <c r="JH86" s="102">
        <f t="shared" si="457"/>
        <v>3.3445508000000004</v>
      </c>
      <c r="JI86" s="102">
        <f t="shared" si="457"/>
        <v>19.300104990000001</v>
      </c>
      <c r="JJ86" s="102">
        <f t="shared" si="457"/>
        <v>8.3449999999999989</v>
      </c>
      <c r="JK86" s="102">
        <f t="shared" si="457"/>
        <v>4.4859486200000012</v>
      </c>
      <c r="JL86" s="102">
        <f t="shared" si="458"/>
        <v>4.4859486200000012</v>
      </c>
      <c r="JM86" s="102"/>
      <c r="JN86" s="102"/>
      <c r="JO86" s="1184"/>
      <c r="JP86" s="102">
        <f t="shared" si="504"/>
        <v>4.4859486200000012</v>
      </c>
      <c r="JQ86" s="102">
        <f t="shared" si="505"/>
        <v>0</v>
      </c>
      <c r="JR86" s="145"/>
      <c r="JS86" s="929" t="str">
        <f t="shared" si="506"/>
        <v/>
      </c>
      <c r="JT86" s="930">
        <f t="shared" si="507"/>
        <v>4.4859486200000012</v>
      </c>
      <c r="JV86" s="32">
        <f t="shared" si="508"/>
        <v>1.4858279786971574E-4</v>
      </c>
      <c r="JW86" s="929" t="str">
        <f t="shared" si="509"/>
        <v/>
      </c>
      <c r="JY86" s="929">
        <f t="shared" si="510"/>
        <v>64.044066496471075</v>
      </c>
      <c r="JZ86" s="929">
        <f t="shared" si="511"/>
        <v>-0.99262079860898578</v>
      </c>
      <c r="KA86" s="929">
        <f t="shared" si="512"/>
        <v>24.77879721235778</v>
      </c>
      <c r="KB86" s="929">
        <f t="shared" si="513"/>
        <v>-0.99958676836948068</v>
      </c>
      <c r="KC86" s="929">
        <f t="shared" si="514"/>
        <v>631.88484022031616</v>
      </c>
      <c r="KD86" s="929">
        <f t="shared" si="515"/>
        <v>-0.96798316338164947</v>
      </c>
      <c r="KE86" s="929">
        <f t="shared" si="516"/>
        <v>4.7706120026641541</v>
      </c>
      <c r="KF86" s="929">
        <f t="shared" si="517"/>
        <v>-1</v>
      </c>
      <c r="KH86" s="102">
        <f t="shared" si="518"/>
        <v>2067.4752939</v>
      </c>
      <c r="KI86" s="102">
        <f t="shared" si="519"/>
        <v>-2084.2628354100002</v>
      </c>
      <c r="KJ86" s="102">
        <f t="shared" si="520"/>
        <v>383.93587846999998</v>
      </c>
      <c r="KK86" s="102">
        <f t="shared" si="521"/>
        <v>-399.26535368000003</v>
      </c>
      <c r="KL86" s="102">
        <f t="shared" si="522"/>
        <v>104.29719299999999</v>
      </c>
      <c r="KM86" s="102">
        <f t="shared" si="523"/>
        <v>-101.11769948</v>
      </c>
      <c r="KN86" s="102">
        <f t="shared" si="524"/>
        <v>15.955554190000001</v>
      </c>
      <c r="KO86" s="102">
        <f t="shared" si="525"/>
        <v>-19.300104990000001</v>
      </c>
      <c r="KQ86" s="32">
        <f t="shared" si="526"/>
        <v>4.6925359658832983E-4</v>
      </c>
      <c r="KR86" s="32">
        <f t="shared" si="527"/>
        <v>8.7829759047844901E-4</v>
      </c>
      <c r="KS86" s="32">
        <f t="shared" si="528"/>
        <v>5.3316363912787518E-2</v>
      </c>
      <c r="KT86" s="32">
        <f t="shared" si="529"/>
        <v>9.1940495904881234E-4</v>
      </c>
      <c r="KU86" s="32">
        <f t="shared" si="530"/>
        <v>6.4926637028315387E-2</v>
      </c>
      <c r="KV86" s="32">
        <f t="shared" si="531"/>
        <v>1.2110904761638212E-5</v>
      </c>
      <c r="KW86" s="32">
        <f t="shared" si="532"/>
        <v>7.3822126727406271E-3</v>
      </c>
      <c r="KX86" s="32">
        <f t="shared" si="533"/>
        <v>1.5754371419202633E-4</v>
      </c>
      <c r="KY86" s="32">
        <f t="shared" si="534"/>
        <v>1.5293405272394486E-3</v>
      </c>
      <c r="KZ86" s="32" t="e">
        <f t="shared" si="535"/>
        <v>#DIV/0!</v>
      </c>
      <c r="LB86" s="102">
        <f t="shared" si="462"/>
        <v>0</v>
      </c>
      <c r="LC86" s="102">
        <f t="shared" si="462"/>
        <v>0</v>
      </c>
      <c r="LD86" s="102">
        <f t="shared" si="462"/>
        <v>2061.4334434800003</v>
      </c>
      <c r="LE86" s="102">
        <f t="shared" si="462"/>
        <v>-0.24551199999996243</v>
      </c>
      <c r="LF86" s="102">
        <f t="shared" si="462"/>
        <v>1.4454610000000001</v>
      </c>
      <c r="LG86" s="102">
        <f t="shared" si="462"/>
        <v>0</v>
      </c>
      <c r="LH86" s="102">
        <f t="shared" si="462"/>
        <v>94.824130599999989</v>
      </c>
      <c r="LI86" s="102">
        <f t="shared" si="462"/>
        <v>0</v>
      </c>
      <c r="LJ86" s="102">
        <f t="shared" si="462"/>
        <v>16.3692308</v>
      </c>
      <c r="LK86" s="102">
        <f t="shared" si="462"/>
        <v>0</v>
      </c>
      <c r="LL86" s="102">
        <f t="shared" si="462"/>
        <v>0.39673999999999998</v>
      </c>
      <c r="LM86" s="102">
        <f t="shared" si="462"/>
        <v>0.39673999999999998</v>
      </c>
      <c r="LN86" s="102"/>
      <c r="LO86" s="102"/>
      <c r="LR86" s="32" t="str">
        <f t="shared" si="536"/>
        <v xml:space="preserve"> </v>
      </c>
      <c r="LS86" s="32">
        <f t="shared" si="537"/>
        <v>-1.0001190977088183</v>
      </c>
      <c r="LT86" s="32">
        <f t="shared" si="538"/>
        <v>-6.8875370653989272</v>
      </c>
      <c r="LU86" s="32">
        <f t="shared" si="539"/>
        <v>-1</v>
      </c>
      <c r="LV86" s="32" t="str">
        <f t="shared" si="540"/>
        <v xml:space="preserve"> </v>
      </c>
      <c r="LW86" s="32">
        <f t="shared" si="541"/>
        <v>-1</v>
      </c>
      <c r="LX86" s="32" t="str">
        <f t="shared" si="542"/>
        <v xml:space="preserve"> </v>
      </c>
      <c r="LZ86" s="102">
        <f t="shared" si="543"/>
        <v>2061.4334434800003</v>
      </c>
      <c r="MA86" s="102">
        <f t="shared" si="544"/>
        <v>-2061.6789554800002</v>
      </c>
      <c r="MB86" s="102">
        <f t="shared" si="545"/>
        <v>1.6909729999999625</v>
      </c>
      <c r="MC86" s="102">
        <f t="shared" si="546"/>
        <v>-1.4454610000000001</v>
      </c>
      <c r="MD86" s="102">
        <f t="shared" si="547"/>
        <v>94.824130599999989</v>
      </c>
      <c r="ME86" s="102">
        <f t="shared" si="548"/>
        <v>-94.824130599999989</v>
      </c>
      <c r="MF86" s="102">
        <f t="shared" si="549"/>
        <v>0</v>
      </c>
      <c r="MH86" s="32">
        <f t="shared" si="550"/>
        <v>0</v>
      </c>
      <c r="MI86" s="32">
        <f t="shared" si="551"/>
        <v>0</v>
      </c>
      <c r="MJ86" s="32">
        <f t="shared" si="552"/>
        <v>0.40214087343766769</v>
      </c>
      <c r="MK86" s="32">
        <f t="shared" si="553"/>
        <v>-4.223704196388671E-4</v>
      </c>
      <c r="ML86" s="32">
        <f t="shared" si="554"/>
        <v>9.5950880617125137E-4</v>
      </c>
      <c r="MM86" s="32">
        <f t="shared" si="555"/>
        <v>0</v>
      </c>
      <c r="MN86" s="32">
        <f t="shared" si="556"/>
        <v>6.0979652041843004E-2</v>
      </c>
      <c r="MO86" s="32">
        <f t="shared" si="557"/>
        <v>0</v>
      </c>
      <c r="MP86" s="32" t="e">
        <f t="shared" si="558"/>
        <v>#DIV/0!</v>
      </c>
    </row>
    <row r="87" spans="1:354" outlineLevel="2">
      <c r="A87" s="884"/>
      <c r="B87" s="70"/>
      <c r="C87" s="399" t="s">
        <v>666</v>
      </c>
      <c r="D87" s="307" t="s">
        <v>59</v>
      </c>
      <c r="E87" s="931">
        <v>2.9632999999999998E-4</v>
      </c>
      <c r="F87" s="931">
        <v>1.1272599999999999E-3</v>
      </c>
      <c r="G87" s="931">
        <v>6.669899999999999E-4</v>
      </c>
      <c r="H87" s="931">
        <v>5.4055999999999983E-4</v>
      </c>
      <c r="I87" s="931">
        <v>3.6505000000000044E-4</v>
      </c>
      <c r="J87" s="931">
        <v>3.8629800000000002E-3</v>
      </c>
      <c r="K87" s="931">
        <v>2.3703499999999994E-3</v>
      </c>
      <c r="L87" s="931">
        <v>8.300399999999989E-4</v>
      </c>
      <c r="M87" s="931">
        <v>3.4980400000000009E-3</v>
      </c>
      <c r="N87" s="931">
        <v>1.446359999999999E-3</v>
      </c>
      <c r="O87" s="931">
        <v>3.6545100000000014E-3</v>
      </c>
      <c r="P87" s="931">
        <v>5.9034599999999993E-3</v>
      </c>
      <c r="Q87" s="931">
        <v>2.4799400000000004E-3</v>
      </c>
      <c r="R87" s="931">
        <v>9.0356999999999981E-4</v>
      </c>
      <c r="S87" s="931">
        <v>7.9054116600000004</v>
      </c>
      <c r="T87" s="931">
        <v>1.8746597100000004</v>
      </c>
      <c r="U87" s="931">
        <v>8.1827776399999976</v>
      </c>
      <c r="V87" s="931">
        <v>2.8527118900000019</v>
      </c>
      <c r="W87" s="931">
        <v>2.5690607000000014</v>
      </c>
      <c r="X87" s="931">
        <v>1.5107018799999992</v>
      </c>
      <c r="Y87" s="931">
        <v>2.06090704</v>
      </c>
      <c r="Z87" s="931">
        <v>1.8590192600000002</v>
      </c>
      <c r="AA87" s="931">
        <v>2.4449349300000023</v>
      </c>
      <c r="AB87" s="931">
        <v>15.573310269999993</v>
      </c>
      <c r="AC87" s="931">
        <v>14.67482674</v>
      </c>
      <c r="AD87" s="931">
        <v>1.7474415900000002</v>
      </c>
      <c r="AE87" s="931">
        <v>24.74292475</v>
      </c>
      <c r="AF87" s="931">
        <v>8.1811395999999998</v>
      </c>
      <c r="AG87" s="931">
        <v>0.51179929999999996</v>
      </c>
      <c r="AH87" s="931">
        <v>4.1043249999999996E-2</v>
      </c>
      <c r="AI87" s="931">
        <v>4.1585094099999997</v>
      </c>
      <c r="AJ87" s="931">
        <v>1.40818888</v>
      </c>
      <c r="AK87" s="931">
        <v>16.30055282</v>
      </c>
      <c r="AL87" s="931">
        <v>7.8494562500000002</v>
      </c>
      <c r="AM87" s="931">
        <v>8.1755230300000008</v>
      </c>
      <c r="AN87" s="931">
        <v>71.442992110000006</v>
      </c>
      <c r="AO87" s="931">
        <f t="shared" ref="AO87:AZ87" si="571">SUM(AO88:AO90)</f>
        <v>6.00016806</v>
      </c>
      <c r="AP87" s="931">
        <f t="shared" si="571"/>
        <v>1.7580418000000002</v>
      </c>
      <c r="AQ87" s="931">
        <f t="shared" si="571"/>
        <v>99.520417440000003</v>
      </c>
      <c r="AR87" s="931">
        <f t="shared" si="571"/>
        <v>5.2069702599999994</v>
      </c>
      <c r="AS87" s="931">
        <f t="shared" si="571"/>
        <v>10.404542640000001</v>
      </c>
      <c r="AT87" s="931">
        <f t="shared" si="571"/>
        <v>3350.00055127</v>
      </c>
      <c r="AU87" s="931">
        <f t="shared" si="571"/>
        <v>108.30767601000001</v>
      </c>
      <c r="AV87" s="931">
        <f t="shared" si="571"/>
        <v>8.617547759999999</v>
      </c>
      <c r="AW87" s="931">
        <f t="shared" si="571"/>
        <v>4.3502955099999996</v>
      </c>
      <c r="AX87" s="931">
        <f t="shared" si="571"/>
        <v>1.4431349699999998</v>
      </c>
      <c r="AY87" s="931">
        <f t="shared" si="571"/>
        <v>1.1020258700000001</v>
      </c>
      <c r="AZ87" s="931">
        <f t="shared" si="571"/>
        <v>1586.9542492599999</v>
      </c>
      <c r="BA87" s="933">
        <f>SUM(BA88:BA90)</f>
        <v>0.19664075</v>
      </c>
      <c r="BB87" s="933">
        <f t="shared" ref="BB87:DM87" si="572">SUM(BB88:BB90)</f>
        <v>11.017752210000001</v>
      </c>
      <c r="BC87" s="933">
        <f t="shared" si="572"/>
        <v>1.7677111999999999</v>
      </c>
      <c r="BD87" s="933">
        <f t="shared" si="572"/>
        <v>-0.9849040699999998</v>
      </c>
      <c r="BE87" s="933">
        <f t="shared" si="572"/>
        <v>0.44304090999999995</v>
      </c>
      <c r="BF87" s="933">
        <f t="shared" si="572"/>
        <v>0.35021446999999994</v>
      </c>
      <c r="BG87" s="933">
        <f t="shared" si="572"/>
        <v>2.05116977</v>
      </c>
      <c r="BH87" s="933">
        <f t="shared" si="572"/>
        <v>0.83208804000000003</v>
      </c>
      <c r="BI87" s="933">
        <f t="shared" si="572"/>
        <v>5.0732390000000002E-2</v>
      </c>
      <c r="BJ87" s="933">
        <f t="shared" si="572"/>
        <v>6.5549E-4</v>
      </c>
      <c r="BK87" s="933">
        <f t="shared" si="572"/>
        <v>8.3564999999999996E-4</v>
      </c>
      <c r="BL87" s="933">
        <f t="shared" si="572"/>
        <v>-1.1923821400000001</v>
      </c>
      <c r="BM87" s="931">
        <f t="shared" si="572"/>
        <v>1.83719E-3</v>
      </c>
      <c r="BN87" s="931">
        <f t="shared" si="572"/>
        <v>1.6462000000000001E-4</v>
      </c>
      <c r="BO87" s="931">
        <f t="shared" si="572"/>
        <v>2.2274899999999999E-3</v>
      </c>
      <c r="BP87" s="931">
        <f t="shared" si="572"/>
        <v>1.5253E-4</v>
      </c>
      <c r="BQ87" s="931">
        <f t="shared" si="572"/>
        <v>2.3305399999999999E-3</v>
      </c>
      <c r="BR87" s="931">
        <f t="shared" si="572"/>
        <v>5.8061000000000007E-4</v>
      </c>
      <c r="BS87" s="931">
        <f t="shared" si="572"/>
        <v>2.2607299999999999E-3</v>
      </c>
      <c r="BT87" s="931">
        <f t="shared" si="572"/>
        <v>3.4131999999999999E-4</v>
      </c>
      <c r="BU87" s="931">
        <f t="shared" si="572"/>
        <v>1.7969500000000001E-3</v>
      </c>
      <c r="BV87" s="931">
        <f t="shared" si="572"/>
        <v>8.8101999999999994E-4</v>
      </c>
      <c r="BW87" s="931">
        <f t="shared" si="572"/>
        <v>5.2280589999999995E-2</v>
      </c>
      <c r="BX87" s="931">
        <f t="shared" si="572"/>
        <v>6.994323999999999E-2</v>
      </c>
      <c r="BY87" s="931">
        <f t="shared" si="572"/>
        <v>2.6925500000000002E-3</v>
      </c>
      <c r="BZ87" s="931">
        <f t="shared" si="572"/>
        <v>8.0361000000000007E-4</v>
      </c>
      <c r="CA87" s="931">
        <f t="shared" si="572"/>
        <v>1.2116399999999999E-3</v>
      </c>
      <c r="CB87" s="931">
        <f t="shared" si="572"/>
        <v>0.47661143</v>
      </c>
      <c r="CC87" s="931">
        <f t="shared" si="572"/>
        <v>3.7578000000000004E-3</v>
      </c>
      <c r="CD87" s="931">
        <f t="shared" si="572"/>
        <v>4.9815999999999999E-4</v>
      </c>
      <c r="CE87" s="931">
        <f t="shared" si="572"/>
        <v>9.4554999999999997E-4</v>
      </c>
      <c r="CF87" s="931">
        <f t="shared" si="572"/>
        <v>3.9118000000000003E-4</v>
      </c>
      <c r="CG87" s="931">
        <f t="shared" si="572"/>
        <v>1.9237049999999999E-2</v>
      </c>
      <c r="CH87" s="931">
        <f t="shared" si="572"/>
        <v>0.57452024000000002</v>
      </c>
      <c r="CI87" s="931">
        <f t="shared" si="572"/>
        <v>1.5796E-3</v>
      </c>
      <c r="CJ87" s="931">
        <f t="shared" si="572"/>
        <v>4.2733700000000003E-3</v>
      </c>
      <c r="CK87" s="931">
        <f t="shared" si="572"/>
        <v>1.0624E-3</v>
      </c>
      <c r="CL87" s="931">
        <f t="shared" si="572"/>
        <v>2.4283099999999999E-3</v>
      </c>
      <c r="CM87" s="931">
        <f t="shared" si="572"/>
        <v>6.9841999999999994E-4</v>
      </c>
      <c r="CN87" s="931">
        <f t="shared" si="572"/>
        <v>5.4043000000000006E-4</v>
      </c>
      <c r="CO87" s="931">
        <f t="shared" si="572"/>
        <v>6.0316900000000001E-3</v>
      </c>
      <c r="CP87" s="931">
        <f t="shared" si="572"/>
        <v>8.6185999999999999E-4</v>
      </c>
      <c r="CQ87" s="931">
        <f t="shared" si="572"/>
        <v>2.8239200000000002E-3</v>
      </c>
      <c r="CR87" s="931">
        <f t="shared" si="572"/>
        <v>4.2691000000014899E-4</v>
      </c>
      <c r="CS87" s="931">
        <f t="shared" si="572"/>
        <v>4.6266199999999997E-3</v>
      </c>
      <c r="CT87" s="931">
        <f t="shared" si="572"/>
        <v>0.11668603000000001</v>
      </c>
      <c r="CU87" s="931">
        <f t="shared" si="572"/>
        <v>4.6332046800000004</v>
      </c>
      <c r="CV87" s="931">
        <f t="shared" si="572"/>
        <v>5.4210600000000001E-3</v>
      </c>
      <c r="CW87" s="931">
        <f t="shared" si="572"/>
        <v>1.26964E-3</v>
      </c>
      <c r="CX87" s="931">
        <f t="shared" si="572"/>
        <v>6.6583999999999992E-3</v>
      </c>
      <c r="CY87" s="931">
        <f t="shared" si="572"/>
        <v>9.9821000000000003E-4</v>
      </c>
      <c r="CZ87" s="931">
        <f t="shared" si="572"/>
        <v>8.1086999999999999E-3</v>
      </c>
      <c r="DA87" s="931">
        <f t="shared" si="572"/>
        <v>9.9982000000000001E-4</v>
      </c>
      <c r="DB87" s="931">
        <f t="shared" si="572"/>
        <v>22.076223850000002</v>
      </c>
      <c r="DC87" s="931">
        <f t="shared" si="572"/>
        <v>15.425907609999999</v>
      </c>
      <c r="DD87" s="931">
        <f t="shared" si="572"/>
        <v>24.571904719999999</v>
      </c>
      <c r="DE87" s="931">
        <f t="shared" si="572"/>
        <v>24.221593410000001</v>
      </c>
      <c r="DF87" s="931">
        <f t="shared" si="572"/>
        <v>1.9277599999999999E-3</v>
      </c>
      <c r="DG87" s="931">
        <f t="shared" si="572"/>
        <v>1.0388399999999999E-3</v>
      </c>
      <c r="DH87" s="931">
        <f t="shared" si="572"/>
        <v>110.35720313999998</v>
      </c>
      <c r="DI87" s="931">
        <f t="shared" si="572"/>
        <v>24.000004760000003</v>
      </c>
      <c r="DJ87" s="931">
        <f t="shared" si="572"/>
        <v>29.022940649999999</v>
      </c>
      <c r="DK87" s="931">
        <f t="shared" si="572"/>
        <v>30.409258770000001</v>
      </c>
      <c r="DL87" s="931">
        <f t="shared" si="572"/>
        <v>32.223815800000004</v>
      </c>
      <c r="DM87" s="931">
        <f t="shared" si="572"/>
        <v>9.9295999999999998E-4</v>
      </c>
      <c r="DN87" s="931">
        <f t="shared" ref="DN87:EF87" si="573">SUM(DN88:DN90)</f>
        <v>-24.998100050000001</v>
      </c>
      <c r="DO87" s="931">
        <f t="shared" si="573"/>
        <v>2.2409499999999998E-3</v>
      </c>
      <c r="DP87" s="931">
        <f t="shared" si="573"/>
        <v>8.3499999999999997E-6</v>
      </c>
      <c r="DQ87" s="941">
        <f t="shared" si="573"/>
        <v>2.4117700000000001E-3</v>
      </c>
      <c r="DR87" s="941">
        <f t="shared" si="573"/>
        <v>0.22891054999999999</v>
      </c>
      <c r="DS87" s="941">
        <f t="shared" si="573"/>
        <v>5.1507509699999998</v>
      </c>
      <c r="DT87" s="941">
        <f t="shared" si="573"/>
        <v>-24.72169242</v>
      </c>
      <c r="DU87" s="941">
        <f t="shared" si="573"/>
        <v>4.0367000000000002E-4</v>
      </c>
      <c r="DV87" s="941">
        <f t="shared" si="573"/>
        <v>6.9924100000000001E-3</v>
      </c>
      <c r="DW87" s="941">
        <f t="shared" si="573"/>
        <v>6.0097890000000001E-2</v>
      </c>
      <c r="DX87" s="941">
        <f t="shared" si="573"/>
        <v>1.2570999999999999E-3</v>
      </c>
      <c r="DY87" s="941">
        <f t="shared" si="573"/>
        <v>6.1882000000000005E-3</v>
      </c>
      <c r="DZ87" s="941">
        <f t="shared" si="573"/>
        <v>1.0834000000000001E-4</v>
      </c>
      <c r="EA87" s="941">
        <f t="shared" si="573"/>
        <v>9.8500632900000014</v>
      </c>
      <c r="EB87" s="941">
        <f t="shared" si="573"/>
        <v>4.4503646900000007</v>
      </c>
      <c r="EC87" s="941">
        <f t="shared" si="573"/>
        <v>4.1505730700000001</v>
      </c>
      <c r="ED87" s="941">
        <f t="shared" si="573"/>
        <v>5.9000102800000001</v>
      </c>
      <c r="EE87" s="941">
        <f t="shared" si="573"/>
        <v>6.7529885700000003</v>
      </c>
      <c r="EF87" s="941">
        <f t="shared" si="573"/>
        <v>8.0002847700000004</v>
      </c>
      <c r="EH87" s="931">
        <f t="shared" ref="EH87:ES87" si="574">SUM(EH88:EH90)</f>
        <v>1.26964E-3</v>
      </c>
      <c r="EI87" s="931">
        <f t="shared" si="574"/>
        <v>6.6583999999999992E-3</v>
      </c>
      <c r="EJ87" s="931">
        <f t="shared" si="574"/>
        <v>9.9821000000000003E-4</v>
      </c>
      <c r="EK87" s="931">
        <f t="shared" si="574"/>
        <v>8.1086999999999999E-3</v>
      </c>
      <c r="EL87" s="931">
        <f t="shared" si="574"/>
        <v>9.9982000000000001E-4</v>
      </c>
      <c r="EM87" s="931">
        <f t="shared" si="574"/>
        <v>22.076223850000002</v>
      </c>
      <c r="EN87" s="931">
        <f t="shared" si="574"/>
        <v>0</v>
      </c>
      <c r="EO87" s="931">
        <f t="shared" si="574"/>
        <v>0</v>
      </c>
      <c r="EP87" s="931">
        <f t="shared" si="574"/>
        <v>0</v>
      </c>
      <c r="EQ87" s="931">
        <f t="shared" si="574"/>
        <v>0</v>
      </c>
      <c r="ER87" s="931">
        <f t="shared" si="574"/>
        <v>0</v>
      </c>
      <c r="ES87" s="931">
        <f t="shared" si="574"/>
        <v>0</v>
      </c>
      <c r="EU87" s="931">
        <v>12</v>
      </c>
      <c r="EV87" s="931">
        <v>112</v>
      </c>
      <c r="EW87" s="931">
        <v>112</v>
      </c>
      <c r="EX87" s="931">
        <v>12</v>
      </c>
      <c r="EY87" s="931">
        <v>12</v>
      </c>
      <c r="EZ87" s="931">
        <v>12</v>
      </c>
      <c r="FA87" s="931">
        <v>12</v>
      </c>
      <c r="FB87" s="931">
        <v>12</v>
      </c>
      <c r="FC87" s="931">
        <v>12</v>
      </c>
      <c r="FD87" s="931">
        <v>12</v>
      </c>
      <c r="FE87" s="931">
        <v>12</v>
      </c>
      <c r="FF87" s="931">
        <v>12</v>
      </c>
      <c r="FG87" s="931">
        <f t="shared" ref="FG87:HB87" si="575">SUM(FG88:FG90)</f>
        <v>57.081648167499999</v>
      </c>
      <c r="FH87" s="931">
        <f t="shared" si="575"/>
        <v>57.081648167499999</v>
      </c>
      <c r="FI87" s="931">
        <f t="shared" si="575"/>
        <v>1307.0816481674999</v>
      </c>
      <c r="FJ87" s="931">
        <f t="shared" si="575"/>
        <v>57.081648167499999</v>
      </c>
      <c r="FK87" s="931">
        <f t="shared" si="575"/>
        <v>57.081648167499999</v>
      </c>
      <c r="FL87" s="931">
        <f t="shared" si="575"/>
        <v>57.081648167499999</v>
      </c>
      <c r="FM87" s="931">
        <f t="shared" si="575"/>
        <v>57.081648167499999</v>
      </c>
      <c r="FN87" s="931">
        <f t="shared" si="575"/>
        <v>57.081648167499999</v>
      </c>
      <c r="FO87" s="931">
        <f t="shared" si="575"/>
        <v>57.081648167499999</v>
      </c>
      <c r="FP87" s="931">
        <f t="shared" si="575"/>
        <v>57.081648167499999</v>
      </c>
      <c r="FQ87" s="931">
        <f t="shared" si="575"/>
        <v>57.081648167499999</v>
      </c>
      <c r="FR87" s="931">
        <f t="shared" si="575"/>
        <v>57.081648167499999</v>
      </c>
      <c r="FS87" s="931">
        <f t="shared" si="575"/>
        <v>0</v>
      </c>
      <c r="FT87" s="931">
        <f t="shared" si="575"/>
        <v>0</v>
      </c>
      <c r="FU87" s="931">
        <f t="shared" si="575"/>
        <v>0</v>
      </c>
      <c r="FV87" s="931">
        <f t="shared" si="575"/>
        <v>0</v>
      </c>
      <c r="FW87" s="931">
        <f t="shared" si="575"/>
        <v>0</v>
      </c>
      <c r="FX87" s="931">
        <f t="shared" si="575"/>
        <v>0</v>
      </c>
      <c r="FY87" s="931">
        <f t="shared" si="575"/>
        <v>0</v>
      </c>
      <c r="FZ87" s="931">
        <f t="shared" si="575"/>
        <v>0</v>
      </c>
      <c r="GA87" s="931">
        <f t="shared" si="575"/>
        <v>0</v>
      </c>
      <c r="GB87" s="931">
        <f t="shared" si="575"/>
        <v>0</v>
      </c>
      <c r="GC87" s="931">
        <f t="shared" si="575"/>
        <v>0</v>
      </c>
      <c r="GD87" s="931">
        <f t="shared" si="575"/>
        <v>0</v>
      </c>
      <c r="GE87" s="931">
        <f t="shared" si="575"/>
        <v>0</v>
      </c>
      <c r="GF87" s="931">
        <f t="shared" si="575"/>
        <v>0</v>
      </c>
      <c r="GG87" s="931">
        <f t="shared" si="575"/>
        <v>0</v>
      </c>
      <c r="GH87" s="931">
        <f t="shared" si="575"/>
        <v>0</v>
      </c>
      <c r="GI87" s="931">
        <f t="shared" si="575"/>
        <v>0</v>
      </c>
      <c r="GJ87" s="931">
        <f t="shared" si="575"/>
        <v>0</v>
      </c>
      <c r="GK87" s="931">
        <f t="shared" si="575"/>
        <v>0</v>
      </c>
      <c r="GL87" s="931">
        <f t="shared" si="575"/>
        <v>0</v>
      </c>
      <c r="GM87" s="931">
        <f t="shared" si="575"/>
        <v>0</v>
      </c>
      <c r="GN87" s="931">
        <f t="shared" si="575"/>
        <v>0</v>
      </c>
      <c r="GO87" s="931">
        <f t="shared" si="575"/>
        <v>0</v>
      </c>
      <c r="GP87" s="931">
        <f t="shared" si="575"/>
        <v>0</v>
      </c>
      <c r="GQ87" s="931">
        <f t="shared" si="575"/>
        <v>0</v>
      </c>
      <c r="GR87" s="931">
        <f t="shared" si="575"/>
        <v>0</v>
      </c>
      <c r="GS87" s="931">
        <f t="shared" si="575"/>
        <v>0</v>
      </c>
      <c r="GT87" s="931">
        <f t="shared" si="575"/>
        <v>0</v>
      </c>
      <c r="GU87" s="931">
        <f t="shared" si="575"/>
        <v>0</v>
      </c>
      <c r="GV87" s="931">
        <f t="shared" si="575"/>
        <v>0</v>
      </c>
      <c r="GW87" s="931">
        <f t="shared" si="575"/>
        <v>0</v>
      </c>
      <c r="GX87" s="931">
        <f t="shared" si="575"/>
        <v>0</v>
      </c>
      <c r="GY87" s="931">
        <f t="shared" si="575"/>
        <v>0</v>
      </c>
      <c r="GZ87" s="931">
        <f t="shared" si="575"/>
        <v>0</v>
      </c>
      <c r="HA87" s="931">
        <f t="shared" si="575"/>
        <v>0</v>
      </c>
      <c r="HB87" s="931">
        <f t="shared" si="575"/>
        <v>0</v>
      </c>
      <c r="HD87" s="931">
        <f t="shared" si="469"/>
        <v>2.4561929999999999E-2</v>
      </c>
      <c r="HE87" s="931">
        <f t="shared" si="469"/>
        <v>46.836878489999997</v>
      </c>
      <c r="HF87" s="931">
        <f t="shared" si="469"/>
        <v>159.23439773000001</v>
      </c>
      <c r="HG87" s="931">
        <f t="shared" si="469"/>
        <v>5183.665620849999</v>
      </c>
      <c r="HH87" s="931">
        <f t="shared" si="470"/>
        <v>14.533554670000004</v>
      </c>
      <c r="HI87" s="931">
        <f t="shared" si="471"/>
        <v>0.13479682999999998</v>
      </c>
      <c r="HJ87" s="931">
        <f t="shared" si="472"/>
        <v>1.0865221799999998</v>
      </c>
      <c r="HK87" s="931">
        <f t="shared" si="473"/>
        <v>4.7748123300000005</v>
      </c>
      <c r="HL87" s="941">
        <f>+SUMIF($E$6:SEW$6,HL$7,$E87:SEW87)</f>
        <v>196.67383409999999</v>
      </c>
      <c r="HM87" s="941">
        <f>+SUMIF($E$6:SEX$6,HM$7,$E87:SEX87)</f>
        <v>71.321543060000025</v>
      </c>
      <c r="HN87" s="941">
        <f>+SUMIF($E$6:SEY$6,HN$7,$E87:SEY87)</f>
        <v>39.179332279999997</v>
      </c>
      <c r="HO87" s="931"/>
      <c r="HP87" s="931"/>
      <c r="HR87" s="934">
        <f t="shared" si="474"/>
        <v>2.3997653742872229</v>
      </c>
      <c r="HS87" s="934">
        <f t="shared" si="475"/>
        <v>31.553679950732075</v>
      </c>
      <c r="HT87" s="934">
        <f t="shared" si="476"/>
        <v>-0.9971962785154308</v>
      </c>
      <c r="HU87" s="934">
        <f t="shared" si="477"/>
        <v>-0.99072513001390872</v>
      </c>
      <c r="HV87" s="934">
        <f t="shared" si="478"/>
        <v>7.0604431127942693</v>
      </c>
      <c r="HW87" s="934">
        <f t="shared" si="479"/>
        <v>3.3945833945147825</v>
      </c>
      <c r="HX87" s="934">
        <f t="shared" si="480"/>
        <v>40.189856377035866</v>
      </c>
      <c r="HY87" s="934">
        <f t="shared" si="480"/>
        <v>-0.63736130234926858</v>
      </c>
      <c r="HZ87" s="934">
        <f t="shared" si="480"/>
        <v>-0.45066622791601751</v>
      </c>
      <c r="IA87" s="934">
        <f t="shared" si="481"/>
        <v>-1</v>
      </c>
      <c r="IB87" s="934" t="str">
        <f t="shared" si="482"/>
        <v/>
      </c>
      <c r="IC87" s="934">
        <f t="shared" si="483"/>
        <v>-1</v>
      </c>
      <c r="IE87" s="931">
        <f t="shared" si="484"/>
        <v>112.39751924000001</v>
      </c>
      <c r="IF87" s="931">
        <f t="shared" si="485"/>
        <v>5024.4312231199992</v>
      </c>
      <c r="IG87" s="931">
        <f t="shared" si="486"/>
        <v>-5169.1320661799991</v>
      </c>
      <c r="IH87" s="931">
        <f t="shared" si="487"/>
        <v>-14.398757840000005</v>
      </c>
      <c r="II87" s="931">
        <f t="shared" si="488"/>
        <v>0.9517253499999998</v>
      </c>
      <c r="IJ87" s="931">
        <f t="shared" si="489"/>
        <v>3.6882901500000007</v>
      </c>
      <c r="IK87" s="931">
        <f t="shared" si="490"/>
        <v>191.89902176999999</v>
      </c>
      <c r="IL87" s="931">
        <f t="shared" si="491"/>
        <v>-196.67383409999999</v>
      </c>
      <c r="IM87" s="931">
        <f t="shared" si="492"/>
        <v>0</v>
      </c>
      <c r="IN87" s="931">
        <f t="shared" si="493"/>
        <v>-196.67383409999999</v>
      </c>
      <c r="IP87" s="230">
        <f t="shared" si="494"/>
        <v>1.2742897969721181E-3</v>
      </c>
      <c r="IQ87" s="230">
        <f t="shared" si="495"/>
        <v>4.0432286256468792E-3</v>
      </c>
      <c r="IR87" s="230">
        <f t="shared" si="496"/>
        <v>0.30758513565583018</v>
      </c>
      <c r="IS87" s="230">
        <f t="shared" si="497"/>
        <v>2.3624010663643841E-3</v>
      </c>
      <c r="IT87" s="230">
        <f t="shared" si="498"/>
        <v>9.8905759885340191E-6</v>
      </c>
      <c r="IU87" s="230">
        <f t="shared" si="499"/>
        <v>7.6783122945470712E-5</v>
      </c>
      <c r="IV87" s="230">
        <f t="shared" si="500"/>
        <v>2.2491560571843706E-4</v>
      </c>
      <c r="IW87" s="230">
        <f t="shared" si="501"/>
        <v>1.5584436731952608E-2</v>
      </c>
      <c r="IX87" s="230" t="e">
        <f t="shared" si="502"/>
        <v>#DIV/0!</v>
      </c>
      <c r="IY87" s="230" t="e">
        <f t="shared" si="503"/>
        <v>#DIV/0!</v>
      </c>
      <c r="JA87" s="931">
        <f t="shared" si="457"/>
        <v>2.4561929999999999E-2</v>
      </c>
      <c r="JB87" s="931">
        <f t="shared" si="457"/>
        <v>46.836878489999997</v>
      </c>
      <c r="JC87" s="931">
        <f t="shared" si="457"/>
        <v>159.23439773000001</v>
      </c>
      <c r="JD87" s="931">
        <f t="shared" si="457"/>
        <v>5183.665620849999</v>
      </c>
      <c r="JE87" s="931">
        <f t="shared" si="457"/>
        <v>14.533554670000004</v>
      </c>
      <c r="JF87" s="931">
        <f t="shared" si="457"/>
        <v>0.13479682999999998</v>
      </c>
      <c r="JG87" s="931">
        <f t="shared" si="457"/>
        <v>1.0865221799999998</v>
      </c>
      <c r="JH87" s="931">
        <f t="shared" si="457"/>
        <v>4.7748123300000005</v>
      </c>
      <c r="JI87" s="931">
        <f t="shared" si="457"/>
        <v>196.67383409999999</v>
      </c>
      <c r="JJ87" s="931">
        <f t="shared" si="457"/>
        <v>71.321543060000025</v>
      </c>
      <c r="JK87" s="931">
        <f t="shared" si="457"/>
        <v>39.179332279999997</v>
      </c>
      <c r="JL87" s="931">
        <f t="shared" si="458"/>
        <v>39.179332279999997</v>
      </c>
      <c r="JM87" s="931"/>
      <c r="JN87" s="931"/>
      <c r="JP87" s="931">
        <f t="shared" si="504"/>
        <v>39.179332279999997</v>
      </c>
      <c r="JQ87" s="931">
        <f t="shared" si="505"/>
        <v>0</v>
      </c>
      <c r="JR87" s="145"/>
      <c r="JS87" s="934" t="str">
        <f t="shared" si="506"/>
        <v/>
      </c>
      <c r="JT87" s="935">
        <f t="shared" si="507"/>
        <v>39.179332279999997</v>
      </c>
      <c r="JV87" s="230">
        <f t="shared" si="508"/>
        <v>1.2976909238050229E-3</v>
      </c>
      <c r="JW87" s="934" t="str">
        <f t="shared" si="509"/>
        <v/>
      </c>
      <c r="JY87" s="934">
        <f t="shared" si="510"/>
        <v>2.3997653742872229</v>
      </c>
      <c r="JZ87" s="934">
        <f t="shared" si="511"/>
        <v>31.553679950732075</v>
      </c>
      <c r="KA87" s="934">
        <f t="shared" si="512"/>
        <v>-0.9971962785154308</v>
      </c>
      <c r="KB87" s="934">
        <f t="shared" si="513"/>
        <v>-0.99072513001390872</v>
      </c>
      <c r="KC87" s="934">
        <f t="shared" si="514"/>
        <v>7.0604431127942693</v>
      </c>
      <c r="KD87" s="934">
        <f t="shared" si="515"/>
        <v>3.3945833945147825</v>
      </c>
      <c r="KE87" s="934">
        <f t="shared" si="516"/>
        <v>40.189856377035866</v>
      </c>
      <c r="KF87" s="934">
        <f t="shared" si="517"/>
        <v>-1</v>
      </c>
      <c r="KH87" s="931">
        <f t="shared" si="518"/>
        <v>112.39751924000001</v>
      </c>
      <c r="KI87" s="931">
        <f t="shared" si="519"/>
        <v>5024.4312231199992</v>
      </c>
      <c r="KJ87" s="931">
        <f t="shared" si="520"/>
        <v>-5169.1320661799991</v>
      </c>
      <c r="KK87" s="931">
        <f t="shared" si="521"/>
        <v>-14.398757840000005</v>
      </c>
      <c r="KL87" s="931">
        <f t="shared" si="522"/>
        <v>0.9517253499999998</v>
      </c>
      <c r="KM87" s="931">
        <f t="shared" si="523"/>
        <v>3.6882901500000007</v>
      </c>
      <c r="KN87" s="931">
        <f t="shared" si="524"/>
        <v>191.89902176999999</v>
      </c>
      <c r="KO87" s="931">
        <f t="shared" si="525"/>
        <v>-196.67383409999999</v>
      </c>
      <c r="KQ87" s="230">
        <f t="shared" si="526"/>
        <v>6.7698468840712319E-7</v>
      </c>
      <c r="KR87" s="230">
        <f t="shared" si="527"/>
        <v>1.2742897969721181E-3</v>
      </c>
      <c r="KS87" s="230">
        <f t="shared" si="528"/>
        <v>4.0432286256468792E-3</v>
      </c>
      <c r="KT87" s="230">
        <f t="shared" si="529"/>
        <v>0.30758513565583018</v>
      </c>
      <c r="KU87" s="230">
        <f t="shared" si="530"/>
        <v>2.3624010663643841E-3</v>
      </c>
      <c r="KV87" s="230">
        <f t="shared" si="531"/>
        <v>9.8905759885340191E-6</v>
      </c>
      <c r="KW87" s="230">
        <f t="shared" si="532"/>
        <v>7.6783122945470712E-5</v>
      </c>
      <c r="KX87" s="230">
        <f t="shared" si="533"/>
        <v>2.2491560571843706E-4</v>
      </c>
      <c r="KY87" s="230">
        <f t="shared" si="534"/>
        <v>1.5584436731952608E-2</v>
      </c>
      <c r="KZ87" s="230" t="e">
        <f t="shared" si="535"/>
        <v>#DIV/0!</v>
      </c>
      <c r="LB87" s="931">
        <f t="shared" si="462"/>
        <v>5.9034599999999993E-3</v>
      </c>
      <c r="LC87" s="931">
        <f t="shared" si="462"/>
        <v>15.573310269999993</v>
      </c>
      <c r="LD87" s="931">
        <f t="shared" si="462"/>
        <v>71.442992110000006</v>
      </c>
      <c r="LE87" s="931">
        <f t="shared" si="462"/>
        <v>1586.9542492599999</v>
      </c>
      <c r="LF87" s="931">
        <f t="shared" si="462"/>
        <v>-1.1923821400000001</v>
      </c>
      <c r="LG87" s="931">
        <f t="shared" si="462"/>
        <v>6.994323999999999E-2</v>
      </c>
      <c r="LH87" s="931">
        <f t="shared" si="462"/>
        <v>4.2733700000000003E-3</v>
      </c>
      <c r="LI87" s="931">
        <f t="shared" si="462"/>
        <v>5.4210600000000001E-3</v>
      </c>
      <c r="LJ87" s="931">
        <f t="shared" si="462"/>
        <v>110.35720313999998</v>
      </c>
      <c r="LK87" s="931">
        <f t="shared" si="462"/>
        <v>-24.72169242</v>
      </c>
      <c r="LL87" s="931">
        <f t="shared" si="462"/>
        <v>8.0002847700000004</v>
      </c>
      <c r="LM87" s="931">
        <f t="shared" si="462"/>
        <v>8.0002847700000004</v>
      </c>
      <c r="LN87" s="931"/>
      <c r="LO87" s="931"/>
      <c r="LR87" s="230">
        <f t="shared" si="536"/>
        <v>3.5875276913750227</v>
      </c>
      <c r="LS87" s="230">
        <f t="shared" si="537"/>
        <v>21.21287494253577</v>
      </c>
      <c r="LT87" s="230">
        <f t="shared" si="538"/>
        <v>-1.000751365164154</v>
      </c>
      <c r="LU87" s="230">
        <f t="shared" si="539"/>
        <v>-1.0586584096269673</v>
      </c>
      <c r="LV87" s="230">
        <f t="shared" si="540"/>
        <v>-0.93890231564908921</v>
      </c>
      <c r="LW87" s="230">
        <f t="shared" si="541"/>
        <v>0.2685678984033677</v>
      </c>
      <c r="LX87" s="230">
        <f t="shared" si="542"/>
        <v>-1</v>
      </c>
      <c r="LZ87" s="931">
        <f t="shared" si="543"/>
        <v>55.869681840000013</v>
      </c>
      <c r="MA87" s="931">
        <f t="shared" si="544"/>
        <v>1515.5112571499999</v>
      </c>
      <c r="MB87" s="931">
        <f t="shared" si="545"/>
        <v>-1588.1466313999999</v>
      </c>
      <c r="MC87" s="931">
        <f t="shared" si="546"/>
        <v>1.2623253800000001</v>
      </c>
      <c r="MD87" s="931">
        <f t="shared" si="547"/>
        <v>-6.5669869999999991E-2</v>
      </c>
      <c r="ME87" s="931">
        <f t="shared" si="548"/>
        <v>1.1476899999999998E-3</v>
      </c>
      <c r="MF87" s="931">
        <f t="shared" si="549"/>
        <v>-5.4210600000000001E-3</v>
      </c>
      <c r="MH87" s="230">
        <f t="shared" si="550"/>
        <v>1.9682502301405786E-6</v>
      </c>
      <c r="MI87" s="230">
        <f t="shared" si="551"/>
        <v>2.8244938874140368E-3</v>
      </c>
      <c r="MJ87" s="230">
        <f t="shared" si="552"/>
        <v>1.393697542794063E-2</v>
      </c>
      <c r="MK87" s="230">
        <f t="shared" si="553"/>
        <v>2.7301416313977809</v>
      </c>
      <c r="ML87" s="230">
        <f t="shared" si="554"/>
        <v>-7.9151299388314318E-4</v>
      </c>
      <c r="MM87" s="230">
        <f t="shared" si="555"/>
        <v>6.799296355583455E-5</v>
      </c>
      <c r="MN87" s="230">
        <f t="shared" si="556"/>
        <v>2.7481255456514639E-6</v>
      </c>
      <c r="MO87" s="230">
        <f t="shared" si="557"/>
        <v>2.8804846407173136E-6</v>
      </c>
      <c r="MP87" s="230" t="e">
        <f t="shared" si="558"/>
        <v>#DIV/0!</v>
      </c>
    </row>
    <row r="88" spans="1:354" outlineLevel="2">
      <c r="A88" s="884">
        <v>4295</v>
      </c>
      <c r="B88" s="70" t="s">
        <v>638</v>
      </c>
      <c r="C88" s="40" t="s">
        <v>83</v>
      </c>
      <c r="D88" s="31"/>
      <c r="E88" s="66">
        <v>2.9632999999999998E-4</v>
      </c>
      <c r="F88" s="66">
        <v>1.1272599999999999E-3</v>
      </c>
      <c r="G88" s="66">
        <v>6.669899999999999E-4</v>
      </c>
      <c r="H88" s="66">
        <v>5.4055999999999983E-4</v>
      </c>
      <c r="I88" s="66">
        <v>3.6505000000000044E-4</v>
      </c>
      <c r="J88" s="66">
        <v>3.8629800000000002E-3</v>
      </c>
      <c r="K88" s="66">
        <v>2.3703499999999994E-3</v>
      </c>
      <c r="L88" s="66">
        <v>8.300399999999989E-4</v>
      </c>
      <c r="M88" s="66">
        <v>3.4980400000000009E-3</v>
      </c>
      <c r="N88" s="66">
        <v>1.446359999999999E-3</v>
      </c>
      <c r="O88" s="66">
        <v>3.6545100000000014E-3</v>
      </c>
      <c r="P88" s="66">
        <v>5.9034599999999993E-3</v>
      </c>
      <c r="Q88" s="102">
        <v>2.4799400000000004E-3</v>
      </c>
      <c r="R88" s="66">
        <v>9.0356999999999981E-4</v>
      </c>
      <c r="S88" s="66">
        <v>7.9054116600000004</v>
      </c>
      <c r="T88" s="66">
        <v>1.8746597100000004</v>
      </c>
      <c r="U88" s="66">
        <v>8.1827776399999976</v>
      </c>
      <c r="V88" s="66">
        <v>2.8527118900000019</v>
      </c>
      <c r="W88" s="66">
        <v>2.5690607000000014</v>
      </c>
      <c r="X88" s="66">
        <v>1.5107018799999992</v>
      </c>
      <c r="Y88" s="66">
        <v>2.06090704</v>
      </c>
      <c r="Z88" s="66">
        <v>1.8590192600000002</v>
      </c>
      <c r="AA88" s="66">
        <v>2.4449349300000023</v>
      </c>
      <c r="AB88" s="66">
        <v>15.573310269999993</v>
      </c>
      <c r="AC88" s="102">
        <v>14.674816740000001</v>
      </c>
      <c r="AD88" s="66">
        <v>1.7474415900000002</v>
      </c>
      <c r="AE88" s="66">
        <v>24.74292475</v>
      </c>
      <c r="AF88" s="66">
        <v>8.1811395999999998</v>
      </c>
      <c r="AG88" s="66">
        <v>0.51179929999999996</v>
      </c>
      <c r="AH88" s="66">
        <v>4.1043249999999996E-2</v>
      </c>
      <c r="AI88" s="66">
        <v>4.1585094099999997</v>
      </c>
      <c r="AJ88" s="66">
        <v>1.40818888</v>
      </c>
      <c r="AK88" s="66">
        <v>16.30055282</v>
      </c>
      <c r="AL88" s="66">
        <v>7.8494562500000002</v>
      </c>
      <c r="AM88" s="66">
        <v>8.1755230300000008</v>
      </c>
      <c r="AN88" s="102">
        <v>71.443002110000009</v>
      </c>
      <c r="AO88" s="873">
        <v>1.6806000000000026E-4</v>
      </c>
      <c r="AP88" s="920">
        <v>1.7580418000000002</v>
      </c>
      <c r="AQ88" s="962">
        <v>99.520417440000003</v>
      </c>
      <c r="AR88" s="962">
        <v>5.2069702599999994</v>
      </c>
      <c r="AS88" s="873">
        <v>10.404542640000001</v>
      </c>
      <c r="AT88" s="873">
        <v>5.5126999999999997E-4</v>
      </c>
      <c r="AU88" s="873">
        <v>108.30767601000001</v>
      </c>
      <c r="AV88" s="873">
        <v>8.617547759999999</v>
      </c>
      <c r="AW88" s="873">
        <v>4.3502955099999996</v>
      </c>
      <c r="AX88" s="873">
        <v>1.4431349699999998</v>
      </c>
      <c r="AY88" s="873">
        <v>0.95719404000000008</v>
      </c>
      <c r="AZ88" s="873">
        <f>571.85724926+1015.097</f>
        <v>1586.9542492599999</v>
      </c>
      <c r="BA88" s="102">
        <v>0.19664075</v>
      </c>
      <c r="BB88" s="102">
        <v>11.017752210000001</v>
      </c>
      <c r="BC88" s="102">
        <v>1.7677111999999999</v>
      </c>
      <c r="BD88" s="102">
        <v>-0.9849040699999998</v>
      </c>
      <c r="BE88" s="66">
        <v>0.38304090999999996</v>
      </c>
      <c r="BF88" s="66">
        <v>0.35021446999999994</v>
      </c>
      <c r="BG88" s="66">
        <v>0.35116976999999999</v>
      </c>
      <c r="BH88" s="66">
        <v>0.83208804000000003</v>
      </c>
      <c r="BI88" s="66">
        <v>5.0732390000000002E-2</v>
      </c>
      <c r="BJ88" s="66">
        <v>6.5549E-4</v>
      </c>
      <c r="BK88" s="66">
        <v>8.3564999999999996E-4</v>
      </c>
      <c r="BL88" s="66">
        <v>1.06686E-3</v>
      </c>
      <c r="BM88" s="102">
        <v>1.83719E-3</v>
      </c>
      <c r="BN88" s="102">
        <v>1.6462000000000001E-4</v>
      </c>
      <c r="BO88" s="102">
        <v>2.2274899999999999E-3</v>
      </c>
      <c r="BP88" s="102">
        <v>1.5253E-4</v>
      </c>
      <c r="BQ88" s="66">
        <v>2.3305399999999999E-3</v>
      </c>
      <c r="BR88" s="66">
        <v>5.8061000000000007E-4</v>
      </c>
      <c r="BS88" s="66">
        <v>2.2607299999999999E-3</v>
      </c>
      <c r="BT88" s="102">
        <v>3.4131999999999999E-4</v>
      </c>
      <c r="BU88" s="102">
        <v>1.7969500000000001E-3</v>
      </c>
      <c r="BV88" s="102">
        <v>8.8101999999999994E-4</v>
      </c>
      <c r="BW88" s="102">
        <v>5.2280589999999995E-2</v>
      </c>
      <c r="BX88" s="102">
        <v>6.994323999999999E-2</v>
      </c>
      <c r="BY88" s="102">
        <v>2.6925500000000002E-3</v>
      </c>
      <c r="BZ88" s="102">
        <v>8.0361000000000007E-4</v>
      </c>
      <c r="CA88" s="102">
        <v>1.2116399999999999E-3</v>
      </c>
      <c r="CB88" s="102">
        <v>0.47661143</v>
      </c>
      <c r="CC88" s="102">
        <v>3.7578000000000004E-3</v>
      </c>
      <c r="CD88" s="102">
        <v>4.9815999999999999E-4</v>
      </c>
      <c r="CE88" s="102">
        <v>9.4554999999999997E-4</v>
      </c>
      <c r="CF88" s="102">
        <v>3.9118000000000003E-4</v>
      </c>
      <c r="CG88" s="102">
        <v>1.9237049999999999E-2</v>
      </c>
      <c r="CH88" s="102">
        <v>0.57452024000000002</v>
      </c>
      <c r="CI88" s="102">
        <v>1.5796E-3</v>
      </c>
      <c r="CJ88" s="102">
        <v>4.2733700000000003E-3</v>
      </c>
      <c r="CK88" s="102">
        <v>1.0624E-3</v>
      </c>
      <c r="CL88" s="102">
        <v>2.4283099999999999E-3</v>
      </c>
      <c r="CM88" s="102">
        <v>6.9841999999999994E-4</v>
      </c>
      <c r="CN88" s="102">
        <v>5.4043000000000006E-4</v>
      </c>
      <c r="CO88" s="102">
        <v>6.0316900000000001E-3</v>
      </c>
      <c r="CP88" s="102">
        <v>8.6185999999999999E-4</v>
      </c>
      <c r="CQ88" s="102">
        <v>2.8239200000000002E-3</v>
      </c>
      <c r="CR88" s="102">
        <v>4.2691000000014899E-4</v>
      </c>
      <c r="CS88" s="102">
        <v>4.6266199999999997E-3</v>
      </c>
      <c r="CT88" s="102">
        <v>0.11668603000000001</v>
      </c>
      <c r="CU88" s="102">
        <v>0.25292868000000002</v>
      </c>
      <c r="CV88" s="102">
        <v>5.4210600000000001E-3</v>
      </c>
      <c r="CW88" s="102">
        <v>1.26964E-3</v>
      </c>
      <c r="CX88" s="102">
        <v>6.6583999999999992E-3</v>
      </c>
      <c r="CY88" s="102">
        <v>9.9821000000000003E-4</v>
      </c>
      <c r="CZ88" s="102">
        <v>8.1086999999999999E-3</v>
      </c>
      <c r="DA88" s="102">
        <v>9.9982000000000001E-4</v>
      </c>
      <c r="DB88" s="102">
        <v>18.60402685</v>
      </c>
      <c r="DC88" s="102">
        <v>15.425907609999999</v>
      </c>
      <c r="DD88" s="102">
        <v>24.571904719999999</v>
      </c>
      <c r="DE88" s="102">
        <v>24.221593410000001</v>
      </c>
      <c r="DF88" s="102">
        <v>1.9277599999999999E-3</v>
      </c>
      <c r="DG88" s="102">
        <v>1.0388399999999999E-3</v>
      </c>
      <c r="DH88" s="102">
        <v>110.35720313999998</v>
      </c>
      <c r="DI88" s="102">
        <v>24.000004760000003</v>
      </c>
      <c r="DJ88" s="102">
        <v>24.70074365</v>
      </c>
      <c r="DK88" s="102">
        <v>30.409258770000001</v>
      </c>
      <c r="DL88" s="102">
        <v>32.223815800000004</v>
      </c>
      <c r="DM88" s="102">
        <v>9.9295999999999998E-4</v>
      </c>
      <c r="DN88" s="102">
        <v>-24.998100050000001</v>
      </c>
      <c r="DO88" s="102">
        <v>2.2409499999999998E-3</v>
      </c>
      <c r="DP88" s="102">
        <v>8.3499999999999997E-6</v>
      </c>
      <c r="DQ88" s="940">
        <v>2.4117700000000001E-3</v>
      </c>
      <c r="DR88" s="940">
        <v>0.22891054999999999</v>
      </c>
      <c r="DS88" s="940">
        <v>2.4997000000000002E-4</v>
      </c>
      <c r="DT88" s="940">
        <v>-24.72169242</v>
      </c>
      <c r="DU88" s="940">
        <v>4.0367000000000002E-4</v>
      </c>
      <c r="DV88" s="940">
        <v>6.9924100000000001E-3</v>
      </c>
      <c r="DW88" s="940">
        <v>6.0097890000000001E-2</v>
      </c>
      <c r="DX88" s="940">
        <v>1.2570999999999999E-3</v>
      </c>
      <c r="DY88" s="940">
        <v>6.1882000000000005E-3</v>
      </c>
      <c r="DZ88" s="940">
        <v>1.0834000000000001E-4</v>
      </c>
      <c r="EA88" s="940">
        <v>9.8500632900000014</v>
      </c>
      <c r="EB88" s="940">
        <v>4.4503646900000007</v>
      </c>
      <c r="EC88" s="940">
        <v>4.1505730700000001</v>
      </c>
      <c r="ED88" s="940">
        <v>5.9000102800000001</v>
      </c>
      <c r="EE88" s="940">
        <v>6.7529885700000003</v>
      </c>
      <c r="EF88" s="940">
        <v>8.0002847700000004</v>
      </c>
      <c r="EH88" s="66"/>
      <c r="EI88" s="66"/>
      <c r="EJ88" s="66"/>
      <c r="EK88" s="66"/>
      <c r="EL88" s="66"/>
      <c r="EM88" s="66"/>
      <c r="EN88" s="66"/>
      <c r="EO88" s="66"/>
      <c r="EP88" s="66"/>
      <c r="EQ88" s="66"/>
      <c r="ER88" s="66"/>
      <c r="ES88" s="66"/>
      <c r="EU88" s="66">
        <v>12</v>
      </c>
      <c r="EV88" s="66">
        <v>112</v>
      </c>
      <c r="EW88" s="66">
        <v>112</v>
      </c>
      <c r="EX88" s="66">
        <v>12</v>
      </c>
      <c r="EY88" s="66">
        <v>12</v>
      </c>
      <c r="EZ88" s="66">
        <v>12</v>
      </c>
      <c r="FA88" s="66">
        <v>12</v>
      </c>
      <c r="FB88" s="66">
        <v>12</v>
      </c>
      <c r="FC88" s="66">
        <v>12</v>
      </c>
      <c r="FD88" s="66">
        <v>12</v>
      </c>
      <c r="FE88" s="66">
        <v>12</v>
      </c>
      <c r="FF88" s="66">
        <v>12</v>
      </c>
      <c r="FG88" s="66">
        <v>57.081648167499999</v>
      </c>
      <c r="FH88" s="66">
        <v>57.081648167499999</v>
      </c>
      <c r="FI88" s="66">
        <v>57.081648167499999</v>
      </c>
      <c r="FJ88" s="66">
        <v>57.081648167499999</v>
      </c>
      <c r="FK88" s="66">
        <v>57.081648167499999</v>
      </c>
      <c r="FL88" s="66">
        <v>57.081648167499999</v>
      </c>
      <c r="FM88" s="66">
        <v>57.081648167499999</v>
      </c>
      <c r="FN88" s="66">
        <v>57.081648167499999</v>
      </c>
      <c r="FO88" s="66">
        <v>57.081648167499999</v>
      </c>
      <c r="FP88" s="66">
        <v>57.081648167499999</v>
      </c>
      <c r="FQ88" s="66">
        <v>57.081648167499999</v>
      </c>
      <c r="FR88" s="66">
        <v>57.081648167499999</v>
      </c>
      <c r="FS88" s="66"/>
      <c r="FT88" s="66"/>
      <c r="FU88" s="66"/>
      <c r="FV88" s="66"/>
      <c r="FW88" s="66"/>
      <c r="FX88" s="66"/>
      <c r="FY88" s="66"/>
      <c r="FZ88" s="66"/>
      <c r="GA88" s="66"/>
      <c r="GB88" s="66"/>
      <c r="GC88" s="66"/>
      <c r="GD88" s="66"/>
      <c r="GE88" s="88"/>
      <c r="GF88" s="88"/>
      <c r="GG88" s="88"/>
      <c r="GH88" s="88"/>
      <c r="GI88" s="88"/>
      <c r="GJ88" s="88"/>
      <c r="GK88" s="88"/>
      <c r="GL88" s="88"/>
      <c r="GM88" s="88"/>
      <c r="GN88" s="88"/>
      <c r="GO88" s="88"/>
      <c r="GP88" s="88"/>
      <c r="GQ88" s="66"/>
      <c r="GR88" s="88"/>
      <c r="GS88" s="88"/>
      <c r="GT88" s="88"/>
      <c r="GU88" s="88"/>
      <c r="GV88" s="88"/>
      <c r="GW88" s="88"/>
      <c r="GX88" s="88"/>
      <c r="GY88" s="88"/>
      <c r="GZ88" s="88"/>
      <c r="HA88" s="88"/>
      <c r="HB88" s="88"/>
      <c r="HD88" s="66">
        <f t="shared" si="469"/>
        <v>2.4561929999999999E-2</v>
      </c>
      <c r="HE88" s="66">
        <f t="shared" si="469"/>
        <v>46.836878489999997</v>
      </c>
      <c r="HF88" s="66">
        <f t="shared" si="469"/>
        <v>159.23439773000001</v>
      </c>
      <c r="HG88" s="66">
        <f t="shared" si="469"/>
        <v>1827.5207890199999</v>
      </c>
      <c r="HH88" s="66">
        <f t="shared" si="470"/>
        <v>13.967003670000004</v>
      </c>
      <c r="HI88" s="66">
        <f t="shared" si="471"/>
        <v>0.13479682999999998</v>
      </c>
      <c r="HJ88" s="66">
        <f t="shared" si="472"/>
        <v>1.0865221799999998</v>
      </c>
      <c r="HK88" s="66">
        <f t="shared" si="473"/>
        <v>0.39453633000000016</v>
      </c>
      <c r="HL88" s="873">
        <f>+SUMIF($E$6:SEW$6,HL$7,$E88:SEW88)</f>
        <v>193.20163709999997</v>
      </c>
      <c r="HM88" s="873">
        <f>+SUMIF($E$6:SEX$6,HM$7,$E88:SEX88)</f>
        <v>61.848845060000002</v>
      </c>
      <c r="HN88" s="873">
        <f>+SUMIF($E$6:SEY$6,HN$7,$E88:SEY88)</f>
        <v>39.179332279999997</v>
      </c>
      <c r="HO88" s="66"/>
      <c r="HP88" s="66"/>
      <c r="HR88" s="922">
        <f t="shared" si="474"/>
        <v>2.3997653742872229</v>
      </c>
      <c r="HS88" s="922">
        <f t="shared" si="475"/>
        <v>10.476922166771836</v>
      </c>
      <c r="HT88" s="922">
        <f t="shared" si="476"/>
        <v>-0.9923574036728251</v>
      </c>
      <c r="HU88" s="922">
        <f t="shared" si="477"/>
        <v>-0.99034890852863933</v>
      </c>
      <c r="HV88" s="922">
        <f t="shared" si="478"/>
        <v>7.0604431127942693</v>
      </c>
      <c r="HW88" s="922">
        <f t="shared" si="479"/>
        <v>-0.63688147627138159</v>
      </c>
      <c r="HX88" s="922">
        <f t="shared" si="480"/>
        <v>488.69289368104552</v>
      </c>
      <c r="HY88" s="922">
        <f t="shared" si="480"/>
        <v>-0.67987411500044681</v>
      </c>
      <c r="HZ88" s="922">
        <f t="shared" si="480"/>
        <v>-0.36653089896841484</v>
      </c>
      <c r="IA88" s="922">
        <f t="shared" si="481"/>
        <v>-1</v>
      </c>
      <c r="IB88" s="922" t="str">
        <f t="shared" si="482"/>
        <v/>
      </c>
      <c r="IC88" s="922">
        <f t="shared" si="483"/>
        <v>-1</v>
      </c>
      <c r="IE88" s="66">
        <f t="shared" si="484"/>
        <v>112.39751924000001</v>
      </c>
      <c r="IF88" s="66">
        <f t="shared" si="485"/>
        <v>1668.28639129</v>
      </c>
      <c r="IG88" s="66">
        <f t="shared" si="486"/>
        <v>-1813.55378535</v>
      </c>
      <c r="IH88" s="66">
        <f t="shared" si="487"/>
        <v>-13.832206840000005</v>
      </c>
      <c r="II88" s="66">
        <f t="shared" si="488"/>
        <v>0.9517253499999998</v>
      </c>
      <c r="IJ88" s="66">
        <f t="shared" si="489"/>
        <v>-0.69198584999999957</v>
      </c>
      <c r="IK88" s="66">
        <f t="shared" si="490"/>
        <v>192.80710076999998</v>
      </c>
      <c r="IL88" s="66">
        <f t="shared" si="491"/>
        <v>-193.20163709999997</v>
      </c>
      <c r="IM88" s="66">
        <f t="shared" si="492"/>
        <v>0</v>
      </c>
      <c r="IN88" s="66">
        <f t="shared" si="493"/>
        <v>-193.20163709999997</v>
      </c>
      <c r="IP88" s="50">
        <f t="shared" si="494"/>
        <v>1.2742897969721181E-3</v>
      </c>
      <c r="IQ88" s="50">
        <f t="shared" si="495"/>
        <v>4.0432286256468792E-3</v>
      </c>
      <c r="IR88" s="50">
        <f t="shared" si="496"/>
        <v>0.10844029513469898</v>
      </c>
      <c r="IS88" s="50">
        <f t="shared" si="497"/>
        <v>2.2703093023782096E-3</v>
      </c>
      <c r="IT88" s="50">
        <f t="shared" si="498"/>
        <v>9.8905759885340191E-6</v>
      </c>
      <c r="IU88" s="50">
        <f t="shared" si="499"/>
        <v>7.6783122945470712E-5</v>
      </c>
      <c r="IV88" s="50">
        <f t="shared" si="500"/>
        <v>1.8584474426847096E-5</v>
      </c>
      <c r="IW88" s="50">
        <f t="shared" si="501"/>
        <v>1.5309299804282491E-2</v>
      </c>
      <c r="IX88" s="50" t="e">
        <f t="shared" si="502"/>
        <v>#DIV/0!</v>
      </c>
      <c r="IY88" s="50" t="e">
        <f t="shared" si="503"/>
        <v>#DIV/0!</v>
      </c>
      <c r="JA88" s="66">
        <f t="shared" si="457"/>
        <v>2.4561929999999999E-2</v>
      </c>
      <c r="JB88" s="66">
        <f t="shared" si="457"/>
        <v>46.836878489999997</v>
      </c>
      <c r="JC88" s="66">
        <f t="shared" si="457"/>
        <v>159.23439773000001</v>
      </c>
      <c r="JD88" s="66">
        <f t="shared" si="457"/>
        <v>1827.5207890199999</v>
      </c>
      <c r="JE88" s="66">
        <f t="shared" si="457"/>
        <v>13.967003670000004</v>
      </c>
      <c r="JF88" s="66">
        <f t="shared" si="457"/>
        <v>0.13479682999999998</v>
      </c>
      <c r="JG88" s="66">
        <f t="shared" si="457"/>
        <v>1.0865221799999998</v>
      </c>
      <c r="JH88" s="66">
        <f t="shared" si="457"/>
        <v>0.39453633000000016</v>
      </c>
      <c r="JI88" s="66">
        <f t="shared" si="457"/>
        <v>193.20163709999997</v>
      </c>
      <c r="JJ88" s="66">
        <f t="shared" si="457"/>
        <v>61.848845060000002</v>
      </c>
      <c r="JK88" s="66">
        <f t="shared" si="457"/>
        <v>39.179332279999997</v>
      </c>
      <c r="JL88" s="66">
        <f t="shared" si="458"/>
        <v>39.179332279999997</v>
      </c>
      <c r="JM88" s="66"/>
      <c r="JN88" s="66"/>
      <c r="JP88" s="66">
        <f t="shared" si="504"/>
        <v>39.179332279999997</v>
      </c>
      <c r="JQ88" s="66">
        <f t="shared" si="505"/>
        <v>0</v>
      </c>
      <c r="JR88" s="88"/>
      <c r="JS88" s="922" t="str">
        <f t="shared" si="506"/>
        <v/>
      </c>
      <c r="JT88" s="964">
        <f t="shared" si="507"/>
        <v>39.179332279999997</v>
      </c>
      <c r="JV88" s="50">
        <f t="shared" si="508"/>
        <v>1.2976909238050229E-3</v>
      </c>
      <c r="JW88" s="922" t="str">
        <f t="shared" si="509"/>
        <v/>
      </c>
      <c r="JY88" s="922">
        <f t="shared" si="510"/>
        <v>2.3997653742872229</v>
      </c>
      <c r="JZ88" s="922">
        <f t="shared" si="511"/>
        <v>10.476922166771836</v>
      </c>
      <c r="KA88" s="922">
        <f t="shared" si="512"/>
        <v>-0.9923574036728251</v>
      </c>
      <c r="KB88" s="922">
        <f t="shared" si="513"/>
        <v>-0.99034890852863933</v>
      </c>
      <c r="KC88" s="922">
        <f t="shared" si="514"/>
        <v>7.0604431127942693</v>
      </c>
      <c r="KD88" s="922">
        <f t="shared" si="515"/>
        <v>-0.63688147627138159</v>
      </c>
      <c r="KE88" s="922">
        <f t="shared" si="516"/>
        <v>488.69289368104552</v>
      </c>
      <c r="KF88" s="922">
        <f t="shared" si="517"/>
        <v>-1</v>
      </c>
      <c r="KH88" s="66">
        <f t="shared" si="518"/>
        <v>112.39751924000001</v>
      </c>
      <c r="KI88" s="66">
        <f t="shared" si="519"/>
        <v>1668.28639129</v>
      </c>
      <c r="KJ88" s="66">
        <f t="shared" si="520"/>
        <v>-1813.55378535</v>
      </c>
      <c r="KK88" s="66">
        <f t="shared" si="521"/>
        <v>-13.832206840000005</v>
      </c>
      <c r="KL88" s="66">
        <f t="shared" si="522"/>
        <v>0.9517253499999998</v>
      </c>
      <c r="KM88" s="66">
        <f t="shared" si="523"/>
        <v>-0.69198584999999957</v>
      </c>
      <c r="KN88" s="66">
        <f t="shared" si="524"/>
        <v>192.80710076999998</v>
      </c>
      <c r="KO88" s="66">
        <f t="shared" si="525"/>
        <v>-193.20163709999997</v>
      </c>
      <c r="KQ88" s="50">
        <f t="shared" si="526"/>
        <v>6.7698468840712319E-7</v>
      </c>
      <c r="KR88" s="50">
        <f t="shared" si="527"/>
        <v>1.2742897969721181E-3</v>
      </c>
      <c r="KS88" s="50">
        <f t="shared" si="528"/>
        <v>4.0432286256468792E-3</v>
      </c>
      <c r="KT88" s="50">
        <f t="shared" si="529"/>
        <v>0.10844029513469898</v>
      </c>
      <c r="KU88" s="50">
        <f t="shared" si="530"/>
        <v>2.2703093023782096E-3</v>
      </c>
      <c r="KV88" s="50">
        <f t="shared" si="531"/>
        <v>9.8905759885340191E-6</v>
      </c>
      <c r="KW88" s="50">
        <f t="shared" si="532"/>
        <v>7.6783122945470712E-5</v>
      </c>
      <c r="KX88" s="50">
        <f t="shared" si="533"/>
        <v>1.8584474426847096E-5</v>
      </c>
      <c r="KY88" s="50">
        <f t="shared" si="534"/>
        <v>1.5309299804282491E-2</v>
      </c>
      <c r="KZ88" s="50" t="e">
        <f t="shared" si="535"/>
        <v>#DIV/0!</v>
      </c>
      <c r="LB88" s="66">
        <f t="shared" si="462"/>
        <v>5.9034599999999993E-3</v>
      </c>
      <c r="LC88" s="66">
        <f t="shared" si="462"/>
        <v>15.573310269999993</v>
      </c>
      <c r="LD88" s="66">
        <f t="shared" si="462"/>
        <v>71.443002110000009</v>
      </c>
      <c r="LE88" s="66">
        <f t="shared" si="462"/>
        <v>1586.9542492599999</v>
      </c>
      <c r="LF88" s="66">
        <f t="shared" si="462"/>
        <v>1.06686E-3</v>
      </c>
      <c r="LG88" s="66">
        <f t="shared" si="462"/>
        <v>6.994323999999999E-2</v>
      </c>
      <c r="LH88" s="66">
        <f t="shared" si="462"/>
        <v>4.2733700000000003E-3</v>
      </c>
      <c r="LI88" s="66">
        <f t="shared" si="462"/>
        <v>5.4210600000000001E-3</v>
      </c>
      <c r="LJ88" s="66">
        <f t="shared" si="462"/>
        <v>110.35720313999998</v>
      </c>
      <c r="LK88" s="66">
        <f t="shared" si="462"/>
        <v>-24.72169242</v>
      </c>
      <c r="LL88" s="66">
        <f t="shared" si="462"/>
        <v>8.0002847700000004</v>
      </c>
      <c r="LM88" s="66">
        <f t="shared" si="462"/>
        <v>8.0002847700000004</v>
      </c>
      <c r="LN88" s="66"/>
      <c r="LO88" s="66"/>
      <c r="LR88" s="50">
        <f t="shared" si="536"/>
        <v>3.5875283334992618</v>
      </c>
      <c r="LS88" s="50">
        <f t="shared" si="537"/>
        <v>21.212871833361422</v>
      </c>
      <c r="LT88" s="50">
        <f t="shared" si="538"/>
        <v>-0.99999932773109212</v>
      </c>
      <c r="LU88" s="50">
        <f t="shared" si="539"/>
        <v>64.559904767260932</v>
      </c>
      <c r="LV88" s="50">
        <f t="shared" si="540"/>
        <v>-0.93890231564908921</v>
      </c>
      <c r="LW88" s="50">
        <f t="shared" si="541"/>
        <v>0.2685678984033677</v>
      </c>
      <c r="LX88" s="50">
        <f t="shared" si="542"/>
        <v>-1</v>
      </c>
      <c r="LZ88" s="66">
        <f t="shared" si="543"/>
        <v>55.869691840000016</v>
      </c>
      <c r="MA88" s="66">
        <f t="shared" si="544"/>
        <v>1515.5112471499999</v>
      </c>
      <c r="MB88" s="66">
        <f t="shared" si="545"/>
        <v>-1586.9531823999998</v>
      </c>
      <c r="MC88" s="66">
        <f t="shared" si="546"/>
        <v>6.8876379999999987E-2</v>
      </c>
      <c r="MD88" s="66">
        <f t="shared" si="547"/>
        <v>-6.5669869999999991E-2</v>
      </c>
      <c r="ME88" s="66">
        <f t="shared" si="548"/>
        <v>1.1476899999999998E-3</v>
      </c>
      <c r="MF88" s="66">
        <f t="shared" si="549"/>
        <v>-5.4210600000000001E-3</v>
      </c>
      <c r="MH88" s="50">
        <f t="shared" si="550"/>
        <v>1.9682502301405786E-6</v>
      </c>
      <c r="MI88" s="50">
        <f t="shared" si="551"/>
        <v>2.8244938874140368E-3</v>
      </c>
      <c r="MJ88" s="50">
        <f t="shared" si="552"/>
        <v>1.3936977378723348E-2</v>
      </c>
      <c r="MK88" s="50">
        <f t="shared" si="553"/>
        <v>2.7301416313977809</v>
      </c>
      <c r="ML88" s="50">
        <f t="shared" si="554"/>
        <v>7.0819037314175972E-7</v>
      </c>
      <c r="MM88" s="50">
        <f t="shared" si="555"/>
        <v>6.799296355583455E-5</v>
      </c>
      <c r="MN88" s="50">
        <f t="shared" si="556"/>
        <v>2.7481255456514639E-6</v>
      </c>
      <c r="MO88" s="50">
        <f t="shared" si="557"/>
        <v>2.8804846407173136E-6</v>
      </c>
      <c r="MP88" s="50" t="e">
        <f t="shared" si="558"/>
        <v>#DIV/0!</v>
      </c>
    </row>
    <row r="89" spans="1:354" outlineLevel="2">
      <c r="A89" s="884">
        <v>4245</v>
      </c>
      <c r="B89" s="70" t="s">
        <v>667</v>
      </c>
      <c r="C89" s="40" t="s">
        <v>668</v>
      </c>
      <c r="D89" s="31"/>
      <c r="E89" s="66">
        <v>0</v>
      </c>
      <c r="F89" s="66">
        <v>0</v>
      </c>
      <c r="G89" s="66">
        <v>0</v>
      </c>
      <c r="H89" s="66">
        <v>0</v>
      </c>
      <c r="I89" s="66">
        <v>0</v>
      </c>
      <c r="J89" s="66">
        <v>0</v>
      </c>
      <c r="K89" s="66">
        <v>0</v>
      </c>
      <c r="L89" s="66">
        <v>0</v>
      </c>
      <c r="M89" s="66">
        <v>0</v>
      </c>
      <c r="N89" s="66">
        <v>0</v>
      </c>
      <c r="O89" s="66">
        <v>0</v>
      </c>
      <c r="P89" s="66">
        <v>0</v>
      </c>
      <c r="Q89" s="102">
        <v>0</v>
      </c>
      <c r="R89" s="66">
        <v>0</v>
      </c>
      <c r="S89" s="66">
        <v>0</v>
      </c>
      <c r="T89" s="66">
        <v>0</v>
      </c>
      <c r="U89" s="66">
        <v>0</v>
      </c>
      <c r="V89" s="66">
        <v>0</v>
      </c>
      <c r="W89" s="66">
        <v>0</v>
      </c>
      <c r="X89" s="66">
        <v>0</v>
      </c>
      <c r="Y89" s="66">
        <v>0</v>
      </c>
      <c r="Z89" s="66">
        <v>0</v>
      </c>
      <c r="AA89" s="66">
        <v>0</v>
      </c>
      <c r="AB89" s="66">
        <v>0</v>
      </c>
      <c r="AC89" s="102">
        <v>0</v>
      </c>
      <c r="AD89" s="66">
        <v>0</v>
      </c>
      <c r="AE89" s="66">
        <v>0</v>
      </c>
      <c r="AF89" s="66">
        <v>0</v>
      </c>
      <c r="AG89" s="66">
        <v>0</v>
      </c>
      <c r="AH89" s="66">
        <v>0</v>
      </c>
      <c r="AI89" s="66">
        <v>0</v>
      </c>
      <c r="AJ89" s="66">
        <v>0</v>
      </c>
      <c r="AK89" s="66">
        <v>0</v>
      </c>
      <c r="AL89" s="66">
        <v>0</v>
      </c>
      <c r="AM89" s="66">
        <v>0</v>
      </c>
      <c r="AN89" s="102">
        <v>0</v>
      </c>
      <c r="AO89" s="66">
        <v>6</v>
      </c>
      <c r="AP89" s="88">
        <v>0</v>
      </c>
      <c r="AQ89" s="143">
        <v>0</v>
      </c>
      <c r="AR89" s="143">
        <v>0</v>
      </c>
      <c r="AS89" s="66">
        <v>0</v>
      </c>
      <c r="AT89" s="66">
        <v>3350</v>
      </c>
      <c r="AU89" s="66">
        <v>0</v>
      </c>
      <c r="AV89" s="66">
        <v>0</v>
      </c>
      <c r="AW89" s="66">
        <v>0</v>
      </c>
      <c r="AX89" s="66">
        <v>0</v>
      </c>
      <c r="AY89" s="66">
        <v>0</v>
      </c>
      <c r="AZ89" s="66">
        <v>0</v>
      </c>
      <c r="BA89" s="102">
        <v>0</v>
      </c>
      <c r="BB89" s="102">
        <v>0</v>
      </c>
      <c r="BC89" s="102">
        <v>0</v>
      </c>
      <c r="BD89" s="102">
        <v>0</v>
      </c>
      <c r="BE89" s="66">
        <v>0.06</v>
      </c>
      <c r="BF89" s="66">
        <v>0</v>
      </c>
      <c r="BG89" s="66">
        <v>1.7</v>
      </c>
      <c r="BH89" s="66">
        <v>0</v>
      </c>
      <c r="BI89" s="66">
        <v>0</v>
      </c>
      <c r="BJ89" s="66">
        <v>0</v>
      </c>
      <c r="BK89" s="66">
        <v>0</v>
      </c>
      <c r="BL89" s="66">
        <v>-1.193449</v>
      </c>
      <c r="BM89" s="102">
        <v>0</v>
      </c>
      <c r="BN89" s="102">
        <v>0</v>
      </c>
      <c r="BO89" s="102">
        <v>0</v>
      </c>
      <c r="BP89" s="102">
        <v>0</v>
      </c>
      <c r="BQ89" s="66">
        <v>0</v>
      </c>
      <c r="BR89" s="66">
        <v>0</v>
      </c>
      <c r="BS89" s="66">
        <v>0</v>
      </c>
      <c r="BT89" s="66">
        <v>0</v>
      </c>
      <c r="BU89" s="66">
        <v>0</v>
      </c>
      <c r="BV89" s="66">
        <v>0</v>
      </c>
      <c r="BW89" s="66">
        <v>0</v>
      </c>
      <c r="BX89" s="66">
        <v>0</v>
      </c>
      <c r="BY89" s="66">
        <v>0</v>
      </c>
      <c r="BZ89" s="66">
        <v>0</v>
      </c>
      <c r="CA89" s="66">
        <v>0</v>
      </c>
      <c r="CB89" s="66">
        <v>0</v>
      </c>
      <c r="CC89" s="66">
        <v>0</v>
      </c>
      <c r="CD89" s="66">
        <v>0</v>
      </c>
      <c r="CE89" s="66">
        <v>0</v>
      </c>
      <c r="CF89" s="66">
        <v>0</v>
      </c>
      <c r="CG89" s="66">
        <v>0</v>
      </c>
      <c r="CH89" s="66">
        <v>0</v>
      </c>
      <c r="CI89" s="66">
        <v>0</v>
      </c>
      <c r="CJ89" s="66">
        <v>0</v>
      </c>
      <c r="CK89" s="66">
        <v>0</v>
      </c>
      <c r="CL89" s="66">
        <v>0</v>
      </c>
      <c r="CM89" s="66">
        <v>0</v>
      </c>
      <c r="CN89" s="66">
        <v>0</v>
      </c>
      <c r="CO89" s="66">
        <v>0</v>
      </c>
      <c r="CP89" s="66">
        <v>0</v>
      </c>
      <c r="CQ89" s="66">
        <v>0</v>
      </c>
      <c r="CR89" s="66">
        <v>0</v>
      </c>
      <c r="CS89" s="66">
        <v>0</v>
      </c>
      <c r="CT89" s="66">
        <v>0</v>
      </c>
      <c r="CU89" s="66">
        <v>0</v>
      </c>
      <c r="CV89" s="66">
        <v>0</v>
      </c>
      <c r="CW89" s="66">
        <v>0</v>
      </c>
      <c r="CX89" s="66">
        <v>0</v>
      </c>
      <c r="CY89" s="66">
        <v>0</v>
      </c>
      <c r="CZ89" s="66">
        <v>0</v>
      </c>
      <c r="DA89" s="66">
        <v>0</v>
      </c>
      <c r="DB89" s="66">
        <v>0</v>
      </c>
      <c r="DC89" s="66">
        <v>0</v>
      </c>
      <c r="DD89" s="66">
        <v>0</v>
      </c>
      <c r="DE89" s="66">
        <v>0</v>
      </c>
      <c r="DF89" s="66">
        <v>0</v>
      </c>
      <c r="DG89" s="66">
        <v>0</v>
      </c>
      <c r="DH89" s="66">
        <v>0</v>
      </c>
      <c r="DI89" s="66">
        <v>0</v>
      </c>
      <c r="DJ89" s="66">
        <v>0</v>
      </c>
      <c r="DK89" s="66">
        <v>0</v>
      </c>
      <c r="DL89" s="66">
        <v>0</v>
      </c>
      <c r="DM89" s="66">
        <v>0</v>
      </c>
      <c r="DN89" s="66">
        <v>0</v>
      </c>
      <c r="DO89" s="66">
        <v>0</v>
      </c>
      <c r="DP89" s="66">
        <v>0</v>
      </c>
      <c r="DQ89" s="873">
        <v>0</v>
      </c>
      <c r="DR89" s="873">
        <v>0</v>
      </c>
      <c r="DS89" s="873">
        <v>0</v>
      </c>
      <c r="DT89" s="873">
        <v>0</v>
      </c>
      <c r="DU89" s="873">
        <v>0</v>
      </c>
      <c r="DV89" s="873">
        <v>0</v>
      </c>
      <c r="DW89" s="873">
        <v>0</v>
      </c>
      <c r="DX89" s="873">
        <v>0</v>
      </c>
      <c r="DY89" s="873">
        <v>0</v>
      </c>
      <c r="DZ89" s="873">
        <v>0</v>
      </c>
      <c r="EA89" s="873">
        <v>0</v>
      </c>
      <c r="EB89" s="873">
        <v>0</v>
      </c>
      <c r="EC89" s="873">
        <v>0</v>
      </c>
      <c r="ED89" s="873">
        <v>0</v>
      </c>
      <c r="EE89" s="873">
        <v>0</v>
      </c>
      <c r="EF89" s="873">
        <v>0</v>
      </c>
      <c r="EH89" s="66">
        <v>0</v>
      </c>
      <c r="EI89" s="66">
        <v>0</v>
      </c>
      <c r="EJ89" s="66">
        <v>0</v>
      </c>
      <c r="EK89" s="66">
        <v>0</v>
      </c>
      <c r="EL89" s="66">
        <v>0</v>
      </c>
      <c r="EM89" s="66">
        <v>0</v>
      </c>
      <c r="EN89" s="66">
        <v>0</v>
      </c>
      <c r="EO89" s="66">
        <v>0</v>
      </c>
      <c r="EP89" s="66">
        <v>0</v>
      </c>
      <c r="EQ89" s="66">
        <v>0</v>
      </c>
      <c r="ER89" s="66">
        <v>0</v>
      </c>
      <c r="ES89" s="66">
        <v>0</v>
      </c>
      <c r="EU89" s="66"/>
      <c r="EV89" s="66"/>
      <c r="EW89" s="66"/>
      <c r="EX89" s="66"/>
      <c r="EY89" s="66"/>
      <c r="EZ89" s="66"/>
      <c r="FA89" s="66"/>
      <c r="FB89" s="66"/>
      <c r="FC89" s="66"/>
      <c r="FD89" s="66"/>
      <c r="FE89" s="66"/>
      <c r="FF89" s="66"/>
      <c r="FG89" s="66">
        <v>0</v>
      </c>
      <c r="FH89" s="66">
        <v>0</v>
      </c>
      <c r="FI89" s="66">
        <v>1250</v>
      </c>
      <c r="FJ89" s="66">
        <v>0</v>
      </c>
      <c r="FK89" s="66">
        <v>0</v>
      </c>
      <c r="FL89" s="66">
        <v>0</v>
      </c>
      <c r="FM89" s="66">
        <v>0</v>
      </c>
      <c r="FN89" s="66">
        <v>0</v>
      </c>
      <c r="FO89" s="66">
        <v>0</v>
      </c>
      <c r="FP89" s="66">
        <v>0</v>
      </c>
      <c r="FQ89" s="66">
        <v>0</v>
      </c>
      <c r="FR89" s="66">
        <v>0</v>
      </c>
      <c r="FS89" s="66"/>
      <c r="FT89" s="66"/>
      <c r="FU89" s="66"/>
      <c r="FV89" s="66"/>
      <c r="FW89" s="66"/>
      <c r="FX89" s="66"/>
      <c r="FY89" s="66"/>
      <c r="FZ89" s="66"/>
      <c r="GA89" s="66"/>
      <c r="GB89" s="66"/>
      <c r="GC89" s="66"/>
      <c r="GD89" s="66"/>
      <c r="GE89" s="66">
        <v>0</v>
      </c>
      <c r="GF89" s="66">
        <v>0</v>
      </c>
      <c r="GG89" s="66">
        <v>0</v>
      </c>
      <c r="GH89" s="66">
        <v>0</v>
      </c>
      <c r="GI89" s="66">
        <v>0</v>
      </c>
      <c r="GJ89" s="66">
        <v>0</v>
      </c>
      <c r="GK89" s="66">
        <v>0</v>
      </c>
      <c r="GL89" s="66">
        <v>0</v>
      </c>
      <c r="GM89" s="66">
        <v>0</v>
      </c>
      <c r="GN89" s="66">
        <v>0</v>
      </c>
      <c r="GO89" s="66">
        <v>0</v>
      </c>
      <c r="GP89" s="66">
        <v>0</v>
      </c>
      <c r="GQ89" s="66">
        <v>0</v>
      </c>
      <c r="GR89" s="66">
        <v>0</v>
      </c>
      <c r="GS89" s="66">
        <v>0</v>
      </c>
      <c r="GT89" s="66">
        <v>0</v>
      </c>
      <c r="GU89" s="66">
        <v>0</v>
      </c>
      <c r="GV89" s="66">
        <v>0</v>
      </c>
      <c r="GW89" s="66">
        <v>0</v>
      </c>
      <c r="GX89" s="66">
        <v>0</v>
      </c>
      <c r="GY89" s="66">
        <v>0</v>
      </c>
      <c r="GZ89" s="66">
        <v>0</v>
      </c>
      <c r="HA89" s="66">
        <v>0</v>
      </c>
      <c r="HB89" s="66">
        <v>0</v>
      </c>
      <c r="HD89" s="66">
        <f t="shared" si="469"/>
        <v>0</v>
      </c>
      <c r="HE89" s="66">
        <f t="shared" si="469"/>
        <v>0</v>
      </c>
      <c r="HF89" s="66">
        <f t="shared" si="469"/>
        <v>0</v>
      </c>
      <c r="HG89" s="66">
        <f t="shared" si="469"/>
        <v>3356</v>
      </c>
      <c r="HH89" s="66">
        <f t="shared" si="470"/>
        <v>0.56655100000000003</v>
      </c>
      <c r="HI89" s="66">
        <f t="shared" si="471"/>
        <v>0</v>
      </c>
      <c r="HJ89" s="66">
        <f t="shared" si="472"/>
        <v>0</v>
      </c>
      <c r="HK89" s="66">
        <f t="shared" si="473"/>
        <v>0</v>
      </c>
      <c r="HL89" s="873">
        <f>+SUMIF($E$6:SEW$6,HL$7,$E89:SEW89)</f>
        <v>0</v>
      </c>
      <c r="HM89" s="873">
        <f>+SUMIF($E$6:SEX$6,HM$7,$E89:SEX89)</f>
        <v>0</v>
      </c>
      <c r="HN89" s="873">
        <f>+SUMIF($E$6:SEY$6,HN$7,$E89:SEY89)</f>
        <v>0</v>
      </c>
      <c r="HO89" s="66"/>
      <c r="HP89" s="66"/>
      <c r="HR89" s="922" t="str">
        <f t="shared" si="474"/>
        <v/>
      </c>
      <c r="HS89" s="922" t="str">
        <f t="shared" si="475"/>
        <v/>
      </c>
      <c r="HT89" s="922">
        <f t="shared" si="476"/>
        <v>-0.99983118265792614</v>
      </c>
      <c r="HU89" s="922">
        <f t="shared" si="477"/>
        <v>-1</v>
      </c>
      <c r="HV89" s="922" t="str">
        <f t="shared" si="478"/>
        <v/>
      </c>
      <c r="HW89" s="922" t="str">
        <f t="shared" si="479"/>
        <v/>
      </c>
      <c r="HX89" s="922" t="str">
        <f t="shared" si="480"/>
        <v/>
      </c>
      <c r="HY89" s="922" t="str">
        <f t="shared" si="480"/>
        <v/>
      </c>
      <c r="HZ89" s="922" t="str">
        <f t="shared" si="480"/>
        <v/>
      </c>
      <c r="IA89" s="922" t="str">
        <f t="shared" si="481"/>
        <v/>
      </c>
      <c r="IB89" s="922" t="str">
        <f t="shared" si="482"/>
        <v/>
      </c>
      <c r="IC89" s="922" t="str">
        <f t="shared" si="483"/>
        <v/>
      </c>
      <c r="IE89" s="66">
        <f t="shared" si="484"/>
        <v>0</v>
      </c>
      <c r="IF89" s="66">
        <f t="shared" si="485"/>
        <v>3356</v>
      </c>
      <c r="IG89" s="66">
        <f t="shared" si="486"/>
        <v>-3355.4334490000001</v>
      </c>
      <c r="IH89" s="66">
        <f t="shared" si="487"/>
        <v>-0.56655100000000003</v>
      </c>
      <c r="II89" s="66">
        <f t="shared" si="488"/>
        <v>0</v>
      </c>
      <c r="IJ89" s="66">
        <f t="shared" si="489"/>
        <v>0</v>
      </c>
      <c r="IK89" s="66">
        <f t="shared" si="490"/>
        <v>0</v>
      </c>
      <c r="IL89" s="66">
        <f t="shared" si="491"/>
        <v>0</v>
      </c>
      <c r="IM89" s="66">
        <f t="shared" si="492"/>
        <v>0</v>
      </c>
      <c r="IN89" s="66">
        <f t="shared" si="493"/>
        <v>0</v>
      </c>
      <c r="IP89" s="50">
        <f t="shared" si="494"/>
        <v>0</v>
      </c>
      <c r="IQ89" s="50">
        <f t="shared" si="495"/>
        <v>0</v>
      </c>
      <c r="IR89" s="50">
        <f t="shared" si="496"/>
        <v>0.19913624657982867</v>
      </c>
      <c r="IS89" s="50">
        <f t="shared" si="497"/>
        <v>9.2091763986174762E-5</v>
      </c>
      <c r="IT89" s="50">
        <f t="shared" si="498"/>
        <v>0</v>
      </c>
      <c r="IU89" s="50">
        <f t="shared" si="499"/>
        <v>0</v>
      </c>
      <c r="IV89" s="50">
        <f t="shared" si="500"/>
        <v>0</v>
      </c>
      <c r="IW89" s="50">
        <f t="shared" si="501"/>
        <v>0</v>
      </c>
      <c r="IX89" s="50" t="e">
        <f t="shared" si="502"/>
        <v>#DIV/0!</v>
      </c>
      <c r="IY89" s="50" t="e">
        <f t="shared" si="503"/>
        <v>#DIV/0!</v>
      </c>
      <c r="JA89" s="66">
        <f t="shared" si="457"/>
        <v>0</v>
      </c>
      <c r="JB89" s="66">
        <f t="shared" si="457"/>
        <v>0</v>
      </c>
      <c r="JC89" s="66">
        <f t="shared" si="457"/>
        <v>0</v>
      </c>
      <c r="JD89" s="66">
        <f t="shared" si="457"/>
        <v>3356</v>
      </c>
      <c r="JE89" s="66">
        <f t="shared" si="457"/>
        <v>0.56655100000000003</v>
      </c>
      <c r="JF89" s="66">
        <f t="shared" si="457"/>
        <v>0</v>
      </c>
      <c r="JG89" s="66">
        <f t="shared" si="457"/>
        <v>0</v>
      </c>
      <c r="JH89" s="66">
        <f t="shared" si="457"/>
        <v>0</v>
      </c>
      <c r="JI89" s="66">
        <f t="shared" si="457"/>
        <v>0</v>
      </c>
      <c r="JJ89" s="66">
        <f t="shared" si="457"/>
        <v>0</v>
      </c>
      <c r="JK89" s="66">
        <f t="shared" si="457"/>
        <v>0</v>
      </c>
      <c r="JL89" s="66">
        <f t="shared" si="458"/>
        <v>0</v>
      </c>
      <c r="JM89" s="66"/>
      <c r="JN89" s="66"/>
      <c r="JO89" s="1184"/>
      <c r="JP89" s="66">
        <f t="shared" si="504"/>
        <v>0</v>
      </c>
      <c r="JQ89" s="66">
        <f t="shared" si="505"/>
        <v>0</v>
      </c>
      <c r="JR89" s="88"/>
      <c r="JS89" s="922" t="str">
        <f t="shared" si="506"/>
        <v/>
      </c>
      <c r="JT89" s="964">
        <f t="shared" si="507"/>
        <v>0</v>
      </c>
      <c r="JV89" s="50">
        <f t="shared" si="508"/>
        <v>0</v>
      </c>
      <c r="JW89" s="922" t="str">
        <f t="shared" si="509"/>
        <v/>
      </c>
      <c r="JY89" s="922" t="str">
        <f t="shared" si="510"/>
        <v/>
      </c>
      <c r="JZ89" s="922" t="str">
        <f t="shared" si="511"/>
        <v/>
      </c>
      <c r="KA89" s="922">
        <f t="shared" si="512"/>
        <v>-0.99983118265792614</v>
      </c>
      <c r="KB89" s="922">
        <f t="shared" si="513"/>
        <v>-1</v>
      </c>
      <c r="KC89" s="922" t="str">
        <f t="shared" si="514"/>
        <v/>
      </c>
      <c r="KD89" s="922" t="str">
        <f t="shared" si="515"/>
        <v/>
      </c>
      <c r="KE89" s="922" t="str">
        <f t="shared" si="516"/>
        <v/>
      </c>
      <c r="KF89" s="922" t="str">
        <f t="shared" si="517"/>
        <v/>
      </c>
      <c r="KH89" s="66">
        <f t="shared" si="518"/>
        <v>0</v>
      </c>
      <c r="KI89" s="66">
        <f t="shared" si="519"/>
        <v>3356</v>
      </c>
      <c r="KJ89" s="66">
        <f t="shared" si="520"/>
        <v>-3355.4334490000001</v>
      </c>
      <c r="KK89" s="66">
        <f t="shared" si="521"/>
        <v>-0.56655100000000003</v>
      </c>
      <c r="KL89" s="66">
        <f t="shared" si="522"/>
        <v>0</v>
      </c>
      <c r="KM89" s="66">
        <f t="shared" si="523"/>
        <v>0</v>
      </c>
      <c r="KN89" s="66">
        <f t="shared" si="524"/>
        <v>0</v>
      </c>
      <c r="KO89" s="66">
        <f t="shared" si="525"/>
        <v>0</v>
      </c>
      <c r="KQ89" s="50">
        <f t="shared" si="526"/>
        <v>0</v>
      </c>
      <c r="KR89" s="50">
        <f t="shared" si="527"/>
        <v>0</v>
      </c>
      <c r="KS89" s="50">
        <f t="shared" si="528"/>
        <v>0</v>
      </c>
      <c r="KT89" s="50">
        <f t="shared" si="529"/>
        <v>0.19913624657982867</v>
      </c>
      <c r="KU89" s="50">
        <f t="shared" si="530"/>
        <v>9.2091763986174762E-5</v>
      </c>
      <c r="KV89" s="50">
        <f t="shared" si="531"/>
        <v>0</v>
      </c>
      <c r="KW89" s="50">
        <f t="shared" si="532"/>
        <v>0</v>
      </c>
      <c r="KX89" s="50">
        <f t="shared" si="533"/>
        <v>0</v>
      </c>
      <c r="KY89" s="50">
        <f t="shared" si="534"/>
        <v>0</v>
      </c>
      <c r="KZ89" s="50" t="e">
        <f t="shared" si="535"/>
        <v>#DIV/0!</v>
      </c>
      <c r="LB89" s="66">
        <f t="shared" si="462"/>
        <v>0</v>
      </c>
      <c r="LC89" s="66">
        <f t="shared" si="462"/>
        <v>0</v>
      </c>
      <c r="LD89" s="66">
        <f t="shared" si="462"/>
        <v>0</v>
      </c>
      <c r="LE89" s="66">
        <f t="shared" si="462"/>
        <v>0</v>
      </c>
      <c r="LF89" s="66">
        <f t="shared" si="462"/>
        <v>-1.193449</v>
      </c>
      <c r="LG89" s="66">
        <f t="shared" si="462"/>
        <v>0</v>
      </c>
      <c r="LH89" s="66">
        <f t="shared" si="462"/>
        <v>0</v>
      </c>
      <c r="LI89" s="66">
        <f t="shared" si="462"/>
        <v>0</v>
      </c>
      <c r="LJ89" s="66">
        <f t="shared" si="462"/>
        <v>0</v>
      </c>
      <c r="LK89" s="66">
        <f t="shared" si="462"/>
        <v>0</v>
      </c>
      <c r="LL89" s="66">
        <f t="shared" si="462"/>
        <v>0</v>
      </c>
      <c r="LM89" s="66">
        <f t="shared" si="462"/>
        <v>0</v>
      </c>
      <c r="LN89" s="66"/>
      <c r="LO89" s="66"/>
      <c r="LR89" s="50" t="str">
        <f t="shared" si="536"/>
        <v xml:space="preserve"> </v>
      </c>
      <c r="LS89" s="50" t="str">
        <f t="shared" si="537"/>
        <v xml:space="preserve"> </v>
      </c>
      <c r="LT89" s="50" t="str">
        <f t="shared" si="538"/>
        <v xml:space="preserve"> </v>
      </c>
      <c r="LU89" s="50">
        <f t="shared" si="539"/>
        <v>-1</v>
      </c>
      <c r="LV89" s="50" t="str">
        <f t="shared" si="540"/>
        <v xml:space="preserve"> </v>
      </c>
      <c r="LW89" s="50" t="str">
        <f t="shared" si="541"/>
        <v xml:space="preserve"> </v>
      </c>
      <c r="LX89" s="50" t="str">
        <f t="shared" si="542"/>
        <v xml:space="preserve"> </v>
      </c>
      <c r="LZ89" s="66">
        <f t="shared" si="543"/>
        <v>0</v>
      </c>
      <c r="MA89" s="66">
        <f t="shared" si="544"/>
        <v>0</v>
      </c>
      <c r="MB89" s="66">
        <f t="shared" si="545"/>
        <v>-1.193449</v>
      </c>
      <c r="MC89" s="66">
        <f t="shared" si="546"/>
        <v>1.193449</v>
      </c>
      <c r="MD89" s="66">
        <f t="shared" si="547"/>
        <v>0</v>
      </c>
      <c r="ME89" s="66">
        <f t="shared" si="548"/>
        <v>0</v>
      </c>
      <c r="MF89" s="66">
        <f t="shared" si="549"/>
        <v>0</v>
      </c>
      <c r="MH89" s="50">
        <f t="shared" si="550"/>
        <v>0</v>
      </c>
      <c r="MI89" s="50">
        <f t="shared" si="551"/>
        <v>0</v>
      </c>
      <c r="MJ89" s="50">
        <f t="shared" si="552"/>
        <v>0</v>
      </c>
      <c r="MK89" s="50">
        <f t="shared" si="553"/>
        <v>0</v>
      </c>
      <c r="ML89" s="50">
        <f t="shared" si="554"/>
        <v>-7.9222118425628478E-4</v>
      </c>
      <c r="MM89" s="50">
        <f t="shared" si="555"/>
        <v>0</v>
      </c>
      <c r="MN89" s="50">
        <f t="shared" si="556"/>
        <v>0</v>
      </c>
      <c r="MO89" s="50">
        <f t="shared" si="557"/>
        <v>0</v>
      </c>
      <c r="MP89" s="50" t="e">
        <f t="shared" si="558"/>
        <v>#DIV/0!</v>
      </c>
    </row>
    <row r="90" spans="1:354" outlineLevel="2">
      <c r="A90" s="884">
        <v>4255</v>
      </c>
      <c r="B90" s="70" t="s">
        <v>217</v>
      </c>
      <c r="C90" s="965" t="s">
        <v>669</v>
      </c>
      <c r="D90" s="307"/>
      <c r="E90" s="931">
        <v>0</v>
      </c>
      <c r="F90" s="931">
        <v>0</v>
      </c>
      <c r="G90" s="931">
        <v>0</v>
      </c>
      <c r="H90" s="931">
        <v>0</v>
      </c>
      <c r="I90" s="931">
        <v>0</v>
      </c>
      <c r="J90" s="931">
        <v>0</v>
      </c>
      <c r="K90" s="931">
        <v>0</v>
      </c>
      <c r="L90" s="931">
        <v>0</v>
      </c>
      <c r="M90" s="931">
        <v>0</v>
      </c>
      <c r="N90" s="931">
        <v>0</v>
      </c>
      <c r="O90" s="931">
        <v>0</v>
      </c>
      <c r="P90" s="931">
        <v>0</v>
      </c>
      <c r="Q90" s="931">
        <v>0</v>
      </c>
      <c r="R90" s="931">
        <v>0</v>
      </c>
      <c r="S90" s="931">
        <v>0</v>
      </c>
      <c r="T90" s="931">
        <v>0</v>
      </c>
      <c r="U90" s="931">
        <v>0</v>
      </c>
      <c r="V90" s="931">
        <v>0</v>
      </c>
      <c r="W90" s="931">
        <v>0</v>
      </c>
      <c r="X90" s="931">
        <v>0</v>
      </c>
      <c r="Y90" s="931">
        <v>0</v>
      </c>
      <c r="Z90" s="931">
        <v>0</v>
      </c>
      <c r="AA90" s="931">
        <v>0</v>
      </c>
      <c r="AB90" s="931">
        <v>0</v>
      </c>
      <c r="AC90" s="931">
        <v>1.0000000000000001E-5</v>
      </c>
      <c r="AD90" s="931">
        <v>0</v>
      </c>
      <c r="AE90" s="931">
        <v>0</v>
      </c>
      <c r="AF90" s="931">
        <v>0</v>
      </c>
      <c r="AG90" s="931">
        <v>0</v>
      </c>
      <c r="AH90" s="931">
        <v>0</v>
      </c>
      <c r="AI90" s="931">
        <v>0</v>
      </c>
      <c r="AJ90" s="931">
        <v>0</v>
      </c>
      <c r="AK90" s="931">
        <v>0</v>
      </c>
      <c r="AL90" s="931">
        <v>0</v>
      </c>
      <c r="AM90" s="931">
        <v>0</v>
      </c>
      <c r="AN90" s="931">
        <v>-1.0000000000000001E-5</v>
      </c>
      <c r="AO90" s="931">
        <v>0</v>
      </c>
      <c r="AP90" s="932">
        <v>0</v>
      </c>
      <c r="AQ90" s="936">
        <v>0</v>
      </c>
      <c r="AR90" s="936">
        <v>0</v>
      </c>
      <c r="AS90" s="931">
        <v>0</v>
      </c>
      <c r="AT90" s="931">
        <v>0</v>
      </c>
      <c r="AU90" s="931">
        <v>0</v>
      </c>
      <c r="AV90" s="931">
        <v>0</v>
      </c>
      <c r="AW90" s="931">
        <v>0</v>
      </c>
      <c r="AX90" s="931">
        <v>0</v>
      </c>
      <c r="AY90" s="931">
        <v>0.14483182999999999</v>
      </c>
      <c r="AZ90" s="931">
        <v>0</v>
      </c>
      <c r="BA90" s="931">
        <v>0</v>
      </c>
      <c r="BB90" s="931">
        <v>0</v>
      </c>
      <c r="BC90" s="931">
        <v>0</v>
      </c>
      <c r="BD90" s="931">
        <v>0</v>
      </c>
      <c r="BE90" s="931">
        <v>0</v>
      </c>
      <c r="BF90" s="931">
        <v>0</v>
      </c>
      <c r="BG90" s="931">
        <v>0</v>
      </c>
      <c r="BH90" s="931">
        <v>0</v>
      </c>
      <c r="BI90" s="931">
        <v>0</v>
      </c>
      <c r="BJ90" s="931">
        <v>0</v>
      </c>
      <c r="BK90" s="931">
        <v>0</v>
      </c>
      <c r="BL90" s="931">
        <v>0</v>
      </c>
      <c r="BM90" s="102">
        <v>0</v>
      </c>
      <c r="BN90" s="931">
        <v>0</v>
      </c>
      <c r="BO90" s="931">
        <v>0</v>
      </c>
      <c r="BP90" s="931">
        <v>0</v>
      </c>
      <c r="BQ90" s="931">
        <v>0</v>
      </c>
      <c r="BR90" s="931">
        <v>0</v>
      </c>
      <c r="BS90" s="931">
        <v>0</v>
      </c>
      <c r="BT90" s="931">
        <v>0</v>
      </c>
      <c r="BU90" s="931">
        <v>0</v>
      </c>
      <c r="BV90" s="931">
        <v>0</v>
      </c>
      <c r="BW90" s="931">
        <v>0</v>
      </c>
      <c r="BX90" s="931">
        <v>0</v>
      </c>
      <c r="BY90" s="931">
        <v>0</v>
      </c>
      <c r="BZ90" s="931">
        <v>0</v>
      </c>
      <c r="CA90" s="931">
        <v>0</v>
      </c>
      <c r="CB90" s="931">
        <v>0</v>
      </c>
      <c r="CC90" s="931">
        <v>0</v>
      </c>
      <c r="CD90" s="931">
        <v>0</v>
      </c>
      <c r="CE90" s="931">
        <v>0</v>
      </c>
      <c r="CF90" s="931">
        <v>0</v>
      </c>
      <c r="CG90" s="931">
        <v>0</v>
      </c>
      <c r="CH90" s="931">
        <v>0</v>
      </c>
      <c r="CI90" s="931">
        <v>0</v>
      </c>
      <c r="CJ90" s="931">
        <v>0</v>
      </c>
      <c r="CK90" s="931">
        <v>0</v>
      </c>
      <c r="CL90" s="931">
        <v>0</v>
      </c>
      <c r="CM90" s="931">
        <v>0</v>
      </c>
      <c r="CN90" s="931">
        <v>0</v>
      </c>
      <c r="CO90" s="931">
        <v>0</v>
      </c>
      <c r="CP90" s="931">
        <v>0</v>
      </c>
      <c r="CQ90" s="931">
        <v>0</v>
      </c>
      <c r="CR90" s="931">
        <v>0</v>
      </c>
      <c r="CS90" s="931">
        <v>0</v>
      </c>
      <c r="CT90" s="931">
        <v>0</v>
      </c>
      <c r="CU90" s="931">
        <v>4.3802760000000003</v>
      </c>
      <c r="CV90" s="931">
        <v>0</v>
      </c>
      <c r="CW90" s="931">
        <v>0</v>
      </c>
      <c r="CX90" s="931">
        <v>0</v>
      </c>
      <c r="CY90" s="931">
        <v>0</v>
      </c>
      <c r="CZ90" s="931">
        <v>0</v>
      </c>
      <c r="DA90" s="931">
        <v>0</v>
      </c>
      <c r="DB90" s="931">
        <v>3.472197</v>
      </c>
      <c r="DC90" s="931">
        <v>0</v>
      </c>
      <c r="DD90" s="931">
        <v>0</v>
      </c>
      <c r="DE90" s="931">
        <v>0</v>
      </c>
      <c r="DF90" s="931">
        <v>0</v>
      </c>
      <c r="DG90" s="931">
        <v>0</v>
      </c>
      <c r="DH90" s="931">
        <v>0</v>
      </c>
      <c r="DI90" s="931">
        <v>0</v>
      </c>
      <c r="DJ90" s="931">
        <v>4.3221970000000001</v>
      </c>
      <c r="DK90" s="931">
        <v>0</v>
      </c>
      <c r="DL90" s="931">
        <v>0</v>
      </c>
      <c r="DM90" s="931">
        <v>0</v>
      </c>
      <c r="DN90" s="931">
        <v>0</v>
      </c>
      <c r="DO90" s="931">
        <v>0</v>
      </c>
      <c r="DP90" s="931">
        <v>0</v>
      </c>
      <c r="DQ90" s="941">
        <v>0</v>
      </c>
      <c r="DR90" s="941">
        <v>0</v>
      </c>
      <c r="DS90" s="941">
        <v>5.1505010000000002</v>
      </c>
      <c r="DT90" s="941">
        <v>0</v>
      </c>
      <c r="DU90" s="941">
        <v>0</v>
      </c>
      <c r="DV90" s="941">
        <v>0</v>
      </c>
      <c r="DW90" s="941">
        <v>0</v>
      </c>
      <c r="DX90" s="941">
        <v>0</v>
      </c>
      <c r="DY90" s="941">
        <v>0</v>
      </c>
      <c r="DZ90" s="941">
        <v>0</v>
      </c>
      <c r="EA90" s="941">
        <v>0</v>
      </c>
      <c r="EB90" s="941">
        <v>0</v>
      </c>
      <c r="EC90" s="941">
        <v>0</v>
      </c>
      <c r="ED90" s="941">
        <v>0</v>
      </c>
      <c r="EE90" s="941">
        <v>0</v>
      </c>
      <c r="EF90" s="941">
        <v>0</v>
      </c>
      <c r="EH90" s="931">
        <v>1.26964E-3</v>
      </c>
      <c r="EI90" s="931">
        <v>6.6583999999999992E-3</v>
      </c>
      <c r="EJ90" s="931">
        <v>9.9821000000000003E-4</v>
      </c>
      <c r="EK90" s="931">
        <v>8.1086999999999999E-3</v>
      </c>
      <c r="EL90" s="931">
        <v>9.9982000000000001E-4</v>
      </c>
      <c r="EM90" s="931">
        <v>22.076223850000002</v>
      </c>
      <c r="EN90" s="931">
        <v>0</v>
      </c>
      <c r="EO90" s="931">
        <v>0</v>
      </c>
      <c r="EP90" s="931">
        <v>0</v>
      </c>
      <c r="EQ90" s="931">
        <v>0</v>
      </c>
      <c r="ER90" s="931">
        <v>0</v>
      </c>
      <c r="ES90" s="931">
        <v>0</v>
      </c>
      <c r="EU90" s="931"/>
      <c r="EV90" s="931"/>
      <c r="EW90" s="931"/>
      <c r="EX90" s="931"/>
      <c r="EY90" s="931"/>
      <c r="EZ90" s="931"/>
      <c r="FA90" s="931"/>
      <c r="FB90" s="931"/>
      <c r="FC90" s="931"/>
      <c r="FD90" s="931"/>
      <c r="FE90" s="931"/>
      <c r="FF90" s="931"/>
      <c r="FG90" s="931">
        <v>0</v>
      </c>
      <c r="FH90" s="931">
        <v>0</v>
      </c>
      <c r="FI90" s="931">
        <v>0</v>
      </c>
      <c r="FJ90" s="931">
        <v>0</v>
      </c>
      <c r="FK90" s="931">
        <v>0</v>
      </c>
      <c r="FL90" s="931">
        <v>0</v>
      </c>
      <c r="FM90" s="931">
        <v>0</v>
      </c>
      <c r="FN90" s="931">
        <v>0</v>
      </c>
      <c r="FO90" s="931">
        <v>0</v>
      </c>
      <c r="FP90" s="931">
        <v>0</v>
      </c>
      <c r="FQ90" s="931">
        <v>0</v>
      </c>
      <c r="FR90" s="931">
        <v>0</v>
      </c>
      <c r="FS90" s="931"/>
      <c r="FT90" s="931"/>
      <c r="FU90" s="931"/>
      <c r="FV90" s="931"/>
      <c r="FW90" s="931"/>
      <c r="FX90" s="931"/>
      <c r="FY90" s="931"/>
      <c r="FZ90" s="931"/>
      <c r="GA90" s="931"/>
      <c r="GB90" s="931"/>
      <c r="GC90" s="931"/>
      <c r="GD90" s="931"/>
      <c r="GE90" s="931">
        <v>0</v>
      </c>
      <c r="GF90" s="931">
        <v>0</v>
      </c>
      <c r="GG90" s="931">
        <v>0</v>
      </c>
      <c r="GH90" s="931">
        <v>0</v>
      </c>
      <c r="GI90" s="931">
        <v>0</v>
      </c>
      <c r="GJ90" s="931">
        <v>0</v>
      </c>
      <c r="GK90" s="931">
        <v>0</v>
      </c>
      <c r="GL90" s="931">
        <v>0</v>
      </c>
      <c r="GM90" s="931">
        <v>0</v>
      </c>
      <c r="GN90" s="931">
        <v>0</v>
      </c>
      <c r="GO90" s="931">
        <v>0</v>
      </c>
      <c r="GP90" s="931">
        <v>0</v>
      </c>
      <c r="GQ90" s="931">
        <v>0</v>
      </c>
      <c r="GR90" s="931">
        <v>0</v>
      </c>
      <c r="GS90" s="931">
        <v>0</v>
      </c>
      <c r="GT90" s="931">
        <v>0</v>
      </c>
      <c r="GU90" s="931">
        <v>0</v>
      </c>
      <c r="GV90" s="931">
        <v>0</v>
      </c>
      <c r="GW90" s="931">
        <v>0</v>
      </c>
      <c r="GX90" s="931">
        <v>0</v>
      </c>
      <c r="GY90" s="931">
        <v>0</v>
      </c>
      <c r="GZ90" s="931">
        <v>0</v>
      </c>
      <c r="HA90" s="931">
        <v>0</v>
      </c>
      <c r="HB90" s="931">
        <v>0</v>
      </c>
      <c r="HD90" s="931">
        <f t="shared" si="469"/>
        <v>0</v>
      </c>
      <c r="HE90" s="931">
        <f t="shared" si="469"/>
        <v>0</v>
      </c>
      <c r="HF90" s="931">
        <f t="shared" si="469"/>
        <v>0</v>
      </c>
      <c r="HG90" s="931">
        <f t="shared" si="469"/>
        <v>0.14483182999999999</v>
      </c>
      <c r="HH90" s="931">
        <f t="shared" si="470"/>
        <v>0</v>
      </c>
      <c r="HI90" s="931">
        <f t="shared" si="471"/>
        <v>0</v>
      </c>
      <c r="HJ90" s="931">
        <f t="shared" si="472"/>
        <v>0</v>
      </c>
      <c r="HK90" s="931">
        <f t="shared" si="473"/>
        <v>4.3802760000000003</v>
      </c>
      <c r="HL90" s="941">
        <f>+SUMIF($E$6:SEW$6,HL$7,$E90:SEW90)</f>
        <v>3.472197</v>
      </c>
      <c r="HM90" s="941">
        <f>+SUMIF($E$6:SEX$6,HM$7,$E90:SEX90)</f>
        <v>9.4726980000000012</v>
      </c>
      <c r="HN90" s="941">
        <f>+SUMIF($E$6:SEY$6,HN$7,$E90:SEY90)</f>
        <v>0</v>
      </c>
      <c r="HO90" s="931"/>
      <c r="HP90" s="931"/>
      <c r="HR90" s="966" t="str">
        <f t="shared" si="474"/>
        <v/>
      </c>
      <c r="HS90" s="966" t="str">
        <f t="shared" si="475"/>
        <v/>
      </c>
      <c r="HT90" s="966">
        <f t="shared" si="476"/>
        <v>-1</v>
      </c>
      <c r="HU90" s="966" t="str">
        <f t="shared" si="477"/>
        <v/>
      </c>
      <c r="HV90" s="966" t="str">
        <f t="shared" si="478"/>
        <v/>
      </c>
      <c r="HW90" s="966" t="str">
        <f t="shared" si="479"/>
        <v/>
      </c>
      <c r="HX90" s="966">
        <f t="shared" si="480"/>
        <v>-0.20731090917558626</v>
      </c>
      <c r="HY90" s="966">
        <f t="shared" si="480"/>
        <v>1.728156841331296</v>
      </c>
      <c r="HZ90" s="966">
        <f t="shared" si="480"/>
        <v>-1</v>
      </c>
      <c r="IA90" s="966">
        <f t="shared" si="481"/>
        <v>-1</v>
      </c>
      <c r="IB90" s="934" t="str">
        <f t="shared" si="482"/>
        <v/>
      </c>
      <c r="IC90" s="934">
        <f t="shared" si="483"/>
        <v>-1</v>
      </c>
      <c r="IE90" s="931">
        <f t="shared" si="484"/>
        <v>0</v>
      </c>
      <c r="IF90" s="931">
        <f t="shared" si="485"/>
        <v>0.14483182999999999</v>
      </c>
      <c r="IG90" s="931">
        <f t="shared" si="486"/>
        <v>-0.14483182999999999</v>
      </c>
      <c r="IH90" s="931">
        <f t="shared" si="487"/>
        <v>0</v>
      </c>
      <c r="II90" s="931">
        <f t="shared" si="488"/>
        <v>0</v>
      </c>
      <c r="IJ90" s="931">
        <f t="shared" si="489"/>
        <v>4.3802760000000003</v>
      </c>
      <c r="IK90" s="931">
        <f t="shared" si="490"/>
        <v>-0.9080790000000003</v>
      </c>
      <c r="IL90" s="931">
        <f t="shared" si="491"/>
        <v>-3.472197</v>
      </c>
      <c r="IM90" s="931">
        <f t="shared" si="492"/>
        <v>0</v>
      </c>
      <c r="IN90" s="931">
        <f t="shared" si="493"/>
        <v>-3.472197</v>
      </c>
      <c r="IP90" s="230">
        <f t="shared" si="494"/>
        <v>0</v>
      </c>
      <c r="IQ90" s="230">
        <f t="shared" si="495"/>
        <v>0</v>
      </c>
      <c r="IR90" s="230">
        <f t="shared" si="496"/>
        <v>8.5939413025887456E-6</v>
      </c>
      <c r="IS90" s="230">
        <f t="shared" si="497"/>
        <v>0</v>
      </c>
      <c r="IT90" s="230">
        <f t="shared" si="498"/>
        <v>0</v>
      </c>
      <c r="IU90" s="230">
        <f t="shared" si="499"/>
        <v>0</v>
      </c>
      <c r="IV90" s="230">
        <f t="shared" si="500"/>
        <v>2.0633113129158996E-4</v>
      </c>
      <c r="IW90" s="230">
        <f t="shared" si="501"/>
        <v>2.7513692767011373E-4</v>
      </c>
      <c r="IX90" s="230" t="e">
        <f t="shared" si="502"/>
        <v>#DIV/0!</v>
      </c>
      <c r="IY90" s="230" t="e">
        <f t="shared" si="503"/>
        <v>#DIV/0!</v>
      </c>
      <c r="JA90" s="931">
        <f t="shared" si="457"/>
        <v>0</v>
      </c>
      <c r="JB90" s="931">
        <f t="shared" si="457"/>
        <v>0</v>
      </c>
      <c r="JC90" s="931">
        <f t="shared" si="457"/>
        <v>0</v>
      </c>
      <c r="JD90" s="931">
        <f t="shared" si="457"/>
        <v>0.14483182999999999</v>
      </c>
      <c r="JE90" s="931">
        <f t="shared" si="457"/>
        <v>0</v>
      </c>
      <c r="JF90" s="931">
        <f t="shared" si="457"/>
        <v>0</v>
      </c>
      <c r="JG90" s="931">
        <f t="shared" si="457"/>
        <v>0</v>
      </c>
      <c r="JH90" s="931">
        <f t="shared" si="457"/>
        <v>4.3802760000000003</v>
      </c>
      <c r="JI90" s="931">
        <f t="shared" si="457"/>
        <v>3.472197</v>
      </c>
      <c r="JJ90" s="931">
        <f t="shared" si="457"/>
        <v>9.4726980000000012</v>
      </c>
      <c r="JK90" s="931">
        <f t="shared" si="457"/>
        <v>0</v>
      </c>
      <c r="JL90" s="931">
        <f t="shared" si="458"/>
        <v>0</v>
      </c>
      <c r="JM90" s="931"/>
      <c r="JN90" s="931"/>
      <c r="JO90" s="1184"/>
      <c r="JP90" s="931">
        <f t="shared" si="504"/>
        <v>0</v>
      </c>
      <c r="JQ90" s="931">
        <f t="shared" si="505"/>
        <v>0</v>
      </c>
      <c r="JR90" s="145"/>
      <c r="JS90" s="934" t="str">
        <f t="shared" si="506"/>
        <v/>
      </c>
      <c r="JT90" s="935">
        <f t="shared" si="507"/>
        <v>0</v>
      </c>
      <c r="JV90" s="230">
        <f t="shared" si="508"/>
        <v>0</v>
      </c>
      <c r="JW90" s="934" t="str">
        <f t="shared" si="509"/>
        <v/>
      </c>
      <c r="JY90" s="934" t="str">
        <f t="shared" si="510"/>
        <v/>
      </c>
      <c r="JZ90" s="934" t="str">
        <f t="shared" si="511"/>
        <v/>
      </c>
      <c r="KA90" s="934">
        <f t="shared" si="512"/>
        <v>-1</v>
      </c>
      <c r="KB90" s="934" t="str">
        <f t="shared" si="513"/>
        <v/>
      </c>
      <c r="KC90" s="934" t="str">
        <f t="shared" si="514"/>
        <v/>
      </c>
      <c r="KD90" s="934" t="str">
        <f t="shared" si="515"/>
        <v/>
      </c>
      <c r="KE90" s="934">
        <f t="shared" si="516"/>
        <v>-0.20731090917558626</v>
      </c>
      <c r="KF90" s="934">
        <f t="shared" si="517"/>
        <v>-1</v>
      </c>
      <c r="KH90" s="931">
        <f t="shared" si="518"/>
        <v>0</v>
      </c>
      <c r="KI90" s="931">
        <f t="shared" si="519"/>
        <v>0.14483182999999999</v>
      </c>
      <c r="KJ90" s="931">
        <f t="shared" si="520"/>
        <v>-0.14483182999999999</v>
      </c>
      <c r="KK90" s="931">
        <f t="shared" si="521"/>
        <v>0</v>
      </c>
      <c r="KL90" s="931">
        <f t="shared" si="522"/>
        <v>0</v>
      </c>
      <c r="KM90" s="931">
        <f t="shared" si="523"/>
        <v>4.3802760000000003</v>
      </c>
      <c r="KN90" s="931">
        <f t="shared" si="524"/>
        <v>-0.9080790000000003</v>
      </c>
      <c r="KO90" s="931">
        <f t="shared" si="525"/>
        <v>-3.472197</v>
      </c>
      <c r="KQ90" s="230">
        <f t="shared" si="526"/>
        <v>0</v>
      </c>
      <c r="KR90" s="230">
        <f t="shared" si="527"/>
        <v>0</v>
      </c>
      <c r="KS90" s="230">
        <f t="shared" si="528"/>
        <v>0</v>
      </c>
      <c r="KT90" s="230">
        <f t="shared" si="529"/>
        <v>8.5939413025887456E-6</v>
      </c>
      <c r="KU90" s="230">
        <f t="shared" si="530"/>
        <v>0</v>
      </c>
      <c r="KV90" s="230">
        <f t="shared" si="531"/>
        <v>0</v>
      </c>
      <c r="KW90" s="230">
        <f t="shared" si="532"/>
        <v>0</v>
      </c>
      <c r="KX90" s="230">
        <f t="shared" si="533"/>
        <v>2.0633113129158996E-4</v>
      </c>
      <c r="KY90" s="230">
        <f t="shared" si="534"/>
        <v>2.7513692767011373E-4</v>
      </c>
      <c r="KZ90" s="230" t="e">
        <f t="shared" si="535"/>
        <v>#DIV/0!</v>
      </c>
      <c r="LB90" s="931">
        <f t="shared" si="462"/>
        <v>0</v>
      </c>
      <c r="LC90" s="931">
        <f t="shared" si="462"/>
        <v>0</v>
      </c>
      <c r="LD90" s="931">
        <f t="shared" si="462"/>
        <v>-1.0000000000000001E-5</v>
      </c>
      <c r="LE90" s="931">
        <f t="shared" si="462"/>
        <v>0</v>
      </c>
      <c r="LF90" s="931">
        <f t="shared" si="462"/>
        <v>0</v>
      </c>
      <c r="LG90" s="931">
        <f t="shared" si="462"/>
        <v>0</v>
      </c>
      <c r="LH90" s="931">
        <f t="shared" si="462"/>
        <v>0</v>
      </c>
      <c r="LI90" s="931">
        <f t="shared" si="462"/>
        <v>0</v>
      </c>
      <c r="LJ90" s="931">
        <f t="shared" si="462"/>
        <v>0</v>
      </c>
      <c r="LK90" s="931">
        <f t="shared" si="462"/>
        <v>0</v>
      </c>
      <c r="LL90" s="931">
        <f t="shared" si="462"/>
        <v>0</v>
      </c>
      <c r="LM90" s="931">
        <f t="shared" si="462"/>
        <v>0</v>
      </c>
      <c r="LN90" s="931"/>
      <c r="LO90" s="931"/>
      <c r="LR90" s="230" t="str">
        <f t="shared" si="536"/>
        <v xml:space="preserve"> </v>
      </c>
      <c r="LS90" s="230">
        <f t="shared" si="537"/>
        <v>-1</v>
      </c>
      <c r="LT90" s="230" t="str">
        <f t="shared" si="538"/>
        <v xml:space="preserve"> </v>
      </c>
      <c r="LU90" s="230" t="str">
        <f t="shared" si="539"/>
        <v xml:space="preserve"> </v>
      </c>
      <c r="LV90" s="230" t="str">
        <f t="shared" si="540"/>
        <v xml:space="preserve"> </v>
      </c>
      <c r="LW90" s="230" t="str">
        <f t="shared" si="541"/>
        <v xml:space="preserve"> </v>
      </c>
      <c r="LX90" s="230" t="str">
        <f t="shared" si="542"/>
        <v xml:space="preserve"> </v>
      </c>
      <c r="LZ90" s="931">
        <f t="shared" si="543"/>
        <v>-1.0000000000000001E-5</v>
      </c>
      <c r="MA90" s="931">
        <f t="shared" si="544"/>
        <v>1.0000000000000001E-5</v>
      </c>
      <c r="MB90" s="931">
        <f t="shared" si="545"/>
        <v>0</v>
      </c>
      <c r="MC90" s="931">
        <f t="shared" si="546"/>
        <v>0</v>
      </c>
      <c r="MD90" s="931">
        <f t="shared" si="547"/>
        <v>0</v>
      </c>
      <c r="ME90" s="931">
        <f t="shared" si="548"/>
        <v>0</v>
      </c>
      <c r="MF90" s="931">
        <f t="shared" si="549"/>
        <v>0</v>
      </c>
      <c r="MH90" s="230">
        <f t="shared" si="550"/>
        <v>0</v>
      </c>
      <c r="MI90" s="230">
        <f t="shared" si="551"/>
        <v>0</v>
      </c>
      <c r="MJ90" s="230">
        <f t="shared" si="552"/>
        <v>-1.9507827172862552E-9</v>
      </c>
      <c r="MK90" s="230">
        <f t="shared" si="553"/>
        <v>0</v>
      </c>
      <c r="ML90" s="230">
        <f t="shared" si="554"/>
        <v>0</v>
      </c>
      <c r="MM90" s="230">
        <f t="shared" si="555"/>
        <v>0</v>
      </c>
      <c r="MN90" s="230">
        <f t="shared" si="556"/>
        <v>0</v>
      </c>
      <c r="MO90" s="230">
        <f t="shared" si="557"/>
        <v>0</v>
      </c>
      <c r="MP90" s="230" t="e">
        <f t="shared" si="558"/>
        <v>#DIV/0!</v>
      </c>
    </row>
    <row r="91" spans="1:354" outlineLevel="1">
      <c r="A91" s="967"/>
      <c r="B91" s="70"/>
      <c r="D91" s="31"/>
      <c r="E91" s="66"/>
      <c r="F91" s="66"/>
      <c r="G91" s="66"/>
      <c r="H91" s="66"/>
      <c r="I91" s="66"/>
      <c r="J91" s="66"/>
      <c r="K91" s="66"/>
      <c r="L91" s="66"/>
      <c r="M91" s="66"/>
      <c r="N91" s="66"/>
      <c r="O91" s="66"/>
      <c r="P91" s="66"/>
      <c r="Q91" s="102"/>
      <c r="R91" s="66"/>
      <c r="S91" s="66"/>
      <c r="T91" s="66"/>
      <c r="U91" s="66"/>
      <c r="V91" s="66"/>
      <c r="W91" s="66"/>
      <c r="X91" s="66"/>
      <c r="Y91" s="66"/>
      <c r="Z91" s="66"/>
      <c r="AA91" s="66"/>
      <c r="AB91" s="66"/>
      <c r="AC91" s="102"/>
      <c r="AD91" s="66"/>
      <c r="AE91" s="66"/>
      <c r="AF91" s="66"/>
      <c r="AG91" s="66"/>
      <c r="AH91" s="66"/>
      <c r="AI91" s="66"/>
      <c r="AJ91" s="66"/>
      <c r="AK91" s="66"/>
      <c r="AL91" s="66"/>
      <c r="AM91" s="66"/>
      <c r="AN91" s="66"/>
      <c r="AO91" s="66"/>
      <c r="AP91" s="88"/>
      <c r="AQ91" s="942"/>
      <c r="AR91" s="942"/>
      <c r="AS91" s="66"/>
      <c r="AT91" s="66"/>
      <c r="AU91" s="66"/>
      <c r="AV91" s="66"/>
      <c r="AW91" s="66"/>
      <c r="AX91" s="66"/>
      <c r="AY91" s="66"/>
      <c r="AZ91" s="66"/>
      <c r="BA91" s="66"/>
      <c r="BB91" s="66"/>
      <c r="BC91" s="66"/>
      <c r="BD91" s="66"/>
      <c r="BE91" s="66"/>
      <c r="BF91" s="66"/>
      <c r="BG91" s="66"/>
      <c r="BH91" s="66"/>
      <c r="BI91" s="66"/>
      <c r="BJ91" s="66"/>
      <c r="BK91" s="66"/>
      <c r="BL91" s="66"/>
      <c r="BM91" s="1539"/>
      <c r="BN91" s="1163"/>
      <c r="BO91" s="1163"/>
      <c r="BP91" s="1163"/>
      <c r="BQ91" s="1163"/>
      <c r="BR91" s="1163"/>
      <c r="BS91" s="1163"/>
      <c r="BT91" s="1163"/>
      <c r="BU91" s="1163"/>
      <c r="BV91" s="1163"/>
      <c r="BW91" s="1163"/>
      <c r="BX91" s="1163"/>
      <c r="BY91" s="1163"/>
      <c r="BZ91" s="1163"/>
      <c r="CA91" s="1163"/>
      <c r="CB91" s="1163"/>
      <c r="CC91" s="1163"/>
      <c r="CD91" s="1163"/>
      <c r="CE91" s="1163"/>
      <c r="CF91" s="1163"/>
      <c r="CG91" s="1163"/>
      <c r="CH91" s="1163"/>
      <c r="CI91" s="1163"/>
      <c r="CJ91" s="1163"/>
      <c r="CK91" s="1163"/>
      <c r="CL91" s="1163"/>
      <c r="CM91" s="1163"/>
      <c r="CN91" s="1163"/>
      <c r="CO91" s="1163"/>
      <c r="CP91" s="1163"/>
      <c r="CQ91" s="1163"/>
      <c r="CR91" s="1163"/>
      <c r="CS91" s="1163"/>
      <c r="CT91" s="1163"/>
      <c r="CU91" s="1163"/>
      <c r="CV91" s="1163"/>
      <c r="CW91" s="1163"/>
      <c r="CX91" s="1163"/>
      <c r="CY91" s="1163"/>
      <c r="CZ91" s="1163"/>
      <c r="DA91" s="1163"/>
      <c r="DB91" s="1163"/>
      <c r="DC91" s="1163"/>
      <c r="DD91" s="1163"/>
      <c r="DE91" s="1163"/>
      <c r="DF91" s="1163"/>
      <c r="DG91" s="1163"/>
      <c r="DH91" s="1163"/>
      <c r="DI91" s="1163"/>
      <c r="DJ91" s="1163"/>
      <c r="DK91" s="1163"/>
      <c r="DL91" s="1163"/>
      <c r="DM91" s="1163"/>
      <c r="DN91" s="1163"/>
      <c r="DO91" s="1163"/>
      <c r="DP91" s="1163"/>
      <c r="DQ91" s="873"/>
      <c r="DR91" s="873"/>
      <c r="DS91" s="873"/>
      <c r="DT91" s="873"/>
      <c r="DU91" s="873"/>
      <c r="DV91" s="873"/>
      <c r="DW91" s="873"/>
      <c r="DX91" s="873"/>
      <c r="DY91" s="873"/>
      <c r="DZ91" s="873"/>
      <c r="EA91" s="873"/>
      <c r="EB91" s="873"/>
      <c r="EC91" s="873"/>
      <c r="ED91" s="873"/>
      <c r="EE91" s="873"/>
      <c r="EF91" s="873"/>
      <c r="EH91" s="66"/>
      <c r="EI91" s="66"/>
      <c r="EJ91" s="66"/>
      <c r="EK91" s="66"/>
      <c r="EL91" s="66"/>
      <c r="EM91" s="66"/>
      <c r="EN91" s="66"/>
      <c r="EO91" s="66"/>
      <c r="EP91" s="66"/>
      <c r="EQ91" s="66"/>
      <c r="ER91" s="66"/>
      <c r="ES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D91" s="66"/>
      <c r="HE91" s="66"/>
      <c r="HF91" s="66"/>
      <c r="HG91" s="66"/>
      <c r="HH91" s="66"/>
      <c r="HI91" s="66"/>
      <c r="HJ91" s="66"/>
      <c r="HK91" s="66"/>
      <c r="HO91" s="66"/>
      <c r="HP91" s="66"/>
      <c r="HR91" s="32"/>
      <c r="HS91" s="32"/>
      <c r="HT91" s="32"/>
      <c r="HU91" s="929"/>
      <c r="HV91" s="929"/>
      <c r="HW91" s="929"/>
      <c r="HX91" s="929"/>
      <c r="HY91" s="929"/>
      <c r="HZ91" s="929"/>
      <c r="IA91" s="929" t="str">
        <f t="shared" si="481"/>
        <v/>
      </c>
      <c r="IB91" s="32"/>
      <c r="IC91" s="929" t="str">
        <f t="shared" si="483"/>
        <v/>
      </c>
      <c r="IE91" s="66"/>
      <c r="IF91" s="66"/>
      <c r="IG91" s="66"/>
      <c r="IH91" s="66"/>
      <c r="II91" s="66">
        <f t="shared" ref="II91:IK93" si="576">+HJ91-HI91</f>
        <v>0</v>
      </c>
      <c r="IJ91" s="66">
        <f t="shared" si="576"/>
        <v>0</v>
      </c>
      <c r="IK91" s="66">
        <f t="shared" si="576"/>
        <v>0</v>
      </c>
      <c r="IL91" s="66">
        <f t="shared" si="491"/>
        <v>0</v>
      </c>
      <c r="IM91" s="66"/>
      <c r="IN91" s="66">
        <f t="shared" si="493"/>
        <v>0</v>
      </c>
      <c r="IP91" s="32"/>
      <c r="IQ91" s="32"/>
      <c r="IR91" s="32"/>
      <c r="IS91" s="32"/>
      <c r="IT91" s="32"/>
      <c r="IU91" s="32"/>
      <c r="IV91" s="32"/>
      <c r="IW91" s="32"/>
      <c r="IX91" s="32"/>
      <c r="IY91" s="32"/>
      <c r="JA91" s="66"/>
      <c r="JB91" s="66"/>
      <c r="JC91" s="66"/>
      <c r="JD91" s="66"/>
      <c r="JE91" s="66"/>
      <c r="JF91" s="66"/>
      <c r="JG91" s="66"/>
      <c r="JH91" s="66"/>
      <c r="JI91" s="66"/>
      <c r="JJ91" s="66"/>
      <c r="JK91" s="66"/>
      <c r="JL91" s="66"/>
      <c r="JM91" s="66"/>
      <c r="JN91" s="66"/>
      <c r="JP91" s="66"/>
      <c r="JQ91" s="66"/>
      <c r="JR91" s="88"/>
      <c r="JS91" s="922"/>
      <c r="JT91" s="964"/>
      <c r="JV91" s="32"/>
      <c r="JW91" s="32"/>
      <c r="JY91" s="32"/>
      <c r="JZ91" s="32"/>
      <c r="KA91" s="32"/>
      <c r="KB91" s="32"/>
      <c r="KC91" s="32"/>
      <c r="KD91" s="32"/>
      <c r="KE91" s="32"/>
      <c r="KF91" s="32"/>
      <c r="KH91" s="66"/>
      <c r="KI91" s="66"/>
      <c r="KJ91" s="66"/>
      <c r="KK91" s="66"/>
      <c r="KL91" s="66"/>
      <c r="KM91" s="66"/>
      <c r="KN91" s="66"/>
      <c r="KO91" s="66"/>
      <c r="KQ91" s="32"/>
      <c r="KR91" s="32"/>
      <c r="KS91" s="32"/>
      <c r="KT91" s="32"/>
      <c r="KU91" s="32"/>
      <c r="KV91" s="32"/>
      <c r="KW91" s="32"/>
      <c r="KX91" s="32"/>
      <c r="KY91" s="32">
        <f>+JI91/JI$11</f>
        <v>0</v>
      </c>
      <c r="KZ91" s="32"/>
      <c r="LB91" s="66"/>
      <c r="LC91" s="66"/>
      <c r="LD91" s="66"/>
      <c r="LE91" s="66"/>
      <c r="LF91" s="66"/>
      <c r="LG91" s="66"/>
      <c r="LH91" s="66"/>
      <c r="LI91" s="66"/>
      <c r="LJ91" s="66"/>
      <c r="LK91" s="66"/>
      <c r="LL91" s="66"/>
      <c r="LM91" s="66"/>
      <c r="LN91" s="66"/>
      <c r="LO91" s="66"/>
      <c r="LR91" s="32"/>
      <c r="LS91" s="32"/>
      <c r="LT91" s="32"/>
      <c r="LU91" s="32"/>
      <c r="LV91" s="32"/>
      <c r="LW91" s="32"/>
      <c r="LX91" s="32"/>
      <c r="LZ91" s="66"/>
      <c r="MA91" s="66"/>
      <c r="MB91" s="66"/>
      <c r="MC91" s="66"/>
      <c r="MD91" s="66"/>
      <c r="ME91" s="66"/>
      <c r="MF91" s="66"/>
      <c r="MH91" s="32"/>
      <c r="MI91" s="32"/>
      <c r="MJ91" s="32"/>
      <c r="MK91" s="32"/>
      <c r="ML91" s="32"/>
      <c r="MM91" s="32"/>
      <c r="MN91" s="32"/>
      <c r="MO91" s="32"/>
      <c r="MP91" s="32"/>
    </row>
    <row r="92" spans="1:354">
      <c r="A92" s="884"/>
      <c r="B92" s="70"/>
      <c r="C92" s="1431" t="s">
        <v>100</v>
      </c>
      <c r="D92" s="1531" t="s">
        <v>59</v>
      </c>
      <c r="E92" s="1534">
        <f t="shared" ref="E92:BP92" si="577">+E93+E99</f>
        <v>-48.240451459999996</v>
      </c>
      <c r="F92" s="1534">
        <f t="shared" si="577"/>
        <v>-12.519246779999998</v>
      </c>
      <c r="G92" s="1534">
        <f t="shared" si="577"/>
        <v>-21.112212500000005</v>
      </c>
      <c r="H92" s="1534">
        <f t="shared" si="577"/>
        <v>-22.534589979999986</v>
      </c>
      <c r="I92" s="1534">
        <f t="shared" si="577"/>
        <v>-14.12541703000001</v>
      </c>
      <c r="J92" s="1534">
        <f t="shared" si="577"/>
        <v>-8.632967290000007</v>
      </c>
      <c r="K92" s="1534">
        <f t="shared" si="577"/>
        <v>-16.958481420000005</v>
      </c>
      <c r="L92" s="1534">
        <f t="shared" si="577"/>
        <v>-21.354814619999985</v>
      </c>
      <c r="M92" s="1534">
        <f t="shared" si="577"/>
        <v>-18.112904699999994</v>
      </c>
      <c r="N92" s="1534">
        <f t="shared" si="577"/>
        <v>-280.48189061999994</v>
      </c>
      <c r="O92" s="1534">
        <f t="shared" si="577"/>
        <v>58.828371599999997</v>
      </c>
      <c r="P92" s="1534">
        <f t="shared" si="577"/>
        <v>-37.132709429999991</v>
      </c>
      <c r="Q92" s="1534">
        <f t="shared" si="577"/>
        <v>-27.02625136</v>
      </c>
      <c r="R92" s="1534">
        <f t="shared" si="577"/>
        <v>-28.753281679999997</v>
      </c>
      <c r="S92" s="1534">
        <f t="shared" si="577"/>
        <v>-43.969999250000001</v>
      </c>
      <c r="T92" s="1534">
        <f t="shared" si="577"/>
        <v>-54.060340119999999</v>
      </c>
      <c r="U92" s="1534">
        <f t="shared" si="577"/>
        <v>-39.904698559999986</v>
      </c>
      <c r="V92" s="1534">
        <f t="shared" si="577"/>
        <v>-39.468015950000009</v>
      </c>
      <c r="W92" s="1534">
        <f t="shared" si="577"/>
        <v>-43.259794670000005</v>
      </c>
      <c r="X92" s="1534">
        <f t="shared" si="577"/>
        <v>-22.047647050000023</v>
      </c>
      <c r="Y92" s="1534">
        <f t="shared" si="577"/>
        <v>-33.109791289999983</v>
      </c>
      <c r="Z92" s="1534">
        <f t="shared" si="577"/>
        <v>-57.676614170000008</v>
      </c>
      <c r="AA92" s="1534">
        <f t="shared" si="577"/>
        <v>-156.07891626999998</v>
      </c>
      <c r="AB92" s="1534">
        <f t="shared" si="577"/>
        <v>-137.67329856000003</v>
      </c>
      <c r="AC92" s="1534">
        <f t="shared" si="577"/>
        <v>-31.909175249999997</v>
      </c>
      <c r="AD92" s="1534">
        <f t="shared" si="577"/>
        <v>-19.047034350000001</v>
      </c>
      <c r="AE92" s="1534">
        <f t="shared" si="577"/>
        <v>-75.407203960000004</v>
      </c>
      <c r="AF92" s="1534">
        <f t="shared" si="577"/>
        <v>-146.3447601</v>
      </c>
      <c r="AG92" s="1534">
        <f t="shared" si="577"/>
        <v>-43.638278670000005</v>
      </c>
      <c r="AH92" s="1534">
        <f t="shared" si="577"/>
        <v>-45.069934520000004</v>
      </c>
      <c r="AI92" s="1534">
        <f t="shared" si="577"/>
        <v>-51.134652250000002</v>
      </c>
      <c r="AJ92" s="1534">
        <f t="shared" si="577"/>
        <v>-46.034893629999999</v>
      </c>
      <c r="AK92" s="1534">
        <f t="shared" si="577"/>
        <v>-42.835350479999995</v>
      </c>
      <c r="AL92" s="1534">
        <f t="shared" si="577"/>
        <v>-31.97137184</v>
      </c>
      <c r="AM92" s="1534">
        <f t="shared" si="577"/>
        <v>-253.03296523999998</v>
      </c>
      <c r="AN92" s="1534">
        <f t="shared" si="577"/>
        <v>-1288.6894677699997</v>
      </c>
      <c r="AO92" s="1534">
        <f t="shared" si="577"/>
        <v>-56.095030489999999</v>
      </c>
      <c r="AP92" s="1534">
        <f t="shared" si="577"/>
        <v>-45.081688919999998</v>
      </c>
      <c r="AQ92" s="1534">
        <f t="shared" si="577"/>
        <v>-154.20411264999998</v>
      </c>
      <c r="AR92" s="1534">
        <f t="shared" si="577"/>
        <v>-384.55954459999998</v>
      </c>
      <c r="AS92" s="1534">
        <f t="shared" si="577"/>
        <v>-93.983980199999991</v>
      </c>
      <c r="AT92" s="1534">
        <f t="shared" si="577"/>
        <v>-3465.2192146399998</v>
      </c>
      <c r="AU92" s="1534">
        <f t="shared" si="577"/>
        <v>-6.5257346799999851</v>
      </c>
      <c r="AV92" s="1534">
        <f t="shared" si="577"/>
        <v>-72.973295509999986</v>
      </c>
      <c r="AW92" s="1534">
        <f t="shared" si="577"/>
        <v>-239.26250172000005</v>
      </c>
      <c r="AX92" s="1534">
        <f t="shared" si="577"/>
        <v>-123.28859322000002</v>
      </c>
      <c r="AY92" s="1534">
        <f t="shared" si="577"/>
        <v>-79.954163149999999</v>
      </c>
      <c r="AZ92" s="1534">
        <f t="shared" si="577"/>
        <v>-874.40795961999902</v>
      </c>
      <c r="BA92" s="1534">
        <f t="shared" si="577"/>
        <v>-77.774997189999993</v>
      </c>
      <c r="BB92" s="1534">
        <f t="shared" si="577"/>
        <v>-75.149609999999996</v>
      </c>
      <c r="BC92" s="1534">
        <f t="shared" si="577"/>
        <v>-200.44867207000001</v>
      </c>
      <c r="BD92" s="1534">
        <f t="shared" si="577"/>
        <v>-378.93175117999999</v>
      </c>
      <c r="BE92" s="1534">
        <f t="shared" si="577"/>
        <v>-133.59425508999993</v>
      </c>
      <c r="BF92" s="1534">
        <f t="shared" si="577"/>
        <v>-194.12179911999999</v>
      </c>
      <c r="BG92" s="1534">
        <f t="shared" si="577"/>
        <v>-241.1998433</v>
      </c>
      <c r="BH92" s="1534">
        <f t="shared" si="577"/>
        <v>-283.01216539000001</v>
      </c>
      <c r="BI92" s="1534">
        <f t="shared" si="577"/>
        <v>216.12454976000001</v>
      </c>
      <c r="BJ92" s="1534">
        <f t="shared" si="577"/>
        <v>-411.36454053</v>
      </c>
      <c r="BK92" s="1534">
        <f t="shared" si="577"/>
        <v>-357.12438026999996</v>
      </c>
      <c r="BL92" s="1534">
        <f t="shared" si="577"/>
        <v>-432.845777</v>
      </c>
      <c r="BM92" s="1534">
        <f t="shared" si="577"/>
        <v>-96.420243870000007</v>
      </c>
      <c r="BN92" s="1534">
        <f t="shared" si="577"/>
        <v>-88.957992399999995</v>
      </c>
      <c r="BO92" s="1534">
        <f t="shared" si="577"/>
        <v>-89.233657029999989</v>
      </c>
      <c r="BP92" s="1534">
        <f t="shared" si="577"/>
        <v>-140.94044732</v>
      </c>
      <c r="BQ92" s="1534">
        <f t="shared" ref="BQ92:EB92" si="578">+BQ93+BQ99</f>
        <v>-94.451269050000008</v>
      </c>
      <c r="BR92" s="1534">
        <f t="shared" si="578"/>
        <v>-71.843363260000004</v>
      </c>
      <c r="BS92" s="1534">
        <f t="shared" si="578"/>
        <v>-85.279525390000003</v>
      </c>
      <c r="BT92" s="1534">
        <f t="shared" si="578"/>
        <v>-95.724560880000013</v>
      </c>
      <c r="BU92" s="1534">
        <f t="shared" si="578"/>
        <v>-86.975232270000006</v>
      </c>
      <c r="BV92" s="1534">
        <f t="shared" si="578"/>
        <v>-84.486351269999986</v>
      </c>
      <c r="BW92" s="1534">
        <f t="shared" si="578"/>
        <v>-173.52355833000001</v>
      </c>
      <c r="BX92" s="1534">
        <f t="shared" si="578"/>
        <v>-205.58704114999998</v>
      </c>
      <c r="BY92" s="1534">
        <f t="shared" si="578"/>
        <v>-198.42755538</v>
      </c>
      <c r="BZ92" s="1534">
        <f t="shared" si="578"/>
        <v>-106.18931878000001</v>
      </c>
      <c r="CA92" s="1534">
        <f t="shared" si="578"/>
        <v>-160.60763784</v>
      </c>
      <c r="CB92" s="1534">
        <f t="shared" si="578"/>
        <v>-115.59951405</v>
      </c>
      <c r="CC92" s="1534">
        <f t="shared" si="578"/>
        <v>-64.117255490000005</v>
      </c>
      <c r="CD92" s="1534">
        <f t="shared" si="578"/>
        <v>-69.416694120000002</v>
      </c>
      <c r="CE92" s="1534">
        <f t="shared" si="578"/>
        <v>-72.367526490000003</v>
      </c>
      <c r="CF92" s="1534">
        <f t="shared" si="578"/>
        <v>-92.408346100000003</v>
      </c>
      <c r="CG92" s="1534">
        <f t="shared" si="578"/>
        <v>-72.822282180000002</v>
      </c>
      <c r="CH92" s="1534">
        <f t="shared" si="578"/>
        <v>-64.121162100000006</v>
      </c>
      <c r="CI92" s="1534">
        <f t="shared" si="578"/>
        <v>-76.974648149999993</v>
      </c>
      <c r="CJ92" s="1534">
        <f t="shared" si="578"/>
        <v>-121.11537693</v>
      </c>
      <c r="CK92" s="1534">
        <f t="shared" si="578"/>
        <v>-68.137206370000001</v>
      </c>
      <c r="CL92" s="1534">
        <f t="shared" si="578"/>
        <v>-155.63266294000002</v>
      </c>
      <c r="CM92" s="1534">
        <f t="shared" si="578"/>
        <v>-95.637498069999978</v>
      </c>
      <c r="CN92" s="1534">
        <f t="shared" si="578"/>
        <v>-125.11572409999999</v>
      </c>
      <c r="CO92" s="1534">
        <f t="shared" si="578"/>
        <v>-161.22030814999999</v>
      </c>
      <c r="CP92" s="1534">
        <f t="shared" si="578"/>
        <v>-197.57181414999999</v>
      </c>
      <c r="CQ92" s="1534">
        <f t="shared" si="578"/>
        <v>-162.99498204000002</v>
      </c>
      <c r="CR92" s="1534">
        <f t="shared" si="578"/>
        <v>-150.12085390000001</v>
      </c>
      <c r="CS92" s="1534">
        <f t="shared" si="578"/>
        <v>-208.40900190000002</v>
      </c>
      <c r="CT92" s="1534">
        <f t="shared" si="578"/>
        <v>-122.12199683</v>
      </c>
      <c r="CU92" s="1534">
        <f t="shared" si="578"/>
        <v>-111.94497956999999</v>
      </c>
      <c r="CV92" s="1534">
        <f t="shared" si="578"/>
        <v>-327.15143988</v>
      </c>
      <c r="CW92" s="1534">
        <f t="shared" si="578"/>
        <v>-107.12014899</v>
      </c>
      <c r="CX92" s="1534">
        <f t="shared" si="578"/>
        <v>-74.387902499999996</v>
      </c>
      <c r="CY92" s="1534">
        <f t="shared" si="578"/>
        <v>-90.732052280000005</v>
      </c>
      <c r="CZ92" s="1534">
        <f t="shared" si="578"/>
        <v>-313.45291108000004</v>
      </c>
      <c r="DA92" s="1534">
        <f t="shared" si="578"/>
        <v>-335.58675662000002</v>
      </c>
      <c r="DB92" s="1534">
        <f t="shared" si="578"/>
        <v>-228.28995954999999</v>
      </c>
      <c r="DC92" s="1534">
        <f t="shared" si="578"/>
        <v>-222.25951518000002</v>
      </c>
      <c r="DD92" s="1534">
        <f t="shared" si="578"/>
        <v>-57.864262680000003</v>
      </c>
      <c r="DE92" s="1534">
        <f t="shared" si="578"/>
        <v>-98.417665840000012</v>
      </c>
      <c r="DF92" s="1534">
        <f t="shared" si="578"/>
        <v>-95.578925830000003</v>
      </c>
      <c r="DG92" s="1534">
        <f t="shared" si="578"/>
        <v>-180.06249830000002</v>
      </c>
      <c r="DH92" s="1534">
        <f t="shared" si="578"/>
        <v>-158.04638769999997</v>
      </c>
      <c r="DI92" s="1534">
        <f t="shared" si="578"/>
        <v>-75.486911429999992</v>
      </c>
      <c r="DJ92" s="1534">
        <f t="shared" si="578"/>
        <v>-109.22320164999999</v>
      </c>
      <c r="DK92" s="1534">
        <f t="shared" si="578"/>
        <v>-101.8037942</v>
      </c>
      <c r="DL92" s="1534">
        <f t="shared" si="578"/>
        <v>-122.75835926999999</v>
      </c>
      <c r="DM92" s="1534">
        <f t="shared" si="578"/>
        <v>-110.70060707</v>
      </c>
      <c r="DN92" s="1534">
        <f t="shared" si="578"/>
        <v>-127.89502831999999</v>
      </c>
      <c r="DO92" s="1534">
        <f t="shared" si="578"/>
        <v>-114.29401831</v>
      </c>
      <c r="DP92" s="1534">
        <f t="shared" si="578"/>
        <v>-138.77933204999999</v>
      </c>
      <c r="DQ92" s="1535">
        <f t="shared" si="578"/>
        <v>-113.90771752000001</v>
      </c>
      <c r="DR92" s="1535">
        <f t="shared" si="578"/>
        <v>-120.44593222</v>
      </c>
      <c r="DS92" s="1535">
        <f t="shared" si="578"/>
        <v>-61.431870910000001</v>
      </c>
      <c r="DT92" s="1535">
        <f t="shared" si="578"/>
        <v>-486.18465510000004</v>
      </c>
      <c r="DU92" s="1535">
        <f t="shared" si="578"/>
        <v>-125.89134825000001</v>
      </c>
      <c r="DV92" s="1535">
        <f t="shared" si="578"/>
        <v>-162.20954005000002</v>
      </c>
      <c r="DW92" s="1535">
        <f t="shared" si="578"/>
        <v>-268.48091797000001</v>
      </c>
      <c r="DX92" s="1535">
        <f t="shared" si="578"/>
        <v>-121.99316176999999</v>
      </c>
      <c r="DY92" s="1535">
        <f t="shared" si="578"/>
        <v>-160.65321359999999</v>
      </c>
      <c r="DZ92" s="1535">
        <f t="shared" si="578"/>
        <v>-103.80772254</v>
      </c>
      <c r="EA92" s="1535">
        <f t="shared" si="578"/>
        <v>-191.00743663</v>
      </c>
      <c r="EB92" s="1535">
        <f t="shared" si="578"/>
        <v>-218.20980929000001</v>
      </c>
      <c r="EC92" s="1535">
        <f t="shared" ref="EC92:EF92" si="579">+EC93+EC99</f>
        <v>-170.41946283000001</v>
      </c>
      <c r="ED92" s="1535">
        <f t="shared" si="579"/>
        <v>-253.97095143999999</v>
      </c>
      <c r="EE92" s="1535">
        <f t="shared" si="579"/>
        <v>-507.64550761999999</v>
      </c>
      <c r="EF92" s="1535">
        <f t="shared" si="579"/>
        <v>-455.97276799999997</v>
      </c>
      <c r="EG92" s="949"/>
      <c r="EH92" s="1534">
        <f t="shared" ref="EH92:ES92" si="580">SUM(EH93:EH99)</f>
        <v>-107.12014899000002</v>
      </c>
      <c r="EI92" s="1534">
        <f t="shared" si="580"/>
        <v>-74.387902499999996</v>
      </c>
      <c r="EJ92" s="1534">
        <f t="shared" si="580"/>
        <v>-152.36975228</v>
      </c>
      <c r="EK92" s="1534">
        <f t="shared" si="580"/>
        <v>-313.45291108000004</v>
      </c>
      <c r="EL92" s="1534">
        <f t="shared" si="580"/>
        <v>-522.55521761999989</v>
      </c>
      <c r="EM92" s="1534">
        <f t="shared" si="580"/>
        <v>-229.18062254999998</v>
      </c>
      <c r="EN92" s="1534">
        <f t="shared" si="580"/>
        <v>-114.27543711428746</v>
      </c>
      <c r="EO92" s="1534">
        <f t="shared" si="580"/>
        <v>-85.353023975361637</v>
      </c>
      <c r="EP92" s="1534">
        <f t="shared" si="580"/>
        <v>-83.482197697509974</v>
      </c>
      <c r="EQ92" s="1534">
        <f t="shared" si="580"/>
        <v>-84.417610836435799</v>
      </c>
      <c r="ER92" s="1534">
        <f t="shared" si="580"/>
        <v>-84.417610836435799</v>
      </c>
      <c r="ES92" s="1534">
        <f t="shared" si="580"/>
        <v>-83.482197697509974</v>
      </c>
      <c r="EU92" s="1534">
        <v>-69.7</v>
      </c>
      <c r="EV92" s="1534">
        <v>-71.7</v>
      </c>
      <c r="EW92" s="1534">
        <v>-93.429091999999997</v>
      </c>
      <c r="EX92" s="1534">
        <v>-92.845758666666669</v>
      </c>
      <c r="EY92" s="1534">
        <v>-90.262425333333326</v>
      </c>
      <c r="EZ92" s="1534">
        <v>-89.679091999999997</v>
      </c>
      <c r="FA92" s="1534">
        <v>-89.095758666666669</v>
      </c>
      <c r="FB92" s="1534">
        <v>-88.512425333333326</v>
      </c>
      <c r="FC92" s="1534">
        <v>-87.929091999999997</v>
      </c>
      <c r="FD92" s="1534">
        <v>-87.345758666666654</v>
      </c>
      <c r="FE92" s="1534">
        <v>-86.762425333333326</v>
      </c>
      <c r="FF92" s="1534">
        <v>-86.179091999999983</v>
      </c>
      <c r="FG92" s="1534">
        <f t="shared" ref="FG92:HB92" si="581">SUM(FG93:FG99)</f>
        <v>-127.51374301050244</v>
      </c>
      <c r="FH92" s="1534">
        <f t="shared" si="581"/>
        <v>-123.10583442291542</v>
      </c>
      <c r="FI92" s="1534">
        <f t="shared" si="581"/>
        <v>-857.07358702823637</v>
      </c>
      <c r="FJ92" s="1534">
        <f t="shared" si="581"/>
        <v>-173.7624452897627</v>
      </c>
      <c r="FK92" s="1534">
        <f t="shared" si="581"/>
        <v>-117.09575988728652</v>
      </c>
      <c r="FL92" s="1534">
        <f t="shared" si="581"/>
        <v>-117.24568784053685</v>
      </c>
      <c r="FM92" s="1534">
        <f t="shared" si="581"/>
        <v>-114.49120512034094</v>
      </c>
      <c r="FN92" s="1534">
        <f t="shared" si="581"/>
        <v>-112.21287843207854</v>
      </c>
      <c r="FO92" s="1534">
        <f t="shared" si="581"/>
        <v>-104.55420353235432</v>
      </c>
      <c r="FP92" s="1534">
        <f t="shared" si="581"/>
        <v>-123.28510807334547</v>
      </c>
      <c r="FQ92" s="1534">
        <f t="shared" si="581"/>
        <v>-100.77085013274679</v>
      </c>
      <c r="FR92" s="1534">
        <f t="shared" si="581"/>
        <v>-95.700741465058542</v>
      </c>
      <c r="FS92" s="1534">
        <f t="shared" si="581"/>
        <v>-78.167286529999998</v>
      </c>
      <c r="FT92" s="1534">
        <f t="shared" si="581"/>
        <v>-78.167286529999998</v>
      </c>
      <c r="FU92" s="1534">
        <f t="shared" si="581"/>
        <v>-78.167286529999998</v>
      </c>
      <c r="FV92" s="1534">
        <f t="shared" si="581"/>
        <v>-78.167286529999998</v>
      </c>
      <c r="FW92" s="1534">
        <f t="shared" si="581"/>
        <v>-78.167286529999998</v>
      </c>
      <c r="FX92" s="1534">
        <f t="shared" si="581"/>
        <v>-78.167286529999998</v>
      </c>
      <c r="FY92" s="1534">
        <f t="shared" si="581"/>
        <v>-78.167286529999998</v>
      </c>
      <c r="FZ92" s="1534">
        <f t="shared" si="581"/>
        <v>-78.167286529999998</v>
      </c>
      <c r="GA92" s="1534">
        <f t="shared" si="581"/>
        <v>-78.167286529999998</v>
      </c>
      <c r="GB92" s="1534">
        <f t="shared" si="581"/>
        <v>-78.167286529999998</v>
      </c>
      <c r="GC92" s="1534">
        <f t="shared" si="581"/>
        <v>-78.167286529999998</v>
      </c>
      <c r="GD92" s="1534">
        <f t="shared" si="581"/>
        <v>-78.167286529999998</v>
      </c>
      <c r="GE92" s="1534">
        <f t="shared" si="581"/>
        <v>-72.836289318562137</v>
      </c>
      <c r="GF92" s="1534">
        <f t="shared" si="581"/>
        <v>-72.836289318562137</v>
      </c>
      <c r="GG92" s="1534">
        <f t="shared" si="581"/>
        <v>-71.386348542015284</v>
      </c>
      <c r="GH92" s="1534">
        <f t="shared" si="581"/>
        <v>-64.386348542015284</v>
      </c>
      <c r="GI92" s="1534">
        <f t="shared" si="581"/>
        <v>-71.386348542015284</v>
      </c>
      <c r="GJ92" s="1534">
        <f t="shared" si="581"/>
        <v>-62.936407765468445</v>
      </c>
      <c r="GK92" s="1534">
        <f t="shared" si="581"/>
        <v>-69.936407765468445</v>
      </c>
      <c r="GL92" s="1534">
        <f t="shared" si="581"/>
        <v>-62.936407765468445</v>
      </c>
      <c r="GM92" s="1534">
        <f t="shared" si="581"/>
        <v>-61.486466988921592</v>
      </c>
      <c r="GN92" s="1534">
        <f t="shared" si="581"/>
        <v>-68.486466988921592</v>
      </c>
      <c r="GO92" s="1534">
        <f t="shared" si="581"/>
        <v>-68.486466988921592</v>
      </c>
      <c r="GP92" s="1534">
        <f t="shared" si="581"/>
        <v>-67.036526212374753</v>
      </c>
      <c r="GQ92" s="1534">
        <f t="shared" si="581"/>
        <v>-72.836289318562137</v>
      </c>
      <c r="GR92" s="1534">
        <f t="shared" si="581"/>
        <v>-72.836289318562137</v>
      </c>
      <c r="GS92" s="1534">
        <f t="shared" si="581"/>
        <v>-71.386348542015284</v>
      </c>
      <c r="GT92" s="1534">
        <f t="shared" si="581"/>
        <v>-64.386348542015284</v>
      </c>
      <c r="GU92" s="1534">
        <f t="shared" si="581"/>
        <v>-71.386348542015284</v>
      </c>
      <c r="GV92" s="1534">
        <f t="shared" si="581"/>
        <v>-62.936407765468445</v>
      </c>
      <c r="GW92" s="1534">
        <f t="shared" si="581"/>
        <v>-69.936407765468445</v>
      </c>
      <c r="GX92" s="1534">
        <f t="shared" si="581"/>
        <v>-62.936407765468445</v>
      </c>
      <c r="GY92" s="1534">
        <f t="shared" si="581"/>
        <v>-61.486466988921592</v>
      </c>
      <c r="GZ92" s="1534">
        <f t="shared" si="581"/>
        <v>-68.486466988921592</v>
      </c>
      <c r="HA92" s="1534">
        <f t="shared" si="581"/>
        <v>-68.486466988921592</v>
      </c>
      <c r="HB92" s="1534">
        <f t="shared" si="581"/>
        <v>-67.036526212374753</v>
      </c>
      <c r="HD92" s="1534">
        <f t="shared" ref="HD92:HG103" si="582">+SUMIF($E$6:$AZ$6,HD$7,$E92:$AZ92)</f>
        <v>-442.37731422999991</v>
      </c>
      <c r="HE92" s="1534">
        <f t="shared" si="582"/>
        <v>-683.02864893000003</v>
      </c>
      <c r="HF92" s="1534">
        <f t="shared" si="582"/>
        <v>-2075.1150880599998</v>
      </c>
      <c r="HG92" s="1534">
        <f t="shared" si="582"/>
        <v>-5595.5558193999977</v>
      </c>
      <c r="HH92" s="1534">
        <f t="shared" ref="HH92:HH103" si="583">+SUMIF($E$6:$BL$6,HH$7,$E92:$BL92)</f>
        <v>-2569.44324138</v>
      </c>
      <c r="HI92" s="1534">
        <f t="shared" ref="HI92:HI103" si="584">+SUMIF($E$6:$BX$6,HI$7,$E92:$BX92)</f>
        <v>-1313.42324222</v>
      </c>
      <c r="HJ92" s="1534">
        <f t="shared" si="472"/>
        <v>-1214.1673176100001</v>
      </c>
      <c r="HK92" s="1534">
        <f t="shared" si="473"/>
        <v>-1886.0584678999999</v>
      </c>
      <c r="HL92" s="1535">
        <f>+SUMIF($E$6:SEW$6,HL$7,$E92:SEW92)</f>
        <v>-1961.7989865499999</v>
      </c>
      <c r="HM92" s="1535">
        <f>+SUMIF($E$6:SEX$6,HM$7,$E92:SEX92)</f>
        <v>-1682.91142805</v>
      </c>
      <c r="HN92" s="1535">
        <f>+SUMIF($E$6:SEY$6,HN$7,$E92:SEY92)</f>
        <v>-2740.2618399899998</v>
      </c>
      <c r="HO92" s="1534"/>
      <c r="HP92" s="1534"/>
      <c r="HR92" s="1536">
        <f t="shared" ref="HR92:HZ93" si="585">+IFERROR(HF92/HE92-1,"")</f>
        <v>2.0381084180155193</v>
      </c>
      <c r="HS92" s="1536">
        <f t="shared" si="585"/>
        <v>1.6965038477124734</v>
      </c>
      <c r="HT92" s="1536">
        <f t="shared" si="585"/>
        <v>-0.5408064320488688</v>
      </c>
      <c r="HU92" s="1536">
        <f t="shared" si="585"/>
        <v>-0.48882963395813916</v>
      </c>
      <c r="HV92" s="1536">
        <f t="shared" si="585"/>
        <v>-7.5570403674472542E-2</v>
      </c>
      <c r="HW92" s="1536">
        <f t="shared" si="585"/>
        <v>0.55337607967620861</v>
      </c>
      <c r="HX92" s="1536">
        <f t="shared" si="585"/>
        <v>4.0158096866600435E-2</v>
      </c>
      <c r="HY92" s="1536">
        <f t="shared" si="585"/>
        <v>-0.14215908990270643</v>
      </c>
      <c r="HZ92" s="1536">
        <f t="shared" si="585"/>
        <v>0.62828642928948342</v>
      </c>
      <c r="IA92" s="1536">
        <f t="shared" si="481"/>
        <v>-1</v>
      </c>
      <c r="IB92" s="1536" t="str">
        <f>+IFERROR(HP92/HO92-1,"")</f>
        <v/>
      </c>
      <c r="IC92" s="1536">
        <f t="shared" si="483"/>
        <v>-1</v>
      </c>
      <c r="IE92" s="1534">
        <f t="shared" ref="IE92:IH93" si="586">+HF92-HE92</f>
        <v>-1392.0864391299997</v>
      </c>
      <c r="IF92" s="1534">
        <f t="shared" si="586"/>
        <v>-3520.4407313399979</v>
      </c>
      <c r="IG92" s="1534">
        <f t="shared" si="586"/>
        <v>3026.1125780199977</v>
      </c>
      <c r="IH92" s="1534">
        <f t="shared" si="586"/>
        <v>1256.01999916</v>
      </c>
      <c r="II92" s="1534">
        <f t="shared" si="576"/>
        <v>99.255924609999965</v>
      </c>
      <c r="IJ92" s="1534">
        <f t="shared" si="576"/>
        <v>-671.89115028999981</v>
      </c>
      <c r="IK92" s="1534">
        <f t="shared" si="576"/>
        <v>-75.740518650000013</v>
      </c>
      <c r="IL92" s="1534">
        <f t="shared" si="491"/>
        <v>1961.7989865499999</v>
      </c>
      <c r="IM92" s="1534">
        <f>+HP92-HO92</f>
        <v>0</v>
      </c>
      <c r="IN92" s="1534">
        <f t="shared" si="493"/>
        <v>1961.7989865499999</v>
      </c>
      <c r="IP92" s="1537">
        <f t="shared" ref="IP92:IW93" si="587">+HE92/HE$11</f>
        <v>-1.858314359179554E-2</v>
      </c>
      <c r="IQ92" s="1537">
        <f t="shared" si="587"/>
        <v>-5.2690655066767754E-2</v>
      </c>
      <c r="IR92" s="1537">
        <f t="shared" si="587"/>
        <v>-0.33202562079953318</v>
      </c>
      <c r="IS92" s="1537">
        <f t="shared" si="587"/>
        <v>-0.41765800530056219</v>
      </c>
      <c r="IT92" s="1537">
        <f t="shared" si="587"/>
        <v>-9.6371052511276672E-2</v>
      </c>
      <c r="IU92" s="1537">
        <f t="shared" si="587"/>
        <v>-8.5803640404672671E-2</v>
      </c>
      <c r="IV92" s="1537">
        <f t="shared" si="587"/>
        <v>-8.8842022138305873E-2</v>
      </c>
      <c r="IW92" s="1537">
        <f t="shared" si="587"/>
        <v>-0.15545297281971898</v>
      </c>
      <c r="IX92" s="1537" t="e">
        <f>+HO92/HO$11</f>
        <v>#DIV/0!</v>
      </c>
      <c r="IY92" s="1537" t="e">
        <f>+HP92/HP$11</f>
        <v>#DIV/0!</v>
      </c>
      <c r="JA92" s="1534">
        <f t="shared" ref="JA92:JK103" si="588">+IFERROR(SUMIFS($E92:$EG92,$E$6:$EG$6,JA$7,$E$5:$EG$5,"&lt;="&amp;$JC$5),"NA")</f>
        <v>-442.37731422999991</v>
      </c>
      <c r="JB92" s="1534">
        <f t="shared" si="588"/>
        <v>-683.02864893000003</v>
      </c>
      <c r="JC92" s="1534">
        <f t="shared" si="588"/>
        <v>-2075.1150880599998</v>
      </c>
      <c r="JD92" s="1534">
        <f t="shared" si="588"/>
        <v>-5595.5558193999977</v>
      </c>
      <c r="JE92" s="1534">
        <f t="shared" si="588"/>
        <v>-2569.44324138</v>
      </c>
      <c r="JF92" s="1534">
        <f t="shared" si="588"/>
        <v>-1313.42324222</v>
      </c>
      <c r="JG92" s="1534">
        <f t="shared" si="588"/>
        <v>-1214.1673176100001</v>
      </c>
      <c r="JH92" s="1534">
        <f t="shared" si="588"/>
        <v>-1886.0584678999999</v>
      </c>
      <c r="JI92" s="1534">
        <f t="shared" si="588"/>
        <v>-1961.7989865499999</v>
      </c>
      <c r="JJ92" s="1534">
        <f t="shared" si="588"/>
        <v>-1682.91142805</v>
      </c>
      <c r="JK92" s="1534">
        <f t="shared" si="588"/>
        <v>-2740.2618399899998</v>
      </c>
      <c r="JL92" s="1534">
        <f t="shared" ref="JL92:JL103" si="589">+SUMIF($DU$5:$EF$5,"&lt;="&amp;$JC$5,$DU92:$EF92)</f>
        <v>-2740.2618399899998</v>
      </c>
      <c r="JM92" s="1534"/>
      <c r="JN92" s="1534"/>
      <c r="JP92" s="1534">
        <f>+JL92</f>
        <v>-2740.2618399899998</v>
      </c>
      <c r="JQ92" s="1534">
        <f>+JM92</f>
        <v>0</v>
      </c>
      <c r="JR92" s="939"/>
      <c r="JS92" s="1536" t="str">
        <f>+IFERROR(JP92/JQ92,"")</f>
        <v/>
      </c>
      <c r="JT92" s="1538">
        <f>+IFERROR(JP92-JQ92,"NA")</f>
        <v>-2740.2618399899998</v>
      </c>
      <c r="JV92" s="1537">
        <f>+JP92/JP$11</f>
        <v>-9.0762468670746693E-2</v>
      </c>
      <c r="JW92" s="1536" t="str">
        <f>+IFERROR(JQ92/JQ$11,"")</f>
        <v/>
      </c>
      <c r="JY92" s="1537">
        <f t="shared" ref="JY92:KE93" si="590">+IFERROR(JC92/JB92-1,"NA")</f>
        <v>2.0381084180155193</v>
      </c>
      <c r="JZ92" s="1537">
        <f t="shared" si="590"/>
        <v>1.6965038477124734</v>
      </c>
      <c r="KA92" s="1537">
        <f t="shared" si="590"/>
        <v>-0.5408064320488688</v>
      </c>
      <c r="KB92" s="1537">
        <f t="shared" si="590"/>
        <v>-0.48882963395813916</v>
      </c>
      <c r="KC92" s="1537">
        <f t="shared" si="590"/>
        <v>-7.5570403674472542E-2</v>
      </c>
      <c r="KD92" s="1537">
        <f t="shared" si="590"/>
        <v>0.55337607967620861</v>
      </c>
      <c r="KE92" s="1537">
        <f t="shared" si="590"/>
        <v>4.0158096866600435E-2</v>
      </c>
      <c r="KF92" s="1537">
        <f>+IFERROR(JN92/JI92-1,"NA")</f>
        <v>-1</v>
      </c>
      <c r="KH92" s="1534">
        <f t="shared" ref="KH92:KN93" si="591">+JC92-JB92</f>
        <v>-1392.0864391299997</v>
      </c>
      <c r="KI92" s="1534">
        <f t="shared" si="591"/>
        <v>-3520.4407313399979</v>
      </c>
      <c r="KJ92" s="1534">
        <f t="shared" si="591"/>
        <v>3026.1125780199977</v>
      </c>
      <c r="KK92" s="1534">
        <f t="shared" si="591"/>
        <v>1256.01999916</v>
      </c>
      <c r="KL92" s="1534">
        <f t="shared" si="591"/>
        <v>99.255924609999965</v>
      </c>
      <c r="KM92" s="1534">
        <f t="shared" si="591"/>
        <v>-671.89115028999981</v>
      </c>
      <c r="KN92" s="1534">
        <f t="shared" si="591"/>
        <v>-75.740518650000013</v>
      </c>
      <c r="KO92" s="1534">
        <f>+JN92-JI92</f>
        <v>1961.7989865499999</v>
      </c>
      <c r="KQ92" s="1537">
        <f t="shared" ref="KQ92:KX93" si="592">+JA92/JA$11</f>
        <v>-1.2192961556049403E-2</v>
      </c>
      <c r="KR92" s="1537">
        <f t="shared" si="592"/>
        <v>-1.858314359179554E-2</v>
      </c>
      <c r="KS92" s="1537">
        <f t="shared" si="592"/>
        <v>-5.2690655066767754E-2</v>
      </c>
      <c r="KT92" s="1537">
        <f t="shared" si="592"/>
        <v>-0.33202562079953318</v>
      </c>
      <c r="KU92" s="1537">
        <f t="shared" si="592"/>
        <v>-0.41765800530056219</v>
      </c>
      <c r="KV92" s="1537">
        <f t="shared" si="592"/>
        <v>-9.6371052511276672E-2</v>
      </c>
      <c r="KW92" s="1537">
        <f t="shared" si="592"/>
        <v>-8.5803640404672671E-2</v>
      </c>
      <c r="KX92" s="1537">
        <f t="shared" si="592"/>
        <v>-8.8842022138305873E-2</v>
      </c>
      <c r="KY92" s="1537">
        <f>+JI92/JI$11</f>
        <v>-0.15545297281971898</v>
      </c>
      <c r="KZ92" s="1537" t="e">
        <f>+JN92/JN$11</f>
        <v>#DIV/0!</v>
      </c>
      <c r="LB92" s="1534">
        <f t="shared" ref="LB92:LM103" si="593">+SUMIFS($E92:$EG92,$E$6:$EG$6,LB$7,$E$5:$EG$5,$LD$5)</f>
        <v>-37.132709429999991</v>
      </c>
      <c r="LC92" s="1534">
        <f t="shared" si="593"/>
        <v>-137.67329856000003</v>
      </c>
      <c r="LD92" s="1534">
        <f t="shared" si="593"/>
        <v>-1288.6894677699997</v>
      </c>
      <c r="LE92" s="1534">
        <f t="shared" si="593"/>
        <v>-874.40795961999902</v>
      </c>
      <c r="LF92" s="1534">
        <f t="shared" si="593"/>
        <v>-432.845777</v>
      </c>
      <c r="LG92" s="1534">
        <f t="shared" si="593"/>
        <v>-205.58704114999998</v>
      </c>
      <c r="LH92" s="1534">
        <f t="shared" si="593"/>
        <v>-121.11537693</v>
      </c>
      <c r="LI92" s="1534">
        <f t="shared" si="593"/>
        <v>-327.15143988</v>
      </c>
      <c r="LJ92" s="1534">
        <f t="shared" si="593"/>
        <v>-158.04638769999997</v>
      </c>
      <c r="LK92" s="1534">
        <f t="shared" si="593"/>
        <v>-486.18465510000004</v>
      </c>
      <c r="LL92" s="1534">
        <f t="shared" si="593"/>
        <v>-455.97276799999997</v>
      </c>
      <c r="LM92" s="1534">
        <f t="shared" si="593"/>
        <v>-455.97276799999997</v>
      </c>
      <c r="LN92" s="1534"/>
      <c r="LO92" s="1534"/>
      <c r="LR92" s="1537">
        <f t="shared" ref="LR92:LW93" si="594">+IFERROR(LD92/LC92-1," ")</f>
        <v>8.3604895157529047</v>
      </c>
      <c r="LS92" s="1537">
        <f t="shared" si="594"/>
        <v>-0.32147504772184576</v>
      </c>
      <c r="LT92" s="1537">
        <f t="shared" si="594"/>
        <v>-0.50498417559224129</v>
      </c>
      <c r="LU92" s="1537">
        <f t="shared" si="594"/>
        <v>-0.52503396804539004</v>
      </c>
      <c r="LV92" s="1537">
        <f t="shared" si="594"/>
        <v>-0.4108802955064077</v>
      </c>
      <c r="LW92" s="1537">
        <f t="shared" si="594"/>
        <v>1.7011552799697833</v>
      </c>
      <c r="LX92" s="1537">
        <f>+IFERROR(LO92/LI92-1," ")</f>
        <v>-1</v>
      </c>
      <c r="LZ92" s="1534">
        <f t="shared" ref="LZ92:ME93" si="595">+LD92-LC92</f>
        <v>-1151.0161692099996</v>
      </c>
      <c r="MA92" s="1534">
        <f t="shared" si="595"/>
        <v>414.28150815000072</v>
      </c>
      <c r="MB92" s="1534">
        <f t="shared" si="595"/>
        <v>441.56218261999902</v>
      </c>
      <c r="MC92" s="1534">
        <f t="shared" si="595"/>
        <v>227.25873585000002</v>
      </c>
      <c r="MD92" s="1534">
        <f t="shared" si="595"/>
        <v>84.47166421999998</v>
      </c>
      <c r="ME92" s="1534">
        <f t="shared" si="595"/>
        <v>-206.03606295</v>
      </c>
      <c r="MF92" s="1534">
        <f>+LO92-LI92</f>
        <v>327.15143988</v>
      </c>
      <c r="MH92" s="1537">
        <f t="shared" ref="MH92:MO93" si="596">+LB92/LB$11</f>
        <v>-1.2380275953651034E-2</v>
      </c>
      <c r="MI92" s="1537">
        <f t="shared" si="596"/>
        <v>-2.4969475564352701E-2</v>
      </c>
      <c r="MJ92" s="1537">
        <f t="shared" si="596"/>
        <v>-0.25139531416745381</v>
      </c>
      <c r="MK92" s="1537">
        <f t="shared" si="596"/>
        <v>-1.5043014469366918</v>
      </c>
      <c r="ML92" s="1537">
        <f t="shared" si="596"/>
        <v>-0.28732655861731149</v>
      </c>
      <c r="MM92" s="1537">
        <f t="shared" si="596"/>
        <v>-0.19985451340921309</v>
      </c>
      <c r="MN92" s="1537">
        <f t="shared" si="596"/>
        <v>-7.7887068358821948E-2</v>
      </c>
      <c r="MO92" s="1537">
        <f t="shared" si="596"/>
        <v>-0.17383218369892486</v>
      </c>
      <c r="MP92" s="1537" t="e">
        <f>+LO92/LO$11</f>
        <v>#DIV/0!</v>
      </c>
    </row>
    <row r="93" spans="1:354" outlineLevel="1">
      <c r="A93" s="884">
        <v>5305</v>
      </c>
      <c r="B93" s="70" t="s">
        <v>659</v>
      </c>
      <c r="C93" s="47" t="s">
        <v>101</v>
      </c>
      <c r="D93" s="923" t="s">
        <v>59</v>
      </c>
      <c r="E93" s="924">
        <v>-41.379463829999999</v>
      </c>
      <c r="F93" s="924">
        <v>-9.0213264699999982</v>
      </c>
      <c r="G93" s="924">
        <v>-13.671133280000006</v>
      </c>
      <c r="H93" s="924">
        <v>-19.607679299999987</v>
      </c>
      <c r="I93" s="924">
        <v>-10.66869641000001</v>
      </c>
      <c r="J93" s="924">
        <v>-13.215792500000006</v>
      </c>
      <c r="K93" s="924">
        <v>-14.084330750000007</v>
      </c>
      <c r="L93" s="924">
        <v>-12.100026999999983</v>
      </c>
      <c r="M93" s="924">
        <v>-15.420941099999993</v>
      </c>
      <c r="N93" s="924">
        <v>-6.0271620000000041</v>
      </c>
      <c r="O93" s="924">
        <v>-6.6974954400000115</v>
      </c>
      <c r="P93" s="924">
        <v>-25.82884654999998</v>
      </c>
      <c r="Q93" s="924">
        <v>-25.259784190000001</v>
      </c>
      <c r="R93" s="924">
        <v>-25.404925969999997</v>
      </c>
      <c r="S93" s="924">
        <v>-19.68674369</v>
      </c>
      <c r="T93" s="924">
        <v>-30.564012509999998</v>
      </c>
      <c r="U93" s="924">
        <v>-27.65067753999999</v>
      </c>
      <c r="V93" s="924">
        <v>-27.73775882000001</v>
      </c>
      <c r="W93" s="924">
        <v>-32.574938889999999</v>
      </c>
      <c r="X93" s="924">
        <v>-19.333642610000027</v>
      </c>
      <c r="Y93" s="924">
        <v>-26.819243899999975</v>
      </c>
      <c r="Z93" s="924">
        <v>-29.172202310000017</v>
      </c>
      <c r="AA93" s="924">
        <v>-18.502986439999972</v>
      </c>
      <c r="AB93" s="924">
        <v>-22.824886930000048</v>
      </c>
      <c r="AC93" s="924">
        <v>-30.718120469999999</v>
      </c>
      <c r="AD93" s="924">
        <v>-15.182569460000002</v>
      </c>
      <c r="AE93" s="924">
        <v>-56.099580610000004</v>
      </c>
      <c r="AF93" s="924">
        <v>-42.09828701</v>
      </c>
      <c r="AG93" s="924">
        <v>-43.164480780000005</v>
      </c>
      <c r="AH93" s="924">
        <v>-45.583921500000002</v>
      </c>
      <c r="AI93" s="924">
        <v>-46.398567290000003</v>
      </c>
      <c r="AJ93" s="924">
        <v>-37.525735179999998</v>
      </c>
      <c r="AK93" s="924">
        <v>-41.173643329999997</v>
      </c>
      <c r="AL93" s="924">
        <v>-31.360332060000001</v>
      </c>
      <c r="AM93" s="924">
        <v>-43.892560350000004</v>
      </c>
      <c r="AN93" s="924">
        <v>-16.292191779999996</v>
      </c>
      <c r="AO93" s="924">
        <v>-54.646502529999999</v>
      </c>
      <c r="AP93" s="925">
        <v>-29.42645332</v>
      </c>
      <c r="AQ93" s="926">
        <v>-84.578525619999994</v>
      </c>
      <c r="AR93" s="926">
        <v>-194.20135857</v>
      </c>
      <c r="AS93" s="924">
        <v>-53.637945299999998</v>
      </c>
      <c r="AT93" s="924">
        <v>-99.813044910000002</v>
      </c>
      <c r="AU93" s="924">
        <v>-38.747987619999989</v>
      </c>
      <c r="AV93" s="924">
        <v>-70.569078109999992</v>
      </c>
      <c r="AW93" s="924">
        <v>-70.687003060000009</v>
      </c>
      <c r="AX93" s="924">
        <v>-117.33829647000002</v>
      </c>
      <c r="AY93" s="924">
        <v>-79.309346939999998</v>
      </c>
      <c r="AZ93" s="924">
        <f>-187.8561238+1</f>
        <v>-186.85612380000001</v>
      </c>
      <c r="BA93" s="924">
        <v>-70.430505189999991</v>
      </c>
      <c r="BB93" s="924">
        <v>-67.54374</v>
      </c>
      <c r="BC93" s="924">
        <v>-194.91727122</v>
      </c>
      <c r="BD93" s="924">
        <v>-128.62674938000001</v>
      </c>
      <c r="BE93" s="924">
        <v>-90.988396449999996</v>
      </c>
      <c r="BF93" s="924">
        <v>-180.70420322999999</v>
      </c>
      <c r="BG93" s="924">
        <v>-79.774014199999996</v>
      </c>
      <c r="BH93" s="924">
        <v>-221.66827915000002</v>
      </c>
      <c r="BI93" s="924">
        <v>226.33111047</v>
      </c>
      <c r="BJ93" s="924">
        <v>-409.67137718999999</v>
      </c>
      <c r="BK93" s="924">
        <v>-92.379952629999991</v>
      </c>
      <c r="BL93" s="924">
        <v>-165</v>
      </c>
      <c r="BM93" s="924">
        <v>-96.083739370000004</v>
      </c>
      <c r="BN93" s="924">
        <v>-88.69836952</v>
      </c>
      <c r="BO93" s="924">
        <v>-88.208781779999995</v>
      </c>
      <c r="BP93" s="924">
        <v>-140.78648622</v>
      </c>
      <c r="BQ93" s="924">
        <v>-88.976365290000004</v>
      </c>
      <c r="BR93" s="924">
        <v>-69.132220619999998</v>
      </c>
      <c r="BS93" s="924">
        <v>-84.372775430000004</v>
      </c>
      <c r="BT93" s="924">
        <v>-92.412210510000008</v>
      </c>
      <c r="BU93" s="924">
        <v>-84.104169200000001</v>
      </c>
      <c r="BV93" s="924">
        <v>-83.981444709999991</v>
      </c>
      <c r="BW93" s="924">
        <v>-80.204048830000005</v>
      </c>
      <c r="BX93" s="924">
        <v>-74.637089619999983</v>
      </c>
      <c r="BY93" s="924">
        <v>-197.95048937000001</v>
      </c>
      <c r="BZ93" s="924">
        <v>-105.50010753000001</v>
      </c>
      <c r="CA93" s="924">
        <v>-157.26938597</v>
      </c>
      <c r="CB93" s="924">
        <v>-115.40275018999999</v>
      </c>
      <c r="CC93" s="924">
        <v>-61.105191349999998</v>
      </c>
      <c r="CD93" s="924">
        <v>-69.278432359999996</v>
      </c>
      <c r="CE93" s="924">
        <v>-72.027169720000003</v>
      </c>
      <c r="CF93" s="924">
        <v>-80.712745080000005</v>
      </c>
      <c r="CG93" s="924">
        <v>-71.332257089999999</v>
      </c>
      <c r="CH93" s="924">
        <v>-63.32037605</v>
      </c>
      <c r="CI93" s="924">
        <v>-78.686964069999988</v>
      </c>
      <c r="CJ93" s="924">
        <v>-115.27863357</v>
      </c>
      <c r="CK93" s="924">
        <v>-68.15021059</v>
      </c>
      <c r="CL93" s="924">
        <v>-154.27310643000001</v>
      </c>
      <c r="CM93" s="924">
        <v>-92.751558619999983</v>
      </c>
      <c r="CN93" s="924">
        <v>-97.435331189999999</v>
      </c>
      <c r="CO93" s="924">
        <v>-156.60680461999999</v>
      </c>
      <c r="CP93" s="924">
        <v>-196.14801193</v>
      </c>
      <c r="CQ93" s="924">
        <v>-151.87980372000001</v>
      </c>
      <c r="CR93" s="924">
        <v>-148.9439725</v>
      </c>
      <c r="CS93" s="924">
        <v>-131.04361051000001</v>
      </c>
      <c r="CT93" s="924">
        <v>-119.50252118</v>
      </c>
      <c r="CU93" s="924">
        <v>-106.79023635999999</v>
      </c>
      <c r="CV93" s="924">
        <v>-253.00396232</v>
      </c>
      <c r="CW93" s="924">
        <v>-104.67913781</v>
      </c>
      <c r="CX93" s="924">
        <v>-69.16278964</v>
      </c>
      <c r="CY93" s="924">
        <v>-88.438339330000005</v>
      </c>
      <c r="CZ93" s="924">
        <v>-310.39595378000001</v>
      </c>
      <c r="DA93" s="924">
        <v>-334.95218147000003</v>
      </c>
      <c r="DB93" s="924">
        <v>-159.84966846</v>
      </c>
      <c r="DC93" s="924">
        <v>-159.56657033000002</v>
      </c>
      <c r="DD93" s="924">
        <v>-62.892307430000002</v>
      </c>
      <c r="DE93" s="924">
        <v>-71.131158120000009</v>
      </c>
      <c r="DF93" s="924">
        <v>-95.070467129999997</v>
      </c>
      <c r="DG93" s="924">
        <v>-176.74216694</v>
      </c>
      <c r="DH93" s="924">
        <v>-154.45537987999998</v>
      </c>
      <c r="DI93" s="924">
        <v>-74.937463779999987</v>
      </c>
      <c r="DJ93" s="924">
        <v>-107.77240544</v>
      </c>
      <c r="DK93" s="924">
        <v>-94.998017529999998</v>
      </c>
      <c r="DL93" s="924">
        <v>-116.58550170999999</v>
      </c>
      <c r="DM93" s="924">
        <v>-109.21820023000001</v>
      </c>
      <c r="DN93" s="924">
        <v>-112.47610331999999</v>
      </c>
      <c r="DO93" s="924">
        <v>-112.85690434999999</v>
      </c>
      <c r="DP93" s="924">
        <v>-137.70645507</v>
      </c>
      <c r="DQ93" s="960">
        <v>-97.467968470000002</v>
      </c>
      <c r="DR93" s="960">
        <v>-117.87048595</v>
      </c>
      <c r="DS93" s="960">
        <v>-57.98005019</v>
      </c>
      <c r="DT93" s="960">
        <v>-131.25658490000001</v>
      </c>
      <c r="DU93" s="960">
        <f>SUM(DU94:DU98)</f>
        <v>-95.434468600000002</v>
      </c>
      <c r="DV93" s="960">
        <f t="shared" ref="DV93:EF93" si="597">SUM(DV94:DV98)</f>
        <v>-155.66734478000001</v>
      </c>
      <c r="DW93" s="960">
        <f t="shared" si="597"/>
        <v>-259.36321401999999</v>
      </c>
      <c r="DX93" s="960">
        <f t="shared" si="597"/>
        <v>-113.76742307999999</v>
      </c>
      <c r="DY93" s="960">
        <f t="shared" si="597"/>
        <v>-133.20587705</v>
      </c>
      <c r="DZ93" s="960">
        <f t="shared" si="597"/>
        <v>-98.375498530000002</v>
      </c>
      <c r="EA93" s="960">
        <f t="shared" si="597"/>
        <v>-179.56449427000001</v>
      </c>
      <c r="EB93" s="960">
        <f t="shared" si="597"/>
        <v>-204.08930771000001</v>
      </c>
      <c r="EC93" s="960">
        <f t="shared" si="597"/>
        <v>-157.96707779000002</v>
      </c>
      <c r="ED93" s="960">
        <f t="shared" si="597"/>
        <v>-223.15738055</v>
      </c>
      <c r="EE93" s="960">
        <f t="shared" si="597"/>
        <v>-210.59037812999998</v>
      </c>
      <c r="EF93" s="960">
        <f t="shared" si="597"/>
        <v>-221.50043105</v>
      </c>
      <c r="EH93" s="66">
        <v>-58.750301299999997</v>
      </c>
      <c r="EI93" s="66">
        <v>-57.207939029999999</v>
      </c>
      <c r="EJ93" s="66">
        <v>-29.3779243</v>
      </c>
      <c r="EK93" s="66">
        <v>-2.6659016800000002</v>
      </c>
      <c r="EL93" s="66">
        <v>-0.89504762000000004</v>
      </c>
      <c r="EM93" s="66">
        <v>-0.52565324999999996</v>
      </c>
      <c r="EN93" s="66">
        <v>-82.396380084287458</v>
      </c>
      <c r="EO93" s="66">
        <v>-53.473966945361632</v>
      </c>
      <c r="EP93" s="66">
        <v>-51.603140667509976</v>
      </c>
      <c r="EQ93" s="66">
        <v>-52.5385538064358</v>
      </c>
      <c r="ER93" s="66">
        <v>-52.5385538064358</v>
      </c>
      <c r="ES93" s="66">
        <v>-51.603140667509976</v>
      </c>
      <c r="EU93" s="66">
        <v>-44.5</v>
      </c>
      <c r="EV93" s="66">
        <v>-44.5</v>
      </c>
      <c r="EW93" s="66">
        <v>-66.229091999999994</v>
      </c>
      <c r="EX93" s="66">
        <v>-65.645758666666666</v>
      </c>
      <c r="EY93" s="66">
        <v>-65.062425333333323</v>
      </c>
      <c r="EZ93" s="66">
        <v>-64.479091999999994</v>
      </c>
      <c r="FA93" s="66">
        <v>-63.895758666666666</v>
      </c>
      <c r="FB93" s="66">
        <v>-63.31242533333333</v>
      </c>
      <c r="FC93" s="66">
        <v>-62.729092000000001</v>
      </c>
      <c r="FD93" s="66">
        <v>-62.145758666666659</v>
      </c>
      <c r="FE93" s="66">
        <v>-61.56242533333333</v>
      </c>
      <c r="FF93" s="66">
        <v>-60.979091999999987</v>
      </c>
      <c r="FG93" s="66">
        <v>-94.835148081502439</v>
      </c>
      <c r="FH93" s="66">
        <v>-96.457536640715432</v>
      </c>
      <c r="FI93" s="66">
        <v>-95.249526963476484</v>
      </c>
      <c r="FJ93" s="66">
        <v>-93.04584121895472</v>
      </c>
      <c r="FK93" s="66">
        <v>-102.21860213564013</v>
      </c>
      <c r="FL93" s="66">
        <v>-104.83853980021973</v>
      </c>
      <c r="FM93" s="66">
        <v>-104.06006484908728</v>
      </c>
      <c r="FN93" s="66">
        <v>-103.36254437607558</v>
      </c>
      <c r="FO93" s="66">
        <v>-102.02709433735433</v>
      </c>
      <c r="FP93" s="66">
        <v>-100.52367932313599</v>
      </c>
      <c r="FQ93" s="66">
        <v>-98.243740937746793</v>
      </c>
      <c r="FR93" s="66">
        <v>-93.173632270058548</v>
      </c>
      <c r="FS93" s="66">
        <v>-69.232563310000003</v>
      </c>
      <c r="FT93" s="66">
        <v>-69.232563310000003</v>
      </c>
      <c r="FU93" s="66">
        <v>-69.232563310000003</v>
      </c>
      <c r="FV93" s="66">
        <v>-69.232563310000003</v>
      </c>
      <c r="FW93" s="66">
        <v>-69.232563310000003</v>
      </c>
      <c r="FX93" s="66">
        <v>-69.232563310000003</v>
      </c>
      <c r="FY93" s="66">
        <v>-69.232563310000003</v>
      </c>
      <c r="FZ93" s="66">
        <v>-69.232563310000003</v>
      </c>
      <c r="GA93" s="66">
        <v>-69.232563310000003</v>
      </c>
      <c r="GB93" s="66">
        <v>-69.232563310000003</v>
      </c>
      <c r="GC93" s="66">
        <v>-69.232563310000003</v>
      </c>
      <c r="GD93" s="66">
        <v>-69.232563310000003</v>
      </c>
      <c r="GE93" s="66">
        <v>-45.386289318562135</v>
      </c>
      <c r="GF93" s="66">
        <v>-45.386289318562135</v>
      </c>
      <c r="GG93" s="66">
        <v>-43.936348542015288</v>
      </c>
      <c r="GH93" s="66">
        <v>-43.936348542015288</v>
      </c>
      <c r="GI93" s="66">
        <v>-43.936348542015288</v>
      </c>
      <c r="GJ93" s="66">
        <v>-42.486407765468449</v>
      </c>
      <c r="GK93" s="66">
        <v>-42.486407765468449</v>
      </c>
      <c r="GL93" s="66">
        <v>-42.486407765468449</v>
      </c>
      <c r="GM93" s="66">
        <v>-41.036466988921596</v>
      </c>
      <c r="GN93" s="66">
        <v>-41.036466988921596</v>
      </c>
      <c r="GO93" s="66">
        <v>-41.036466988921596</v>
      </c>
      <c r="GP93" s="66">
        <v>-39.586526212374757</v>
      </c>
      <c r="GQ93" s="66">
        <v>-45.386289318562135</v>
      </c>
      <c r="GR93" s="66">
        <v>-45.386289318562135</v>
      </c>
      <c r="GS93" s="66">
        <v>-43.936348542015288</v>
      </c>
      <c r="GT93" s="66">
        <v>-43.936348542015288</v>
      </c>
      <c r="GU93" s="66">
        <v>-43.936348542015288</v>
      </c>
      <c r="GV93" s="66">
        <v>-42.486407765468449</v>
      </c>
      <c r="GW93" s="66">
        <v>-42.486407765468449</v>
      </c>
      <c r="GX93" s="66">
        <v>-42.486407765468449</v>
      </c>
      <c r="GY93" s="66">
        <v>-41.036466988921596</v>
      </c>
      <c r="GZ93" s="66">
        <v>-41.036466988921596</v>
      </c>
      <c r="HA93" s="66">
        <v>-41.036466988921596</v>
      </c>
      <c r="HB93" s="66">
        <v>-39.586526212374757</v>
      </c>
      <c r="HD93" s="924">
        <f t="shared" si="582"/>
        <v>-187.72289462999998</v>
      </c>
      <c r="HE93" s="924">
        <f t="shared" si="582"/>
        <v>-305.53180380000003</v>
      </c>
      <c r="HF93" s="924">
        <f t="shared" si="582"/>
        <v>-449.48998982000001</v>
      </c>
      <c r="HG93" s="924">
        <f t="shared" si="582"/>
        <v>-1079.8116662500001</v>
      </c>
      <c r="HH93" s="924">
        <f t="shared" si="583"/>
        <v>-1475.37337817</v>
      </c>
      <c r="HI93" s="924">
        <f t="shared" si="584"/>
        <v>-1071.5977011</v>
      </c>
      <c r="HJ93" s="924">
        <f t="shared" si="472"/>
        <v>-1187.8645023500001</v>
      </c>
      <c r="HK93" s="924">
        <f t="shared" si="473"/>
        <v>-1676.5291299700002</v>
      </c>
      <c r="HL93" s="960">
        <f>+SUMIF($E$6:SEW$6,HL$7,$E93:SEW93)</f>
        <v>-1787.3361203200004</v>
      </c>
      <c r="HM93" s="960">
        <f>+SUMIF($E$6:SEX$6,HM$7,$E93:SEX93)</f>
        <v>-1271.1261409399999</v>
      </c>
      <c r="HN93" s="960">
        <f>+SUMIF($E$6:SEY$6,HN$7,$E93:SEY93)</f>
        <v>-2052.6828955599999</v>
      </c>
      <c r="HO93" s="924"/>
      <c r="HP93" s="924"/>
      <c r="HR93" s="929">
        <f t="shared" si="585"/>
        <v>0.47117250718106729</v>
      </c>
      <c r="HS93" s="929">
        <f t="shared" si="585"/>
        <v>1.4023041462667831</v>
      </c>
      <c r="HT93" s="929">
        <f t="shared" si="585"/>
        <v>0.36632472521223769</v>
      </c>
      <c r="HU93" s="929">
        <f t="shared" si="585"/>
        <v>-0.27367694377868523</v>
      </c>
      <c r="HV93" s="929">
        <f t="shared" si="585"/>
        <v>0.10849855419683307</v>
      </c>
      <c r="HW93" s="929">
        <f t="shared" si="585"/>
        <v>0.41138078177540893</v>
      </c>
      <c r="HX93" s="929">
        <f t="shared" si="585"/>
        <v>6.6093089806309013E-2</v>
      </c>
      <c r="HY93" s="929">
        <f t="shared" si="585"/>
        <v>-0.28881527850932676</v>
      </c>
      <c r="HZ93" s="929">
        <f t="shared" si="585"/>
        <v>0.61485381304646713</v>
      </c>
      <c r="IA93" s="929">
        <f t="shared" si="481"/>
        <v>-1</v>
      </c>
      <c r="IB93" s="929" t="str">
        <f>+IFERROR(HP93/HO93-1,"")</f>
        <v/>
      </c>
      <c r="IC93" s="929">
        <f t="shared" si="483"/>
        <v>-1</v>
      </c>
      <c r="IE93" s="924">
        <f t="shared" si="586"/>
        <v>-143.95818601999997</v>
      </c>
      <c r="IF93" s="924">
        <f t="shared" si="586"/>
        <v>-630.32167643000014</v>
      </c>
      <c r="IG93" s="924">
        <f t="shared" si="586"/>
        <v>-395.56171191999988</v>
      </c>
      <c r="IH93" s="924">
        <f t="shared" si="586"/>
        <v>403.77567707000003</v>
      </c>
      <c r="II93" s="924">
        <f t="shared" si="576"/>
        <v>-116.26680125000007</v>
      </c>
      <c r="IJ93" s="924">
        <f t="shared" si="576"/>
        <v>-488.66462762000015</v>
      </c>
      <c r="IK93" s="924">
        <f t="shared" si="576"/>
        <v>-110.80699035000021</v>
      </c>
      <c r="IL93" s="924">
        <f t="shared" si="491"/>
        <v>1787.3361203200004</v>
      </c>
      <c r="IM93" s="924">
        <f>+HP93-HO93</f>
        <v>0</v>
      </c>
      <c r="IN93" s="924">
        <f t="shared" si="493"/>
        <v>1787.3361203200004</v>
      </c>
      <c r="IP93" s="32">
        <f t="shared" si="587"/>
        <v>-8.3125962443452127E-3</v>
      </c>
      <c r="IQ93" s="32">
        <f t="shared" si="587"/>
        <v>-1.1413305288870692E-2</v>
      </c>
      <c r="IR93" s="32">
        <f t="shared" si="587"/>
        <v>-6.4073194943425421E-2</v>
      </c>
      <c r="IS93" s="32">
        <f t="shared" si="587"/>
        <v>-0.23981907530640134</v>
      </c>
      <c r="IT93" s="32">
        <f t="shared" si="587"/>
        <v>-7.8627357126038619E-2</v>
      </c>
      <c r="IU93" s="32">
        <f t="shared" si="587"/>
        <v>-8.3944854330079532E-2</v>
      </c>
      <c r="IV93" s="32">
        <f t="shared" si="587"/>
        <v>-7.8972227327687841E-2</v>
      </c>
      <c r="IW93" s="32">
        <f t="shared" si="587"/>
        <v>-0.14162853342096249</v>
      </c>
      <c r="IX93" s="32" t="e">
        <f>+HO93/HO$11</f>
        <v>#DIV/0!</v>
      </c>
      <c r="IY93" s="32" t="e">
        <f>+HP93/HP$11</f>
        <v>#DIV/0!</v>
      </c>
      <c r="JA93" s="924">
        <f t="shared" si="588"/>
        <v>-187.72289462999998</v>
      </c>
      <c r="JB93" s="924">
        <f t="shared" si="588"/>
        <v>-305.53180380000003</v>
      </c>
      <c r="JC93" s="924">
        <f t="shared" si="588"/>
        <v>-449.48998982000001</v>
      </c>
      <c r="JD93" s="924">
        <f t="shared" si="588"/>
        <v>-1079.8116662500001</v>
      </c>
      <c r="JE93" s="924">
        <f t="shared" si="588"/>
        <v>-1475.37337817</v>
      </c>
      <c r="JF93" s="924">
        <f t="shared" si="588"/>
        <v>-1071.5977011</v>
      </c>
      <c r="JG93" s="924">
        <f t="shared" si="588"/>
        <v>-1187.8645023500001</v>
      </c>
      <c r="JH93" s="924">
        <f t="shared" si="588"/>
        <v>-1676.5291299700002</v>
      </c>
      <c r="JI93" s="924">
        <f t="shared" si="588"/>
        <v>-1787.3361203200004</v>
      </c>
      <c r="JJ93" s="924">
        <f t="shared" si="588"/>
        <v>-1271.1261409399999</v>
      </c>
      <c r="JK93" s="924">
        <f t="shared" si="588"/>
        <v>-2052.6828955599999</v>
      </c>
      <c r="JL93" s="924">
        <f t="shared" si="589"/>
        <v>-2052.6828955599999</v>
      </c>
      <c r="JM93" s="924"/>
      <c r="JN93" s="924"/>
      <c r="JP93" s="924">
        <f>+JL93</f>
        <v>-2052.6828955599999</v>
      </c>
      <c r="JQ93" s="924">
        <f>+JM93</f>
        <v>0</v>
      </c>
      <c r="JR93" s="145"/>
      <c r="JS93" s="927" t="str">
        <f>+IFERROR(JP93/JQ93,"")</f>
        <v/>
      </c>
      <c r="JT93" s="928">
        <f>+IFERROR(JP93-JQ93,"NA")</f>
        <v>-2052.6828955599999</v>
      </c>
      <c r="JV93" s="32">
        <f>+JP93/JP$11</f>
        <v>-6.7988600315626049E-2</v>
      </c>
      <c r="JW93" s="929" t="str">
        <f>+IFERROR(JQ93/JQ$11,"")</f>
        <v/>
      </c>
      <c r="JY93" s="32">
        <f t="shared" si="590"/>
        <v>0.47117250718106729</v>
      </c>
      <c r="JZ93" s="32">
        <f t="shared" si="590"/>
        <v>1.4023041462667831</v>
      </c>
      <c r="KA93" s="32">
        <f t="shared" si="590"/>
        <v>0.36632472521223769</v>
      </c>
      <c r="KB93" s="32">
        <f t="shared" si="590"/>
        <v>-0.27367694377868523</v>
      </c>
      <c r="KC93" s="32">
        <f t="shared" si="590"/>
        <v>0.10849855419683307</v>
      </c>
      <c r="KD93" s="32">
        <f t="shared" si="590"/>
        <v>0.41138078177540893</v>
      </c>
      <c r="KE93" s="32">
        <f t="shared" si="590"/>
        <v>6.6093089806309013E-2</v>
      </c>
      <c r="KF93" s="32">
        <f>+IFERROR(JN93/JI93-1,"NA")</f>
        <v>-1</v>
      </c>
      <c r="KH93" s="924">
        <f t="shared" si="591"/>
        <v>-143.95818601999997</v>
      </c>
      <c r="KI93" s="924">
        <f t="shared" si="591"/>
        <v>-630.32167643000014</v>
      </c>
      <c r="KJ93" s="924">
        <f t="shared" si="591"/>
        <v>-395.56171191999988</v>
      </c>
      <c r="KK93" s="924">
        <f t="shared" si="591"/>
        <v>403.77567707000003</v>
      </c>
      <c r="KL93" s="924">
        <f t="shared" si="591"/>
        <v>-116.26680125000007</v>
      </c>
      <c r="KM93" s="924">
        <f t="shared" si="591"/>
        <v>-488.66462762000015</v>
      </c>
      <c r="KN93" s="924">
        <f t="shared" si="591"/>
        <v>-110.80699035000021</v>
      </c>
      <c r="KO93" s="924">
        <f>+JN93-JI93</f>
        <v>1787.3361203200004</v>
      </c>
      <c r="KQ93" s="32">
        <f t="shared" si="592"/>
        <v>-5.1740854781352182E-3</v>
      </c>
      <c r="KR93" s="32">
        <f t="shared" si="592"/>
        <v>-8.3125962443452127E-3</v>
      </c>
      <c r="KS93" s="32">
        <f t="shared" si="592"/>
        <v>-1.1413305288870692E-2</v>
      </c>
      <c r="KT93" s="32">
        <f t="shared" si="592"/>
        <v>-6.4073194943425421E-2</v>
      </c>
      <c r="KU93" s="32">
        <f t="shared" si="592"/>
        <v>-0.23981907530640134</v>
      </c>
      <c r="KV93" s="32">
        <f t="shared" si="592"/>
        <v>-7.8627357126038619E-2</v>
      </c>
      <c r="KW93" s="32">
        <f t="shared" si="592"/>
        <v>-8.3944854330079532E-2</v>
      </c>
      <c r="KX93" s="32">
        <f t="shared" si="592"/>
        <v>-7.8972227327687841E-2</v>
      </c>
      <c r="KY93" s="32">
        <f>+JI93/JI$11</f>
        <v>-0.14162853342096249</v>
      </c>
      <c r="KZ93" s="32" t="e">
        <f>+JN93/JN$11</f>
        <v>#DIV/0!</v>
      </c>
      <c r="LB93" s="924">
        <f t="shared" si="593"/>
        <v>-25.82884654999998</v>
      </c>
      <c r="LC93" s="924">
        <f t="shared" si="593"/>
        <v>-22.824886930000048</v>
      </c>
      <c r="LD93" s="924">
        <f t="shared" si="593"/>
        <v>-16.292191779999996</v>
      </c>
      <c r="LE93" s="924">
        <f t="shared" si="593"/>
        <v>-186.85612380000001</v>
      </c>
      <c r="LF93" s="924">
        <f t="shared" si="593"/>
        <v>-165</v>
      </c>
      <c r="LG93" s="924">
        <f t="shared" si="593"/>
        <v>-74.637089619999983</v>
      </c>
      <c r="LH93" s="924">
        <f t="shared" si="593"/>
        <v>-115.27863357</v>
      </c>
      <c r="LI93" s="924">
        <f t="shared" si="593"/>
        <v>-253.00396232</v>
      </c>
      <c r="LJ93" s="924">
        <f t="shared" si="593"/>
        <v>-154.45537987999998</v>
      </c>
      <c r="LK93" s="924">
        <f t="shared" si="593"/>
        <v>-131.25658490000001</v>
      </c>
      <c r="LL93" s="924">
        <f t="shared" si="593"/>
        <v>-221.50043105</v>
      </c>
      <c r="LM93" s="924">
        <f t="shared" si="593"/>
        <v>-221.50043105</v>
      </c>
      <c r="LN93" s="924"/>
      <c r="LO93" s="924"/>
      <c r="LR93" s="32">
        <f t="shared" si="594"/>
        <v>-0.28620931047915765</v>
      </c>
      <c r="LS93" s="32">
        <f t="shared" si="594"/>
        <v>10.4690599228878</v>
      </c>
      <c r="LT93" s="32">
        <f t="shared" si="594"/>
        <v>-0.11696766129748859</v>
      </c>
      <c r="LU93" s="32">
        <f t="shared" si="594"/>
        <v>-0.54765400230303041</v>
      </c>
      <c r="LV93" s="32">
        <f t="shared" si="594"/>
        <v>0.54452208890939358</v>
      </c>
      <c r="LW93" s="32">
        <f t="shared" si="594"/>
        <v>1.194716874106335</v>
      </c>
      <c r="LX93" s="32">
        <f>+IFERROR(LO93/LI93-1," ")</f>
        <v>-1</v>
      </c>
      <c r="LZ93" s="924">
        <f t="shared" si="595"/>
        <v>6.5326951500000519</v>
      </c>
      <c r="MA93" s="924">
        <f t="shared" si="595"/>
        <v>-170.56393202000001</v>
      </c>
      <c r="MB93" s="924">
        <f t="shared" si="595"/>
        <v>21.856123800000006</v>
      </c>
      <c r="MC93" s="924">
        <f t="shared" si="595"/>
        <v>90.362910380000017</v>
      </c>
      <c r="MD93" s="924">
        <f t="shared" si="595"/>
        <v>-40.641543950000013</v>
      </c>
      <c r="ME93" s="924">
        <f t="shared" si="595"/>
        <v>-137.72532875000002</v>
      </c>
      <c r="MF93" s="924">
        <f>+LO93-LI93</f>
        <v>253.00396232</v>
      </c>
      <c r="MH93" s="32">
        <f t="shared" si="596"/>
        <v>-8.6114978616443853E-3</v>
      </c>
      <c r="MI93" s="32">
        <f t="shared" si="596"/>
        <v>-4.1396949329965222E-3</v>
      </c>
      <c r="MJ93" s="32">
        <f t="shared" si="596"/>
        <v>-3.1782526151137185E-3</v>
      </c>
      <c r="MK93" s="32">
        <f t="shared" si="596"/>
        <v>-0.32146086310041944</v>
      </c>
      <c r="ML93" s="32">
        <f t="shared" si="596"/>
        <v>-0.10952834633259317</v>
      </c>
      <c r="MM93" s="32">
        <f t="shared" si="596"/>
        <v>-7.2555931272932403E-2</v>
      </c>
      <c r="MN93" s="32">
        <f t="shared" si="596"/>
        <v>-7.4133566197523593E-2</v>
      </c>
      <c r="MO93" s="32">
        <f t="shared" si="596"/>
        <v>-0.1344338611827543</v>
      </c>
      <c r="MP93" s="32" t="e">
        <f>+LO93/LO$11</f>
        <v>#DIV/0!</v>
      </c>
    </row>
    <row r="94" spans="1:354" outlineLevel="2">
      <c r="A94" s="884">
        <v>530505</v>
      </c>
      <c r="B94" s="70"/>
      <c r="C94" s="40" t="s">
        <v>670</v>
      </c>
      <c r="D94" s="31"/>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45"/>
      <c r="AQ94" s="143"/>
      <c r="AR94" s="143"/>
      <c r="AS94" s="102"/>
      <c r="AT94" s="102"/>
      <c r="AU94" s="102"/>
      <c r="AV94" s="102"/>
      <c r="AW94" s="102"/>
      <c r="AX94" s="102"/>
      <c r="AY94" s="102"/>
      <c r="AZ94" s="102"/>
      <c r="BA94" s="102"/>
      <c r="BB94" s="102"/>
      <c r="BC94" s="102"/>
      <c r="BD94" s="102"/>
      <c r="BE94" s="102"/>
      <c r="BF94" s="102"/>
      <c r="BG94" s="102"/>
      <c r="BH94" s="102"/>
      <c r="BI94" s="102"/>
      <c r="BJ94" s="102"/>
      <c r="BK94" s="102"/>
      <c r="BL94" s="102"/>
      <c r="BM94" s="102">
        <v>-3.6358666099999999</v>
      </c>
      <c r="BN94" s="102">
        <v>-5.4707844400000001</v>
      </c>
      <c r="BO94" s="102">
        <v>-4.5853779599999998</v>
      </c>
      <c r="BP94" s="102">
        <v>-11.31010749</v>
      </c>
      <c r="BQ94" s="102">
        <v>-7.4141823699999998</v>
      </c>
      <c r="BR94" s="102">
        <v>-5.9267589999999997</v>
      </c>
      <c r="BS94" s="102">
        <v>-16.24461295</v>
      </c>
      <c r="BT94" s="102">
        <v>-4.7354976100000004</v>
      </c>
      <c r="BU94" s="102">
        <v>-6.3393149299999996</v>
      </c>
      <c r="BV94" s="102">
        <v>-4.3965332999999998</v>
      </c>
      <c r="BW94" s="102">
        <v>-16.695204610000001</v>
      </c>
      <c r="BX94" s="102">
        <v>-5.8747644699999997</v>
      </c>
      <c r="BY94" s="102">
        <v>-9.3677259600000014</v>
      </c>
      <c r="BZ94" s="102">
        <v>-4.8256411999999997</v>
      </c>
      <c r="CA94" s="102">
        <v>-8.123837700000001</v>
      </c>
      <c r="CB94" s="102">
        <v>-5.9579198600000005</v>
      </c>
      <c r="CC94" s="102">
        <v>-6.5608558599999993</v>
      </c>
      <c r="CD94" s="102">
        <v>-2.81334361</v>
      </c>
      <c r="CE94" s="102">
        <v>-4.3285721600000002</v>
      </c>
      <c r="CF94" s="102">
        <v>-5.0749967900000001</v>
      </c>
      <c r="CG94" s="102">
        <v>-4.7760209699999994</v>
      </c>
      <c r="CH94" s="102">
        <v>-3.06643336</v>
      </c>
      <c r="CI94" s="102">
        <v>-4.5143040499999998</v>
      </c>
      <c r="CJ94" s="102">
        <v>-34.076364499999997</v>
      </c>
      <c r="CK94" s="102">
        <v>-4.1626995999999998</v>
      </c>
      <c r="CL94" s="102">
        <v>-6.6178970700000006</v>
      </c>
      <c r="CM94" s="102">
        <v>-5.0579144800000009</v>
      </c>
      <c r="CN94" s="102">
        <v>-6.3205330199999992</v>
      </c>
      <c r="CO94" s="102">
        <v>-7.3952492400000001</v>
      </c>
      <c r="CP94" s="102">
        <v>-4.0141119300000003</v>
      </c>
      <c r="CQ94" s="102">
        <v>-7.4827123699999998</v>
      </c>
      <c r="CR94" s="102">
        <v>-5.78143516</v>
      </c>
      <c r="CS94" s="102">
        <v>-6.6885340800000002</v>
      </c>
      <c r="CT94" s="102">
        <v>-4.0364560799999998</v>
      </c>
      <c r="CU94" s="102">
        <v>-5.8940009099999999</v>
      </c>
      <c r="CV94" s="102">
        <v>-10.75856967</v>
      </c>
      <c r="CW94" s="102">
        <v>-7.3357551299999999</v>
      </c>
      <c r="CX94" s="102">
        <v>-4.9974138699999999</v>
      </c>
      <c r="CY94" s="102">
        <v>-6.6874263300000001</v>
      </c>
      <c r="CZ94" s="102">
        <v>-6.4529492300000006</v>
      </c>
      <c r="DA94" s="102">
        <v>-9.511971599999999</v>
      </c>
      <c r="DB94" s="102">
        <v>-5.39927008</v>
      </c>
      <c r="DC94" s="102">
        <v>-4.6536514900000006</v>
      </c>
      <c r="DD94" s="102">
        <v>-3.2945827300000001</v>
      </c>
      <c r="DE94" s="102">
        <v>-4.0663966199999999</v>
      </c>
      <c r="DF94" s="102">
        <v>-3.78437131</v>
      </c>
      <c r="DG94" s="102">
        <v>-5.0387790900000002</v>
      </c>
      <c r="DH94" s="102">
        <v>-6.4693726100000006</v>
      </c>
      <c r="DI94" s="102">
        <v>-6.8869229199999999</v>
      </c>
      <c r="DJ94" s="102">
        <v>-6.6131819600000004</v>
      </c>
      <c r="DK94" s="102">
        <v>-6.5247190700000006</v>
      </c>
      <c r="DL94" s="102">
        <v>-4.0256737200000003</v>
      </c>
      <c r="DM94" s="102">
        <v>-5.77941533</v>
      </c>
      <c r="DN94" s="102">
        <v>-5.5796721500000004</v>
      </c>
      <c r="DO94" s="102">
        <v>-6.1774589899999999</v>
      </c>
      <c r="DP94" s="102">
        <v>-5.83074447</v>
      </c>
      <c r="DQ94" s="940">
        <v>-9.8654479800000008</v>
      </c>
      <c r="DR94" s="940">
        <v>-4.5983607500000003</v>
      </c>
      <c r="DS94" s="940">
        <v>-7.8544018800000002</v>
      </c>
      <c r="DT94" s="940">
        <v>-6.4284958899999998</v>
      </c>
      <c r="DU94" s="940">
        <v>-7.6008942400000006</v>
      </c>
      <c r="DV94" s="940">
        <v>-9.6544950099999998</v>
      </c>
      <c r="DW94" s="940">
        <v>-10.929865939999999</v>
      </c>
      <c r="DX94" s="940">
        <v>-6.0516347599999998</v>
      </c>
      <c r="DY94" s="940">
        <v>-9.6784930299999985</v>
      </c>
      <c r="DZ94" s="940">
        <v>-9.480239769999999</v>
      </c>
      <c r="EA94" s="940">
        <v>-12.584051609999999</v>
      </c>
      <c r="EB94" s="940">
        <v>-13.69496706</v>
      </c>
      <c r="EC94" s="940">
        <v>-16.019430109999998</v>
      </c>
      <c r="ED94" s="940">
        <v>-11.26570317</v>
      </c>
      <c r="EE94" s="940">
        <v>-11.518130510000001</v>
      </c>
      <c r="EF94" s="940">
        <v>-17.124519750000001</v>
      </c>
      <c r="EH94" s="66"/>
      <c r="EI94" s="66"/>
      <c r="EJ94" s="66"/>
      <c r="EK94" s="66"/>
      <c r="EL94" s="66"/>
      <c r="EM94" s="66"/>
      <c r="EN94" s="66"/>
      <c r="EO94" s="66"/>
      <c r="EP94" s="66"/>
      <c r="EQ94" s="66"/>
      <c r="ER94" s="66"/>
      <c r="ES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D94" s="102">
        <f t="shared" si="582"/>
        <v>0</v>
      </c>
      <c r="HE94" s="102">
        <f t="shared" si="582"/>
        <v>0</v>
      </c>
      <c r="HF94" s="102">
        <f t="shared" si="582"/>
        <v>0</v>
      </c>
      <c r="HG94" s="102">
        <f t="shared" si="582"/>
        <v>0</v>
      </c>
      <c r="HH94" s="102">
        <f t="shared" si="583"/>
        <v>0</v>
      </c>
      <c r="HI94" s="102">
        <f t="shared" si="584"/>
        <v>-92.629005739999997</v>
      </c>
      <c r="HJ94" s="102">
        <f t="shared" si="472"/>
        <v>-93.486016019999994</v>
      </c>
      <c r="HK94" s="102">
        <f t="shared" si="473"/>
        <v>-74.210113610000008</v>
      </c>
      <c r="HL94" s="940">
        <f>+SUMIF($E$6:SEW$6,HL$7,$E94:SEW94)</f>
        <v>-67.691940090000003</v>
      </c>
      <c r="HM94" s="940">
        <f>+SUMIF($E$6:SEX$6,HM$7,$E94:SEX94)</f>
        <v>-76.16449510999999</v>
      </c>
      <c r="HN94" s="940">
        <f>+SUMIF($E$6:SEY$6,HN$7,$E94:SEY94)</f>
        <v>-135.60242495999998</v>
      </c>
      <c r="HO94" s="102"/>
      <c r="HP94" s="102"/>
      <c r="HR94" s="929"/>
      <c r="HS94" s="929"/>
      <c r="HT94" s="929"/>
      <c r="HU94" s="929"/>
      <c r="HV94" s="929"/>
      <c r="HW94" s="929"/>
      <c r="HX94" s="929"/>
      <c r="HY94" s="929"/>
      <c r="HZ94" s="929"/>
      <c r="IA94" s="929"/>
      <c r="IB94" s="929"/>
      <c r="IC94" s="929"/>
      <c r="IE94" s="102"/>
      <c r="IF94" s="102"/>
      <c r="IG94" s="102"/>
      <c r="IH94" s="102"/>
      <c r="II94" s="102"/>
      <c r="IJ94" s="102"/>
      <c r="IK94" s="102"/>
      <c r="IL94" s="102"/>
      <c r="IM94" s="102"/>
      <c r="IN94" s="102"/>
      <c r="IP94" s="32"/>
      <c r="IQ94" s="32"/>
      <c r="IR94" s="32"/>
      <c r="IS94" s="32"/>
      <c r="IT94" s="32"/>
      <c r="IU94" s="32"/>
      <c r="IV94" s="32"/>
      <c r="IW94" s="32"/>
      <c r="IX94" s="32"/>
      <c r="IY94" s="32"/>
      <c r="JA94" s="102">
        <f t="shared" si="588"/>
        <v>0</v>
      </c>
      <c r="JB94" s="102">
        <f t="shared" si="588"/>
        <v>0</v>
      </c>
      <c r="JC94" s="102">
        <f t="shared" si="588"/>
        <v>0</v>
      </c>
      <c r="JD94" s="102">
        <f t="shared" si="588"/>
        <v>0</v>
      </c>
      <c r="JE94" s="102">
        <f t="shared" si="588"/>
        <v>0</v>
      </c>
      <c r="JF94" s="102">
        <f t="shared" si="588"/>
        <v>-92.629005739999997</v>
      </c>
      <c r="JG94" s="102">
        <f t="shared" si="588"/>
        <v>-93.486016019999994</v>
      </c>
      <c r="JH94" s="102">
        <f t="shared" si="588"/>
        <v>-74.210113610000008</v>
      </c>
      <c r="JI94" s="102">
        <f t="shared" si="588"/>
        <v>-67.691940090000003</v>
      </c>
      <c r="JJ94" s="102">
        <f t="shared" si="588"/>
        <v>-76.16449510999999</v>
      </c>
      <c r="JK94" s="102">
        <f t="shared" si="588"/>
        <v>-135.60242495999998</v>
      </c>
      <c r="JL94" s="102">
        <f t="shared" si="589"/>
        <v>-135.60242495999998</v>
      </c>
      <c r="JM94" s="102"/>
      <c r="JN94" s="102"/>
      <c r="JO94" s="1184"/>
      <c r="JP94" s="102"/>
      <c r="JQ94" s="102"/>
      <c r="JR94" s="145"/>
      <c r="JS94" s="929"/>
      <c r="JT94" s="930"/>
      <c r="JV94" s="32"/>
      <c r="JW94" s="929"/>
      <c r="JY94" s="32"/>
      <c r="JZ94" s="32"/>
      <c r="KA94" s="32"/>
      <c r="KB94" s="32"/>
      <c r="KC94" s="32"/>
      <c r="KD94" s="32"/>
      <c r="KE94" s="32"/>
      <c r="KF94" s="32"/>
      <c r="KH94" s="102"/>
      <c r="KI94" s="102"/>
      <c r="KJ94" s="102"/>
      <c r="KK94" s="102"/>
      <c r="KL94" s="102"/>
      <c r="KM94" s="102"/>
      <c r="KN94" s="102"/>
      <c r="KO94" s="102"/>
      <c r="KQ94" s="32"/>
      <c r="KR94" s="32"/>
      <c r="KS94" s="32"/>
      <c r="KT94" s="32"/>
      <c r="KU94" s="32"/>
      <c r="KV94" s="32"/>
      <c r="KW94" s="32"/>
      <c r="KX94" s="32"/>
      <c r="KY94" s="32"/>
      <c r="KZ94" s="32"/>
      <c r="LB94" s="102">
        <f t="shared" si="593"/>
        <v>0</v>
      </c>
      <c r="LC94" s="102">
        <f t="shared" si="593"/>
        <v>0</v>
      </c>
      <c r="LD94" s="102">
        <f t="shared" si="593"/>
        <v>0</v>
      </c>
      <c r="LE94" s="102">
        <f t="shared" si="593"/>
        <v>0</v>
      </c>
      <c r="LF94" s="102">
        <f t="shared" si="593"/>
        <v>0</v>
      </c>
      <c r="LG94" s="102">
        <f t="shared" si="593"/>
        <v>-5.8747644699999997</v>
      </c>
      <c r="LH94" s="102">
        <f t="shared" si="593"/>
        <v>-34.076364499999997</v>
      </c>
      <c r="LI94" s="102">
        <f t="shared" si="593"/>
        <v>-10.75856967</v>
      </c>
      <c r="LJ94" s="102">
        <f t="shared" si="593"/>
        <v>-6.4693726100000006</v>
      </c>
      <c r="LK94" s="102">
        <f t="shared" si="593"/>
        <v>-6.4284958899999998</v>
      </c>
      <c r="LL94" s="102">
        <f t="shared" si="593"/>
        <v>-17.124519750000001</v>
      </c>
      <c r="LM94" s="102">
        <f t="shared" si="593"/>
        <v>-17.124519750000001</v>
      </c>
      <c r="LN94" s="102"/>
      <c r="LO94" s="102"/>
      <c r="LR94" s="32"/>
      <c r="LS94" s="32"/>
      <c r="LT94" s="32"/>
      <c r="LU94" s="32"/>
      <c r="LV94" s="32"/>
      <c r="LW94" s="32"/>
      <c r="LX94" s="32"/>
      <c r="LZ94" s="102"/>
      <c r="MA94" s="102"/>
      <c r="MB94" s="102"/>
      <c r="MC94" s="102"/>
      <c r="MD94" s="102"/>
      <c r="ME94" s="102"/>
      <c r="MF94" s="102"/>
      <c r="MH94" s="32"/>
      <c r="MI94" s="32"/>
      <c r="MJ94" s="32"/>
      <c r="MK94" s="32"/>
      <c r="ML94" s="32"/>
      <c r="MM94" s="32"/>
      <c r="MN94" s="32"/>
      <c r="MO94" s="32"/>
      <c r="MP94" s="32"/>
    </row>
    <row r="95" spans="1:354" outlineLevel="2">
      <c r="A95" s="884">
        <v>530515</v>
      </c>
      <c r="B95" s="70"/>
      <c r="C95" s="40" t="s">
        <v>671</v>
      </c>
      <c r="D95" s="31"/>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45"/>
      <c r="AQ95" s="143"/>
      <c r="AR95" s="143"/>
      <c r="AS95" s="102"/>
      <c r="AT95" s="102"/>
      <c r="AU95" s="102"/>
      <c r="AV95" s="102"/>
      <c r="AW95" s="102"/>
      <c r="AX95" s="102"/>
      <c r="AY95" s="102"/>
      <c r="AZ95" s="102"/>
      <c r="BA95" s="102"/>
      <c r="BB95" s="102"/>
      <c r="BC95" s="102"/>
      <c r="BD95" s="102"/>
      <c r="BE95" s="102"/>
      <c r="BF95" s="102"/>
      <c r="BG95" s="102"/>
      <c r="BH95" s="102"/>
      <c r="BI95" s="102"/>
      <c r="BJ95" s="102"/>
      <c r="BK95" s="102"/>
      <c r="BL95" s="102"/>
      <c r="BM95" s="102">
        <v>-0.25937732999999996</v>
      </c>
      <c r="BN95" s="102">
        <v>-0.66972158999999998</v>
      </c>
      <c r="BO95" s="102">
        <v>-2.4381775000000001</v>
      </c>
      <c r="BP95" s="102">
        <v>-0.40243499999999999</v>
      </c>
      <c r="BQ95" s="102">
        <v>-0.48621950000000003</v>
      </c>
      <c r="BR95" s="102">
        <v>-0.39194000000000001</v>
      </c>
      <c r="BS95" s="102">
        <v>0.48067052000000005</v>
      </c>
      <c r="BT95" s="102">
        <v>-0.33910299999999999</v>
      </c>
      <c r="BU95" s="102">
        <v>-0.26556800000000003</v>
      </c>
      <c r="BV95" s="102">
        <v>-0.63458440000000005</v>
      </c>
      <c r="BW95" s="102">
        <v>-0.77418299999999995</v>
      </c>
      <c r="BX95" s="102">
        <v>-0.787381</v>
      </c>
      <c r="BY95" s="102">
        <v>-0.69334899999999999</v>
      </c>
      <c r="BZ95" s="102">
        <v>-0.48315000000000002</v>
      </c>
      <c r="CA95" s="102">
        <v>-0.58432799999999996</v>
      </c>
      <c r="CB95" s="102">
        <v>-0.88758499999999996</v>
      </c>
      <c r="CC95" s="102">
        <v>-1.0706329999999999</v>
      </c>
      <c r="CD95" s="102">
        <v>-2.1977732200000002</v>
      </c>
      <c r="CE95" s="102">
        <v>-1.64461313</v>
      </c>
      <c r="CF95" s="102">
        <v>-2.2735442300000002</v>
      </c>
      <c r="CG95" s="102">
        <v>-2.2778173399999999</v>
      </c>
      <c r="CH95" s="102">
        <v>-2.1537974200000001</v>
      </c>
      <c r="CI95" s="102">
        <v>-2.52497989</v>
      </c>
      <c r="CJ95" s="102">
        <v>-11.901490259999999</v>
      </c>
      <c r="CK95" s="102">
        <v>-5.58854235</v>
      </c>
      <c r="CL95" s="102">
        <v>-15.260175380000002</v>
      </c>
      <c r="CM95" s="102">
        <v>-12.032122510000001</v>
      </c>
      <c r="CN95" s="102">
        <v>-9.5716402200000008</v>
      </c>
      <c r="CO95" s="102">
        <v>-17.655496520000003</v>
      </c>
      <c r="CP95" s="102">
        <v>-19.832023899999999</v>
      </c>
      <c r="CQ95" s="102">
        <v>-10.042789789999999</v>
      </c>
      <c r="CR95" s="102">
        <v>-16.377146240000002</v>
      </c>
      <c r="CS95" s="102">
        <v>-24.099517370000001</v>
      </c>
      <c r="CT95" s="102">
        <v>-22.489940409999999</v>
      </c>
      <c r="CU95" s="102">
        <v>-19.139155329999998</v>
      </c>
      <c r="CV95" s="102">
        <v>-36.151057350000002</v>
      </c>
      <c r="CW95" s="102">
        <v>-15.075138789999999</v>
      </c>
      <c r="CX95" s="102">
        <v>-3.3386506600000003</v>
      </c>
      <c r="CY95" s="102">
        <v>-2.5309172000000002</v>
      </c>
      <c r="CZ95" s="102">
        <v>-34.288256859999997</v>
      </c>
      <c r="DA95" s="102">
        <v>-24.69520812</v>
      </c>
      <c r="DB95" s="102">
        <v>-11.016421900000001</v>
      </c>
      <c r="DC95" s="102">
        <v>-19.1957731</v>
      </c>
      <c r="DD95" s="102">
        <v>-0.60925209999999996</v>
      </c>
      <c r="DE95" s="102">
        <v>-0.43548929999999997</v>
      </c>
      <c r="DF95" s="102">
        <v>-2.0898338500000002</v>
      </c>
      <c r="DG95" s="102">
        <v>-1.6368313799999998</v>
      </c>
      <c r="DH95" s="102">
        <v>-0.76739250000000003</v>
      </c>
      <c r="DI95" s="102">
        <v>-1.1413493000000001</v>
      </c>
      <c r="DJ95" s="102">
        <v>-0.80452955000000004</v>
      </c>
      <c r="DK95" s="102">
        <v>-0.55086140000000006</v>
      </c>
      <c r="DL95" s="102">
        <v>-0.65868765000000007</v>
      </c>
      <c r="DM95" s="102">
        <v>-0.90546125</v>
      </c>
      <c r="DN95" s="102">
        <v>-1.1148938500000001</v>
      </c>
      <c r="DO95" s="102">
        <v>-0.67830480000000004</v>
      </c>
      <c r="DP95" s="102">
        <v>-0.72029594999999991</v>
      </c>
      <c r="DQ95" s="940">
        <v>-0.58983980000000003</v>
      </c>
      <c r="DR95" s="940">
        <v>-1.2929706000000001</v>
      </c>
      <c r="DS95" s="940">
        <v>-0.61050800000000005</v>
      </c>
      <c r="DT95" s="940">
        <v>-0.4046342</v>
      </c>
      <c r="DU95" s="940">
        <v>-0.53198680000000009</v>
      </c>
      <c r="DV95" s="940">
        <v>-0.20081679999999999</v>
      </c>
      <c r="DW95" s="940">
        <v>-0.43677149999999998</v>
      </c>
      <c r="DX95" s="940">
        <v>-1.29796175</v>
      </c>
      <c r="DY95" s="940">
        <v>-16.3828262</v>
      </c>
      <c r="DZ95" s="940">
        <v>-14.091743599999999</v>
      </c>
      <c r="EA95" s="940">
        <v>-33.794221180000001</v>
      </c>
      <c r="EB95" s="940">
        <v>-18.373902210000001</v>
      </c>
      <c r="EC95" s="940">
        <v>-22.373842270000001</v>
      </c>
      <c r="ED95" s="940">
        <v>-23.762001590000001</v>
      </c>
      <c r="EE95" s="940">
        <v>-5.6097088499999996</v>
      </c>
      <c r="EF95" s="940">
        <v>-11.161683199999999</v>
      </c>
      <c r="EH95" s="66"/>
      <c r="EI95" s="66"/>
      <c r="EJ95" s="66"/>
      <c r="EK95" s="66"/>
      <c r="EL95" s="66"/>
      <c r="EM95" s="66"/>
      <c r="EN95" s="66"/>
      <c r="EO95" s="66"/>
      <c r="EP95" s="66"/>
      <c r="EQ95" s="66"/>
      <c r="ER95" s="66"/>
      <c r="ES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D95" s="102">
        <f t="shared" si="582"/>
        <v>0</v>
      </c>
      <c r="HE95" s="102">
        <f t="shared" si="582"/>
        <v>0</v>
      </c>
      <c r="HF95" s="102">
        <f t="shared" si="582"/>
        <v>0</v>
      </c>
      <c r="HG95" s="102">
        <f t="shared" si="582"/>
        <v>0</v>
      </c>
      <c r="HH95" s="102">
        <f t="shared" si="583"/>
        <v>0</v>
      </c>
      <c r="HI95" s="102">
        <f t="shared" si="584"/>
        <v>-6.9680197999999995</v>
      </c>
      <c r="HJ95" s="102">
        <f t="shared" si="472"/>
        <v>-28.693060490000001</v>
      </c>
      <c r="HK95" s="102">
        <f t="shared" si="473"/>
        <v>-208.23960736999999</v>
      </c>
      <c r="HL95" s="940">
        <f>+SUMIF($E$6:SEW$6,HL$7,$E95:SEW95)</f>
        <v>-115.67916576</v>
      </c>
      <c r="HM95" s="940">
        <f>+SUMIF($E$6:SEX$6,HM$7,$E95:SEX95)</f>
        <v>-9.4723363500000008</v>
      </c>
      <c r="HN95" s="940">
        <f>+SUMIF($E$6:SEY$6,HN$7,$E95:SEY95)</f>
        <v>-148.01746595</v>
      </c>
      <c r="HO95" s="102"/>
      <c r="HP95" s="102"/>
      <c r="HR95" s="929"/>
      <c r="HS95" s="929"/>
      <c r="HT95" s="929"/>
      <c r="HU95" s="929"/>
      <c r="HV95" s="929"/>
      <c r="HW95" s="929"/>
      <c r="HX95" s="929"/>
      <c r="HY95" s="929"/>
      <c r="HZ95" s="929"/>
      <c r="IA95" s="929"/>
      <c r="IB95" s="929"/>
      <c r="IC95" s="929"/>
      <c r="IE95" s="102"/>
      <c r="IF95" s="102"/>
      <c r="IG95" s="102"/>
      <c r="IH95" s="102"/>
      <c r="II95" s="102"/>
      <c r="IJ95" s="102"/>
      <c r="IK95" s="102"/>
      <c r="IL95" s="102"/>
      <c r="IM95" s="102"/>
      <c r="IN95" s="102"/>
      <c r="IP95" s="32"/>
      <c r="IQ95" s="32"/>
      <c r="IR95" s="32"/>
      <c r="IS95" s="32"/>
      <c r="IT95" s="32"/>
      <c r="IU95" s="32"/>
      <c r="IV95" s="32"/>
      <c r="IW95" s="32"/>
      <c r="IX95" s="32"/>
      <c r="IY95" s="32"/>
      <c r="JA95" s="102">
        <f t="shared" si="588"/>
        <v>0</v>
      </c>
      <c r="JB95" s="102">
        <f t="shared" si="588"/>
        <v>0</v>
      </c>
      <c r="JC95" s="102">
        <f t="shared" si="588"/>
        <v>0</v>
      </c>
      <c r="JD95" s="102">
        <f t="shared" si="588"/>
        <v>0</v>
      </c>
      <c r="JE95" s="102">
        <f t="shared" si="588"/>
        <v>0</v>
      </c>
      <c r="JF95" s="102">
        <f t="shared" si="588"/>
        <v>-6.9680197999999995</v>
      </c>
      <c r="JG95" s="102">
        <f t="shared" si="588"/>
        <v>-28.693060490000001</v>
      </c>
      <c r="JH95" s="102">
        <f t="shared" si="588"/>
        <v>-208.23960736999999</v>
      </c>
      <c r="JI95" s="102">
        <f t="shared" si="588"/>
        <v>-115.67916576</v>
      </c>
      <c r="JJ95" s="102">
        <f t="shared" si="588"/>
        <v>-9.4723363500000008</v>
      </c>
      <c r="JK95" s="102">
        <f t="shared" si="588"/>
        <v>-148.01746595</v>
      </c>
      <c r="JL95" s="102">
        <f t="shared" si="589"/>
        <v>-148.01746595</v>
      </c>
      <c r="JM95" s="102"/>
      <c r="JN95" s="102"/>
      <c r="JO95" s="1184"/>
      <c r="JP95" s="102"/>
      <c r="JQ95" s="102"/>
      <c r="JR95" s="145"/>
      <c r="JS95" s="929"/>
      <c r="JT95" s="930"/>
      <c r="JV95" s="32"/>
      <c r="JW95" s="929"/>
      <c r="JY95" s="32"/>
      <c r="JZ95" s="32"/>
      <c r="KA95" s="32"/>
      <c r="KB95" s="32"/>
      <c r="KC95" s="32"/>
      <c r="KD95" s="32"/>
      <c r="KE95" s="32"/>
      <c r="KF95" s="32"/>
      <c r="KH95" s="102"/>
      <c r="KI95" s="102"/>
      <c r="KJ95" s="102"/>
      <c r="KK95" s="102"/>
      <c r="KL95" s="102"/>
      <c r="KM95" s="102"/>
      <c r="KN95" s="102"/>
      <c r="KO95" s="102"/>
      <c r="KQ95" s="32"/>
      <c r="KR95" s="32"/>
      <c r="KS95" s="32"/>
      <c r="KT95" s="32"/>
      <c r="KU95" s="32"/>
      <c r="KV95" s="32"/>
      <c r="KW95" s="32"/>
      <c r="KX95" s="32"/>
      <c r="KY95" s="32"/>
      <c r="KZ95" s="32"/>
      <c r="LB95" s="102">
        <f t="shared" si="593"/>
        <v>0</v>
      </c>
      <c r="LC95" s="102">
        <f t="shared" si="593"/>
        <v>0</v>
      </c>
      <c r="LD95" s="102">
        <f t="shared" si="593"/>
        <v>0</v>
      </c>
      <c r="LE95" s="102">
        <f t="shared" si="593"/>
        <v>0</v>
      </c>
      <c r="LF95" s="102">
        <f t="shared" si="593"/>
        <v>0</v>
      </c>
      <c r="LG95" s="102">
        <f t="shared" si="593"/>
        <v>-0.787381</v>
      </c>
      <c r="LH95" s="102">
        <f t="shared" si="593"/>
        <v>-11.901490259999999</v>
      </c>
      <c r="LI95" s="102">
        <f t="shared" si="593"/>
        <v>-36.151057350000002</v>
      </c>
      <c r="LJ95" s="102">
        <f t="shared" si="593"/>
        <v>-0.76739250000000003</v>
      </c>
      <c r="LK95" s="102">
        <f t="shared" si="593"/>
        <v>-0.4046342</v>
      </c>
      <c r="LL95" s="102">
        <f t="shared" si="593"/>
        <v>-11.161683199999999</v>
      </c>
      <c r="LM95" s="102">
        <f t="shared" si="593"/>
        <v>-11.161683199999999</v>
      </c>
      <c r="LN95" s="102"/>
      <c r="LO95" s="102"/>
      <c r="LR95" s="32"/>
      <c r="LS95" s="32"/>
      <c r="LT95" s="32"/>
      <c r="LU95" s="32"/>
      <c r="LV95" s="32"/>
      <c r="LW95" s="32"/>
      <c r="LX95" s="32"/>
      <c r="LZ95" s="102"/>
      <c r="MA95" s="102"/>
      <c r="MB95" s="102"/>
      <c r="MC95" s="102"/>
      <c r="MD95" s="102"/>
      <c r="ME95" s="102"/>
      <c r="MF95" s="102"/>
      <c r="MH95" s="32"/>
      <c r="MI95" s="32"/>
      <c r="MJ95" s="32"/>
      <c r="MK95" s="32"/>
      <c r="ML95" s="32"/>
      <c r="MM95" s="32"/>
      <c r="MN95" s="32"/>
      <c r="MO95" s="32"/>
      <c r="MP95" s="32"/>
    </row>
    <row r="96" spans="1:354" outlineLevel="2">
      <c r="A96" s="884">
        <v>530525</v>
      </c>
      <c r="B96" s="70"/>
      <c r="C96" s="40" t="s">
        <v>672</v>
      </c>
      <c r="D96" s="31"/>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45"/>
      <c r="AQ96" s="143"/>
      <c r="AR96" s="143"/>
      <c r="AS96" s="102"/>
      <c r="AT96" s="102"/>
      <c r="AU96" s="102"/>
      <c r="AV96" s="102"/>
      <c r="AW96" s="102"/>
      <c r="AX96" s="102"/>
      <c r="AY96" s="102"/>
      <c r="AZ96" s="102"/>
      <c r="BA96" s="102"/>
      <c r="BB96" s="102"/>
      <c r="BC96" s="102"/>
      <c r="BD96" s="102"/>
      <c r="BE96" s="102"/>
      <c r="BF96" s="102"/>
      <c r="BG96" s="102"/>
      <c r="BH96" s="102"/>
      <c r="BI96" s="102"/>
      <c r="BJ96" s="102"/>
      <c r="BK96" s="102"/>
      <c r="BL96" s="102"/>
      <c r="BM96" s="102">
        <v>-24.869928100000003</v>
      </c>
      <c r="BN96" s="102">
        <v>-3.3012564900000001</v>
      </c>
      <c r="BO96" s="102">
        <v>-13.148260460000001</v>
      </c>
      <c r="BP96" s="102">
        <v>-57.336397659999996</v>
      </c>
      <c r="BQ96" s="102">
        <v>-18.611806949999998</v>
      </c>
      <c r="BR96" s="102">
        <v>-2.2400160999999996</v>
      </c>
      <c r="BS96" s="102">
        <v>-10.07721096</v>
      </c>
      <c r="BT96" s="102">
        <v>-27.927462680000001</v>
      </c>
      <c r="BU96" s="102">
        <v>-18.904978610000001</v>
      </c>
      <c r="BV96" s="102">
        <v>-16.272637289999999</v>
      </c>
      <c r="BW96" s="102">
        <v>-4.8110785400000005</v>
      </c>
      <c r="BX96" s="102">
        <v>-12.230800139999999</v>
      </c>
      <c r="BY96" s="102">
        <v>-131.37048287000002</v>
      </c>
      <c r="BZ96" s="102">
        <v>-42.768094340000005</v>
      </c>
      <c r="CA96" s="102">
        <v>-94.135092279999995</v>
      </c>
      <c r="CB96" s="102">
        <v>-53.80580595</v>
      </c>
      <c r="CC96" s="102">
        <v>0.22053691000000014</v>
      </c>
      <c r="CD96" s="102">
        <v>-10.480303579999999</v>
      </c>
      <c r="CE96" s="102">
        <v>-17.449395429999999</v>
      </c>
      <c r="CF96" s="102">
        <v>-25.894583340000001</v>
      </c>
      <c r="CG96" s="102">
        <v>-17.20172049</v>
      </c>
      <c r="CH96" s="102">
        <v>-12.035203150000001</v>
      </c>
      <c r="CI96" s="102">
        <v>-18.789034219999998</v>
      </c>
      <c r="CJ96" s="102">
        <v>-22.187942809999999</v>
      </c>
      <c r="CK96" s="102">
        <v>-11.842953039999999</v>
      </c>
      <c r="CL96" s="102">
        <v>-84.671964979999998</v>
      </c>
      <c r="CM96" s="102">
        <v>-24.076644630000001</v>
      </c>
      <c r="CN96" s="102">
        <v>-9.927739990000001</v>
      </c>
      <c r="CO96" s="102">
        <v>-67.345699120000006</v>
      </c>
      <c r="CP96" s="102">
        <v>-108.95849705000001</v>
      </c>
      <c r="CQ96" s="102">
        <v>-71.060865509999985</v>
      </c>
      <c r="CR96" s="102">
        <v>-63.371739359999999</v>
      </c>
      <c r="CS96" s="102">
        <v>-41.853790349999997</v>
      </c>
      <c r="CT96" s="102">
        <v>-35.435785000000003</v>
      </c>
      <c r="CU96" s="102">
        <v>-22.811243219999998</v>
      </c>
      <c r="CV96" s="102">
        <v>-148.36112099000002</v>
      </c>
      <c r="CW96" s="102">
        <v>-23.517942590000001</v>
      </c>
      <c r="CX96" s="102">
        <v>-3.61878608</v>
      </c>
      <c r="CY96" s="102">
        <v>-49.842071500000003</v>
      </c>
      <c r="CZ96" s="102">
        <v>-266.98884601000003</v>
      </c>
      <c r="DA96" s="102">
        <v>-299.84995413000001</v>
      </c>
      <c r="DB96" s="102">
        <v>-142.90832322999998</v>
      </c>
      <c r="DC96" s="102">
        <v>-48.093082320000001</v>
      </c>
      <c r="DD96" s="102">
        <v>-8.8203778900000014</v>
      </c>
      <c r="DE96" s="102">
        <v>-12.66082877</v>
      </c>
      <c r="DF96" s="102">
        <v>-39.463203970000002</v>
      </c>
      <c r="DG96" s="102">
        <v>-95.496934469999999</v>
      </c>
      <c r="DH96" s="102">
        <v>-98.796865400000002</v>
      </c>
      <c r="DI96" s="102">
        <v>-18.756433250000001</v>
      </c>
      <c r="DJ96" s="102">
        <v>-52.225068469999997</v>
      </c>
      <c r="DK96" s="102">
        <v>-40.65606828</v>
      </c>
      <c r="DL96" s="102">
        <v>-64.995415299999991</v>
      </c>
      <c r="DM96" s="102">
        <v>-55.921748729999997</v>
      </c>
      <c r="DN96" s="102">
        <v>-58.921448850000004</v>
      </c>
      <c r="DO96" s="102">
        <v>-58.785118650000001</v>
      </c>
      <c r="DP96" s="102">
        <v>-84.286522489999996</v>
      </c>
      <c r="DQ96" s="940">
        <v>-42.30597607</v>
      </c>
      <c r="DR96" s="940">
        <v>-64.386314710000008</v>
      </c>
      <c r="DS96" s="940">
        <v>-3.2568845899999999</v>
      </c>
      <c r="DT96" s="940">
        <v>-76.138745099999994</v>
      </c>
      <c r="DU96" s="940">
        <v>-37.212609700000002</v>
      </c>
      <c r="DV96" s="940">
        <v>-94.631334670000001</v>
      </c>
      <c r="DW96" s="940">
        <v>-191.62925497000001</v>
      </c>
      <c r="DX96" s="940">
        <v>-45.034441569999998</v>
      </c>
      <c r="DY96" s="940">
        <v>-44.700187999999997</v>
      </c>
      <c r="DZ96" s="940">
        <v>-8.7581765699999998</v>
      </c>
      <c r="EA96" s="940">
        <v>-63.622837229999995</v>
      </c>
      <c r="EB96" s="940">
        <v>-96.71867752</v>
      </c>
      <c r="EC96" s="940">
        <v>-38.042830350000003</v>
      </c>
      <c r="ED96" s="940">
        <v>-97.910753959999994</v>
      </c>
      <c r="EE96" s="940">
        <v>-112.41696603</v>
      </c>
      <c r="EF96" s="940">
        <v>-111.03086752</v>
      </c>
      <c r="EH96" s="66"/>
      <c r="EI96" s="66"/>
      <c r="EJ96" s="66"/>
      <c r="EK96" s="66"/>
      <c r="EL96" s="66"/>
      <c r="EM96" s="66"/>
      <c r="EN96" s="66"/>
      <c r="EO96" s="66"/>
      <c r="EP96" s="66"/>
      <c r="EQ96" s="66"/>
      <c r="ER96" s="66"/>
      <c r="ES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D96" s="102">
        <f t="shared" si="582"/>
        <v>0</v>
      </c>
      <c r="HE96" s="102">
        <f t="shared" si="582"/>
        <v>0</v>
      </c>
      <c r="HF96" s="102">
        <f t="shared" si="582"/>
        <v>0</v>
      </c>
      <c r="HG96" s="102">
        <f t="shared" si="582"/>
        <v>0</v>
      </c>
      <c r="HH96" s="102">
        <f t="shared" si="583"/>
        <v>0</v>
      </c>
      <c r="HI96" s="102">
        <f t="shared" si="584"/>
        <v>-209.73183398000003</v>
      </c>
      <c r="HJ96" s="102">
        <f t="shared" si="472"/>
        <v>-445.89712155000001</v>
      </c>
      <c r="HK96" s="102">
        <f t="shared" si="473"/>
        <v>-689.71804324000004</v>
      </c>
      <c r="HL96" s="940">
        <f>+SUMIF($E$6:SEW$6,HL$7,$E96:SEW96)</f>
        <v>-1090.05721636</v>
      </c>
      <c r="HM96" s="940">
        <f>+SUMIF($E$6:SEX$6,HM$7,$E96:SEX96)</f>
        <v>-620.63574448999998</v>
      </c>
      <c r="HN96" s="940">
        <f>+SUMIF($E$6:SEY$6,HN$7,$E96:SEY96)</f>
        <v>-941.70893809000006</v>
      </c>
      <c r="HO96" s="102"/>
      <c r="HP96" s="102"/>
      <c r="HR96" s="929"/>
      <c r="HS96" s="929"/>
      <c r="HT96" s="929"/>
      <c r="HU96" s="929"/>
      <c r="HV96" s="929"/>
      <c r="HW96" s="929"/>
      <c r="HX96" s="929"/>
      <c r="HY96" s="929"/>
      <c r="HZ96" s="929"/>
      <c r="IA96" s="929"/>
      <c r="IB96" s="929"/>
      <c r="IC96" s="929"/>
      <c r="IE96" s="102"/>
      <c r="IF96" s="102"/>
      <c r="IG96" s="102"/>
      <c r="IH96" s="102"/>
      <c r="II96" s="102"/>
      <c r="IJ96" s="102"/>
      <c r="IK96" s="102"/>
      <c r="IL96" s="102"/>
      <c r="IM96" s="102"/>
      <c r="IN96" s="102"/>
      <c r="IP96" s="32"/>
      <c r="IQ96" s="32"/>
      <c r="IR96" s="32"/>
      <c r="IS96" s="32"/>
      <c r="IT96" s="32"/>
      <c r="IU96" s="32"/>
      <c r="IV96" s="32"/>
      <c r="IW96" s="32"/>
      <c r="IX96" s="32"/>
      <c r="IY96" s="32"/>
      <c r="JA96" s="102">
        <f t="shared" si="588"/>
        <v>0</v>
      </c>
      <c r="JB96" s="102">
        <f t="shared" si="588"/>
        <v>0</v>
      </c>
      <c r="JC96" s="102">
        <f t="shared" si="588"/>
        <v>0</v>
      </c>
      <c r="JD96" s="102">
        <f t="shared" si="588"/>
        <v>0</v>
      </c>
      <c r="JE96" s="102">
        <f t="shared" si="588"/>
        <v>0</v>
      </c>
      <c r="JF96" s="102">
        <f t="shared" si="588"/>
        <v>-209.73183398000003</v>
      </c>
      <c r="JG96" s="102">
        <f t="shared" si="588"/>
        <v>-445.89712155000001</v>
      </c>
      <c r="JH96" s="102">
        <f t="shared" si="588"/>
        <v>-689.71804324000004</v>
      </c>
      <c r="JI96" s="102">
        <f t="shared" si="588"/>
        <v>-1090.05721636</v>
      </c>
      <c r="JJ96" s="102">
        <f t="shared" si="588"/>
        <v>-620.63574448999998</v>
      </c>
      <c r="JK96" s="102">
        <f t="shared" si="588"/>
        <v>-941.70893809000006</v>
      </c>
      <c r="JL96" s="102">
        <f t="shared" si="589"/>
        <v>-941.70893809000006</v>
      </c>
      <c r="JM96" s="102"/>
      <c r="JN96" s="102"/>
      <c r="JO96" s="1184"/>
      <c r="JP96" s="102"/>
      <c r="JQ96" s="102"/>
      <c r="JR96" s="145"/>
      <c r="JS96" s="929"/>
      <c r="JT96" s="930"/>
      <c r="JV96" s="32"/>
      <c r="JW96" s="929"/>
      <c r="JY96" s="32"/>
      <c r="JZ96" s="32"/>
      <c r="KA96" s="32"/>
      <c r="KB96" s="32"/>
      <c r="KC96" s="32"/>
      <c r="KD96" s="32"/>
      <c r="KE96" s="32"/>
      <c r="KF96" s="32"/>
      <c r="KH96" s="102"/>
      <c r="KI96" s="102"/>
      <c r="KJ96" s="102"/>
      <c r="KK96" s="102"/>
      <c r="KL96" s="102"/>
      <c r="KM96" s="102"/>
      <c r="KN96" s="102"/>
      <c r="KO96" s="102"/>
      <c r="KQ96" s="32"/>
      <c r="KR96" s="32"/>
      <c r="KS96" s="32"/>
      <c r="KT96" s="32"/>
      <c r="KU96" s="32"/>
      <c r="KV96" s="32"/>
      <c r="KW96" s="32"/>
      <c r="KX96" s="32"/>
      <c r="KY96" s="32"/>
      <c r="KZ96" s="32"/>
      <c r="LB96" s="102">
        <f t="shared" si="593"/>
        <v>0</v>
      </c>
      <c r="LC96" s="102">
        <f t="shared" si="593"/>
        <v>0</v>
      </c>
      <c r="LD96" s="102">
        <f t="shared" si="593"/>
        <v>0</v>
      </c>
      <c r="LE96" s="102">
        <f t="shared" si="593"/>
        <v>0</v>
      </c>
      <c r="LF96" s="102">
        <f t="shared" si="593"/>
        <v>0</v>
      </c>
      <c r="LG96" s="102">
        <f t="shared" si="593"/>
        <v>-12.230800139999999</v>
      </c>
      <c r="LH96" s="102">
        <f t="shared" si="593"/>
        <v>-22.187942809999999</v>
      </c>
      <c r="LI96" s="102">
        <f t="shared" si="593"/>
        <v>-148.36112099000002</v>
      </c>
      <c r="LJ96" s="102">
        <f t="shared" si="593"/>
        <v>-98.796865400000002</v>
      </c>
      <c r="LK96" s="102">
        <f t="shared" si="593"/>
        <v>-76.138745099999994</v>
      </c>
      <c r="LL96" s="102">
        <f t="shared" si="593"/>
        <v>-111.03086752</v>
      </c>
      <c r="LM96" s="102">
        <f t="shared" si="593"/>
        <v>-111.03086752</v>
      </c>
      <c r="LN96" s="102"/>
      <c r="LO96" s="102"/>
      <c r="LR96" s="32"/>
      <c r="LS96" s="32"/>
      <c r="LT96" s="32"/>
      <c r="LU96" s="32"/>
      <c r="LV96" s="32"/>
      <c r="LW96" s="32"/>
      <c r="LX96" s="32"/>
      <c r="LZ96" s="102"/>
      <c r="MA96" s="102"/>
      <c r="MB96" s="102"/>
      <c r="MC96" s="102"/>
      <c r="MD96" s="102"/>
      <c r="ME96" s="102"/>
      <c r="MF96" s="102"/>
      <c r="MH96" s="32"/>
      <c r="MI96" s="32"/>
      <c r="MJ96" s="32"/>
      <c r="MK96" s="32"/>
      <c r="ML96" s="32"/>
      <c r="MM96" s="32"/>
      <c r="MN96" s="32"/>
      <c r="MO96" s="32"/>
      <c r="MP96" s="32"/>
    </row>
    <row r="97" spans="1:354" outlineLevel="2">
      <c r="A97" s="884">
        <v>530520</v>
      </c>
      <c r="B97" s="70"/>
      <c r="C97" s="40" t="s">
        <v>673</v>
      </c>
      <c r="D97" s="31"/>
      <c r="E97" s="102">
        <v>-41.379463829999999</v>
      </c>
      <c r="F97" s="102">
        <v>-9.0213264699999982</v>
      </c>
      <c r="G97" s="102">
        <v>-13.671133280000006</v>
      </c>
      <c r="H97" s="102">
        <v>-19.607679299999987</v>
      </c>
      <c r="I97" s="102">
        <v>-10.66869641000001</v>
      </c>
      <c r="J97" s="102">
        <v>-13.215792500000006</v>
      </c>
      <c r="K97" s="102">
        <v>-14.084330750000007</v>
      </c>
      <c r="L97" s="102">
        <v>-12.100026999999983</v>
      </c>
      <c r="M97" s="102">
        <v>-15.420941099999993</v>
      </c>
      <c r="N97" s="102">
        <v>-6.0271620000000041</v>
      </c>
      <c r="O97" s="102">
        <v>-6.6974954400000115</v>
      </c>
      <c r="P97" s="102">
        <v>-25.82884654999998</v>
      </c>
      <c r="Q97" s="102">
        <v>-25.259784190000001</v>
      </c>
      <c r="R97" s="102">
        <v>-25.404925969999997</v>
      </c>
      <c r="S97" s="102">
        <v>-19.68674369</v>
      </c>
      <c r="T97" s="102">
        <v>-30.564012509999998</v>
      </c>
      <c r="U97" s="102">
        <v>-27.65067753999999</v>
      </c>
      <c r="V97" s="102">
        <v>-27.73775882000001</v>
      </c>
      <c r="W97" s="102">
        <v>-32.574938889999999</v>
      </c>
      <c r="X97" s="102">
        <v>-19.333642610000027</v>
      </c>
      <c r="Y97" s="102">
        <v>-26.819243899999975</v>
      </c>
      <c r="Z97" s="102">
        <v>-29.172202310000017</v>
      </c>
      <c r="AA97" s="102">
        <v>-18.502986439999972</v>
      </c>
      <c r="AB97" s="102">
        <v>-22.824886930000048</v>
      </c>
      <c r="AC97" s="102">
        <v>-30.718120469999999</v>
      </c>
      <c r="AD97" s="102">
        <v>-15.182569460000002</v>
      </c>
      <c r="AE97" s="102">
        <v>-56.099580610000004</v>
      </c>
      <c r="AF97" s="102">
        <v>-42.09828701</v>
      </c>
      <c r="AG97" s="102">
        <v>-43.164480780000005</v>
      </c>
      <c r="AH97" s="102">
        <v>-45.583921500000002</v>
      </c>
      <c r="AI97" s="102">
        <v>-46.398567290000003</v>
      </c>
      <c r="AJ97" s="102">
        <v>-37.525735179999998</v>
      </c>
      <c r="AK97" s="102">
        <v>-41.173643329999997</v>
      </c>
      <c r="AL97" s="102">
        <v>-31.360332060000001</v>
      </c>
      <c r="AM97" s="102">
        <v>-43.892560350000004</v>
      </c>
      <c r="AN97" s="102">
        <v>-16.292191779999996</v>
      </c>
      <c r="AO97" s="102">
        <v>-54.646502529999999</v>
      </c>
      <c r="AP97" s="145">
        <v>-29.42645332</v>
      </c>
      <c r="AQ97" s="143">
        <v>-84.578525619999994</v>
      </c>
      <c r="AR97" s="143">
        <v>-194.20135857</v>
      </c>
      <c r="AS97" s="102">
        <v>-53.637945299999998</v>
      </c>
      <c r="AT97" s="102">
        <v>-99.813044910000002</v>
      </c>
      <c r="AU97" s="102">
        <v>-38.747987619999989</v>
      </c>
      <c r="AV97" s="102">
        <v>-70.569078109999992</v>
      </c>
      <c r="AW97" s="102">
        <v>-70.687003060000009</v>
      </c>
      <c r="AX97" s="102">
        <v>-117.33829647000002</v>
      </c>
      <c r="AY97" s="102">
        <v>-79.309346939999998</v>
      </c>
      <c r="AZ97" s="102">
        <f>-187.8561238+1</f>
        <v>-186.85612380000001</v>
      </c>
      <c r="BA97" s="102">
        <v>-70.430505189999991</v>
      </c>
      <c r="BB97" s="102">
        <v>-67.54374</v>
      </c>
      <c r="BC97" s="102">
        <v>-194.91727122</v>
      </c>
      <c r="BD97" s="102">
        <v>-128.62674938000001</v>
      </c>
      <c r="BE97" s="66">
        <v>-90.988396449999996</v>
      </c>
      <c r="BF97" s="66">
        <v>-180.70420322999999</v>
      </c>
      <c r="BG97" s="66">
        <v>-79.774014199999996</v>
      </c>
      <c r="BH97" s="66">
        <v>-221.66827915000002</v>
      </c>
      <c r="BI97" s="66">
        <v>226.33111047</v>
      </c>
      <c r="BJ97" s="66">
        <v>-409.67137718999999</v>
      </c>
      <c r="BK97" s="102">
        <v>-92.379952629999991</v>
      </c>
      <c r="BL97" s="66">
        <v>-165</v>
      </c>
      <c r="BM97" s="102">
        <v>-67.318567329999993</v>
      </c>
      <c r="BN97" s="102">
        <v>-75.752606999999998</v>
      </c>
      <c r="BO97" s="102">
        <v>-66.062589259999996</v>
      </c>
      <c r="BP97" s="102">
        <v>-71.737546069999993</v>
      </c>
      <c r="BQ97" s="66">
        <v>-62.464156469999999</v>
      </c>
      <c r="BR97" s="66">
        <v>-60.573505520000005</v>
      </c>
      <c r="BS97" s="66">
        <v>-58.531622040000002</v>
      </c>
      <c r="BT97" s="66">
        <v>-59.410147219999999</v>
      </c>
      <c r="BU97" s="66">
        <v>-58.594307659999998</v>
      </c>
      <c r="BV97" s="66">
        <v>-62.677689719999996</v>
      </c>
      <c r="BW97" s="102">
        <v>-57.923582680000003</v>
      </c>
      <c r="BX97" s="102">
        <v>-55.744144009999999</v>
      </c>
      <c r="BY97" s="102">
        <v>-56.518931539999997</v>
      </c>
      <c r="BZ97" s="102">
        <v>-57.423221990000002</v>
      </c>
      <c r="CA97" s="102">
        <v>-54.426127990000005</v>
      </c>
      <c r="CB97" s="102">
        <v>-54.751439380000001</v>
      </c>
      <c r="CC97" s="102">
        <v>-53.694239400000001</v>
      </c>
      <c r="CD97" s="102">
        <v>-53.78701195</v>
      </c>
      <c r="CE97" s="102">
        <v>-48.604588999999997</v>
      </c>
      <c r="CF97" s="102">
        <v>-47.469620720000002</v>
      </c>
      <c r="CG97" s="102">
        <v>-47.076698289999996</v>
      </c>
      <c r="CH97" s="102">
        <v>-46.064942119999998</v>
      </c>
      <c r="CI97" s="102">
        <v>-52.85864591</v>
      </c>
      <c r="CJ97" s="102">
        <v>-47.112836000000001</v>
      </c>
      <c r="CK97" s="102">
        <v>-46.556015600000002</v>
      </c>
      <c r="CL97" s="102">
        <v>-47.723069000000002</v>
      </c>
      <c r="CM97" s="102">
        <v>-51.584876999999999</v>
      </c>
      <c r="CN97" s="102">
        <v>-71.615417959999988</v>
      </c>
      <c r="CO97" s="102">
        <v>-64.210359740000001</v>
      </c>
      <c r="CP97" s="102">
        <v>-63.343379049999996</v>
      </c>
      <c r="CQ97" s="102">
        <v>-63.293436049999997</v>
      </c>
      <c r="CR97" s="102">
        <v>-63.413651739999999</v>
      </c>
      <c r="CS97" s="102">
        <v>-58.401768709999999</v>
      </c>
      <c r="CT97" s="102">
        <v>-57.540339689999996</v>
      </c>
      <c r="CU97" s="102">
        <v>-58.945836899999996</v>
      </c>
      <c r="CV97" s="102">
        <v>-57.733214310000001</v>
      </c>
      <c r="CW97" s="102">
        <v>-58.750301299999997</v>
      </c>
      <c r="CX97" s="102">
        <v>-57.207939029999999</v>
      </c>
      <c r="CY97" s="102">
        <v>-29.3779243</v>
      </c>
      <c r="CZ97" s="102">
        <v>-2.6659016800000002</v>
      </c>
      <c r="DA97" s="102">
        <v>-0.89504762000000004</v>
      </c>
      <c r="DB97" s="102">
        <v>-0.52565324999999996</v>
      </c>
      <c r="DC97" s="102">
        <v>-87.624063419999999</v>
      </c>
      <c r="DD97" s="102">
        <v>-50.168094709999998</v>
      </c>
      <c r="DE97" s="102">
        <v>-53.968443430000001</v>
      </c>
      <c r="DF97" s="102">
        <v>-49.733058</v>
      </c>
      <c r="DG97" s="102">
        <v>-74.569621999999995</v>
      </c>
      <c r="DH97" s="102">
        <v>-48.421749370000001</v>
      </c>
      <c r="DI97" s="102">
        <v>-48.152758310000003</v>
      </c>
      <c r="DJ97" s="102">
        <v>-48.12962546</v>
      </c>
      <c r="DK97" s="102">
        <v>-47.266368780000001</v>
      </c>
      <c r="DL97" s="102">
        <v>-46.90572504</v>
      </c>
      <c r="DM97" s="102">
        <v>-46.611574920000002</v>
      </c>
      <c r="DN97" s="102">
        <v>-46.860088470000001</v>
      </c>
      <c r="DO97" s="102">
        <v>-47.216021909999995</v>
      </c>
      <c r="DP97" s="102">
        <v>-46.868892159999994</v>
      </c>
      <c r="DQ97" s="940">
        <v>-44.706704620000004</v>
      </c>
      <c r="DR97" s="940">
        <v>-47.59283989</v>
      </c>
      <c r="DS97" s="940">
        <v>-46.258255720000001</v>
      </c>
      <c r="DT97" s="940">
        <v>-48.284709710000001</v>
      </c>
      <c r="DU97" s="940">
        <v>-50.08897786</v>
      </c>
      <c r="DV97" s="940">
        <v>-51.180698299999996</v>
      </c>
      <c r="DW97" s="940">
        <v>-56.367321609999998</v>
      </c>
      <c r="DX97" s="940">
        <v>-61.383384999999997</v>
      </c>
      <c r="DY97" s="940">
        <v>-62.444369819999999</v>
      </c>
      <c r="DZ97" s="940">
        <v>-66.04533859</v>
      </c>
      <c r="EA97" s="940">
        <v>-69.563384249999999</v>
      </c>
      <c r="EB97" s="940">
        <v>-75.301760920000007</v>
      </c>
      <c r="EC97" s="940">
        <v>-81.530975060000003</v>
      </c>
      <c r="ED97" s="940">
        <v>-90.218921829999999</v>
      </c>
      <c r="EE97" s="940">
        <v>-81.045572739999997</v>
      </c>
      <c r="EF97" s="940">
        <v>-82.183360579999999</v>
      </c>
      <c r="EH97" s="66"/>
      <c r="EI97" s="66"/>
      <c r="EJ97" s="66"/>
      <c r="EK97" s="66"/>
      <c r="EL97" s="66"/>
      <c r="EM97" s="66"/>
      <c r="EN97" s="66"/>
      <c r="EO97" s="66"/>
      <c r="EP97" s="66"/>
      <c r="EQ97" s="66"/>
      <c r="ER97" s="66"/>
      <c r="ES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D97" s="102">
        <f t="shared" si="582"/>
        <v>-187.72289462999998</v>
      </c>
      <c r="HE97" s="102">
        <f t="shared" si="582"/>
        <v>-305.53180380000003</v>
      </c>
      <c r="HF97" s="102">
        <f t="shared" si="582"/>
        <v>-449.48998982000001</v>
      </c>
      <c r="HG97" s="102">
        <f t="shared" si="582"/>
        <v>-1079.8116662500001</v>
      </c>
      <c r="HH97" s="102">
        <f t="shared" si="583"/>
        <v>-1475.37337817</v>
      </c>
      <c r="HI97" s="102">
        <f t="shared" si="584"/>
        <v>-756.79046498000002</v>
      </c>
      <c r="HJ97" s="102">
        <f t="shared" si="472"/>
        <v>-619.78830428999993</v>
      </c>
      <c r="HK97" s="102">
        <f t="shared" si="473"/>
        <v>-704.36136575</v>
      </c>
      <c r="HL97" s="940">
        <f>+SUMIF($E$6:SEW$6,HL$7,$E97:SEW97)</f>
        <v>-513.90779811000004</v>
      </c>
      <c r="HM97" s="940">
        <f>+SUMIF($E$6:SEX$6,HM$7,$E97:SEX97)</f>
        <v>-564.85356499</v>
      </c>
      <c r="HN97" s="940">
        <f>+SUMIF($E$6:SEY$6,HN$7,$E97:SEY97)</f>
        <v>-827.35406655999998</v>
      </c>
      <c r="HO97" s="102"/>
      <c r="HP97" s="102"/>
      <c r="HR97" s="929"/>
      <c r="HS97" s="929"/>
      <c r="HT97" s="929"/>
      <c r="HU97" s="929"/>
      <c r="HV97" s="929"/>
      <c r="HW97" s="929"/>
      <c r="HX97" s="929"/>
      <c r="HY97" s="929"/>
      <c r="HZ97" s="929"/>
      <c r="IA97" s="929"/>
      <c r="IB97" s="929"/>
      <c r="IC97" s="929"/>
      <c r="IE97" s="102"/>
      <c r="IF97" s="102"/>
      <c r="IG97" s="102"/>
      <c r="IH97" s="102"/>
      <c r="II97" s="102"/>
      <c r="IJ97" s="102"/>
      <c r="IK97" s="102"/>
      <c r="IL97" s="102"/>
      <c r="IM97" s="102"/>
      <c r="IN97" s="102"/>
      <c r="IP97" s="32"/>
      <c r="IQ97" s="32"/>
      <c r="IR97" s="32"/>
      <c r="IS97" s="32"/>
      <c r="IT97" s="32"/>
      <c r="IU97" s="32"/>
      <c r="IV97" s="32"/>
      <c r="IW97" s="32"/>
      <c r="IX97" s="32"/>
      <c r="IY97" s="32"/>
      <c r="JA97" s="102">
        <f t="shared" si="588"/>
        <v>-187.72289462999998</v>
      </c>
      <c r="JB97" s="102">
        <f t="shared" si="588"/>
        <v>-305.53180380000003</v>
      </c>
      <c r="JC97" s="102">
        <f t="shared" si="588"/>
        <v>-449.48998982000001</v>
      </c>
      <c r="JD97" s="102">
        <f t="shared" si="588"/>
        <v>-1079.8116662500001</v>
      </c>
      <c r="JE97" s="102">
        <f t="shared" si="588"/>
        <v>-1475.37337817</v>
      </c>
      <c r="JF97" s="102">
        <f t="shared" si="588"/>
        <v>-756.79046498000002</v>
      </c>
      <c r="JG97" s="102">
        <f t="shared" si="588"/>
        <v>-619.78830428999993</v>
      </c>
      <c r="JH97" s="102">
        <f t="shared" si="588"/>
        <v>-704.36136575</v>
      </c>
      <c r="JI97" s="102">
        <f t="shared" si="588"/>
        <v>-513.90779811000004</v>
      </c>
      <c r="JJ97" s="102">
        <f t="shared" si="588"/>
        <v>-564.85356499</v>
      </c>
      <c r="JK97" s="102">
        <f t="shared" si="588"/>
        <v>-827.35406655999998</v>
      </c>
      <c r="JL97" s="102">
        <f t="shared" si="589"/>
        <v>-827.35406655999998</v>
      </c>
      <c r="JM97" s="102"/>
      <c r="JN97" s="102"/>
      <c r="JP97" s="102"/>
      <c r="JQ97" s="102"/>
      <c r="JR97" s="145"/>
      <c r="JS97" s="929"/>
      <c r="JT97" s="930"/>
      <c r="JV97" s="32"/>
      <c r="JW97" s="929"/>
      <c r="JY97" s="32"/>
      <c r="JZ97" s="32"/>
      <c r="KA97" s="32"/>
      <c r="KB97" s="32"/>
      <c r="KC97" s="32"/>
      <c r="KD97" s="32"/>
      <c r="KE97" s="32"/>
      <c r="KF97" s="32"/>
      <c r="KH97" s="102"/>
      <c r="KI97" s="102"/>
      <c r="KJ97" s="102"/>
      <c r="KK97" s="102"/>
      <c r="KL97" s="102"/>
      <c r="KM97" s="102"/>
      <c r="KN97" s="102"/>
      <c r="KO97" s="102"/>
      <c r="KQ97" s="32"/>
      <c r="KR97" s="32"/>
      <c r="KS97" s="32"/>
      <c r="KT97" s="32"/>
      <c r="KU97" s="32"/>
      <c r="KV97" s="32"/>
      <c r="KW97" s="32"/>
      <c r="KX97" s="32"/>
      <c r="KY97" s="32"/>
      <c r="KZ97" s="32"/>
      <c r="LB97" s="102">
        <f t="shared" si="593"/>
        <v>-25.82884654999998</v>
      </c>
      <c r="LC97" s="102">
        <f t="shared" si="593"/>
        <v>-22.824886930000048</v>
      </c>
      <c r="LD97" s="102">
        <f t="shared" si="593"/>
        <v>-16.292191779999996</v>
      </c>
      <c r="LE97" s="102">
        <f t="shared" si="593"/>
        <v>-186.85612380000001</v>
      </c>
      <c r="LF97" s="102">
        <f t="shared" si="593"/>
        <v>-165</v>
      </c>
      <c r="LG97" s="102">
        <f t="shared" si="593"/>
        <v>-55.744144009999999</v>
      </c>
      <c r="LH97" s="102">
        <f t="shared" si="593"/>
        <v>-47.112836000000001</v>
      </c>
      <c r="LI97" s="102">
        <f t="shared" si="593"/>
        <v>-57.733214310000001</v>
      </c>
      <c r="LJ97" s="102">
        <f t="shared" si="593"/>
        <v>-48.421749370000001</v>
      </c>
      <c r="LK97" s="102">
        <f t="shared" si="593"/>
        <v>-48.284709710000001</v>
      </c>
      <c r="LL97" s="102">
        <f t="shared" si="593"/>
        <v>-82.183360579999999</v>
      </c>
      <c r="LM97" s="102">
        <f t="shared" si="593"/>
        <v>-82.183360579999999</v>
      </c>
      <c r="LN97" s="102"/>
      <c r="LO97" s="102"/>
      <c r="LR97" s="32"/>
      <c r="LS97" s="32"/>
      <c r="LT97" s="32"/>
      <c r="LU97" s="32"/>
      <c r="LV97" s="32"/>
      <c r="LW97" s="32"/>
      <c r="LX97" s="32"/>
      <c r="LZ97" s="102"/>
      <c r="MA97" s="102"/>
      <c r="MB97" s="102"/>
      <c r="MC97" s="102"/>
      <c r="MD97" s="102"/>
      <c r="ME97" s="102"/>
      <c r="MF97" s="102"/>
      <c r="MH97" s="32"/>
      <c r="MI97" s="32"/>
      <c r="MJ97" s="32"/>
      <c r="MK97" s="32"/>
      <c r="ML97" s="32"/>
      <c r="MM97" s="32"/>
      <c r="MN97" s="32"/>
      <c r="MO97" s="32"/>
      <c r="MP97" s="32"/>
    </row>
    <row r="98" spans="1:354" outlineLevel="2">
      <c r="A98" s="884">
        <v>530535</v>
      </c>
      <c r="B98" s="70"/>
      <c r="C98" s="40" t="s">
        <v>674</v>
      </c>
      <c r="D98" s="31"/>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45"/>
      <c r="AQ98" s="143"/>
      <c r="AR98" s="143"/>
      <c r="AS98" s="102"/>
      <c r="AT98" s="102"/>
      <c r="AU98" s="102"/>
      <c r="AV98" s="102"/>
      <c r="AW98" s="102"/>
      <c r="AX98" s="102"/>
      <c r="AY98" s="102"/>
      <c r="AZ98" s="102"/>
      <c r="BA98" s="102"/>
      <c r="BB98" s="102"/>
      <c r="BC98" s="102"/>
      <c r="BD98" s="102"/>
      <c r="BE98" s="66"/>
      <c r="BF98" s="66"/>
      <c r="BG98" s="66"/>
      <c r="BH98" s="66"/>
      <c r="BI98" s="66"/>
      <c r="BJ98" s="66"/>
      <c r="BK98" s="102"/>
      <c r="BL98" s="66"/>
      <c r="BM98" s="102">
        <v>0</v>
      </c>
      <c r="BN98" s="102">
        <v>-3.504</v>
      </c>
      <c r="BO98" s="102">
        <v>-1.9743766</v>
      </c>
      <c r="BP98" s="102">
        <v>0</v>
      </c>
      <c r="BQ98" s="66">
        <v>0</v>
      </c>
      <c r="BR98" s="66">
        <v>0</v>
      </c>
      <c r="BS98" s="66">
        <v>0</v>
      </c>
      <c r="BT98" s="66">
        <v>0</v>
      </c>
      <c r="BU98" s="66">
        <v>0</v>
      </c>
      <c r="BV98" s="66">
        <v>0</v>
      </c>
      <c r="BW98" s="102">
        <v>0</v>
      </c>
      <c r="BX98" s="102">
        <v>0</v>
      </c>
      <c r="BY98" s="102">
        <v>0</v>
      </c>
      <c r="BZ98" s="102">
        <v>0</v>
      </c>
      <c r="CA98" s="102">
        <v>0</v>
      </c>
      <c r="CB98" s="102">
        <v>0</v>
      </c>
      <c r="CC98" s="102">
        <v>0</v>
      </c>
      <c r="CD98" s="102">
        <v>0</v>
      </c>
      <c r="CE98" s="102">
        <v>0</v>
      </c>
      <c r="CF98" s="102">
        <v>0</v>
      </c>
      <c r="CG98" s="102">
        <v>0</v>
      </c>
      <c r="CH98" s="102">
        <v>0</v>
      </c>
      <c r="CI98" s="102">
        <v>0</v>
      </c>
      <c r="CJ98" s="102">
        <v>0</v>
      </c>
      <c r="CK98" s="102">
        <v>0</v>
      </c>
      <c r="CL98" s="102">
        <v>0</v>
      </c>
      <c r="CM98" s="102">
        <v>0</v>
      </c>
      <c r="CN98" s="102">
        <v>0</v>
      </c>
      <c r="CO98" s="102">
        <v>0</v>
      </c>
      <c r="CP98" s="102">
        <v>0</v>
      </c>
      <c r="CQ98" s="102">
        <v>0</v>
      </c>
      <c r="CR98" s="102">
        <v>0</v>
      </c>
      <c r="CS98" s="102">
        <v>0</v>
      </c>
      <c r="CT98" s="102">
        <v>0</v>
      </c>
      <c r="CU98" s="102">
        <v>0</v>
      </c>
      <c r="CV98" s="102">
        <v>0</v>
      </c>
      <c r="CW98" s="102">
        <v>0</v>
      </c>
      <c r="CX98" s="102">
        <v>0</v>
      </c>
      <c r="CY98" s="102">
        <v>0</v>
      </c>
      <c r="CZ98" s="102">
        <v>0</v>
      </c>
      <c r="DA98" s="102">
        <v>0</v>
      </c>
      <c r="DB98" s="102">
        <v>0</v>
      </c>
      <c r="DC98" s="102">
        <v>0</v>
      </c>
      <c r="DD98" s="1185">
        <v>0</v>
      </c>
      <c r="DE98" s="102">
        <v>0</v>
      </c>
      <c r="DF98" s="102">
        <v>0</v>
      </c>
      <c r="DG98" s="102">
        <v>0</v>
      </c>
      <c r="DH98" s="102">
        <v>0</v>
      </c>
      <c r="DI98" s="102">
        <v>0</v>
      </c>
      <c r="DJ98" s="102">
        <v>0</v>
      </c>
      <c r="DK98" s="102">
        <v>0</v>
      </c>
      <c r="DL98" s="102">
        <v>0</v>
      </c>
      <c r="DM98" s="102">
        <v>0</v>
      </c>
      <c r="DN98" s="102">
        <v>0</v>
      </c>
      <c r="DO98" s="102">
        <v>0</v>
      </c>
      <c r="DP98" s="102">
        <v>0</v>
      </c>
      <c r="DQ98" s="940">
        <v>0</v>
      </c>
      <c r="DR98" s="940">
        <v>0</v>
      </c>
      <c r="DS98" s="940">
        <v>0</v>
      </c>
      <c r="DT98" s="940">
        <v>0</v>
      </c>
      <c r="DU98" s="940">
        <v>0</v>
      </c>
      <c r="DV98" s="940">
        <v>0</v>
      </c>
      <c r="DW98" s="940">
        <v>0</v>
      </c>
      <c r="DX98" s="940">
        <v>0</v>
      </c>
      <c r="DY98" s="940">
        <v>0</v>
      </c>
      <c r="DZ98" s="940">
        <v>0</v>
      </c>
      <c r="EA98" s="940">
        <v>0</v>
      </c>
      <c r="EB98" s="940">
        <v>0</v>
      </c>
      <c r="EC98" s="940">
        <v>0</v>
      </c>
      <c r="ED98" s="940">
        <v>0</v>
      </c>
      <c r="EE98" s="940">
        <v>0</v>
      </c>
      <c r="EF98" s="940">
        <v>0</v>
      </c>
      <c r="EH98" s="66"/>
      <c r="EI98" s="66"/>
      <c r="EJ98" s="66"/>
      <c r="EK98" s="66"/>
      <c r="EL98" s="66"/>
      <c r="EM98" s="66"/>
      <c r="EN98" s="66"/>
      <c r="EO98" s="66"/>
      <c r="EP98" s="66"/>
      <c r="EQ98" s="66"/>
      <c r="ER98" s="66"/>
      <c r="ES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D98" s="102">
        <f t="shared" si="582"/>
        <v>0</v>
      </c>
      <c r="HE98" s="102">
        <f t="shared" si="582"/>
        <v>0</v>
      </c>
      <c r="HF98" s="102">
        <f t="shared" si="582"/>
        <v>0</v>
      </c>
      <c r="HG98" s="102">
        <f t="shared" si="582"/>
        <v>0</v>
      </c>
      <c r="HH98" s="102">
        <f t="shared" si="583"/>
        <v>0</v>
      </c>
      <c r="HI98" s="102">
        <f t="shared" si="584"/>
        <v>-5.4783765999999998</v>
      </c>
      <c r="HJ98" s="102">
        <f t="shared" si="472"/>
        <v>0</v>
      </c>
      <c r="HK98" s="102">
        <f t="shared" si="473"/>
        <v>0</v>
      </c>
      <c r="HL98" s="940">
        <f>+SUMIF($E$6:SEW$6,HL$7,$E98:SEW98)</f>
        <v>0</v>
      </c>
      <c r="HM98" s="940">
        <f>+SUMIF($E$6:SEX$6,HM$7,$E98:SEX98)</f>
        <v>0</v>
      </c>
      <c r="HN98" s="940">
        <f>+SUMIF($E$6:SEY$6,HN$7,$E98:SEY98)</f>
        <v>0</v>
      </c>
      <c r="HO98" s="102"/>
      <c r="HP98" s="102"/>
      <c r="HR98" s="929"/>
      <c r="HS98" s="929"/>
      <c r="HT98" s="929"/>
      <c r="HU98" s="929"/>
      <c r="HV98" s="929"/>
      <c r="HW98" s="929"/>
      <c r="HX98" s="929"/>
      <c r="HY98" s="929"/>
      <c r="HZ98" s="929"/>
      <c r="IA98" s="929"/>
      <c r="IB98" s="929"/>
      <c r="IC98" s="929"/>
      <c r="IE98" s="102"/>
      <c r="IF98" s="102"/>
      <c r="IG98" s="102"/>
      <c r="IH98" s="102"/>
      <c r="II98" s="102"/>
      <c r="IJ98" s="102"/>
      <c r="IK98" s="102"/>
      <c r="IL98" s="102"/>
      <c r="IM98" s="102"/>
      <c r="IN98" s="102"/>
      <c r="IP98" s="32"/>
      <c r="IQ98" s="32"/>
      <c r="IR98" s="32"/>
      <c r="IS98" s="32"/>
      <c r="IT98" s="32"/>
      <c r="IU98" s="32"/>
      <c r="IV98" s="32"/>
      <c r="IW98" s="32"/>
      <c r="IX98" s="32"/>
      <c r="IY98" s="32"/>
      <c r="JA98" s="102">
        <f t="shared" si="588"/>
        <v>0</v>
      </c>
      <c r="JB98" s="102">
        <f t="shared" si="588"/>
        <v>0</v>
      </c>
      <c r="JC98" s="102">
        <f t="shared" si="588"/>
        <v>0</v>
      </c>
      <c r="JD98" s="102">
        <f t="shared" si="588"/>
        <v>0</v>
      </c>
      <c r="JE98" s="102">
        <f t="shared" si="588"/>
        <v>0</v>
      </c>
      <c r="JF98" s="102">
        <f t="shared" si="588"/>
        <v>-5.4783765999999998</v>
      </c>
      <c r="JG98" s="102">
        <f t="shared" si="588"/>
        <v>0</v>
      </c>
      <c r="JH98" s="102">
        <f t="shared" si="588"/>
        <v>0</v>
      </c>
      <c r="JI98" s="102">
        <f t="shared" si="588"/>
        <v>0</v>
      </c>
      <c r="JJ98" s="102">
        <f t="shared" si="588"/>
        <v>0</v>
      </c>
      <c r="JK98" s="102">
        <f t="shared" si="588"/>
        <v>0</v>
      </c>
      <c r="JL98" s="102">
        <f t="shared" si="589"/>
        <v>0</v>
      </c>
      <c r="JM98" s="102"/>
      <c r="JN98" s="102"/>
      <c r="JO98" s="1184"/>
      <c r="JP98" s="102"/>
      <c r="JQ98" s="102"/>
      <c r="JR98" s="145"/>
      <c r="JS98" s="929"/>
      <c r="JT98" s="930"/>
      <c r="JV98" s="32"/>
      <c r="JW98" s="929"/>
      <c r="JY98" s="32"/>
      <c r="JZ98" s="32"/>
      <c r="KA98" s="32"/>
      <c r="KB98" s="32"/>
      <c r="KC98" s="32"/>
      <c r="KD98" s="32"/>
      <c r="KE98" s="32"/>
      <c r="KF98" s="32"/>
      <c r="KH98" s="102"/>
      <c r="KI98" s="102"/>
      <c r="KJ98" s="102"/>
      <c r="KK98" s="102"/>
      <c r="KL98" s="102"/>
      <c r="KM98" s="102"/>
      <c r="KN98" s="102"/>
      <c r="KO98" s="102"/>
      <c r="KQ98" s="32"/>
      <c r="KR98" s="32"/>
      <c r="KS98" s="32"/>
      <c r="KT98" s="32"/>
      <c r="KU98" s="32"/>
      <c r="KV98" s="32"/>
      <c r="KW98" s="32"/>
      <c r="KX98" s="32"/>
      <c r="KY98" s="32"/>
      <c r="KZ98" s="32"/>
      <c r="LB98" s="102">
        <f t="shared" si="593"/>
        <v>0</v>
      </c>
      <c r="LC98" s="102">
        <f t="shared" si="593"/>
        <v>0</v>
      </c>
      <c r="LD98" s="102">
        <f t="shared" si="593"/>
        <v>0</v>
      </c>
      <c r="LE98" s="102">
        <f t="shared" si="593"/>
        <v>0</v>
      </c>
      <c r="LF98" s="102">
        <f t="shared" si="593"/>
        <v>0</v>
      </c>
      <c r="LG98" s="102">
        <f t="shared" si="593"/>
        <v>0</v>
      </c>
      <c r="LH98" s="102">
        <f t="shared" si="593"/>
        <v>0</v>
      </c>
      <c r="LI98" s="102">
        <f t="shared" si="593"/>
        <v>0</v>
      </c>
      <c r="LJ98" s="102">
        <f t="shared" si="593"/>
        <v>0</v>
      </c>
      <c r="LK98" s="102">
        <f t="shared" si="593"/>
        <v>0</v>
      </c>
      <c r="LL98" s="102">
        <f t="shared" si="593"/>
        <v>0</v>
      </c>
      <c r="LM98" s="102">
        <f t="shared" si="593"/>
        <v>0</v>
      </c>
      <c r="LN98" s="102"/>
      <c r="LO98" s="102"/>
      <c r="LR98" s="32"/>
      <c r="LS98" s="32"/>
      <c r="LT98" s="32"/>
      <c r="LU98" s="32"/>
      <c r="LV98" s="32"/>
      <c r="LW98" s="32"/>
      <c r="LX98" s="32"/>
      <c r="LZ98" s="102"/>
      <c r="MA98" s="102"/>
      <c r="MB98" s="102"/>
      <c r="MC98" s="102"/>
      <c r="MD98" s="102"/>
      <c r="ME98" s="102"/>
      <c r="MF98" s="102"/>
      <c r="MH98" s="32"/>
      <c r="MI98" s="32"/>
      <c r="MJ98" s="32"/>
      <c r="MK98" s="32"/>
      <c r="ML98" s="32"/>
      <c r="MM98" s="32"/>
      <c r="MN98" s="32"/>
      <c r="MO98" s="32"/>
      <c r="MP98" s="32"/>
    </row>
    <row r="99" spans="1:354" outlineLevel="1">
      <c r="A99" s="884"/>
      <c r="B99" s="70"/>
      <c r="C99" s="186" t="s">
        <v>99</v>
      </c>
      <c r="D99" s="307" t="s">
        <v>59</v>
      </c>
      <c r="E99" s="931">
        <v>-6.8609876299999994</v>
      </c>
      <c r="F99" s="931">
        <v>-3.4979203099999996</v>
      </c>
      <c r="G99" s="931">
        <v>-7.4410792200000007</v>
      </c>
      <c r="H99" s="931">
        <v>-2.9269106800000007</v>
      </c>
      <c r="I99" s="931">
        <v>-3.4567206200000009</v>
      </c>
      <c r="J99" s="931">
        <v>4.5828252100000002</v>
      </c>
      <c r="K99" s="931">
        <v>-2.8741506699999979</v>
      </c>
      <c r="L99" s="931">
        <v>-9.2547876200000019</v>
      </c>
      <c r="M99" s="931">
        <v>-2.6919636000000002</v>
      </c>
      <c r="N99" s="931">
        <v>-274.45472861999997</v>
      </c>
      <c r="O99" s="931">
        <v>65.525867040000009</v>
      </c>
      <c r="P99" s="931">
        <v>-11.303862880000015</v>
      </c>
      <c r="Q99" s="931">
        <v>-1.7664671699999999</v>
      </c>
      <c r="R99" s="931">
        <v>-3.3483557100000008</v>
      </c>
      <c r="S99" s="931">
        <v>-24.283255560000001</v>
      </c>
      <c r="T99" s="931">
        <v>-23.496327610000002</v>
      </c>
      <c r="U99" s="931">
        <v>-12.254021019999996</v>
      </c>
      <c r="V99" s="931">
        <v>-11.730257129999998</v>
      </c>
      <c r="W99" s="931">
        <v>-10.684855780000007</v>
      </c>
      <c r="X99" s="931">
        <v>-2.7140044399999965</v>
      </c>
      <c r="Y99" s="931">
        <v>-6.2905473900000075</v>
      </c>
      <c r="Z99" s="931">
        <v>-28.50441185999999</v>
      </c>
      <c r="AA99" s="931">
        <v>-137.57592983000001</v>
      </c>
      <c r="AB99" s="931">
        <v>-114.84841162999999</v>
      </c>
      <c r="AC99" s="931">
        <v>-1.1910547799999998</v>
      </c>
      <c r="AD99" s="931">
        <v>-3.8644648900000003</v>
      </c>
      <c r="AE99" s="931">
        <v>-19.307623349999997</v>
      </c>
      <c r="AF99" s="931">
        <v>-104.24647308999999</v>
      </c>
      <c r="AG99" s="931">
        <v>-0.47379789</v>
      </c>
      <c r="AH99" s="931">
        <v>0.51398697999999998</v>
      </c>
      <c r="AI99" s="931">
        <v>-4.7360849599999995</v>
      </c>
      <c r="AJ99" s="931">
        <v>-8.509158450000001</v>
      </c>
      <c r="AK99" s="931">
        <v>-1.66170715</v>
      </c>
      <c r="AL99" s="931">
        <v>-0.61103978000000003</v>
      </c>
      <c r="AM99" s="931">
        <v>-209.14040488999999</v>
      </c>
      <c r="AN99" s="931">
        <v>-1272.3972759899998</v>
      </c>
      <c r="AO99" s="931">
        <f t="shared" ref="AO99:AY99" si="598">SUM(AO100:AO103)</f>
        <v>-1.4485279599999998</v>
      </c>
      <c r="AP99" s="931">
        <f t="shared" si="598"/>
        <v>-15.655235599999999</v>
      </c>
      <c r="AQ99" s="931">
        <f t="shared" si="598"/>
        <v>-69.625587029999991</v>
      </c>
      <c r="AR99" s="931">
        <f t="shared" si="598"/>
        <v>-190.35818603000001</v>
      </c>
      <c r="AS99" s="931">
        <f t="shared" si="598"/>
        <v>-40.346034899999999</v>
      </c>
      <c r="AT99" s="931">
        <f t="shared" si="598"/>
        <v>-3365.4061697299999</v>
      </c>
      <c r="AU99" s="931">
        <f t="shared" si="598"/>
        <v>32.222252940000004</v>
      </c>
      <c r="AV99" s="931">
        <f t="shared" si="598"/>
        <v>-2.4042174000000003</v>
      </c>
      <c r="AW99" s="931">
        <f t="shared" si="598"/>
        <v>-168.57549866000002</v>
      </c>
      <c r="AX99" s="931">
        <f t="shared" si="598"/>
        <v>-5.9502967499999997</v>
      </c>
      <c r="AY99" s="931">
        <f t="shared" si="598"/>
        <v>-0.64481621</v>
      </c>
      <c r="AZ99" s="931">
        <f>SUM(AZ100:AZ103)</f>
        <v>-687.55183581999904</v>
      </c>
      <c r="BA99" s="933">
        <v>-7.3444919999999998</v>
      </c>
      <c r="BB99" s="933">
        <v>-7.6058700000000004</v>
      </c>
      <c r="BC99" s="933">
        <v>-5.5314008499999998</v>
      </c>
      <c r="BD99" s="933">
        <v>-250.30500180000001</v>
      </c>
      <c r="BE99" s="933">
        <v>-42.605858639999951</v>
      </c>
      <c r="BF99" s="933">
        <v>-13.417595889999999</v>
      </c>
      <c r="BG99" s="933">
        <v>-161.42582910000002</v>
      </c>
      <c r="BH99" s="933">
        <v>-61.343886239999996</v>
      </c>
      <c r="BI99" s="933">
        <v>-10.206560710000002</v>
      </c>
      <c r="BJ99" s="933">
        <v>-1.6931633400000001</v>
      </c>
      <c r="BK99" s="933">
        <v>-264.74442763999997</v>
      </c>
      <c r="BL99" s="933">
        <v>-267.845777</v>
      </c>
      <c r="BM99" s="931">
        <f t="shared" ref="BM99:DX99" si="599">SUM(BM100:BM103)</f>
        <v>-0.33650450000000004</v>
      </c>
      <c r="BN99" s="931">
        <f t="shared" si="599"/>
        <v>-0.25962288</v>
      </c>
      <c r="BO99" s="931">
        <f t="shared" si="599"/>
        <v>-1.02487525</v>
      </c>
      <c r="BP99" s="931">
        <f t="shared" si="599"/>
        <v>-0.15396109999999999</v>
      </c>
      <c r="BQ99" s="931">
        <f t="shared" si="599"/>
        <v>-5.4749037600000001</v>
      </c>
      <c r="BR99" s="931">
        <f t="shared" si="599"/>
        <v>-2.7111426400000003</v>
      </c>
      <c r="BS99" s="931">
        <f t="shared" si="599"/>
        <v>-0.90674996000000008</v>
      </c>
      <c r="BT99" s="931">
        <f t="shared" si="599"/>
        <v>-3.3123503699999999</v>
      </c>
      <c r="BU99" s="931">
        <f t="shared" si="599"/>
        <v>-2.8710630700000004</v>
      </c>
      <c r="BV99" s="931">
        <f t="shared" si="599"/>
        <v>-0.50490656</v>
      </c>
      <c r="BW99" s="931">
        <f t="shared" si="599"/>
        <v>-93.319509500000009</v>
      </c>
      <c r="BX99" s="931">
        <f t="shared" si="599"/>
        <v>-130.94995152999999</v>
      </c>
      <c r="BY99" s="931">
        <f t="shared" si="599"/>
        <v>-0.47706600999999998</v>
      </c>
      <c r="BZ99" s="931">
        <f t="shared" si="599"/>
        <v>-0.68921124999999994</v>
      </c>
      <c r="CA99" s="931">
        <f t="shared" si="599"/>
        <v>-3.3382518700000001</v>
      </c>
      <c r="CB99" s="931">
        <f t="shared" si="599"/>
        <v>-0.19676385999999998</v>
      </c>
      <c r="CC99" s="931">
        <f t="shared" si="599"/>
        <v>-3.0120641400000001</v>
      </c>
      <c r="CD99" s="931">
        <f t="shared" si="599"/>
        <v>-0.13826176000000001</v>
      </c>
      <c r="CE99" s="931">
        <f t="shared" si="599"/>
        <v>-0.34035676999999998</v>
      </c>
      <c r="CF99" s="931">
        <f t="shared" si="599"/>
        <v>-11.69560102</v>
      </c>
      <c r="CG99" s="931">
        <f t="shared" si="599"/>
        <v>-1.4900250899999998</v>
      </c>
      <c r="CH99" s="931">
        <f t="shared" si="599"/>
        <v>-0.80078604999999992</v>
      </c>
      <c r="CI99" s="931">
        <f t="shared" si="599"/>
        <v>1.71231592</v>
      </c>
      <c r="CJ99" s="931">
        <f t="shared" si="599"/>
        <v>-5.8367433599999998</v>
      </c>
      <c r="CK99" s="931">
        <f t="shared" si="599"/>
        <v>1.3004219999999999E-2</v>
      </c>
      <c r="CL99" s="931">
        <f t="shared" si="599"/>
        <v>-1.35955651</v>
      </c>
      <c r="CM99" s="931">
        <f t="shared" si="599"/>
        <v>-2.88593945</v>
      </c>
      <c r="CN99" s="931">
        <f t="shared" si="599"/>
        <v>-27.680392910000002</v>
      </c>
      <c r="CO99" s="931">
        <f t="shared" si="599"/>
        <v>-4.61350353</v>
      </c>
      <c r="CP99" s="931">
        <f t="shared" si="599"/>
        <v>-1.42380222</v>
      </c>
      <c r="CQ99" s="931">
        <f t="shared" si="599"/>
        <v>-11.11517832</v>
      </c>
      <c r="CR99" s="931">
        <f t="shared" si="599"/>
        <v>-1.1768814000000001</v>
      </c>
      <c r="CS99" s="931">
        <f t="shared" si="599"/>
        <v>-77.365391390000013</v>
      </c>
      <c r="CT99" s="931">
        <f t="shared" si="599"/>
        <v>-2.61947565</v>
      </c>
      <c r="CU99" s="931">
        <f t="shared" si="599"/>
        <v>-5.1547432099999995</v>
      </c>
      <c r="CV99" s="931">
        <f t="shared" si="599"/>
        <v>-74.147477559999999</v>
      </c>
      <c r="CW99" s="931">
        <f t="shared" si="599"/>
        <v>-2.4410111800000003</v>
      </c>
      <c r="CX99" s="931">
        <f t="shared" si="599"/>
        <v>-5.2251128600000003</v>
      </c>
      <c r="CY99" s="931">
        <f t="shared" si="599"/>
        <v>-2.2937129499999998</v>
      </c>
      <c r="CZ99" s="931">
        <f t="shared" si="599"/>
        <v>-3.0569573000000001</v>
      </c>
      <c r="DA99" s="931">
        <f t="shared" si="599"/>
        <v>-0.63457514999999998</v>
      </c>
      <c r="DB99" s="931">
        <f t="shared" si="599"/>
        <v>-68.440291090000002</v>
      </c>
      <c r="DC99" s="931">
        <f t="shared" si="599"/>
        <v>-62.692944850000003</v>
      </c>
      <c r="DD99" s="931">
        <f t="shared" si="599"/>
        <v>5.0280447499999994</v>
      </c>
      <c r="DE99" s="931">
        <f t="shared" si="599"/>
        <v>-27.286507720000003</v>
      </c>
      <c r="DF99" s="931">
        <f t="shared" si="599"/>
        <v>-0.50845870000000004</v>
      </c>
      <c r="DG99" s="931">
        <f t="shared" si="599"/>
        <v>-3.32033136</v>
      </c>
      <c r="DH99" s="931">
        <f t="shared" si="599"/>
        <v>-3.5910078200000002</v>
      </c>
      <c r="DI99" s="931">
        <f t="shared" si="599"/>
        <v>-0.54944764999999995</v>
      </c>
      <c r="DJ99" s="931">
        <f t="shared" si="599"/>
        <v>-1.45079621</v>
      </c>
      <c r="DK99" s="931">
        <f t="shared" si="599"/>
        <v>-6.8057766700000002</v>
      </c>
      <c r="DL99" s="931">
        <f t="shared" si="599"/>
        <v>-6.1728575599999997</v>
      </c>
      <c r="DM99" s="931">
        <f t="shared" si="599"/>
        <v>-1.4824068399999999</v>
      </c>
      <c r="DN99" s="931">
        <f t="shared" si="599"/>
        <v>-15.418925</v>
      </c>
      <c r="DO99" s="931">
        <f t="shared" si="599"/>
        <v>-1.43711396</v>
      </c>
      <c r="DP99" s="931">
        <f t="shared" si="599"/>
        <v>-1.07287698</v>
      </c>
      <c r="DQ99" s="941">
        <f t="shared" si="599"/>
        <v>-16.439749050000003</v>
      </c>
      <c r="DR99" s="941">
        <f t="shared" si="599"/>
        <v>-2.57544627</v>
      </c>
      <c r="DS99" s="941">
        <f t="shared" si="599"/>
        <v>-3.4518207199999997</v>
      </c>
      <c r="DT99" s="941">
        <f t="shared" si="599"/>
        <v>-354.92807020000004</v>
      </c>
      <c r="DU99" s="941">
        <f t="shared" si="599"/>
        <v>-30.456879650000001</v>
      </c>
      <c r="DV99" s="941">
        <f t="shared" si="599"/>
        <v>-6.5421952699999997</v>
      </c>
      <c r="DW99" s="941">
        <f t="shared" si="599"/>
        <v>-9.117703950000001</v>
      </c>
      <c r="DX99" s="941">
        <f t="shared" si="599"/>
        <v>-8.22573869</v>
      </c>
      <c r="DY99" s="941">
        <f t="shared" ref="DY99:EF99" si="600">SUM(DY100:DY103)</f>
        <v>-27.447336549999999</v>
      </c>
      <c r="DZ99" s="941">
        <f t="shared" si="600"/>
        <v>-5.4322240100000005</v>
      </c>
      <c r="EA99" s="941">
        <f t="shared" si="600"/>
        <v>-11.44294236</v>
      </c>
      <c r="EB99" s="941">
        <f t="shared" si="600"/>
        <v>-14.120501579999999</v>
      </c>
      <c r="EC99" s="941">
        <f t="shared" si="600"/>
        <v>-12.452385039999999</v>
      </c>
      <c r="ED99" s="941">
        <f t="shared" si="600"/>
        <v>-30.813570890000001</v>
      </c>
      <c r="EE99" s="941">
        <f t="shared" si="600"/>
        <v>-297.05512949000001</v>
      </c>
      <c r="EF99" s="941">
        <f t="shared" si="600"/>
        <v>-234.47233695</v>
      </c>
      <c r="EH99" s="931">
        <f t="shared" ref="EH99:ES99" si="601">SUM(EH100:EH103)</f>
        <v>-48.369847690000014</v>
      </c>
      <c r="EI99" s="931">
        <f t="shared" si="601"/>
        <v>-17.179963470000001</v>
      </c>
      <c r="EJ99" s="931">
        <f t="shared" si="601"/>
        <v>-122.99182798000001</v>
      </c>
      <c r="EK99" s="931">
        <f t="shared" si="601"/>
        <v>-310.78700940000004</v>
      </c>
      <c r="EL99" s="931">
        <f t="shared" si="601"/>
        <v>-521.66016999999988</v>
      </c>
      <c r="EM99" s="931">
        <f t="shared" si="601"/>
        <v>-228.65496929999998</v>
      </c>
      <c r="EN99" s="931">
        <f t="shared" si="601"/>
        <v>-31.879057030000002</v>
      </c>
      <c r="EO99" s="931">
        <f t="shared" si="601"/>
        <v>-31.879057030000002</v>
      </c>
      <c r="EP99" s="931">
        <f t="shared" si="601"/>
        <v>-31.879057030000002</v>
      </c>
      <c r="EQ99" s="931">
        <f t="shared" si="601"/>
        <v>-31.879057029999995</v>
      </c>
      <c r="ER99" s="931">
        <f t="shared" si="601"/>
        <v>-31.879057029999995</v>
      </c>
      <c r="ES99" s="931">
        <f t="shared" si="601"/>
        <v>-31.879057030000002</v>
      </c>
      <c r="EU99" s="931">
        <v>-25.2</v>
      </c>
      <c r="EV99" s="931">
        <v>-27.2</v>
      </c>
      <c r="EW99" s="931">
        <v>-27.2</v>
      </c>
      <c r="EX99" s="931">
        <v>-27.2</v>
      </c>
      <c r="EY99" s="931">
        <v>-25.2</v>
      </c>
      <c r="EZ99" s="931">
        <v>-25.2</v>
      </c>
      <c r="FA99" s="931">
        <v>-25.2</v>
      </c>
      <c r="FB99" s="931">
        <v>-25.2</v>
      </c>
      <c r="FC99" s="931">
        <v>-25.2</v>
      </c>
      <c r="FD99" s="931">
        <v>-25.2</v>
      </c>
      <c r="FE99" s="931">
        <v>-25.2</v>
      </c>
      <c r="FF99" s="931">
        <v>-25.2</v>
      </c>
      <c r="FG99" s="931">
        <f t="shared" ref="FG99:HB99" si="602">SUM(FG100:FG103)</f>
        <v>-32.678594928999999</v>
      </c>
      <c r="FH99" s="931">
        <f t="shared" si="602"/>
        <v>-26.648297782199986</v>
      </c>
      <c r="FI99" s="931">
        <f t="shared" si="602"/>
        <v>-761.82406006475992</v>
      </c>
      <c r="FJ99" s="931">
        <f t="shared" si="602"/>
        <v>-80.716604070807989</v>
      </c>
      <c r="FK99" s="931">
        <f t="shared" si="602"/>
        <v>-14.877157751646399</v>
      </c>
      <c r="FL99" s="931">
        <f t="shared" si="602"/>
        <v>-12.407148040317118</v>
      </c>
      <c r="FM99" s="931">
        <f t="shared" si="602"/>
        <v>-10.431140271253652</v>
      </c>
      <c r="FN99" s="931">
        <f t="shared" si="602"/>
        <v>-8.8503340560029589</v>
      </c>
      <c r="FO99" s="931">
        <f t="shared" si="602"/>
        <v>-2.527109195</v>
      </c>
      <c r="FP99" s="931">
        <f t="shared" si="602"/>
        <v>-22.761428750209475</v>
      </c>
      <c r="FQ99" s="931">
        <f t="shared" si="602"/>
        <v>-2.527109195</v>
      </c>
      <c r="FR99" s="931">
        <f t="shared" si="602"/>
        <v>-2.527109195</v>
      </c>
      <c r="FS99" s="931">
        <f t="shared" si="602"/>
        <v>-8.9347232200000004</v>
      </c>
      <c r="FT99" s="931">
        <f t="shared" si="602"/>
        <v>-8.9347232200000004</v>
      </c>
      <c r="FU99" s="931">
        <f t="shared" si="602"/>
        <v>-8.9347232200000004</v>
      </c>
      <c r="FV99" s="931">
        <f t="shared" si="602"/>
        <v>-8.9347232200000004</v>
      </c>
      <c r="FW99" s="931">
        <f t="shared" si="602"/>
        <v>-8.9347232200000004</v>
      </c>
      <c r="FX99" s="931">
        <f t="shared" si="602"/>
        <v>-8.9347232200000004</v>
      </c>
      <c r="FY99" s="931">
        <f t="shared" si="602"/>
        <v>-8.9347232200000004</v>
      </c>
      <c r="FZ99" s="931">
        <f t="shared" si="602"/>
        <v>-8.9347232200000004</v>
      </c>
      <c r="GA99" s="931">
        <f t="shared" si="602"/>
        <v>-8.9347232200000004</v>
      </c>
      <c r="GB99" s="931">
        <f t="shared" si="602"/>
        <v>-8.9347232200000004</v>
      </c>
      <c r="GC99" s="931">
        <f t="shared" si="602"/>
        <v>-8.9347232200000004</v>
      </c>
      <c r="GD99" s="931">
        <f t="shared" si="602"/>
        <v>-8.9347232200000004</v>
      </c>
      <c r="GE99" s="931">
        <f t="shared" si="602"/>
        <v>-27.45</v>
      </c>
      <c r="GF99" s="931">
        <f t="shared" si="602"/>
        <v>-27.45</v>
      </c>
      <c r="GG99" s="931">
        <f t="shared" si="602"/>
        <v>-27.449999999999992</v>
      </c>
      <c r="GH99" s="931">
        <f t="shared" si="602"/>
        <v>-20.45</v>
      </c>
      <c r="GI99" s="931">
        <f t="shared" si="602"/>
        <v>-27.449999999999992</v>
      </c>
      <c r="GJ99" s="931">
        <f t="shared" si="602"/>
        <v>-20.45</v>
      </c>
      <c r="GK99" s="931">
        <f t="shared" si="602"/>
        <v>-27.45</v>
      </c>
      <c r="GL99" s="931">
        <f t="shared" si="602"/>
        <v>-20.45</v>
      </c>
      <c r="GM99" s="931">
        <f t="shared" si="602"/>
        <v>-20.45</v>
      </c>
      <c r="GN99" s="931">
        <f t="shared" si="602"/>
        <v>-27.45</v>
      </c>
      <c r="GO99" s="931">
        <f t="shared" si="602"/>
        <v>-27.45</v>
      </c>
      <c r="GP99" s="931">
        <f t="shared" si="602"/>
        <v>-27.45</v>
      </c>
      <c r="GQ99" s="931">
        <f t="shared" si="602"/>
        <v>-27.45</v>
      </c>
      <c r="GR99" s="931">
        <f t="shared" si="602"/>
        <v>-27.45</v>
      </c>
      <c r="GS99" s="931">
        <f t="shared" si="602"/>
        <v>-27.449999999999992</v>
      </c>
      <c r="GT99" s="931">
        <f t="shared" si="602"/>
        <v>-20.45</v>
      </c>
      <c r="GU99" s="931">
        <f t="shared" si="602"/>
        <v>-27.449999999999992</v>
      </c>
      <c r="GV99" s="931">
        <f t="shared" si="602"/>
        <v>-20.45</v>
      </c>
      <c r="GW99" s="931">
        <f t="shared" si="602"/>
        <v>-27.45</v>
      </c>
      <c r="GX99" s="931">
        <f t="shared" si="602"/>
        <v>-20.45</v>
      </c>
      <c r="GY99" s="931">
        <f t="shared" si="602"/>
        <v>-20.45</v>
      </c>
      <c r="GZ99" s="931">
        <f t="shared" si="602"/>
        <v>-27.45</v>
      </c>
      <c r="HA99" s="931">
        <f t="shared" si="602"/>
        <v>-27.45</v>
      </c>
      <c r="HB99" s="931">
        <f t="shared" si="602"/>
        <v>-27.45</v>
      </c>
      <c r="HD99" s="931">
        <f t="shared" si="582"/>
        <v>-254.65441959999998</v>
      </c>
      <c r="HE99" s="931">
        <f t="shared" si="582"/>
        <v>-377.49684513</v>
      </c>
      <c r="HF99" s="931">
        <f t="shared" si="582"/>
        <v>-1625.6250982399997</v>
      </c>
      <c r="HG99" s="931">
        <f t="shared" si="582"/>
        <v>-4515.744153149999</v>
      </c>
      <c r="HH99" s="931">
        <f t="shared" si="583"/>
        <v>-1094.0698632099998</v>
      </c>
      <c r="HI99" s="931">
        <f t="shared" si="584"/>
        <v>-241.82554112</v>
      </c>
      <c r="HJ99" s="931">
        <f t="shared" si="472"/>
        <v>-26.302815260000003</v>
      </c>
      <c r="HK99" s="931">
        <f t="shared" si="473"/>
        <v>-209.52933793</v>
      </c>
      <c r="HL99" s="941">
        <f>+SUMIF($E$6:SEW$6,HL$7,$E99:SEW99)</f>
        <v>-174.46286623000003</v>
      </c>
      <c r="HM99" s="941">
        <f>+SUMIF($E$6:SEX$6,HM$7,$E99:SEX99)</f>
        <v>-411.78528711000001</v>
      </c>
      <c r="HN99" s="941">
        <f>+SUMIF($E$6:SEY$6,HN$7,$E99:SEY99)</f>
        <v>-687.57894442999998</v>
      </c>
      <c r="HO99" s="931"/>
      <c r="HP99" s="931"/>
      <c r="HR99" s="934">
        <f t="shared" ref="HR99:HZ103" si="603">+IFERROR(HF99/HE99-1,"")</f>
        <v>3.3063276401162431</v>
      </c>
      <c r="HS99" s="934">
        <f t="shared" si="603"/>
        <v>1.7778509067305968</v>
      </c>
      <c r="HT99" s="934">
        <f t="shared" si="603"/>
        <v>-0.75772102534931673</v>
      </c>
      <c r="HU99" s="934">
        <f t="shared" si="603"/>
        <v>-0.7789670027008293</v>
      </c>
      <c r="HV99" s="934">
        <f t="shared" si="603"/>
        <v>-0.89123226960154767</v>
      </c>
      <c r="HW99" s="934">
        <f t="shared" si="603"/>
        <v>6.9660422604511716</v>
      </c>
      <c r="HX99" s="934">
        <f t="shared" si="603"/>
        <v>-0.1673582899961964</v>
      </c>
      <c r="HY99" s="934">
        <f t="shared" si="603"/>
        <v>1.3603033471153121</v>
      </c>
      <c r="HZ99" s="934">
        <f t="shared" si="603"/>
        <v>0.6697511201907691</v>
      </c>
      <c r="IA99" s="934">
        <f t="shared" ref="IA99:IA130" si="604">+IFERROR(HO99/HL99-1,"")</f>
        <v>-1</v>
      </c>
      <c r="IB99" s="934" t="str">
        <f>+IFERROR(HP99/HO99-1,"")</f>
        <v/>
      </c>
      <c r="IC99" s="934">
        <f t="shared" ref="IC99:IC130" si="605">+IFERROR(HP99/HL99-1,"")</f>
        <v>-1</v>
      </c>
      <c r="IE99" s="931">
        <f t="shared" ref="IE99:IK103" si="606">+HF99-HE99</f>
        <v>-1248.1282531099996</v>
      </c>
      <c r="IF99" s="931">
        <f t="shared" si="606"/>
        <v>-2890.1190549099992</v>
      </c>
      <c r="IG99" s="931">
        <f t="shared" si="606"/>
        <v>3421.6742899399992</v>
      </c>
      <c r="IH99" s="931">
        <f t="shared" si="606"/>
        <v>852.24432208999974</v>
      </c>
      <c r="II99" s="931">
        <f t="shared" si="606"/>
        <v>215.52272585999998</v>
      </c>
      <c r="IJ99" s="931">
        <f t="shared" si="606"/>
        <v>-183.22652267000001</v>
      </c>
      <c r="IK99" s="931">
        <f t="shared" si="606"/>
        <v>35.066471699999965</v>
      </c>
      <c r="IL99" s="931">
        <f t="shared" ref="IL99:IL130" si="607">+HO99-HL99</f>
        <v>174.46286623000003</v>
      </c>
      <c r="IM99" s="931">
        <f>+HP99-HO99</f>
        <v>0</v>
      </c>
      <c r="IN99" s="931">
        <f t="shared" ref="IN99:IN130" si="608">+HP99-HL99</f>
        <v>174.46286623000003</v>
      </c>
      <c r="IP99" s="230">
        <f t="shared" ref="IP99:IW103" si="609">+HE99/HE$11</f>
        <v>-1.0270547347450329E-2</v>
      </c>
      <c r="IQ99" s="230">
        <f t="shared" si="609"/>
        <v>-4.1277349777897057E-2</v>
      </c>
      <c r="IR99" s="230">
        <f t="shared" si="609"/>
        <v>-0.26795242585610785</v>
      </c>
      <c r="IS99" s="230">
        <f t="shared" si="609"/>
        <v>-0.17783892999416079</v>
      </c>
      <c r="IT99" s="230">
        <f t="shared" si="609"/>
        <v>-1.7743695385238054E-2</v>
      </c>
      <c r="IU99" s="230">
        <f t="shared" si="609"/>
        <v>-1.8587860745931425E-3</v>
      </c>
      <c r="IV99" s="230">
        <f t="shared" si="609"/>
        <v>-9.8697948106180409E-3</v>
      </c>
      <c r="IW99" s="230">
        <f t="shared" si="609"/>
        <v>-1.3824439398756536E-2</v>
      </c>
      <c r="IX99" s="230" t="e">
        <f t="shared" ref="IX99:IY103" si="610">+HO99/HO$11</f>
        <v>#DIV/0!</v>
      </c>
      <c r="IY99" s="230" t="e">
        <f t="shared" si="610"/>
        <v>#DIV/0!</v>
      </c>
      <c r="JA99" s="931">
        <f t="shared" si="588"/>
        <v>-254.65441959999998</v>
      </c>
      <c r="JB99" s="931">
        <f t="shared" si="588"/>
        <v>-377.49684513</v>
      </c>
      <c r="JC99" s="931">
        <f t="shared" si="588"/>
        <v>-1625.6250982399997</v>
      </c>
      <c r="JD99" s="931">
        <f t="shared" si="588"/>
        <v>-4515.744153149999</v>
      </c>
      <c r="JE99" s="931">
        <f t="shared" si="588"/>
        <v>-1094.0698632099998</v>
      </c>
      <c r="JF99" s="931">
        <f t="shared" si="588"/>
        <v>-241.82554112</v>
      </c>
      <c r="JG99" s="931">
        <f t="shared" si="588"/>
        <v>-26.302815260000003</v>
      </c>
      <c r="JH99" s="931">
        <f t="shared" si="588"/>
        <v>-209.52933793</v>
      </c>
      <c r="JI99" s="931">
        <f t="shared" si="588"/>
        <v>-174.46286623000003</v>
      </c>
      <c r="JJ99" s="931">
        <f t="shared" si="588"/>
        <v>-411.78528711000001</v>
      </c>
      <c r="JK99" s="931">
        <f t="shared" si="588"/>
        <v>-687.57894442999998</v>
      </c>
      <c r="JL99" s="931">
        <f t="shared" si="589"/>
        <v>-687.57894442999998</v>
      </c>
      <c r="JM99" s="931"/>
      <c r="JN99" s="931"/>
      <c r="JP99" s="931">
        <f t="shared" ref="JP99:JQ103" si="611">+JL99</f>
        <v>-687.57894442999998</v>
      </c>
      <c r="JQ99" s="931">
        <f t="shared" si="611"/>
        <v>0</v>
      </c>
      <c r="JR99" s="145"/>
      <c r="JS99" s="934" t="str">
        <f>+IFERROR(JP99/JQ99,"")</f>
        <v/>
      </c>
      <c r="JT99" s="935">
        <f>+IFERROR(JP99-JQ99,"NA")</f>
        <v>-687.57894442999998</v>
      </c>
      <c r="JV99" s="230">
        <f>+JP99/JP$11</f>
        <v>-2.2773868355120654E-2</v>
      </c>
      <c r="JW99" s="934" t="str">
        <f>+IFERROR(JQ99/JQ$11,"")</f>
        <v/>
      </c>
      <c r="JY99" s="230">
        <f t="shared" ref="JY99:KE99" si="612">+IFERROR(JC99/JB99-1,"NA")</f>
        <v>3.3063276401162431</v>
      </c>
      <c r="JZ99" s="230">
        <f t="shared" si="612"/>
        <v>1.7778509067305968</v>
      </c>
      <c r="KA99" s="230">
        <f t="shared" si="612"/>
        <v>-0.75772102534931673</v>
      </c>
      <c r="KB99" s="230">
        <f t="shared" si="612"/>
        <v>-0.7789670027008293</v>
      </c>
      <c r="KC99" s="230">
        <f t="shared" si="612"/>
        <v>-0.89123226960154767</v>
      </c>
      <c r="KD99" s="230">
        <f t="shared" si="612"/>
        <v>6.9660422604511716</v>
      </c>
      <c r="KE99" s="230">
        <f t="shared" si="612"/>
        <v>-0.1673582899961964</v>
      </c>
      <c r="KF99" s="230">
        <f>+IFERROR(JN99/JI99-1,"NA")</f>
        <v>-1</v>
      </c>
      <c r="KH99" s="931">
        <f t="shared" ref="KH99:KN103" si="613">+JC99-JB99</f>
        <v>-1248.1282531099996</v>
      </c>
      <c r="KI99" s="931">
        <f t="shared" si="613"/>
        <v>-2890.1190549099992</v>
      </c>
      <c r="KJ99" s="931">
        <f t="shared" si="613"/>
        <v>3421.6742899399992</v>
      </c>
      <c r="KK99" s="931">
        <f t="shared" si="613"/>
        <v>852.24432208999974</v>
      </c>
      <c r="KL99" s="931">
        <f t="shared" si="613"/>
        <v>215.52272585999998</v>
      </c>
      <c r="KM99" s="931">
        <f t="shared" si="613"/>
        <v>-183.22652267000001</v>
      </c>
      <c r="KN99" s="931">
        <f t="shared" si="613"/>
        <v>35.066471699999965</v>
      </c>
      <c r="KO99" s="931">
        <f>+JN99-JI99</f>
        <v>174.46286623000003</v>
      </c>
      <c r="KQ99" s="230">
        <f t="shared" ref="KQ99:KY103" si="614">+JA99/JA$11</f>
        <v>-7.0188760779141867E-3</v>
      </c>
      <c r="KR99" s="230">
        <f t="shared" si="614"/>
        <v>-1.0270547347450329E-2</v>
      </c>
      <c r="KS99" s="230">
        <f t="shared" si="614"/>
        <v>-4.1277349777897057E-2</v>
      </c>
      <c r="KT99" s="230">
        <f t="shared" si="614"/>
        <v>-0.26795242585610785</v>
      </c>
      <c r="KU99" s="230">
        <f t="shared" si="614"/>
        <v>-0.17783892999416079</v>
      </c>
      <c r="KV99" s="230">
        <f t="shared" si="614"/>
        <v>-1.7743695385238054E-2</v>
      </c>
      <c r="KW99" s="230">
        <f t="shared" si="614"/>
        <v>-1.8587860745931425E-3</v>
      </c>
      <c r="KX99" s="230">
        <f t="shared" si="614"/>
        <v>-9.8697948106180409E-3</v>
      </c>
      <c r="KY99" s="230">
        <f t="shared" si="614"/>
        <v>-1.3824439398756536E-2</v>
      </c>
      <c r="KZ99" s="230" t="e">
        <f>+JN99/JN$11</f>
        <v>#DIV/0!</v>
      </c>
      <c r="LB99" s="931">
        <f t="shared" si="593"/>
        <v>-11.303862880000015</v>
      </c>
      <c r="LC99" s="931">
        <f t="shared" si="593"/>
        <v>-114.84841162999999</v>
      </c>
      <c r="LD99" s="931">
        <f t="shared" si="593"/>
        <v>-1272.3972759899998</v>
      </c>
      <c r="LE99" s="931">
        <f t="shared" si="593"/>
        <v>-687.55183581999904</v>
      </c>
      <c r="LF99" s="931">
        <f t="shared" si="593"/>
        <v>-267.845777</v>
      </c>
      <c r="LG99" s="931">
        <f t="shared" si="593"/>
        <v>-130.94995152999999</v>
      </c>
      <c r="LH99" s="931">
        <f t="shared" si="593"/>
        <v>-5.8367433599999998</v>
      </c>
      <c r="LI99" s="931">
        <f t="shared" si="593"/>
        <v>-74.147477559999999</v>
      </c>
      <c r="LJ99" s="931">
        <f t="shared" si="593"/>
        <v>-3.5910078200000002</v>
      </c>
      <c r="LK99" s="931">
        <f t="shared" si="593"/>
        <v>-354.92807020000004</v>
      </c>
      <c r="LL99" s="931">
        <f t="shared" si="593"/>
        <v>-234.47233695</v>
      </c>
      <c r="LM99" s="931">
        <f t="shared" si="593"/>
        <v>-234.47233695</v>
      </c>
      <c r="LN99" s="931"/>
      <c r="LO99" s="931"/>
      <c r="LR99" s="230">
        <f t="shared" ref="LR99:LW103" si="615">+IFERROR(LD99/LC99-1," ")</f>
        <v>10.078927935801179</v>
      </c>
      <c r="LS99" s="230">
        <f t="shared" si="615"/>
        <v>-0.45964059433792537</v>
      </c>
      <c r="LT99" s="230">
        <f t="shared" si="615"/>
        <v>-0.61043551475568747</v>
      </c>
      <c r="LU99" s="230">
        <f t="shared" si="615"/>
        <v>-0.51109943566517391</v>
      </c>
      <c r="LV99" s="230">
        <f t="shared" si="615"/>
        <v>-0.9554276783473048</v>
      </c>
      <c r="LW99" s="230">
        <f t="shared" si="615"/>
        <v>11.703569951035162</v>
      </c>
      <c r="LX99" s="230">
        <f>+IFERROR(LO99/LI99-1," ")</f>
        <v>-1</v>
      </c>
      <c r="LZ99" s="931">
        <f t="shared" ref="LZ99:ME103" si="616">+LD99-LC99</f>
        <v>-1157.5488643599997</v>
      </c>
      <c r="MA99" s="931">
        <f t="shared" si="616"/>
        <v>584.84544017000076</v>
      </c>
      <c r="MB99" s="931">
        <f t="shared" si="616"/>
        <v>419.70605881999904</v>
      </c>
      <c r="MC99" s="931">
        <f t="shared" si="616"/>
        <v>136.89582547000001</v>
      </c>
      <c r="MD99" s="931">
        <f t="shared" si="616"/>
        <v>125.11320816999999</v>
      </c>
      <c r="ME99" s="931">
        <f t="shared" si="616"/>
        <v>-68.310734199999999</v>
      </c>
      <c r="MF99" s="931">
        <f>+LO99-LI99</f>
        <v>74.147477559999999</v>
      </c>
      <c r="MH99" s="230">
        <f t="shared" ref="MH99:MO103" si="617">+LB99/LB$11</f>
        <v>-3.7687780920066501E-3</v>
      </c>
      <c r="MI99" s="230">
        <f t="shared" si="617"/>
        <v>-2.0829780631356178E-2</v>
      </c>
      <c r="MJ99" s="230">
        <f t="shared" si="617"/>
        <v>-0.24821706155234011</v>
      </c>
      <c r="MK99" s="230">
        <f t="shared" si="617"/>
        <v>-1.1828405838362723</v>
      </c>
      <c r="ML99" s="230">
        <f t="shared" si="617"/>
        <v>-0.17779821228471832</v>
      </c>
      <c r="MM99" s="230">
        <f t="shared" si="617"/>
        <v>-0.12729858213628067</v>
      </c>
      <c r="MN99" s="230">
        <f t="shared" si="617"/>
        <v>-3.7535021612983563E-3</v>
      </c>
      <c r="MO99" s="230">
        <f t="shared" si="617"/>
        <v>-3.9398322516170578E-2</v>
      </c>
      <c r="MP99" s="230" t="e">
        <f>+LO99/LO$11</f>
        <v>#DIV/0!</v>
      </c>
    </row>
    <row r="100" spans="1:354" outlineLevel="2">
      <c r="A100" s="884">
        <v>5310</v>
      </c>
      <c r="B100" s="70" t="s">
        <v>675</v>
      </c>
      <c r="C100" s="80" t="s">
        <v>676</v>
      </c>
      <c r="D100" s="923" t="s">
        <v>59</v>
      </c>
      <c r="E100" s="924">
        <v>0</v>
      </c>
      <c r="F100" s="924">
        <v>0</v>
      </c>
      <c r="G100" s="924">
        <v>0</v>
      </c>
      <c r="H100" s="924">
        <v>0</v>
      </c>
      <c r="I100" s="924">
        <v>0</v>
      </c>
      <c r="J100" s="924">
        <v>0</v>
      </c>
      <c r="K100" s="924">
        <v>0</v>
      </c>
      <c r="L100" s="924">
        <v>-6.9237500000000001</v>
      </c>
      <c r="M100" s="924">
        <v>0</v>
      </c>
      <c r="N100" s="924">
        <v>-18.949435000000001</v>
      </c>
      <c r="O100" s="924">
        <v>0</v>
      </c>
      <c r="P100" s="924">
        <v>-0.51216099999999898</v>
      </c>
      <c r="Q100" s="924">
        <v>0</v>
      </c>
      <c r="R100" s="924">
        <v>0</v>
      </c>
      <c r="S100" s="924">
        <v>0</v>
      </c>
      <c r="T100" s="924">
        <v>0</v>
      </c>
      <c r="U100" s="924">
        <v>0</v>
      </c>
      <c r="V100" s="924">
        <v>0</v>
      </c>
      <c r="W100" s="924">
        <v>0</v>
      </c>
      <c r="X100" s="924">
        <v>0</v>
      </c>
      <c r="Y100" s="924">
        <v>0</v>
      </c>
      <c r="Z100" s="924">
        <v>0</v>
      </c>
      <c r="AA100" s="924">
        <v>-111.92155916999999</v>
      </c>
      <c r="AB100" s="924">
        <v>-57.107515930000005</v>
      </c>
      <c r="AC100" s="924">
        <v>0</v>
      </c>
      <c r="AD100" s="924">
        <v>0</v>
      </c>
      <c r="AE100" s="924">
        <v>0</v>
      </c>
      <c r="AF100" s="924">
        <v>-52.046723999999998</v>
      </c>
      <c r="AG100" s="924">
        <v>0</v>
      </c>
      <c r="AH100" s="924">
        <v>0</v>
      </c>
      <c r="AI100" s="924">
        <v>0</v>
      </c>
      <c r="AJ100" s="924">
        <v>0</v>
      </c>
      <c r="AK100" s="924">
        <v>0</v>
      </c>
      <c r="AL100" s="924">
        <v>0</v>
      </c>
      <c r="AM100" s="924">
        <v>0</v>
      </c>
      <c r="AN100" s="102">
        <v>-971.78108161</v>
      </c>
      <c r="AO100" s="924">
        <v>0</v>
      </c>
      <c r="AP100" s="925">
        <v>0</v>
      </c>
      <c r="AQ100" s="926">
        <v>-13.050967</v>
      </c>
      <c r="AR100" s="926">
        <v>0</v>
      </c>
      <c r="AS100" s="924">
        <v>0</v>
      </c>
      <c r="AT100" s="924">
        <v>-3294.166667</v>
      </c>
      <c r="AU100" s="924">
        <v>0</v>
      </c>
      <c r="AV100" s="924">
        <v>0</v>
      </c>
      <c r="AW100" s="924">
        <v>0</v>
      </c>
      <c r="AX100" s="924">
        <v>0</v>
      </c>
      <c r="AY100" s="924">
        <v>0</v>
      </c>
      <c r="AZ100" s="924">
        <f>-366.314789029999-43</f>
        <v>-409.31478902999902</v>
      </c>
      <c r="BA100" s="102"/>
      <c r="BB100" s="102"/>
      <c r="BC100" s="102"/>
      <c r="BD100" s="102"/>
      <c r="BE100" s="924"/>
      <c r="BF100" s="924"/>
      <c r="BG100" s="924"/>
      <c r="BH100" s="924"/>
      <c r="BI100" s="924"/>
      <c r="BJ100" s="924"/>
      <c r="BK100" s="102"/>
      <c r="BL100" s="924"/>
      <c r="BM100" s="102">
        <v>0</v>
      </c>
      <c r="BN100" s="102">
        <v>0</v>
      </c>
      <c r="BO100" s="102">
        <v>0</v>
      </c>
      <c r="BP100" s="102">
        <v>0</v>
      </c>
      <c r="BQ100" s="924">
        <v>0</v>
      </c>
      <c r="BR100" s="924">
        <v>0</v>
      </c>
      <c r="BS100" s="924">
        <v>0</v>
      </c>
      <c r="BT100" s="924">
        <v>0</v>
      </c>
      <c r="BU100" s="924">
        <v>0</v>
      </c>
      <c r="BV100" s="924">
        <v>0</v>
      </c>
      <c r="BW100" s="102">
        <v>-73.713065</v>
      </c>
      <c r="BX100" s="102">
        <v>0</v>
      </c>
      <c r="BY100" s="102">
        <v>0</v>
      </c>
      <c r="BZ100" s="102">
        <v>0</v>
      </c>
      <c r="CA100" s="102">
        <v>0</v>
      </c>
      <c r="CB100" s="102">
        <v>0</v>
      </c>
      <c r="CC100" s="102">
        <v>0</v>
      </c>
      <c r="CD100" s="102">
        <v>0</v>
      </c>
      <c r="CE100" s="102">
        <v>0</v>
      </c>
      <c r="CF100" s="102">
        <v>0</v>
      </c>
      <c r="CG100" s="102">
        <v>0</v>
      </c>
      <c r="CH100" s="102">
        <v>0</v>
      </c>
      <c r="CI100" s="102">
        <v>0</v>
      </c>
      <c r="CJ100" s="102">
        <v>0</v>
      </c>
      <c r="CK100" s="102">
        <v>0</v>
      </c>
      <c r="CL100" s="102">
        <v>0</v>
      </c>
      <c r="CM100" s="102">
        <v>0</v>
      </c>
      <c r="CN100" s="102">
        <v>0</v>
      </c>
      <c r="CO100" s="102">
        <v>0</v>
      </c>
      <c r="CP100" s="102">
        <v>0</v>
      </c>
      <c r="CQ100" s="102">
        <v>0</v>
      </c>
      <c r="CR100" s="102">
        <v>0</v>
      </c>
      <c r="CS100" s="102">
        <v>-75.352752290000012</v>
      </c>
      <c r="CT100" s="102">
        <v>0</v>
      </c>
      <c r="CU100" s="102">
        <v>0</v>
      </c>
      <c r="CV100" s="102">
        <v>-62.751934509999998</v>
      </c>
      <c r="CW100" s="102">
        <v>0</v>
      </c>
      <c r="CX100" s="102">
        <v>0</v>
      </c>
      <c r="CY100" s="102">
        <v>0</v>
      </c>
      <c r="CZ100" s="102">
        <v>0</v>
      </c>
      <c r="DA100" s="102">
        <v>0</v>
      </c>
      <c r="DB100" s="102">
        <v>-67.333426040000006</v>
      </c>
      <c r="DC100" s="102">
        <v>-58.394632000000001</v>
      </c>
      <c r="DD100" s="102">
        <v>5.4344049500000002</v>
      </c>
      <c r="DE100" s="102">
        <v>-25.865577780000002</v>
      </c>
      <c r="DF100" s="102">
        <v>0</v>
      </c>
      <c r="DG100" s="102">
        <v>0</v>
      </c>
      <c r="DH100" s="102">
        <v>0</v>
      </c>
      <c r="DI100" s="102">
        <v>0</v>
      </c>
      <c r="DJ100" s="102">
        <v>0</v>
      </c>
      <c r="DK100" s="102">
        <v>0</v>
      </c>
      <c r="DL100" s="102">
        <v>0</v>
      </c>
      <c r="DM100" s="102">
        <v>0</v>
      </c>
      <c r="DN100" s="102">
        <v>-12.156806939999999</v>
      </c>
      <c r="DO100" s="102">
        <v>0</v>
      </c>
      <c r="DP100" s="102">
        <v>0</v>
      </c>
      <c r="DQ100" s="940">
        <v>0</v>
      </c>
      <c r="DR100" s="940">
        <v>0</v>
      </c>
      <c r="DS100" s="940">
        <v>0</v>
      </c>
      <c r="DT100" s="940">
        <v>0</v>
      </c>
      <c r="DU100" s="940">
        <v>0</v>
      </c>
      <c r="DV100" s="940">
        <v>0</v>
      </c>
      <c r="DW100" s="940">
        <v>0</v>
      </c>
      <c r="DX100" s="940">
        <v>0</v>
      </c>
      <c r="DY100" s="940">
        <v>-21.41027287</v>
      </c>
      <c r="DZ100" s="940">
        <v>0</v>
      </c>
      <c r="EA100" s="940">
        <v>-5.0882040399999999</v>
      </c>
      <c r="EB100" s="940">
        <v>0</v>
      </c>
      <c r="EC100" s="940">
        <v>0</v>
      </c>
      <c r="ED100" s="940">
        <v>0</v>
      </c>
      <c r="EE100" s="940">
        <v>-283</v>
      </c>
      <c r="EF100" s="940">
        <v>-52.422020809999971</v>
      </c>
      <c r="EH100" s="924">
        <v>0</v>
      </c>
      <c r="EI100" s="924">
        <v>0</v>
      </c>
      <c r="EJ100" s="924">
        <v>0</v>
      </c>
      <c r="EK100" s="924">
        <v>0</v>
      </c>
      <c r="EL100" s="924">
        <v>0</v>
      </c>
      <c r="EM100" s="924">
        <v>-67.333426039999992</v>
      </c>
      <c r="EN100" s="924">
        <v>0</v>
      </c>
      <c r="EO100" s="924">
        <v>0</v>
      </c>
      <c r="EP100" s="924">
        <v>0</v>
      </c>
      <c r="EQ100" s="924">
        <v>0</v>
      </c>
      <c r="ER100" s="924">
        <v>0</v>
      </c>
      <c r="ES100" s="924">
        <v>0</v>
      </c>
      <c r="EU100" s="924">
        <v>-9</v>
      </c>
      <c r="EV100" s="924">
        <v>-9</v>
      </c>
      <c r="EW100" s="924">
        <v>-9</v>
      </c>
      <c r="EX100" s="924">
        <v>-9</v>
      </c>
      <c r="EY100" s="924">
        <v>-9</v>
      </c>
      <c r="EZ100" s="924">
        <v>-9</v>
      </c>
      <c r="FA100" s="924">
        <v>-9</v>
      </c>
      <c r="FB100" s="924">
        <v>-9</v>
      </c>
      <c r="FC100" s="924">
        <v>-9</v>
      </c>
      <c r="FD100" s="924">
        <v>-9</v>
      </c>
      <c r="FE100" s="924">
        <v>-9</v>
      </c>
      <c r="FF100" s="924">
        <v>-9</v>
      </c>
      <c r="FG100" s="924">
        <v>-2</v>
      </c>
      <c r="FH100" s="924">
        <v>-2</v>
      </c>
      <c r="FI100" s="924">
        <v>-742</v>
      </c>
      <c r="FJ100" s="924">
        <v>-2</v>
      </c>
      <c r="FK100" s="924">
        <v>-2</v>
      </c>
      <c r="FL100" s="924">
        <v>-2</v>
      </c>
      <c r="FM100" s="924">
        <v>-2</v>
      </c>
      <c r="FN100" s="924">
        <v>-2</v>
      </c>
      <c r="FO100" s="924">
        <v>-2</v>
      </c>
      <c r="FP100" s="924">
        <v>-2</v>
      </c>
      <c r="FQ100" s="924">
        <v>-2</v>
      </c>
      <c r="FR100" s="924">
        <v>-2</v>
      </c>
      <c r="FS100" s="924"/>
      <c r="FT100" s="924"/>
      <c r="FU100" s="924"/>
      <c r="FV100" s="924"/>
      <c r="FW100" s="924"/>
      <c r="FX100" s="924"/>
      <c r="FY100" s="924"/>
      <c r="FZ100" s="924"/>
      <c r="GA100" s="924"/>
      <c r="GB100" s="924"/>
      <c r="GC100" s="924"/>
      <c r="GD100" s="924"/>
      <c r="GE100" s="924">
        <v>0</v>
      </c>
      <c r="GF100" s="924">
        <v>0</v>
      </c>
      <c r="GG100" s="924">
        <v>0</v>
      </c>
      <c r="GH100" s="924">
        <v>0</v>
      </c>
      <c r="GI100" s="924">
        <v>0</v>
      </c>
      <c r="GJ100" s="924">
        <v>0</v>
      </c>
      <c r="GK100" s="924">
        <v>0</v>
      </c>
      <c r="GL100" s="924">
        <v>0</v>
      </c>
      <c r="GM100" s="924">
        <v>0</v>
      </c>
      <c r="GN100" s="924">
        <v>0</v>
      </c>
      <c r="GO100" s="924">
        <v>0</v>
      </c>
      <c r="GP100" s="924">
        <v>0</v>
      </c>
      <c r="GQ100" s="924">
        <v>0</v>
      </c>
      <c r="GR100" s="924">
        <v>0</v>
      </c>
      <c r="GS100" s="924">
        <v>0</v>
      </c>
      <c r="GT100" s="924">
        <v>0</v>
      </c>
      <c r="GU100" s="924">
        <v>0</v>
      </c>
      <c r="GV100" s="924">
        <v>0</v>
      </c>
      <c r="GW100" s="924">
        <v>0</v>
      </c>
      <c r="GX100" s="924">
        <v>0</v>
      </c>
      <c r="GY100" s="924">
        <v>0</v>
      </c>
      <c r="GZ100" s="924">
        <v>0</v>
      </c>
      <c r="HA100" s="924">
        <v>0</v>
      </c>
      <c r="HB100" s="924">
        <v>0</v>
      </c>
      <c r="HD100" s="924">
        <f t="shared" si="582"/>
        <v>-26.385345999999998</v>
      </c>
      <c r="HE100" s="924">
        <f t="shared" si="582"/>
        <v>-169.0290751</v>
      </c>
      <c r="HF100" s="924">
        <f t="shared" si="582"/>
        <v>-1023.82780561</v>
      </c>
      <c r="HG100" s="924">
        <f t="shared" si="582"/>
        <v>-3716.5324230299993</v>
      </c>
      <c r="HH100" s="924">
        <f t="shared" si="583"/>
        <v>0</v>
      </c>
      <c r="HI100" s="924">
        <f t="shared" si="584"/>
        <v>-73.713065</v>
      </c>
      <c r="HJ100" s="924">
        <f t="shared" si="472"/>
        <v>0</v>
      </c>
      <c r="HK100" s="924">
        <f t="shared" si="473"/>
        <v>-138.10468680000002</v>
      </c>
      <c r="HL100" s="960">
        <f>+SUMIF($E$6:SEW$6,HL$7,$E100:SEW100)</f>
        <v>-146.15923087000002</v>
      </c>
      <c r="HM100" s="960">
        <f>+SUMIF($E$6:SEX$6,HM$7,$E100:SEX100)</f>
        <v>-12.156806939999999</v>
      </c>
      <c r="HN100" s="960">
        <f>+SUMIF($E$6:SEY$6,HN$7,$E100:SEY100)</f>
        <v>-361.92049772000001</v>
      </c>
      <c r="HO100" s="924"/>
      <c r="HP100" s="924"/>
      <c r="HR100" s="927">
        <f t="shared" si="603"/>
        <v>5.0571106184204639</v>
      </c>
      <c r="HS100" s="927">
        <f t="shared" si="603"/>
        <v>2.6300366161824225</v>
      </c>
      <c r="HT100" s="927">
        <f t="shared" si="603"/>
        <v>-1</v>
      </c>
      <c r="HU100" s="927" t="str">
        <f t="shared" si="603"/>
        <v/>
      </c>
      <c r="HV100" s="927">
        <f t="shared" si="603"/>
        <v>-1</v>
      </c>
      <c r="HW100" s="927" t="str">
        <f t="shared" si="603"/>
        <v/>
      </c>
      <c r="HX100" s="927">
        <f t="shared" si="603"/>
        <v>5.8322018293733846E-2</v>
      </c>
      <c r="HY100" s="927">
        <f t="shared" si="603"/>
        <v>-0.91682491165533864</v>
      </c>
      <c r="HZ100" s="927">
        <f t="shared" si="603"/>
        <v>28.771016312610787</v>
      </c>
      <c r="IA100" s="927">
        <f t="shared" si="604"/>
        <v>-1</v>
      </c>
      <c r="IB100" s="927" t="str">
        <f>+IFERROR(HP100/HO100-1,"")</f>
        <v/>
      </c>
      <c r="IC100" s="927">
        <f t="shared" si="605"/>
        <v>-1</v>
      </c>
      <c r="IE100" s="924">
        <f t="shared" si="606"/>
        <v>-854.79873051000004</v>
      </c>
      <c r="IF100" s="924">
        <f t="shared" si="606"/>
        <v>-2692.7046174199995</v>
      </c>
      <c r="IG100" s="924">
        <f t="shared" si="606"/>
        <v>3716.5324230299993</v>
      </c>
      <c r="IH100" s="924">
        <f t="shared" si="606"/>
        <v>-73.713065</v>
      </c>
      <c r="II100" s="924">
        <f t="shared" si="606"/>
        <v>73.713065</v>
      </c>
      <c r="IJ100" s="924">
        <f t="shared" si="606"/>
        <v>-138.10468680000002</v>
      </c>
      <c r="IK100" s="924">
        <f t="shared" si="606"/>
        <v>-8.0545440699999915</v>
      </c>
      <c r="IL100" s="924">
        <f t="shared" si="607"/>
        <v>146.15923087000002</v>
      </c>
      <c r="IM100" s="924">
        <f>+HP100-HO100</f>
        <v>0</v>
      </c>
      <c r="IN100" s="924">
        <f t="shared" si="608"/>
        <v>146.15923087000002</v>
      </c>
      <c r="IP100" s="76">
        <f t="shared" si="609"/>
        <v>-4.5987698739904624E-3</v>
      </c>
      <c r="IQ100" s="76">
        <f t="shared" si="609"/>
        <v>-2.5996706430194132E-2</v>
      </c>
      <c r="IR100" s="76">
        <f t="shared" si="609"/>
        <v>-0.22052929589226167</v>
      </c>
      <c r="IS100" s="76">
        <f t="shared" si="609"/>
        <v>0</v>
      </c>
      <c r="IT100" s="76">
        <f t="shared" si="609"/>
        <v>-5.4086188134412913E-3</v>
      </c>
      <c r="IU100" s="76">
        <f t="shared" si="609"/>
        <v>0</v>
      </c>
      <c r="IV100" s="76">
        <f t="shared" si="609"/>
        <v>-6.5053654756263568E-3</v>
      </c>
      <c r="IW100" s="76">
        <f t="shared" si="609"/>
        <v>-1.1581659028044391E-2</v>
      </c>
      <c r="IX100" s="76" t="e">
        <f t="shared" si="610"/>
        <v>#DIV/0!</v>
      </c>
      <c r="IY100" s="76" t="e">
        <f t="shared" si="610"/>
        <v>#DIV/0!</v>
      </c>
      <c r="JA100" s="924">
        <f t="shared" si="588"/>
        <v>-26.385345999999998</v>
      </c>
      <c r="JB100" s="924">
        <f t="shared" si="588"/>
        <v>-169.0290751</v>
      </c>
      <c r="JC100" s="924">
        <f t="shared" si="588"/>
        <v>-1023.82780561</v>
      </c>
      <c r="JD100" s="924">
        <f t="shared" si="588"/>
        <v>-3716.5324230299993</v>
      </c>
      <c r="JE100" s="924">
        <f t="shared" si="588"/>
        <v>0</v>
      </c>
      <c r="JF100" s="924">
        <f t="shared" si="588"/>
        <v>-73.713065</v>
      </c>
      <c r="JG100" s="924">
        <f t="shared" si="588"/>
        <v>0</v>
      </c>
      <c r="JH100" s="924">
        <f t="shared" si="588"/>
        <v>-138.10468680000002</v>
      </c>
      <c r="JI100" s="924">
        <f t="shared" si="588"/>
        <v>-146.15923087000002</v>
      </c>
      <c r="JJ100" s="924">
        <f t="shared" si="588"/>
        <v>-12.156806939999999</v>
      </c>
      <c r="JK100" s="924">
        <f t="shared" si="588"/>
        <v>-361.92049772000001</v>
      </c>
      <c r="JL100" s="924">
        <f t="shared" si="589"/>
        <v>-361.92049772000001</v>
      </c>
      <c r="JM100" s="924"/>
      <c r="JN100" s="924"/>
      <c r="JO100" s="1184"/>
      <c r="JP100" s="924">
        <f t="shared" si="611"/>
        <v>-361.92049772000001</v>
      </c>
      <c r="JQ100" s="924">
        <f t="shared" si="611"/>
        <v>0</v>
      </c>
      <c r="JR100" s="145"/>
      <c r="JS100" s="927" t="str">
        <f>+IFERROR(JP100/JQ100,"")</f>
        <v/>
      </c>
      <c r="JT100" s="928">
        <f>+IFERROR(JP100-JQ100,"NA")</f>
        <v>-361.92049772000001</v>
      </c>
      <c r="JV100" s="76">
        <f>+JP100/JP$11</f>
        <v>-1.1987466801979927E-2</v>
      </c>
      <c r="JW100" s="927" t="str">
        <f>+IFERROR(JQ100/JQ$11,"")</f>
        <v/>
      </c>
      <c r="JY100" s="927">
        <f t="shared" ref="JY100:KE103" si="618">+IFERROR(JC100/JB100-1,"")</f>
        <v>5.0571106184204639</v>
      </c>
      <c r="JZ100" s="927">
        <f t="shared" si="618"/>
        <v>2.6300366161824225</v>
      </c>
      <c r="KA100" s="927">
        <f t="shared" si="618"/>
        <v>-1</v>
      </c>
      <c r="KB100" s="927" t="str">
        <f t="shared" si="618"/>
        <v/>
      </c>
      <c r="KC100" s="927">
        <f t="shared" si="618"/>
        <v>-1</v>
      </c>
      <c r="KD100" s="927" t="str">
        <f t="shared" si="618"/>
        <v/>
      </c>
      <c r="KE100" s="927">
        <f t="shared" si="618"/>
        <v>5.8322018293733846E-2</v>
      </c>
      <c r="KF100" s="927">
        <f>+IFERROR(JN100/JI100-1,"")</f>
        <v>-1</v>
      </c>
      <c r="KH100" s="924">
        <f t="shared" si="613"/>
        <v>-854.79873051000004</v>
      </c>
      <c r="KI100" s="924">
        <f t="shared" si="613"/>
        <v>-2692.7046174199995</v>
      </c>
      <c r="KJ100" s="924">
        <f t="shared" si="613"/>
        <v>3716.5324230299993</v>
      </c>
      <c r="KK100" s="924">
        <f t="shared" si="613"/>
        <v>-73.713065</v>
      </c>
      <c r="KL100" s="924">
        <f t="shared" si="613"/>
        <v>73.713065</v>
      </c>
      <c r="KM100" s="924">
        <f t="shared" si="613"/>
        <v>-138.10468680000002</v>
      </c>
      <c r="KN100" s="924">
        <f t="shared" si="613"/>
        <v>-8.0545440699999915</v>
      </c>
      <c r="KO100" s="924">
        <f>+JN100-JI100</f>
        <v>146.15923087000002</v>
      </c>
      <c r="KQ100" s="76">
        <f t="shared" si="614"/>
        <v>-7.2724233154007579E-4</v>
      </c>
      <c r="KR100" s="76">
        <f t="shared" si="614"/>
        <v>-4.5987698739904624E-3</v>
      </c>
      <c r="KS100" s="76">
        <f t="shared" si="614"/>
        <v>-2.5996706430194132E-2</v>
      </c>
      <c r="KT100" s="76">
        <f t="shared" si="614"/>
        <v>-0.22052929589226167</v>
      </c>
      <c r="KU100" s="76">
        <f t="shared" si="614"/>
        <v>0</v>
      </c>
      <c r="KV100" s="76">
        <f t="shared" si="614"/>
        <v>-5.4086188134412913E-3</v>
      </c>
      <c r="KW100" s="76">
        <f t="shared" si="614"/>
        <v>0</v>
      </c>
      <c r="KX100" s="76">
        <f t="shared" si="614"/>
        <v>-6.5053654756263568E-3</v>
      </c>
      <c r="KY100" s="76">
        <f t="shared" si="614"/>
        <v>-1.1581659028044391E-2</v>
      </c>
      <c r="KZ100" s="76" t="e">
        <f>+JN100/JN$11</f>
        <v>#DIV/0!</v>
      </c>
      <c r="LB100" s="924">
        <f t="shared" si="593"/>
        <v>-0.51216099999999898</v>
      </c>
      <c r="LC100" s="924">
        <f t="shared" si="593"/>
        <v>-57.107515930000005</v>
      </c>
      <c r="LD100" s="924">
        <f t="shared" si="593"/>
        <v>-971.78108161</v>
      </c>
      <c r="LE100" s="924">
        <f t="shared" si="593"/>
        <v>-409.31478902999902</v>
      </c>
      <c r="LF100" s="924">
        <f t="shared" si="593"/>
        <v>0</v>
      </c>
      <c r="LG100" s="924">
        <f t="shared" si="593"/>
        <v>0</v>
      </c>
      <c r="LH100" s="924">
        <f t="shared" si="593"/>
        <v>0</v>
      </c>
      <c r="LI100" s="924">
        <f t="shared" si="593"/>
        <v>-62.751934509999998</v>
      </c>
      <c r="LJ100" s="924">
        <f t="shared" si="593"/>
        <v>0</v>
      </c>
      <c r="LK100" s="924">
        <f t="shared" si="593"/>
        <v>0</v>
      </c>
      <c r="LL100" s="924">
        <f t="shared" si="593"/>
        <v>-52.422020809999971</v>
      </c>
      <c r="LM100" s="924">
        <f t="shared" si="593"/>
        <v>-52.422020809999971</v>
      </c>
      <c r="LN100" s="924"/>
      <c r="LO100" s="924"/>
      <c r="LR100" s="76">
        <f t="shared" si="615"/>
        <v>16.016693263303004</v>
      </c>
      <c r="LS100" s="76">
        <f t="shared" si="615"/>
        <v>-0.57879938519500085</v>
      </c>
      <c r="LT100" s="76">
        <f t="shared" si="615"/>
        <v>-1</v>
      </c>
      <c r="LU100" s="76" t="str">
        <f t="shared" si="615"/>
        <v xml:space="preserve"> </v>
      </c>
      <c r="LV100" s="76" t="str">
        <f t="shared" si="615"/>
        <v xml:space="preserve"> </v>
      </c>
      <c r="LW100" s="76" t="str">
        <f t="shared" si="615"/>
        <v xml:space="preserve"> </v>
      </c>
      <c r="LX100" s="76">
        <f>+IFERROR(LO100/LI100-1," ")</f>
        <v>-1</v>
      </c>
      <c r="LZ100" s="924">
        <f t="shared" si="616"/>
        <v>-914.67356568000002</v>
      </c>
      <c r="MA100" s="924">
        <f t="shared" si="616"/>
        <v>562.46629258000098</v>
      </c>
      <c r="MB100" s="924">
        <f t="shared" si="616"/>
        <v>409.31478902999902</v>
      </c>
      <c r="MC100" s="924">
        <f t="shared" si="616"/>
        <v>0</v>
      </c>
      <c r="MD100" s="924">
        <f t="shared" si="616"/>
        <v>0</v>
      </c>
      <c r="ME100" s="924">
        <f t="shared" si="616"/>
        <v>-62.751934509999998</v>
      </c>
      <c r="MF100" s="924">
        <f>+LO100-LI100</f>
        <v>62.751934509999998</v>
      </c>
      <c r="MH100" s="76">
        <f t="shared" si="617"/>
        <v>-1.7075765841032667E-4</v>
      </c>
      <c r="MI100" s="76">
        <f t="shared" si="617"/>
        <v>-1.0357453031704404E-2</v>
      </c>
      <c r="MJ100" s="76">
        <f t="shared" si="617"/>
        <v>-0.18957337389905318</v>
      </c>
      <c r="MK100" s="76">
        <f t="shared" si="617"/>
        <v>-0.70417111671536015</v>
      </c>
      <c r="ML100" s="76">
        <f t="shared" si="617"/>
        <v>0</v>
      </c>
      <c r="MM100" s="76">
        <f t="shared" si="617"/>
        <v>0</v>
      </c>
      <c r="MN100" s="76">
        <f t="shared" si="617"/>
        <v>0</v>
      </c>
      <c r="MO100" s="76">
        <f t="shared" si="617"/>
        <v>-3.3343291446940954E-2</v>
      </c>
      <c r="MP100" s="76" t="e">
        <f>+LO100/LO$11</f>
        <v>#DIV/0!</v>
      </c>
    </row>
    <row r="101" spans="1:354" outlineLevel="2">
      <c r="A101" s="884">
        <v>5313</v>
      </c>
      <c r="B101" s="70" t="s">
        <v>677</v>
      </c>
      <c r="C101" s="29" t="s">
        <v>678</v>
      </c>
      <c r="D101" s="31" t="s">
        <v>59</v>
      </c>
      <c r="E101" s="102">
        <v>0</v>
      </c>
      <c r="F101" s="102">
        <v>0</v>
      </c>
      <c r="G101" s="102">
        <v>0</v>
      </c>
      <c r="H101" s="102">
        <v>0</v>
      </c>
      <c r="I101" s="102">
        <v>0</v>
      </c>
      <c r="J101" s="102">
        <v>-0.16084904</v>
      </c>
      <c r="K101" s="102">
        <v>0</v>
      </c>
      <c r="L101" s="102">
        <v>-0.17890200000000001</v>
      </c>
      <c r="M101" s="102">
        <v>-0.31851395999999998</v>
      </c>
      <c r="N101" s="102">
        <v>-0.18879840000000003</v>
      </c>
      <c r="O101" s="102">
        <v>-1.0979340000000004E-2</v>
      </c>
      <c r="P101" s="102">
        <v>-24.20284148</v>
      </c>
      <c r="Q101" s="102">
        <v>0</v>
      </c>
      <c r="R101" s="102">
        <v>0</v>
      </c>
      <c r="S101" s="102">
        <v>-7.6799024400000002</v>
      </c>
      <c r="T101" s="102">
        <v>-10.0449679</v>
      </c>
      <c r="U101" s="102">
        <v>-9.08621999</v>
      </c>
      <c r="V101" s="102">
        <v>-8.9995594499999996</v>
      </c>
      <c r="W101" s="102">
        <v>-10.766740000000006</v>
      </c>
      <c r="X101" s="102">
        <v>0</v>
      </c>
      <c r="Y101" s="102">
        <v>0</v>
      </c>
      <c r="Z101" s="102">
        <v>-25.355064999999996</v>
      </c>
      <c r="AA101" s="102">
        <v>-11.980523000000005</v>
      </c>
      <c r="AB101" s="102">
        <v>0</v>
      </c>
      <c r="AC101" s="102">
        <v>0</v>
      </c>
      <c r="AD101" s="102">
        <v>0</v>
      </c>
      <c r="AE101" s="102">
        <v>0</v>
      </c>
      <c r="AF101" s="102">
        <v>0</v>
      </c>
      <c r="AG101" s="102">
        <v>0</v>
      </c>
      <c r="AH101" s="102">
        <v>0</v>
      </c>
      <c r="AI101" s="102">
        <v>-4.90008</v>
      </c>
      <c r="AJ101" s="102">
        <v>-5.9893159999999996</v>
      </c>
      <c r="AK101" s="102">
        <v>0</v>
      </c>
      <c r="AL101" s="102">
        <v>0</v>
      </c>
      <c r="AM101" s="102">
        <v>0</v>
      </c>
      <c r="AN101" s="102">
        <v>-13.015955</v>
      </c>
      <c r="AO101" s="102">
        <v>0</v>
      </c>
      <c r="AP101" s="145">
        <v>0</v>
      </c>
      <c r="AQ101" s="143">
        <v>0</v>
      </c>
      <c r="AR101" s="143">
        <v>0</v>
      </c>
      <c r="AS101" s="102">
        <v>-18.012021000000001</v>
      </c>
      <c r="AT101" s="102">
        <v>0</v>
      </c>
      <c r="AU101" s="102">
        <v>0</v>
      </c>
      <c r="AV101" s="102">
        <v>0</v>
      </c>
      <c r="AW101" s="102">
        <v>-2.4301E-2</v>
      </c>
      <c r="AX101" s="102">
        <v>0</v>
      </c>
      <c r="AY101" s="102">
        <v>0</v>
      </c>
      <c r="AZ101" s="102">
        <v>-358.93172222000004</v>
      </c>
      <c r="BA101" s="102"/>
      <c r="BB101" s="102"/>
      <c r="BC101" s="102"/>
      <c r="BD101" s="102"/>
      <c r="BE101" s="102"/>
      <c r="BF101" s="102"/>
      <c r="BG101" s="102"/>
      <c r="BH101" s="102"/>
      <c r="BI101" s="102"/>
      <c r="BJ101" s="102"/>
      <c r="BK101" s="102"/>
      <c r="BL101" s="102"/>
      <c r="BM101" s="102">
        <v>0</v>
      </c>
      <c r="BN101" s="102">
        <v>0</v>
      </c>
      <c r="BO101" s="102">
        <v>0</v>
      </c>
      <c r="BP101" s="102">
        <v>0</v>
      </c>
      <c r="BQ101" s="102">
        <v>0</v>
      </c>
      <c r="BR101" s="102">
        <v>0</v>
      </c>
      <c r="BS101" s="102">
        <v>0</v>
      </c>
      <c r="BT101" s="102">
        <v>0</v>
      </c>
      <c r="BU101" s="102">
        <v>0</v>
      </c>
      <c r="BV101" s="102">
        <v>0</v>
      </c>
      <c r="BW101" s="102">
        <v>0</v>
      </c>
      <c r="BX101" s="102">
        <v>0</v>
      </c>
      <c r="BY101" s="102">
        <v>0</v>
      </c>
      <c r="BZ101" s="102">
        <v>0</v>
      </c>
      <c r="CA101" s="102">
        <v>0</v>
      </c>
      <c r="CB101" s="102">
        <v>0</v>
      </c>
      <c r="CC101" s="102">
        <v>0</v>
      </c>
      <c r="CD101" s="102">
        <v>0</v>
      </c>
      <c r="CE101" s="102">
        <v>0</v>
      </c>
      <c r="CF101" s="102">
        <v>0</v>
      </c>
      <c r="CG101" s="102">
        <v>0</v>
      </c>
      <c r="CH101" s="102">
        <v>0</v>
      </c>
      <c r="CI101" s="102">
        <v>0</v>
      </c>
      <c r="CJ101" s="102">
        <v>0</v>
      </c>
      <c r="CK101" s="102">
        <v>0</v>
      </c>
      <c r="CL101" s="102">
        <v>0</v>
      </c>
      <c r="CM101" s="102">
        <v>0</v>
      </c>
      <c r="CN101" s="102">
        <v>0</v>
      </c>
      <c r="CO101" s="102">
        <v>0</v>
      </c>
      <c r="CP101" s="102">
        <v>0</v>
      </c>
      <c r="CQ101" s="102">
        <v>0</v>
      </c>
      <c r="CR101" s="102">
        <v>0</v>
      </c>
      <c r="CS101" s="102">
        <v>0</v>
      </c>
      <c r="CT101" s="102">
        <v>0</v>
      </c>
      <c r="CU101" s="102">
        <v>0</v>
      </c>
      <c r="CV101" s="102">
        <v>0</v>
      </c>
      <c r="CW101" s="102">
        <v>0</v>
      </c>
      <c r="CX101" s="102">
        <v>0</v>
      </c>
      <c r="CY101" s="102">
        <v>0</v>
      </c>
      <c r="CZ101" s="102">
        <v>0</v>
      </c>
      <c r="DA101" s="102">
        <v>0</v>
      </c>
      <c r="DB101" s="102">
        <v>0</v>
      </c>
      <c r="DC101" s="102">
        <v>0</v>
      </c>
      <c r="DD101" s="102">
        <v>0</v>
      </c>
      <c r="DE101" s="102">
        <v>0</v>
      </c>
      <c r="DF101" s="102">
        <v>0</v>
      </c>
      <c r="DG101" s="102">
        <v>0</v>
      </c>
      <c r="DH101" s="102">
        <v>0</v>
      </c>
      <c r="DI101" s="102">
        <v>0</v>
      </c>
      <c r="DJ101" s="102">
        <v>0</v>
      </c>
      <c r="DK101" s="102">
        <v>0</v>
      </c>
      <c r="DL101" s="102">
        <v>0</v>
      </c>
      <c r="DM101" s="102">
        <v>0</v>
      </c>
      <c r="DN101" s="102">
        <v>0</v>
      </c>
      <c r="DO101" s="102">
        <v>0</v>
      </c>
      <c r="DP101" s="102">
        <v>0</v>
      </c>
      <c r="DQ101" s="940">
        <v>0</v>
      </c>
      <c r="DR101" s="940">
        <v>0</v>
      </c>
      <c r="DS101" s="940">
        <v>0</v>
      </c>
      <c r="DT101" s="940">
        <v>0</v>
      </c>
      <c r="DU101" s="940">
        <v>0</v>
      </c>
      <c r="DV101" s="940">
        <v>0</v>
      </c>
      <c r="DW101" s="940">
        <v>0</v>
      </c>
      <c r="DX101" s="940">
        <v>0</v>
      </c>
      <c r="DY101" s="940">
        <v>0</v>
      </c>
      <c r="DZ101" s="940">
        <v>0</v>
      </c>
      <c r="EA101" s="940">
        <v>0</v>
      </c>
      <c r="EB101" s="940">
        <v>0</v>
      </c>
      <c r="EC101" s="940">
        <v>0</v>
      </c>
      <c r="ED101" s="940">
        <v>0</v>
      </c>
      <c r="EE101" s="940">
        <v>0</v>
      </c>
      <c r="EF101" s="940">
        <v>0</v>
      </c>
      <c r="EH101" s="102">
        <v>0</v>
      </c>
      <c r="EI101" s="102">
        <v>0</v>
      </c>
      <c r="EJ101" s="102">
        <v>0</v>
      </c>
      <c r="EK101" s="102">
        <v>0</v>
      </c>
      <c r="EL101" s="102">
        <v>0</v>
      </c>
      <c r="EM101" s="102">
        <v>0</v>
      </c>
      <c r="EN101" s="102">
        <v>0</v>
      </c>
      <c r="EO101" s="102">
        <v>0</v>
      </c>
      <c r="EP101" s="102">
        <v>0</v>
      </c>
      <c r="EQ101" s="102">
        <v>0</v>
      </c>
      <c r="ER101" s="102">
        <v>0</v>
      </c>
      <c r="ES101" s="102">
        <v>0</v>
      </c>
      <c r="EU101" s="102">
        <v>-1</v>
      </c>
      <c r="EV101" s="102">
        <v>-1</v>
      </c>
      <c r="EW101" s="102">
        <v>-1</v>
      </c>
      <c r="EX101" s="102">
        <v>-1</v>
      </c>
      <c r="EY101" s="102">
        <v>-1</v>
      </c>
      <c r="EZ101" s="102">
        <v>-1</v>
      </c>
      <c r="FA101" s="102">
        <v>-1</v>
      </c>
      <c r="FB101" s="102">
        <v>-1</v>
      </c>
      <c r="FC101" s="102">
        <v>-1</v>
      </c>
      <c r="FD101" s="102">
        <v>-1</v>
      </c>
      <c r="FE101" s="102">
        <v>-1</v>
      </c>
      <c r="FF101" s="102">
        <v>-1</v>
      </c>
      <c r="FG101" s="102">
        <v>-30.151485733999998</v>
      </c>
      <c r="FH101" s="102">
        <v>-24.121188587199985</v>
      </c>
      <c r="FI101" s="102">
        <v>-19.296950869759993</v>
      </c>
      <c r="FJ101" s="102">
        <v>-78.189494875807995</v>
      </c>
      <c r="FK101" s="102">
        <v>-12.350048556646399</v>
      </c>
      <c r="FL101" s="102">
        <v>-9.8800388453171184</v>
      </c>
      <c r="FM101" s="102">
        <v>-7.904031076253653</v>
      </c>
      <c r="FN101" s="102">
        <v>-6.3232248610029593</v>
      </c>
      <c r="FO101" s="102">
        <v>0</v>
      </c>
      <c r="FP101" s="102">
        <v>-20.234319555209474</v>
      </c>
      <c r="FQ101" s="102">
        <v>0</v>
      </c>
      <c r="FR101" s="102">
        <v>0</v>
      </c>
      <c r="FS101" s="102"/>
      <c r="FT101" s="102"/>
      <c r="FU101" s="102"/>
      <c r="FV101" s="102"/>
      <c r="FW101" s="102"/>
      <c r="FX101" s="102"/>
      <c r="FY101" s="102"/>
      <c r="FZ101" s="102"/>
      <c r="GA101" s="102"/>
      <c r="GB101" s="102"/>
      <c r="GC101" s="102"/>
      <c r="GD101" s="102"/>
      <c r="GE101" s="102">
        <v>0</v>
      </c>
      <c r="GF101" s="102">
        <v>0</v>
      </c>
      <c r="GG101" s="102">
        <v>0</v>
      </c>
      <c r="GH101" s="102">
        <v>0</v>
      </c>
      <c r="GI101" s="102">
        <v>0</v>
      </c>
      <c r="GJ101" s="102">
        <v>0</v>
      </c>
      <c r="GK101" s="102">
        <v>0</v>
      </c>
      <c r="GL101" s="102">
        <v>0</v>
      </c>
      <c r="GM101" s="102">
        <v>0</v>
      </c>
      <c r="GN101" s="102">
        <v>0</v>
      </c>
      <c r="GO101" s="102">
        <v>0</v>
      </c>
      <c r="GP101" s="102">
        <v>0</v>
      </c>
      <c r="GQ101" s="102">
        <v>0</v>
      </c>
      <c r="GR101" s="102">
        <v>0</v>
      </c>
      <c r="GS101" s="102">
        <v>0</v>
      </c>
      <c r="GT101" s="102">
        <v>0</v>
      </c>
      <c r="GU101" s="102">
        <v>0</v>
      </c>
      <c r="GV101" s="102">
        <v>0</v>
      </c>
      <c r="GW101" s="102">
        <v>0</v>
      </c>
      <c r="GX101" s="102">
        <v>0</v>
      </c>
      <c r="GY101" s="102">
        <v>0</v>
      </c>
      <c r="GZ101" s="102">
        <v>0</v>
      </c>
      <c r="HA101" s="102">
        <v>0</v>
      </c>
      <c r="HB101" s="102">
        <v>0</v>
      </c>
      <c r="HD101" s="102">
        <f t="shared" si="582"/>
        <v>-25.060884219999998</v>
      </c>
      <c r="HE101" s="102">
        <f t="shared" si="582"/>
        <v>-83.912977780000006</v>
      </c>
      <c r="HF101" s="102">
        <f t="shared" si="582"/>
        <v>-23.905351</v>
      </c>
      <c r="HG101" s="102">
        <f t="shared" si="582"/>
        <v>-376.96804422000002</v>
      </c>
      <c r="HH101" s="102">
        <f t="shared" si="583"/>
        <v>0</v>
      </c>
      <c r="HI101" s="102">
        <f t="shared" si="584"/>
        <v>0</v>
      </c>
      <c r="HJ101" s="102">
        <f t="shared" si="472"/>
        <v>0</v>
      </c>
      <c r="HK101" s="102">
        <f t="shared" si="473"/>
        <v>0</v>
      </c>
      <c r="HL101" s="940">
        <f>+SUMIF($E$6:SEW$6,HL$7,$E101:SEW101)</f>
        <v>0</v>
      </c>
      <c r="HM101" s="940">
        <f>+SUMIF($E$6:SEX$6,HM$7,$E101:SEX101)</f>
        <v>0</v>
      </c>
      <c r="HN101" s="940">
        <f>+SUMIF($E$6:SEY$6,HN$7,$E101:SEY101)</f>
        <v>0</v>
      </c>
      <c r="HO101" s="102"/>
      <c r="HP101" s="102"/>
      <c r="HR101" s="929">
        <f t="shared" si="603"/>
        <v>-0.71511735571255519</v>
      </c>
      <c r="HS101" s="929">
        <f t="shared" si="603"/>
        <v>14.769190932189201</v>
      </c>
      <c r="HT101" s="929">
        <f t="shared" si="603"/>
        <v>-1</v>
      </c>
      <c r="HU101" s="929" t="str">
        <f t="shared" si="603"/>
        <v/>
      </c>
      <c r="HV101" s="929" t="str">
        <f t="shared" si="603"/>
        <v/>
      </c>
      <c r="HW101" s="929" t="str">
        <f t="shared" si="603"/>
        <v/>
      </c>
      <c r="HX101" s="929" t="str">
        <f t="shared" si="603"/>
        <v/>
      </c>
      <c r="HY101" s="929" t="str">
        <f t="shared" si="603"/>
        <v/>
      </c>
      <c r="HZ101" s="929" t="str">
        <f t="shared" si="603"/>
        <v/>
      </c>
      <c r="IA101" s="929" t="str">
        <f t="shared" si="604"/>
        <v/>
      </c>
      <c r="IB101" s="929" t="str">
        <f>+IFERROR(HP101/HO101-1,"")</f>
        <v/>
      </c>
      <c r="IC101" s="929" t="str">
        <f t="shared" si="605"/>
        <v/>
      </c>
      <c r="IE101" s="102">
        <f t="shared" si="606"/>
        <v>60.00762678000001</v>
      </c>
      <c r="IF101" s="102">
        <f t="shared" si="606"/>
        <v>-353.06269322000003</v>
      </c>
      <c r="IG101" s="102">
        <f t="shared" si="606"/>
        <v>376.96804422000002</v>
      </c>
      <c r="IH101" s="102">
        <f t="shared" si="606"/>
        <v>0</v>
      </c>
      <c r="II101" s="102">
        <f t="shared" si="606"/>
        <v>0</v>
      </c>
      <c r="IJ101" s="102">
        <f t="shared" si="606"/>
        <v>0</v>
      </c>
      <c r="IK101" s="102">
        <f t="shared" si="606"/>
        <v>0</v>
      </c>
      <c r="IL101" s="102">
        <f t="shared" si="607"/>
        <v>0</v>
      </c>
      <c r="IM101" s="102">
        <f>+HP101-HO101</f>
        <v>0</v>
      </c>
      <c r="IN101" s="102">
        <f t="shared" si="608"/>
        <v>0</v>
      </c>
      <c r="IP101" s="32">
        <f t="shared" si="609"/>
        <v>-2.2830183151815349E-3</v>
      </c>
      <c r="IQ101" s="32">
        <f t="shared" si="609"/>
        <v>-6.0699698587252126E-4</v>
      </c>
      <c r="IR101" s="32">
        <f t="shared" si="609"/>
        <v>-2.2368296009091088E-2</v>
      </c>
      <c r="IS101" s="32">
        <f t="shared" si="609"/>
        <v>0</v>
      </c>
      <c r="IT101" s="32">
        <f t="shared" si="609"/>
        <v>0</v>
      </c>
      <c r="IU101" s="32">
        <f t="shared" si="609"/>
        <v>0</v>
      </c>
      <c r="IV101" s="32">
        <f t="shared" si="609"/>
        <v>0</v>
      </c>
      <c r="IW101" s="32">
        <f t="shared" si="609"/>
        <v>0</v>
      </c>
      <c r="IX101" s="32" t="e">
        <f t="shared" si="610"/>
        <v>#DIV/0!</v>
      </c>
      <c r="IY101" s="32" t="e">
        <f t="shared" si="610"/>
        <v>#DIV/0!</v>
      </c>
      <c r="JA101" s="102">
        <f t="shared" si="588"/>
        <v>-25.060884219999998</v>
      </c>
      <c r="JB101" s="102">
        <f t="shared" si="588"/>
        <v>-83.912977780000006</v>
      </c>
      <c r="JC101" s="102">
        <f t="shared" si="588"/>
        <v>-23.905351</v>
      </c>
      <c r="JD101" s="102">
        <f t="shared" si="588"/>
        <v>-376.96804422000002</v>
      </c>
      <c r="JE101" s="102">
        <f t="shared" si="588"/>
        <v>0</v>
      </c>
      <c r="JF101" s="102">
        <f t="shared" si="588"/>
        <v>0</v>
      </c>
      <c r="JG101" s="102">
        <f t="shared" si="588"/>
        <v>0</v>
      </c>
      <c r="JH101" s="102">
        <f t="shared" si="588"/>
        <v>0</v>
      </c>
      <c r="JI101" s="102">
        <f t="shared" si="588"/>
        <v>0</v>
      </c>
      <c r="JJ101" s="102">
        <f t="shared" si="588"/>
        <v>0</v>
      </c>
      <c r="JK101" s="102">
        <f t="shared" si="588"/>
        <v>0</v>
      </c>
      <c r="JL101" s="102">
        <f t="shared" si="589"/>
        <v>0</v>
      </c>
      <c r="JM101" s="102"/>
      <c r="JN101" s="102"/>
      <c r="JO101" s="1184"/>
      <c r="JP101" s="102">
        <f t="shared" si="611"/>
        <v>0</v>
      </c>
      <c r="JQ101" s="102">
        <f t="shared" si="611"/>
        <v>0</v>
      </c>
      <c r="JR101" s="145"/>
      <c r="JS101" s="929" t="str">
        <f>+IFERROR(JP101/JQ101,"")</f>
        <v/>
      </c>
      <c r="JT101" s="930">
        <f>+IFERROR(JP101-JQ101,"NA")</f>
        <v>0</v>
      </c>
      <c r="JV101" s="32">
        <f>+JP101/JP$11</f>
        <v>0</v>
      </c>
      <c r="JW101" s="929" t="str">
        <f>+IFERROR(JQ101/JQ$11,"")</f>
        <v/>
      </c>
      <c r="JY101" s="929">
        <f t="shared" si="618"/>
        <v>-0.71511735571255519</v>
      </c>
      <c r="JZ101" s="929">
        <f t="shared" si="618"/>
        <v>14.769190932189201</v>
      </c>
      <c r="KA101" s="929">
        <f t="shared" si="618"/>
        <v>-1</v>
      </c>
      <c r="KB101" s="929" t="str">
        <f t="shared" si="618"/>
        <v/>
      </c>
      <c r="KC101" s="929" t="str">
        <f t="shared" si="618"/>
        <v/>
      </c>
      <c r="KD101" s="929" t="str">
        <f t="shared" si="618"/>
        <v/>
      </c>
      <c r="KE101" s="929" t="str">
        <f t="shared" si="618"/>
        <v/>
      </c>
      <c r="KF101" s="929" t="str">
        <f>+IFERROR(JN101/JI101-1,"")</f>
        <v/>
      </c>
      <c r="KH101" s="102">
        <f t="shared" si="613"/>
        <v>60.00762678000001</v>
      </c>
      <c r="KI101" s="102">
        <f t="shared" si="613"/>
        <v>-353.06269322000003</v>
      </c>
      <c r="KJ101" s="102">
        <f t="shared" si="613"/>
        <v>376.96804422000002</v>
      </c>
      <c r="KK101" s="102">
        <f t="shared" si="613"/>
        <v>0</v>
      </c>
      <c r="KL101" s="102">
        <f t="shared" si="613"/>
        <v>0</v>
      </c>
      <c r="KM101" s="102">
        <f t="shared" si="613"/>
        <v>0</v>
      </c>
      <c r="KN101" s="102">
        <f t="shared" si="613"/>
        <v>0</v>
      </c>
      <c r="KO101" s="102">
        <f>+JN101-JI101</f>
        <v>0</v>
      </c>
      <c r="KQ101" s="32">
        <f t="shared" si="614"/>
        <v>-6.9073704284979606E-4</v>
      </c>
      <c r="KR101" s="32">
        <f t="shared" si="614"/>
        <v>-2.2830183151815349E-3</v>
      </c>
      <c r="KS101" s="32">
        <f t="shared" si="614"/>
        <v>-6.0699698587252126E-4</v>
      </c>
      <c r="KT101" s="32">
        <f t="shared" si="614"/>
        <v>-2.2368296009091088E-2</v>
      </c>
      <c r="KU101" s="32">
        <f t="shared" si="614"/>
        <v>0</v>
      </c>
      <c r="KV101" s="32">
        <f t="shared" si="614"/>
        <v>0</v>
      </c>
      <c r="KW101" s="32">
        <f t="shared" si="614"/>
        <v>0</v>
      </c>
      <c r="KX101" s="32">
        <f t="shared" si="614"/>
        <v>0</v>
      </c>
      <c r="KY101" s="32">
        <f t="shared" si="614"/>
        <v>0</v>
      </c>
      <c r="KZ101" s="32" t="e">
        <f>+JN101/JN$11</f>
        <v>#DIV/0!</v>
      </c>
      <c r="LB101" s="102">
        <f t="shared" si="593"/>
        <v>-24.20284148</v>
      </c>
      <c r="LC101" s="102">
        <f t="shared" si="593"/>
        <v>0</v>
      </c>
      <c r="LD101" s="102">
        <f t="shared" si="593"/>
        <v>-13.015955</v>
      </c>
      <c r="LE101" s="102">
        <f t="shared" si="593"/>
        <v>-358.93172222000004</v>
      </c>
      <c r="LF101" s="102">
        <f t="shared" si="593"/>
        <v>0</v>
      </c>
      <c r="LG101" s="102">
        <f t="shared" si="593"/>
        <v>0</v>
      </c>
      <c r="LH101" s="102">
        <f t="shared" si="593"/>
        <v>0</v>
      </c>
      <c r="LI101" s="102">
        <f t="shared" si="593"/>
        <v>0</v>
      </c>
      <c r="LJ101" s="102">
        <f t="shared" si="593"/>
        <v>0</v>
      </c>
      <c r="LK101" s="102">
        <f t="shared" si="593"/>
        <v>0</v>
      </c>
      <c r="LL101" s="102">
        <f t="shared" si="593"/>
        <v>0</v>
      </c>
      <c r="LM101" s="102">
        <f t="shared" si="593"/>
        <v>0</v>
      </c>
      <c r="LN101" s="102"/>
      <c r="LO101" s="102"/>
      <c r="LR101" s="32" t="str">
        <f t="shared" si="615"/>
        <v xml:space="preserve"> </v>
      </c>
      <c r="LS101" s="32">
        <f t="shared" si="615"/>
        <v>26.576287888211048</v>
      </c>
      <c r="LT101" s="32">
        <f t="shared" si="615"/>
        <v>-1</v>
      </c>
      <c r="LU101" s="32" t="str">
        <f t="shared" si="615"/>
        <v xml:space="preserve"> </v>
      </c>
      <c r="LV101" s="32" t="str">
        <f t="shared" si="615"/>
        <v xml:space="preserve"> </v>
      </c>
      <c r="LW101" s="32" t="str">
        <f t="shared" si="615"/>
        <v xml:space="preserve"> </v>
      </c>
      <c r="LX101" s="32" t="str">
        <f>+IFERROR(LO101/LI101-1," ")</f>
        <v xml:space="preserve"> </v>
      </c>
      <c r="LZ101" s="102">
        <f t="shared" si="616"/>
        <v>-13.015955</v>
      </c>
      <c r="MA101" s="102">
        <f t="shared" si="616"/>
        <v>-345.91576722000002</v>
      </c>
      <c r="MB101" s="102">
        <f t="shared" si="616"/>
        <v>358.93172222000004</v>
      </c>
      <c r="MC101" s="102">
        <f t="shared" si="616"/>
        <v>0</v>
      </c>
      <c r="MD101" s="102">
        <f t="shared" si="616"/>
        <v>0</v>
      </c>
      <c r="ME101" s="102">
        <f t="shared" si="616"/>
        <v>0</v>
      </c>
      <c r="MF101" s="102">
        <f>+LO101-LI101</f>
        <v>0</v>
      </c>
      <c r="MH101" s="32">
        <f t="shared" si="617"/>
        <v>-8.0693776722576167E-3</v>
      </c>
      <c r="MI101" s="32">
        <f t="shared" si="617"/>
        <v>0</v>
      </c>
      <c r="MJ101" s="32">
        <f t="shared" si="617"/>
        <v>-2.539130006297562E-3</v>
      </c>
      <c r="MK101" s="32">
        <f t="shared" si="617"/>
        <v>-0.61749381755590727</v>
      </c>
      <c r="ML101" s="32">
        <f t="shared" si="617"/>
        <v>0</v>
      </c>
      <c r="MM101" s="32">
        <f t="shared" si="617"/>
        <v>0</v>
      </c>
      <c r="MN101" s="32">
        <f t="shared" si="617"/>
        <v>0</v>
      </c>
      <c r="MO101" s="32">
        <f t="shared" si="617"/>
        <v>0</v>
      </c>
      <c r="MP101" s="32" t="e">
        <f>+LO101/LO$11</f>
        <v>#DIV/0!</v>
      </c>
    </row>
    <row r="102" spans="1:354" outlineLevel="2">
      <c r="A102" s="884">
        <v>5315</v>
      </c>
      <c r="B102" s="70" t="s">
        <v>679</v>
      </c>
      <c r="C102" s="29" t="s">
        <v>679</v>
      </c>
      <c r="D102" s="31" t="s">
        <v>59</v>
      </c>
      <c r="E102" s="102">
        <v>-6.0319876299999997</v>
      </c>
      <c r="F102" s="102">
        <v>-3.4979203099999996</v>
      </c>
      <c r="G102" s="102">
        <v>-7.3510792200000008</v>
      </c>
      <c r="H102" s="102">
        <v>-2.8369086800000005</v>
      </c>
      <c r="I102" s="102">
        <v>-3.1631206200000008</v>
      </c>
      <c r="J102" s="102">
        <v>5.3139082500000008</v>
      </c>
      <c r="K102" s="102">
        <v>-2.8241506699999981</v>
      </c>
      <c r="L102" s="102">
        <v>-2.0821356200000025</v>
      </c>
      <c r="M102" s="102">
        <v>-2.3734496400000005</v>
      </c>
      <c r="N102" s="102">
        <v>-232.42549521999999</v>
      </c>
      <c r="O102" s="102">
        <v>65.91375038000001</v>
      </c>
      <c r="P102" s="102">
        <v>13.411139599999984</v>
      </c>
      <c r="Q102" s="102">
        <v>-1.4584671699999998</v>
      </c>
      <c r="R102" s="102">
        <v>-2.3613557100000007</v>
      </c>
      <c r="S102" s="102">
        <v>-2.8043531200000009</v>
      </c>
      <c r="T102" s="102">
        <v>-10.861359710000002</v>
      </c>
      <c r="U102" s="102">
        <v>-3.316801029999997</v>
      </c>
      <c r="V102" s="102">
        <v>-2.462697679999998</v>
      </c>
      <c r="W102" s="102">
        <v>-0.18611578000000151</v>
      </c>
      <c r="X102" s="102">
        <v>-2.7140044399999965</v>
      </c>
      <c r="Y102" s="102">
        <v>-5.9405473900000061</v>
      </c>
      <c r="Z102" s="102">
        <v>-2.8493468599999972</v>
      </c>
      <c r="AA102" s="102">
        <v>-13.67384766</v>
      </c>
      <c r="AB102" s="102">
        <v>-57.740895699999989</v>
      </c>
      <c r="AC102" s="102">
        <v>-1.1910547799999998</v>
      </c>
      <c r="AD102" s="102">
        <v>-3.4644648900000004</v>
      </c>
      <c r="AE102" s="102">
        <v>-19.284623349999997</v>
      </c>
      <c r="AF102" s="102">
        <v>-8.0467490900000005</v>
      </c>
      <c r="AG102" s="102">
        <v>-0.47379789</v>
      </c>
      <c r="AH102" s="102">
        <v>0.78198698</v>
      </c>
      <c r="AI102" s="102">
        <v>0.28799504000000004</v>
      </c>
      <c r="AJ102" s="102">
        <v>-0.14984245000000002</v>
      </c>
      <c r="AK102" s="102">
        <v>-3.6007150000000002E-2</v>
      </c>
      <c r="AL102" s="102">
        <v>-0.31103977999999999</v>
      </c>
      <c r="AM102" s="102">
        <v>-202.11240488999999</v>
      </c>
      <c r="AN102" s="102">
        <v>-9.3070317099999844</v>
      </c>
      <c r="AO102" s="102">
        <v>-0.36152795999999998</v>
      </c>
      <c r="AP102" s="145">
        <v>-0.14223560000000002</v>
      </c>
      <c r="AQ102" s="143">
        <v>-3.9158200299999999</v>
      </c>
      <c r="AR102" s="143">
        <v>-18.151290030000002</v>
      </c>
      <c r="AS102" s="102">
        <v>-1.6790663100000001</v>
      </c>
      <c r="AT102" s="102">
        <v>-25.67900783</v>
      </c>
      <c r="AU102" s="102">
        <v>41.028410790000002</v>
      </c>
      <c r="AV102" s="102">
        <v>-0.81421740000000009</v>
      </c>
      <c r="AW102" s="102">
        <v>-135.8196082</v>
      </c>
      <c r="AX102" s="102">
        <v>-1.1147143700000002</v>
      </c>
      <c r="AY102" s="102">
        <v>-6.4810039999999999E-2</v>
      </c>
      <c r="AZ102" s="102">
        <f>-49.03325757+15</f>
        <v>-34.033257570000004</v>
      </c>
      <c r="BA102" s="102"/>
      <c r="BB102" s="102"/>
      <c r="BC102" s="102"/>
      <c r="BD102" s="102"/>
      <c r="BE102" s="102"/>
      <c r="BF102" s="102"/>
      <c r="BG102" s="102"/>
      <c r="BH102" s="102"/>
      <c r="BI102" s="102"/>
      <c r="BJ102" s="102"/>
      <c r="BK102" s="102"/>
      <c r="BL102" s="102"/>
      <c r="BM102" s="102">
        <v>-6.8034999999999997E-3</v>
      </c>
      <c r="BN102" s="102">
        <v>-2.462288E-2</v>
      </c>
      <c r="BO102" s="102">
        <v>-4.5882299999999996E-3</v>
      </c>
      <c r="BP102" s="102">
        <v>-3.0181000000000001E-3</v>
      </c>
      <c r="BQ102" s="102">
        <v>-4.0033600000000001E-3</v>
      </c>
      <c r="BR102" s="102">
        <v>-2.4156399999999997E-3</v>
      </c>
      <c r="BS102" s="102">
        <v>-1.6875959999999999E-2</v>
      </c>
      <c r="BT102" s="102">
        <v>-1.120837E-2</v>
      </c>
      <c r="BU102" s="102">
        <v>-1.7930699999999999E-3</v>
      </c>
      <c r="BV102" s="102">
        <v>-7.1825000000000003E-4</v>
      </c>
      <c r="BW102" s="102">
        <v>-2.3175000000000001E-3</v>
      </c>
      <c r="BX102" s="102">
        <v>-1.02498924</v>
      </c>
      <c r="BY102" s="102">
        <v>-5.3600999999999996E-4</v>
      </c>
      <c r="BZ102" s="102">
        <v>9.9979100000000005E-3</v>
      </c>
      <c r="CA102" s="102">
        <v>-3.8518699999999999E-3</v>
      </c>
      <c r="CB102" s="102">
        <v>-5.8186000000000002E-4</v>
      </c>
      <c r="CC102" s="102">
        <v>-1.65814E-3</v>
      </c>
      <c r="CD102" s="102">
        <v>-4.4107600000000005E-3</v>
      </c>
      <c r="CE102" s="102">
        <v>-3.6807699999999999E-3</v>
      </c>
      <c r="CF102" s="102">
        <v>-7.8651499999999996E-3</v>
      </c>
      <c r="CG102" s="102">
        <v>-2.4800900000000003E-3</v>
      </c>
      <c r="CH102" s="102">
        <v>-4.9050500000000002E-3</v>
      </c>
      <c r="CI102" s="102">
        <v>-4.2512600000000006E-3</v>
      </c>
      <c r="CJ102" s="102">
        <v>-9.3623600000000001E-3</v>
      </c>
      <c r="CK102" s="102">
        <v>-9.2378000000000002E-4</v>
      </c>
      <c r="CL102" s="102">
        <v>-2.8635100000000001E-3</v>
      </c>
      <c r="CM102" s="102">
        <v>-1.9604499999999999E-3</v>
      </c>
      <c r="CN102" s="102">
        <v>-3.7165200000000001E-3</v>
      </c>
      <c r="CO102" s="102">
        <v>-9.0992530000000002E-2</v>
      </c>
      <c r="CP102" s="102">
        <v>-6.3022199999999999E-3</v>
      </c>
      <c r="CQ102" s="102">
        <v>-3.9262319999999996E-2</v>
      </c>
      <c r="CR102" s="102">
        <v>-3.0874000000000006E-3</v>
      </c>
      <c r="CS102" s="102">
        <v>-3.5980999999999999E-3</v>
      </c>
      <c r="CT102" s="102">
        <v>-0.14303264999999998</v>
      </c>
      <c r="CU102" s="102">
        <v>-9.5842099999999993E-3</v>
      </c>
      <c r="CV102" s="102">
        <v>-3.4263050000000003E-2</v>
      </c>
      <c r="CW102" s="102">
        <v>-4.3991799999999999E-3</v>
      </c>
      <c r="CX102" s="102">
        <v>-5.7468599999999995E-3</v>
      </c>
      <c r="CY102" s="102">
        <v>-1.5949500000000001E-3</v>
      </c>
      <c r="CZ102" s="102">
        <v>-7.1857299999999999E-2</v>
      </c>
      <c r="DA102" s="102">
        <v>-1.5751500000000232E-3</v>
      </c>
      <c r="DB102" s="102">
        <v>0.53663494999999994</v>
      </c>
      <c r="DC102" s="102">
        <v>-1.007885E-2</v>
      </c>
      <c r="DD102" s="102">
        <v>-1.9052000000000001E-3</v>
      </c>
      <c r="DE102" s="102">
        <v>-1.1129940000000001E-2</v>
      </c>
      <c r="DF102" s="102">
        <v>-1.5587000000000001E-3</v>
      </c>
      <c r="DG102" s="102">
        <v>-1.3600000000000001E-6</v>
      </c>
      <c r="DH102" s="102">
        <v>-0.66959378000000003</v>
      </c>
      <c r="DI102" s="102">
        <v>-4.74765E-3</v>
      </c>
      <c r="DJ102" s="102">
        <v>4.7747900000000001E-3</v>
      </c>
      <c r="DK102" s="102">
        <v>-6.1695766700000005</v>
      </c>
      <c r="DL102" s="102">
        <v>-2.05156E-3</v>
      </c>
      <c r="DM102" s="102">
        <v>-8.2684000000000002E-4</v>
      </c>
      <c r="DN102" s="102">
        <v>9.3025200000000002E-2</v>
      </c>
      <c r="DO102" s="102">
        <v>0.20633704</v>
      </c>
      <c r="DP102" s="102">
        <v>-7.7698000000000003E-4</v>
      </c>
      <c r="DQ102" s="940">
        <v>-1.51268E-3</v>
      </c>
      <c r="DR102" s="940">
        <v>-2.0062700000000001E-3</v>
      </c>
      <c r="DS102" s="940">
        <v>-1.2589123799999999</v>
      </c>
      <c r="DT102" s="940">
        <v>-0.30487472999999998</v>
      </c>
      <c r="DU102" s="940">
        <v>-1.4478649999999999E-2</v>
      </c>
      <c r="DV102" s="940">
        <v>-6.5062699999999998E-3</v>
      </c>
      <c r="DW102" s="940">
        <v>-3.9756159500000003</v>
      </c>
      <c r="DX102" s="940">
        <v>-3.1924466900000001</v>
      </c>
      <c r="DY102" s="940">
        <v>-8.4668000000000005E-4</v>
      </c>
      <c r="DZ102" s="940">
        <v>-3.9350100000000001E-3</v>
      </c>
      <c r="EA102" s="940">
        <v>-8.7832000000000003E-4</v>
      </c>
      <c r="EB102" s="940">
        <v>5.3742000000000004E-4</v>
      </c>
      <c r="EC102" s="940">
        <v>-6.9065039999999994E-2</v>
      </c>
      <c r="ED102" s="940">
        <v>-8.1281889999999996E-2</v>
      </c>
      <c r="EE102" s="940">
        <v>-3.3764900000000007E-3</v>
      </c>
      <c r="EF102" s="940">
        <v>-149.52622104000002</v>
      </c>
      <c r="EH102" s="102">
        <v>-48.369847690000014</v>
      </c>
      <c r="EI102" s="102">
        <v>-17.179963470000001</v>
      </c>
      <c r="EJ102" s="102">
        <v>-61.354127980000001</v>
      </c>
      <c r="EK102" s="102">
        <v>-310.78700940000004</v>
      </c>
      <c r="EL102" s="102">
        <v>-334.69170899999995</v>
      </c>
      <c r="EM102" s="102">
        <v>-160.43088025999998</v>
      </c>
      <c r="EN102" s="102">
        <v>-31.879057030000002</v>
      </c>
      <c r="EO102" s="102">
        <v>-31.879057030000002</v>
      </c>
      <c r="EP102" s="102">
        <v>-31.879057030000002</v>
      </c>
      <c r="EQ102" s="102">
        <v>-31.879057029999995</v>
      </c>
      <c r="ER102" s="102">
        <v>-31.879057029999995</v>
      </c>
      <c r="ES102" s="102">
        <v>-31.879057030000002</v>
      </c>
      <c r="EU102" s="102">
        <v>-15.2</v>
      </c>
      <c r="EV102" s="102">
        <v>-15.2</v>
      </c>
      <c r="EW102" s="102">
        <v>-15.2</v>
      </c>
      <c r="EX102" s="102">
        <v>-15.2</v>
      </c>
      <c r="EY102" s="102">
        <v>-15.2</v>
      </c>
      <c r="EZ102" s="102">
        <v>-15.2</v>
      </c>
      <c r="FA102" s="102">
        <v>-15.2</v>
      </c>
      <c r="FB102" s="102">
        <v>-15.2</v>
      </c>
      <c r="FC102" s="102">
        <v>-15.2</v>
      </c>
      <c r="FD102" s="102">
        <v>-15.2</v>
      </c>
      <c r="FE102" s="102">
        <v>-15.2</v>
      </c>
      <c r="FF102" s="102">
        <v>-15.2</v>
      </c>
      <c r="FG102" s="102">
        <v>-2.7109195000000003E-2</v>
      </c>
      <c r="FH102" s="102">
        <v>-2.7109195000000003E-2</v>
      </c>
      <c r="FI102" s="102">
        <v>-2.7109195000000003E-2</v>
      </c>
      <c r="FJ102" s="102">
        <v>-2.7109195000000003E-2</v>
      </c>
      <c r="FK102" s="102">
        <v>-2.7109195000000003E-2</v>
      </c>
      <c r="FL102" s="102">
        <v>-2.7109195000000003E-2</v>
      </c>
      <c r="FM102" s="102">
        <v>-2.7109195000000003E-2</v>
      </c>
      <c r="FN102" s="102">
        <v>-2.7109195000000003E-2</v>
      </c>
      <c r="FO102" s="102">
        <v>-2.7109195000000003E-2</v>
      </c>
      <c r="FP102" s="102">
        <v>-2.7109195000000003E-2</v>
      </c>
      <c r="FQ102" s="102">
        <v>-2.7109195000000003E-2</v>
      </c>
      <c r="FR102" s="102">
        <v>-2.7109195000000003E-2</v>
      </c>
      <c r="FS102" s="102">
        <v>-8.9347232200000004</v>
      </c>
      <c r="FT102" s="102">
        <v>-8.9347232200000004</v>
      </c>
      <c r="FU102" s="102">
        <v>-8.9347232200000004</v>
      </c>
      <c r="FV102" s="102">
        <v>-8.9347232200000004</v>
      </c>
      <c r="FW102" s="102">
        <v>-8.9347232200000004</v>
      </c>
      <c r="FX102" s="102">
        <v>-8.9347232200000004</v>
      </c>
      <c r="FY102" s="102">
        <v>-8.9347232200000004</v>
      </c>
      <c r="FZ102" s="102">
        <v>-8.9347232200000004</v>
      </c>
      <c r="GA102" s="102">
        <v>-8.9347232200000004</v>
      </c>
      <c r="GB102" s="102">
        <v>-8.9347232200000004</v>
      </c>
      <c r="GC102" s="102">
        <v>-8.9347232200000004</v>
      </c>
      <c r="GD102" s="102">
        <v>-8.9347232200000004</v>
      </c>
      <c r="GE102" s="102">
        <v>-27.45</v>
      </c>
      <c r="GF102" s="102">
        <v>-27.45</v>
      </c>
      <c r="GG102" s="102">
        <v>-27.449999999999992</v>
      </c>
      <c r="GH102" s="102">
        <v>-20.45</v>
      </c>
      <c r="GI102" s="102">
        <v>-27.449999999999992</v>
      </c>
      <c r="GJ102" s="102">
        <v>-20.45</v>
      </c>
      <c r="GK102" s="102">
        <v>-27.45</v>
      </c>
      <c r="GL102" s="102">
        <v>-20.45</v>
      </c>
      <c r="GM102" s="102">
        <v>-20.45</v>
      </c>
      <c r="GN102" s="102">
        <v>-27.45</v>
      </c>
      <c r="GO102" s="102">
        <v>-27.45</v>
      </c>
      <c r="GP102" s="102">
        <v>-27.45</v>
      </c>
      <c r="GQ102" s="102">
        <v>-27.45</v>
      </c>
      <c r="GR102" s="102">
        <v>-27.45</v>
      </c>
      <c r="GS102" s="102">
        <v>-27.449999999999992</v>
      </c>
      <c r="GT102" s="102">
        <v>-20.45</v>
      </c>
      <c r="GU102" s="102">
        <v>-27.449999999999992</v>
      </c>
      <c r="GV102" s="102">
        <v>-20.45</v>
      </c>
      <c r="GW102" s="102">
        <v>-27.45</v>
      </c>
      <c r="GX102" s="102">
        <v>-20.45</v>
      </c>
      <c r="GY102" s="102">
        <v>-20.45</v>
      </c>
      <c r="GZ102" s="102">
        <v>-27.45</v>
      </c>
      <c r="HA102" s="102">
        <v>-27.45</v>
      </c>
      <c r="HB102" s="102">
        <v>-27.45</v>
      </c>
      <c r="HD102" s="102">
        <f t="shared" si="582"/>
        <v>-177.94744937999999</v>
      </c>
      <c r="HE102" s="102">
        <f t="shared" si="582"/>
        <v>-106.36979224999999</v>
      </c>
      <c r="HF102" s="102">
        <f t="shared" si="582"/>
        <v>-243.30703395999998</v>
      </c>
      <c r="HG102" s="102">
        <f t="shared" si="582"/>
        <v>-180.74714455000003</v>
      </c>
      <c r="HH102" s="102">
        <f t="shared" si="583"/>
        <v>0</v>
      </c>
      <c r="HI102" s="102">
        <f t="shared" si="584"/>
        <v>-1.1033541</v>
      </c>
      <c r="HJ102" s="102">
        <f t="shared" si="472"/>
        <v>-3.3585409999999996E-2</v>
      </c>
      <c r="HK102" s="102">
        <f t="shared" si="473"/>
        <v>-0.33958673999999994</v>
      </c>
      <c r="HL102" s="940">
        <f>+SUMIF($E$6:SEW$6,HL$7,$E102:SEW102)</f>
        <v>-0.24280632000000013</v>
      </c>
      <c r="HM102" s="940">
        <f>+SUMIF($E$6:SEX$6,HM$7,$E102:SEX102)</f>
        <v>-7.441148730000001</v>
      </c>
      <c r="HN102" s="940">
        <f>+SUMIF($E$6:SEY$6,HN$7,$E102:SEY102)</f>
        <v>-156.87411461000002</v>
      </c>
      <c r="HO102" s="102"/>
      <c r="HP102" s="102"/>
      <c r="HR102" s="929">
        <f t="shared" si="603"/>
        <v>1.2873696452105272</v>
      </c>
      <c r="HS102" s="929">
        <f t="shared" si="603"/>
        <v>-0.2571232257111189</v>
      </c>
      <c r="HT102" s="929">
        <f t="shared" si="603"/>
        <v>-1</v>
      </c>
      <c r="HU102" s="929" t="str">
        <f t="shared" si="603"/>
        <v/>
      </c>
      <c r="HV102" s="929">
        <f t="shared" si="603"/>
        <v>-0.96956062428190548</v>
      </c>
      <c r="HW102" s="929">
        <f t="shared" si="603"/>
        <v>9.1111387355402229</v>
      </c>
      <c r="HX102" s="929">
        <f t="shared" si="603"/>
        <v>-0.28499469678939715</v>
      </c>
      <c r="HY102" s="929">
        <f t="shared" si="603"/>
        <v>29.646437580372691</v>
      </c>
      <c r="HZ102" s="929">
        <f t="shared" si="603"/>
        <v>20.081975418330337</v>
      </c>
      <c r="IA102" s="929">
        <f t="shared" si="604"/>
        <v>-1</v>
      </c>
      <c r="IB102" s="929" t="str">
        <f>+IFERROR(HP102/HO102-1,"")</f>
        <v/>
      </c>
      <c r="IC102" s="929">
        <f t="shared" si="605"/>
        <v>-1</v>
      </c>
      <c r="IE102" s="102">
        <f t="shared" si="606"/>
        <v>-136.93724171</v>
      </c>
      <c r="IF102" s="102">
        <f t="shared" si="606"/>
        <v>62.559889409999954</v>
      </c>
      <c r="IG102" s="102">
        <f t="shared" si="606"/>
        <v>180.74714455000003</v>
      </c>
      <c r="IH102" s="102">
        <f t="shared" si="606"/>
        <v>-1.1033541</v>
      </c>
      <c r="II102" s="102">
        <f t="shared" si="606"/>
        <v>1.0697686900000001</v>
      </c>
      <c r="IJ102" s="102">
        <f t="shared" si="606"/>
        <v>-0.30600132999999996</v>
      </c>
      <c r="IK102" s="102">
        <f t="shared" si="606"/>
        <v>9.6780419999999812E-2</v>
      </c>
      <c r="IL102" s="102">
        <f t="shared" si="607"/>
        <v>0.24280632000000013</v>
      </c>
      <c r="IM102" s="102">
        <f>+HP102-HO102</f>
        <v>0</v>
      </c>
      <c r="IN102" s="102">
        <f t="shared" si="608"/>
        <v>0.24280632000000013</v>
      </c>
      <c r="IP102" s="32">
        <f t="shared" si="609"/>
        <v>-2.8940003121505817E-3</v>
      </c>
      <c r="IQ102" s="32">
        <f t="shared" si="609"/>
        <v>-6.1779739714051124E-3</v>
      </c>
      <c r="IR102" s="32">
        <f t="shared" si="609"/>
        <v>-1.0725061962368517E-2</v>
      </c>
      <c r="IS102" s="32">
        <f t="shared" si="609"/>
        <v>0</v>
      </c>
      <c r="IT102" s="32">
        <f t="shared" si="609"/>
        <v>-8.0957449580309603E-5</v>
      </c>
      <c r="IU102" s="32">
        <f t="shared" si="609"/>
        <v>-2.3734376643871566E-6</v>
      </c>
      <c r="IV102" s="32">
        <f t="shared" si="609"/>
        <v>-1.5996096190245321E-5</v>
      </c>
      <c r="IW102" s="32">
        <f t="shared" si="609"/>
        <v>-1.923997541144311E-5</v>
      </c>
      <c r="IX102" s="32" t="e">
        <f t="shared" si="610"/>
        <v>#DIV/0!</v>
      </c>
      <c r="IY102" s="32" t="e">
        <f t="shared" si="610"/>
        <v>#DIV/0!</v>
      </c>
      <c r="JA102" s="102">
        <f t="shared" si="588"/>
        <v>-177.94744937999999</v>
      </c>
      <c r="JB102" s="102">
        <f t="shared" si="588"/>
        <v>-106.36979224999999</v>
      </c>
      <c r="JC102" s="102">
        <f t="shared" si="588"/>
        <v>-243.30703395999998</v>
      </c>
      <c r="JD102" s="102">
        <f t="shared" si="588"/>
        <v>-180.74714455000003</v>
      </c>
      <c r="JE102" s="102">
        <f t="shared" si="588"/>
        <v>0</v>
      </c>
      <c r="JF102" s="102">
        <f t="shared" si="588"/>
        <v>-1.1033541</v>
      </c>
      <c r="JG102" s="102">
        <f t="shared" si="588"/>
        <v>-3.3585409999999996E-2</v>
      </c>
      <c r="JH102" s="102">
        <f t="shared" si="588"/>
        <v>-0.33958673999999994</v>
      </c>
      <c r="JI102" s="102">
        <f t="shared" si="588"/>
        <v>-0.24280632000000013</v>
      </c>
      <c r="JJ102" s="102">
        <f t="shared" si="588"/>
        <v>-7.441148730000001</v>
      </c>
      <c r="JK102" s="102">
        <f t="shared" si="588"/>
        <v>-156.87411461000002</v>
      </c>
      <c r="JL102" s="102">
        <f t="shared" si="589"/>
        <v>-156.87411461000002</v>
      </c>
      <c r="JM102" s="102"/>
      <c r="JN102" s="102"/>
      <c r="JP102" s="102">
        <f t="shared" si="611"/>
        <v>-156.87411461000002</v>
      </c>
      <c r="JQ102" s="102">
        <f t="shared" si="611"/>
        <v>0</v>
      </c>
      <c r="JR102" s="145"/>
      <c r="JS102" s="929" t="str">
        <f>+IFERROR(JP102/JQ102,"")</f>
        <v/>
      </c>
      <c r="JT102" s="930">
        <f>+IFERROR(JP102-JQ102,"NA")</f>
        <v>-156.87411461000002</v>
      </c>
      <c r="JV102" s="32">
        <f>+JP102/JP$11</f>
        <v>-5.195956716527941E-3</v>
      </c>
      <c r="JW102" s="929" t="str">
        <f>+IFERROR(JQ102/JQ$11,"")</f>
        <v/>
      </c>
      <c r="JY102" s="929">
        <f t="shared" si="618"/>
        <v>1.2873696452105272</v>
      </c>
      <c r="JZ102" s="929">
        <f t="shared" si="618"/>
        <v>-0.2571232257111189</v>
      </c>
      <c r="KA102" s="929">
        <f t="shared" si="618"/>
        <v>-1</v>
      </c>
      <c r="KB102" s="929" t="str">
        <f t="shared" si="618"/>
        <v/>
      </c>
      <c r="KC102" s="929">
        <f t="shared" si="618"/>
        <v>-0.96956062428190548</v>
      </c>
      <c r="KD102" s="929">
        <f t="shared" si="618"/>
        <v>9.1111387355402229</v>
      </c>
      <c r="KE102" s="929">
        <f t="shared" si="618"/>
        <v>-0.28499469678939715</v>
      </c>
      <c r="KF102" s="929">
        <f>+IFERROR(JN102/JI102-1,"")</f>
        <v>-1</v>
      </c>
      <c r="KH102" s="102">
        <f t="shared" si="613"/>
        <v>-136.93724171</v>
      </c>
      <c r="KI102" s="102">
        <f t="shared" si="613"/>
        <v>62.559889409999954</v>
      </c>
      <c r="KJ102" s="102">
        <f t="shared" si="613"/>
        <v>180.74714455000003</v>
      </c>
      <c r="KK102" s="102">
        <f t="shared" si="613"/>
        <v>-1.1033541</v>
      </c>
      <c r="KL102" s="102">
        <f t="shared" si="613"/>
        <v>1.0697686900000001</v>
      </c>
      <c r="KM102" s="102">
        <f t="shared" si="613"/>
        <v>-0.30600132999999996</v>
      </c>
      <c r="KN102" s="102">
        <f t="shared" si="613"/>
        <v>9.6780419999999812E-2</v>
      </c>
      <c r="KO102" s="102">
        <f>+JN102-JI102</f>
        <v>0.24280632000000013</v>
      </c>
      <c r="KQ102" s="32">
        <f t="shared" si="614"/>
        <v>-4.904651164275838E-3</v>
      </c>
      <c r="KR102" s="32">
        <f t="shared" si="614"/>
        <v>-2.8940003121505817E-3</v>
      </c>
      <c r="KS102" s="32">
        <f t="shared" si="614"/>
        <v>-6.1779739714051124E-3</v>
      </c>
      <c r="KT102" s="32">
        <f t="shared" si="614"/>
        <v>-1.0725061962368517E-2</v>
      </c>
      <c r="KU102" s="32">
        <f t="shared" si="614"/>
        <v>0</v>
      </c>
      <c r="KV102" s="32">
        <f t="shared" si="614"/>
        <v>-8.0957449580309603E-5</v>
      </c>
      <c r="KW102" s="32">
        <f t="shared" si="614"/>
        <v>-2.3734376643871566E-6</v>
      </c>
      <c r="KX102" s="32">
        <f t="shared" si="614"/>
        <v>-1.5996096190245321E-5</v>
      </c>
      <c r="KY102" s="32">
        <f t="shared" si="614"/>
        <v>-1.923997541144311E-5</v>
      </c>
      <c r="KZ102" s="32" t="e">
        <f>+JN102/JN$11</f>
        <v>#DIV/0!</v>
      </c>
      <c r="LB102" s="102">
        <f t="shared" si="593"/>
        <v>13.411139599999984</v>
      </c>
      <c r="LC102" s="102">
        <f t="shared" si="593"/>
        <v>-57.740895699999989</v>
      </c>
      <c r="LD102" s="102">
        <f t="shared" si="593"/>
        <v>-9.3070317099999844</v>
      </c>
      <c r="LE102" s="102">
        <f t="shared" si="593"/>
        <v>-34.033257570000004</v>
      </c>
      <c r="LF102" s="102">
        <f t="shared" si="593"/>
        <v>0</v>
      </c>
      <c r="LG102" s="102">
        <f t="shared" si="593"/>
        <v>-1.02498924</v>
      </c>
      <c r="LH102" s="102">
        <f t="shared" si="593"/>
        <v>-9.3623600000000001E-3</v>
      </c>
      <c r="LI102" s="102">
        <f t="shared" si="593"/>
        <v>-3.4263050000000003E-2</v>
      </c>
      <c r="LJ102" s="102">
        <f t="shared" si="593"/>
        <v>-0.66959378000000003</v>
      </c>
      <c r="LK102" s="102">
        <f t="shared" si="593"/>
        <v>-0.30487472999999998</v>
      </c>
      <c r="LL102" s="102">
        <f t="shared" si="593"/>
        <v>-149.52622104000002</v>
      </c>
      <c r="LM102" s="102">
        <f t="shared" si="593"/>
        <v>-149.52622104000002</v>
      </c>
      <c r="LN102" s="102"/>
      <c r="LO102" s="102"/>
      <c r="LR102" s="32">
        <f t="shared" si="615"/>
        <v>-0.83881386672011771</v>
      </c>
      <c r="LS102" s="32">
        <f t="shared" si="615"/>
        <v>2.6567252192160051</v>
      </c>
      <c r="LT102" s="32">
        <f t="shared" si="615"/>
        <v>-1</v>
      </c>
      <c r="LU102" s="32" t="str">
        <f t="shared" si="615"/>
        <v xml:space="preserve"> </v>
      </c>
      <c r="LV102" s="32">
        <f t="shared" si="615"/>
        <v>-0.99086589435807149</v>
      </c>
      <c r="LW102" s="32">
        <f t="shared" si="615"/>
        <v>2.659659530289372</v>
      </c>
      <c r="LX102" s="32">
        <f>+IFERROR(LO102/LI102-1," ")</f>
        <v>-1</v>
      </c>
      <c r="LZ102" s="102">
        <f t="shared" si="616"/>
        <v>48.433863990000006</v>
      </c>
      <c r="MA102" s="102">
        <f t="shared" si="616"/>
        <v>-24.726225860000021</v>
      </c>
      <c r="MB102" s="102">
        <f t="shared" si="616"/>
        <v>34.033257570000004</v>
      </c>
      <c r="MC102" s="102">
        <f t="shared" si="616"/>
        <v>-1.02498924</v>
      </c>
      <c r="MD102" s="102">
        <f t="shared" si="616"/>
        <v>1.0156268800000001</v>
      </c>
      <c r="ME102" s="102">
        <f t="shared" si="616"/>
        <v>-2.4900690000000003E-2</v>
      </c>
      <c r="MF102" s="102">
        <f>+LO102-LI102</f>
        <v>3.4263050000000003E-2</v>
      </c>
      <c r="MH102" s="32">
        <f t="shared" si="617"/>
        <v>4.4713572386612934E-3</v>
      </c>
      <c r="MI102" s="32">
        <f t="shared" si="617"/>
        <v>-1.0472327599651778E-2</v>
      </c>
      <c r="MJ102" s="32">
        <f t="shared" si="617"/>
        <v>-1.8155996609103113E-3</v>
      </c>
      <c r="MK102" s="32">
        <f t="shared" si="617"/>
        <v>-5.8549648414418648E-2</v>
      </c>
      <c r="ML102" s="32">
        <f t="shared" si="617"/>
        <v>0</v>
      </c>
      <c r="MM102" s="32">
        <f t="shared" si="617"/>
        <v>-9.9640874572642858E-4</v>
      </c>
      <c r="MN102" s="32">
        <f t="shared" si="617"/>
        <v>-6.0207612922787956E-6</v>
      </c>
      <c r="MO102" s="32">
        <f t="shared" si="617"/>
        <v>-1.8205699488500287E-5</v>
      </c>
      <c r="MP102" s="32" t="e">
        <f>+LO102/LO$11</f>
        <v>#DIV/0!</v>
      </c>
    </row>
    <row r="103" spans="1:354" outlineLevel="2">
      <c r="A103" s="884">
        <v>5395</v>
      </c>
      <c r="B103" s="70" t="s">
        <v>680</v>
      </c>
      <c r="C103" s="399" t="s">
        <v>643</v>
      </c>
      <c r="D103" s="307" t="s">
        <v>59</v>
      </c>
      <c r="E103" s="931">
        <v>-0.82899999999999996</v>
      </c>
      <c r="F103" s="931">
        <v>0</v>
      </c>
      <c r="G103" s="931">
        <v>-9.000000000000008E-2</v>
      </c>
      <c r="H103" s="931">
        <v>-9.0001999999999915E-2</v>
      </c>
      <c r="I103" s="931">
        <v>-0.29360000000000008</v>
      </c>
      <c r="J103" s="931">
        <v>-0.57023399999999991</v>
      </c>
      <c r="K103" s="931">
        <v>-5.0000000000000044E-2</v>
      </c>
      <c r="L103" s="931">
        <v>-7.0000000000000062E-2</v>
      </c>
      <c r="M103" s="931">
        <v>0</v>
      </c>
      <c r="N103" s="931">
        <v>-22.890999999999998</v>
      </c>
      <c r="O103" s="931">
        <v>-0.37690399999999968</v>
      </c>
      <c r="P103" s="931">
        <v>0</v>
      </c>
      <c r="Q103" s="931">
        <v>-0.308</v>
      </c>
      <c r="R103" s="931">
        <v>-0.98699999999999988</v>
      </c>
      <c r="S103" s="931">
        <v>-13.798999999999999</v>
      </c>
      <c r="T103" s="931">
        <v>-2.5900000000000016</v>
      </c>
      <c r="U103" s="931">
        <v>0.14900000000000091</v>
      </c>
      <c r="V103" s="931">
        <v>-0.26800000000000068</v>
      </c>
      <c r="W103" s="931">
        <v>0.26800000000000068</v>
      </c>
      <c r="X103" s="931">
        <v>0</v>
      </c>
      <c r="Y103" s="931">
        <v>-0.35000000000000142</v>
      </c>
      <c r="Z103" s="931">
        <v>-0.29999999999999716</v>
      </c>
      <c r="AA103" s="931">
        <v>0</v>
      </c>
      <c r="AB103" s="931">
        <v>0</v>
      </c>
      <c r="AC103" s="931">
        <v>0</v>
      </c>
      <c r="AD103" s="931">
        <v>-0.4</v>
      </c>
      <c r="AE103" s="931">
        <v>-2.3E-2</v>
      </c>
      <c r="AF103" s="931">
        <v>-44.152999999999999</v>
      </c>
      <c r="AG103" s="931">
        <v>0</v>
      </c>
      <c r="AH103" s="931">
        <v>-0.26800000000000002</v>
      </c>
      <c r="AI103" s="931">
        <v>-0.124</v>
      </c>
      <c r="AJ103" s="931">
        <v>-2.37</v>
      </c>
      <c r="AK103" s="931">
        <v>-1.6256999999999999</v>
      </c>
      <c r="AL103" s="931">
        <v>-0.3</v>
      </c>
      <c r="AM103" s="931">
        <v>-7.0279999999999996</v>
      </c>
      <c r="AN103" s="931">
        <v>-278.29320767000002</v>
      </c>
      <c r="AO103" s="931">
        <v>-1.0869999999999997</v>
      </c>
      <c r="AP103" s="932">
        <v>-15.513</v>
      </c>
      <c r="AQ103" s="936">
        <v>-52.658799999999999</v>
      </c>
      <c r="AR103" s="936">
        <v>-172.206896</v>
      </c>
      <c r="AS103" s="931">
        <v>-20.654947589999999</v>
      </c>
      <c r="AT103" s="931">
        <v>-45.560494900000002</v>
      </c>
      <c r="AU103" s="931">
        <v>-8.80615785</v>
      </c>
      <c r="AV103" s="931">
        <v>-1.59</v>
      </c>
      <c r="AW103" s="931">
        <v>-32.731589460000002</v>
      </c>
      <c r="AX103" s="931">
        <v>-4.83558238</v>
      </c>
      <c r="AY103" s="931">
        <v>-0.58000616999999999</v>
      </c>
      <c r="AZ103" s="931">
        <f>-1.272067+116</f>
        <v>114.72793299999999</v>
      </c>
      <c r="BA103" s="931"/>
      <c r="BB103" s="931"/>
      <c r="BC103" s="931"/>
      <c r="BD103" s="931"/>
      <c r="BE103" s="931"/>
      <c r="BF103" s="931"/>
      <c r="BG103" s="931"/>
      <c r="BH103" s="931"/>
      <c r="BI103" s="931"/>
      <c r="BJ103" s="931"/>
      <c r="BK103" s="931"/>
      <c r="BL103" s="931"/>
      <c r="BM103" s="102">
        <v>-0.32970100000000002</v>
      </c>
      <c r="BN103" s="931">
        <v>-0.23499999999999999</v>
      </c>
      <c r="BO103" s="931">
        <v>-1.02028702</v>
      </c>
      <c r="BP103" s="931">
        <v>-0.15094299999999999</v>
      </c>
      <c r="BQ103" s="931">
        <v>-5.4709004000000006</v>
      </c>
      <c r="BR103" s="931">
        <v>-2.7087270000000001</v>
      </c>
      <c r="BS103" s="931">
        <v>-0.88987400000000005</v>
      </c>
      <c r="BT103" s="931">
        <v>-3.301142</v>
      </c>
      <c r="BU103" s="931">
        <v>-2.8692700000000002</v>
      </c>
      <c r="BV103" s="931">
        <v>-0.50418830999999997</v>
      </c>
      <c r="BW103" s="931">
        <v>-19.604126999999998</v>
      </c>
      <c r="BX103" s="931">
        <v>-129.92496229</v>
      </c>
      <c r="BY103" s="931">
        <v>-0.47653000000000001</v>
      </c>
      <c r="BZ103" s="931">
        <v>-0.69920916</v>
      </c>
      <c r="CA103" s="931">
        <v>-3.3344</v>
      </c>
      <c r="CB103" s="931">
        <v>-0.196182</v>
      </c>
      <c r="CC103" s="931">
        <v>-3.0104060000000001</v>
      </c>
      <c r="CD103" s="931">
        <v>-0.133851</v>
      </c>
      <c r="CE103" s="931">
        <v>-0.33667599999999998</v>
      </c>
      <c r="CF103" s="931">
        <v>-11.687735869999999</v>
      </c>
      <c r="CG103" s="931">
        <v>-1.4875449999999999</v>
      </c>
      <c r="CH103" s="931">
        <v>-0.79588099999999995</v>
      </c>
      <c r="CI103" s="931">
        <v>1.71656718</v>
      </c>
      <c r="CJ103" s="931">
        <v>-5.8273809999999999</v>
      </c>
      <c r="CK103" s="931">
        <v>1.3927999999999999E-2</v>
      </c>
      <c r="CL103" s="931">
        <v>-1.3566929999999999</v>
      </c>
      <c r="CM103" s="931">
        <v>-2.8839790000000001</v>
      </c>
      <c r="CN103" s="931">
        <v>-27.676676390000001</v>
      </c>
      <c r="CO103" s="931">
        <v>-4.5225109999999997</v>
      </c>
      <c r="CP103" s="931">
        <v>-1.4175</v>
      </c>
      <c r="CQ103" s="931">
        <v>-11.075915999999999</v>
      </c>
      <c r="CR103" s="931">
        <v>-1.173794</v>
      </c>
      <c r="CS103" s="931">
        <v>-2.0090409999999999</v>
      </c>
      <c r="CT103" s="931">
        <v>-2.4764430000000002</v>
      </c>
      <c r="CU103" s="931">
        <v>-5.1451589999999996</v>
      </c>
      <c r="CV103" s="931">
        <v>-11.361280000000001</v>
      </c>
      <c r="CW103" s="931">
        <v>-2.4366120000000002</v>
      </c>
      <c r="CX103" s="931">
        <v>-5.2193659999999999</v>
      </c>
      <c r="CY103" s="931">
        <v>-2.2921179999999999</v>
      </c>
      <c r="CZ103" s="931">
        <v>-2.9851000000000001</v>
      </c>
      <c r="DA103" s="931">
        <v>-0.63300000000000001</v>
      </c>
      <c r="DB103" s="931">
        <v>-1.6435</v>
      </c>
      <c r="DC103" s="931">
        <v>-4.2882340000000001</v>
      </c>
      <c r="DD103" s="931">
        <v>-0.40445500000000001</v>
      </c>
      <c r="DE103" s="931">
        <v>-1.4097999999999999</v>
      </c>
      <c r="DF103" s="931">
        <v>-0.50690000000000002</v>
      </c>
      <c r="DG103" s="931">
        <v>-3.3203299999999998</v>
      </c>
      <c r="DH103" s="931">
        <v>-2.9214140400000002</v>
      </c>
      <c r="DI103" s="931">
        <v>-0.54469999999999996</v>
      </c>
      <c r="DJ103" s="931">
        <v>-1.4555709999999999</v>
      </c>
      <c r="DK103" s="931">
        <v>-0.63619999999999999</v>
      </c>
      <c r="DL103" s="931">
        <v>-6.1708059999999998</v>
      </c>
      <c r="DM103" s="931">
        <v>-1.4815799999999999</v>
      </c>
      <c r="DN103" s="931">
        <v>-3.3551432599999997</v>
      </c>
      <c r="DO103" s="931">
        <v>-1.643451</v>
      </c>
      <c r="DP103" s="931">
        <v>-1.0721000000000001</v>
      </c>
      <c r="DQ103" s="941">
        <v>-16.438236370000002</v>
      </c>
      <c r="DR103" s="941">
        <v>-2.5734400000000002</v>
      </c>
      <c r="DS103" s="941">
        <v>-2.1929083399999998</v>
      </c>
      <c r="DT103" s="941">
        <v>-354.62319547000004</v>
      </c>
      <c r="DU103" s="941">
        <v>-30.442401</v>
      </c>
      <c r="DV103" s="941">
        <v>-6.5356889999999996</v>
      </c>
      <c r="DW103" s="941">
        <v>-5.1420880000000002</v>
      </c>
      <c r="DX103" s="941">
        <v>-5.0332920000000003</v>
      </c>
      <c r="DY103" s="941">
        <v>-6.0362169999999997</v>
      </c>
      <c r="DZ103" s="941">
        <v>-5.4282890000000004</v>
      </c>
      <c r="EA103" s="941">
        <v>-6.3538600000000001</v>
      </c>
      <c r="EB103" s="941">
        <v>-14.121039</v>
      </c>
      <c r="EC103" s="941">
        <v>-12.383319999999999</v>
      </c>
      <c r="ED103" s="941">
        <v>-30.732289000000002</v>
      </c>
      <c r="EE103" s="941">
        <v>-14.051753</v>
      </c>
      <c r="EF103" s="941">
        <v>-32.524095100000004</v>
      </c>
      <c r="EH103" s="931">
        <v>0</v>
      </c>
      <c r="EI103" s="931">
        <v>0</v>
      </c>
      <c r="EJ103" s="931">
        <v>-61.637700000000002</v>
      </c>
      <c r="EK103" s="931">
        <v>0</v>
      </c>
      <c r="EL103" s="931">
        <v>-186.96846099999999</v>
      </c>
      <c r="EM103" s="931">
        <v>-0.89066299999999998</v>
      </c>
      <c r="EN103" s="931">
        <v>0</v>
      </c>
      <c r="EO103" s="931">
        <v>0</v>
      </c>
      <c r="EP103" s="931">
        <v>0</v>
      </c>
      <c r="EQ103" s="931">
        <v>0</v>
      </c>
      <c r="ER103" s="931">
        <v>0</v>
      </c>
      <c r="ES103" s="931">
        <v>0</v>
      </c>
      <c r="EU103" s="931">
        <v>0</v>
      </c>
      <c r="EV103" s="931">
        <v>-2</v>
      </c>
      <c r="EW103" s="931">
        <v>-2</v>
      </c>
      <c r="EX103" s="931">
        <v>-2</v>
      </c>
      <c r="EY103" s="931">
        <v>0</v>
      </c>
      <c r="EZ103" s="931">
        <v>0</v>
      </c>
      <c r="FA103" s="931">
        <v>0</v>
      </c>
      <c r="FB103" s="931">
        <v>0</v>
      </c>
      <c r="FC103" s="931">
        <v>0</v>
      </c>
      <c r="FD103" s="931">
        <v>0</v>
      </c>
      <c r="FE103" s="931">
        <v>0</v>
      </c>
      <c r="FF103" s="931">
        <v>0</v>
      </c>
      <c r="FG103" s="931">
        <v>-0.5</v>
      </c>
      <c r="FH103" s="931">
        <v>-0.5</v>
      </c>
      <c r="FI103" s="931">
        <v>-0.5</v>
      </c>
      <c r="FJ103" s="931">
        <v>-0.5</v>
      </c>
      <c r="FK103" s="931">
        <v>-0.5</v>
      </c>
      <c r="FL103" s="931">
        <v>-0.5</v>
      </c>
      <c r="FM103" s="931">
        <v>-0.5</v>
      </c>
      <c r="FN103" s="931">
        <v>-0.5</v>
      </c>
      <c r="FO103" s="931">
        <v>-0.5</v>
      </c>
      <c r="FP103" s="931">
        <v>-0.5</v>
      </c>
      <c r="FQ103" s="931">
        <v>-0.5</v>
      </c>
      <c r="FR103" s="931">
        <v>-0.5</v>
      </c>
      <c r="FS103" s="931"/>
      <c r="FT103" s="931"/>
      <c r="FU103" s="931"/>
      <c r="FV103" s="931"/>
      <c r="FW103" s="931"/>
      <c r="FX103" s="931"/>
      <c r="FY103" s="931"/>
      <c r="FZ103" s="931"/>
      <c r="GA103" s="931"/>
      <c r="GB103" s="931"/>
      <c r="GC103" s="931"/>
      <c r="GD103" s="931"/>
      <c r="GE103" s="932"/>
      <c r="GF103" s="932"/>
      <c r="GG103" s="932"/>
      <c r="GH103" s="932"/>
      <c r="GI103" s="932"/>
      <c r="GJ103" s="932"/>
      <c r="GK103" s="932"/>
      <c r="GL103" s="932"/>
      <c r="GM103" s="932"/>
      <c r="GN103" s="932"/>
      <c r="GO103" s="932"/>
      <c r="GP103" s="932"/>
      <c r="GQ103" s="932"/>
      <c r="GR103" s="932"/>
      <c r="GS103" s="932"/>
      <c r="GT103" s="932"/>
      <c r="GU103" s="932"/>
      <c r="GV103" s="932"/>
      <c r="GW103" s="932"/>
      <c r="GX103" s="932"/>
      <c r="GY103" s="932"/>
      <c r="GZ103" s="932"/>
      <c r="HA103" s="932"/>
      <c r="HB103" s="932"/>
      <c r="HD103" s="931">
        <f t="shared" si="582"/>
        <v>-25.260739999999998</v>
      </c>
      <c r="HE103" s="931">
        <f t="shared" si="582"/>
        <v>-18.184999999999999</v>
      </c>
      <c r="HF103" s="931">
        <f t="shared" si="582"/>
        <v>-334.58490767000001</v>
      </c>
      <c r="HG103" s="931">
        <f t="shared" si="582"/>
        <v>-241.49654134999992</v>
      </c>
      <c r="HH103" s="931">
        <f t="shared" si="583"/>
        <v>0</v>
      </c>
      <c r="HI103" s="931">
        <f t="shared" si="584"/>
        <v>-167.00912202000001</v>
      </c>
      <c r="HJ103" s="931">
        <f t="shared" si="472"/>
        <v>-26.269229850000002</v>
      </c>
      <c r="HK103" s="931">
        <f t="shared" si="473"/>
        <v>-71.085064389999999</v>
      </c>
      <c r="HL103" s="941">
        <f>+SUMIF($E$6:SEW$6,HL$7,$E103:SEW103)</f>
        <v>-28.060829039999994</v>
      </c>
      <c r="HM103" s="941">
        <f>+SUMIF($E$6:SEX$6,HM$7,$E103:SEX103)</f>
        <v>-392.18733144000004</v>
      </c>
      <c r="HN103" s="941">
        <f>+SUMIF($E$6:SEY$6,HN$7,$E103:SEY103)</f>
        <v>-168.7843321</v>
      </c>
      <c r="HO103" s="931"/>
      <c r="HP103" s="931"/>
      <c r="HR103" s="934">
        <f t="shared" si="603"/>
        <v>17.398950105581523</v>
      </c>
      <c r="HS103" s="934">
        <f t="shared" si="603"/>
        <v>-0.27822045820372998</v>
      </c>
      <c r="HT103" s="934">
        <f t="shared" si="603"/>
        <v>-1</v>
      </c>
      <c r="HU103" s="934" t="str">
        <f t="shared" si="603"/>
        <v/>
      </c>
      <c r="HV103" s="934">
        <f t="shared" si="603"/>
        <v>-0.84270781420637519</v>
      </c>
      <c r="HW103" s="934">
        <f t="shared" si="603"/>
        <v>1.706020115393676</v>
      </c>
      <c r="HX103" s="934">
        <f t="shared" si="603"/>
        <v>-0.60525000179999133</v>
      </c>
      <c r="HY103" s="934">
        <f t="shared" si="603"/>
        <v>12.976327316664344</v>
      </c>
      <c r="HZ103" s="934">
        <f t="shared" si="603"/>
        <v>-0.56963339055274409</v>
      </c>
      <c r="IA103" s="934">
        <f t="shared" si="604"/>
        <v>-1</v>
      </c>
      <c r="IB103" s="934" t="str">
        <f>+IFERROR(HP103/HO103-1,"")</f>
        <v/>
      </c>
      <c r="IC103" s="934">
        <f t="shared" si="605"/>
        <v>-1</v>
      </c>
      <c r="IE103" s="931">
        <f t="shared" si="606"/>
        <v>-316.39990767</v>
      </c>
      <c r="IF103" s="931">
        <f t="shared" si="606"/>
        <v>93.088366320000091</v>
      </c>
      <c r="IG103" s="931">
        <f t="shared" si="606"/>
        <v>241.49654134999992</v>
      </c>
      <c r="IH103" s="931">
        <f t="shared" si="606"/>
        <v>-167.00912202000001</v>
      </c>
      <c r="II103" s="931">
        <f t="shared" si="606"/>
        <v>140.73989217000002</v>
      </c>
      <c r="IJ103" s="931">
        <f t="shared" si="606"/>
        <v>-44.815834539999997</v>
      </c>
      <c r="IK103" s="931">
        <f t="shared" si="606"/>
        <v>43.024235350000005</v>
      </c>
      <c r="IL103" s="931">
        <f t="shared" si="607"/>
        <v>28.060829039999994</v>
      </c>
      <c r="IM103" s="931">
        <f>+HP103-HO103</f>
        <v>0</v>
      </c>
      <c r="IN103" s="931">
        <f t="shared" si="608"/>
        <v>28.060829039999994</v>
      </c>
      <c r="IP103" s="230">
        <f t="shared" si="609"/>
        <v>-4.9475884612774858E-4</v>
      </c>
      <c r="IQ103" s="230">
        <f t="shared" si="609"/>
        <v>-8.4956723904253007E-3</v>
      </c>
      <c r="IR103" s="230">
        <f t="shared" si="609"/>
        <v>-1.4329771992386584E-2</v>
      </c>
      <c r="IS103" s="230">
        <f t="shared" si="609"/>
        <v>0</v>
      </c>
      <c r="IT103" s="230">
        <f t="shared" si="609"/>
        <v>-1.2254119122216453E-2</v>
      </c>
      <c r="IU103" s="230">
        <f t="shared" si="609"/>
        <v>-1.8564126369287552E-3</v>
      </c>
      <c r="IV103" s="230">
        <f t="shared" si="609"/>
        <v>-3.3484332388014396E-3</v>
      </c>
      <c r="IW103" s="230">
        <f t="shared" si="609"/>
        <v>-2.2235403953007001E-3</v>
      </c>
      <c r="IX103" s="230" t="e">
        <f t="shared" si="610"/>
        <v>#DIV/0!</v>
      </c>
      <c r="IY103" s="230" t="e">
        <f t="shared" si="610"/>
        <v>#DIV/0!</v>
      </c>
      <c r="JA103" s="931">
        <f t="shared" si="588"/>
        <v>-25.260739999999998</v>
      </c>
      <c r="JB103" s="931">
        <f t="shared" si="588"/>
        <v>-18.184999999999999</v>
      </c>
      <c r="JC103" s="931">
        <f t="shared" si="588"/>
        <v>-334.58490767000001</v>
      </c>
      <c r="JD103" s="931">
        <f t="shared" si="588"/>
        <v>-241.49654134999992</v>
      </c>
      <c r="JE103" s="931">
        <f t="shared" si="588"/>
        <v>0</v>
      </c>
      <c r="JF103" s="931">
        <f t="shared" si="588"/>
        <v>-167.00912202000001</v>
      </c>
      <c r="JG103" s="931">
        <f t="shared" si="588"/>
        <v>-26.269229850000002</v>
      </c>
      <c r="JH103" s="931">
        <f t="shared" si="588"/>
        <v>-71.085064389999999</v>
      </c>
      <c r="JI103" s="931">
        <f t="shared" si="588"/>
        <v>-28.060829039999994</v>
      </c>
      <c r="JJ103" s="931">
        <f t="shared" si="588"/>
        <v>-392.18733144000004</v>
      </c>
      <c r="JK103" s="931">
        <f t="shared" si="588"/>
        <v>-168.7843321</v>
      </c>
      <c r="JL103" s="931">
        <f t="shared" si="589"/>
        <v>-168.7843321</v>
      </c>
      <c r="JM103" s="931"/>
      <c r="JN103" s="931"/>
      <c r="JP103" s="931">
        <f t="shared" si="611"/>
        <v>-168.7843321</v>
      </c>
      <c r="JQ103" s="931">
        <f t="shared" si="611"/>
        <v>0</v>
      </c>
      <c r="JR103" s="145"/>
      <c r="JS103" s="934" t="str">
        <f>+IFERROR(JP103/JQ103,"")</f>
        <v/>
      </c>
      <c r="JT103" s="935">
        <f>+IFERROR(JP103-JQ103,"NA")</f>
        <v>-168.7843321</v>
      </c>
      <c r="JV103" s="230">
        <f>+JP103/JP$11</f>
        <v>-5.5904448366127894E-3</v>
      </c>
      <c r="JW103" s="934" t="str">
        <f>+IFERROR(JQ103/JQ$11,"")</f>
        <v/>
      </c>
      <c r="JY103" s="934">
        <f t="shared" si="618"/>
        <v>17.398950105581523</v>
      </c>
      <c r="JZ103" s="934">
        <f t="shared" si="618"/>
        <v>-0.27822045820372998</v>
      </c>
      <c r="KA103" s="934">
        <f t="shared" si="618"/>
        <v>-1</v>
      </c>
      <c r="KB103" s="934" t="str">
        <f t="shared" si="618"/>
        <v/>
      </c>
      <c r="KC103" s="934">
        <f t="shared" si="618"/>
        <v>-0.84270781420637519</v>
      </c>
      <c r="KD103" s="934">
        <f t="shared" si="618"/>
        <v>1.706020115393676</v>
      </c>
      <c r="KE103" s="934">
        <f t="shared" si="618"/>
        <v>-0.60525000179999133</v>
      </c>
      <c r="KF103" s="934">
        <f>+IFERROR(JN103/JI103-1,"")</f>
        <v>-1</v>
      </c>
      <c r="KH103" s="931">
        <f t="shared" si="613"/>
        <v>-316.39990767</v>
      </c>
      <c r="KI103" s="931">
        <f t="shared" si="613"/>
        <v>93.088366320000091</v>
      </c>
      <c r="KJ103" s="931">
        <f t="shared" si="613"/>
        <v>241.49654134999992</v>
      </c>
      <c r="KK103" s="931">
        <f t="shared" si="613"/>
        <v>-167.00912202000001</v>
      </c>
      <c r="KL103" s="931">
        <f t="shared" si="613"/>
        <v>140.73989217000002</v>
      </c>
      <c r="KM103" s="931">
        <f t="shared" si="613"/>
        <v>-44.815834539999997</v>
      </c>
      <c r="KN103" s="931">
        <f t="shared" si="613"/>
        <v>43.024235350000005</v>
      </c>
      <c r="KO103" s="931">
        <f>+JN103-JI103</f>
        <v>28.060829039999994</v>
      </c>
      <c r="KQ103" s="230">
        <f t="shared" si="614"/>
        <v>-6.9624553924847732E-4</v>
      </c>
      <c r="KR103" s="230">
        <f t="shared" si="614"/>
        <v>-4.9475884612774858E-4</v>
      </c>
      <c r="KS103" s="230">
        <f t="shared" si="614"/>
        <v>-8.4956723904253007E-3</v>
      </c>
      <c r="KT103" s="230">
        <f t="shared" si="614"/>
        <v>-1.4329771992386584E-2</v>
      </c>
      <c r="KU103" s="230">
        <f t="shared" si="614"/>
        <v>0</v>
      </c>
      <c r="KV103" s="230">
        <f t="shared" si="614"/>
        <v>-1.2254119122216453E-2</v>
      </c>
      <c r="KW103" s="230">
        <f t="shared" si="614"/>
        <v>-1.8564126369287552E-3</v>
      </c>
      <c r="KX103" s="230">
        <f t="shared" si="614"/>
        <v>-3.3484332388014396E-3</v>
      </c>
      <c r="KY103" s="230">
        <f t="shared" si="614"/>
        <v>-2.2235403953007001E-3</v>
      </c>
      <c r="KZ103" s="230" t="e">
        <f>+JN103/JN$11</f>
        <v>#DIV/0!</v>
      </c>
      <c r="LB103" s="931">
        <f t="shared" si="593"/>
        <v>0</v>
      </c>
      <c r="LC103" s="931">
        <f t="shared" si="593"/>
        <v>0</v>
      </c>
      <c r="LD103" s="931">
        <f t="shared" si="593"/>
        <v>-278.29320767000002</v>
      </c>
      <c r="LE103" s="931">
        <f t="shared" si="593"/>
        <v>114.72793299999999</v>
      </c>
      <c r="LF103" s="931">
        <f t="shared" si="593"/>
        <v>0</v>
      </c>
      <c r="LG103" s="931">
        <f t="shared" si="593"/>
        <v>-129.92496229</v>
      </c>
      <c r="LH103" s="931">
        <f t="shared" si="593"/>
        <v>-5.8273809999999999</v>
      </c>
      <c r="LI103" s="931">
        <f t="shared" si="593"/>
        <v>-11.361280000000001</v>
      </c>
      <c r="LJ103" s="931">
        <f t="shared" si="593"/>
        <v>-2.9214140400000002</v>
      </c>
      <c r="LK103" s="931">
        <f t="shared" si="593"/>
        <v>-354.62319547000004</v>
      </c>
      <c r="LL103" s="931">
        <f t="shared" si="593"/>
        <v>-32.524095100000004</v>
      </c>
      <c r="LM103" s="931">
        <f t="shared" si="593"/>
        <v>-32.524095100000004</v>
      </c>
      <c r="LN103" s="931"/>
      <c r="LO103" s="931"/>
      <c r="LR103" s="230" t="str">
        <f t="shared" si="615"/>
        <v xml:space="preserve"> </v>
      </c>
      <c r="LS103" s="230">
        <f t="shared" si="615"/>
        <v>-1.4122555989079126</v>
      </c>
      <c r="LT103" s="230">
        <f t="shared" si="615"/>
        <v>-1</v>
      </c>
      <c r="LU103" s="230" t="str">
        <f t="shared" si="615"/>
        <v xml:space="preserve"> </v>
      </c>
      <c r="LV103" s="230">
        <f t="shared" si="615"/>
        <v>-0.95514810320288601</v>
      </c>
      <c r="LW103" s="230">
        <f t="shared" si="615"/>
        <v>0.9496374100131777</v>
      </c>
      <c r="LX103" s="230">
        <f>+IFERROR(LO103/LI103-1," ")</f>
        <v>-1</v>
      </c>
      <c r="LZ103" s="931">
        <f t="shared" si="616"/>
        <v>-278.29320767000002</v>
      </c>
      <c r="MA103" s="931">
        <f t="shared" si="616"/>
        <v>393.02114067000002</v>
      </c>
      <c r="MB103" s="931">
        <f t="shared" si="616"/>
        <v>-114.72793299999999</v>
      </c>
      <c r="MC103" s="931">
        <f t="shared" si="616"/>
        <v>-129.92496229</v>
      </c>
      <c r="MD103" s="931">
        <f t="shared" si="616"/>
        <v>124.09758128999999</v>
      </c>
      <c r="ME103" s="931">
        <f t="shared" si="616"/>
        <v>-5.5338990000000008</v>
      </c>
      <c r="MF103" s="931">
        <f>+LO103-LI103</f>
        <v>11.361280000000001</v>
      </c>
      <c r="MH103" s="230">
        <f t="shared" si="617"/>
        <v>0</v>
      </c>
      <c r="MI103" s="230">
        <f t="shared" si="617"/>
        <v>0</v>
      </c>
      <c r="MJ103" s="230">
        <f t="shared" si="617"/>
        <v>-5.4288957986079078E-2</v>
      </c>
      <c r="MK103" s="230">
        <f t="shared" si="617"/>
        <v>0.19737399884941365</v>
      </c>
      <c r="ML103" s="230">
        <f t="shared" si="617"/>
        <v>0</v>
      </c>
      <c r="MM103" s="230">
        <f t="shared" si="617"/>
        <v>-0.12630217339055425</v>
      </c>
      <c r="MN103" s="230">
        <f t="shared" si="617"/>
        <v>-3.7474814000060777E-3</v>
      </c>
      <c r="MO103" s="230">
        <f t="shared" si="617"/>
        <v>-6.0368253697411214E-3</v>
      </c>
      <c r="MP103" s="230" t="e">
        <f>+LO103/LO$11</f>
        <v>#DIV/0!</v>
      </c>
    </row>
    <row r="104" spans="1:354" outlineLevel="1">
      <c r="A104" s="867"/>
      <c r="B104" s="71"/>
      <c r="E104" s="66"/>
      <c r="F104" s="66"/>
      <c r="G104" s="66"/>
      <c r="H104" s="66"/>
      <c r="I104" s="66"/>
      <c r="J104" s="66"/>
      <c r="K104" s="66"/>
      <c r="L104" s="66"/>
      <c r="M104" s="66"/>
      <c r="N104" s="66"/>
      <c r="O104" s="66"/>
      <c r="P104" s="66"/>
      <c r="Q104" s="102"/>
      <c r="R104" s="66"/>
      <c r="S104" s="66"/>
      <c r="T104" s="66"/>
      <c r="U104" s="66"/>
      <c r="V104" s="66"/>
      <c r="W104" s="66"/>
      <c r="X104" s="66"/>
      <c r="Y104" s="66"/>
      <c r="Z104" s="66"/>
      <c r="AA104" s="66"/>
      <c r="AB104" s="66"/>
      <c r="AC104" s="102"/>
      <c r="AD104" s="66"/>
      <c r="AE104" s="66"/>
      <c r="AF104" s="66"/>
      <c r="AG104" s="66"/>
      <c r="AH104" s="66"/>
      <c r="AI104" s="66"/>
      <c r="AJ104" s="66"/>
      <c r="AK104" s="66"/>
      <c r="AL104" s="66"/>
      <c r="AM104" s="66"/>
      <c r="AN104" s="66"/>
      <c r="AO104" s="66"/>
      <c r="AP104" s="88"/>
      <c r="AQ104" s="942"/>
      <c r="AR104" s="942"/>
      <c r="AS104" s="66"/>
      <c r="AT104" s="66"/>
      <c r="AU104" s="66"/>
      <c r="AV104" s="66"/>
      <c r="AW104" s="66"/>
      <c r="AX104" s="66"/>
      <c r="AY104" s="66"/>
      <c r="AZ104" s="66"/>
      <c r="BA104" s="66"/>
      <c r="BB104" s="66"/>
      <c r="BC104" s="66"/>
      <c r="BD104" s="66"/>
      <c r="BE104" s="66"/>
      <c r="BF104" s="66"/>
      <c r="BG104" s="66"/>
      <c r="BH104" s="66"/>
      <c r="BI104" s="66"/>
      <c r="BJ104" s="66"/>
      <c r="BK104" s="66"/>
      <c r="BL104" s="66"/>
      <c r="BM104" s="1540"/>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873"/>
      <c r="DR104" s="873"/>
      <c r="DS104" s="873"/>
      <c r="DT104" s="873"/>
      <c r="DU104" s="873"/>
      <c r="DV104" s="873"/>
      <c r="DW104" s="873"/>
      <c r="DX104" s="873"/>
      <c r="DY104" s="873"/>
      <c r="DZ104" s="873"/>
      <c r="EA104" s="873"/>
      <c r="EB104" s="873"/>
      <c r="EC104" s="873"/>
      <c r="ED104" s="873"/>
      <c r="EE104" s="873"/>
      <c r="EF104" s="873"/>
      <c r="EH104" s="66"/>
      <c r="EI104" s="66"/>
      <c r="EJ104" s="66"/>
      <c r="EK104" s="66"/>
      <c r="EL104" s="66"/>
      <c r="EM104" s="66"/>
      <c r="EN104" s="66"/>
      <c r="EO104" s="66"/>
      <c r="EP104" s="66"/>
      <c r="EQ104" s="66"/>
      <c r="ER104" s="66"/>
      <c r="ES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D104" s="66"/>
      <c r="HE104" s="66"/>
      <c r="HF104" s="66"/>
      <c r="HG104" s="66"/>
      <c r="HH104" s="66"/>
      <c r="HI104" s="66"/>
      <c r="HJ104" s="66">
        <f t="shared" si="472"/>
        <v>0</v>
      </c>
      <c r="HK104" s="66">
        <f t="shared" si="473"/>
        <v>0</v>
      </c>
      <c r="HL104" s="873">
        <f>+SUMIF($E$6:SEW$6,HL$7,$E104:SEW104)</f>
        <v>0</v>
      </c>
      <c r="HM104" s="873">
        <f>+SUMIF($E$6:SEX$6,HM$7,$E104:SEX104)</f>
        <v>0</v>
      </c>
      <c r="HN104" s="873">
        <f>+SUMIF($E$6:SEY$6,HN$7,$E104:SEY104)</f>
        <v>0</v>
      </c>
      <c r="HO104" s="66"/>
      <c r="HP104" s="66"/>
      <c r="HR104" s="50"/>
      <c r="HS104" s="50"/>
      <c r="HT104" s="50"/>
      <c r="HU104" s="922"/>
      <c r="HV104" s="922"/>
      <c r="HW104" s="922"/>
      <c r="HX104" s="922"/>
      <c r="HY104" s="922"/>
      <c r="HZ104" s="922"/>
      <c r="IA104" s="922" t="str">
        <f t="shared" si="604"/>
        <v/>
      </c>
      <c r="IB104" s="50"/>
      <c r="IC104" s="922" t="str">
        <f t="shared" si="605"/>
        <v/>
      </c>
      <c r="IE104" s="66"/>
      <c r="IF104" s="66"/>
      <c r="IG104" s="66"/>
      <c r="IH104" s="66"/>
      <c r="II104" s="66">
        <f t="shared" ref="II104:II135" si="619">+HJ104-HI104</f>
        <v>0</v>
      </c>
      <c r="IJ104" s="66">
        <f t="shared" ref="IJ104:IJ135" si="620">+HK104-HJ104</f>
        <v>0</v>
      </c>
      <c r="IK104" s="66">
        <f t="shared" ref="IK104:IK135" si="621">+HL104-HK104</f>
        <v>0</v>
      </c>
      <c r="IL104" s="66">
        <f t="shared" si="607"/>
        <v>0</v>
      </c>
      <c r="IM104" s="66"/>
      <c r="IN104" s="66">
        <f t="shared" si="608"/>
        <v>0</v>
      </c>
      <c r="IP104" s="50"/>
      <c r="IQ104" s="50"/>
      <c r="IR104" s="50"/>
      <c r="IS104" s="50"/>
      <c r="IT104" s="50"/>
      <c r="IU104" s="50"/>
      <c r="IV104" s="50"/>
      <c r="IW104" s="50"/>
      <c r="IX104" s="50"/>
      <c r="IY104" s="50"/>
      <c r="JA104" s="66"/>
      <c r="JB104" s="66"/>
      <c r="JC104" s="66"/>
      <c r="JD104" s="66"/>
      <c r="JE104" s="66"/>
      <c r="JF104" s="66"/>
      <c r="JG104" s="66"/>
      <c r="JH104" s="66"/>
      <c r="JI104" s="66"/>
      <c r="JJ104" s="66"/>
      <c r="JK104" s="66"/>
      <c r="JL104" s="66"/>
      <c r="JM104" s="66"/>
      <c r="JN104" s="66"/>
      <c r="JO104" s="1184"/>
      <c r="JP104" s="66"/>
      <c r="JQ104" s="66"/>
      <c r="JR104" s="88"/>
      <c r="JS104" s="50"/>
      <c r="JT104" s="66"/>
      <c r="JV104" s="50"/>
      <c r="JW104" s="50"/>
      <c r="JY104" s="50"/>
      <c r="JZ104" s="50"/>
      <c r="KA104" s="50"/>
      <c r="KB104" s="50"/>
      <c r="KC104" s="50"/>
      <c r="KD104" s="50"/>
      <c r="KE104" s="50"/>
      <c r="KF104" s="50"/>
      <c r="KH104" s="66"/>
      <c r="KI104" s="66"/>
      <c r="KJ104" s="66"/>
      <c r="KK104" s="66"/>
      <c r="KL104" s="66"/>
      <c r="KM104" s="66"/>
      <c r="KN104" s="66"/>
      <c r="KO104" s="66"/>
      <c r="KQ104" s="50"/>
      <c r="KR104" s="50"/>
      <c r="KS104" s="50"/>
      <c r="KT104" s="50"/>
      <c r="KU104" s="50"/>
      <c r="KV104" s="50"/>
      <c r="KW104" s="50"/>
      <c r="KX104" s="50"/>
      <c r="KY104" s="50"/>
      <c r="KZ104" s="50"/>
      <c r="LB104" s="66"/>
      <c r="LC104" s="66"/>
      <c r="LD104" s="66"/>
      <c r="LE104" s="66"/>
      <c r="LF104" s="66"/>
      <c r="LG104" s="66"/>
      <c r="LH104" s="66"/>
      <c r="LI104" s="66"/>
      <c r="LJ104" s="66"/>
      <c r="LK104" s="66"/>
      <c r="LL104" s="66"/>
      <c r="LM104" s="66"/>
      <c r="LN104" s="66"/>
      <c r="LO104" s="66"/>
      <c r="LR104" s="50"/>
      <c r="LS104" s="50"/>
      <c r="LT104" s="50"/>
      <c r="LU104" s="50"/>
      <c r="LV104" s="50"/>
      <c r="LW104" s="50"/>
      <c r="LX104" s="50"/>
      <c r="LZ104" s="66"/>
      <c r="MA104" s="66"/>
      <c r="MB104" s="66"/>
      <c r="MC104" s="66"/>
      <c r="MD104" s="66"/>
      <c r="ME104" s="66"/>
      <c r="MF104" s="66"/>
      <c r="MH104" s="50"/>
      <c r="MI104" s="50"/>
      <c r="MJ104" s="50"/>
      <c r="MK104" s="50"/>
      <c r="ML104" s="50"/>
      <c r="MM104" s="50"/>
      <c r="MN104" s="50"/>
      <c r="MO104" s="50"/>
      <c r="MP104" s="50"/>
    </row>
    <row r="105" spans="1:354">
      <c r="A105" s="867"/>
      <c r="B105" s="71"/>
      <c r="C105" s="1524" t="s">
        <v>681</v>
      </c>
      <c r="D105" s="1525" t="s">
        <v>59</v>
      </c>
      <c r="E105" s="1526">
        <f t="shared" ref="E105:BP105" si="622">+E74+E77+E92</f>
        <v>-1349.5466311599998</v>
      </c>
      <c r="F105" s="1526">
        <f t="shared" si="622"/>
        <v>1058.5812629300003</v>
      </c>
      <c r="G105" s="1526">
        <f t="shared" si="622"/>
        <v>326.51559054000023</v>
      </c>
      <c r="H105" s="1526">
        <f t="shared" si="622"/>
        <v>577.82595246000062</v>
      </c>
      <c r="I105" s="1526">
        <f t="shared" si="622"/>
        <v>1442.3388058399985</v>
      </c>
      <c r="J105" s="1526">
        <f t="shared" si="622"/>
        <v>527.27448700999946</v>
      </c>
      <c r="K105" s="1526">
        <f t="shared" si="622"/>
        <v>763.0058817799985</v>
      </c>
      <c r="L105" s="1526">
        <f t="shared" si="622"/>
        <v>1489.1323805100014</v>
      </c>
      <c r="M105" s="1526">
        <f t="shared" si="622"/>
        <v>1493.0908242800015</v>
      </c>
      <c r="N105" s="1526">
        <f t="shared" si="622"/>
        <v>805.28608410999811</v>
      </c>
      <c r="O105" s="1526">
        <f t="shared" si="622"/>
        <v>1748.1848320700026</v>
      </c>
      <c r="P105" s="1526">
        <f t="shared" si="622"/>
        <v>49.867575789998256</v>
      </c>
      <c r="Q105" s="1526">
        <f t="shared" si="622"/>
        <v>-393.33825008999969</v>
      </c>
      <c r="R105" s="1526">
        <f t="shared" si="622"/>
        <v>1281.5565615599996</v>
      </c>
      <c r="S105" s="1526">
        <f t="shared" si="622"/>
        <v>-180.28245496000005</v>
      </c>
      <c r="T105" s="1526">
        <f t="shared" si="622"/>
        <v>-696.98788189999766</v>
      </c>
      <c r="U105" s="1526">
        <f t="shared" si="622"/>
        <v>1490.9964150200005</v>
      </c>
      <c r="V105" s="1526">
        <f t="shared" si="622"/>
        <v>1159.9416965399967</v>
      </c>
      <c r="W105" s="1526">
        <f t="shared" si="622"/>
        <v>537.35885423999889</v>
      </c>
      <c r="X105" s="1526">
        <f t="shared" si="622"/>
        <v>951.31155894000165</v>
      </c>
      <c r="Y105" s="1526">
        <f t="shared" si="622"/>
        <v>-656.5596341799984</v>
      </c>
      <c r="Z105" s="1526">
        <f t="shared" si="622"/>
        <v>32.65835464999644</v>
      </c>
      <c r="AA105" s="1526">
        <f t="shared" si="622"/>
        <v>2395.9791566300009</v>
      </c>
      <c r="AB105" s="1526">
        <f t="shared" si="622"/>
        <v>3058.3552988100078</v>
      </c>
      <c r="AC105" s="1526">
        <f t="shared" si="622"/>
        <v>-452.51189486000027</v>
      </c>
      <c r="AD105" s="1526">
        <f t="shared" si="622"/>
        <v>1711.4499305100003</v>
      </c>
      <c r="AE105" s="1526">
        <f t="shared" si="622"/>
        <v>392.04112929999974</v>
      </c>
      <c r="AF105" s="1526">
        <f t="shared" si="622"/>
        <v>747.07470670000055</v>
      </c>
      <c r="AG105" s="1526">
        <f t="shared" si="622"/>
        <v>649.09522317000039</v>
      </c>
      <c r="AH105" s="1526">
        <f t="shared" si="622"/>
        <v>423.74657507000046</v>
      </c>
      <c r="AI105" s="1526">
        <f t="shared" si="622"/>
        <v>262.30463010000005</v>
      </c>
      <c r="AJ105" s="1526">
        <f t="shared" si="622"/>
        <v>688.97249007000005</v>
      </c>
      <c r="AK105" s="1526">
        <f t="shared" si="622"/>
        <v>838.61599968999963</v>
      </c>
      <c r="AL105" s="1526">
        <f t="shared" si="622"/>
        <v>1176.9785385799996</v>
      </c>
      <c r="AM105" s="1526">
        <f t="shared" si="622"/>
        <v>3171.6571382200004</v>
      </c>
      <c r="AN105" s="1526">
        <f t="shared" si="622"/>
        <v>794.34297645999823</v>
      </c>
      <c r="AO105" s="1526">
        <f t="shared" si="622"/>
        <v>1107.4096440600003</v>
      </c>
      <c r="AP105" s="1526">
        <f t="shared" si="622"/>
        <v>-577.05567869999993</v>
      </c>
      <c r="AQ105" s="1526">
        <f t="shared" si="622"/>
        <v>-178.0077530300002</v>
      </c>
      <c r="AR105" s="1526">
        <f t="shared" si="622"/>
        <v>-709.02246402000026</v>
      </c>
      <c r="AS105" s="1526">
        <f t="shared" si="622"/>
        <v>-1281.7712199100004</v>
      </c>
      <c r="AT105" s="1526">
        <f t="shared" si="622"/>
        <v>-1112.9781586899999</v>
      </c>
      <c r="AU105" s="1526">
        <f t="shared" si="622"/>
        <v>123.74791900000044</v>
      </c>
      <c r="AV105" s="1526">
        <f t="shared" si="622"/>
        <v>-13.298573899999973</v>
      </c>
      <c r="AW105" s="1526">
        <f t="shared" si="622"/>
        <v>-268.05422885000047</v>
      </c>
      <c r="AX105" s="1526">
        <f t="shared" si="622"/>
        <v>-43.555994940000005</v>
      </c>
      <c r="AY105" s="1526">
        <f t="shared" si="622"/>
        <v>-582.75377264000008</v>
      </c>
      <c r="AZ105" s="1526">
        <f t="shared" si="622"/>
        <v>-1093.004841019999</v>
      </c>
      <c r="BA105" s="1526">
        <f t="shared" si="622"/>
        <v>24.359584859999998</v>
      </c>
      <c r="BB105" s="1526">
        <f t="shared" si="622"/>
        <v>-650.36709494000024</v>
      </c>
      <c r="BC105" s="1526">
        <f t="shared" si="622"/>
        <v>-915.36285868000004</v>
      </c>
      <c r="BD105" s="1526">
        <f t="shared" si="622"/>
        <v>-701.97909128000003</v>
      </c>
      <c r="BE105" s="1526">
        <f t="shared" si="622"/>
        <v>-454.51312524999997</v>
      </c>
      <c r="BF105" s="1526">
        <f t="shared" si="622"/>
        <v>-908.89802556999985</v>
      </c>
      <c r="BG105" s="1526">
        <f t="shared" si="622"/>
        <v>-508.96334026000005</v>
      </c>
      <c r="BH105" s="1526">
        <f t="shared" si="622"/>
        <v>-414.09438539000013</v>
      </c>
      <c r="BI105" s="1526">
        <f t="shared" si="622"/>
        <v>-133.82858430000007</v>
      </c>
      <c r="BJ105" s="1526">
        <f t="shared" si="622"/>
        <v>-237.76028342999996</v>
      </c>
      <c r="BK105" s="1526">
        <f t="shared" si="622"/>
        <v>-71.151688029999832</v>
      </c>
      <c r="BL105" s="1526">
        <f t="shared" si="622"/>
        <v>-408.89573148999972</v>
      </c>
      <c r="BM105" s="1526">
        <f t="shared" si="622"/>
        <v>123.44698306999993</v>
      </c>
      <c r="BN105" s="1526">
        <f t="shared" si="622"/>
        <v>140.34818187999997</v>
      </c>
      <c r="BO105" s="1526">
        <f t="shared" si="622"/>
        <v>91.924748239999929</v>
      </c>
      <c r="BP105" s="1526">
        <f t="shared" si="622"/>
        <v>295.60863498000037</v>
      </c>
      <c r="BQ105" s="1526">
        <f t="shared" ref="BQ105:EB105" si="623">+BQ74+BQ77+BQ92</f>
        <v>-11.4822601300001</v>
      </c>
      <c r="BR105" s="1526">
        <f t="shared" si="623"/>
        <v>90.135582020000058</v>
      </c>
      <c r="BS105" s="1526">
        <f t="shared" si="623"/>
        <v>61.057128020000079</v>
      </c>
      <c r="BT105" s="1526">
        <f t="shared" si="623"/>
        <v>44.022168460000159</v>
      </c>
      <c r="BU105" s="1526">
        <f t="shared" si="623"/>
        <v>-43.153211829999861</v>
      </c>
      <c r="BV105" s="1526">
        <f t="shared" si="623"/>
        <v>261.98080613999974</v>
      </c>
      <c r="BW105" s="1526">
        <f t="shared" si="623"/>
        <v>188.85485309000035</v>
      </c>
      <c r="BX105" s="1526">
        <f t="shared" si="623"/>
        <v>-64.510605569999683</v>
      </c>
      <c r="BY105" s="1526">
        <f t="shared" si="623"/>
        <v>-155.39655519999991</v>
      </c>
      <c r="BZ105" s="1526">
        <f t="shared" si="623"/>
        <v>22.075449460000158</v>
      </c>
      <c r="CA105" s="1526">
        <f t="shared" si="623"/>
        <v>-61.512769169999871</v>
      </c>
      <c r="CB105" s="1526">
        <f t="shared" si="623"/>
        <v>-90.353418339999905</v>
      </c>
      <c r="CC105" s="1526">
        <f t="shared" si="623"/>
        <v>-137.22758993999992</v>
      </c>
      <c r="CD105" s="1526">
        <f t="shared" si="623"/>
        <v>-18.083400690000197</v>
      </c>
      <c r="CE105" s="1526">
        <f t="shared" si="623"/>
        <v>-160.47541692000007</v>
      </c>
      <c r="CF105" s="1526">
        <f t="shared" si="623"/>
        <v>489.31329980000021</v>
      </c>
      <c r="CG105" s="1526">
        <f t="shared" si="623"/>
        <v>-43.808465060000024</v>
      </c>
      <c r="CH105" s="1526">
        <f t="shared" si="623"/>
        <v>156.53165334000016</v>
      </c>
      <c r="CI105" s="1526">
        <f t="shared" si="623"/>
        <v>530.51425845000006</v>
      </c>
      <c r="CJ105" s="1526">
        <f t="shared" si="623"/>
        <v>229.48729348999981</v>
      </c>
      <c r="CK105" s="1526">
        <f t="shared" si="623"/>
        <v>114.61153242999967</v>
      </c>
      <c r="CL105" s="1526">
        <f t="shared" si="623"/>
        <v>-167.1875687900002</v>
      </c>
      <c r="CM105" s="1526">
        <f t="shared" si="623"/>
        <v>406.87187320999999</v>
      </c>
      <c r="CN105" s="1526">
        <f t="shared" si="623"/>
        <v>132.04099503999996</v>
      </c>
      <c r="CO105" s="1526">
        <f t="shared" si="623"/>
        <v>429.96789341999983</v>
      </c>
      <c r="CP105" s="1526">
        <f t="shared" si="623"/>
        <v>-48.026834360000208</v>
      </c>
      <c r="CQ105" s="1526">
        <f t="shared" si="623"/>
        <v>59.81053393000002</v>
      </c>
      <c r="CR105" s="1526">
        <f t="shared" si="623"/>
        <v>295.62067388000003</v>
      </c>
      <c r="CS105" s="1526">
        <f t="shared" si="623"/>
        <v>226.86529959999979</v>
      </c>
      <c r="CT105" s="1526">
        <f t="shared" si="623"/>
        <v>667.62432546000014</v>
      </c>
      <c r="CU105" s="1526">
        <f t="shared" si="623"/>
        <v>314.66271745000012</v>
      </c>
      <c r="CV105" s="1526">
        <f t="shared" si="623"/>
        <v>-166.90003843000034</v>
      </c>
      <c r="CW105" s="1526">
        <f t="shared" si="623"/>
        <v>311.65705161000005</v>
      </c>
      <c r="CX105" s="1526">
        <f t="shared" si="623"/>
        <v>130.4019356899995</v>
      </c>
      <c r="CY105" s="1526">
        <f t="shared" si="623"/>
        <v>902.39149164000037</v>
      </c>
      <c r="CZ105" s="1526">
        <f t="shared" si="623"/>
        <v>-345.67212746999991</v>
      </c>
      <c r="DA105" s="1526">
        <f t="shared" si="623"/>
        <v>-502.23676384999987</v>
      </c>
      <c r="DB105" s="1526">
        <f t="shared" si="623"/>
        <v>-343.46025253000005</v>
      </c>
      <c r="DC105" s="1526">
        <f t="shared" si="623"/>
        <v>-475.61307777000002</v>
      </c>
      <c r="DD105" s="1526">
        <f t="shared" si="623"/>
        <v>238.34541048000008</v>
      </c>
      <c r="DE105" s="1526">
        <f t="shared" si="623"/>
        <v>176.83278269999985</v>
      </c>
      <c r="DF105" s="1526">
        <f t="shared" si="623"/>
        <v>261.81495387000007</v>
      </c>
      <c r="DG105" s="1526">
        <f t="shared" si="623"/>
        <v>-281.60718725000027</v>
      </c>
      <c r="DH105" s="1526">
        <f t="shared" si="623"/>
        <v>62.099123049999889</v>
      </c>
      <c r="DI105" s="1526">
        <f t="shared" si="623"/>
        <v>59.444504020000124</v>
      </c>
      <c r="DJ105" s="1526">
        <f t="shared" si="623"/>
        <v>-151.74424709999971</v>
      </c>
      <c r="DK105" s="1526">
        <f t="shared" si="623"/>
        <v>105.17819274000013</v>
      </c>
      <c r="DL105" s="1526">
        <f t="shared" si="623"/>
        <v>223.37591271999997</v>
      </c>
      <c r="DM105" s="1526">
        <f t="shared" si="623"/>
        <v>124.62857036999982</v>
      </c>
      <c r="DN105" s="1526">
        <f t="shared" si="623"/>
        <v>12.221512550000313</v>
      </c>
      <c r="DO105" s="1526">
        <f t="shared" si="623"/>
        <v>154.3028182799996</v>
      </c>
      <c r="DP105" s="1526">
        <f t="shared" si="623"/>
        <v>269.82986755999991</v>
      </c>
      <c r="DQ105" s="1527">
        <f t="shared" si="623"/>
        <v>157.05115625999986</v>
      </c>
      <c r="DR105" s="1527">
        <f t="shared" si="623"/>
        <v>218.37779812000011</v>
      </c>
      <c r="DS105" s="1527">
        <f t="shared" si="623"/>
        <v>243.41679131999985</v>
      </c>
      <c r="DT105" s="1527">
        <f t="shared" si="623"/>
        <v>-60.61126118000044</v>
      </c>
      <c r="DU105" s="1527">
        <f t="shared" si="623"/>
        <v>289.49905815999983</v>
      </c>
      <c r="DV105" s="1527">
        <f t="shared" si="623"/>
        <v>-375.74638777000018</v>
      </c>
      <c r="DW105" s="1527">
        <f t="shared" si="623"/>
        <v>-60.563966349999873</v>
      </c>
      <c r="DX105" s="1527">
        <f t="shared" si="623"/>
        <v>0.24065370999996105</v>
      </c>
      <c r="DY105" s="1527">
        <f t="shared" si="623"/>
        <v>13.180775980000163</v>
      </c>
      <c r="DZ105" s="1527">
        <f t="shared" si="623"/>
        <v>440.75717962000044</v>
      </c>
      <c r="EA105" s="1527">
        <f t="shared" si="623"/>
        <v>339.0035188099996</v>
      </c>
      <c r="EB105" s="1527">
        <f t="shared" si="623"/>
        <v>516.77332189000003</v>
      </c>
      <c r="EC105" s="1527">
        <f t="shared" ref="EC105:EF105" si="624">+EC74+EC77+EC92</f>
        <v>705.7668697200005</v>
      </c>
      <c r="ED105" s="1527">
        <f t="shared" si="624"/>
        <v>1406.7851836200002</v>
      </c>
      <c r="EE105" s="1527">
        <f t="shared" si="624"/>
        <v>716.82348751999984</v>
      </c>
      <c r="EF105" s="1527">
        <f t="shared" si="624"/>
        <v>-310.38565898000024</v>
      </c>
      <c r="EG105" s="949"/>
      <c r="EH105" s="1526">
        <f t="shared" ref="EH105:ES105" si="625">+EH74+EH77+EH92</f>
        <v>311.65705161000005</v>
      </c>
      <c r="EI105" s="1526">
        <f t="shared" si="625"/>
        <v>130.40768254999955</v>
      </c>
      <c r="EJ105" s="1526">
        <f t="shared" si="625"/>
        <v>902.39149163999969</v>
      </c>
      <c r="EK105" s="1526">
        <f t="shared" si="625"/>
        <v>-345.67212746999996</v>
      </c>
      <c r="EL105" s="1526">
        <f t="shared" si="625"/>
        <v>-502.23676384999987</v>
      </c>
      <c r="EM105" s="1526">
        <f t="shared" si="625"/>
        <v>-343.46025252999999</v>
      </c>
      <c r="EN105" s="1526">
        <f t="shared" si="625"/>
        <v>-334.80935718780381</v>
      </c>
      <c r="EO105" s="1526">
        <f t="shared" si="625"/>
        <v>-7.6691778905278056</v>
      </c>
      <c r="EP105" s="1526">
        <f t="shared" si="625"/>
        <v>-85.96882006002626</v>
      </c>
      <c r="EQ105" s="1526">
        <f t="shared" si="625"/>
        <v>-242.39771554160234</v>
      </c>
      <c r="ER105" s="1526">
        <f t="shared" si="625"/>
        <v>-271.59151271765239</v>
      </c>
      <c r="ES105" s="1526">
        <f t="shared" si="625"/>
        <v>-282.03987678797648</v>
      </c>
      <c r="EU105" s="1526">
        <v>525.94830104875734</v>
      </c>
      <c r="EV105" s="1526">
        <v>-365.85247704603682</v>
      </c>
      <c r="EW105" s="1526">
        <v>-276.30764389944272</v>
      </c>
      <c r="EX105" s="1526">
        <v>530.53407214958213</v>
      </c>
      <c r="EY105" s="1526">
        <v>209.46513121992473</v>
      </c>
      <c r="EZ105" s="1526">
        <v>415.96461533372644</v>
      </c>
      <c r="FA105" s="1526">
        <v>1259.400709875511</v>
      </c>
      <c r="FB105" s="1526">
        <v>2083.4263988256171</v>
      </c>
      <c r="FC105" s="1526">
        <v>1270.4307948699484</v>
      </c>
      <c r="FD105" s="1526">
        <v>1510.4310466143179</v>
      </c>
      <c r="FE105" s="1526">
        <v>1343.049084825717</v>
      </c>
      <c r="FF105" s="1526">
        <v>942.91751057935778</v>
      </c>
      <c r="FG105" s="1526">
        <f t="shared" ref="FG105:HB105" si="626">+FG74+FG77+FG92</f>
        <v>-385.87622524927866</v>
      </c>
      <c r="FH105" s="1526">
        <f t="shared" si="626"/>
        <v>-238.62395522082295</v>
      </c>
      <c r="FI105" s="1526">
        <f t="shared" si="626"/>
        <v>299.8092619376024</v>
      </c>
      <c r="FJ105" s="1526">
        <f t="shared" si="626"/>
        <v>-329.59431640424719</v>
      </c>
      <c r="FK105" s="1526">
        <f t="shared" si="626"/>
        <v>-59.836140963655623</v>
      </c>
      <c r="FL105" s="1526">
        <f t="shared" si="626"/>
        <v>158.58982735142439</v>
      </c>
      <c r="FM105" s="1526">
        <f t="shared" si="626"/>
        <v>229.60987415122318</v>
      </c>
      <c r="FN105" s="1526">
        <f t="shared" si="626"/>
        <v>307.22733514538675</v>
      </c>
      <c r="FO105" s="1526">
        <f t="shared" si="626"/>
        <v>290.73069423268532</v>
      </c>
      <c r="FP105" s="1526">
        <f t="shared" si="626"/>
        <v>330.78855411196628</v>
      </c>
      <c r="FQ105" s="1526">
        <f t="shared" si="626"/>
        <v>248.77762755559081</v>
      </c>
      <c r="FR105" s="1526">
        <f t="shared" si="626"/>
        <v>57.085976731483868</v>
      </c>
      <c r="FS105" s="1526">
        <f t="shared" si="626"/>
        <v>-28.379050554977297</v>
      </c>
      <c r="FT105" s="1526">
        <f t="shared" si="626"/>
        <v>183.8032907577429</v>
      </c>
      <c r="FU105" s="1526">
        <f t="shared" si="626"/>
        <v>162.42729941304651</v>
      </c>
      <c r="FV105" s="1526">
        <f t="shared" si="626"/>
        <v>144.62979130004669</v>
      </c>
      <c r="FW105" s="1526">
        <f t="shared" si="626"/>
        <v>133.70275300562287</v>
      </c>
      <c r="FX105" s="1526">
        <f t="shared" si="626"/>
        <v>137.99535995633477</v>
      </c>
      <c r="FY105" s="1526">
        <f t="shared" si="626"/>
        <v>154.5711894274545</v>
      </c>
      <c r="FZ105" s="1526">
        <f t="shared" si="626"/>
        <v>-92.374004685289364</v>
      </c>
      <c r="GA105" s="1526">
        <f t="shared" si="626"/>
        <v>-150.70449155583344</v>
      </c>
      <c r="GB105" s="1526">
        <f t="shared" si="626"/>
        <v>-210.33233780583333</v>
      </c>
      <c r="GC105" s="1526">
        <f t="shared" si="626"/>
        <v>-152.80129480583349</v>
      </c>
      <c r="GD105" s="1526">
        <f t="shared" si="626"/>
        <v>-208.7206547158334</v>
      </c>
      <c r="GE105" s="1526">
        <f t="shared" si="626"/>
        <v>74.208906078453396</v>
      </c>
      <c r="GF105" s="1526">
        <f t="shared" si="626"/>
        <v>-34.018674242401985</v>
      </c>
      <c r="GG105" s="1526">
        <f t="shared" si="626"/>
        <v>-83.921393626282963</v>
      </c>
      <c r="GH105" s="1526">
        <f t="shared" si="626"/>
        <v>-157.16722261023995</v>
      </c>
      <c r="GI105" s="1526">
        <f t="shared" si="626"/>
        <v>-47.612519626282818</v>
      </c>
      <c r="GJ105" s="1526">
        <f t="shared" si="626"/>
        <v>-37.027208849736297</v>
      </c>
      <c r="GK105" s="1526">
        <f t="shared" si="626"/>
        <v>12.171830310691774</v>
      </c>
      <c r="GL105" s="1526">
        <f t="shared" si="626"/>
        <v>39.289479310691377</v>
      </c>
      <c r="GM105" s="1526">
        <f t="shared" si="626"/>
        <v>65.107283087238912</v>
      </c>
      <c r="GN105" s="1526">
        <f t="shared" si="626"/>
        <v>184.48651356852181</v>
      </c>
      <c r="GO105" s="1526">
        <f t="shared" si="626"/>
        <v>252.01055388937763</v>
      </c>
      <c r="GP105" s="1526">
        <f t="shared" si="626"/>
        <v>179.56282934506899</v>
      </c>
      <c r="GQ105" s="1526">
        <f t="shared" si="626"/>
        <v>74.208906078453396</v>
      </c>
      <c r="GR105" s="1526">
        <f t="shared" si="626"/>
        <v>-34.018674242401985</v>
      </c>
      <c r="GS105" s="1526">
        <f t="shared" si="626"/>
        <v>-83.921393626282963</v>
      </c>
      <c r="GT105" s="1526">
        <f t="shared" si="626"/>
        <v>-157.16722261023995</v>
      </c>
      <c r="GU105" s="1526">
        <f t="shared" si="626"/>
        <v>-47.612519626282818</v>
      </c>
      <c r="GV105" s="1526">
        <f t="shared" si="626"/>
        <v>-37.027208849736297</v>
      </c>
      <c r="GW105" s="1526">
        <f t="shared" si="626"/>
        <v>12.171830310691774</v>
      </c>
      <c r="GX105" s="1526">
        <f t="shared" si="626"/>
        <v>39.289479310691377</v>
      </c>
      <c r="GY105" s="1526">
        <f t="shared" si="626"/>
        <v>65.107283087238912</v>
      </c>
      <c r="GZ105" s="1526">
        <f t="shared" si="626"/>
        <v>184.48651356852181</v>
      </c>
      <c r="HA105" s="1526">
        <f t="shared" si="626"/>
        <v>252.01055388937763</v>
      </c>
      <c r="HB105" s="1526">
        <f t="shared" si="626"/>
        <v>179.56282934506899</v>
      </c>
      <c r="HD105" s="1526">
        <f>+SUMIF($E$6:$AZ$6,HD$7,$E105:$AZ105)</f>
        <v>8931.55704616</v>
      </c>
      <c r="HE105" s="1526">
        <f>+SUMIF($E$6:$AZ$6,HE$7,$E105:$AZ105)</f>
        <v>8980.9896752600071</v>
      </c>
      <c r="HF105" s="1526">
        <f>+SUMIF($E$6:$AZ$6,HF$7,$E105:$AZ105)</f>
        <v>10403.76744301</v>
      </c>
      <c r="HG105" s="1526">
        <f>+SUMIF($E$6:$AZ$6,HG$7,$E105:$AZ105)</f>
        <v>-4628.3451226399993</v>
      </c>
      <c r="HH105" s="1526">
        <f>+SUMIF($E$6:$BL$6,HH$7,$E105:$BL105)</f>
        <v>-5381.4546237599998</v>
      </c>
      <c r="HI105" s="1526">
        <f>+SUMIF($E$6:$BX$6,HI$7,$E105:$BX105)</f>
        <v>1178.233008370001</v>
      </c>
      <c r="HJ105" s="1526">
        <f t="shared" si="472"/>
        <v>761.06433922000053</v>
      </c>
      <c r="HK105" s="1526">
        <f t="shared" si="473"/>
        <v>2265.9614028399988</v>
      </c>
      <c r="HL105" s="1527">
        <f>+SUMIF($E$6:SEW$6,HL$7,$E105:SEW105)</f>
        <v>134.95334016999965</v>
      </c>
      <c r="HM105" s="1527">
        <f>+SUMIF($E$6:SEX$6,HM$7,$E105:SEX105)</f>
        <v>1355.4716156599998</v>
      </c>
      <c r="HN105" s="1527">
        <f>+SUMIF($E$6:SEY$6,HN$7,$E105:SEY105)</f>
        <v>3682.1340359300007</v>
      </c>
      <c r="HO105" s="1526"/>
      <c r="HP105" s="1526"/>
      <c r="HR105" s="1528">
        <f t="shared" ref="HR105:HZ106" si="627">+IFERROR(HF105/HE105-1,"")</f>
        <v>0.15842104480637897</v>
      </c>
      <c r="HS105" s="1528">
        <f t="shared" si="627"/>
        <v>-1.4448720281372356</v>
      </c>
      <c r="HT105" s="1528">
        <f t="shared" si="627"/>
        <v>0.16271679858878541</v>
      </c>
      <c r="HU105" s="1528">
        <f t="shared" si="627"/>
        <v>-1.2189432208845374</v>
      </c>
      <c r="HV105" s="1528">
        <f t="shared" si="627"/>
        <v>-0.35406296223793865</v>
      </c>
      <c r="HW105" s="1528">
        <f t="shared" si="627"/>
        <v>1.9773585307680253</v>
      </c>
      <c r="HX105" s="1528">
        <f t="shared" si="627"/>
        <v>-0.9404432308507733</v>
      </c>
      <c r="HY105" s="1528">
        <f t="shared" si="627"/>
        <v>9.0440019784061878</v>
      </c>
      <c r="HZ105" s="1528">
        <f t="shared" si="627"/>
        <v>1.716496600437563</v>
      </c>
      <c r="IA105" s="1528">
        <f t="shared" si="604"/>
        <v>-1</v>
      </c>
      <c r="IB105" s="1528" t="str">
        <f>+IFERROR(HP105/HO105-1,"")</f>
        <v/>
      </c>
      <c r="IC105" s="1528">
        <f t="shared" si="605"/>
        <v>-1</v>
      </c>
      <c r="IE105" s="1526">
        <f>+HF105-HE105</f>
        <v>1422.7777677499926</v>
      </c>
      <c r="IF105" s="1526">
        <f>+HG105-HF105</f>
        <v>-15032.112565649999</v>
      </c>
      <c r="IG105" s="1526">
        <f>+HH105-HG105</f>
        <v>-753.10950112000046</v>
      </c>
      <c r="IH105" s="1526">
        <f>+HI105-HH105</f>
        <v>6559.6876321300006</v>
      </c>
      <c r="II105" s="1526">
        <f t="shared" si="619"/>
        <v>-417.16866915000048</v>
      </c>
      <c r="IJ105" s="1526">
        <f t="shared" si="620"/>
        <v>1504.8970636199983</v>
      </c>
      <c r="IK105" s="1526">
        <f t="shared" si="621"/>
        <v>-2131.0080626699992</v>
      </c>
      <c r="IL105" s="1526">
        <f t="shared" si="607"/>
        <v>-134.95334016999965</v>
      </c>
      <c r="IM105" s="1526">
        <f>+HP105-HO105</f>
        <v>0</v>
      </c>
      <c r="IN105" s="1526">
        <f t="shared" si="608"/>
        <v>-134.95334016999965</v>
      </c>
      <c r="IP105" s="1529">
        <f t="shared" ref="IP105:IW105" si="628">+HE105/HE$11</f>
        <v>0.24434556441115562</v>
      </c>
      <c r="IQ105" s="1529">
        <f t="shared" si="628"/>
        <v>0.26416911760156703</v>
      </c>
      <c r="IR105" s="1529">
        <f t="shared" si="628"/>
        <v>-0.27463387234761216</v>
      </c>
      <c r="IS105" s="1529">
        <f t="shared" si="628"/>
        <v>-0.87474499050149901</v>
      </c>
      <c r="IT105" s="1529">
        <f t="shared" si="628"/>
        <v>8.6451610927961262E-2</v>
      </c>
      <c r="IU105" s="1529">
        <f t="shared" si="628"/>
        <v>5.3783436549581287E-2</v>
      </c>
      <c r="IV105" s="1529">
        <f t="shared" si="628"/>
        <v>0.10673719640293332</v>
      </c>
      <c r="IW105" s="1529">
        <f t="shared" si="628"/>
        <v>1.0693704128306501E-2</v>
      </c>
      <c r="IX105" s="1529" t="e">
        <f>+HO105/HO$11</f>
        <v>#DIV/0!</v>
      </c>
      <c r="IY105" s="1529" t="e">
        <f>+HP105/HP$11</f>
        <v>#DIV/0!</v>
      </c>
      <c r="JA105" s="1526">
        <f t="shared" ref="JA105:JK105" si="629">+IFERROR(SUMIFS($E105:$EG105,$E$6:$EG$6,JA$7,$E$5:$EG$5,"&lt;="&amp;$JC$5),"NA")</f>
        <v>8931.55704616</v>
      </c>
      <c r="JB105" s="1526">
        <f t="shared" si="629"/>
        <v>8980.9896752600071</v>
      </c>
      <c r="JC105" s="1526">
        <f t="shared" si="629"/>
        <v>10403.76744301</v>
      </c>
      <c r="JD105" s="1526">
        <f t="shared" si="629"/>
        <v>-4628.3451226399993</v>
      </c>
      <c r="JE105" s="1526">
        <f t="shared" si="629"/>
        <v>-5381.4546237599998</v>
      </c>
      <c r="JF105" s="1526">
        <f t="shared" si="629"/>
        <v>1178.233008370001</v>
      </c>
      <c r="JG105" s="1526">
        <f t="shared" si="629"/>
        <v>761.06433922000053</v>
      </c>
      <c r="JH105" s="1526">
        <f t="shared" si="629"/>
        <v>2265.9614028399988</v>
      </c>
      <c r="JI105" s="1526">
        <f t="shared" si="629"/>
        <v>134.95334016999965</v>
      </c>
      <c r="JJ105" s="1526">
        <f t="shared" si="629"/>
        <v>1355.4716156599998</v>
      </c>
      <c r="JK105" s="1526">
        <f t="shared" si="629"/>
        <v>3682.1340359300007</v>
      </c>
      <c r="JL105" s="1526">
        <f>+SUMIF($DU$5:$EF$5,"&lt;="&amp;$JC$5,$DU105:$EF105)</f>
        <v>3682.1340359300007</v>
      </c>
      <c r="JM105" s="1526"/>
      <c r="JN105" s="1526"/>
      <c r="JP105" s="1526">
        <f>+JL105</f>
        <v>3682.1340359300007</v>
      </c>
      <c r="JQ105" s="1526">
        <f>+JM105</f>
        <v>0</v>
      </c>
      <c r="JR105" s="939"/>
      <c r="JS105" s="1528" t="str">
        <f>+IFERROR(JP105/JQ105,"")</f>
        <v/>
      </c>
      <c r="JT105" s="1530">
        <f>+IFERROR(JP105-JQ105,"NA")</f>
        <v>3682.1340359300007</v>
      </c>
      <c r="JV105" s="1529">
        <f>+JP105/JP$11</f>
        <v>0.1219589931883321</v>
      </c>
      <c r="JW105" s="1528" t="str">
        <f>+IFERROR(JQ105/JQ$11,"")</f>
        <v/>
      </c>
      <c r="JY105" s="1529">
        <f t="shared" ref="JY105:KE105" si="630">+IFERROR(JC105/JB105-1,"NA")</f>
        <v>0.15842104480637897</v>
      </c>
      <c r="JZ105" s="1529">
        <f t="shared" si="630"/>
        <v>-1.4448720281372356</v>
      </c>
      <c r="KA105" s="1529">
        <f t="shared" si="630"/>
        <v>0.16271679858878541</v>
      </c>
      <c r="KB105" s="1529">
        <f t="shared" si="630"/>
        <v>-1.2189432208845374</v>
      </c>
      <c r="KC105" s="1529">
        <f t="shared" si="630"/>
        <v>-0.35406296223793865</v>
      </c>
      <c r="KD105" s="1529">
        <f t="shared" si="630"/>
        <v>1.9773585307680253</v>
      </c>
      <c r="KE105" s="1529">
        <f t="shared" si="630"/>
        <v>-0.9404432308507733</v>
      </c>
      <c r="KF105" s="1529">
        <f>+IFERROR(JN105/JI105-1,"NA")</f>
        <v>-1</v>
      </c>
      <c r="KH105" s="1526">
        <f t="shared" ref="KH105:KN105" si="631">+JC105-JB105</f>
        <v>1422.7777677499926</v>
      </c>
      <c r="KI105" s="1526">
        <f t="shared" si="631"/>
        <v>-15032.112565649999</v>
      </c>
      <c r="KJ105" s="1526">
        <f t="shared" si="631"/>
        <v>-753.10950112000046</v>
      </c>
      <c r="KK105" s="1526">
        <f t="shared" si="631"/>
        <v>6559.6876321300006</v>
      </c>
      <c r="KL105" s="1526">
        <f t="shared" si="631"/>
        <v>-417.16866915000048</v>
      </c>
      <c r="KM105" s="1526">
        <f t="shared" si="631"/>
        <v>1504.8970636199983</v>
      </c>
      <c r="KN105" s="1526">
        <f t="shared" si="631"/>
        <v>-2131.0080626699992</v>
      </c>
      <c r="KO105" s="1526">
        <f>+JN105-JI105</f>
        <v>-134.95334016999965</v>
      </c>
      <c r="KQ105" s="1529">
        <f t="shared" ref="KQ105:KY105" si="632">+JA105/JA$11</f>
        <v>0.24617476574052094</v>
      </c>
      <c r="KR105" s="1529">
        <f t="shared" si="632"/>
        <v>0.24434556441115562</v>
      </c>
      <c r="KS105" s="1529">
        <f t="shared" si="632"/>
        <v>0.26416911760156703</v>
      </c>
      <c r="KT105" s="1529">
        <f t="shared" si="632"/>
        <v>-0.27463387234761216</v>
      </c>
      <c r="KU105" s="1529">
        <f t="shared" si="632"/>
        <v>-0.87474499050149901</v>
      </c>
      <c r="KV105" s="1529">
        <f t="shared" si="632"/>
        <v>8.6451610927961262E-2</v>
      </c>
      <c r="KW105" s="1529">
        <f t="shared" si="632"/>
        <v>5.3783436549581287E-2</v>
      </c>
      <c r="KX105" s="1529">
        <f t="shared" si="632"/>
        <v>0.10673719640293332</v>
      </c>
      <c r="KY105" s="1529">
        <f t="shared" si="632"/>
        <v>1.0693704128306501E-2</v>
      </c>
      <c r="KZ105" s="1529" t="e">
        <f>+JN105/JN$11</f>
        <v>#DIV/0!</v>
      </c>
      <c r="LB105" s="1526">
        <f t="shared" ref="LB105:LM105" si="633">+SUMIFS($E105:$EG105,$E$6:$EG$6,LB$7,$E$5:$EG$5,$LD$5)</f>
        <v>49.867575789998256</v>
      </c>
      <c r="LC105" s="1526">
        <f t="shared" si="633"/>
        <v>3058.3552988100078</v>
      </c>
      <c r="LD105" s="1526">
        <f t="shared" si="633"/>
        <v>794.34297645999823</v>
      </c>
      <c r="LE105" s="1526">
        <f t="shared" si="633"/>
        <v>-1093.004841019999</v>
      </c>
      <c r="LF105" s="1526">
        <f t="shared" si="633"/>
        <v>-408.89573148999972</v>
      </c>
      <c r="LG105" s="1526">
        <f t="shared" si="633"/>
        <v>-64.510605569999683</v>
      </c>
      <c r="LH105" s="1526">
        <f t="shared" si="633"/>
        <v>229.48729348999981</v>
      </c>
      <c r="LI105" s="1526">
        <f t="shared" si="633"/>
        <v>-166.90003843000034</v>
      </c>
      <c r="LJ105" s="1526">
        <f t="shared" si="633"/>
        <v>62.099123049999889</v>
      </c>
      <c r="LK105" s="1526">
        <f t="shared" si="633"/>
        <v>-60.61126118000044</v>
      </c>
      <c r="LL105" s="1526">
        <f t="shared" si="633"/>
        <v>-310.38565898000024</v>
      </c>
      <c r="LM105" s="1526">
        <f t="shared" si="633"/>
        <v>-310.38565898000024</v>
      </c>
      <c r="LN105" s="1526"/>
      <c r="LO105" s="1526"/>
      <c r="LR105" s="1529">
        <f t="shared" ref="LR105:LW105" si="634">+IFERROR(LD105/LC105-1," ")</f>
        <v>-0.7402711919151207</v>
      </c>
      <c r="LS105" s="1529">
        <f t="shared" si="634"/>
        <v>-2.3759860329992368</v>
      </c>
      <c r="LT105" s="1529">
        <f t="shared" si="634"/>
        <v>-0.6258976025134384</v>
      </c>
      <c r="LU105" s="1529">
        <f t="shared" si="634"/>
        <v>-0.84223213743287162</v>
      </c>
      <c r="LV105" s="1529">
        <f t="shared" si="634"/>
        <v>-4.5573576075175097</v>
      </c>
      <c r="LW105" s="1529">
        <f t="shared" si="634"/>
        <v>-1.7272735491879128</v>
      </c>
      <c r="LX105" s="1529">
        <f>+IFERROR(LO105/LI105-1," ")</f>
        <v>-1</v>
      </c>
      <c r="LZ105" s="1526">
        <f t="shared" ref="LZ105:ME105" si="635">+LD105-LC105</f>
        <v>-2264.0123223500095</v>
      </c>
      <c r="MA105" s="1526">
        <f t="shared" si="635"/>
        <v>-1887.3478174799973</v>
      </c>
      <c r="MB105" s="1526">
        <f t="shared" si="635"/>
        <v>684.10910952999939</v>
      </c>
      <c r="MC105" s="1526">
        <f t="shared" si="635"/>
        <v>344.38512592000006</v>
      </c>
      <c r="MD105" s="1526">
        <f t="shared" si="635"/>
        <v>293.9978990599995</v>
      </c>
      <c r="ME105" s="1526">
        <f t="shared" si="635"/>
        <v>-396.38733192000018</v>
      </c>
      <c r="MF105" s="1526">
        <f>+LO105-LI105</f>
        <v>166.90003843000034</v>
      </c>
      <c r="MH105" s="1529">
        <f t="shared" ref="MH105:MO105" si="636">+LB105/LB$11</f>
        <v>1.6626159493791239E-2</v>
      </c>
      <c r="MI105" s="1529">
        <f t="shared" si="636"/>
        <v>0.55468655650364829</v>
      </c>
      <c r="MJ105" s="1529">
        <f t="shared" si="636"/>
        <v>0.15495905500758872</v>
      </c>
      <c r="MK105" s="1529">
        <f t="shared" si="636"/>
        <v>-1.8803680201741702</v>
      </c>
      <c r="ML105" s="1529">
        <f t="shared" si="636"/>
        <v>-0.27142832298518615</v>
      </c>
      <c r="MM105" s="1529">
        <f t="shared" si="636"/>
        <v>-6.2711811084041946E-2</v>
      </c>
      <c r="MN105" s="1529">
        <f t="shared" si="636"/>
        <v>0.1475790520461096</v>
      </c>
      <c r="MO105" s="1529">
        <f t="shared" si="636"/>
        <v>-8.8682471183264042E-2</v>
      </c>
      <c r="MP105" s="1529" t="e">
        <f>+LO105/LO$11</f>
        <v>#DIV/0!</v>
      </c>
    </row>
    <row r="106" spans="1:354">
      <c r="A106" s="867"/>
      <c r="B106" s="71"/>
      <c r="C106" s="943" t="s">
        <v>104</v>
      </c>
      <c r="D106" s="944" t="s">
        <v>35</v>
      </c>
      <c r="E106" s="945">
        <f t="shared" ref="E106:AN106" si="637">IFERROR(+E105/E$11,0)</f>
        <v>-1.6143413205548109</v>
      </c>
      <c r="F106" s="945">
        <f t="shared" si="637"/>
        <v>0.35091046361366635</v>
      </c>
      <c r="G106" s="945">
        <f t="shared" si="637"/>
        <v>0.12610033649792066</v>
      </c>
      <c r="H106" s="945">
        <f t="shared" si="637"/>
        <v>0.20320863728405139</v>
      </c>
      <c r="I106" s="945">
        <f t="shared" si="637"/>
        <v>0.41170203588403337</v>
      </c>
      <c r="J106" s="945">
        <f t="shared" si="637"/>
        <v>0.16447396970613726</v>
      </c>
      <c r="K106" s="945">
        <f t="shared" si="637"/>
        <v>0.23037897129255444</v>
      </c>
      <c r="L106" s="945">
        <f t="shared" si="637"/>
        <v>0.41860826566977577</v>
      </c>
      <c r="M106" s="945">
        <f t="shared" si="637"/>
        <v>0.4304475001770518</v>
      </c>
      <c r="N106" s="945">
        <f t="shared" si="637"/>
        <v>0.27907979413557493</v>
      </c>
      <c r="O106" s="945">
        <f t="shared" si="637"/>
        <v>0.43017872890295045</v>
      </c>
      <c r="P106" s="945">
        <f t="shared" si="637"/>
        <v>1.6626159493791239E-2</v>
      </c>
      <c r="Q106" s="945">
        <f t="shared" si="637"/>
        <v>-0.17776753340643597</v>
      </c>
      <c r="R106" s="945">
        <f t="shared" si="637"/>
        <v>0.37280408559115652</v>
      </c>
      <c r="S106" s="945">
        <f t="shared" si="637"/>
        <v>-9.0615014916048425E-2</v>
      </c>
      <c r="T106" s="945">
        <f t="shared" si="637"/>
        <v>-0.35184013434197287</v>
      </c>
      <c r="U106" s="945">
        <f t="shared" si="637"/>
        <v>0.36658204066382827</v>
      </c>
      <c r="V106" s="945">
        <f t="shared" si="637"/>
        <v>0.34488758149916543</v>
      </c>
      <c r="W106" s="945">
        <f t="shared" si="637"/>
        <v>0.20530886085257144</v>
      </c>
      <c r="X106" s="945">
        <f t="shared" si="637"/>
        <v>0.30461384163963451</v>
      </c>
      <c r="Y106" s="945">
        <f t="shared" si="637"/>
        <v>-0.50289033277719863</v>
      </c>
      <c r="Z106" s="945">
        <f t="shared" si="637"/>
        <v>1.4077673344491361E-2</v>
      </c>
      <c r="AA106" s="945">
        <f t="shared" si="637"/>
        <v>0.49662557733376128</v>
      </c>
      <c r="AB106" s="945">
        <f t="shared" si="637"/>
        <v>0.55468655650364829</v>
      </c>
      <c r="AC106" s="945">
        <f t="shared" si="637"/>
        <v>-0.30134485456876203</v>
      </c>
      <c r="AD106" s="945">
        <f t="shared" si="637"/>
        <v>0.45118841636870027</v>
      </c>
      <c r="AE106" s="945">
        <f t="shared" si="637"/>
        <v>0.14878312651767245</v>
      </c>
      <c r="AF106" s="945">
        <f t="shared" si="637"/>
        <v>0.25422265319358173</v>
      </c>
      <c r="AG106" s="945">
        <f t="shared" si="637"/>
        <v>0.22554905428584041</v>
      </c>
      <c r="AH106" s="945">
        <f t="shared" si="637"/>
        <v>0.16889513369577178</v>
      </c>
      <c r="AI106" s="945">
        <f t="shared" si="637"/>
        <v>0.10712698210926212</v>
      </c>
      <c r="AJ106" s="945">
        <f t="shared" si="637"/>
        <v>0.21780439884984645</v>
      </c>
      <c r="AK106" s="945">
        <f t="shared" si="637"/>
        <v>0.28791001282421358</v>
      </c>
      <c r="AL106" s="945">
        <f t="shared" si="637"/>
        <v>0.32596637732595068</v>
      </c>
      <c r="AM106" s="945">
        <f t="shared" si="637"/>
        <v>0.54066139872439467</v>
      </c>
      <c r="AN106" s="945">
        <f t="shared" si="637"/>
        <v>0.15495905500758872</v>
      </c>
      <c r="AO106" s="945">
        <f>IFERROR(+AO105/AO$11,0)</f>
        <v>0.39165028489809611</v>
      </c>
      <c r="AP106" s="945">
        <f t="shared" ref="AP106:AZ106" si="638">IFERROR(+AP105/AP$11,0)</f>
        <v>-0.38557384359628011</v>
      </c>
      <c r="AQ106" s="945">
        <f t="shared" si="638"/>
        <v>-0.11069322055882855</v>
      </c>
      <c r="AR106" s="945">
        <f t="shared" si="638"/>
        <v>-0.53244280711490433</v>
      </c>
      <c r="AS106" s="945">
        <f t="shared" si="638"/>
        <v>-1.0721759160825672</v>
      </c>
      <c r="AT106" s="945">
        <f t="shared" si="638"/>
        <v>-1.2440138466307449</v>
      </c>
      <c r="AU106" s="945">
        <f t="shared" si="638"/>
        <v>8.2374956595611198E-2</v>
      </c>
      <c r="AV106" s="945">
        <f t="shared" si="638"/>
        <v>-9.350220620240917E-3</v>
      </c>
      <c r="AW106" s="945">
        <f t="shared" si="638"/>
        <v>-0.17778098493594344</v>
      </c>
      <c r="AX106" s="945">
        <f t="shared" si="638"/>
        <v>-2.8276328419917264E-2</v>
      </c>
      <c r="AY106" s="945">
        <f t="shared" si="638"/>
        <v>-0.61682421225302697</v>
      </c>
      <c r="AZ106" s="945">
        <f t="shared" si="638"/>
        <v>-1.8803680201741702</v>
      </c>
      <c r="BA106" s="945">
        <v>-0.34709403882467099</v>
      </c>
      <c r="BB106" s="945">
        <v>-1.7700230670908725</v>
      </c>
      <c r="BC106" s="945">
        <v>-3.8893570086565536</v>
      </c>
      <c r="BD106" s="945">
        <v>-6.7616439832499022</v>
      </c>
      <c r="BE106" s="945">
        <v>-0.91827311369968401</v>
      </c>
      <c r="BF106" s="945">
        <v>-2.8514345813840816</v>
      </c>
      <c r="BG106" s="945">
        <v>-1.3477573610762315</v>
      </c>
      <c r="BH106" s="945">
        <v>-0.93758965492287993</v>
      </c>
      <c r="BI106" s="945">
        <v>-0.48238218146368611</v>
      </c>
      <c r="BJ106" s="945">
        <v>-0.3823952774529899</v>
      </c>
      <c r="BK106" s="945">
        <v>-5.3119969086414968E-2</v>
      </c>
      <c r="BL106" s="945">
        <v>-7.4822873237136406E-2</v>
      </c>
      <c r="BM106" s="945">
        <f t="shared" ref="BM106:DX106" si="639">IFERROR(+BM105/BM$11,0)</f>
        <v>0.10383315839461715</v>
      </c>
      <c r="BN106" s="945">
        <f t="shared" si="639"/>
        <v>0.11942659886874961</v>
      </c>
      <c r="BO106" s="945">
        <f t="shared" si="639"/>
        <v>8.2270409243560175E-2</v>
      </c>
      <c r="BP106" s="945">
        <f t="shared" si="639"/>
        <v>0.20293754855573604</v>
      </c>
      <c r="BQ106" s="945">
        <f t="shared" si="639"/>
        <v>-1.1607451860024629E-2</v>
      </c>
      <c r="BR106" s="945">
        <f t="shared" si="639"/>
        <v>8.8889240543571349E-2</v>
      </c>
      <c r="BS106" s="945">
        <f t="shared" si="639"/>
        <v>5.570380602430184E-2</v>
      </c>
      <c r="BT106" s="945">
        <f t="shared" si="639"/>
        <v>3.816001897816447E-2</v>
      </c>
      <c r="BU106" s="945">
        <f t="shared" si="639"/>
        <v>-4.9582730531920964E-2</v>
      </c>
      <c r="BV106" s="945">
        <f t="shared" si="639"/>
        <v>0.21462335585608833</v>
      </c>
      <c r="BW106" s="945">
        <f t="shared" si="639"/>
        <v>0.14327672268857741</v>
      </c>
      <c r="BX106" s="945">
        <f t="shared" si="639"/>
        <v>-6.2711811084041946E-2</v>
      </c>
      <c r="BY106" s="945">
        <f t="shared" si="639"/>
        <v>-0.15906320893013939</v>
      </c>
      <c r="BZ106" s="945">
        <f t="shared" si="639"/>
        <v>2.1453840498341849E-2</v>
      </c>
      <c r="CA106" s="945">
        <f t="shared" si="639"/>
        <v>-6.4218514755915418E-2</v>
      </c>
      <c r="CB106" s="945">
        <f t="shared" si="639"/>
        <v>-0.11233473136896861</v>
      </c>
      <c r="CC106" s="945">
        <f t="shared" si="639"/>
        <v>-0.21302196637912035</v>
      </c>
      <c r="CD106" s="945">
        <f t="shared" si="639"/>
        <v>-2.0616132930164864E-2</v>
      </c>
      <c r="CE106" s="945">
        <f t="shared" si="639"/>
        <v>-0.14363572189470841</v>
      </c>
      <c r="CF106" s="945">
        <f t="shared" si="639"/>
        <v>0.28975051230451132</v>
      </c>
      <c r="CG106" s="945">
        <f t="shared" si="639"/>
        <v>-3.6678834899741358E-2</v>
      </c>
      <c r="CH106" s="945">
        <f t="shared" si="639"/>
        <v>0.10833658379488366</v>
      </c>
      <c r="CI106" s="945">
        <f t="shared" si="639"/>
        <v>0.28509349561288894</v>
      </c>
      <c r="CJ106" s="945">
        <f t="shared" si="639"/>
        <v>0.1475790520461096</v>
      </c>
      <c r="CK106" s="945">
        <f t="shared" si="639"/>
        <v>7.2916996346217955E-2</v>
      </c>
      <c r="CL106" s="945">
        <f t="shared" si="639"/>
        <v>-0.13163005363540542</v>
      </c>
      <c r="CM106" s="945">
        <f t="shared" si="639"/>
        <v>0.2240280159639067</v>
      </c>
      <c r="CN106" s="945">
        <f t="shared" si="639"/>
        <v>8.6799682597530278E-2</v>
      </c>
      <c r="CO106" s="945">
        <f t="shared" si="639"/>
        <v>0.24249015842366298</v>
      </c>
      <c r="CP106" s="945">
        <f t="shared" si="639"/>
        <v>-3.1387731343879587E-2</v>
      </c>
      <c r="CQ106" s="945">
        <f t="shared" si="639"/>
        <v>3.4267564427709271E-2</v>
      </c>
      <c r="CR106" s="945">
        <f t="shared" si="639"/>
        <v>0.15472580133518557</v>
      </c>
      <c r="CS106" s="945">
        <f t="shared" si="639"/>
        <v>0.1237622715864993</v>
      </c>
      <c r="CT106" s="945">
        <f t="shared" si="639"/>
        <v>0.28638020612552428</v>
      </c>
      <c r="CU106" s="945">
        <f t="shared" si="639"/>
        <v>0.15391058889885534</v>
      </c>
      <c r="CV106" s="945">
        <f t="shared" si="639"/>
        <v>-8.8682471183264042E-2</v>
      </c>
      <c r="CW106" s="945">
        <f t="shared" si="639"/>
        <v>0.15979142349008343</v>
      </c>
      <c r="CX106" s="945">
        <f t="shared" si="639"/>
        <v>8.2209263343924158E-2</v>
      </c>
      <c r="CY106" s="945">
        <f t="shared" si="639"/>
        <v>0.4867568105084904</v>
      </c>
      <c r="CZ106" s="945">
        <f t="shared" si="639"/>
        <v>-0.96342415481086952</v>
      </c>
      <c r="DA106" s="945">
        <f t="shared" si="639"/>
        <v>-1.313231310926277</v>
      </c>
      <c r="DB106" s="945">
        <f t="shared" si="639"/>
        <v>-0.92616569572864571</v>
      </c>
      <c r="DC106" s="945">
        <f t="shared" si="639"/>
        <v>-0.88535911027589176</v>
      </c>
      <c r="DD106" s="945">
        <f t="shared" si="639"/>
        <v>0.20257655050631601</v>
      </c>
      <c r="DE106" s="945">
        <f t="shared" si="639"/>
        <v>0.16260607699590349</v>
      </c>
      <c r="DF106" s="945">
        <f t="shared" si="639"/>
        <v>0.20479017231013918</v>
      </c>
      <c r="DG106" s="945">
        <f t="shared" si="639"/>
        <v>-0.33256606797907762</v>
      </c>
      <c r="DH106" s="945">
        <f t="shared" si="639"/>
        <v>5.2148276774868822E-2</v>
      </c>
      <c r="DI106" s="945">
        <f t="shared" si="639"/>
        <v>5.5568201775534121E-2</v>
      </c>
      <c r="DJ106" s="945">
        <f t="shared" si="639"/>
        <v>-0.19571979951491661</v>
      </c>
      <c r="DK106" s="945">
        <f t="shared" si="639"/>
        <v>9.8345244165310972E-2</v>
      </c>
      <c r="DL106" s="945">
        <f t="shared" si="639"/>
        <v>0.16893956015416284</v>
      </c>
      <c r="DM106" s="945">
        <f t="shared" si="639"/>
        <v>0.10967943194634669</v>
      </c>
      <c r="DN106" s="945">
        <f t="shared" si="639"/>
        <v>1.1417022275229774E-2</v>
      </c>
      <c r="DO106" s="945">
        <f t="shared" si="639"/>
        <v>0.12255379473296088</v>
      </c>
      <c r="DP106" s="945">
        <f t="shared" si="639"/>
        <v>0.19137947291559498</v>
      </c>
      <c r="DQ106" s="945">
        <f t="shared" si="639"/>
        <v>0.11978394056587077</v>
      </c>
      <c r="DR106" s="945">
        <f t="shared" si="639"/>
        <v>0.1503928579295217</v>
      </c>
      <c r="DS106" s="945">
        <f t="shared" si="639"/>
        <v>0.18183045329391126</v>
      </c>
      <c r="DT106" s="945">
        <f t="shared" si="639"/>
        <v>-3.1977050733951247E-2</v>
      </c>
      <c r="DU106" s="945">
        <f t="shared" si="639"/>
        <v>0.15442317176811055</v>
      </c>
      <c r="DV106" s="945">
        <f t="shared" si="639"/>
        <v>-0.28358278938106035</v>
      </c>
      <c r="DW106" s="945">
        <f t="shared" si="639"/>
        <v>-3.6977373647393126E-2</v>
      </c>
      <c r="DX106" s="945">
        <f t="shared" si="639"/>
        <v>1.6077078183169156E-4</v>
      </c>
      <c r="DY106" s="945">
        <f t="shared" ref="DY106:EF106" si="640">IFERROR(+DY105/DY$11,0)</f>
        <v>7.9883691434894481E-3</v>
      </c>
      <c r="DZ106" s="945">
        <f t="shared" si="640"/>
        <v>0.17948187917293776</v>
      </c>
      <c r="EA106" s="945">
        <f t="shared" si="640"/>
        <v>0.16443358218105783</v>
      </c>
      <c r="EB106" s="945">
        <f t="shared" si="640"/>
        <v>0.19891833592331648</v>
      </c>
      <c r="EC106" s="945">
        <f t="shared" si="640"/>
        <v>0.24440764862922956</v>
      </c>
      <c r="ED106" s="945">
        <f t="shared" si="640"/>
        <v>0.35499204030858805</v>
      </c>
      <c r="EE106" s="945">
        <f t="shared" si="640"/>
        <v>0.17316782157450855</v>
      </c>
      <c r="EF106" s="945">
        <f t="shared" si="640"/>
        <v>-7.5669703524427354E-2</v>
      </c>
      <c r="EH106" s="945">
        <f t="shared" ref="EH106:ES106" si="641">IFERROR(+EH105/EH$11,0)</f>
        <v>0.15979142349008343</v>
      </c>
      <c r="EI106" s="945">
        <f t="shared" si="641"/>
        <v>8.2212886335597132E-2</v>
      </c>
      <c r="EJ106" s="945">
        <f t="shared" si="641"/>
        <v>0.48675681050849018</v>
      </c>
      <c r="EK106" s="945">
        <f t="shared" si="641"/>
        <v>-0.96342415481086985</v>
      </c>
      <c r="EL106" s="945">
        <f t="shared" si="641"/>
        <v>-1.3132313109262774</v>
      </c>
      <c r="EM106" s="945">
        <f t="shared" si="641"/>
        <v>-0.9261656957286456</v>
      </c>
      <c r="EN106" s="945">
        <f t="shared" si="641"/>
        <v>-0.67958958152437499</v>
      </c>
      <c r="EO106" s="945">
        <f t="shared" si="641"/>
        <v>-8.6904557228668234E-3</v>
      </c>
      <c r="EP106" s="945">
        <f t="shared" si="641"/>
        <v>-0.10686589336395652</v>
      </c>
      <c r="EQ106" s="945">
        <f t="shared" si="641"/>
        <v>-0.42386909240626502</v>
      </c>
      <c r="ER106" s="945">
        <f t="shared" si="641"/>
        <v>-0.54573754517451467</v>
      </c>
      <c r="ES106" s="945">
        <f t="shared" si="641"/>
        <v>-0.54223180107904378</v>
      </c>
      <c r="EU106" s="945">
        <v>0.18537554188478222</v>
      </c>
      <c r="EV106" s="945">
        <v>-0.26262586436578461</v>
      </c>
      <c r="EW106" s="945">
        <v>-0.15373251651516945</v>
      </c>
      <c r="EX106" s="945">
        <v>0.20415196194907534</v>
      </c>
      <c r="EY106" s="945">
        <v>0.10156322583855555</v>
      </c>
      <c r="EZ106" s="945">
        <v>0.17587530374802465</v>
      </c>
      <c r="FA106" s="945">
        <v>0.34488260306014767</v>
      </c>
      <c r="FB106" s="945">
        <v>0.45749095197022982</v>
      </c>
      <c r="FC106" s="945">
        <v>0.35440001854144609</v>
      </c>
      <c r="FD106" s="945">
        <v>0.38387058634555382</v>
      </c>
      <c r="FE106" s="945">
        <v>0.36740158014769803</v>
      </c>
      <c r="FF106" s="945">
        <v>0.23529480289129578</v>
      </c>
      <c r="FG106" s="945">
        <f t="shared" ref="FG106:HB106" si="642">IFERROR(+FG105/FG$11,0)</f>
        <v>-0.73268516308079512</v>
      </c>
      <c r="FH106" s="945">
        <f t="shared" si="642"/>
        <v>-0.23602762037418062</v>
      </c>
      <c r="FI106" s="945">
        <f t="shared" si="642"/>
        <v>0.28412314976434949</v>
      </c>
      <c r="FJ106" s="945">
        <f t="shared" si="642"/>
        <v>-0.32900136824089493</v>
      </c>
      <c r="FK106" s="945">
        <f t="shared" si="642"/>
        <v>-5.3303426469009332E-2</v>
      </c>
      <c r="FL106" s="945">
        <f t="shared" si="642"/>
        <v>0.10284318556957688</v>
      </c>
      <c r="FM106" s="945">
        <f t="shared" si="642"/>
        <v>0.14100554726875777</v>
      </c>
      <c r="FN106" s="945">
        <f t="shared" si="642"/>
        <v>0.17834768843826457</v>
      </c>
      <c r="FO106" s="945">
        <f t="shared" si="642"/>
        <v>0.16572027047509152</v>
      </c>
      <c r="FP106" s="945">
        <f t="shared" si="642"/>
        <v>0.18692912817715729</v>
      </c>
      <c r="FQ106" s="945">
        <f t="shared" si="642"/>
        <v>0.15561199649093974</v>
      </c>
      <c r="FR106" s="945">
        <f t="shared" si="642"/>
        <v>4.9456352787849225E-2</v>
      </c>
      <c r="FS106" s="945">
        <f t="shared" si="642"/>
        <v>-2.9660370554637595E-2</v>
      </c>
      <c r="FT106" s="945">
        <f t="shared" si="642"/>
        <v>0.16367727156275236</v>
      </c>
      <c r="FU106" s="945">
        <f t="shared" si="642"/>
        <v>0.14142666202821633</v>
      </c>
      <c r="FV106" s="945">
        <f t="shared" si="642"/>
        <v>0.13873895350886326</v>
      </c>
      <c r="FW106" s="945">
        <f t="shared" si="642"/>
        <v>0.12028395930567326</v>
      </c>
      <c r="FX106" s="945">
        <f t="shared" si="642"/>
        <v>0.14398065748508851</v>
      </c>
      <c r="FY106" s="945">
        <f t="shared" si="642"/>
        <v>0.14316114045109701</v>
      </c>
      <c r="FZ106" s="945">
        <f t="shared" si="642"/>
        <v>-0.12649630782266988</v>
      </c>
      <c r="GA106" s="945">
        <f t="shared" si="642"/>
        <v>-0.27364744937279672</v>
      </c>
      <c r="GB106" s="945">
        <f t="shared" si="642"/>
        <v>-0.46942371710763692</v>
      </c>
      <c r="GC106" s="945">
        <f t="shared" si="642"/>
        <v>-0.29212007946408181</v>
      </c>
      <c r="GD106" s="945">
        <f t="shared" si="642"/>
        <v>-0.43839943271189152</v>
      </c>
      <c r="GE106" s="945">
        <f t="shared" si="642"/>
        <v>5.0668481553938313E-2</v>
      </c>
      <c r="GF106" s="947">
        <f t="shared" si="642"/>
        <v>-2.8200910921938785E-2</v>
      </c>
      <c r="GG106" s="947">
        <f t="shared" si="642"/>
        <v>-7.5813654023994884E-2</v>
      </c>
      <c r="GH106" s="947">
        <f t="shared" si="642"/>
        <v>-0.16231940277367929</v>
      </c>
      <c r="GI106" s="947">
        <f t="shared" si="642"/>
        <v>-4.1394437621234091E-2</v>
      </c>
      <c r="GJ106" s="947">
        <f t="shared" si="642"/>
        <v>-3.1793234845930975E-2</v>
      </c>
      <c r="GK106" s="947">
        <f t="shared" si="642"/>
        <v>9.560022581424122E-3</v>
      </c>
      <c r="GL106" s="947">
        <f t="shared" si="642"/>
        <v>3.0378024938834423E-2</v>
      </c>
      <c r="GM106" s="947">
        <f t="shared" si="642"/>
        <v>4.9596026581744994E-2</v>
      </c>
      <c r="GN106" s="947">
        <f t="shared" si="642"/>
        <v>0.11896185047789523</v>
      </c>
      <c r="GO106" s="947">
        <f t="shared" si="642"/>
        <v>0.14892550838756927</v>
      </c>
      <c r="GP106" s="947">
        <f t="shared" si="642"/>
        <v>0.11591735972940281</v>
      </c>
      <c r="GQ106" s="945">
        <f t="shared" si="642"/>
        <v>5.0668481553938313E-2</v>
      </c>
      <c r="GR106" s="947">
        <f t="shared" si="642"/>
        <v>-2.8200910921938785E-2</v>
      </c>
      <c r="GS106" s="947">
        <f t="shared" si="642"/>
        <v>-7.5813654023994884E-2</v>
      </c>
      <c r="GT106" s="947">
        <f t="shared" si="642"/>
        <v>-0.16231940277367929</v>
      </c>
      <c r="GU106" s="947">
        <f t="shared" si="642"/>
        <v>-4.1394437621234091E-2</v>
      </c>
      <c r="GV106" s="947">
        <f t="shared" si="642"/>
        <v>-3.1793234845930975E-2</v>
      </c>
      <c r="GW106" s="947">
        <f t="shared" si="642"/>
        <v>9.560022581424122E-3</v>
      </c>
      <c r="GX106" s="947">
        <f t="shared" si="642"/>
        <v>3.0378024938834423E-2</v>
      </c>
      <c r="GY106" s="947">
        <f t="shared" si="642"/>
        <v>4.9596026581744994E-2</v>
      </c>
      <c r="GZ106" s="947">
        <f t="shared" si="642"/>
        <v>0.11896185047789523</v>
      </c>
      <c r="HA106" s="947">
        <f t="shared" si="642"/>
        <v>0.14892550838756927</v>
      </c>
      <c r="HB106" s="947">
        <f t="shared" si="642"/>
        <v>0.11591735972940281</v>
      </c>
      <c r="HD106" s="947">
        <f t="shared" ref="HD106:HN106" si="643">+IFERROR(HD105/HD$11,"")</f>
        <v>0.24617476574052094</v>
      </c>
      <c r="HE106" s="947">
        <f t="shared" si="643"/>
        <v>0.24434556441115562</v>
      </c>
      <c r="HF106" s="947">
        <f t="shared" si="643"/>
        <v>0.26416911760156703</v>
      </c>
      <c r="HG106" s="947">
        <f t="shared" si="643"/>
        <v>-0.27463387234761216</v>
      </c>
      <c r="HH106" s="947">
        <f t="shared" si="643"/>
        <v>-0.87474499050149901</v>
      </c>
      <c r="HI106" s="947">
        <f t="shared" si="643"/>
        <v>8.6451610927961262E-2</v>
      </c>
      <c r="HJ106" s="947">
        <f t="shared" si="643"/>
        <v>5.3783436549581287E-2</v>
      </c>
      <c r="HK106" s="947">
        <f t="shared" si="643"/>
        <v>0.10673719640293332</v>
      </c>
      <c r="HL106" s="947">
        <f t="shared" si="643"/>
        <v>1.0693704128306501E-2</v>
      </c>
      <c r="HM106" s="947">
        <f t="shared" si="643"/>
        <v>8.9707802124318919E-2</v>
      </c>
      <c r="HN106" s="947">
        <f t="shared" si="643"/>
        <v>0.1219589931883321</v>
      </c>
      <c r="HO106" s="947"/>
      <c r="HP106" s="947"/>
      <c r="HR106" s="947">
        <f t="shared" si="627"/>
        <v>8.1129171459215499E-2</v>
      </c>
      <c r="HS106" s="947">
        <f t="shared" si="627"/>
        <v>-2.0396138460129491</v>
      </c>
      <c r="HT106" s="947">
        <f t="shared" si="627"/>
        <v>2.1851314734924925</v>
      </c>
      <c r="HU106" s="947">
        <f t="shared" si="627"/>
        <v>-1.0988306442068307</v>
      </c>
      <c r="HV106" s="947">
        <f t="shared" si="627"/>
        <v>-0.37787814510017448</v>
      </c>
      <c r="HW106" s="947">
        <f t="shared" si="627"/>
        <v>0.98457375077800391</v>
      </c>
      <c r="HX106" s="947">
        <f t="shared" si="627"/>
        <v>-0.89981276922491271</v>
      </c>
      <c r="HY106" s="947">
        <f t="shared" si="627"/>
        <v>7.38884272914005</v>
      </c>
      <c r="HZ106" s="947">
        <f t="shared" si="627"/>
        <v>0.35951378029882863</v>
      </c>
      <c r="IA106" s="947">
        <f t="shared" si="604"/>
        <v>-1</v>
      </c>
      <c r="IB106" s="947" t="str">
        <f>+IFERROR(HP106/HO106-1,"")</f>
        <v/>
      </c>
      <c r="IC106" s="947">
        <f t="shared" si="605"/>
        <v>-1</v>
      </c>
      <c r="IE106" s="947">
        <f>+IFERROR(HF106-HE106,"")</f>
        <v>1.9823553190411403E-2</v>
      </c>
      <c r="IF106" s="947">
        <f>+IFERROR(HG106-HF106,"")</f>
        <v>-0.53880298994917919</v>
      </c>
      <c r="IG106" s="947">
        <f>+IFERROR(HH106-HG106,"")</f>
        <v>-0.60011111815388685</v>
      </c>
      <c r="IH106" s="947">
        <f>+IFERROR(HI106-HH106,"")</f>
        <v>0.96119660142946028</v>
      </c>
      <c r="II106" s="947">
        <f t="shared" si="619"/>
        <v>-3.2668174378379974E-2</v>
      </c>
      <c r="IJ106" s="947">
        <f t="shared" si="620"/>
        <v>5.2953759853352031E-2</v>
      </c>
      <c r="IK106" s="947">
        <f t="shared" si="621"/>
        <v>-9.6043492274626815E-2</v>
      </c>
      <c r="IL106" s="947">
        <f t="shared" si="607"/>
        <v>-1.0693704128306501E-2</v>
      </c>
      <c r="IM106" s="947">
        <f>+IFERROR(HP106-HO106,"")</f>
        <v>0</v>
      </c>
      <c r="IN106" s="947">
        <f t="shared" si="608"/>
        <v>-1.0693704128306501E-2</v>
      </c>
      <c r="IP106" s="945"/>
      <c r="IQ106" s="945"/>
      <c r="IR106" s="945"/>
      <c r="IS106" s="945"/>
      <c r="IT106" s="945"/>
      <c r="IU106" s="945"/>
      <c r="IV106" s="945"/>
      <c r="IW106" s="945"/>
      <c r="IX106" s="945"/>
      <c r="IY106" s="945"/>
      <c r="JA106" s="945">
        <f t="shared" ref="JA106" si="644">+JA105/JA$11</f>
        <v>0.24617476574052094</v>
      </c>
      <c r="JB106" s="945">
        <f t="shared" ref="JB106:JL106" si="645">+JB105/JB$11</f>
        <v>0.24434556441115562</v>
      </c>
      <c r="JC106" s="945">
        <f t="shared" si="645"/>
        <v>0.26416911760156703</v>
      </c>
      <c r="JD106" s="945">
        <f t="shared" si="645"/>
        <v>-0.27463387234761216</v>
      </c>
      <c r="JE106" s="945">
        <f t="shared" si="645"/>
        <v>-0.87474499050149901</v>
      </c>
      <c r="JF106" s="945">
        <f t="shared" si="645"/>
        <v>8.6451610927961262E-2</v>
      </c>
      <c r="JG106" s="945">
        <f t="shared" si="645"/>
        <v>5.3783436549581287E-2</v>
      </c>
      <c r="JH106" s="945">
        <f t="shared" si="645"/>
        <v>0.10673719640293332</v>
      </c>
      <c r="JI106" s="945">
        <f t="shared" si="645"/>
        <v>1.0693704128306501E-2</v>
      </c>
      <c r="JJ106" s="945">
        <f t="shared" si="645"/>
        <v>8.9707802124318919E-2</v>
      </c>
      <c r="JK106" s="945">
        <f t="shared" si="645"/>
        <v>0.1219589931883321</v>
      </c>
      <c r="JL106" s="945">
        <f t="shared" si="645"/>
        <v>0.1219589931883321</v>
      </c>
      <c r="JM106" s="945"/>
      <c r="JN106" s="945"/>
      <c r="JP106" s="945">
        <f>+JL106</f>
        <v>0.1219589931883321</v>
      </c>
      <c r="JQ106" s="945">
        <f>IFERROR(+JQ105/JQ$11,0)</f>
        <v>0</v>
      </c>
      <c r="JR106" s="946"/>
      <c r="JS106" s="947" t="str">
        <f>+IFERROR(JP106/JQ106,"")</f>
        <v/>
      </c>
      <c r="JT106" s="945">
        <f>+IFERROR(JP106-JQ106,"NA")</f>
        <v>0.1219589931883321</v>
      </c>
      <c r="JV106" s="945"/>
      <c r="JW106" s="945"/>
      <c r="JY106" s="945"/>
      <c r="JZ106" s="945"/>
      <c r="KA106" s="945"/>
      <c r="KB106" s="945"/>
      <c r="KC106" s="945"/>
      <c r="KD106" s="945"/>
      <c r="KE106" s="945"/>
      <c r="KF106" s="945"/>
      <c r="KH106" s="945"/>
      <c r="KI106" s="945"/>
      <c r="KJ106" s="945"/>
      <c r="KK106" s="945"/>
      <c r="KL106" s="945"/>
      <c r="KM106" s="945"/>
      <c r="KN106" s="945"/>
      <c r="KO106" s="945"/>
      <c r="KQ106" s="945"/>
      <c r="KR106" s="945"/>
      <c r="KS106" s="945"/>
      <c r="KT106" s="945"/>
      <c r="KU106" s="945"/>
      <c r="KV106" s="945"/>
      <c r="KW106" s="945"/>
      <c r="KX106" s="945"/>
      <c r="KY106" s="945"/>
      <c r="KZ106" s="945"/>
      <c r="LB106" s="945">
        <f>LB105/LB$11</f>
        <v>1.6626159493791239E-2</v>
      </c>
      <c r="LC106" s="945">
        <f t="shared" ref="LC106:LM106" si="646">LC105/LC$11</f>
        <v>0.55468655650364829</v>
      </c>
      <c r="LD106" s="945">
        <f t="shared" si="646"/>
        <v>0.15495905500758872</v>
      </c>
      <c r="LE106" s="945">
        <f t="shared" si="646"/>
        <v>-1.8803680201741702</v>
      </c>
      <c r="LF106" s="945">
        <f t="shared" si="646"/>
        <v>-0.27142832298518615</v>
      </c>
      <c r="LG106" s="945">
        <f t="shared" si="646"/>
        <v>-6.2711811084041946E-2</v>
      </c>
      <c r="LH106" s="945">
        <f t="shared" si="646"/>
        <v>0.1475790520461096</v>
      </c>
      <c r="LI106" s="945">
        <f t="shared" si="646"/>
        <v>-8.8682471183264042E-2</v>
      </c>
      <c r="LJ106" s="945">
        <f t="shared" si="646"/>
        <v>5.2148276774868822E-2</v>
      </c>
      <c r="LK106" s="945">
        <f t="shared" si="646"/>
        <v>-3.1977050733951247E-2</v>
      </c>
      <c r="LL106" s="945">
        <f t="shared" si="646"/>
        <v>-7.5669703524427354E-2</v>
      </c>
      <c r="LM106" s="945">
        <f t="shared" si="646"/>
        <v>-7.5669703524427354E-2</v>
      </c>
      <c r="LN106" s="945"/>
      <c r="LO106" s="945"/>
      <c r="LR106" s="945"/>
      <c r="LS106" s="945"/>
      <c r="LT106" s="945"/>
      <c r="LU106" s="945"/>
      <c r="LV106" s="945"/>
      <c r="LW106" s="945"/>
      <c r="LX106" s="945">
        <f>+IFERROR(LO106/LI106-1," ")</f>
        <v>-1</v>
      </c>
      <c r="LZ106" s="945"/>
      <c r="MA106" s="945"/>
      <c r="MB106" s="945"/>
      <c r="MC106" s="945"/>
      <c r="MD106" s="945"/>
      <c r="ME106" s="945"/>
      <c r="MF106" s="945">
        <f>+LO106-LI106</f>
        <v>8.8682471183264042E-2</v>
      </c>
      <c r="MH106" s="945"/>
      <c r="MI106" s="945"/>
      <c r="MJ106" s="945"/>
      <c r="MK106" s="945"/>
      <c r="ML106" s="945"/>
      <c r="MM106" s="945"/>
      <c r="MN106" s="945"/>
      <c r="MO106" s="945"/>
      <c r="MP106" s="945"/>
    </row>
    <row r="107" spans="1:354">
      <c r="A107" s="867"/>
      <c r="B107" s="71"/>
      <c r="D107" s="31"/>
      <c r="E107" s="66"/>
      <c r="F107" s="66"/>
      <c r="G107" s="66"/>
      <c r="H107" s="66"/>
      <c r="I107" s="66"/>
      <c r="J107" s="66"/>
      <c r="K107" s="66"/>
      <c r="L107" s="66"/>
      <c r="M107" s="66"/>
      <c r="N107" s="66"/>
      <c r="O107" s="66"/>
      <c r="P107" s="66"/>
      <c r="Q107" s="102"/>
      <c r="R107" s="66"/>
      <c r="S107" s="66"/>
      <c r="T107" s="66"/>
      <c r="U107" s="66"/>
      <c r="V107" s="66"/>
      <c r="W107" s="66"/>
      <c r="X107" s="66"/>
      <c r="Y107" s="66"/>
      <c r="Z107" s="66"/>
      <c r="AA107" s="66"/>
      <c r="AB107" s="66"/>
      <c r="AC107" s="102"/>
      <c r="AD107" s="66"/>
      <c r="AE107" s="66"/>
      <c r="AF107" s="66"/>
      <c r="AG107" s="66"/>
      <c r="AH107" s="66"/>
      <c r="AI107" s="66"/>
      <c r="AJ107" s="66"/>
      <c r="AK107" s="66"/>
      <c r="AL107" s="66"/>
      <c r="AM107" s="66"/>
      <c r="AN107" s="66"/>
      <c r="AO107" s="66"/>
      <c r="AP107" s="88"/>
      <c r="AQ107" s="942"/>
      <c r="AR107" s="942"/>
      <c r="AS107" s="88"/>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873"/>
      <c r="DR107" s="873"/>
      <c r="DS107" s="873"/>
      <c r="DT107" s="873"/>
      <c r="DU107" s="873"/>
      <c r="DV107" s="873"/>
      <c r="DW107" s="873"/>
      <c r="DX107" s="873"/>
      <c r="DY107" s="873"/>
      <c r="DZ107" s="873"/>
      <c r="EA107" s="873"/>
      <c r="EB107" s="873"/>
      <c r="EC107" s="873"/>
      <c r="ED107" s="873"/>
      <c r="EE107" s="873"/>
      <c r="EF107" s="873"/>
      <c r="EH107" s="66"/>
      <c r="EI107" s="66"/>
      <c r="EJ107" s="66"/>
      <c r="EK107" s="66"/>
      <c r="EL107" s="66"/>
      <c r="EM107" s="66"/>
      <c r="EN107" s="66"/>
      <c r="EO107" s="66"/>
      <c r="EP107" s="66"/>
      <c r="EQ107" s="66"/>
      <c r="ER107" s="66"/>
      <c r="ES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D107" s="66"/>
      <c r="HE107" s="66"/>
      <c r="HF107" s="66"/>
      <c r="HG107" s="66"/>
      <c r="HH107" s="66"/>
      <c r="HI107" s="66"/>
      <c r="HJ107" s="66"/>
      <c r="HK107" s="66"/>
      <c r="HO107" s="66"/>
      <c r="HP107" s="66"/>
      <c r="HR107" s="50"/>
      <c r="HS107" s="50"/>
      <c r="HT107" s="50"/>
      <c r="HU107" s="922"/>
      <c r="HV107" s="922"/>
      <c r="HW107" s="922"/>
      <c r="HX107" s="922"/>
      <c r="HY107" s="922"/>
      <c r="HZ107" s="922"/>
      <c r="IA107" s="922" t="str">
        <f t="shared" si="604"/>
        <v/>
      </c>
      <c r="IB107" s="50"/>
      <c r="IC107" s="922" t="str">
        <f t="shared" si="605"/>
        <v/>
      </c>
      <c r="IE107" s="66"/>
      <c r="IF107" s="66"/>
      <c r="IG107" s="66"/>
      <c r="IH107" s="66"/>
      <c r="II107" s="66">
        <f t="shared" si="619"/>
        <v>0</v>
      </c>
      <c r="IJ107" s="66">
        <f t="shared" si="620"/>
        <v>0</v>
      </c>
      <c r="IK107" s="66">
        <f t="shared" si="621"/>
        <v>0</v>
      </c>
      <c r="IL107" s="66">
        <f t="shared" si="607"/>
        <v>0</v>
      </c>
      <c r="IM107" s="66"/>
      <c r="IN107" s="66">
        <f t="shared" si="608"/>
        <v>0</v>
      </c>
      <c r="IP107" s="50"/>
      <c r="IQ107" s="50"/>
      <c r="IR107" s="50"/>
      <c r="IS107" s="50"/>
      <c r="IT107" s="50"/>
      <c r="IU107" s="50"/>
      <c r="IV107" s="50"/>
      <c r="IW107" s="50"/>
      <c r="IX107" s="50"/>
      <c r="IY107" s="50"/>
      <c r="JA107" s="66"/>
      <c r="JB107" s="66"/>
      <c r="JC107" s="66"/>
      <c r="JD107" s="66"/>
      <c r="JE107" s="66"/>
      <c r="JF107" s="66"/>
      <c r="JG107" s="66"/>
      <c r="JH107" s="66"/>
      <c r="JI107" s="66"/>
      <c r="JJ107" s="66"/>
      <c r="JK107" s="66"/>
      <c r="JL107" s="66"/>
      <c r="JM107" s="66"/>
      <c r="JN107" s="66"/>
      <c r="JO107" s="1184"/>
      <c r="JP107" s="66"/>
      <c r="JQ107" s="66"/>
      <c r="JR107" s="88"/>
      <c r="JS107" s="50"/>
      <c r="JT107" s="66"/>
      <c r="JV107" s="50"/>
      <c r="JW107" s="50"/>
      <c r="JY107" s="50"/>
      <c r="JZ107" s="50"/>
      <c r="KA107" s="50"/>
      <c r="KB107" s="50"/>
      <c r="KC107" s="50"/>
      <c r="KD107" s="50"/>
      <c r="KE107" s="50"/>
      <c r="KF107" s="50"/>
      <c r="KH107" s="66"/>
      <c r="KI107" s="66"/>
      <c r="KJ107" s="66"/>
      <c r="KK107" s="66"/>
      <c r="KL107" s="66"/>
      <c r="KM107" s="66"/>
      <c r="KN107" s="66"/>
      <c r="KO107" s="66"/>
      <c r="KQ107" s="50"/>
      <c r="KR107" s="50"/>
      <c r="KS107" s="50"/>
      <c r="KT107" s="50"/>
      <c r="KU107" s="50"/>
      <c r="KV107" s="50"/>
      <c r="KW107" s="50"/>
      <c r="KX107" s="50"/>
      <c r="KY107" s="50"/>
      <c r="KZ107" s="50"/>
      <c r="LB107" s="66"/>
      <c r="LC107" s="66"/>
      <c r="LD107" s="66"/>
      <c r="LE107" s="66"/>
      <c r="LF107" s="66"/>
      <c r="LG107" s="66"/>
      <c r="LH107" s="66"/>
      <c r="LI107" s="66"/>
      <c r="LJ107" s="66"/>
      <c r="LK107" s="66"/>
      <c r="LL107" s="66"/>
      <c r="LM107" s="66"/>
      <c r="LN107" s="66"/>
      <c r="LO107" s="66"/>
      <c r="LR107" s="50"/>
      <c r="LS107" s="50"/>
      <c r="LT107" s="50"/>
      <c r="LU107" s="50"/>
      <c r="LV107" s="50"/>
      <c r="LW107" s="50"/>
      <c r="LX107" s="50"/>
      <c r="LZ107" s="66"/>
      <c r="MA107" s="66"/>
      <c r="MB107" s="66"/>
      <c r="MC107" s="66"/>
      <c r="MD107" s="66"/>
      <c r="ME107" s="66"/>
      <c r="MF107" s="66"/>
      <c r="MH107" s="50"/>
      <c r="MI107" s="50"/>
      <c r="MJ107" s="50"/>
      <c r="MK107" s="50"/>
      <c r="ML107" s="50"/>
      <c r="MM107" s="50"/>
      <c r="MN107" s="50"/>
      <c r="MO107" s="50"/>
      <c r="MP107" s="50"/>
    </row>
    <row r="108" spans="1:354">
      <c r="A108" s="884">
        <v>54</v>
      </c>
      <c r="B108" s="70" t="s">
        <v>682</v>
      </c>
      <c r="C108" s="1431" t="s">
        <v>105</v>
      </c>
      <c r="D108" s="1531" t="s">
        <v>59</v>
      </c>
      <c r="E108" s="1532">
        <v>445.35038828280005</v>
      </c>
      <c r="F108" s="1532">
        <v>-349.33181676690003</v>
      </c>
      <c r="G108" s="1532">
        <v>-107.75014487819992</v>
      </c>
      <c r="H108" s="1532">
        <v>-190.68256431180009</v>
      </c>
      <c r="I108" s="1532">
        <v>-475.97180592720036</v>
      </c>
      <c r="J108" s="1532">
        <v>-174.00058071330002</v>
      </c>
      <c r="K108" s="1532">
        <v>-251.79194098739941</v>
      </c>
      <c r="L108" s="1532">
        <v>-491.41368556830128</v>
      </c>
      <c r="M108" s="1532">
        <v>-492.71997201240021</v>
      </c>
      <c r="N108" s="1532">
        <v>-265.74440775630063</v>
      </c>
      <c r="O108" s="1532">
        <v>-576.90099458309703</v>
      </c>
      <c r="P108" s="1532">
        <v>89.467525222099084</v>
      </c>
      <c r="Q108" s="1532">
        <v>129.80162252969993</v>
      </c>
      <c r="R108" s="1532">
        <v>-422.91366531480014</v>
      </c>
      <c r="S108" s="1532">
        <v>59.493210136799703</v>
      </c>
      <c r="T108" s="1532">
        <v>230.00600102699957</v>
      </c>
      <c r="U108" s="1532">
        <v>-492.02881695660011</v>
      </c>
      <c r="V108" s="1532">
        <v>-382.78075985819777</v>
      </c>
      <c r="W108" s="1532">
        <v>-182.70201044159978</v>
      </c>
      <c r="X108" s="1532">
        <v>-323.44593003960233</v>
      </c>
      <c r="Y108" s="1532">
        <v>223.23027562119913</v>
      </c>
      <c r="Z108" s="1532">
        <v>-11.103840580998487</v>
      </c>
      <c r="AA108" s="1532">
        <v>-814.63291325420005</v>
      </c>
      <c r="AB108" s="1532">
        <v>-943.73817286869962</v>
      </c>
      <c r="AC108" s="1532">
        <v>0</v>
      </c>
      <c r="AD108" s="1532">
        <v>-428.03893212100002</v>
      </c>
      <c r="AE108" s="1532">
        <v>-133.29398396199991</v>
      </c>
      <c r="AF108" s="1532">
        <v>-254.00540027800039</v>
      </c>
      <c r="AG108" s="1532">
        <v>-220.6923758778002</v>
      </c>
      <c r="AH108" s="1532">
        <v>-144.07383552380011</v>
      </c>
      <c r="AI108" s="1532">
        <v>-89.183574233999906</v>
      </c>
      <c r="AJ108" s="1532">
        <v>-234.25064662379995</v>
      </c>
      <c r="AK108" s="1532">
        <v>-285.1294398945999</v>
      </c>
      <c r="AL108" s="1532">
        <v>-400.17270311719977</v>
      </c>
      <c r="AM108" s="1532">
        <v>-710.50126691380001</v>
      </c>
      <c r="AN108" s="1532">
        <v>-744.91838744400002</v>
      </c>
      <c r="AO108" s="1532">
        <v>-342.59574300000003</v>
      </c>
      <c r="AP108" s="1532">
        <v>227.055959</v>
      </c>
      <c r="AQ108" s="1532">
        <v>154.76459399999999</v>
      </c>
      <c r="AR108" s="1532">
        <v>-173.50996699999999</v>
      </c>
      <c r="AS108" s="1532">
        <v>836.84692299999995</v>
      </c>
      <c r="AT108" s="1532">
        <v>449.49954535000006</v>
      </c>
      <c r="AU108" s="1532">
        <v>-34.353543250000001</v>
      </c>
      <c r="AV108" s="1532">
        <v>19.073401</v>
      </c>
      <c r="AW108" s="1532">
        <v>82.199792340000002</v>
      </c>
      <c r="AX108" s="1532">
        <v>-1218.98096145</v>
      </c>
      <c r="AY108" s="1532">
        <v>0</v>
      </c>
      <c r="AZ108" s="1532">
        <v>1573.723</v>
      </c>
      <c r="BA108" s="1532"/>
      <c r="BB108" s="1532"/>
      <c r="BC108" s="1532"/>
      <c r="BD108" s="1532"/>
      <c r="BE108" s="1532"/>
      <c r="BF108" s="1532"/>
      <c r="BG108" s="1532"/>
      <c r="BH108" s="1532"/>
      <c r="BI108" s="1532"/>
      <c r="BJ108" s="1532"/>
      <c r="BK108" s="1532"/>
      <c r="BL108" s="1532">
        <f>-128+779</f>
        <v>651</v>
      </c>
      <c r="BM108" s="1532">
        <v>0</v>
      </c>
      <c r="BN108" s="1532">
        <v>0</v>
      </c>
      <c r="BO108" s="1532">
        <v>0</v>
      </c>
      <c r="BP108" s="1532">
        <v>60.463429759999997</v>
      </c>
      <c r="BQ108" s="1532">
        <v>0</v>
      </c>
      <c r="BR108" s="1532">
        <v>0</v>
      </c>
      <c r="BS108" s="1532">
        <v>0</v>
      </c>
      <c r="BT108" s="1532">
        <v>0</v>
      </c>
      <c r="BU108" s="1532">
        <v>0</v>
      </c>
      <c r="BV108" s="1532">
        <v>0</v>
      </c>
      <c r="BW108" s="1532">
        <v>0</v>
      </c>
      <c r="BX108" s="1532">
        <v>23.250530999999999</v>
      </c>
      <c r="BY108" s="1532">
        <v>0</v>
      </c>
      <c r="BZ108" s="1532">
        <v>0</v>
      </c>
      <c r="CA108" s="1532">
        <v>0</v>
      </c>
      <c r="CB108" s="1532">
        <v>0</v>
      </c>
      <c r="CC108" s="1532">
        <v>0</v>
      </c>
      <c r="CD108" s="1532">
        <v>0</v>
      </c>
      <c r="CE108" s="1532">
        <v>0</v>
      </c>
      <c r="CF108" s="1532">
        <v>0</v>
      </c>
      <c r="CG108" s="1532">
        <v>0</v>
      </c>
      <c r="CH108" s="1532">
        <v>0</v>
      </c>
      <c r="CI108" s="1532">
        <v>0</v>
      </c>
      <c r="CJ108" s="1532">
        <v>-453.28872899999999</v>
      </c>
      <c r="CK108" s="1532">
        <v>0</v>
      </c>
      <c r="CL108" s="1532">
        <v>0</v>
      </c>
      <c r="CM108" s="1532">
        <v>0</v>
      </c>
      <c r="CN108" s="1532">
        <v>0</v>
      </c>
      <c r="CO108" s="1532">
        <v>0</v>
      </c>
      <c r="CP108" s="1532">
        <v>0</v>
      </c>
      <c r="CQ108" s="1532">
        <v>0</v>
      </c>
      <c r="CR108" s="1532">
        <v>0</v>
      </c>
      <c r="CS108" s="1532">
        <v>0</v>
      </c>
      <c r="CT108" s="1532">
        <v>0</v>
      </c>
      <c r="CU108" s="1532">
        <v>0</v>
      </c>
      <c r="CV108" s="1532">
        <v>-725.85913900000003</v>
      </c>
      <c r="CW108" s="1532">
        <v>0</v>
      </c>
      <c r="CX108" s="1532">
        <v>0</v>
      </c>
      <c r="CY108" s="1532">
        <v>0</v>
      </c>
      <c r="CZ108" s="1532">
        <v>0</v>
      </c>
      <c r="DA108" s="1532">
        <v>0</v>
      </c>
      <c r="DB108" s="1532">
        <v>0</v>
      </c>
      <c r="DC108" s="1532">
        <v>0</v>
      </c>
      <c r="DD108" s="1532">
        <v>0</v>
      </c>
      <c r="DE108" s="1532">
        <v>0</v>
      </c>
      <c r="DF108" s="1532">
        <v>0</v>
      </c>
      <c r="DG108" s="1532">
        <v>0</v>
      </c>
      <c r="DH108" s="1532">
        <v>-335.46991600000001</v>
      </c>
      <c r="DI108" s="1532">
        <v>0</v>
      </c>
      <c r="DJ108" s="1532">
        <v>0</v>
      </c>
      <c r="DK108" s="1532">
        <v>0</v>
      </c>
      <c r="DL108" s="1532">
        <v>0</v>
      </c>
      <c r="DM108" s="1532">
        <v>0</v>
      </c>
      <c r="DN108" s="1532">
        <v>0</v>
      </c>
      <c r="DO108" s="1532">
        <v>0</v>
      </c>
      <c r="DP108" s="1532">
        <v>0</v>
      </c>
      <c r="DQ108" s="1541">
        <v>0</v>
      </c>
      <c r="DR108" s="1541">
        <v>0</v>
      </c>
      <c r="DS108" s="1541">
        <v>0</v>
      </c>
      <c r="DT108" s="1541">
        <v>-657.02942900000005</v>
      </c>
      <c r="DU108" s="1541">
        <v>0</v>
      </c>
      <c r="DV108" s="1541">
        <v>0</v>
      </c>
      <c r="DW108" s="1541">
        <v>0</v>
      </c>
      <c r="DX108" s="1541">
        <v>0</v>
      </c>
      <c r="DY108" s="1541">
        <v>0</v>
      </c>
      <c r="DZ108" s="1541">
        <v>0</v>
      </c>
      <c r="EA108" s="1541">
        <v>0</v>
      </c>
      <c r="EB108" s="1541">
        <v>0</v>
      </c>
      <c r="EC108" s="1541">
        <v>0</v>
      </c>
      <c r="ED108" s="1541">
        <v>0</v>
      </c>
      <c r="EE108" s="1541">
        <v>0</v>
      </c>
      <c r="EF108" s="1542">
        <f>-3682*0.35</f>
        <v>-1288.6999999999998</v>
      </c>
      <c r="EH108" s="1532">
        <v>0</v>
      </c>
      <c r="EI108" s="1532">
        <v>0</v>
      </c>
      <c r="EJ108" s="1532">
        <v>0</v>
      </c>
      <c r="EK108" s="1532">
        <v>0</v>
      </c>
      <c r="EL108" s="1532">
        <v>0</v>
      </c>
      <c r="EM108" s="1532">
        <v>0</v>
      </c>
      <c r="EN108" s="1532">
        <v>0</v>
      </c>
      <c r="EO108" s="1532">
        <v>0</v>
      </c>
      <c r="EP108" s="1532">
        <v>0</v>
      </c>
      <c r="EQ108" s="1532">
        <v>0</v>
      </c>
      <c r="ER108" s="1532">
        <v>0</v>
      </c>
      <c r="ES108" s="1532">
        <v>0</v>
      </c>
      <c r="EU108" s="1532">
        <v>-205.11983740901564</v>
      </c>
      <c r="EV108" s="1532">
        <v>142.68246604795445</v>
      </c>
      <c r="EW108" s="1532">
        <v>107.7599811207825</v>
      </c>
      <c r="EX108" s="1532">
        <v>-206.90828813833704</v>
      </c>
      <c r="EY108" s="1532">
        <v>-81.691401175770551</v>
      </c>
      <c r="EZ108" s="1532">
        <v>-162.22619998015315</v>
      </c>
      <c r="FA108" s="1532">
        <v>-491.16627685144937</v>
      </c>
      <c r="FB108" s="1532">
        <v>-812.53629554199074</v>
      </c>
      <c r="FC108" s="1532">
        <v>-495.46800999927979</v>
      </c>
      <c r="FD108" s="1532">
        <v>-589.06810817958376</v>
      </c>
      <c r="FE108" s="1532">
        <v>-523.78914308202968</v>
      </c>
      <c r="FF108" s="1532">
        <v>-367.7378291259497</v>
      </c>
      <c r="FG108" s="1532">
        <v>0</v>
      </c>
      <c r="FH108" s="1532">
        <v>0</v>
      </c>
      <c r="FI108" s="1532">
        <v>0</v>
      </c>
      <c r="FJ108" s="1532">
        <v>0</v>
      </c>
      <c r="FK108" s="1532">
        <v>0</v>
      </c>
      <c r="FL108" s="1532">
        <v>0</v>
      </c>
      <c r="FM108" s="1532">
        <v>0</v>
      </c>
      <c r="FN108" s="1532">
        <v>0</v>
      </c>
      <c r="FO108" s="1532">
        <v>-106.09417844232408</v>
      </c>
      <c r="FP108" s="1532">
        <v>-129.00753610366687</v>
      </c>
      <c r="FQ108" s="1532">
        <v>-97.023274746680443</v>
      </c>
      <c r="FR108" s="1532">
        <v>-22.263530925278662</v>
      </c>
      <c r="FS108" s="1532"/>
      <c r="FT108" s="1532"/>
      <c r="FU108" s="1532"/>
      <c r="FV108" s="1532"/>
      <c r="FW108" s="1532"/>
      <c r="FX108" s="1532"/>
      <c r="FY108" s="1532"/>
      <c r="FZ108" s="1532"/>
      <c r="GA108" s="1532"/>
      <c r="GB108" s="1532"/>
      <c r="GC108" s="1532"/>
      <c r="GD108" s="1532"/>
      <c r="GE108" s="1532">
        <v>0</v>
      </c>
      <c r="GF108" s="1532">
        <v>0</v>
      </c>
      <c r="GG108" s="1532">
        <v>0</v>
      </c>
      <c r="GH108" s="1532">
        <v>0</v>
      </c>
      <c r="GI108" s="1532">
        <v>0</v>
      </c>
      <c r="GJ108" s="1532">
        <v>0</v>
      </c>
      <c r="GK108" s="1532">
        <v>0</v>
      </c>
      <c r="GL108" s="1532">
        <v>0</v>
      </c>
      <c r="GM108" s="1532">
        <v>0</v>
      </c>
      <c r="GN108" s="1532">
        <v>0</v>
      </c>
      <c r="GO108" s="1532">
        <v>0</v>
      </c>
      <c r="GP108" s="1532">
        <v>0</v>
      </c>
      <c r="GQ108" s="1532">
        <v>0</v>
      </c>
      <c r="GR108" s="1532">
        <v>0</v>
      </c>
      <c r="GS108" s="1532">
        <v>0</v>
      </c>
      <c r="GT108" s="1532">
        <v>0</v>
      </c>
      <c r="GU108" s="1532">
        <v>0</v>
      </c>
      <c r="GV108" s="1532">
        <v>0</v>
      </c>
      <c r="GW108" s="1532">
        <v>0</v>
      </c>
      <c r="GX108" s="1532">
        <v>0</v>
      </c>
      <c r="GY108" s="1532">
        <v>0</v>
      </c>
      <c r="GZ108" s="1532">
        <v>0</v>
      </c>
      <c r="HA108" s="1532">
        <v>0</v>
      </c>
      <c r="HB108" s="1532">
        <v>0</v>
      </c>
      <c r="HD108" s="1532">
        <f>+SUMIF($E$6:$AZ$6,HD$7,$E108:$AZ108)</f>
        <v>-2841.49</v>
      </c>
      <c r="HE108" s="1532">
        <f>+SUMIF($E$6:$AZ$6,HE$7,$E108:$AZ108)</f>
        <v>-2930.8150000000001</v>
      </c>
      <c r="HF108" s="1532">
        <f>+SUMIF($E$6:$AZ$6,HF$7,$E108:$AZ108)</f>
        <v>-3644.2605459900001</v>
      </c>
      <c r="HG108" s="1532">
        <f>+SUMIF($E$6:$AZ$6,HG$7,$E108:$AZ108)</f>
        <v>1573.7229999899998</v>
      </c>
      <c r="HH108" s="1532">
        <f>+SUMIF($E$6:$BL$6,HH$7,$E108:$BL108)</f>
        <v>651</v>
      </c>
      <c r="HI108" s="1532">
        <f>+SUMIF($E$6:$BX$6,HI$7,$E108:$BX108)</f>
        <v>83.713960759999992</v>
      </c>
      <c r="HJ108" s="1532">
        <f>+SUMIF($E$6:$CJ$6,HJ$7,$E108:$CJ108)</f>
        <v>-453.28872899999999</v>
      </c>
      <c r="HK108" s="1532">
        <f>+SUMIF($E$6:$CV$6,HK$7,$E108:$CV108)</f>
        <v>-725.85913900000003</v>
      </c>
      <c r="HL108" s="1541">
        <f>+SUMIF($E$6:SEW$6,HL$7,$E108:SEW108)</f>
        <v>-335.46991600000001</v>
      </c>
      <c r="HM108" s="1541">
        <f>+SUMIF($E$6:SEX$6,HM$7,$E108:SEX108)</f>
        <v>-657.02942900000005</v>
      </c>
      <c r="HN108" s="1541">
        <f>+SUMIF($E$6:SEY$6,HN$7,$E108:SEY108)</f>
        <v>-1288.6999999999998</v>
      </c>
      <c r="HO108" s="1532"/>
      <c r="HP108" s="1532"/>
      <c r="HR108" s="1543">
        <f t="shared" ref="HR108:HZ109" si="647">+IFERROR(HF108/HE108-1,"")</f>
        <v>0.24342906187869251</v>
      </c>
      <c r="HS108" s="1543">
        <f t="shared" si="647"/>
        <v>-1.4318360282229716</v>
      </c>
      <c r="HT108" s="1543">
        <f t="shared" si="647"/>
        <v>-0.58633126668153368</v>
      </c>
      <c r="HU108" s="1543">
        <f t="shared" si="647"/>
        <v>-0.87140712632872508</v>
      </c>
      <c r="HV108" s="1543">
        <f t="shared" si="647"/>
        <v>-6.4147327982668969</v>
      </c>
      <c r="HW108" s="1543">
        <f t="shared" si="647"/>
        <v>0.60131742212368144</v>
      </c>
      <c r="HX108" s="1543">
        <f t="shared" si="647"/>
        <v>-0.53783055420068215</v>
      </c>
      <c r="HY108" s="1543">
        <f t="shared" si="647"/>
        <v>0.95853457393180985</v>
      </c>
      <c r="HZ108" s="1543">
        <f t="shared" si="647"/>
        <v>0.96140377145876621</v>
      </c>
      <c r="IA108" s="1543">
        <f t="shared" si="604"/>
        <v>-1</v>
      </c>
      <c r="IB108" s="1543" t="str">
        <f>+IFERROR(HP108/HO108-1,"")</f>
        <v/>
      </c>
      <c r="IC108" s="1543">
        <f t="shared" si="605"/>
        <v>-1</v>
      </c>
      <c r="IE108" s="1532">
        <f t="shared" ref="IE108:IH109" si="648">+HF108-HE108</f>
        <v>-713.44554599000003</v>
      </c>
      <c r="IF108" s="1532">
        <f t="shared" si="648"/>
        <v>5217.9835459799997</v>
      </c>
      <c r="IG108" s="1532">
        <f t="shared" si="648"/>
        <v>-922.72299998999983</v>
      </c>
      <c r="IH108" s="1532">
        <f t="shared" si="648"/>
        <v>-567.28603924000004</v>
      </c>
      <c r="II108" s="1532">
        <f t="shared" si="619"/>
        <v>-537.00268975999995</v>
      </c>
      <c r="IJ108" s="1532">
        <f t="shared" si="620"/>
        <v>-272.57041000000004</v>
      </c>
      <c r="IK108" s="1532">
        <f t="shared" si="621"/>
        <v>390.38922300000002</v>
      </c>
      <c r="IL108" s="1532">
        <f t="shared" si="607"/>
        <v>335.46991600000001</v>
      </c>
      <c r="IM108" s="1532">
        <f>+HP108-HO108</f>
        <v>0</v>
      </c>
      <c r="IN108" s="1532">
        <f t="shared" si="608"/>
        <v>335.46991600000001</v>
      </c>
      <c r="IP108" s="1544">
        <f t="shared" ref="IP108:IW109" si="649">+HE108/HE$11</f>
        <v>-7.9738611361776054E-2</v>
      </c>
      <c r="IQ108" s="1544">
        <f t="shared" si="649"/>
        <v>-9.2533891978832647E-2</v>
      </c>
      <c r="IR108" s="1544">
        <f t="shared" si="649"/>
        <v>9.3380599336816555E-2</v>
      </c>
      <c r="IS108" s="1544">
        <f t="shared" si="649"/>
        <v>0.10581878481372332</v>
      </c>
      <c r="IT108" s="1544">
        <f t="shared" si="649"/>
        <v>6.1424240480872968E-3</v>
      </c>
      <c r="IU108" s="1544">
        <f t="shared" si="649"/>
        <v>-3.2033330611440584E-2</v>
      </c>
      <c r="IV108" s="1544">
        <f t="shared" si="649"/>
        <v>-3.4191301486072898E-2</v>
      </c>
      <c r="IW108" s="1544">
        <f t="shared" si="649"/>
        <v>-2.6582639756324637E-2</v>
      </c>
      <c r="IX108" s="1544" t="e">
        <f>+HO108/HO$11</f>
        <v>#DIV/0!</v>
      </c>
      <c r="IY108" s="1544" t="e">
        <f>+HP108/HP$11</f>
        <v>#DIV/0!</v>
      </c>
      <c r="JA108" s="1532">
        <f t="shared" ref="JA108:JK108" si="650">+IFERROR(SUMIFS($E108:$EG108,$E$6:$EG$6,JA$7,$E$5:$EG$5,"&lt;="&amp;$JC$5),"NA")</f>
        <v>-2841.49</v>
      </c>
      <c r="JB108" s="1532">
        <f t="shared" si="650"/>
        <v>-2930.8150000000001</v>
      </c>
      <c r="JC108" s="1532">
        <f t="shared" si="650"/>
        <v>-3644.2605459900001</v>
      </c>
      <c r="JD108" s="1532">
        <f t="shared" si="650"/>
        <v>1573.7229999899998</v>
      </c>
      <c r="JE108" s="1532">
        <f t="shared" si="650"/>
        <v>651</v>
      </c>
      <c r="JF108" s="1532">
        <f t="shared" si="650"/>
        <v>83.713960759999992</v>
      </c>
      <c r="JG108" s="1532">
        <f t="shared" si="650"/>
        <v>-453.28872899999999</v>
      </c>
      <c r="JH108" s="1532">
        <f t="shared" si="650"/>
        <v>-725.85913900000003</v>
      </c>
      <c r="JI108" s="1532">
        <f t="shared" si="650"/>
        <v>-335.46991600000001</v>
      </c>
      <c r="JJ108" s="1532">
        <f t="shared" si="650"/>
        <v>-657.02942900000005</v>
      </c>
      <c r="JK108" s="1532">
        <f t="shared" si="650"/>
        <v>-1288.6999999999998</v>
      </c>
      <c r="JL108" s="1532">
        <f>+SUMIF($DU$5:$EF$5,"&lt;="&amp;$JC$5,$DU108:$EF108)</f>
        <v>-1288.6999999999998</v>
      </c>
      <c r="JM108" s="1532"/>
      <c r="JN108" s="1532"/>
      <c r="JO108" s="1184"/>
      <c r="JP108" s="1532">
        <f>+JL108</f>
        <v>-1288.6999999999998</v>
      </c>
      <c r="JQ108" s="1532">
        <f>+JM108</f>
        <v>0</v>
      </c>
      <c r="JR108" s="939"/>
      <c r="JS108" s="1543" t="str">
        <f>+IFERROR(JP108/JQ108,"")</f>
        <v/>
      </c>
      <c r="JT108" s="1545">
        <f>+IFERROR(JP108-JQ108,"NA")</f>
        <v>-1288.6999999999998</v>
      </c>
      <c r="JV108" s="1544">
        <f>+JP108/JP$11</f>
        <v>-4.2684093785876356E-2</v>
      </c>
      <c r="JW108" s="1543" t="str">
        <f>+IFERROR(JQ108/JQ$11,"")</f>
        <v/>
      </c>
      <c r="JY108" s="1544">
        <f t="shared" ref="JY108:KE108" si="651">+IFERROR(JC108/JB108-1,"NA")</f>
        <v>0.24342906187869251</v>
      </c>
      <c r="JZ108" s="1544">
        <f t="shared" si="651"/>
        <v>-1.4318360282229716</v>
      </c>
      <c r="KA108" s="1544">
        <f t="shared" si="651"/>
        <v>-0.58633126668153368</v>
      </c>
      <c r="KB108" s="1544">
        <f t="shared" si="651"/>
        <v>-0.87140712632872508</v>
      </c>
      <c r="KC108" s="1544">
        <f t="shared" si="651"/>
        <v>-6.4147327982668969</v>
      </c>
      <c r="KD108" s="1544">
        <f t="shared" si="651"/>
        <v>0.60131742212368144</v>
      </c>
      <c r="KE108" s="1544">
        <f t="shared" si="651"/>
        <v>-0.53783055420068215</v>
      </c>
      <c r="KF108" s="1544">
        <f>+IFERROR(JN108/JI108-1,"NA")</f>
        <v>-1</v>
      </c>
      <c r="KH108" s="1532">
        <f t="shared" ref="KH108:KN108" si="652">+JC108-JB108</f>
        <v>-713.44554599000003</v>
      </c>
      <c r="KI108" s="1532">
        <f t="shared" si="652"/>
        <v>5217.9835459799997</v>
      </c>
      <c r="KJ108" s="1532">
        <f t="shared" si="652"/>
        <v>-922.72299998999983</v>
      </c>
      <c r="KK108" s="1532">
        <f t="shared" si="652"/>
        <v>-567.28603924000004</v>
      </c>
      <c r="KL108" s="1532">
        <f t="shared" si="652"/>
        <v>-537.00268975999995</v>
      </c>
      <c r="KM108" s="1532">
        <f t="shared" si="652"/>
        <v>-272.57041000000004</v>
      </c>
      <c r="KN108" s="1532">
        <f t="shared" si="652"/>
        <v>390.38922300000002</v>
      </c>
      <c r="KO108" s="1532">
        <f>+JN108-JI108</f>
        <v>335.46991600000001</v>
      </c>
      <c r="KQ108" s="1544">
        <f t="shared" ref="KQ108:KY109" si="653">+JA108/JA$11</f>
        <v>-7.831816238634165E-2</v>
      </c>
      <c r="KR108" s="1544">
        <f t="shared" si="653"/>
        <v>-7.9738611361776054E-2</v>
      </c>
      <c r="KS108" s="1544">
        <f t="shared" si="653"/>
        <v>-9.2533891978832647E-2</v>
      </c>
      <c r="KT108" s="1544">
        <f t="shared" si="653"/>
        <v>9.3380599336816555E-2</v>
      </c>
      <c r="KU108" s="1544">
        <f t="shared" si="653"/>
        <v>0.10581878481372332</v>
      </c>
      <c r="KV108" s="1544">
        <f t="shared" si="653"/>
        <v>6.1424240480872968E-3</v>
      </c>
      <c r="KW108" s="1544">
        <f t="shared" si="653"/>
        <v>-3.2033330611440584E-2</v>
      </c>
      <c r="KX108" s="1544">
        <f t="shared" si="653"/>
        <v>-3.4191301486072898E-2</v>
      </c>
      <c r="KY108" s="1544">
        <f t="shared" si="653"/>
        <v>-2.6582639756324637E-2</v>
      </c>
      <c r="KZ108" s="1544" t="e">
        <f>+JN108/JN$11</f>
        <v>#DIV/0!</v>
      </c>
      <c r="LB108" s="1532">
        <f t="shared" ref="LB108:LM108" si="654">+SUMIFS($E108:$EG108,$E$6:$EG$6,LB$7,$E$5:$EG$5,$LD$5)</f>
        <v>89.467525222099084</v>
      </c>
      <c r="LC108" s="1532">
        <f t="shared" si="654"/>
        <v>-943.73817286869962</v>
      </c>
      <c r="LD108" s="1532">
        <f t="shared" si="654"/>
        <v>-744.91838744400002</v>
      </c>
      <c r="LE108" s="1532">
        <f t="shared" si="654"/>
        <v>1573.723</v>
      </c>
      <c r="LF108" s="1532">
        <f t="shared" si="654"/>
        <v>651</v>
      </c>
      <c r="LG108" s="1532">
        <f t="shared" si="654"/>
        <v>23.250530999999999</v>
      </c>
      <c r="LH108" s="1532">
        <f t="shared" si="654"/>
        <v>-453.28872899999999</v>
      </c>
      <c r="LI108" s="1532">
        <f t="shared" si="654"/>
        <v>-725.85913900000003</v>
      </c>
      <c r="LJ108" s="1532">
        <f t="shared" si="654"/>
        <v>-335.46991600000001</v>
      </c>
      <c r="LK108" s="1532">
        <f t="shared" si="654"/>
        <v>-657.02942900000005</v>
      </c>
      <c r="LL108" s="1532">
        <f t="shared" si="654"/>
        <v>-1288.6999999999998</v>
      </c>
      <c r="LM108" s="1532">
        <f t="shared" si="654"/>
        <v>-1288.6999999999998</v>
      </c>
      <c r="LN108" s="1532"/>
      <c r="LO108" s="1532"/>
      <c r="LR108" s="1544">
        <f t="shared" ref="LR108:LW108" si="655">+IFERROR(LD108/LC108-1," ")</f>
        <v>-0.2106726114726748</v>
      </c>
      <c r="LS108" s="1544">
        <f t="shared" si="655"/>
        <v>-3.1126112961177324</v>
      </c>
      <c r="LT108" s="1544">
        <f t="shared" si="655"/>
        <v>-0.58633126668416224</v>
      </c>
      <c r="LU108" s="1544">
        <f t="shared" si="655"/>
        <v>-0.96428489861751154</v>
      </c>
      <c r="LV108" s="1544">
        <f t="shared" si="655"/>
        <v>-20.495844159430167</v>
      </c>
      <c r="LW108" s="1544">
        <f t="shared" si="655"/>
        <v>0.60131742212368144</v>
      </c>
      <c r="LX108" s="1544">
        <f>+IFERROR(LO108/LI108-1," ")</f>
        <v>-1</v>
      </c>
      <c r="LZ108" s="1532">
        <f t="shared" ref="LZ108:ME108" si="656">+LD108-LC108</f>
        <v>198.8197854246996</v>
      </c>
      <c r="MA108" s="1532">
        <f t="shared" si="656"/>
        <v>2318.641387444</v>
      </c>
      <c r="MB108" s="1532">
        <f t="shared" si="656"/>
        <v>-922.72299999999996</v>
      </c>
      <c r="MC108" s="1532">
        <f t="shared" si="656"/>
        <v>-627.74946899999998</v>
      </c>
      <c r="MD108" s="1532">
        <f t="shared" si="656"/>
        <v>-476.53926000000001</v>
      </c>
      <c r="ME108" s="1532">
        <f t="shared" si="656"/>
        <v>-272.57041000000004</v>
      </c>
      <c r="MF108" s="1532">
        <f>+LO108-LI108</f>
        <v>725.85913900000003</v>
      </c>
      <c r="MH108" s="1544">
        <f t="shared" ref="MH108:MO109" si="657">+LB108/LB$11</f>
        <v>2.9829028588066079E-2</v>
      </c>
      <c r="MI108" s="1544">
        <f t="shared" si="657"/>
        <v>-0.17116352621072736</v>
      </c>
      <c r="MJ108" s="1544">
        <f t="shared" si="657"/>
        <v>-0.14531739160145019</v>
      </c>
      <c r="MK108" s="1544">
        <f t="shared" si="657"/>
        <v>2.7073790442236572</v>
      </c>
      <c r="ML108" s="1544">
        <f t="shared" si="657"/>
        <v>0.43213911189404947</v>
      </c>
      <c r="MM108" s="1544">
        <f t="shared" si="657"/>
        <v>2.260222012787514E-2</v>
      </c>
      <c r="MN108" s="1544">
        <f t="shared" si="657"/>
        <v>-0.29150163353998915</v>
      </c>
      <c r="MO108" s="1544">
        <f t="shared" si="657"/>
        <v>-0.38568584395188277</v>
      </c>
      <c r="MP108" s="1544" t="e">
        <f>+LO108/LO$11</f>
        <v>#DIV/0!</v>
      </c>
    </row>
    <row r="109" spans="1:354" outlineLevel="1">
      <c r="A109" s="867"/>
      <c r="B109" s="71"/>
      <c r="C109" s="968" t="s">
        <v>106</v>
      </c>
      <c r="D109" s="969" t="s">
        <v>35</v>
      </c>
      <c r="E109" s="69">
        <v>-0.33000000000000007</v>
      </c>
      <c r="F109" s="69">
        <v>-0.3299999999999999</v>
      </c>
      <c r="G109" s="69">
        <v>-0.32999999999999952</v>
      </c>
      <c r="H109" s="69">
        <v>-0.32999999999999979</v>
      </c>
      <c r="I109" s="69">
        <v>-0.33000000000000063</v>
      </c>
      <c r="J109" s="69">
        <v>-0.3300000000000004</v>
      </c>
      <c r="K109" s="69">
        <v>-0.3299999999999999</v>
      </c>
      <c r="L109" s="69">
        <v>-0.33000000000000052</v>
      </c>
      <c r="M109" s="69">
        <v>-0.32999999999999979</v>
      </c>
      <c r="N109" s="69">
        <v>-0.33000000000000157</v>
      </c>
      <c r="O109" s="69">
        <v>-0.3299999999999978</v>
      </c>
      <c r="P109" s="69">
        <v>1.7941021556544812</v>
      </c>
      <c r="Q109" s="69">
        <v>-0.33000000000000007</v>
      </c>
      <c r="R109" s="69">
        <v>-0.33000000000000018</v>
      </c>
      <c r="S109" s="69">
        <v>-0.32999999999999824</v>
      </c>
      <c r="T109" s="69">
        <v>-0.33000000000000052</v>
      </c>
      <c r="U109" s="69">
        <v>-0.32999999999999996</v>
      </c>
      <c r="V109" s="69">
        <v>-0.32999999999999902</v>
      </c>
      <c r="W109" s="69">
        <v>-0.3400000000000003</v>
      </c>
      <c r="X109" s="69">
        <v>-0.34000000000000186</v>
      </c>
      <c r="Y109" s="69">
        <v>-0.33999999999999952</v>
      </c>
      <c r="Z109" s="69">
        <v>-0.3399999999999907</v>
      </c>
      <c r="AA109" s="69">
        <v>-0.33999999999999991</v>
      </c>
      <c r="AB109" s="69">
        <v>-0.30857702283181548</v>
      </c>
      <c r="AC109" s="69">
        <v>0</v>
      </c>
      <c r="AD109" s="69">
        <v>-0.25010309941900982</v>
      </c>
      <c r="AE109" s="69">
        <v>-0.34</v>
      </c>
      <c r="AF109" s="69">
        <v>-0.3400000000000003</v>
      </c>
      <c r="AG109" s="69">
        <v>-0.34000000000000008</v>
      </c>
      <c r="AH109" s="69">
        <v>-0.33999999999999991</v>
      </c>
      <c r="AI109" s="69">
        <v>-0.33999999999999958</v>
      </c>
      <c r="AJ109" s="69">
        <v>-0.33999999999999991</v>
      </c>
      <c r="AK109" s="69">
        <v>-0.34</v>
      </c>
      <c r="AL109" s="69">
        <v>-0.33999999999999991</v>
      </c>
      <c r="AM109" s="69">
        <v>-0.22401578605452543</v>
      </c>
      <c r="AN109" s="69">
        <v>-0.93777928365872931</v>
      </c>
      <c r="AO109" s="69">
        <f>IFERROR(+AO108/AO105,0)</f>
        <v>-0.30936676851031464</v>
      </c>
      <c r="AP109" s="69">
        <f t="shared" ref="AP109:DA109" si="658">IFERROR(+AP108/AP105,0)</f>
        <v>-0.39347322516869643</v>
      </c>
      <c r="AQ109" s="69">
        <f t="shared" si="658"/>
        <v>-0.86942614220807013</v>
      </c>
      <c r="AR109" s="69">
        <f t="shared" si="658"/>
        <v>0.24471716455390838</v>
      </c>
      <c r="AS109" s="69">
        <f t="shared" si="658"/>
        <v>-0.65288322128090781</v>
      </c>
      <c r="AT109" s="69">
        <f t="shared" si="658"/>
        <v>-0.4038709491649603</v>
      </c>
      <c r="AU109" s="69">
        <f t="shared" si="658"/>
        <v>-0.27760905821777804</v>
      </c>
      <c r="AV109" s="69">
        <f t="shared" si="658"/>
        <v>-1.4342440883830438</v>
      </c>
      <c r="AW109" s="69">
        <f t="shared" si="658"/>
        <v>-0.30665359279221777</v>
      </c>
      <c r="AX109" s="69">
        <f t="shared" si="658"/>
        <v>27.986525462894175</v>
      </c>
      <c r="AY109" s="69">
        <f t="shared" si="658"/>
        <v>0</v>
      </c>
      <c r="AZ109" s="69">
        <f t="shared" si="658"/>
        <v>-1.4398133850270889</v>
      </c>
      <c r="BA109" s="69">
        <f t="shared" si="658"/>
        <v>0</v>
      </c>
      <c r="BB109" s="69">
        <f t="shared" si="658"/>
        <v>0</v>
      </c>
      <c r="BC109" s="69">
        <f t="shared" si="658"/>
        <v>0</v>
      </c>
      <c r="BD109" s="69">
        <f t="shared" si="658"/>
        <v>0</v>
      </c>
      <c r="BE109" s="69">
        <f t="shared" si="658"/>
        <v>0</v>
      </c>
      <c r="BF109" s="69">
        <f t="shared" si="658"/>
        <v>0</v>
      </c>
      <c r="BG109" s="69">
        <f t="shared" si="658"/>
        <v>0</v>
      </c>
      <c r="BH109" s="69">
        <f t="shared" si="658"/>
        <v>0</v>
      </c>
      <c r="BI109" s="69">
        <f t="shared" si="658"/>
        <v>0</v>
      </c>
      <c r="BJ109" s="69">
        <f t="shared" si="658"/>
        <v>0</v>
      </c>
      <c r="BK109" s="69">
        <f t="shared" si="658"/>
        <v>0</v>
      </c>
      <c r="BL109" s="69">
        <f t="shared" si="658"/>
        <v>-1.5920929221437015</v>
      </c>
      <c r="BM109" s="69">
        <f t="shared" si="658"/>
        <v>0</v>
      </c>
      <c r="BN109" s="69">
        <f t="shared" si="658"/>
        <v>0</v>
      </c>
      <c r="BO109" s="69">
        <f t="shared" si="658"/>
        <v>0</v>
      </c>
      <c r="BP109" s="69">
        <f t="shared" si="658"/>
        <v>0.20453878068917269</v>
      </c>
      <c r="BQ109" s="69">
        <f t="shared" si="658"/>
        <v>0</v>
      </c>
      <c r="BR109" s="69">
        <f t="shared" si="658"/>
        <v>0</v>
      </c>
      <c r="BS109" s="69">
        <f t="shared" si="658"/>
        <v>0</v>
      </c>
      <c r="BT109" s="69">
        <f t="shared" si="658"/>
        <v>0</v>
      </c>
      <c r="BU109" s="69">
        <f t="shared" si="658"/>
        <v>0</v>
      </c>
      <c r="BV109" s="69">
        <f t="shared" si="658"/>
        <v>0</v>
      </c>
      <c r="BW109" s="69">
        <f t="shared" si="658"/>
        <v>0</v>
      </c>
      <c r="BX109" s="69">
        <f t="shared" si="658"/>
        <v>-0.36041408687089638</v>
      </c>
      <c r="BY109" s="69">
        <f t="shared" si="658"/>
        <v>0</v>
      </c>
      <c r="BZ109" s="69">
        <f t="shared" si="658"/>
        <v>0</v>
      </c>
      <c r="CA109" s="69">
        <f t="shared" si="658"/>
        <v>0</v>
      </c>
      <c r="CB109" s="69">
        <f t="shared" si="658"/>
        <v>0</v>
      </c>
      <c r="CC109" s="69">
        <f t="shared" si="658"/>
        <v>0</v>
      </c>
      <c r="CD109" s="69">
        <f t="shared" si="658"/>
        <v>0</v>
      </c>
      <c r="CE109" s="69">
        <f t="shared" si="658"/>
        <v>0</v>
      </c>
      <c r="CF109" s="69">
        <f t="shared" si="658"/>
        <v>0</v>
      </c>
      <c r="CG109" s="69">
        <f t="shared" si="658"/>
        <v>0</v>
      </c>
      <c r="CH109" s="69">
        <f t="shared" si="658"/>
        <v>0</v>
      </c>
      <c r="CI109" s="69">
        <f t="shared" si="658"/>
        <v>0</v>
      </c>
      <c r="CJ109" s="69">
        <f t="shared" si="658"/>
        <v>-1.9752236479260783</v>
      </c>
      <c r="CK109" s="69">
        <f t="shared" si="658"/>
        <v>0</v>
      </c>
      <c r="CL109" s="69">
        <f t="shared" si="658"/>
        <v>0</v>
      </c>
      <c r="CM109" s="69">
        <f t="shared" si="658"/>
        <v>0</v>
      </c>
      <c r="CN109" s="69">
        <f t="shared" si="658"/>
        <v>0</v>
      </c>
      <c r="CO109" s="69">
        <f t="shared" si="658"/>
        <v>0</v>
      </c>
      <c r="CP109" s="69">
        <f t="shared" si="658"/>
        <v>0</v>
      </c>
      <c r="CQ109" s="69">
        <f t="shared" si="658"/>
        <v>0</v>
      </c>
      <c r="CR109" s="69">
        <f t="shared" si="658"/>
        <v>0</v>
      </c>
      <c r="CS109" s="69">
        <f t="shared" si="658"/>
        <v>0</v>
      </c>
      <c r="CT109" s="69">
        <f t="shared" si="658"/>
        <v>0</v>
      </c>
      <c r="CU109" s="69">
        <f t="shared" si="658"/>
        <v>0</v>
      </c>
      <c r="CV109" s="69">
        <f t="shared" si="658"/>
        <v>4.3490651399965561</v>
      </c>
      <c r="CW109" s="69">
        <f t="shared" si="658"/>
        <v>0</v>
      </c>
      <c r="CX109" s="69">
        <f t="shared" si="658"/>
        <v>0</v>
      </c>
      <c r="CY109" s="69">
        <f t="shared" si="658"/>
        <v>0</v>
      </c>
      <c r="CZ109" s="69">
        <f t="shared" si="658"/>
        <v>0</v>
      </c>
      <c r="DA109" s="69">
        <f t="shared" si="658"/>
        <v>0</v>
      </c>
      <c r="DB109" s="69">
        <f t="shared" ref="DB109:EF109" si="659">IFERROR(+DB108/DB105,0)</f>
        <v>0</v>
      </c>
      <c r="DC109" s="69">
        <f t="shared" si="659"/>
        <v>0</v>
      </c>
      <c r="DD109" s="69">
        <f t="shared" si="659"/>
        <v>0</v>
      </c>
      <c r="DE109" s="69">
        <f t="shared" si="659"/>
        <v>0</v>
      </c>
      <c r="DF109" s="69">
        <f t="shared" si="659"/>
        <v>0</v>
      </c>
      <c r="DG109" s="69">
        <f t="shared" si="659"/>
        <v>0</v>
      </c>
      <c r="DH109" s="69">
        <f t="shared" si="659"/>
        <v>-5.4021683322305885</v>
      </c>
      <c r="DI109" s="69">
        <f t="shared" si="659"/>
        <v>0</v>
      </c>
      <c r="DJ109" s="69">
        <f t="shared" si="659"/>
        <v>0</v>
      </c>
      <c r="DK109" s="69">
        <f t="shared" si="659"/>
        <v>0</v>
      </c>
      <c r="DL109" s="69">
        <f t="shared" si="659"/>
        <v>0</v>
      </c>
      <c r="DM109" s="69">
        <f t="shared" si="659"/>
        <v>0</v>
      </c>
      <c r="DN109" s="69">
        <f t="shared" si="659"/>
        <v>0</v>
      </c>
      <c r="DO109" s="69">
        <f t="shared" si="659"/>
        <v>0</v>
      </c>
      <c r="DP109" s="69">
        <f t="shared" si="659"/>
        <v>0</v>
      </c>
      <c r="DQ109" s="69">
        <f t="shared" si="659"/>
        <v>0</v>
      </c>
      <c r="DR109" s="69">
        <f t="shared" si="659"/>
        <v>0</v>
      </c>
      <c r="DS109" s="69">
        <f t="shared" si="659"/>
        <v>0</v>
      </c>
      <c r="DT109" s="69">
        <f t="shared" si="659"/>
        <v>10.840055399091355</v>
      </c>
      <c r="DU109" s="69">
        <f t="shared" si="659"/>
        <v>0</v>
      </c>
      <c r="DV109" s="69">
        <f t="shared" si="659"/>
        <v>0</v>
      </c>
      <c r="DW109" s="69">
        <f t="shared" si="659"/>
        <v>0</v>
      </c>
      <c r="DX109" s="69">
        <f t="shared" si="659"/>
        <v>0</v>
      </c>
      <c r="DY109" s="69">
        <f t="shared" si="659"/>
        <v>0</v>
      </c>
      <c r="DZ109" s="69">
        <f t="shared" si="659"/>
        <v>0</v>
      </c>
      <c r="EA109" s="69">
        <f t="shared" si="659"/>
        <v>0</v>
      </c>
      <c r="EB109" s="69">
        <f t="shared" si="659"/>
        <v>0</v>
      </c>
      <c r="EC109" s="69">
        <f t="shared" si="659"/>
        <v>0</v>
      </c>
      <c r="ED109" s="69">
        <f t="shared" si="659"/>
        <v>0</v>
      </c>
      <c r="EE109" s="69">
        <f t="shared" si="659"/>
        <v>0</v>
      </c>
      <c r="EF109" s="69">
        <f t="shared" si="659"/>
        <v>4.1519315171808158</v>
      </c>
      <c r="EH109" s="69">
        <f t="shared" ref="EH109:ES109" si="660">IFERROR(+EH108/EH105,0)</f>
        <v>0</v>
      </c>
      <c r="EI109" s="69">
        <f t="shared" si="660"/>
        <v>0</v>
      </c>
      <c r="EJ109" s="69">
        <f t="shared" si="660"/>
        <v>0</v>
      </c>
      <c r="EK109" s="69">
        <f t="shared" si="660"/>
        <v>0</v>
      </c>
      <c r="EL109" s="69">
        <f t="shared" si="660"/>
        <v>0</v>
      </c>
      <c r="EM109" s="69">
        <f t="shared" si="660"/>
        <v>0</v>
      </c>
      <c r="EN109" s="69">
        <f t="shared" si="660"/>
        <v>0</v>
      </c>
      <c r="EO109" s="69">
        <f t="shared" si="660"/>
        <v>0</v>
      </c>
      <c r="EP109" s="69">
        <f t="shared" si="660"/>
        <v>0</v>
      </c>
      <c r="EQ109" s="69">
        <f t="shared" si="660"/>
        <v>0</v>
      </c>
      <c r="ER109" s="69">
        <f t="shared" si="660"/>
        <v>0</v>
      </c>
      <c r="ES109" s="69">
        <f t="shared" si="660"/>
        <v>0</v>
      </c>
      <c r="EU109" s="69">
        <v>-0.39000000000000051</v>
      </c>
      <c r="EV109" s="69">
        <v>-0.39000000000000024</v>
      </c>
      <c r="EW109" s="69">
        <v>-0.3899999999999994</v>
      </c>
      <c r="EX109" s="69">
        <v>-0.39</v>
      </c>
      <c r="EY109" s="69">
        <v>-0.38999999999999957</v>
      </c>
      <c r="EZ109" s="69">
        <v>-0.38999999999999962</v>
      </c>
      <c r="FA109" s="69">
        <v>-0.39000000000000007</v>
      </c>
      <c r="FB109" s="69">
        <v>-0.39</v>
      </c>
      <c r="FC109" s="69">
        <v>-0.38999999999999996</v>
      </c>
      <c r="FD109" s="69">
        <v>-0.38999999999999985</v>
      </c>
      <c r="FE109" s="69">
        <v>-0.39</v>
      </c>
      <c r="FF109" s="69">
        <v>-0.39000000000000018</v>
      </c>
      <c r="FG109" s="69">
        <f t="shared" ref="FG109:HB109" si="661">+FG108/FG105</f>
        <v>0</v>
      </c>
      <c r="FH109" s="69">
        <f t="shared" si="661"/>
        <v>0</v>
      </c>
      <c r="FI109" s="69">
        <f t="shared" si="661"/>
        <v>0</v>
      </c>
      <c r="FJ109" s="69">
        <f t="shared" si="661"/>
        <v>0</v>
      </c>
      <c r="FK109" s="69">
        <f t="shared" si="661"/>
        <v>0</v>
      </c>
      <c r="FL109" s="69">
        <f t="shared" si="661"/>
        <v>0</v>
      </c>
      <c r="FM109" s="69">
        <f t="shared" si="661"/>
        <v>0</v>
      </c>
      <c r="FN109" s="69">
        <f t="shared" si="661"/>
        <v>0</v>
      </c>
      <c r="FO109" s="69">
        <f t="shared" si="661"/>
        <v>-0.36492252296350919</v>
      </c>
      <c r="FP109" s="69">
        <f t="shared" si="661"/>
        <v>-0.39000000000000007</v>
      </c>
      <c r="FQ109" s="69">
        <f t="shared" si="661"/>
        <v>-0.39000000000000012</v>
      </c>
      <c r="FR109" s="69">
        <f t="shared" si="661"/>
        <v>-0.38999999999999918</v>
      </c>
      <c r="FS109" s="69">
        <f t="shared" si="661"/>
        <v>0</v>
      </c>
      <c r="FT109" s="69">
        <f t="shared" si="661"/>
        <v>0</v>
      </c>
      <c r="FU109" s="69">
        <f t="shared" si="661"/>
        <v>0</v>
      </c>
      <c r="FV109" s="69">
        <f t="shared" si="661"/>
        <v>0</v>
      </c>
      <c r="FW109" s="69">
        <f t="shared" si="661"/>
        <v>0</v>
      </c>
      <c r="FX109" s="69">
        <f t="shared" si="661"/>
        <v>0</v>
      </c>
      <c r="FY109" s="69">
        <f t="shared" si="661"/>
        <v>0</v>
      </c>
      <c r="FZ109" s="69">
        <f t="shared" si="661"/>
        <v>0</v>
      </c>
      <c r="GA109" s="69">
        <f t="shared" si="661"/>
        <v>0</v>
      </c>
      <c r="GB109" s="69">
        <f t="shared" si="661"/>
        <v>0</v>
      </c>
      <c r="GC109" s="69">
        <f t="shared" si="661"/>
        <v>0</v>
      </c>
      <c r="GD109" s="69">
        <f t="shared" si="661"/>
        <v>0</v>
      </c>
      <c r="GE109" s="69">
        <f t="shared" si="661"/>
        <v>0</v>
      </c>
      <c r="GF109" s="69">
        <f t="shared" si="661"/>
        <v>0</v>
      </c>
      <c r="GG109" s="69">
        <f t="shared" si="661"/>
        <v>0</v>
      </c>
      <c r="GH109" s="69">
        <f t="shared" si="661"/>
        <v>0</v>
      </c>
      <c r="GI109" s="69">
        <f t="shared" si="661"/>
        <v>0</v>
      </c>
      <c r="GJ109" s="69">
        <f t="shared" si="661"/>
        <v>0</v>
      </c>
      <c r="GK109" s="69">
        <f t="shared" si="661"/>
        <v>0</v>
      </c>
      <c r="GL109" s="69">
        <f t="shared" si="661"/>
        <v>0</v>
      </c>
      <c r="GM109" s="69">
        <f t="shared" si="661"/>
        <v>0</v>
      </c>
      <c r="GN109" s="69">
        <f t="shared" si="661"/>
        <v>0</v>
      </c>
      <c r="GO109" s="69">
        <f t="shared" si="661"/>
        <v>0</v>
      </c>
      <c r="GP109" s="69">
        <f t="shared" si="661"/>
        <v>0</v>
      </c>
      <c r="GQ109" s="69">
        <f t="shared" si="661"/>
        <v>0</v>
      </c>
      <c r="GR109" s="69">
        <f t="shared" si="661"/>
        <v>0</v>
      </c>
      <c r="GS109" s="69">
        <f t="shared" si="661"/>
        <v>0</v>
      </c>
      <c r="GT109" s="69">
        <f t="shared" si="661"/>
        <v>0</v>
      </c>
      <c r="GU109" s="69">
        <f t="shared" si="661"/>
        <v>0</v>
      </c>
      <c r="GV109" s="69">
        <f t="shared" si="661"/>
        <v>0</v>
      </c>
      <c r="GW109" s="69">
        <f t="shared" si="661"/>
        <v>0</v>
      </c>
      <c r="GX109" s="69">
        <f t="shared" si="661"/>
        <v>0</v>
      </c>
      <c r="GY109" s="69">
        <f t="shared" si="661"/>
        <v>0</v>
      </c>
      <c r="GZ109" s="69">
        <f t="shared" si="661"/>
        <v>0</v>
      </c>
      <c r="HA109" s="69">
        <f t="shared" si="661"/>
        <v>0</v>
      </c>
      <c r="HB109" s="69">
        <f t="shared" si="661"/>
        <v>0</v>
      </c>
      <c r="HD109" s="69">
        <f>IFERROR(HD108/HD105,0)</f>
        <v>-0.3181404972632022</v>
      </c>
      <c r="HE109" s="69">
        <f>IFERROR(HE108/HE105,0)</f>
        <v>-0.32633541580317543</v>
      </c>
      <c r="HF109" s="69">
        <f>IFERROR(HF108/HF105,0)</f>
        <v>-0.35028277649924566</v>
      </c>
      <c r="HG109" s="69">
        <f>IFERROR(HG108/HG105,0)</f>
        <v>-0.34001850732608097</v>
      </c>
      <c r="HH109" s="69">
        <f>IFERROR(HH108/HH105,0)</f>
        <v>-0.12097100979458766</v>
      </c>
      <c r="HI109" s="69">
        <f>+SUMIF($E$6:$BX$6,HI$7,$E109:$BX109)</f>
        <v>-0.15587530618172368</v>
      </c>
      <c r="HJ109" s="69">
        <f>+SUMIF($E$6:$CJ$6,HJ$7,$E109:$CJ109)</f>
        <v>-1.9752236479260783</v>
      </c>
      <c r="HK109" s="69">
        <f>+SUMIF($E$6:$CV$6,HK$7,$E109:$CV109)</f>
        <v>4.3490651399965561</v>
      </c>
      <c r="HL109" s="962">
        <f>+SUMIF($E$6:SEW$6,HL$7,$E109:SEW109)</f>
        <v>-5.4021683322305885</v>
      </c>
      <c r="HM109" s="962">
        <f>+SUMIF($E$6:SEX$6,HM$7,$E109:SEX109)</f>
        <v>10.840055399091355</v>
      </c>
      <c r="HN109" s="962">
        <f>+SUMIF($E$6:SEY$6,HN$7,$E109:SEY109)</f>
        <v>4.1519315171808158</v>
      </c>
      <c r="HO109" s="69"/>
      <c r="HP109" s="69"/>
      <c r="HR109" s="970">
        <f t="shared" si="647"/>
        <v>7.3382659485888402E-2</v>
      </c>
      <c r="HS109" s="970">
        <f t="shared" si="647"/>
        <v>-2.9302808650047307E-2</v>
      </c>
      <c r="HT109" s="970">
        <f t="shared" si="647"/>
        <v>-0.64422227852857628</v>
      </c>
      <c r="HU109" s="970">
        <f t="shared" si="647"/>
        <v>0.28853438891189342</v>
      </c>
      <c r="HV109" s="970">
        <f t="shared" si="647"/>
        <v>11.671818880813031</v>
      </c>
      <c r="HW109" s="970">
        <f t="shared" si="647"/>
        <v>-3.2018089670822518</v>
      </c>
      <c r="HX109" s="970">
        <f t="shared" si="647"/>
        <v>-2.2421447272769215</v>
      </c>
      <c r="HY109" s="970">
        <f t="shared" si="647"/>
        <v>-3.0066119255146257</v>
      </c>
      <c r="HZ109" s="970">
        <f t="shared" si="647"/>
        <v>-0.61698244480108078</v>
      </c>
      <c r="IA109" s="970">
        <f t="shared" si="604"/>
        <v>-1</v>
      </c>
      <c r="IB109" s="970" t="str">
        <f>+IFERROR(HP109/HO109-1,"")</f>
        <v/>
      </c>
      <c r="IC109" s="970">
        <f t="shared" si="605"/>
        <v>-1</v>
      </c>
      <c r="IE109" s="69">
        <f t="shared" si="648"/>
        <v>-2.394736069607023E-2</v>
      </c>
      <c r="IF109" s="69">
        <f t="shared" si="648"/>
        <v>1.0264269173164697E-2</v>
      </c>
      <c r="IG109" s="69">
        <f t="shared" si="648"/>
        <v>0.2190474975314933</v>
      </c>
      <c r="IH109" s="69">
        <f t="shared" si="648"/>
        <v>-3.4904296387136019E-2</v>
      </c>
      <c r="II109" s="69">
        <f t="shared" si="619"/>
        <v>-1.8193483417443546</v>
      </c>
      <c r="IJ109" s="69">
        <f t="shared" si="620"/>
        <v>6.3242887879226348</v>
      </c>
      <c r="IK109" s="69">
        <f t="shared" si="621"/>
        <v>-9.7512334722271454</v>
      </c>
      <c r="IL109" s="69">
        <f t="shared" si="607"/>
        <v>5.4021683322305885</v>
      </c>
      <c r="IM109" s="69">
        <f>+HP109-HO109</f>
        <v>0</v>
      </c>
      <c r="IN109" s="69">
        <f t="shared" si="608"/>
        <v>5.4021683322305885</v>
      </c>
      <c r="IP109" s="69">
        <f t="shared" si="649"/>
        <v>-8.8785996026064409E-6</v>
      </c>
      <c r="IQ109" s="69">
        <f t="shared" si="649"/>
        <v>-8.8942676281180802E-6</v>
      </c>
      <c r="IR109" s="69">
        <f t="shared" si="649"/>
        <v>-2.0175807305301472E-5</v>
      </c>
      <c r="IS109" s="69">
        <f t="shared" si="649"/>
        <v>-1.9663602540940534E-5</v>
      </c>
      <c r="IT109" s="69">
        <f t="shared" si="649"/>
        <v>-1.1437187065351201E-5</v>
      </c>
      <c r="IU109" s="69">
        <f t="shared" si="649"/>
        <v>-1.3958651097532979E-4</v>
      </c>
      <c r="IV109" s="69">
        <f t="shared" si="649"/>
        <v>2.0486095634072063E-4</v>
      </c>
      <c r="IW109" s="69">
        <f t="shared" si="649"/>
        <v>-4.2806787681882866E-4</v>
      </c>
      <c r="IX109" s="69" t="e">
        <f>+HO109/HO$11</f>
        <v>#DIV/0!</v>
      </c>
      <c r="IY109" s="69" t="e">
        <f>+HP109/HP$11</f>
        <v>#DIV/0!</v>
      </c>
      <c r="JA109" s="970">
        <f t="shared" ref="JA109:JL109" si="662">+IFERROR(IO109/IN109-1,"")</f>
        <v>-1</v>
      </c>
      <c r="JB109" s="970" t="str">
        <f t="shared" si="662"/>
        <v/>
      </c>
      <c r="JC109" s="970">
        <f t="shared" si="662"/>
        <v>1.7646955840917578E-3</v>
      </c>
      <c r="JD109" s="970">
        <f t="shared" si="662"/>
        <v>1.2684056910451242</v>
      </c>
      <c r="JE109" s="970">
        <f t="shared" si="662"/>
        <v>-2.5387076542228382E-2</v>
      </c>
      <c r="JF109" s="970">
        <f t="shared" si="662"/>
        <v>-0.41835749367195318</v>
      </c>
      <c r="JG109" s="970">
        <f t="shared" si="662"/>
        <v>11.204619035934559</v>
      </c>
      <c r="JH109" s="970">
        <f t="shared" si="662"/>
        <v>-2.4676271719186911</v>
      </c>
      <c r="JI109" s="970">
        <f t="shared" si="662"/>
        <v>-3.0895532485305535</v>
      </c>
      <c r="JJ109" s="970" t="str">
        <f t="shared" si="662"/>
        <v/>
      </c>
      <c r="JK109" s="970" t="str">
        <f t="shared" si="662"/>
        <v/>
      </c>
      <c r="JL109" s="970" t="str">
        <f t="shared" si="662"/>
        <v/>
      </c>
      <c r="JM109" s="69"/>
      <c r="JN109" s="69"/>
      <c r="JO109" s="1184"/>
      <c r="JP109" s="69" t="str">
        <f>+JL109</f>
        <v/>
      </c>
      <c r="JQ109" s="69">
        <v>-1.0199999999999951</v>
      </c>
      <c r="JR109" s="85"/>
      <c r="JS109" s="69">
        <v>0.57853245041079671</v>
      </c>
      <c r="JT109" s="69">
        <v>-0.42989690058098529</v>
      </c>
      <c r="JV109" s="69">
        <v>-7.4415608510606268E-5</v>
      </c>
      <c r="JW109" s="69">
        <v>-1.0958787164581035E-4</v>
      </c>
      <c r="JY109" s="69"/>
      <c r="JZ109" s="69"/>
      <c r="KA109" s="69"/>
      <c r="KB109" s="69">
        <f>+IFERROR(JF109/JE109-1,"NA")</f>
        <v>15.479152019574418</v>
      </c>
      <c r="KC109" s="69">
        <f>+IFERROR(JG109/JF109-1,"NA")</f>
        <v>-27.782403101210949</v>
      </c>
      <c r="KD109" s="69">
        <f>+IFERROR(JH109/JG109-1,"NA")</f>
        <v>-1.2202330274688247</v>
      </c>
      <c r="KE109" s="69">
        <f>+IFERROR(JI109/JH109-1,"NA")</f>
        <v>0.2520340526678051</v>
      </c>
      <c r="KF109" s="69">
        <f>+IFERROR(JN109/JI109-1,"NA")</f>
        <v>-1</v>
      </c>
      <c r="KH109" s="69"/>
      <c r="KI109" s="69"/>
      <c r="KJ109" s="69"/>
      <c r="KK109" s="69"/>
      <c r="KL109" s="69"/>
      <c r="KM109" s="69"/>
      <c r="KN109" s="69"/>
      <c r="KO109" s="69">
        <f>+JN109-JI109</f>
        <v>3.0895532485305535</v>
      </c>
      <c r="KQ109" s="69">
        <f t="shared" si="653"/>
        <v>-2.7562357209190126E-5</v>
      </c>
      <c r="KR109" s="69" t="e">
        <f t="shared" si="653"/>
        <v>#VALUE!</v>
      </c>
      <c r="KS109" s="69">
        <f t="shared" si="653"/>
        <v>4.4808582836798566E-8</v>
      </c>
      <c r="KT109" s="69">
        <f t="shared" si="653"/>
        <v>7.5263870219076243E-5</v>
      </c>
      <c r="KU109" s="69">
        <f t="shared" si="653"/>
        <v>-4.1266199534125782E-6</v>
      </c>
      <c r="KV109" s="69">
        <f t="shared" si="653"/>
        <v>-3.0696542207521447E-5</v>
      </c>
      <c r="KW109" s="69">
        <f t="shared" si="653"/>
        <v>7.9181599495127195E-4</v>
      </c>
      <c r="KX109" s="69">
        <f t="shared" si="653"/>
        <v>-1.1623658097979448E-4</v>
      </c>
      <c r="KY109" s="69">
        <f t="shared" si="653"/>
        <v>-2.4481623268320199E-4</v>
      </c>
      <c r="KZ109" s="69" t="e">
        <f>+JN109/JN$11</f>
        <v>#DIV/0!</v>
      </c>
      <c r="LB109" s="69"/>
      <c r="LC109" s="69"/>
      <c r="LD109" s="69"/>
      <c r="LE109" s="69"/>
      <c r="LF109" s="69"/>
      <c r="LG109" s="69"/>
      <c r="LH109" s="69"/>
      <c r="LI109" s="69"/>
      <c r="LJ109" s="69"/>
      <c r="LK109" s="69"/>
      <c r="LL109" s="69"/>
      <c r="LM109" s="69"/>
      <c r="LN109" s="69"/>
      <c r="LO109" s="69"/>
      <c r="LR109" s="69"/>
      <c r="LS109" s="69"/>
      <c r="LT109" s="69"/>
      <c r="LU109" s="69"/>
      <c r="LV109" s="69"/>
      <c r="LW109" s="69"/>
      <c r="LX109" s="69" t="str">
        <f>+IFERROR(LO109/LI109-1," ")</f>
        <v xml:space="preserve"> </v>
      </c>
      <c r="LZ109" s="69"/>
      <c r="MA109" s="69"/>
      <c r="MB109" s="69"/>
      <c r="MC109" s="69"/>
      <c r="MD109" s="69"/>
      <c r="ME109" s="69"/>
      <c r="MF109" s="69">
        <f>+LO109-LI109</f>
        <v>0</v>
      </c>
      <c r="MH109" s="69">
        <f t="shared" si="657"/>
        <v>0</v>
      </c>
      <c r="MI109" s="69">
        <f t="shared" si="657"/>
        <v>0</v>
      </c>
      <c r="MJ109" s="69">
        <f t="shared" si="657"/>
        <v>0</v>
      </c>
      <c r="MK109" s="69">
        <f t="shared" si="657"/>
        <v>0</v>
      </c>
      <c r="ML109" s="69">
        <f t="shared" si="657"/>
        <v>0</v>
      </c>
      <c r="MM109" s="69">
        <f t="shared" si="657"/>
        <v>0</v>
      </c>
      <c r="MN109" s="69">
        <f t="shared" si="657"/>
        <v>0</v>
      </c>
      <c r="MO109" s="69">
        <f t="shared" si="657"/>
        <v>0</v>
      </c>
      <c r="MP109" s="69" t="e">
        <f>+LO109/LO$11</f>
        <v>#DIV/0!</v>
      </c>
    </row>
    <row r="110" spans="1:354">
      <c r="A110" s="867"/>
      <c r="B110" s="71"/>
      <c r="D110" s="31"/>
      <c r="E110" s="66"/>
      <c r="F110" s="66"/>
      <c r="G110" s="66"/>
      <c r="H110" s="66"/>
      <c r="I110" s="66"/>
      <c r="J110" s="66"/>
      <c r="K110" s="66"/>
      <c r="L110" s="66"/>
      <c r="M110" s="66"/>
      <c r="N110" s="66"/>
      <c r="O110" s="66"/>
      <c r="P110" s="66"/>
      <c r="Q110" s="102"/>
      <c r="R110" s="66"/>
      <c r="S110" s="66"/>
      <c r="T110" s="66"/>
      <c r="U110" s="66"/>
      <c r="V110" s="66"/>
      <c r="W110" s="66"/>
      <c r="X110" s="66"/>
      <c r="Y110" s="66"/>
      <c r="Z110" s="66"/>
      <c r="AA110" s="66"/>
      <c r="AB110" s="66"/>
      <c r="AC110" s="102"/>
      <c r="AD110" s="66"/>
      <c r="AE110" s="66"/>
      <c r="AF110" s="66"/>
      <c r="AG110" s="66"/>
      <c r="AH110" s="66"/>
      <c r="AI110" s="66"/>
      <c r="AJ110" s="66"/>
      <c r="AK110" s="66"/>
      <c r="AL110" s="66"/>
      <c r="AM110" s="66"/>
      <c r="AN110" s="66"/>
      <c r="AO110" s="66"/>
      <c r="AP110" s="88"/>
      <c r="AQ110" s="942"/>
      <c r="AR110" s="942"/>
      <c r="AS110" s="88"/>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873"/>
      <c r="DR110" s="873"/>
      <c r="DS110" s="873"/>
      <c r="DT110" s="873"/>
      <c r="DU110" s="873"/>
      <c r="DV110" s="873"/>
      <c r="DW110" s="873"/>
      <c r="DX110" s="873"/>
      <c r="DY110" s="873"/>
      <c r="DZ110" s="873"/>
      <c r="EA110" s="873"/>
      <c r="EB110" s="873"/>
      <c r="EC110" s="873"/>
      <c r="ED110" s="873"/>
      <c r="EE110" s="873"/>
      <c r="EF110" s="873"/>
      <c r="EH110" s="66"/>
      <c r="EI110" s="66"/>
      <c r="EJ110" s="66"/>
      <c r="EK110" s="66"/>
      <c r="EL110" s="66"/>
      <c r="EM110" s="66"/>
      <c r="EN110" s="66"/>
      <c r="EO110" s="66"/>
      <c r="EP110" s="66"/>
      <c r="EQ110" s="66"/>
      <c r="ER110" s="66"/>
      <c r="ES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D110" s="66"/>
      <c r="HE110" s="66"/>
      <c r="HF110" s="66"/>
      <c r="HG110" s="66"/>
      <c r="HH110" s="66"/>
      <c r="HI110" s="66"/>
      <c r="HJ110" s="66"/>
      <c r="HK110" s="66"/>
      <c r="HO110" s="66"/>
      <c r="HP110" s="66"/>
      <c r="HR110" s="50"/>
      <c r="HS110" s="50"/>
      <c r="HT110" s="50"/>
      <c r="HU110" s="922"/>
      <c r="HV110" s="922"/>
      <c r="HW110" s="922"/>
      <c r="HX110" s="922"/>
      <c r="HY110" s="922"/>
      <c r="HZ110" s="922"/>
      <c r="IA110" s="922" t="str">
        <f t="shared" si="604"/>
        <v/>
      </c>
      <c r="IB110" s="50"/>
      <c r="IC110" s="922" t="str">
        <f t="shared" si="605"/>
        <v/>
      </c>
      <c r="IE110" s="66"/>
      <c r="IF110" s="66"/>
      <c r="IG110" s="66"/>
      <c r="IH110" s="66"/>
      <c r="II110" s="66">
        <f t="shared" si="619"/>
        <v>0</v>
      </c>
      <c r="IJ110" s="66">
        <f t="shared" si="620"/>
        <v>0</v>
      </c>
      <c r="IK110" s="66">
        <f t="shared" si="621"/>
        <v>0</v>
      </c>
      <c r="IL110" s="66">
        <f t="shared" si="607"/>
        <v>0</v>
      </c>
      <c r="IM110" s="66"/>
      <c r="IN110" s="66">
        <f t="shared" si="608"/>
        <v>0</v>
      </c>
      <c r="IP110" s="50"/>
      <c r="IQ110" s="50"/>
      <c r="IR110" s="50"/>
      <c r="IS110" s="50"/>
      <c r="IT110" s="50"/>
      <c r="IU110" s="50"/>
      <c r="IV110" s="50"/>
      <c r="IW110" s="50"/>
      <c r="IX110" s="50"/>
      <c r="IY110" s="50"/>
      <c r="JA110" s="66"/>
      <c r="JB110" s="66"/>
      <c r="JC110" s="66"/>
      <c r="JD110" s="66"/>
      <c r="JE110" s="66"/>
      <c r="JF110" s="66"/>
      <c r="JG110" s="66"/>
      <c r="JH110" s="66"/>
      <c r="JI110" s="66"/>
      <c r="JJ110" s="66"/>
      <c r="JK110" s="66"/>
      <c r="JL110" s="66"/>
      <c r="JM110" s="66"/>
      <c r="JN110" s="66"/>
      <c r="JO110" s="1184"/>
      <c r="JP110" s="66"/>
      <c r="JQ110" s="66"/>
      <c r="JR110" s="88"/>
      <c r="JS110" s="50"/>
      <c r="JT110" s="66"/>
      <c r="JV110" s="50"/>
      <c r="JW110" s="50"/>
      <c r="JY110" s="50"/>
      <c r="JZ110" s="50"/>
      <c r="KA110" s="50"/>
      <c r="KB110" s="50"/>
      <c r="KC110" s="50"/>
      <c r="KD110" s="50"/>
      <c r="KE110" s="50"/>
      <c r="KF110" s="50"/>
      <c r="KH110" s="66"/>
      <c r="KI110" s="66"/>
      <c r="KJ110" s="66"/>
      <c r="KK110" s="66"/>
      <c r="KL110" s="66"/>
      <c r="KM110" s="66"/>
      <c r="KN110" s="66"/>
      <c r="KO110" s="66"/>
      <c r="KQ110" s="50"/>
      <c r="KR110" s="50"/>
      <c r="KS110" s="50"/>
      <c r="KT110" s="50"/>
      <c r="KU110" s="50"/>
      <c r="KV110" s="50"/>
      <c r="KW110" s="50"/>
      <c r="KX110" s="50"/>
      <c r="KY110" s="50"/>
      <c r="KZ110" s="50"/>
      <c r="LB110" s="66"/>
      <c r="LC110" s="66"/>
      <c r="LD110" s="66"/>
      <c r="LE110" s="66"/>
      <c r="LF110" s="66"/>
      <c r="LG110" s="66"/>
      <c r="LH110" s="66"/>
      <c r="LI110" s="66"/>
      <c r="LJ110" s="66"/>
      <c r="LK110" s="66"/>
      <c r="LL110" s="66"/>
      <c r="LM110" s="66"/>
      <c r="LN110" s="66"/>
      <c r="LO110" s="66"/>
      <c r="LR110" s="50"/>
      <c r="LS110" s="50"/>
      <c r="LT110" s="50"/>
      <c r="LU110" s="50"/>
      <c r="LV110" s="50"/>
      <c r="LW110" s="50"/>
      <c r="LX110" s="50" t="str">
        <f>+IFERROR(LO110/LI110-1," ")</f>
        <v xml:space="preserve"> </v>
      </c>
      <c r="LZ110" s="66"/>
      <c r="MA110" s="66"/>
      <c r="MB110" s="66"/>
      <c r="MC110" s="66"/>
      <c r="MD110" s="66"/>
      <c r="ME110" s="66"/>
      <c r="MF110" s="66">
        <f>+LO110-LI110</f>
        <v>0</v>
      </c>
      <c r="MH110" s="50"/>
      <c r="MI110" s="50"/>
      <c r="MJ110" s="50"/>
      <c r="MK110" s="50"/>
      <c r="ML110" s="50"/>
      <c r="MM110" s="50"/>
      <c r="MN110" s="50"/>
      <c r="MO110" s="50"/>
      <c r="MP110" s="50"/>
    </row>
    <row r="111" spans="1:354">
      <c r="A111" s="867"/>
      <c r="B111" s="71"/>
      <c r="C111" s="1524" t="s">
        <v>107</v>
      </c>
      <c r="D111" s="1525" t="s">
        <v>59</v>
      </c>
      <c r="E111" s="1526">
        <f t="shared" ref="E111:BK111" si="663">+E105+E108</f>
        <v>-904.19624287719978</v>
      </c>
      <c r="F111" s="1526">
        <f t="shared" si="663"/>
        <v>709.24944616310029</v>
      </c>
      <c r="G111" s="1526">
        <f t="shared" si="663"/>
        <v>218.7654456618003</v>
      </c>
      <c r="H111" s="1526">
        <f t="shared" si="663"/>
        <v>387.14338814820053</v>
      </c>
      <c r="I111" s="1526">
        <f t="shared" si="663"/>
        <v>966.36699991279806</v>
      </c>
      <c r="J111" s="1526">
        <f t="shared" si="663"/>
        <v>353.27390629669947</v>
      </c>
      <c r="K111" s="1526">
        <f t="shared" si="663"/>
        <v>511.21394079259909</v>
      </c>
      <c r="L111" s="1526">
        <f t="shared" si="663"/>
        <v>997.71869494170016</v>
      </c>
      <c r="M111" s="1526">
        <f t="shared" si="663"/>
        <v>1000.3708522676013</v>
      </c>
      <c r="N111" s="1526">
        <f t="shared" si="663"/>
        <v>539.54167635369754</v>
      </c>
      <c r="O111" s="1526">
        <f t="shared" si="663"/>
        <v>1171.2838374869057</v>
      </c>
      <c r="P111" s="1526">
        <f t="shared" si="663"/>
        <v>139.33510101209734</v>
      </c>
      <c r="Q111" s="1526">
        <f t="shared" si="663"/>
        <v>-263.53662756029973</v>
      </c>
      <c r="R111" s="1526">
        <f t="shared" si="663"/>
        <v>858.64289624519949</v>
      </c>
      <c r="S111" s="1526">
        <f t="shared" si="663"/>
        <v>-120.78924482320035</v>
      </c>
      <c r="T111" s="1526">
        <f t="shared" si="663"/>
        <v>-466.98188087299809</v>
      </c>
      <c r="U111" s="1526">
        <f t="shared" si="663"/>
        <v>998.96759806340037</v>
      </c>
      <c r="V111" s="1526">
        <f t="shared" si="663"/>
        <v>777.16093668179883</v>
      </c>
      <c r="W111" s="1526">
        <f t="shared" si="663"/>
        <v>354.65684379839911</v>
      </c>
      <c r="X111" s="1526">
        <f t="shared" si="663"/>
        <v>627.86562890039932</v>
      </c>
      <c r="Y111" s="1526">
        <f t="shared" si="663"/>
        <v>-433.3293585587993</v>
      </c>
      <c r="Z111" s="1526">
        <f t="shared" si="663"/>
        <v>21.554514068997953</v>
      </c>
      <c r="AA111" s="1526">
        <f t="shared" si="663"/>
        <v>1581.3462433758009</v>
      </c>
      <c r="AB111" s="1526">
        <f t="shared" si="663"/>
        <v>2114.6171259413081</v>
      </c>
      <c r="AC111" s="1526">
        <f t="shared" si="663"/>
        <v>-452.51189486000027</v>
      </c>
      <c r="AD111" s="1526">
        <f t="shared" si="663"/>
        <v>1283.4109983890003</v>
      </c>
      <c r="AE111" s="1526">
        <f t="shared" si="663"/>
        <v>258.74714533799983</v>
      </c>
      <c r="AF111" s="1526">
        <f t="shared" si="663"/>
        <v>493.06930642200018</v>
      </c>
      <c r="AG111" s="1526">
        <f t="shared" si="663"/>
        <v>428.40284729220019</v>
      </c>
      <c r="AH111" s="1526">
        <f t="shared" si="663"/>
        <v>279.67273954620032</v>
      </c>
      <c r="AI111" s="1526">
        <f t="shared" si="663"/>
        <v>173.12105586600015</v>
      </c>
      <c r="AJ111" s="1526">
        <f t="shared" si="663"/>
        <v>454.72184344620007</v>
      </c>
      <c r="AK111" s="1526">
        <f t="shared" si="663"/>
        <v>553.48655979539967</v>
      </c>
      <c r="AL111" s="1526">
        <f t="shared" si="663"/>
        <v>776.80583546279991</v>
      </c>
      <c r="AM111" s="1526">
        <f t="shared" si="663"/>
        <v>2461.1558713062004</v>
      </c>
      <c r="AN111" s="1526">
        <f t="shared" si="663"/>
        <v>49.424589015998208</v>
      </c>
      <c r="AO111" s="1526">
        <f t="shared" si="663"/>
        <v>764.81390106000026</v>
      </c>
      <c r="AP111" s="1526">
        <f t="shared" si="663"/>
        <v>-349.9997196999999</v>
      </c>
      <c r="AQ111" s="1526">
        <f t="shared" si="663"/>
        <v>-23.243159030000214</v>
      </c>
      <c r="AR111" s="1526">
        <f t="shared" si="663"/>
        <v>-882.53243102000022</v>
      </c>
      <c r="AS111" s="1526">
        <f t="shared" si="663"/>
        <v>-444.92429691000041</v>
      </c>
      <c r="AT111" s="1526">
        <f t="shared" si="663"/>
        <v>-663.47861333999981</v>
      </c>
      <c r="AU111" s="1526">
        <f t="shared" si="663"/>
        <v>89.394375750000435</v>
      </c>
      <c r="AV111" s="1526">
        <f t="shared" si="663"/>
        <v>5.774827100000028</v>
      </c>
      <c r="AW111" s="1526">
        <f t="shared" si="663"/>
        <v>-185.85443651000048</v>
      </c>
      <c r="AX111" s="1526">
        <f t="shared" si="663"/>
        <v>-1262.5369563899999</v>
      </c>
      <c r="AY111" s="1526">
        <f t="shared" si="663"/>
        <v>-582.75377264000008</v>
      </c>
      <c r="AZ111" s="1526">
        <f t="shared" si="663"/>
        <v>480.71815898000091</v>
      </c>
      <c r="BA111" s="1526">
        <f t="shared" si="663"/>
        <v>24.359584859999998</v>
      </c>
      <c r="BB111" s="1526">
        <f t="shared" si="663"/>
        <v>-650.36709494000024</v>
      </c>
      <c r="BC111" s="1526">
        <f t="shared" si="663"/>
        <v>-915.36285868000004</v>
      </c>
      <c r="BD111" s="1526">
        <f t="shared" si="663"/>
        <v>-701.97909128000003</v>
      </c>
      <c r="BE111" s="1526">
        <f t="shared" si="663"/>
        <v>-454.51312524999997</v>
      </c>
      <c r="BF111" s="1526">
        <f t="shared" si="663"/>
        <v>-908.89802556999985</v>
      </c>
      <c r="BG111" s="1526">
        <f t="shared" si="663"/>
        <v>-508.96334026000005</v>
      </c>
      <c r="BH111" s="1526">
        <f t="shared" si="663"/>
        <v>-414.09438539000013</v>
      </c>
      <c r="BI111" s="1526">
        <f>+BI105+BI108</f>
        <v>-133.82858430000007</v>
      </c>
      <c r="BJ111" s="1526">
        <f t="shared" si="663"/>
        <v>-237.76028342999996</v>
      </c>
      <c r="BK111" s="1526">
        <f t="shared" si="663"/>
        <v>-71.151688029999832</v>
      </c>
      <c r="BL111" s="1526">
        <f>+BL105+BL108</f>
        <v>242.10426851000028</v>
      </c>
      <c r="BM111" s="1526">
        <f t="shared" ref="BM111:DX111" si="664">+BM105+BM108</f>
        <v>123.44698306999993</v>
      </c>
      <c r="BN111" s="1526">
        <f t="shared" si="664"/>
        <v>140.34818187999997</v>
      </c>
      <c r="BO111" s="1526">
        <f t="shared" si="664"/>
        <v>91.924748239999929</v>
      </c>
      <c r="BP111" s="1526">
        <f t="shared" si="664"/>
        <v>356.07206474000037</v>
      </c>
      <c r="BQ111" s="1526">
        <f t="shared" si="664"/>
        <v>-11.4822601300001</v>
      </c>
      <c r="BR111" s="1526">
        <f t="shared" si="664"/>
        <v>90.135582020000058</v>
      </c>
      <c r="BS111" s="1526">
        <f t="shared" si="664"/>
        <v>61.057128020000079</v>
      </c>
      <c r="BT111" s="1526">
        <f t="shared" si="664"/>
        <v>44.022168460000159</v>
      </c>
      <c r="BU111" s="1526">
        <f t="shared" si="664"/>
        <v>-43.153211829999861</v>
      </c>
      <c r="BV111" s="1526">
        <f t="shared" si="664"/>
        <v>261.98080613999974</v>
      </c>
      <c r="BW111" s="1526">
        <f t="shared" si="664"/>
        <v>188.85485309000035</v>
      </c>
      <c r="BX111" s="1526">
        <f t="shared" si="664"/>
        <v>-41.260074569999688</v>
      </c>
      <c r="BY111" s="1526">
        <f t="shared" si="664"/>
        <v>-155.39655519999991</v>
      </c>
      <c r="BZ111" s="1526">
        <f t="shared" si="664"/>
        <v>22.075449460000158</v>
      </c>
      <c r="CA111" s="1526">
        <f t="shared" si="664"/>
        <v>-61.512769169999871</v>
      </c>
      <c r="CB111" s="1526">
        <f t="shared" si="664"/>
        <v>-90.353418339999905</v>
      </c>
      <c r="CC111" s="1526">
        <f t="shared" si="664"/>
        <v>-137.22758993999992</v>
      </c>
      <c r="CD111" s="1526">
        <f t="shared" si="664"/>
        <v>-18.083400690000197</v>
      </c>
      <c r="CE111" s="1526">
        <f t="shared" si="664"/>
        <v>-160.47541692000007</v>
      </c>
      <c r="CF111" s="1526">
        <f t="shared" si="664"/>
        <v>489.31329980000021</v>
      </c>
      <c r="CG111" s="1526">
        <f t="shared" si="664"/>
        <v>-43.808465060000024</v>
      </c>
      <c r="CH111" s="1526">
        <f t="shared" si="664"/>
        <v>156.53165334000016</v>
      </c>
      <c r="CI111" s="1526">
        <f t="shared" si="664"/>
        <v>530.51425845000006</v>
      </c>
      <c r="CJ111" s="1526">
        <f t="shared" si="664"/>
        <v>-223.80143551000018</v>
      </c>
      <c r="CK111" s="1526">
        <f t="shared" si="664"/>
        <v>114.61153242999967</v>
      </c>
      <c r="CL111" s="1526">
        <f t="shared" si="664"/>
        <v>-167.1875687900002</v>
      </c>
      <c r="CM111" s="1526">
        <f t="shared" si="664"/>
        <v>406.87187320999999</v>
      </c>
      <c r="CN111" s="1526">
        <f t="shared" si="664"/>
        <v>132.04099503999996</v>
      </c>
      <c r="CO111" s="1526">
        <f t="shared" si="664"/>
        <v>429.96789341999983</v>
      </c>
      <c r="CP111" s="1526">
        <f t="shared" si="664"/>
        <v>-48.026834360000208</v>
      </c>
      <c r="CQ111" s="1526">
        <f t="shared" si="664"/>
        <v>59.81053393000002</v>
      </c>
      <c r="CR111" s="1526">
        <f t="shared" si="664"/>
        <v>295.62067388000003</v>
      </c>
      <c r="CS111" s="1526">
        <f t="shared" si="664"/>
        <v>226.86529959999979</v>
      </c>
      <c r="CT111" s="1526">
        <f t="shared" si="664"/>
        <v>667.62432546000014</v>
      </c>
      <c r="CU111" s="1526">
        <f t="shared" si="664"/>
        <v>314.66271745000012</v>
      </c>
      <c r="CV111" s="1526">
        <f t="shared" si="664"/>
        <v>-892.75917743000036</v>
      </c>
      <c r="CW111" s="1526">
        <f t="shared" si="664"/>
        <v>311.65705161000005</v>
      </c>
      <c r="CX111" s="1526">
        <f t="shared" si="664"/>
        <v>130.4019356899995</v>
      </c>
      <c r="CY111" s="1526">
        <f t="shared" si="664"/>
        <v>902.39149164000037</v>
      </c>
      <c r="CZ111" s="1526">
        <f t="shared" si="664"/>
        <v>-345.67212746999991</v>
      </c>
      <c r="DA111" s="1526">
        <f t="shared" si="664"/>
        <v>-502.23676384999987</v>
      </c>
      <c r="DB111" s="1526">
        <f t="shared" si="664"/>
        <v>-343.46025253000005</v>
      </c>
      <c r="DC111" s="1526">
        <f t="shared" si="664"/>
        <v>-475.61307777000002</v>
      </c>
      <c r="DD111" s="1526">
        <f t="shared" si="664"/>
        <v>238.34541048000008</v>
      </c>
      <c r="DE111" s="1526">
        <f t="shared" si="664"/>
        <v>176.83278269999985</v>
      </c>
      <c r="DF111" s="1526">
        <f t="shared" si="664"/>
        <v>261.81495387000007</v>
      </c>
      <c r="DG111" s="1526">
        <f t="shared" si="664"/>
        <v>-281.60718725000027</v>
      </c>
      <c r="DH111" s="1526">
        <f t="shared" si="664"/>
        <v>-273.37079295000012</v>
      </c>
      <c r="DI111" s="1546">
        <f t="shared" si="664"/>
        <v>59.444504020000124</v>
      </c>
      <c r="DJ111" s="1546">
        <f t="shared" si="664"/>
        <v>-151.74424709999971</v>
      </c>
      <c r="DK111" s="1546">
        <f t="shared" si="664"/>
        <v>105.17819274000013</v>
      </c>
      <c r="DL111" s="1546">
        <f t="shared" si="664"/>
        <v>223.37591271999997</v>
      </c>
      <c r="DM111" s="1546">
        <f t="shared" si="664"/>
        <v>124.62857036999982</v>
      </c>
      <c r="DN111" s="1546">
        <f t="shared" si="664"/>
        <v>12.221512550000313</v>
      </c>
      <c r="DO111" s="1547">
        <f t="shared" si="664"/>
        <v>154.3028182799996</v>
      </c>
      <c r="DP111" s="1547">
        <f t="shared" si="664"/>
        <v>269.82986755999991</v>
      </c>
      <c r="DQ111" s="1527">
        <f t="shared" si="664"/>
        <v>157.05115625999986</v>
      </c>
      <c r="DR111" s="1527">
        <f t="shared" si="664"/>
        <v>218.37779812000011</v>
      </c>
      <c r="DS111" s="1527">
        <f t="shared" si="664"/>
        <v>243.41679131999985</v>
      </c>
      <c r="DT111" s="1527">
        <f t="shared" si="664"/>
        <v>-717.64069018000055</v>
      </c>
      <c r="DU111" s="1527">
        <f t="shared" si="664"/>
        <v>289.49905815999983</v>
      </c>
      <c r="DV111" s="1527">
        <f t="shared" si="664"/>
        <v>-375.74638777000018</v>
      </c>
      <c r="DW111" s="1527">
        <f t="shared" si="664"/>
        <v>-60.563966349999873</v>
      </c>
      <c r="DX111" s="1527">
        <f t="shared" si="664"/>
        <v>0.24065370999996105</v>
      </c>
      <c r="DY111" s="1527">
        <f t="shared" ref="DY111:EF111" si="665">+DY105+DY108</f>
        <v>13.180775980000163</v>
      </c>
      <c r="DZ111" s="1527">
        <f t="shared" si="665"/>
        <v>440.75717962000044</v>
      </c>
      <c r="EA111" s="1527">
        <f t="shared" si="665"/>
        <v>339.0035188099996</v>
      </c>
      <c r="EB111" s="1527">
        <f t="shared" si="665"/>
        <v>516.77332189000003</v>
      </c>
      <c r="EC111" s="1527">
        <f t="shared" si="665"/>
        <v>705.7668697200005</v>
      </c>
      <c r="ED111" s="1527">
        <f t="shared" si="665"/>
        <v>1406.7851836200002</v>
      </c>
      <c r="EE111" s="1527">
        <f t="shared" si="665"/>
        <v>716.82348751999984</v>
      </c>
      <c r="EF111" s="1527">
        <f t="shared" si="665"/>
        <v>-1599.0856589800001</v>
      </c>
      <c r="EG111" s="949"/>
      <c r="EH111" s="1526">
        <f t="shared" ref="EH111:ES111" si="666">+EH105+EH108</f>
        <v>311.65705161000005</v>
      </c>
      <c r="EI111" s="1526">
        <f t="shared" si="666"/>
        <v>130.40768254999955</v>
      </c>
      <c r="EJ111" s="1526">
        <f t="shared" si="666"/>
        <v>902.39149163999969</v>
      </c>
      <c r="EK111" s="1526">
        <f t="shared" si="666"/>
        <v>-345.67212746999996</v>
      </c>
      <c r="EL111" s="1526">
        <f t="shared" si="666"/>
        <v>-502.23676384999987</v>
      </c>
      <c r="EM111" s="1526">
        <f t="shared" si="666"/>
        <v>-343.46025252999999</v>
      </c>
      <c r="EN111" s="1526">
        <f t="shared" si="666"/>
        <v>-334.80935718780381</v>
      </c>
      <c r="EO111" s="1526">
        <f t="shared" si="666"/>
        <v>-7.6691778905278056</v>
      </c>
      <c r="EP111" s="1526">
        <f t="shared" si="666"/>
        <v>-85.96882006002626</v>
      </c>
      <c r="EQ111" s="1526">
        <f t="shared" si="666"/>
        <v>-242.39771554160234</v>
      </c>
      <c r="ER111" s="1526">
        <f t="shared" si="666"/>
        <v>-271.59151271765239</v>
      </c>
      <c r="ES111" s="1526">
        <f t="shared" si="666"/>
        <v>-282.03987678797648</v>
      </c>
      <c r="EU111" s="1526">
        <v>320.8284636397417</v>
      </c>
      <c r="EV111" s="1526">
        <v>-223.17001099808238</v>
      </c>
      <c r="EW111" s="1526">
        <v>-168.54766277866023</v>
      </c>
      <c r="EX111" s="1526">
        <v>323.62578401124506</v>
      </c>
      <c r="EY111" s="1526">
        <v>127.77373004415418</v>
      </c>
      <c r="EZ111" s="1526">
        <v>253.73841535357329</v>
      </c>
      <c r="FA111" s="1526">
        <v>768.23443302406167</v>
      </c>
      <c r="FB111" s="1526">
        <v>1270.8901032836263</v>
      </c>
      <c r="FC111" s="1526">
        <v>774.96278487066866</v>
      </c>
      <c r="FD111" s="1526">
        <v>921.36293843473413</v>
      </c>
      <c r="FE111" s="1526">
        <v>819.25994174368736</v>
      </c>
      <c r="FF111" s="1526">
        <v>575.17968145340808</v>
      </c>
      <c r="FG111" s="1526">
        <f t="shared" ref="FG111:HB111" si="667">+FG105+FG108</f>
        <v>-385.87622524927866</v>
      </c>
      <c r="FH111" s="1526">
        <f t="shared" si="667"/>
        <v>-238.62395522082295</v>
      </c>
      <c r="FI111" s="1526">
        <f t="shared" si="667"/>
        <v>299.8092619376024</v>
      </c>
      <c r="FJ111" s="1526">
        <f t="shared" si="667"/>
        <v>-329.59431640424719</v>
      </c>
      <c r="FK111" s="1526">
        <f t="shared" si="667"/>
        <v>-59.836140963655623</v>
      </c>
      <c r="FL111" s="1526">
        <f t="shared" si="667"/>
        <v>158.58982735142439</v>
      </c>
      <c r="FM111" s="1526">
        <f t="shared" si="667"/>
        <v>229.60987415122318</v>
      </c>
      <c r="FN111" s="1526">
        <f t="shared" si="667"/>
        <v>307.22733514538675</v>
      </c>
      <c r="FO111" s="1526">
        <f t="shared" si="667"/>
        <v>184.63651579036124</v>
      </c>
      <c r="FP111" s="1526">
        <f t="shared" si="667"/>
        <v>201.78101800829941</v>
      </c>
      <c r="FQ111" s="1526">
        <f t="shared" si="667"/>
        <v>151.75435280891037</v>
      </c>
      <c r="FR111" s="1526">
        <f t="shared" si="667"/>
        <v>34.822445806205209</v>
      </c>
      <c r="FS111" s="1526">
        <f t="shared" si="667"/>
        <v>-28.379050554977297</v>
      </c>
      <c r="FT111" s="1526">
        <f t="shared" si="667"/>
        <v>183.8032907577429</v>
      </c>
      <c r="FU111" s="1526">
        <f t="shared" si="667"/>
        <v>162.42729941304651</v>
      </c>
      <c r="FV111" s="1526">
        <f t="shared" si="667"/>
        <v>144.62979130004669</v>
      </c>
      <c r="FW111" s="1526">
        <f t="shared" si="667"/>
        <v>133.70275300562287</v>
      </c>
      <c r="FX111" s="1526">
        <f t="shared" si="667"/>
        <v>137.99535995633477</v>
      </c>
      <c r="FY111" s="1526">
        <f t="shared" si="667"/>
        <v>154.5711894274545</v>
      </c>
      <c r="FZ111" s="1526">
        <f t="shared" si="667"/>
        <v>-92.374004685289364</v>
      </c>
      <c r="GA111" s="1526">
        <f t="shared" si="667"/>
        <v>-150.70449155583344</v>
      </c>
      <c r="GB111" s="1526">
        <f t="shared" si="667"/>
        <v>-210.33233780583333</v>
      </c>
      <c r="GC111" s="1526">
        <f t="shared" si="667"/>
        <v>-152.80129480583349</v>
      </c>
      <c r="GD111" s="1526">
        <f t="shared" si="667"/>
        <v>-208.7206547158334</v>
      </c>
      <c r="GE111" s="1526">
        <f t="shared" si="667"/>
        <v>74.208906078453396</v>
      </c>
      <c r="GF111" s="1526">
        <f t="shared" si="667"/>
        <v>-34.018674242401985</v>
      </c>
      <c r="GG111" s="1526">
        <f t="shared" si="667"/>
        <v>-83.921393626282963</v>
      </c>
      <c r="GH111" s="1526">
        <f t="shared" si="667"/>
        <v>-157.16722261023995</v>
      </c>
      <c r="GI111" s="1526">
        <f t="shared" si="667"/>
        <v>-47.612519626282818</v>
      </c>
      <c r="GJ111" s="1526">
        <f t="shared" si="667"/>
        <v>-37.027208849736297</v>
      </c>
      <c r="GK111" s="1526">
        <f t="shared" si="667"/>
        <v>12.171830310691774</v>
      </c>
      <c r="GL111" s="1526">
        <f t="shared" si="667"/>
        <v>39.289479310691377</v>
      </c>
      <c r="GM111" s="1526">
        <f t="shared" si="667"/>
        <v>65.107283087238912</v>
      </c>
      <c r="GN111" s="1526">
        <f t="shared" si="667"/>
        <v>184.48651356852181</v>
      </c>
      <c r="GO111" s="1526">
        <f t="shared" si="667"/>
        <v>252.01055388937763</v>
      </c>
      <c r="GP111" s="1526">
        <f t="shared" si="667"/>
        <v>179.56282934506899</v>
      </c>
      <c r="GQ111" s="1526">
        <f t="shared" si="667"/>
        <v>74.208906078453396</v>
      </c>
      <c r="GR111" s="1526">
        <f t="shared" si="667"/>
        <v>-34.018674242401985</v>
      </c>
      <c r="GS111" s="1526">
        <f t="shared" si="667"/>
        <v>-83.921393626282963</v>
      </c>
      <c r="GT111" s="1526">
        <f t="shared" si="667"/>
        <v>-157.16722261023995</v>
      </c>
      <c r="GU111" s="1526">
        <f t="shared" si="667"/>
        <v>-47.612519626282818</v>
      </c>
      <c r="GV111" s="1526">
        <f t="shared" si="667"/>
        <v>-37.027208849736297</v>
      </c>
      <c r="GW111" s="1526">
        <f t="shared" si="667"/>
        <v>12.171830310691774</v>
      </c>
      <c r="GX111" s="1526">
        <f t="shared" si="667"/>
        <v>39.289479310691377</v>
      </c>
      <c r="GY111" s="1526">
        <f t="shared" si="667"/>
        <v>65.107283087238912</v>
      </c>
      <c r="GZ111" s="1526">
        <f t="shared" si="667"/>
        <v>184.48651356852181</v>
      </c>
      <c r="HA111" s="1526">
        <f t="shared" si="667"/>
        <v>252.01055388937763</v>
      </c>
      <c r="HB111" s="1526">
        <f t="shared" si="667"/>
        <v>179.56282934506899</v>
      </c>
      <c r="HC111" s="77"/>
      <c r="HD111" s="1526">
        <f>+SUMIF($E$6:$AZ$6,HD$7,$E111:$AZ111)</f>
        <v>6090.0670461600012</v>
      </c>
      <c r="HE111" s="1526">
        <f>+SUMIF($E$6:$AZ$6,HE$7,$E111:$AZ111)</f>
        <v>6050.1746752600066</v>
      </c>
      <c r="HF111" s="1526">
        <f>+SUMIF($E$6:$AZ$6,HF$7,$E111:$AZ111)</f>
        <v>6759.5068970199991</v>
      </c>
      <c r="HG111" s="1526">
        <f>+SUMIF($E$6:$AZ$6,HG$7,$E111:$AZ111)</f>
        <v>-3054.6221226499993</v>
      </c>
      <c r="HH111" s="1526">
        <f>+SUMIF($E$6:$BL$6,HH$7,$E111:$BL111)</f>
        <v>-4730.4546237599998</v>
      </c>
      <c r="HI111" s="1526">
        <f>+SUMIF($E$6:$BX$6,HI$7,$E111:$BX111)</f>
        <v>1261.946969130001</v>
      </c>
      <c r="HJ111" s="1526">
        <f>+SUMIF($E$6:$CJ$6,HJ$7,$E111:$CJ111)</f>
        <v>307.77561022000054</v>
      </c>
      <c r="HK111" s="1526">
        <f>+SUMIF($E$6:$CV$6,HK$7,$E111:$CV111)</f>
        <v>1540.1022638399986</v>
      </c>
      <c r="HL111" s="1527">
        <f>+SUMIF($E$6:SEW$6,HL$7,$E111:SEW111)</f>
        <v>-200.51657583000036</v>
      </c>
      <c r="HM111" s="1527">
        <f>+SUMIF($E$6:SEX$6,HM$7,$E111:SEX111)</f>
        <v>698.44218665999961</v>
      </c>
      <c r="HN111" s="1527">
        <f>+SUMIF($E$6:SEY$6,HN$7,$E111:SEY111)</f>
        <v>2393.4340359300008</v>
      </c>
      <c r="HO111" s="1526"/>
      <c r="HP111" s="1526"/>
      <c r="HR111" s="1528">
        <f t="shared" ref="HR111:HZ112" si="668">+IFERROR(HF111/HE111-1,"")</f>
        <v>0.11724161033904501</v>
      </c>
      <c r="HS111" s="1528">
        <f t="shared" si="668"/>
        <v>-1.4519001414136676</v>
      </c>
      <c r="HT111" s="1528">
        <f t="shared" si="668"/>
        <v>0.54862187001256735</v>
      </c>
      <c r="HU111" s="1528">
        <f t="shared" si="668"/>
        <v>-1.2667707587324752</v>
      </c>
      <c r="HV111" s="1528">
        <f t="shared" si="668"/>
        <v>-0.75611050404742119</v>
      </c>
      <c r="HW111" s="1528">
        <f t="shared" si="668"/>
        <v>4.0039776145326158</v>
      </c>
      <c r="HX111" s="1528">
        <f t="shared" si="668"/>
        <v>-1.1301969229822728</v>
      </c>
      <c r="HY111" s="1528">
        <f t="shared" si="668"/>
        <v>-4.4832142119369962</v>
      </c>
      <c r="HZ111" s="1528">
        <f t="shared" si="668"/>
        <v>2.4268176831865973</v>
      </c>
      <c r="IA111" s="1528">
        <f t="shared" si="604"/>
        <v>-1</v>
      </c>
      <c r="IB111" s="1528" t="str">
        <f>+IFERROR(HP111/HO111-1,"")</f>
        <v/>
      </c>
      <c r="IC111" s="1528">
        <f t="shared" si="605"/>
        <v>-1</v>
      </c>
      <c r="IE111" s="1526">
        <f>+HF111-HE111</f>
        <v>709.33222175999254</v>
      </c>
      <c r="IF111" s="1526">
        <f>+HG111-HF111</f>
        <v>-9814.1290196699993</v>
      </c>
      <c r="IG111" s="1526">
        <f>+HH111-HG111</f>
        <v>-1675.8325011100005</v>
      </c>
      <c r="IH111" s="1526">
        <f>+HI111-HH111</f>
        <v>5992.4015928900008</v>
      </c>
      <c r="II111" s="1526">
        <f t="shared" si="619"/>
        <v>-954.17135891000044</v>
      </c>
      <c r="IJ111" s="1526">
        <f t="shared" si="620"/>
        <v>1232.3266536199981</v>
      </c>
      <c r="IK111" s="1526">
        <f t="shared" si="621"/>
        <v>-1740.618839669999</v>
      </c>
      <c r="IL111" s="1526">
        <f t="shared" si="607"/>
        <v>200.51657583000036</v>
      </c>
      <c r="IM111" s="1526">
        <f>+HP111-HO111</f>
        <v>0</v>
      </c>
      <c r="IN111" s="1526">
        <f t="shared" si="608"/>
        <v>200.51657583000036</v>
      </c>
      <c r="IP111" s="1529">
        <f t="shared" ref="IP111:IW111" si="669">+HE111/HE$11</f>
        <v>0.16460695304937956</v>
      </c>
      <c r="IQ111" s="1529">
        <f t="shared" si="669"/>
        <v>0.17163522562273437</v>
      </c>
      <c r="IR111" s="1529">
        <f t="shared" si="669"/>
        <v>-0.18125327301079558</v>
      </c>
      <c r="IS111" s="1529">
        <f t="shared" si="669"/>
        <v>-0.7689262056877757</v>
      </c>
      <c r="IT111" s="1529">
        <f t="shared" si="669"/>
        <v>9.2594034976048553E-2</v>
      </c>
      <c r="IU111" s="1529">
        <f t="shared" si="669"/>
        <v>2.1750105938140699E-2</v>
      </c>
      <c r="IV111" s="1529">
        <f t="shared" si="669"/>
        <v>7.2545894916860421E-2</v>
      </c>
      <c r="IW111" s="1529">
        <f t="shared" si="669"/>
        <v>-1.5888935628018137E-2</v>
      </c>
      <c r="IX111" s="1529" t="e">
        <f>+HO111/HO$11</f>
        <v>#DIV/0!</v>
      </c>
      <c r="IY111" s="1529" t="e">
        <f>+HP111/HP$11</f>
        <v>#DIV/0!</v>
      </c>
      <c r="JA111" s="1526">
        <f t="shared" ref="JA111:JK111" si="670">+IFERROR(SUMIFS($E111:$EG111,$E$6:$EG$6,JA$7,$E$5:$EG$5,"&lt;="&amp;$JC$5),"NA")</f>
        <v>6090.0670461600012</v>
      </c>
      <c r="JB111" s="1526">
        <f t="shared" si="670"/>
        <v>6050.1746752600066</v>
      </c>
      <c r="JC111" s="1526">
        <f t="shared" si="670"/>
        <v>6759.5068970199991</v>
      </c>
      <c r="JD111" s="1526">
        <f t="shared" si="670"/>
        <v>-3054.6221226499993</v>
      </c>
      <c r="JE111" s="1526">
        <f t="shared" si="670"/>
        <v>-4730.4546237599998</v>
      </c>
      <c r="JF111" s="1526">
        <f t="shared" si="670"/>
        <v>1261.946969130001</v>
      </c>
      <c r="JG111" s="1526">
        <f t="shared" si="670"/>
        <v>307.77561022000054</v>
      </c>
      <c r="JH111" s="1526">
        <f t="shared" si="670"/>
        <v>1540.1022638399986</v>
      </c>
      <c r="JI111" s="1526">
        <f t="shared" si="670"/>
        <v>-200.51657583000036</v>
      </c>
      <c r="JJ111" s="1526">
        <f t="shared" si="670"/>
        <v>698.44218665999961</v>
      </c>
      <c r="JK111" s="1526">
        <f t="shared" si="670"/>
        <v>2393.4340359300008</v>
      </c>
      <c r="JL111" s="1526">
        <f>+SUMIF($DU$5:$EF$5,"&lt;="&amp;$JC$5,$DU111:$EF111)</f>
        <v>2393.4340359300008</v>
      </c>
      <c r="JM111" s="1526"/>
      <c r="JN111" s="1526"/>
      <c r="JP111" s="1526">
        <f>+JL111</f>
        <v>2393.4340359300008</v>
      </c>
      <c r="JQ111" s="1526">
        <f>+JM111</f>
        <v>0</v>
      </c>
      <c r="JR111" s="939"/>
      <c r="JS111" s="1528" t="str">
        <f>+IFERROR(JP111/JQ111,"")</f>
        <v/>
      </c>
      <c r="JT111" s="1530">
        <f>+IFERROR(JP111-JQ111,"NA")</f>
        <v>2393.4340359300008</v>
      </c>
      <c r="JV111" s="1529">
        <f>+JP111/JP$11</f>
        <v>7.9274899402455745E-2</v>
      </c>
      <c r="JW111" s="1528" t="str">
        <f>+IFERROR(JQ111/JQ$11,"")</f>
        <v/>
      </c>
      <c r="JY111" s="1529">
        <f t="shared" ref="JY111:KE111" si="671">+IFERROR(JC111/JB111-1,"NA")</f>
        <v>0.11724161033904501</v>
      </c>
      <c r="JZ111" s="1529">
        <f t="shared" si="671"/>
        <v>-1.4519001414136676</v>
      </c>
      <c r="KA111" s="1529">
        <f t="shared" si="671"/>
        <v>0.54862187001256735</v>
      </c>
      <c r="KB111" s="1529">
        <f t="shared" si="671"/>
        <v>-1.2667707587324752</v>
      </c>
      <c r="KC111" s="1529">
        <f t="shared" si="671"/>
        <v>-0.75611050404742119</v>
      </c>
      <c r="KD111" s="1529">
        <f t="shared" si="671"/>
        <v>4.0039776145326158</v>
      </c>
      <c r="KE111" s="1529">
        <f t="shared" si="671"/>
        <v>-1.1301969229822728</v>
      </c>
      <c r="KF111" s="1529">
        <f>+IFERROR(JN111/JI111-1,"NA")</f>
        <v>-1</v>
      </c>
      <c r="KH111" s="1526">
        <f t="shared" ref="KH111:KN111" si="672">+JC111-JB111</f>
        <v>709.33222175999254</v>
      </c>
      <c r="KI111" s="1526">
        <f t="shared" si="672"/>
        <v>-9814.1290196699993</v>
      </c>
      <c r="KJ111" s="1526">
        <f t="shared" si="672"/>
        <v>-1675.8325011100005</v>
      </c>
      <c r="KK111" s="1526">
        <f t="shared" si="672"/>
        <v>5992.4015928900008</v>
      </c>
      <c r="KL111" s="1526">
        <f t="shared" si="672"/>
        <v>-954.17135891000044</v>
      </c>
      <c r="KM111" s="1526">
        <f t="shared" si="672"/>
        <v>1232.3266536199981</v>
      </c>
      <c r="KN111" s="1526">
        <f t="shared" si="672"/>
        <v>-1740.618839669999</v>
      </c>
      <c r="KO111" s="1526">
        <f>+JN111-JI111</f>
        <v>200.51657583000036</v>
      </c>
      <c r="KQ111" s="1529">
        <f t="shared" ref="KQ111:KY111" si="673">+JA111/JA$11</f>
        <v>0.16785660335417932</v>
      </c>
      <c r="KR111" s="1529">
        <f t="shared" si="673"/>
        <v>0.16460695304937956</v>
      </c>
      <c r="KS111" s="1529">
        <f t="shared" si="673"/>
        <v>0.17163522562273437</v>
      </c>
      <c r="KT111" s="1529">
        <f t="shared" si="673"/>
        <v>-0.18125327301079558</v>
      </c>
      <c r="KU111" s="1529">
        <f t="shared" si="673"/>
        <v>-0.7689262056877757</v>
      </c>
      <c r="KV111" s="1529">
        <f t="shared" si="673"/>
        <v>9.2594034976048553E-2</v>
      </c>
      <c r="KW111" s="1529">
        <f t="shared" si="673"/>
        <v>2.1750105938140699E-2</v>
      </c>
      <c r="KX111" s="1529">
        <f t="shared" si="673"/>
        <v>7.2545894916860421E-2</v>
      </c>
      <c r="KY111" s="1529">
        <f t="shared" si="673"/>
        <v>-1.5888935628018137E-2</v>
      </c>
      <c r="KZ111" s="1529" t="e">
        <f>+JN111/JN$11</f>
        <v>#DIV/0!</v>
      </c>
      <c r="LB111" s="1526">
        <f t="shared" ref="LB111:LM111" si="674">+SUMIFS($E111:$EG111,$E$6:$EG$6,LB$7,$E$5:$EG$5,$LD$5)</f>
        <v>139.33510101209734</v>
      </c>
      <c r="LC111" s="1526">
        <f t="shared" si="674"/>
        <v>2114.6171259413081</v>
      </c>
      <c r="LD111" s="1526">
        <f t="shared" si="674"/>
        <v>49.424589015998208</v>
      </c>
      <c r="LE111" s="1526">
        <f t="shared" si="674"/>
        <v>480.71815898000091</v>
      </c>
      <c r="LF111" s="1526">
        <f t="shared" si="674"/>
        <v>242.10426851000028</v>
      </c>
      <c r="LG111" s="1526">
        <f t="shared" si="674"/>
        <v>-41.260074569999688</v>
      </c>
      <c r="LH111" s="1526">
        <f t="shared" si="674"/>
        <v>-223.80143551000018</v>
      </c>
      <c r="LI111" s="1526">
        <f t="shared" si="674"/>
        <v>-892.75917743000036</v>
      </c>
      <c r="LJ111" s="1526">
        <f t="shared" si="674"/>
        <v>-273.37079295000012</v>
      </c>
      <c r="LK111" s="1526">
        <f t="shared" si="674"/>
        <v>-717.64069018000055</v>
      </c>
      <c r="LL111" s="1526">
        <f t="shared" si="674"/>
        <v>-1599.0856589800001</v>
      </c>
      <c r="LM111" s="1526">
        <f t="shared" si="674"/>
        <v>-1599.0856589800001</v>
      </c>
      <c r="LN111" s="1526"/>
      <c r="LO111" s="1526"/>
      <c r="LR111" s="1529">
        <f t="shared" ref="LR111:LW111" si="675">+IFERROR(LD111/LC111-1," ")</f>
        <v>-0.97662716885734235</v>
      </c>
      <c r="LS111" s="1529">
        <f t="shared" si="675"/>
        <v>8.7262955251767007</v>
      </c>
      <c r="LT111" s="1529">
        <f t="shared" si="675"/>
        <v>-0.49636962118572181</v>
      </c>
      <c r="LU111" s="1529">
        <f t="shared" si="675"/>
        <v>-1.1704227472895441</v>
      </c>
      <c r="LV111" s="1529">
        <f t="shared" si="675"/>
        <v>4.4241645911305936</v>
      </c>
      <c r="LW111" s="1529">
        <f t="shared" si="675"/>
        <v>2.9890681460356809</v>
      </c>
      <c r="LX111" s="1529">
        <f>+IFERROR(LO111/LI111-1," ")</f>
        <v>-1</v>
      </c>
      <c r="LZ111" s="1526">
        <f t="shared" ref="LZ111:ME111" si="676">+LD111-LC111</f>
        <v>-2065.1925369253099</v>
      </c>
      <c r="MA111" s="1526">
        <f t="shared" si="676"/>
        <v>431.2935699640027</v>
      </c>
      <c r="MB111" s="1526">
        <f t="shared" si="676"/>
        <v>-238.61389047000063</v>
      </c>
      <c r="MC111" s="1526">
        <f t="shared" si="676"/>
        <v>-283.36434307999997</v>
      </c>
      <c r="MD111" s="1526">
        <f t="shared" si="676"/>
        <v>-182.54136094000049</v>
      </c>
      <c r="ME111" s="1526">
        <f t="shared" si="676"/>
        <v>-668.95774192000022</v>
      </c>
      <c r="MF111" s="1526">
        <f>+LO111-LI111</f>
        <v>892.75917743000036</v>
      </c>
      <c r="MH111" s="1529">
        <f t="shared" ref="MH111:MO111" si="677">+LB111/LB$11</f>
        <v>4.6455188081857321E-2</v>
      </c>
      <c r="MI111" s="1529">
        <f t="shared" si="677"/>
        <v>0.3835230302929209</v>
      </c>
      <c r="MJ111" s="1529">
        <f t="shared" si="677"/>
        <v>9.6416634061385394E-3</v>
      </c>
      <c r="MK111" s="1529">
        <f t="shared" si="677"/>
        <v>0.82701102404948712</v>
      </c>
      <c r="ML111" s="1529">
        <f t="shared" si="677"/>
        <v>0.16071078890886328</v>
      </c>
      <c r="MM111" s="1529">
        <f t="shared" si="677"/>
        <v>-4.010959095616682E-2</v>
      </c>
      <c r="MN111" s="1529">
        <f t="shared" si="677"/>
        <v>-0.14392258149387957</v>
      </c>
      <c r="MO111" s="1529">
        <f t="shared" si="677"/>
        <v>-0.47436831513514682</v>
      </c>
      <c r="MP111" s="1529" t="e">
        <f>+LO111/LO$11</f>
        <v>#DIV/0!</v>
      </c>
    </row>
    <row r="112" spans="1:354">
      <c r="A112" s="867"/>
      <c r="B112" s="71"/>
      <c r="C112" s="943" t="s">
        <v>108</v>
      </c>
      <c r="D112" s="944" t="s">
        <v>35</v>
      </c>
      <c r="E112" s="945">
        <f t="shared" ref="E112:AN112" si="678">IFERROR(+E111/E$11,0)</f>
        <v>-1.0816086847717232</v>
      </c>
      <c r="F112" s="945">
        <f t="shared" si="678"/>
        <v>0.2351100106211565</v>
      </c>
      <c r="G112" s="945">
        <f t="shared" si="678"/>
        <v>8.4487225453606887E-2</v>
      </c>
      <c r="H112" s="945">
        <f t="shared" si="678"/>
        <v>0.13614978698031446</v>
      </c>
      <c r="I112" s="945">
        <f t="shared" si="678"/>
        <v>0.27584036404230206</v>
      </c>
      <c r="J112" s="945">
        <f t="shared" si="678"/>
        <v>0.1101975597031119</v>
      </c>
      <c r="K112" s="945">
        <f t="shared" si="678"/>
        <v>0.15435391076601152</v>
      </c>
      <c r="L112" s="945">
        <f t="shared" si="678"/>
        <v>0.28046753799874952</v>
      </c>
      <c r="M112" s="945">
        <f t="shared" si="678"/>
        <v>0.28839982511862483</v>
      </c>
      <c r="N112" s="945">
        <f t="shared" si="678"/>
        <v>0.1869834620708348</v>
      </c>
      <c r="O112" s="945">
        <f t="shared" si="678"/>
        <v>0.28821974836497777</v>
      </c>
      <c r="P112" s="945">
        <f t="shared" si="678"/>
        <v>4.6455188081857321E-2</v>
      </c>
      <c r="Q112" s="945">
        <f t="shared" si="678"/>
        <v>-0.11910424738231207</v>
      </c>
      <c r="R112" s="945">
        <f t="shared" si="678"/>
        <v>0.24977873734607478</v>
      </c>
      <c r="S112" s="945">
        <f t="shared" si="678"/>
        <v>-6.07120599937526E-2</v>
      </c>
      <c r="T112" s="945">
        <f t="shared" si="678"/>
        <v>-0.23573289000912165</v>
      </c>
      <c r="U112" s="945">
        <f t="shared" si="678"/>
        <v>0.24560996724476494</v>
      </c>
      <c r="V112" s="945">
        <f t="shared" si="678"/>
        <v>0.23107467960444114</v>
      </c>
      <c r="W112" s="945">
        <f t="shared" si="678"/>
        <v>0.13550384816269709</v>
      </c>
      <c r="X112" s="945">
        <f t="shared" si="678"/>
        <v>0.20104513548215819</v>
      </c>
      <c r="Y112" s="945">
        <f t="shared" si="678"/>
        <v>-0.33190761963295135</v>
      </c>
      <c r="Z112" s="945">
        <f t="shared" si="678"/>
        <v>9.2912644073644291E-3</v>
      </c>
      <c r="AA112" s="945">
        <f t="shared" si="678"/>
        <v>0.32777288104028252</v>
      </c>
      <c r="AB112" s="945">
        <f t="shared" si="678"/>
        <v>0.3835230302929209</v>
      </c>
      <c r="AC112" s="945">
        <f t="shared" si="678"/>
        <v>-0.30134485456876203</v>
      </c>
      <c r="AD112" s="945">
        <f t="shared" si="678"/>
        <v>0.33834479501293363</v>
      </c>
      <c r="AE112" s="945">
        <f t="shared" si="678"/>
        <v>9.8196863501663817E-2</v>
      </c>
      <c r="AF112" s="945">
        <f t="shared" si="678"/>
        <v>0.16778695110776387</v>
      </c>
      <c r="AG112" s="945">
        <f t="shared" si="678"/>
        <v>0.14886237582865466</v>
      </c>
      <c r="AH112" s="945">
        <f t="shared" si="678"/>
        <v>0.11147078823920938</v>
      </c>
      <c r="AI112" s="945">
        <f t="shared" si="678"/>
        <v>7.0703808192113055E-2</v>
      </c>
      <c r="AJ112" s="945">
        <f t="shared" si="678"/>
        <v>0.14375090324089868</v>
      </c>
      <c r="AK112" s="945">
        <f t="shared" si="678"/>
        <v>0.19002060846398092</v>
      </c>
      <c r="AL112" s="945">
        <f t="shared" si="678"/>
        <v>0.2151378090351275</v>
      </c>
      <c r="AM112" s="945">
        <f t="shared" si="678"/>
        <v>0.41954471049981018</v>
      </c>
      <c r="AN112" s="945">
        <f t="shared" si="678"/>
        <v>9.6416634061385394E-3</v>
      </c>
      <c r="AO112" s="945">
        <f>IFERROR(+AO111/AO$11,0)</f>
        <v>0.27048670187302803</v>
      </c>
      <c r="AP112" s="945">
        <f t="shared" ref="AP112:DA112" si="679">IFERROR(+AP111/AP$11,0)</f>
        <v>-0.23386085981576124</v>
      </c>
      <c r="AQ112" s="945">
        <f t="shared" si="679"/>
        <v>-1.4453640839779205E-2</v>
      </c>
      <c r="AR112" s="945">
        <f t="shared" si="679"/>
        <v>-0.66274070115918726</v>
      </c>
      <c r="AS112" s="945">
        <f t="shared" si="679"/>
        <v>-0.37217025021077238</v>
      </c>
      <c r="AT112" s="945">
        <f t="shared" si="679"/>
        <v>-0.74159279361763264</v>
      </c>
      <c r="AU112" s="945">
        <f t="shared" si="679"/>
        <v>5.9506922474373232E-2</v>
      </c>
      <c r="AV112" s="945">
        <f t="shared" si="679"/>
        <v>4.0602780294168557E-3</v>
      </c>
      <c r="AW112" s="945">
        <f t="shared" si="679"/>
        <v>-0.12326380717519723</v>
      </c>
      <c r="AX112" s="945">
        <f t="shared" si="679"/>
        <v>-0.81963251374108992</v>
      </c>
      <c r="AY112" s="945">
        <f t="shared" si="679"/>
        <v>-0.61682421225302697</v>
      </c>
      <c r="AZ112" s="945">
        <f t="shared" si="679"/>
        <v>0.82701102404948712</v>
      </c>
      <c r="BA112" s="945">
        <f t="shared" si="679"/>
        <v>4.5871476822340218E-2</v>
      </c>
      <c r="BB112" s="945">
        <f t="shared" si="679"/>
        <v>-1.8202520480518716</v>
      </c>
      <c r="BC112" s="945">
        <f t="shared" si="679"/>
        <v>-3.9666230112428518</v>
      </c>
      <c r="BD112" s="945">
        <f t="shared" si="679"/>
        <v>-6.9796913027007541</v>
      </c>
      <c r="BE112" s="945">
        <f t="shared" si="679"/>
        <v>-0.95706060583886732</v>
      </c>
      <c r="BF112" s="945">
        <f>IFERROR(+BF111/BF$11,0)</f>
        <v>-2.9127240841839939</v>
      </c>
      <c r="BG112" s="945">
        <f t="shared" si="679"/>
        <v>-1.4057944962124809</v>
      </c>
      <c r="BH112" s="945">
        <f t="shared" si="679"/>
        <v>-0.98487370034734001</v>
      </c>
      <c r="BI112" s="945">
        <f t="shared" si="679"/>
        <v>-0.55174060706771977</v>
      </c>
      <c r="BJ112" s="945">
        <f t="shared" si="679"/>
        <v>-0.40943730423309277</v>
      </c>
      <c r="BK112" s="945">
        <f t="shared" si="679"/>
        <v>-6.8866411961163526E-2</v>
      </c>
      <c r="BL112" s="945">
        <f t="shared" si="679"/>
        <v>0.16071078890886328</v>
      </c>
      <c r="BM112" s="945">
        <f t="shared" si="679"/>
        <v>0.10383315839461715</v>
      </c>
      <c r="BN112" s="945">
        <f t="shared" si="679"/>
        <v>0.11942659886874961</v>
      </c>
      <c r="BO112" s="945">
        <f t="shared" si="679"/>
        <v>8.2270409243560175E-2</v>
      </c>
      <c r="BP112" s="945">
        <f t="shared" si="679"/>
        <v>0.24444614729337608</v>
      </c>
      <c r="BQ112" s="945">
        <f t="shared" si="679"/>
        <v>-1.1607451860024629E-2</v>
      </c>
      <c r="BR112" s="945">
        <f t="shared" si="679"/>
        <v>8.8889240543571349E-2</v>
      </c>
      <c r="BS112" s="945">
        <f t="shared" si="679"/>
        <v>5.570380602430184E-2</v>
      </c>
      <c r="BT112" s="945">
        <f t="shared" si="679"/>
        <v>3.816001897816447E-2</v>
      </c>
      <c r="BU112" s="945">
        <f t="shared" si="679"/>
        <v>-4.9582730531920964E-2</v>
      </c>
      <c r="BV112" s="945">
        <f t="shared" si="679"/>
        <v>0.21462335585608833</v>
      </c>
      <c r="BW112" s="945">
        <f t="shared" si="679"/>
        <v>0.14327672268857741</v>
      </c>
      <c r="BX112" s="945">
        <f t="shared" si="679"/>
        <v>-4.010959095616682E-2</v>
      </c>
      <c r="BY112" s="945">
        <f t="shared" si="679"/>
        <v>-0.15906320893013939</v>
      </c>
      <c r="BZ112" s="945">
        <f t="shared" si="679"/>
        <v>2.1453840498341849E-2</v>
      </c>
      <c r="CA112" s="945">
        <f t="shared" si="679"/>
        <v>-6.4218514755915418E-2</v>
      </c>
      <c r="CB112" s="945">
        <f t="shared" si="679"/>
        <v>-0.11233473136896861</v>
      </c>
      <c r="CC112" s="945">
        <f t="shared" si="679"/>
        <v>-0.21302196637912035</v>
      </c>
      <c r="CD112" s="945">
        <f t="shared" si="679"/>
        <v>-2.0616132930164864E-2</v>
      </c>
      <c r="CE112" s="945">
        <f t="shared" si="679"/>
        <v>-0.14363572189470841</v>
      </c>
      <c r="CF112" s="945">
        <f t="shared" si="679"/>
        <v>0.28975051230451132</v>
      </c>
      <c r="CG112" s="945">
        <f t="shared" si="679"/>
        <v>-3.6678834899741358E-2</v>
      </c>
      <c r="CH112" s="945">
        <f t="shared" si="679"/>
        <v>0.10833658379488366</v>
      </c>
      <c r="CI112" s="945">
        <f t="shared" si="679"/>
        <v>0.28509349561288894</v>
      </c>
      <c r="CJ112" s="945">
        <f t="shared" si="679"/>
        <v>-0.14392258149387957</v>
      </c>
      <c r="CK112" s="945">
        <f t="shared" si="679"/>
        <v>7.2916996346217955E-2</v>
      </c>
      <c r="CL112" s="945">
        <f t="shared" si="679"/>
        <v>-0.13163005363540542</v>
      </c>
      <c r="CM112" s="945">
        <f t="shared" si="679"/>
        <v>0.2240280159639067</v>
      </c>
      <c r="CN112" s="945">
        <f t="shared" si="679"/>
        <v>8.6799682597530278E-2</v>
      </c>
      <c r="CO112" s="945">
        <f t="shared" si="679"/>
        <v>0.24249015842366298</v>
      </c>
      <c r="CP112" s="945">
        <f t="shared" si="679"/>
        <v>-3.1387731343879587E-2</v>
      </c>
      <c r="CQ112" s="945">
        <f t="shared" si="679"/>
        <v>3.4267564427709271E-2</v>
      </c>
      <c r="CR112" s="945">
        <f t="shared" si="679"/>
        <v>0.15472580133518557</v>
      </c>
      <c r="CS112" s="945">
        <f t="shared" si="679"/>
        <v>0.1237622715864993</v>
      </c>
      <c r="CT112" s="945">
        <f t="shared" si="679"/>
        <v>0.28638020612552428</v>
      </c>
      <c r="CU112" s="945">
        <f t="shared" si="679"/>
        <v>0.15391058889885534</v>
      </c>
      <c r="CV112" s="945">
        <f t="shared" si="679"/>
        <v>-0.47436831513514682</v>
      </c>
      <c r="CW112" s="945">
        <f t="shared" si="679"/>
        <v>0.15979142349008343</v>
      </c>
      <c r="CX112" s="945">
        <f t="shared" si="679"/>
        <v>8.2209263343924158E-2</v>
      </c>
      <c r="CY112" s="945">
        <f t="shared" si="679"/>
        <v>0.4867568105084904</v>
      </c>
      <c r="CZ112" s="945">
        <f t="shared" si="679"/>
        <v>-0.96342415481086952</v>
      </c>
      <c r="DA112" s="945">
        <f t="shared" si="679"/>
        <v>-1.313231310926277</v>
      </c>
      <c r="DB112" s="945">
        <f t="shared" ref="DB112:EF112" si="680">IFERROR(+DB111/DB$11,0)</f>
        <v>-0.92616569572864571</v>
      </c>
      <c r="DC112" s="945">
        <f t="shared" si="680"/>
        <v>-0.88535911027589176</v>
      </c>
      <c r="DD112" s="945">
        <f t="shared" si="680"/>
        <v>0.20257655050631601</v>
      </c>
      <c r="DE112" s="945">
        <f t="shared" si="680"/>
        <v>0.16260607699590349</v>
      </c>
      <c r="DF112" s="945">
        <f t="shared" si="680"/>
        <v>0.20479017231013918</v>
      </c>
      <c r="DG112" s="945">
        <f t="shared" si="680"/>
        <v>-0.33256606797907762</v>
      </c>
      <c r="DH112" s="945">
        <f t="shared" si="680"/>
        <v>-0.22956549259872341</v>
      </c>
      <c r="DI112" s="945">
        <f t="shared" si="680"/>
        <v>5.5568201775534121E-2</v>
      </c>
      <c r="DJ112" s="945">
        <f t="shared" si="680"/>
        <v>-0.19571979951491661</v>
      </c>
      <c r="DK112" s="945">
        <f t="shared" si="680"/>
        <v>9.8345244165310972E-2</v>
      </c>
      <c r="DL112" s="945">
        <f t="shared" si="680"/>
        <v>0.16893956015416284</v>
      </c>
      <c r="DM112" s="945">
        <f t="shared" si="680"/>
        <v>0.10967943194634669</v>
      </c>
      <c r="DN112" s="945">
        <f t="shared" si="680"/>
        <v>1.1417022275229774E-2</v>
      </c>
      <c r="DO112" s="945">
        <f t="shared" si="680"/>
        <v>0.12255379473296088</v>
      </c>
      <c r="DP112" s="945">
        <f t="shared" si="680"/>
        <v>0.19137947291559498</v>
      </c>
      <c r="DQ112" s="945">
        <f t="shared" si="680"/>
        <v>0.11978394056587077</v>
      </c>
      <c r="DR112" s="945">
        <f t="shared" si="680"/>
        <v>0.1503928579295217</v>
      </c>
      <c r="DS112" s="945">
        <f t="shared" si="680"/>
        <v>0.18183045329391126</v>
      </c>
      <c r="DT112" s="945">
        <f t="shared" si="680"/>
        <v>-0.37861005218953769</v>
      </c>
      <c r="DU112" s="945">
        <f t="shared" si="680"/>
        <v>0.15442317176811055</v>
      </c>
      <c r="DV112" s="945">
        <f t="shared" si="680"/>
        <v>-0.28358278938106035</v>
      </c>
      <c r="DW112" s="945">
        <f t="shared" si="680"/>
        <v>-3.6977373647393126E-2</v>
      </c>
      <c r="DX112" s="945">
        <f t="shared" si="680"/>
        <v>1.6077078183169156E-4</v>
      </c>
      <c r="DY112" s="945">
        <f t="shared" si="680"/>
        <v>7.9883691434894481E-3</v>
      </c>
      <c r="DZ112" s="945">
        <f t="shared" si="680"/>
        <v>0.17948187917293776</v>
      </c>
      <c r="EA112" s="945">
        <f t="shared" si="680"/>
        <v>0.16443358218105783</v>
      </c>
      <c r="EB112" s="945">
        <f t="shared" si="680"/>
        <v>0.19891833592331648</v>
      </c>
      <c r="EC112" s="945">
        <f t="shared" si="680"/>
        <v>0.24440764862922956</v>
      </c>
      <c r="ED112" s="945">
        <f t="shared" si="680"/>
        <v>0.35499204030858805</v>
      </c>
      <c r="EE112" s="945">
        <f t="shared" si="680"/>
        <v>0.17316782157450855</v>
      </c>
      <c r="EF112" s="945">
        <f t="shared" si="680"/>
        <v>-0.38984513048322555</v>
      </c>
      <c r="EH112" s="945">
        <f t="shared" ref="EH112:ES112" si="681">IFERROR(+EH111/EH$11,0)</f>
        <v>0.15979142349008343</v>
      </c>
      <c r="EI112" s="945">
        <f t="shared" si="681"/>
        <v>8.2212886335597132E-2</v>
      </c>
      <c r="EJ112" s="945">
        <f t="shared" si="681"/>
        <v>0.48675681050849018</v>
      </c>
      <c r="EK112" s="945">
        <f t="shared" si="681"/>
        <v>-0.96342415481086985</v>
      </c>
      <c r="EL112" s="945">
        <f t="shared" si="681"/>
        <v>-1.3132313109262774</v>
      </c>
      <c r="EM112" s="945">
        <f t="shared" si="681"/>
        <v>-0.9261656957286456</v>
      </c>
      <c r="EN112" s="945">
        <f t="shared" si="681"/>
        <v>-0.67958958152437499</v>
      </c>
      <c r="EO112" s="945">
        <f t="shared" si="681"/>
        <v>-8.6904557228668234E-3</v>
      </c>
      <c r="EP112" s="945">
        <f t="shared" si="681"/>
        <v>-0.10686589336395652</v>
      </c>
      <c r="EQ112" s="945">
        <f t="shared" si="681"/>
        <v>-0.42386909240626502</v>
      </c>
      <c r="ER112" s="945">
        <f t="shared" si="681"/>
        <v>-0.54573754517451467</v>
      </c>
      <c r="ES112" s="945">
        <f t="shared" si="681"/>
        <v>-0.54223180107904378</v>
      </c>
      <c r="EU112" s="945">
        <v>0.11307908054971705</v>
      </c>
      <c r="EV112" s="945">
        <v>-0.16020177726312854</v>
      </c>
      <c r="EW112" s="945">
        <v>-9.3776835074253453E-2</v>
      </c>
      <c r="EX112" s="945">
        <v>0.12453269678893596</v>
      </c>
      <c r="EY112" s="945">
        <v>6.1953567761518932E-2</v>
      </c>
      <c r="EZ112" s="945">
        <v>0.10728393528629511</v>
      </c>
      <c r="FA112" s="945">
        <v>0.21037838786669008</v>
      </c>
      <c r="FB112" s="945">
        <v>0.27906948070184018</v>
      </c>
      <c r="FC112" s="945">
        <v>0.21618401131028214</v>
      </c>
      <c r="FD112" s="945">
        <v>0.23416105767078788</v>
      </c>
      <c r="FE112" s="945">
        <v>0.2241149638900958</v>
      </c>
      <c r="FF112" s="945">
        <v>0.14352982976369039</v>
      </c>
      <c r="FG112" s="945">
        <f t="shared" ref="FG112:GC112" si="682">IFERROR(+FG111/FG$11,0)</f>
        <v>-0.73268516308079512</v>
      </c>
      <c r="FH112" s="945">
        <f t="shared" si="682"/>
        <v>-0.23602762037418062</v>
      </c>
      <c r="FI112" s="945">
        <f t="shared" si="682"/>
        <v>0.28412314976434949</v>
      </c>
      <c r="FJ112" s="945">
        <f t="shared" si="682"/>
        <v>-0.32900136824089493</v>
      </c>
      <c r="FK112" s="945">
        <f t="shared" si="682"/>
        <v>-5.3303426469009332E-2</v>
      </c>
      <c r="FL112" s="945">
        <f t="shared" si="682"/>
        <v>0.10284318556957688</v>
      </c>
      <c r="FM112" s="945">
        <f t="shared" si="682"/>
        <v>0.14100554726875777</v>
      </c>
      <c r="FN112" s="945">
        <f t="shared" si="682"/>
        <v>0.17834768843826457</v>
      </c>
      <c r="FO112" s="945">
        <f t="shared" si="682"/>
        <v>0.10524521126712598</v>
      </c>
      <c r="FP112" s="945">
        <f t="shared" si="682"/>
        <v>0.11402676818806594</v>
      </c>
      <c r="FQ112" s="945">
        <f t="shared" si="682"/>
        <v>9.4923317859473222E-2</v>
      </c>
      <c r="FR112" s="945">
        <f t="shared" si="682"/>
        <v>3.0168375200588071E-2</v>
      </c>
      <c r="FS112" s="945">
        <f t="shared" si="682"/>
        <v>-2.9660370554637595E-2</v>
      </c>
      <c r="FT112" s="945">
        <f t="shared" si="682"/>
        <v>0.16367727156275236</v>
      </c>
      <c r="FU112" s="945">
        <f t="shared" si="682"/>
        <v>0.14142666202821633</v>
      </c>
      <c r="FV112" s="945">
        <f t="shared" si="682"/>
        <v>0.13873895350886326</v>
      </c>
      <c r="FW112" s="945">
        <f t="shared" si="682"/>
        <v>0.12028395930567326</v>
      </c>
      <c r="FX112" s="945">
        <f t="shared" si="682"/>
        <v>0.14398065748508851</v>
      </c>
      <c r="FY112" s="945">
        <f t="shared" si="682"/>
        <v>0.14316114045109701</v>
      </c>
      <c r="FZ112" s="945">
        <f t="shared" si="682"/>
        <v>-0.12649630782266988</v>
      </c>
      <c r="GA112" s="945">
        <f t="shared" si="682"/>
        <v>-0.27364744937279672</v>
      </c>
      <c r="GB112" s="945">
        <f t="shared" si="682"/>
        <v>-0.46942371710763692</v>
      </c>
      <c r="GC112" s="945">
        <f t="shared" si="682"/>
        <v>-0.29212007946408181</v>
      </c>
      <c r="GD112" s="947">
        <f t="shared" ref="GD112:HB112" si="683">+IFERROR(GD111/GD$11,"")</f>
        <v>-0.43839943271189152</v>
      </c>
      <c r="GE112" s="947">
        <f t="shared" si="683"/>
        <v>5.0668481553938313E-2</v>
      </c>
      <c r="GF112" s="947">
        <f t="shared" si="683"/>
        <v>-2.8200910921938785E-2</v>
      </c>
      <c r="GG112" s="947">
        <f t="shared" si="683"/>
        <v>-7.5813654023994884E-2</v>
      </c>
      <c r="GH112" s="947">
        <f t="shared" si="683"/>
        <v>-0.16231940277367929</v>
      </c>
      <c r="GI112" s="947">
        <f t="shared" si="683"/>
        <v>-4.1394437621234091E-2</v>
      </c>
      <c r="GJ112" s="947">
        <f t="shared" si="683"/>
        <v>-3.1793234845930975E-2</v>
      </c>
      <c r="GK112" s="947">
        <f t="shared" si="683"/>
        <v>9.560022581424122E-3</v>
      </c>
      <c r="GL112" s="947">
        <f t="shared" si="683"/>
        <v>3.0378024938834423E-2</v>
      </c>
      <c r="GM112" s="947">
        <f t="shared" si="683"/>
        <v>4.9596026581744994E-2</v>
      </c>
      <c r="GN112" s="947">
        <f t="shared" si="683"/>
        <v>0.11896185047789523</v>
      </c>
      <c r="GO112" s="947">
        <f t="shared" si="683"/>
        <v>0.14892550838756927</v>
      </c>
      <c r="GP112" s="947">
        <f t="shared" si="683"/>
        <v>0.11591735972940281</v>
      </c>
      <c r="GQ112" s="947">
        <f t="shared" si="683"/>
        <v>5.0668481553938313E-2</v>
      </c>
      <c r="GR112" s="947">
        <f t="shared" si="683"/>
        <v>-2.8200910921938785E-2</v>
      </c>
      <c r="GS112" s="947">
        <f t="shared" si="683"/>
        <v>-7.5813654023994884E-2</v>
      </c>
      <c r="GT112" s="947">
        <f t="shared" si="683"/>
        <v>-0.16231940277367929</v>
      </c>
      <c r="GU112" s="947">
        <f t="shared" si="683"/>
        <v>-4.1394437621234091E-2</v>
      </c>
      <c r="GV112" s="947">
        <f t="shared" si="683"/>
        <v>-3.1793234845930975E-2</v>
      </c>
      <c r="GW112" s="947">
        <f t="shared" si="683"/>
        <v>9.560022581424122E-3</v>
      </c>
      <c r="GX112" s="947">
        <f t="shared" si="683"/>
        <v>3.0378024938834423E-2</v>
      </c>
      <c r="GY112" s="947">
        <f t="shared" si="683"/>
        <v>4.9596026581744994E-2</v>
      </c>
      <c r="GZ112" s="947">
        <f t="shared" si="683"/>
        <v>0.11896185047789523</v>
      </c>
      <c r="HA112" s="947">
        <f t="shared" si="683"/>
        <v>0.14892550838756927</v>
      </c>
      <c r="HB112" s="947">
        <f t="shared" si="683"/>
        <v>0.11591735972940281</v>
      </c>
      <c r="HC112" s="77"/>
      <c r="HD112" s="947">
        <f t="shared" ref="HD112:HN112" si="684">+IFERROR(HD111/HD$11,"")</f>
        <v>0.16785660335417932</v>
      </c>
      <c r="HE112" s="947">
        <f t="shared" si="684"/>
        <v>0.16460695304937956</v>
      </c>
      <c r="HF112" s="947">
        <f t="shared" si="684"/>
        <v>0.17163522562273437</v>
      </c>
      <c r="HG112" s="947">
        <f t="shared" si="684"/>
        <v>-0.18125327301079558</v>
      </c>
      <c r="HH112" s="947">
        <f t="shared" si="684"/>
        <v>-0.7689262056877757</v>
      </c>
      <c r="HI112" s="947">
        <f t="shared" si="684"/>
        <v>9.2594034976048553E-2</v>
      </c>
      <c r="HJ112" s="947">
        <f t="shared" si="684"/>
        <v>2.1750105938140699E-2</v>
      </c>
      <c r="HK112" s="947">
        <f t="shared" si="684"/>
        <v>7.2545894916860421E-2</v>
      </c>
      <c r="HL112" s="947">
        <f t="shared" si="684"/>
        <v>-1.5888935628018137E-2</v>
      </c>
      <c r="HM112" s="947">
        <f t="shared" si="684"/>
        <v>4.6224290315119466E-2</v>
      </c>
      <c r="HN112" s="947">
        <f t="shared" si="684"/>
        <v>7.9274899402455745E-2</v>
      </c>
      <c r="HO112" s="947"/>
      <c r="HP112" s="947"/>
      <c r="HR112" s="947">
        <f t="shared" si="668"/>
        <v>4.2697300710295316E-2</v>
      </c>
      <c r="HS112" s="947">
        <f t="shared" si="668"/>
        <v>-2.0560377239180632</v>
      </c>
      <c r="HT112" s="947">
        <f t="shared" si="668"/>
        <v>3.2422748726969353</v>
      </c>
      <c r="HU112" s="947">
        <f t="shared" si="668"/>
        <v>-1.1204199236430323</v>
      </c>
      <c r="HV112" s="947">
        <f t="shared" si="668"/>
        <v>-0.76510251504033888</v>
      </c>
      <c r="HW112" s="947">
        <f t="shared" si="668"/>
        <v>2.3354271985243482</v>
      </c>
      <c r="HX112" s="947">
        <f t="shared" si="668"/>
        <v>-1.2190190864173265</v>
      </c>
      <c r="HY112" s="947">
        <f t="shared" si="668"/>
        <v>-3.9092125109757982</v>
      </c>
      <c r="HZ112" s="947">
        <f t="shared" si="668"/>
        <v>0.7150052247860208</v>
      </c>
      <c r="IA112" s="947">
        <f t="shared" si="604"/>
        <v>-1</v>
      </c>
      <c r="IB112" s="947" t="str">
        <f>+IFERROR(HP112/HO112-1,"")</f>
        <v/>
      </c>
      <c r="IC112" s="947">
        <f t="shared" si="605"/>
        <v>-1</v>
      </c>
      <c r="IE112" s="947">
        <f>+IFERROR(HF112-HE112,"")</f>
        <v>7.0282725733548101E-3</v>
      </c>
      <c r="IF112" s="947">
        <f>+IFERROR(HG112-HF112,"")</f>
        <v>-0.35288849863352995</v>
      </c>
      <c r="IG112" s="947">
        <f>+IFERROR(HH112-HG112,"")</f>
        <v>-0.58767293267698006</v>
      </c>
      <c r="IH112" s="947">
        <f>+IFERROR(HI112-HH112,"")</f>
        <v>0.86152024066382427</v>
      </c>
      <c r="II112" s="947">
        <f t="shared" si="619"/>
        <v>-7.0843929037907857E-2</v>
      </c>
      <c r="IJ112" s="947">
        <f t="shared" si="620"/>
        <v>5.0795788978719725E-2</v>
      </c>
      <c r="IK112" s="947">
        <f t="shared" si="621"/>
        <v>-8.8434830544878551E-2</v>
      </c>
      <c r="IL112" s="947">
        <f t="shared" si="607"/>
        <v>1.5888935628018137E-2</v>
      </c>
      <c r="IM112" s="947">
        <f>+IFERROR(HP112-HO112,"")</f>
        <v>0</v>
      </c>
      <c r="IN112" s="947">
        <f t="shared" si="608"/>
        <v>1.5888935628018137E-2</v>
      </c>
      <c r="IP112" s="945"/>
      <c r="IQ112" s="945"/>
      <c r="IR112" s="945"/>
      <c r="IS112" s="945"/>
      <c r="IT112" s="945"/>
      <c r="IU112" s="945"/>
      <c r="IV112" s="945"/>
      <c r="IW112" s="945"/>
      <c r="IX112" s="945"/>
      <c r="IY112" s="945"/>
      <c r="JA112" s="945">
        <f t="shared" ref="JA112" si="685">+JA111/JA$11</f>
        <v>0.16785660335417932</v>
      </c>
      <c r="JB112" s="945">
        <f t="shared" ref="JB112:JL112" si="686">+JB111/JB$11</f>
        <v>0.16460695304937956</v>
      </c>
      <c r="JC112" s="945">
        <f t="shared" si="686"/>
        <v>0.17163522562273437</v>
      </c>
      <c r="JD112" s="945">
        <f t="shared" si="686"/>
        <v>-0.18125327301079558</v>
      </c>
      <c r="JE112" s="945">
        <f t="shared" si="686"/>
        <v>-0.7689262056877757</v>
      </c>
      <c r="JF112" s="945">
        <f t="shared" si="686"/>
        <v>9.2594034976048553E-2</v>
      </c>
      <c r="JG112" s="945">
        <f t="shared" si="686"/>
        <v>2.1750105938140699E-2</v>
      </c>
      <c r="JH112" s="945">
        <f t="shared" si="686"/>
        <v>7.2545894916860421E-2</v>
      </c>
      <c r="JI112" s="945">
        <f t="shared" si="686"/>
        <v>-1.5888935628018137E-2</v>
      </c>
      <c r="JJ112" s="945">
        <f t="shared" si="686"/>
        <v>4.6224290315119466E-2</v>
      </c>
      <c r="JK112" s="945">
        <f t="shared" si="686"/>
        <v>7.9274899402455745E-2</v>
      </c>
      <c r="JL112" s="945">
        <f t="shared" si="686"/>
        <v>7.9274899402455745E-2</v>
      </c>
      <c r="JM112" s="945"/>
      <c r="JN112" s="945"/>
      <c r="JP112" s="945">
        <f>+JL112</f>
        <v>7.9274899402455745E-2</v>
      </c>
      <c r="JQ112" s="945">
        <f>IFERROR(+JQ111/JQ$11,0)</f>
        <v>0</v>
      </c>
      <c r="JR112" s="946"/>
      <c r="JS112" s="947" t="str">
        <f>+IFERROR(JP112/JQ112,"")</f>
        <v/>
      </c>
      <c r="JT112" s="945">
        <f>+IFERROR(JP112-JQ112,"NA")</f>
        <v>7.9274899402455745E-2</v>
      </c>
      <c r="JV112" s="945"/>
      <c r="JW112" s="945"/>
      <c r="JY112" s="945"/>
      <c r="JZ112" s="945"/>
      <c r="KA112" s="945"/>
      <c r="KB112" s="945"/>
      <c r="KC112" s="945"/>
      <c r="KD112" s="945"/>
      <c r="KE112" s="945"/>
      <c r="KF112" s="945"/>
      <c r="KH112" s="945"/>
      <c r="KI112" s="945"/>
      <c r="KJ112" s="945"/>
      <c r="KK112" s="945"/>
      <c r="KL112" s="945"/>
      <c r="KM112" s="945"/>
      <c r="KN112" s="945"/>
      <c r="KO112" s="945"/>
      <c r="KQ112" s="945"/>
      <c r="KR112" s="945"/>
      <c r="KS112" s="945"/>
      <c r="KT112" s="945"/>
      <c r="KU112" s="945"/>
      <c r="KV112" s="945"/>
      <c r="KW112" s="945"/>
      <c r="KX112" s="945"/>
      <c r="KY112" s="945"/>
      <c r="KZ112" s="945"/>
      <c r="LB112" s="945">
        <f>LB111/LB$11</f>
        <v>4.6455188081857321E-2</v>
      </c>
      <c r="LC112" s="945">
        <f t="shared" ref="LC112:LM112" si="687">LC111/LC$11</f>
        <v>0.3835230302929209</v>
      </c>
      <c r="LD112" s="945">
        <f t="shared" si="687"/>
        <v>9.6416634061385394E-3</v>
      </c>
      <c r="LE112" s="945">
        <f t="shared" si="687"/>
        <v>0.82701102404948712</v>
      </c>
      <c r="LF112" s="945">
        <f t="shared" si="687"/>
        <v>0.16071078890886328</v>
      </c>
      <c r="LG112" s="945">
        <f t="shared" si="687"/>
        <v>-4.010959095616682E-2</v>
      </c>
      <c r="LH112" s="945">
        <f t="shared" si="687"/>
        <v>-0.14392258149387957</v>
      </c>
      <c r="LI112" s="945">
        <f t="shared" si="687"/>
        <v>-0.47436831513514682</v>
      </c>
      <c r="LJ112" s="945">
        <f t="shared" si="687"/>
        <v>-0.22956549259872341</v>
      </c>
      <c r="LK112" s="945">
        <f t="shared" si="687"/>
        <v>-0.37861005218953769</v>
      </c>
      <c r="LL112" s="945">
        <f t="shared" si="687"/>
        <v>-0.38984513048322555</v>
      </c>
      <c r="LM112" s="945">
        <f t="shared" si="687"/>
        <v>-0.38984513048322555</v>
      </c>
      <c r="LN112" s="945"/>
      <c r="LO112" s="945"/>
      <c r="LR112" s="945"/>
      <c r="LS112" s="945"/>
      <c r="LT112" s="945"/>
      <c r="LU112" s="945"/>
      <c r="LV112" s="945"/>
      <c r="LW112" s="945"/>
      <c r="LX112" s="945">
        <f>+IFERROR(LO112/LI112-1," ")</f>
        <v>-1</v>
      </c>
      <c r="LZ112" s="945"/>
      <c r="MA112" s="945"/>
      <c r="MB112" s="945"/>
      <c r="MC112" s="945"/>
      <c r="MD112" s="945"/>
      <c r="ME112" s="945"/>
      <c r="MF112" s="945">
        <f>+LO112-LI112</f>
        <v>0.47436831513514682</v>
      </c>
      <c r="MH112" s="945"/>
      <c r="MI112" s="945"/>
      <c r="MJ112" s="945"/>
      <c r="MK112" s="945"/>
      <c r="ML112" s="945"/>
      <c r="MM112" s="945"/>
      <c r="MN112" s="945"/>
      <c r="MO112" s="945"/>
      <c r="MP112" s="945"/>
    </row>
    <row r="113" spans="1:354">
      <c r="A113" s="867">
        <v>59</v>
      </c>
      <c r="B113" s="71" t="s">
        <v>683</v>
      </c>
      <c r="E113" s="66"/>
      <c r="F113" s="66"/>
      <c r="G113" s="66"/>
      <c r="H113" s="66"/>
      <c r="I113" s="66"/>
      <c r="J113" s="66"/>
      <c r="K113" s="66"/>
      <c r="L113" s="66"/>
      <c r="M113" s="66"/>
      <c r="N113" s="66"/>
      <c r="O113" s="66"/>
      <c r="P113" s="66"/>
      <c r="Q113" s="102"/>
      <c r="R113" s="66"/>
      <c r="S113" s="66"/>
      <c r="T113" s="66"/>
      <c r="U113" s="66"/>
      <c r="V113" s="66"/>
      <c r="W113" s="66"/>
      <c r="X113" s="66"/>
      <c r="Y113" s="66"/>
      <c r="Z113" s="66"/>
      <c r="AA113" s="66"/>
      <c r="AB113" s="66"/>
      <c r="AC113" s="102"/>
      <c r="AD113" s="66"/>
      <c r="AE113" s="66"/>
      <c r="AF113" s="66"/>
      <c r="AG113" s="66"/>
      <c r="AH113" s="66"/>
      <c r="AI113" s="66"/>
      <c r="AJ113" s="66"/>
      <c r="AK113" s="66"/>
      <c r="AL113" s="66"/>
      <c r="AM113" s="66"/>
      <c r="AN113" s="66"/>
      <c r="AO113" s="66"/>
      <c r="AP113" s="88"/>
      <c r="AQ113" s="942"/>
      <c r="AR113" s="942"/>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873"/>
      <c r="DR113" s="873"/>
      <c r="DS113" s="873"/>
      <c r="DT113" s="873"/>
      <c r="DU113" s="873"/>
      <c r="DV113" s="873"/>
      <c r="DW113" s="873"/>
      <c r="DX113" s="873"/>
      <c r="DY113" s="873"/>
      <c r="DZ113" s="873"/>
      <c r="EA113" s="873"/>
      <c r="EB113" s="873"/>
      <c r="EC113" s="873"/>
      <c r="ED113" s="873"/>
      <c r="EE113" s="873"/>
      <c r="EF113" s="873"/>
      <c r="EH113" s="66"/>
      <c r="EI113" s="66"/>
      <c r="EJ113" s="66"/>
      <c r="EK113" s="66"/>
      <c r="EL113" s="66"/>
      <c r="EM113" s="66"/>
      <c r="EN113" s="66"/>
      <c r="EO113" s="66"/>
      <c r="EP113" s="66"/>
      <c r="EQ113" s="66"/>
      <c r="ER113" s="66"/>
      <c r="ES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77"/>
      <c r="HD113" s="66"/>
      <c r="HE113" s="66"/>
      <c r="HF113" s="66"/>
      <c r="HG113" s="66"/>
      <c r="HH113" s="66"/>
      <c r="HI113" s="66"/>
      <c r="HJ113" s="66"/>
      <c r="HK113" s="66"/>
      <c r="HO113" s="66"/>
      <c r="HP113" s="66"/>
      <c r="HR113" s="50"/>
      <c r="HS113" s="50"/>
      <c r="HT113" s="50"/>
      <c r="HU113" s="50"/>
      <c r="HV113" s="50"/>
      <c r="HW113" s="50"/>
      <c r="HX113" s="50"/>
      <c r="HY113" s="50"/>
      <c r="HZ113" s="50"/>
      <c r="IA113" s="50" t="str">
        <f t="shared" si="604"/>
        <v/>
      </c>
      <c r="IB113" s="50"/>
      <c r="IC113" s="50" t="str">
        <f t="shared" si="605"/>
        <v/>
      </c>
      <c r="IE113" s="66"/>
      <c r="IF113" s="66"/>
      <c r="IG113" s="66"/>
      <c r="IH113" s="66"/>
      <c r="II113" s="66">
        <f t="shared" si="619"/>
        <v>0</v>
      </c>
      <c r="IJ113" s="66">
        <f t="shared" si="620"/>
        <v>0</v>
      </c>
      <c r="IK113" s="66">
        <f t="shared" si="621"/>
        <v>0</v>
      </c>
      <c r="IL113" s="66">
        <f t="shared" si="607"/>
        <v>0</v>
      </c>
      <c r="IM113" s="66"/>
      <c r="IN113" s="66">
        <f t="shared" si="608"/>
        <v>0</v>
      </c>
      <c r="JA113" s="97"/>
      <c r="JB113" s="97"/>
      <c r="JC113" s="77"/>
      <c r="JD113" s="77"/>
      <c r="JE113" s="77"/>
      <c r="JF113" s="77"/>
      <c r="JG113" s="77"/>
      <c r="JH113" s="77"/>
      <c r="JI113" s="77"/>
      <c r="JJ113" s="77"/>
      <c r="JK113" s="77"/>
      <c r="JL113" s="77"/>
      <c r="KO113" s="77"/>
      <c r="LB113" s="97"/>
      <c r="LC113" s="97"/>
      <c r="LD113" s="97"/>
      <c r="LE113" s="97"/>
      <c r="LF113" s="97"/>
      <c r="LG113" s="97"/>
      <c r="LH113" s="97"/>
      <c r="LI113" s="97"/>
      <c r="LJ113" s="97"/>
      <c r="LK113" s="97"/>
      <c r="LL113" s="97"/>
      <c r="LM113" s="97"/>
      <c r="LN113" s="97"/>
      <c r="LO113" s="97"/>
      <c r="MF113" s="77"/>
    </row>
    <row r="114" spans="1:354">
      <c r="A114" s="867"/>
      <c r="E114" s="66"/>
      <c r="F114" s="66"/>
      <c r="G114" s="66"/>
      <c r="H114" s="66"/>
      <c r="I114" s="66"/>
      <c r="J114" s="66"/>
      <c r="K114" s="66"/>
      <c r="L114" s="66"/>
      <c r="M114" s="66"/>
      <c r="N114" s="66"/>
      <c r="O114" s="66"/>
      <c r="P114" s="66"/>
      <c r="Q114" s="102"/>
      <c r="R114" s="66"/>
      <c r="S114" s="66"/>
      <c r="T114" s="66"/>
      <c r="U114" s="66"/>
      <c r="V114" s="66"/>
      <c r="W114" s="66"/>
      <c r="X114" s="66"/>
      <c r="Y114" s="66"/>
      <c r="Z114" s="66"/>
      <c r="AA114" s="66"/>
      <c r="AB114" s="66"/>
      <c r="AC114" s="102"/>
      <c r="AD114" s="66"/>
      <c r="AE114" s="66"/>
      <c r="AF114" s="66"/>
      <c r="AG114" s="66"/>
      <c r="AH114" s="66"/>
      <c r="AI114" s="66"/>
      <c r="AJ114" s="66"/>
      <c r="AK114" s="145"/>
      <c r="AL114" s="88"/>
      <c r="AM114" s="88"/>
      <c r="AN114" s="88"/>
      <c r="AO114" s="88"/>
      <c r="AP114" s="88"/>
      <c r="AQ114" s="472"/>
      <c r="AR114" s="472"/>
      <c r="AS114" s="88"/>
      <c r="AT114" s="88"/>
      <c r="AU114" s="88"/>
      <c r="AV114" s="88"/>
      <c r="AW114" s="88"/>
      <c r="AX114" s="88"/>
      <c r="AY114" s="88"/>
      <c r="AZ114" s="971"/>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920"/>
      <c r="DR114" s="920"/>
      <c r="DS114" s="920"/>
      <c r="DT114" s="920"/>
      <c r="DU114" s="920"/>
      <c r="DV114" s="920"/>
      <c r="DW114" s="920"/>
      <c r="DX114" s="920"/>
      <c r="DY114" s="920"/>
      <c r="DZ114" s="920"/>
      <c r="EA114" s="920"/>
      <c r="EB114" s="920"/>
      <c r="EC114" s="920"/>
      <c r="ED114" s="920"/>
      <c r="EE114" s="920"/>
      <c r="EF114" s="920"/>
      <c r="EH114" s="88"/>
      <c r="EI114" s="88"/>
      <c r="EJ114" s="88"/>
      <c r="EK114" s="88"/>
      <c r="EL114" s="88"/>
      <c r="EM114" s="88"/>
      <c r="EN114" s="88"/>
      <c r="EO114" s="88"/>
      <c r="EP114" s="88"/>
      <c r="EQ114" s="88"/>
      <c r="ER114" s="88"/>
      <c r="ES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D114" s="66"/>
      <c r="HE114" s="66"/>
      <c r="HF114" s="66"/>
      <c r="HG114" s="66"/>
      <c r="HH114" s="66"/>
      <c r="HI114" s="66"/>
      <c r="HJ114" s="66"/>
      <c r="HK114" s="66"/>
      <c r="HO114" s="66"/>
      <c r="HP114" s="66"/>
      <c r="HR114" s="50"/>
      <c r="HS114" s="50"/>
      <c r="HT114" s="50"/>
      <c r="HU114" s="50"/>
      <c r="HV114" s="50"/>
      <c r="HW114" s="50"/>
      <c r="HX114" s="50"/>
      <c r="HY114" s="50"/>
      <c r="HZ114" s="50"/>
      <c r="IA114" s="50" t="str">
        <f t="shared" si="604"/>
        <v/>
      </c>
      <c r="IB114" s="50"/>
      <c r="IC114" s="50" t="str">
        <f t="shared" si="605"/>
        <v/>
      </c>
      <c r="IE114" s="66"/>
      <c r="IF114" s="66"/>
      <c r="IG114" s="66"/>
      <c r="IH114" s="66"/>
      <c r="II114" s="66">
        <f t="shared" si="619"/>
        <v>0</v>
      </c>
      <c r="IJ114" s="66">
        <f t="shared" si="620"/>
        <v>0</v>
      </c>
      <c r="IK114" s="66">
        <f t="shared" si="621"/>
        <v>0</v>
      </c>
      <c r="IL114" s="66">
        <f t="shared" si="607"/>
        <v>0</v>
      </c>
      <c r="IM114" s="66"/>
      <c r="IN114" s="66">
        <f t="shared" si="608"/>
        <v>0</v>
      </c>
      <c r="KO114" s="77"/>
      <c r="MF114" s="77"/>
    </row>
    <row r="115" spans="1:354">
      <c r="A115" s="867"/>
      <c r="B115" s="918" t="s">
        <v>684</v>
      </c>
      <c r="E115" s="66"/>
      <c r="F115" s="66"/>
      <c r="G115" s="66"/>
      <c r="H115" s="66"/>
      <c r="I115" s="66"/>
      <c r="J115" s="66"/>
      <c r="K115" s="66"/>
      <c r="L115" s="66"/>
      <c r="M115" s="66"/>
      <c r="N115" s="66"/>
      <c r="O115" s="66"/>
      <c r="P115" s="66"/>
      <c r="Q115" s="102"/>
      <c r="R115" s="66"/>
      <c r="S115" s="66"/>
      <c r="T115" s="66"/>
      <c r="U115" s="66"/>
      <c r="V115" s="66"/>
      <c r="W115" s="66"/>
      <c r="X115" s="66"/>
      <c r="Y115" s="66"/>
      <c r="Z115" s="66"/>
      <c r="AA115" s="66"/>
      <c r="AB115" s="66"/>
      <c r="AC115" s="102"/>
      <c r="AD115" s="66"/>
      <c r="AE115" s="66"/>
      <c r="AF115" s="66"/>
      <c r="AG115" s="66"/>
      <c r="AH115" s="66"/>
      <c r="AI115" s="66"/>
      <c r="AJ115" s="66"/>
      <c r="AK115" s="66"/>
      <c r="AL115" s="66"/>
      <c r="AM115" s="66"/>
      <c r="AN115" s="66"/>
      <c r="AO115" s="66"/>
      <c r="AP115" s="88"/>
      <c r="AQ115" s="942"/>
      <c r="AR115" s="942"/>
      <c r="AS115" s="66"/>
      <c r="AT115" s="66"/>
      <c r="AU115" s="66"/>
      <c r="AV115" s="66"/>
      <c r="AW115" s="66"/>
      <c r="AX115" s="66"/>
      <c r="AY115" s="66"/>
      <c r="AZ115" s="971"/>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873"/>
      <c r="DR115" s="873"/>
      <c r="DS115" s="873"/>
      <c r="DT115" s="873"/>
      <c r="DU115" s="873"/>
      <c r="DV115" s="873"/>
      <c r="DW115" s="873"/>
      <c r="DX115" s="873"/>
      <c r="DY115" s="873"/>
      <c r="DZ115" s="873"/>
      <c r="EA115" s="873"/>
      <c r="EB115" s="873"/>
      <c r="EC115" s="873"/>
      <c r="ED115" s="873"/>
      <c r="EE115" s="873"/>
      <c r="EF115" s="873"/>
      <c r="EH115" s="66"/>
      <c r="EI115" s="66"/>
      <c r="EJ115" s="972"/>
      <c r="EK115" s="66"/>
      <c r="EL115" s="66"/>
      <c r="EM115" s="66"/>
      <c r="EN115" s="66"/>
      <c r="EO115" s="66"/>
      <c r="EP115" s="66"/>
      <c r="EQ115" s="66"/>
      <c r="ER115" s="66"/>
      <c r="ES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971"/>
      <c r="FS115" s="66"/>
      <c r="FT115" s="66"/>
      <c r="FU115" s="66"/>
      <c r="FV115" s="66"/>
      <c r="FW115" s="66"/>
      <c r="FX115" s="66"/>
      <c r="FY115" s="66"/>
      <c r="FZ115" s="66"/>
      <c r="GA115" s="66"/>
      <c r="GB115" s="66"/>
      <c r="GC115" s="66"/>
      <c r="GD115" s="971"/>
      <c r="GE115" s="66"/>
      <c r="GF115" s="971"/>
      <c r="GG115" s="971"/>
      <c r="GH115" s="971"/>
      <c r="GI115" s="971"/>
      <c r="GJ115" s="971"/>
      <c r="GK115" s="971"/>
      <c r="GL115" s="971"/>
      <c r="GM115" s="971"/>
      <c r="GN115" s="971"/>
      <c r="GO115" s="971"/>
      <c r="GP115" s="971"/>
      <c r="GQ115" s="66"/>
      <c r="GR115" s="971"/>
      <c r="GS115" s="971"/>
      <c r="GT115" s="971"/>
      <c r="GU115" s="971"/>
      <c r="GV115" s="971"/>
      <c r="GW115" s="971"/>
      <c r="GX115" s="971"/>
      <c r="GY115" s="971"/>
      <c r="GZ115" s="971"/>
      <c r="HA115" s="971"/>
      <c r="HB115" s="971"/>
      <c r="HD115" s="66"/>
      <c r="HE115" s="66"/>
      <c r="HF115" s="66"/>
      <c r="HG115" s="66"/>
      <c r="HH115" s="66"/>
      <c r="HI115" s="66"/>
      <c r="HJ115" s="66"/>
      <c r="HK115" s="66"/>
      <c r="HO115" s="66"/>
      <c r="HP115" s="66"/>
      <c r="HR115" s="50"/>
      <c r="HS115" s="50"/>
      <c r="HT115" s="50"/>
      <c r="HU115" s="50"/>
      <c r="HV115" s="50"/>
      <c r="HW115" s="50"/>
      <c r="HX115" s="50"/>
      <c r="HY115" s="50"/>
      <c r="HZ115" s="50"/>
      <c r="IA115" s="50" t="str">
        <f t="shared" si="604"/>
        <v/>
      </c>
      <c r="IB115" s="50"/>
      <c r="IC115" s="50" t="str">
        <f t="shared" si="605"/>
        <v/>
      </c>
      <c r="IE115" s="66"/>
      <c r="IF115" s="66"/>
      <c r="IG115" s="66"/>
      <c r="IH115" s="66"/>
      <c r="II115" s="66">
        <f t="shared" si="619"/>
        <v>0</v>
      </c>
      <c r="IJ115" s="66">
        <f t="shared" si="620"/>
        <v>0</v>
      </c>
      <c r="IK115" s="66">
        <f t="shared" si="621"/>
        <v>0</v>
      </c>
      <c r="IL115" s="66">
        <f t="shared" si="607"/>
        <v>0</v>
      </c>
      <c r="IM115" s="66"/>
      <c r="IN115" s="66">
        <f t="shared" si="608"/>
        <v>0</v>
      </c>
      <c r="JC115" s="77"/>
      <c r="JD115" s="77"/>
      <c r="JE115" s="77"/>
      <c r="JF115" s="77"/>
      <c r="JG115" s="77"/>
      <c r="JH115" s="77"/>
      <c r="JI115" s="77"/>
      <c r="JJ115" s="77"/>
      <c r="JK115" s="77"/>
      <c r="JL115" s="77"/>
      <c r="KO115" s="77"/>
      <c r="MF115" s="77"/>
    </row>
    <row r="116" spans="1:354">
      <c r="A116" s="867"/>
      <c r="C116" s="918">
        <v>13050504</v>
      </c>
      <c r="F116" s="77"/>
      <c r="AC116" s="145"/>
      <c r="AD116" s="88"/>
      <c r="AE116" s="88"/>
      <c r="AF116" s="88"/>
      <c r="AG116" s="88"/>
      <c r="AH116" s="88"/>
      <c r="AI116" s="88"/>
      <c r="AJ116" s="88"/>
      <c r="AK116" s="88"/>
      <c r="AL116" s="88"/>
      <c r="AM116" s="88"/>
      <c r="AN116" s="88"/>
      <c r="AO116" s="88"/>
      <c r="AP116" s="88"/>
      <c r="AQ116" s="938"/>
      <c r="AR116" s="93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920"/>
      <c r="DR116" s="920"/>
      <c r="DS116" s="920"/>
      <c r="DT116" s="920"/>
      <c r="DU116" s="920"/>
      <c r="DV116" s="920"/>
      <c r="DW116" s="920"/>
      <c r="DX116" s="920"/>
      <c r="DY116" s="920"/>
      <c r="DZ116" s="920"/>
      <c r="EA116" s="920"/>
      <c r="EB116" s="920"/>
      <c r="EC116" s="920"/>
      <c r="ED116" s="920"/>
      <c r="EE116" s="920"/>
      <c r="EF116" s="920"/>
      <c r="EH116" s="88"/>
      <c r="EI116" s="88"/>
      <c r="EJ116" s="88"/>
      <c r="EK116" s="88"/>
      <c r="EL116" s="88"/>
      <c r="EM116" s="88"/>
      <c r="EN116" s="88"/>
      <c r="EO116" s="88"/>
      <c r="EP116" s="88"/>
      <c r="EQ116" s="88"/>
      <c r="ER116" s="88"/>
      <c r="ES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D116" s="88"/>
      <c r="HE116" s="88"/>
      <c r="HF116" s="88"/>
      <c r="HG116" s="88"/>
      <c r="HH116" s="88"/>
      <c r="HI116" s="88"/>
      <c r="HJ116" s="88"/>
      <c r="HK116" s="88"/>
      <c r="HL116" s="920"/>
      <c r="HM116" s="920"/>
      <c r="HN116" s="920"/>
      <c r="HO116" s="88"/>
      <c r="HP116" s="88"/>
      <c r="HR116" s="95"/>
      <c r="HS116" s="95"/>
      <c r="HT116" s="95"/>
      <c r="HU116" s="95"/>
      <c r="HV116" s="95"/>
      <c r="HW116" s="95"/>
      <c r="HX116" s="95"/>
      <c r="HY116" s="95"/>
      <c r="HZ116" s="95"/>
      <c r="IA116" s="95" t="str">
        <f t="shared" si="604"/>
        <v/>
      </c>
      <c r="IB116" s="95"/>
      <c r="IC116" s="95" t="str">
        <f t="shared" si="605"/>
        <v/>
      </c>
      <c r="IE116" s="88"/>
      <c r="IF116" s="88"/>
      <c r="IG116" s="88"/>
      <c r="IH116" s="88"/>
      <c r="II116" s="88">
        <f t="shared" si="619"/>
        <v>0</v>
      </c>
      <c r="IJ116" s="88">
        <f t="shared" si="620"/>
        <v>0</v>
      </c>
      <c r="IK116" s="88">
        <f t="shared" si="621"/>
        <v>0</v>
      </c>
      <c r="IL116" s="88">
        <f t="shared" si="607"/>
        <v>0</v>
      </c>
      <c r="IM116" s="88"/>
      <c r="IN116" s="88">
        <f t="shared" si="608"/>
        <v>0</v>
      </c>
      <c r="JA116" s="77"/>
      <c r="JB116" s="77"/>
      <c r="JC116" s="77"/>
      <c r="JD116" s="77"/>
      <c r="JE116" s="77"/>
      <c r="JF116" s="77"/>
      <c r="JG116" s="77"/>
      <c r="JH116" s="77"/>
      <c r="JI116" s="77"/>
      <c r="JJ116" s="77"/>
      <c r="JK116" s="77"/>
      <c r="JL116" s="77"/>
      <c r="KO116" s="77"/>
      <c r="LB116" s="77"/>
      <c r="LC116" s="77"/>
      <c r="LD116" s="77"/>
      <c r="LE116" s="77"/>
      <c r="LF116" s="77"/>
      <c r="LG116" s="77"/>
      <c r="LH116" s="77"/>
      <c r="LI116" s="77"/>
      <c r="LJ116" s="77"/>
      <c r="LK116" s="77"/>
      <c r="LL116" s="77"/>
      <c r="LM116" s="77"/>
      <c r="LN116" s="77"/>
      <c r="LO116" s="77"/>
      <c r="MF116" s="77"/>
    </row>
    <row r="117" spans="1:354">
      <c r="A117" s="867"/>
      <c r="C117" s="1513" t="s">
        <v>111</v>
      </c>
      <c r="D117" s="1512" t="s">
        <v>59</v>
      </c>
      <c r="E117" s="1515">
        <f t="shared" ref="E117:AZ117" si="688">SUM(E118:E124,E134:E135)</f>
        <v>6668.4311843299993</v>
      </c>
      <c r="F117" s="1515">
        <f t="shared" si="688"/>
        <v>6620.8616750200008</v>
      </c>
      <c r="G117" s="1515">
        <f t="shared" si="688"/>
        <v>7089.9838968200011</v>
      </c>
      <c r="H117" s="1515">
        <f t="shared" si="688"/>
        <v>7310.7791476000002</v>
      </c>
      <c r="I117" s="1515">
        <f t="shared" si="688"/>
        <v>8997.9433301600002</v>
      </c>
      <c r="J117" s="1515">
        <f t="shared" si="688"/>
        <v>9002.952776109998</v>
      </c>
      <c r="K117" s="1515">
        <f t="shared" si="688"/>
        <v>10014.937721090002</v>
      </c>
      <c r="L117" s="1515">
        <f t="shared" si="688"/>
        <v>11249.907422869999</v>
      </c>
      <c r="M117" s="1515">
        <f t="shared" si="688"/>
        <v>12321.66761036</v>
      </c>
      <c r="N117" s="1515">
        <f t="shared" si="688"/>
        <v>11972.180973830002</v>
      </c>
      <c r="O117" s="1515">
        <f t="shared" si="688"/>
        <v>13443.255964050002</v>
      </c>
      <c r="P117" s="1515">
        <f t="shared" si="688"/>
        <v>13229.053844349999</v>
      </c>
      <c r="Q117" s="1515">
        <f t="shared" si="688"/>
        <v>12524.143382800001</v>
      </c>
      <c r="R117" s="1515">
        <f t="shared" si="688"/>
        <v>13168.910792070001</v>
      </c>
      <c r="S117" s="1515">
        <f t="shared" si="688"/>
        <v>12466.230381179999</v>
      </c>
      <c r="T117" s="1515">
        <f t="shared" si="688"/>
        <v>8098.5910486199991</v>
      </c>
      <c r="U117" s="1515">
        <f t="shared" si="688"/>
        <v>9794.0932809099995</v>
      </c>
      <c r="V117" s="1515">
        <f t="shared" si="688"/>
        <v>10718.161552149999</v>
      </c>
      <c r="W117" s="1515">
        <f t="shared" si="688"/>
        <v>10285.77090748</v>
      </c>
      <c r="X117" s="1515">
        <f t="shared" si="688"/>
        <v>11379.194695239998</v>
      </c>
      <c r="Y117" s="1515">
        <f t="shared" si="688"/>
        <v>10186.09868098</v>
      </c>
      <c r="Z117" s="1515">
        <f t="shared" si="688"/>
        <v>10458.133346340001</v>
      </c>
      <c r="AA117" s="1515">
        <f t="shared" si="688"/>
        <v>13569.80071666</v>
      </c>
      <c r="AB117" s="1515">
        <f t="shared" si="688"/>
        <v>17218.367465679999</v>
      </c>
      <c r="AC117" s="1515">
        <f t="shared" si="688"/>
        <v>15639.320228570001</v>
      </c>
      <c r="AD117" s="1515">
        <f t="shared" si="688"/>
        <v>17187.996028720001</v>
      </c>
      <c r="AE117" s="1515">
        <f t="shared" si="688"/>
        <v>17359.50147286</v>
      </c>
      <c r="AF117" s="1515">
        <f t="shared" si="688"/>
        <v>14782.59141823</v>
      </c>
      <c r="AG117" s="1515">
        <f t="shared" si="688"/>
        <v>15660.955008129999</v>
      </c>
      <c r="AH117" s="1515">
        <f t="shared" si="688"/>
        <v>15718.162039089999</v>
      </c>
      <c r="AI117" s="1515">
        <f t="shared" si="688"/>
        <v>15581.667608870001</v>
      </c>
      <c r="AJ117" s="1515">
        <f t="shared" si="688"/>
        <v>17008.306768410002</v>
      </c>
      <c r="AK117" s="1515">
        <f t="shared" si="688"/>
        <v>17556.316440330003</v>
      </c>
      <c r="AL117" s="1515">
        <f t="shared" si="688"/>
        <v>19450.443832329998</v>
      </c>
      <c r="AM117" s="1515">
        <f t="shared" si="688"/>
        <v>26002.323497439997</v>
      </c>
      <c r="AN117" s="1515">
        <f t="shared" si="688"/>
        <v>24914.331813289995</v>
      </c>
      <c r="AO117" s="1515">
        <f t="shared" si="688"/>
        <v>23353.266460829993</v>
      </c>
      <c r="AP117" s="1515">
        <f t="shared" si="688"/>
        <v>23042.505368629998</v>
      </c>
      <c r="AQ117" s="1515">
        <f t="shared" si="688"/>
        <v>20227.406829879994</v>
      </c>
      <c r="AR117" s="1515">
        <f t="shared" si="688"/>
        <v>15767.284108389993</v>
      </c>
      <c r="AS117" s="1515">
        <f t="shared" si="688"/>
        <v>15335.001756689995</v>
      </c>
      <c r="AT117" s="1515">
        <f t="shared" si="688"/>
        <v>14556.297706639996</v>
      </c>
      <c r="AU117" s="1515">
        <f t="shared" si="688"/>
        <v>14384.324706619995</v>
      </c>
      <c r="AV117" s="1515">
        <f t="shared" si="688"/>
        <v>14404.919650579994</v>
      </c>
      <c r="AW117" s="1515">
        <f t="shared" si="688"/>
        <v>14305.413221549996</v>
      </c>
      <c r="AX117" s="1515">
        <f t="shared" si="688"/>
        <v>15481.950758299992</v>
      </c>
      <c r="AY117" s="1515">
        <f t="shared" si="688"/>
        <v>14590.800965449997</v>
      </c>
      <c r="AZ117" s="1515">
        <f t="shared" si="688"/>
        <v>11614.117605769999</v>
      </c>
      <c r="BA117" s="1515">
        <f>SUM(BA118:BA124,BA134:BA135)</f>
        <v>10497.961743410002</v>
      </c>
      <c r="BB117" s="1515">
        <f t="shared" ref="BB117:DM117" si="689">SUM(BB118:BB124,BB134:BB135)</f>
        <v>9878.5939022899984</v>
      </c>
      <c r="BC117" s="1515">
        <f t="shared" si="689"/>
        <v>8655.7827626300004</v>
      </c>
      <c r="BD117" s="1515">
        <f t="shared" si="689"/>
        <v>8492.42440222</v>
      </c>
      <c r="BE117" s="1515">
        <f t="shared" si="689"/>
        <v>7481.8965199299992</v>
      </c>
      <c r="BF117" s="1515">
        <f t="shared" si="689"/>
        <v>7220.5304285600005</v>
      </c>
      <c r="BG117" s="1515">
        <f t="shared" si="689"/>
        <v>7458.1730402699995</v>
      </c>
      <c r="BH117" s="1515">
        <f t="shared" si="689"/>
        <v>6372.1945685499995</v>
      </c>
      <c r="BI117" s="1515">
        <f t="shared" si="689"/>
        <v>6245.5401377200005</v>
      </c>
      <c r="BJ117" s="1515">
        <f t="shared" si="689"/>
        <v>6317.4566868299989</v>
      </c>
      <c r="BK117" s="1515">
        <f t="shared" si="689"/>
        <v>6421.1822657699995</v>
      </c>
      <c r="BL117" s="1515">
        <f t="shared" si="689"/>
        <v>7585.6421850299994</v>
      </c>
      <c r="BM117" s="1515">
        <f t="shared" si="689"/>
        <v>8068.5483332700005</v>
      </c>
      <c r="BN117" s="1515">
        <f t="shared" si="689"/>
        <v>8076.1712226499994</v>
      </c>
      <c r="BO117" s="1515">
        <f t="shared" si="689"/>
        <v>8238.9545704100001</v>
      </c>
      <c r="BP117" s="1515">
        <f t="shared" si="689"/>
        <v>8683.4572004500005</v>
      </c>
      <c r="BQ117" s="1515">
        <f t="shared" si="689"/>
        <v>8290.4597859700007</v>
      </c>
      <c r="BR117" s="1515">
        <f t="shared" si="689"/>
        <v>8262.7132810200001</v>
      </c>
      <c r="BS117" s="1515">
        <f t="shared" si="689"/>
        <v>8390.4299348000004</v>
      </c>
      <c r="BT117" s="1515">
        <f t="shared" si="689"/>
        <v>8409.0809882299982</v>
      </c>
      <c r="BU117" s="1515">
        <f t="shared" si="689"/>
        <v>8151.6304142600002</v>
      </c>
      <c r="BV117" s="1515">
        <f t="shared" si="689"/>
        <v>8604.7544453800001</v>
      </c>
      <c r="BW117" s="1515">
        <f t="shared" si="689"/>
        <v>8562.1158541399982</v>
      </c>
      <c r="BX117" s="1515">
        <f t="shared" si="689"/>
        <v>8475.1825465900001</v>
      </c>
      <c r="BY117" s="1515">
        <f t="shared" si="689"/>
        <v>8241.2975203100013</v>
      </c>
      <c r="BZ117" s="1515">
        <f t="shared" si="689"/>
        <v>7987.66228675</v>
      </c>
      <c r="CA117" s="1515">
        <f t="shared" si="689"/>
        <v>7836.2695846600009</v>
      </c>
      <c r="CB117" s="1515">
        <f t="shared" si="689"/>
        <v>7400.975298790001</v>
      </c>
      <c r="CC117" s="1515">
        <f t="shared" si="689"/>
        <v>6781.2066245599999</v>
      </c>
      <c r="CD117" s="1515">
        <f t="shared" si="689"/>
        <v>6849.71931485</v>
      </c>
      <c r="CE117" s="1515">
        <f t="shared" si="689"/>
        <v>6861.2679511900005</v>
      </c>
      <c r="CF117" s="1515">
        <f t="shared" si="689"/>
        <v>7021.155139200001</v>
      </c>
      <c r="CG117" s="1515">
        <f t="shared" si="689"/>
        <v>7134.7801095699997</v>
      </c>
      <c r="CH117" s="1515">
        <f t="shared" si="689"/>
        <v>7675.6089293100013</v>
      </c>
      <c r="CI117" s="1515">
        <f t="shared" si="689"/>
        <v>8215.6772989500005</v>
      </c>
      <c r="CJ117" s="1515">
        <f t="shared" si="689"/>
        <v>8217.1698319200004</v>
      </c>
      <c r="CK117" s="1515">
        <f t="shared" si="689"/>
        <v>8608.63435751</v>
      </c>
      <c r="CL117" s="1515">
        <f t="shared" si="689"/>
        <v>8379.8143821400008</v>
      </c>
      <c r="CM117" s="1515">
        <f t="shared" si="689"/>
        <v>8824.9023814900011</v>
      </c>
      <c r="CN117" s="1515">
        <f t="shared" si="689"/>
        <v>9144.987439139999</v>
      </c>
      <c r="CO117" s="1515">
        <f t="shared" si="689"/>
        <v>9248.9338642999992</v>
      </c>
      <c r="CP117" s="1515">
        <f t="shared" si="689"/>
        <v>9098.4187832299995</v>
      </c>
      <c r="CQ117" s="1515">
        <f t="shared" si="689"/>
        <v>8878.0748783499985</v>
      </c>
      <c r="CR117" s="1515">
        <f t="shared" si="689"/>
        <v>9550.5355420300002</v>
      </c>
      <c r="CS117" s="1515">
        <f t="shared" si="689"/>
        <v>9723.1180463000001</v>
      </c>
      <c r="CT117" s="1515">
        <f t="shared" si="689"/>
        <v>10974.33766605</v>
      </c>
      <c r="CU117" s="1515">
        <f t="shared" si="689"/>
        <v>10976.41718174</v>
      </c>
      <c r="CV117" s="1515">
        <f t="shared" si="689"/>
        <v>11038.144556390002</v>
      </c>
      <c r="CW117" s="1515">
        <f t="shared" si="689"/>
        <v>11045.4334242</v>
      </c>
      <c r="CX117" s="1515">
        <f t="shared" si="689"/>
        <v>11171.68014287</v>
      </c>
      <c r="CY117" s="1515">
        <f t="shared" si="689"/>
        <v>12583.43334258</v>
      </c>
      <c r="CZ117" s="1515">
        <f t="shared" si="689"/>
        <v>11373.136988709999</v>
      </c>
      <c r="DA117" s="1515">
        <f t="shared" si="689"/>
        <v>9570.1648219500003</v>
      </c>
      <c r="DB117" s="1515">
        <f t="shared" si="689"/>
        <v>6205.3922719000002</v>
      </c>
      <c r="DC117" s="1515">
        <f t="shared" si="689"/>
        <v>5730.0003255700003</v>
      </c>
      <c r="DD117" s="1515">
        <f t="shared" si="689"/>
        <v>6228.2921528800007</v>
      </c>
      <c r="DE117" s="1515">
        <f t="shared" si="689"/>
        <v>6861.1085392399991</v>
      </c>
      <c r="DF117" s="1515">
        <f t="shared" si="689"/>
        <v>7293.1638406299999</v>
      </c>
      <c r="DG117" s="1515">
        <f t="shared" si="689"/>
        <v>7460.2092206899988</v>
      </c>
      <c r="DH117" s="1515">
        <f t="shared" si="689"/>
        <v>8141.5347523600003</v>
      </c>
      <c r="DI117" s="1515">
        <f t="shared" si="689"/>
        <v>7989.0738909700003</v>
      </c>
      <c r="DJ117" s="1515">
        <f t="shared" si="689"/>
        <v>7673.8911227899998</v>
      </c>
      <c r="DK117" s="1515">
        <f t="shared" si="689"/>
        <v>7451.70303943</v>
      </c>
      <c r="DL117" s="1515">
        <f t="shared" si="689"/>
        <v>8660.4915254900006</v>
      </c>
      <c r="DM117" s="1515">
        <f t="shared" si="689"/>
        <v>8755.3092308199994</v>
      </c>
      <c r="DN117" s="1515">
        <f t="shared" ref="DN117:EF117" si="690">SUM(DN118:DN124,DN134:DN135)</f>
        <v>8780.2841790999992</v>
      </c>
      <c r="DO117" s="1515">
        <f t="shared" si="690"/>
        <v>9025.5128696600004</v>
      </c>
      <c r="DP117" s="1515">
        <f t="shared" si="690"/>
        <v>9320.1471908500007</v>
      </c>
      <c r="DQ117" s="1516">
        <f t="shared" si="690"/>
        <v>7976.8135547800002</v>
      </c>
      <c r="DR117" s="1516">
        <f t="shared" si="690"/>
        <v>8234.4691073499998</v>
      </c>
      <c r="DS117" s="1516">
        <f t="shared" si="690"/>
        <v>8376.7454346100003</v>
      </c>
      <c r="DT117" s="1516">
        <f t="shared" si="690"/>
        <v>8522.8897244900018</v>
      </c>
      <c r="DU117" s="1516">
        <f t="shared" si="690"/>
        <v>9825.70787681</v>
      </c>
      <c r="DV117" s="1516">
        <f t="shared" si="690"/>
        <v>9438.2406723100012</v>
      </c>
      <c r="DW117" s="1516">
        <f t="shared" si="690"/>
        <v>8760.2021612800017</v>
      </c>
      <c r="DX117" s="1516">
        <f t="shared" si="690"/>
        <v>9091.3616049899993</v>
      </c>
      <c r="DY117" s="1516">
        <f t="shared" si="690"/>
        <v>9087.5329671799991</v>
      </c>
      <c r="DZ117" s="1516">
        <f t="shared" si="690"/>
        <v>9830.6265395700011</v>
      </c>
      <c r="EA117" s="1516">
        <f t="shared" si="690"/>
        <v>9501.7987163799971</v>
      </c>
      <c r="EB117" s="1516">
        <f t="shared" si="690"/>
        <v>10399.42029649</v>
      </c>
      <c r="EC117" s="1516">
        <f t="shared" si="690"/>
        <v>11705.539289259999</v>
      </c>
      <c r="ED117" s="1516">
        <f t="shared" si="690"/>
        <v>13625.571054369999</v>
      </c>
      <c r="EE117" s="1516">
        <f t="shared" si="690"/>
        <v>15769.010165659998</v>
      </c>
      <c r="EF117" s="1516">
        <f t="shared" si="690"/>
        <v>14901.15571424</v>
      </c>
      <c r="EG117" s="77"/>
      <c r="EH117" s="1515" t="e">
        <f t="shared" ref="EH117:ES117" si="691">+SUM(EH118:EH124,EH134:EH135)</f>
        <v>#VALUE!</v>
      </c>
      <c r="EI117" s="1515" t="e">
        <f t="shared" si="691"/>
        <v>#VALUE!</v>
      </c>
      <c r="EJ117" s="1515" t="e">
        <f t="shared" si="691"/>
        <v>#VALUE!</v>
      </c>
      <c r="EK117" s="1515" t="e">
        <f t="shared" si="691"/>
        <v>#VALUE!</v>
      </c>
      <c r="EL117" s="1515" t="e">
        <f t="shared" si="691"/>
        <v>#VALUE!</v>
      </c>
      <c r="EM117" s="1515" t="e">
        <f t="shared" si="691"/>
        <v>#VALUE!</v>
      </c>
      <c r="EN117" s="1515" t="e">
        <f t="shared" si="691"/>
        <v>#VALUE!</v>
      </c>
      <c r="EO117" s="1515" t="e">
        <f t="shared" si="691"/>
        <v>#VALUE!</v>
      </c>
      <c r="EP117" s="1515" t="e">
        <f t="shared" si="691"/>
        <v>#VALUE!</v>
      </c>
      <c r="EQ117" s="1515" t="e">
        <f t="shared" si="691"/>
        <v>#VALUE!</v>
      </c>
      <c r="ER117" s="1515" t="e">
        <f t="shared" si="691"/>
        <v>#VALUE!</v>
      </c>
      <c r="ES117" s="1515" t="e">
        <f t="shared" si="691"/>
        <v>#VALUE!</v>
      </c>
      <c r="EU117" s="1515">
        <f t="shared" ref="EU117:FZ117" si="692">+SUM(EU118:EU124,EU134:EU135)</f>
        <v>22847.525300907302</v>
      </c>
      <c r="EV117" s="1515">
        <f t="shared" si="692"/>
        <v>19797.337076166452</v>
      </c>
      <c r="EW117" s="1515">
        <f t="shared" si="692"/>
        <v>18681.795893436811</v>
      </c>
      <c r="EX117" s="1515">
        <f t="shared" si="692"/>
        <v>14698.928075633779</v>
      </c>
      <c r="EY117" s="1515">
        <f t="shared" si="692"/>
        <v>14176.784454808223</v>
      </c>
      <c r="EZ117" s="1515">
        <f t="shared" si="692"/>
        <v>15862.03949635406</v>
      </c>
      <c r="FA117" s="1515">
        <f t="shared" si="692"/>
        <v>14201.469244211163</v>
      </c>
      <c r="FB117" s="1515">
        <f t="shared" si="692"/>
        <v>16748.830657493039</v>
      </c>
      <c r="FC117" s="1515">
        <f t="shared" si="692"/>
        <v>17675.675427630598</v>
      </c>
      <c r="FD117" s="1515">
        <f t="shared" si="692"/>
        <v>19626.533160207506</v>
      </c>
      <c r="FE117" s="1515">
        <f t="shared" si="692"/>
        <v>17711.777602298433</v>
      </c>
      <c r="FF117" s="1515">
        <f t="shared" si="692"/>
        <v>19745.104099745655</v>
      </c>
      <c r="FG117" s="1515">
        <f t="shared" si="692"/>
        <v>11991.339463049037</v>
      </c>
      <c r="FH117" s="1515">
        <f t="shared" si="692"/>
        <v>11338.33982103274</v>
      </c>
      <c r="FI117" s="1515">
        <f t="shared" si="692"/>
        <v>11868.618967514329</v>
      </c>
      <c r="FJ117" s="1515">
        <f t="shared" si="692"/>
        <v>13321.676992084525</v>
      </c>
      <c r="FK117" s="1515">
        <f t="shared" si="692"/>
        <v>13045.496467034414</v>
      </c>
      <c r="FL117" s="1515">
        <f t="shared" si="692"/>
        <v>13171.218974425592</v>
      </c>
      <c r="FM117" s="1515">
        <f t="shared" si="692"/>
        <v>13194.649616536497</v>
      </c>
      <c r="FN117" s="1515">
        <f t="shared" si="692"/>
        <v>13682.918225386074</v>
      </c>
      <c r="FO117" s="1515">
        <f t="shared" si="692"/>
        <v>14102.592674171297</v>
      </c>
      <c r="FP117" s="1515">
        <f t="shared" si="692"/>
        <v>14556.062787223927</v>
      </c>
      <c r="FQ117" s="1515">
        <f t="shared" si="692"/>
        <v>14695.228977407889</v>
      </c>
      <c r="FR117" s="1515">
        <f t="shared" si="692"/>
        <v>14454.659642471834</v>
      </c>
      <c r="FS117" s="1515">
        <f t="shared" si="692"/>
        <v>6877.6875657123628</v>
      </c>
      <c r="FT117" s="1515">
        <f t="shared" si="692"/>
        <v>7181.5987592584152</v>
      </c>
      <c r="FU117" s="1515">
        <f t="shared" si="692"/>
        <v>7604.502182039515</v>
      </c>
      <c r="FV117" s="1515">
        <f t="shared" si="692"/>
        <v>7784.8271137563361</v>
      </c>
      <c r="FW117" s="1515">
        <f t="shared" si="692"/>
        <v>8180.372130021402</v>
      </c>
      <c r="FX117" s="1515">
        <f t="shared" si="692"/>
        <v>8469.1592733754624</v>
      </c>
      <c r="FY117" s="1515">
        <f t="shared" si="692"/>
        <v>8884.1455941189015</v>
      </c>
      <c r="FZ117" s="1515">
        <f t="shared" si="692"/>
        <v>8785.87936683306</v>
      </c>
      <c r="GA117" s="1515">
        <f t="shared" ref="GA117:HB117" si="693">+SUM(GA118:GA124,GA134:GA135)</f>
        <v>8552.534042942656</v>
      </c>
      <c r="GB117" s="1515">
        <f t="shared" si="693"/>
        <v>8286.2177756976344</v>
      </c>
      <c r="GC117" s="1515">
        <f t="shared" si="693"/>
        <v>8158.7969349891282</v>
      </c>
      <c r="GD117" s="1515">
        <f t="shared" si="693"/>
        <v>7964.9929327082664</v>
      </c>
      <c r="GE117" s="1515" t="e">
        <f t="shared" si="693"/>
        <v>#VALUE!</v>
      </c>
      <c r="GF117" s="1515" t="e">
        <f t="shared" si="693"/>
        <v>#VALUE!</v>
      </c>
      <c r="GG117" s="1515" t="e">
        <f t="shared" si="693"/>
        <v>#VALUE!</v>
      </c>
      <c r="GH117" s="1515" t="e">
        <f t="shared" si="693"/>
        <v>#VALUE!</v>
      </c>
      <c r="GI117" s="1515" t="e">
        <f t="shared" si="693"/>
        <v>#VALUE!</v>
      </c>
      <c r="GJ117" s="1515" t="e">
        <f t="shared" si="693"/>
        <v>#VALUE!</v>
      </c>
      <c r="GK117" s="1515" t="e">
        <f t="shared" si="693"/>
        <v>#VALUE!</v>
      </c>
      <c r="GL117" s="1515" t="e">
        <f t="shared" si="693"/>
        <v>#VALUE!</v>
      </c>
      <c r="GM117" s="1515" t="e">
        <f t="shared" si="693"/>
        <v>#VALUE!</v>
      </c>
      <c r="GN117" s="1515" t="e">
        <f t="shared" si="693"/>
        <v>#VALUE!</v>
      </c>
      <c r="GO117" s="1515" t="e">
        <f t="shared" si="693"/>
        <v>#VALUE!</v>
      </c>
      <c r="GP117" s="1515" t="e">
        <f t="shared" si="693"/>
        <v>#VALUE!</v>
      </c>
      <c r="GQ117" s="1515" t="e">
        <f t="shared" si="693"/>
        <v>#VALUE!</v>
      </c>
      <c r="GR117" s="1515" t="e">
        <f t="shared" si="693"/>
        <v>#VALUE!</v>
      </c>
      <c r="GS117" s="1515" t="e">
        <f t="shared" si="693"/>
        <v>#VALUE!</v>
      </c>
      <c r="GT117" s="1515" t="e">
        <f t="shared" si="693"/>
        <v>#VALUE!</v>
      </c>
      <c r="GU117" s="1515" t="e">
        <f t="shared" si="693"/>
        <v>#VALUE!</v>
      </c>
      <c r="GV117" s="1515" t="e">
        <f t="shared" si="693"/>
        <v>#VALUE!</v>
      </c>
      <c r="GW117" s="1515" t="e">
        <f t="shared" si="693"/>
        <v>#VALUE!</v>
      </c>
      <c r="GX117" s="1515" t="e">
        <f t="shared" si="693"/>
        <v>#VALUE!</v>
      </c>
      <c r="GY117" s="1515" t="e">
        <f t="shared" si="693"/>
        <v>#VALUE!</v>
      </c>
      <c r="GZ117" s="1515" t="e">
        <f t="shared" si="693"/>
        <v>#VALUE!</v>
      </c>
      <c r="HA117" s="1515" t="e">
        <f t="shared" si="693"/>
        <v>#VALUE!</v>
      </c>
      <c r="HB117" s="1515" t="e">
        <f t="shared" si="693"/>
        <v>#VALUE!</v>
      </c>
      <c r="HD117" s="1517">
        <f t="shared" ref="HD117:HG119" si="694">+SUMIFS($E117:$AZ117,$E$6:$AZ$6,HD$7,$E$5:$AZ$5,12)</f>
        <v>13229.053844349999</v>
      </c>
      <c r="HE117" s="1517">
        <f t="shared" si="694"/>
        <v>17218.367465679999</v>
      </c>
      <c r="HF117" s="1517">
        <f t="shared" si="694"/>
        <v>24914.331813289995</v>
      </c>
      <c r="HG117" s="1517">
        <f t="shared" si="694"/>
        <v>11614.117605769999</v>
      </c>
      <c r="HH117" s="1517">
        <f>+SUMIFS($E117:$BL117,$E$6:$BL$6,HH$7,$E$5:$BL$5,12)</f>
        <v>7585.6421850299994</v>
      </c>
      <c r="HI117" s="1517">
        <f t="shared" ref="HI117:HI135" si="695">+SUMIFS($E117:$BX117,$E$6:$BX$6,HI$7,$E$5:$BX$5,12)</f>
        <v>8475.1825465900001</v>
      </c>
      <c r="HJ117" s="1517">
        <f t="shared" ref="HJ117:HJ148" si="696">+SUMIFS($E117:$CJ117,$E$6:$CJ$6,HJ$7,$E$5:$CJ$5,12)</f>
        <v>8217.1698319200004</v>
      </c>
      <c r="HK117" s="1517">
        <f t="shared" ref="HK117:HK148" si="697">+SUMIFS($E117:$CV117,$E$6:$CV$6,HK$7,$E$5:$CV$5,12)</f>
        <v>11038.144556390002</v>
      </c>
      <c r="HL117" s="1516">
        <f>+SUMIFS($E117:SEW117,$E$6:SEW$6,HL$7,$E$5:SEW$5,12)</f>
        <v>8141.5347523600003</v>
      </c>
      <c r="HM117" s="1516">
        <f>+SUMIFS($E117:SEX117,$E$6:SEX$6,HM$7,$E$5:SEX$5,12)</f>
        <v>8522.8897244900018</v>
      </c>
      <c r="HN117" s="1516">
        <f>+SUMIFS($E117:SEY117,$E$6:SEY$6,HN$7,$E$5:SEY$5,12)</f>
        <v>14901.15571424</v>
      </c>
      <c r="HO117" s="1517"/>
      <c r="HP117" s="1517"/>
      <c r="HR117" s="1519">
        <f t="shared" ref="HR117:HZ119" si="698">+IFERROR(HF117/HE117-1,"")</f>
        <v>0.44696248717828491</v>
      </c>
      <c r="HS117" s="1519">
        <f t="shared" si="698"/>
        <v>-0.53383788524584441</v>
      </c>
      <c r="HT117" s="1519">
        <f t="shared" si="698"/>
        <v>-0.34686022283247908</v>
      </c>
      <c r="HU117" s="1519">
        <f t="shared" si="698"/>
        <v>0.11726632233134815</v>
      </c>
      <c r="HV117" s="1519">
        <f t="shared" si="698"/>
        <v>-3.0443322400626194E-2</v>
      </c>
      <c r="HW117" s="1519">
        <f t="shared" si="698"/>
        <v>0.34330247301349259</v>
      </c>
      <c r="HX117" s="1519">
        <f t="shared" si="698"/>
        <v>-0.26241817990625504</v>
      </c>
      <c r="HY117" s="1519">
        <f t="shared" si="698"/>
        <v>4.684067362353983E-2</v>
      </c>
      <c r="HZ117" s="1519">
        <f t="shared" si="698"/>
        <v>0.74836894479843385</v>
      </c>
      <c r="IA117" s="1519">
        <f t="shared" si="604"/>
        <v>-1</v>
      </c>
      <c r="IB117" s="1519" t="str">
        <f>+IFERROR(HP117/HO117-1,"")</f>
        <v/>
      </c>
      <c r="IC117" s="1519">
        <f t="shared" si="605"/>
        <v>-1</v>
      </c>
      <c r="IE117" s="1517">
        <f t="shared" ref="IE117:IH119" si="699">+HF117-HE117</f>
        <v>7695.9643476099955</v>
      </c>
      <c r="IF117" s="1517">
        <f t="shared" si="699"/>
        <v>-13300.214207519995</v>
      </c>
      <c r="IG117" s="1517">
        <f t="shared" si="699"/>
        <v>-4028.4754207400001</v>
      </c>
      <c r="IH117" s="1517">
        <f t="shared" si="699"/>
        <v>889.54036156000075</v>
      </c>
      <c r="II117" s="1517">
        <f t="shared" si="619"/>
        <v>-258.0127146699997</v>
      </c>
      <c r="IJ117" s="1517">
        <f t="shared" si="620"/>
        <v>2820.9747244700011</v>
      </c>
      <c r="IK117" s="1517">
        <f t="shared" si="621"/>
        <v>-2896.6098040300012</v>
      </c>
      <c r="IL117" s="1517">
        <f t="shared" si="607"/>
        <v>-8141.5347523600003</v>
      </c>
      <c r="IM117" s="1517">
        <f>+HP117-HO117</f>
        <v>0</v>
      </c>
      <c r="IN117" s="1517">
        <f t="shared" si="608"/>
        <v>-8141.5347523600003</v>
      </c>
      <c r="IP117" s="1548"/>
      <c r="IQ117" s="1548"/>
      <c r="IR117" s="1548"/>
      <c r="IS117" s="1548"/>
      <c r="IT117" s="1548"/>
      <c r="IU117" s="1548"/>
      <c r="IV117" s="1548"/>
      <c r="IW117" s="1548"/>
      <c r="IX117" s="1548"/>
      <c r="IY117" s="1548"/>
      <c r="JA117" s="1517">
        <f>+IFERROR(SUMIFS($E117:$EG117,$E$6:$EG$6,JA$7,$E$5:$EG$5,$JC$5),"NA")</f>
        <v>13229.053844349999</v>
      </c>
      <c r="JB117" s="1517">
        <f t="shared" ref="JB117:JK117" si="700">+IFERROR(SUMIFS($E117:$EG117,$E$6:$EG$6,JB$7,$E$5:$EG$5,$JC$5),"NA")</f>
        <v>17218.367465679999</v>
      </c>
      <c r="JC117" s="1517">
        <f t="shared" si="700"/>
        <v>24914.331813289995</v>
      </c>
      <c r="JD117" s="1517">
        <f t="shared" si="700"/>
        <v>11614.117605769999</v>
      </c>
      <c r="JE117" s="1517">
        <f t="shared" si="700"/>
        <v>7585.6421850299994</v>
      </c>
      <c r="JF117" s="1517">
        <f t="shared" si="700"/>
        <v>8475.1825465900001</v>
      </c>
      <c r="JG117" s="1517">
        <f t="shared" si="700"/>
        <v>8217.1698319200004</v>
      </c>
      <c r="JH117" s="1517">
        <f t="shared" si="700"/>
        <v>11038.144556390002</v>
      </c>
      <c r="JI117" s="1517">
        <f t="shared" si="700"/>
        <v>8141.5347523600003</v>
      </c>
      <c r="JJ117" s="1517">
        <f t="shared" si="700"/>
        <v>8522.8897244900018</v>
      </c>
      <c r="JK117" s="1517">
        <f t="shared" si="700"/>
        <v>14901.15571424</v>
      </c>
      <c r="JL117" s="1517">
        <f>+IFERROR(SUMIFS($E117:$EF117,$E$6:$EF$6,JL$7,$E$5:$EF$5,$JC$5),"NA")</f>
        <v>14901.15571424</v>
      </c>
      <c r="JM117" s="1517"/>
      <c r="JN117" s="1517"/>
      <c r="JP117" s="1517">
        <f t="shared" ref="JP117:JP135" si="701">+JN117</f>
        <v>0</v>
      </c>
      <c r="JQ117" s="1517">
        <f t="shared" ref="JQ117:JQ135" si="702">+JM117</f>
        <v>0</v>
      </c>
      <c r="JR117" s="97"/>
      <c r="JS117" s="1519" t="str">
        <f>+IFERROR(JP117/JQ117,"NA")</f>
        <v>NA</v>
      </c>
      <c r="JT117" s="1521">
        <f>+IFERROR(JP117-JQ117,"NA")</f>
        <v>0</v>
      </c>
      <c r="JV117" s="973"/>
      <c r="JW117" s="973"/>
      <c r="JY117" s="1520">
        <f t="shared" ref="JY117:KE117" si="703">+IFERROR(JC117/JB117-1,"NA")</f>
        <v>0.44696248717828491</v>
      </c>
      <c r="JZ117" s="1520">
        <f t="shared" si="703"/>
        <v>-0.53383788524584441</v>
      </c>
      <c r="KA117" s="1520">
        <f t="shared" si="703"/>
        <v>-0.34686022283247908</v>
      </c>
      <c r="KB117" s="1520">
        <f t="shared" si="703"/>
        <v>0.11726632233134815</v>
      </c>
      <c r="KC117" s="1520">
        <f t="shared" si="703"/>
        <v>-3.0443322400626194E-2</v>
      </c>
      <c r="KD117" s="1520">
        <f t="shared" si="703"/>
        <v>0.34330247301349259</v>
      </c>
      <c r="KE117" s="1520">
        <f t="shared" si="703"/>
        <v>-0.26241817990625504</v>
      </c>
      <c r="KF117" s="1520">
        <f>+IFERROR(JN117/JI117-1,"NA")</f>
        <v>-1</v>
      </c>
      <c r="KH117" s="1517">
        <f t="shared" ref="KH117:KH135" si="704">+JC117-JB117</f>
        <v>7695.9643476099955</v>
      </c>
      <c r="KI117" s="1517">
        <f t="shared" ref="KI117:KI135" si="705">+JD117-JC117</f>
        <v>-13300.214207519995</v>
      </c>
      <c r="KJ117" s="1517">
        <f t="shared" ref="KJ117:KJ135" si="706">+JE117-JD117</f>
        <v>-4028.4754207400001</v>
      </c>
      <c r="KK117" s="1517">
        <f t="shared" ref="KK117:KK135" si="707">+JF117-JE117</f>
        <v>889.54036156000075</v>
      </c>
      <c r="KL117" s="1517">
        <f t="shared" ref="KL117:KL135" si="708">+JG117-JF117</f>
        <v>-258.0127146699997</v>
      </c>
      <c r="KM117" s="1517">
        <f t="shared" ref="KM117:KM135" si="709">+JH117-JG117</f>
        <v>2820.9747244700011</v>
      </c>
      <c r="KN117" s="1517">
        <f t="shared" ref="KN117:KN135" si="710">+JI117-JH117</f>
        <v>-2896.6098040300012</v>
      </c>
      <c r="KO117" s="1517">
        <f t="shared" ref="KO117:KO164" si="711">+JN117-JI117</f>
        <v>-8141.5347523600003</v>
      </c>
      <c r="KQ117" s="1548"/>
      <c r="KR117" s="1548"/>
      <c r="KS117" s="1548"/>
      <c r="KT117" s="1548"/>
      <c r="KU117" s="1548"/>
      <c r="KV117" s="1548"/>
      <c r="KW117" s="1548"/>
      <c r="KX117" s="1548"/>
      <c r="KY117" s="1548"/>
      <c r="KZ117" s="1548"/>
      <c r="LB117" s="1517">
        <f>+SUMIFS($E117:$EG117,$E$6:$EG$6,LB$7,$E$5:$EG$5,$LD$5)</f>
        <v>13229.053844349999</v>
      </c>
      <c r="LC117" s="1517">
        <f t="shared" ref="LC117:LM132" si="712">+SUMIFS($E117:$EG117,$E$6:$EG$6,LC$7,$E$5:$EG$5,$LD$5)</f>
        <v>17218.367465679999</v>
      </c>
      <c r="LD117" s="1517">
        <f t="shared" si="712"/>
        <v>24914.331813289995</v>
      </c>
      <c r="LE117" s="1517">
        <f t="shared" si="712"/>
        <v>11614.117605769999</v>
      </c>
      <c r="LF117" s="1517">
        <f t="shared" si="712"/>
        <v>7585.6421850299994</v>
      </c>
      <c r="LG117" s="1517">
        <f t="shared" si="712"/>
        <v>8475.1825465900001</v>
      </c>
      <c r="LH117" s="1517">
        <f t="shared" si="712"/>
        <v>8217.1698319200004</v>
      </c>
      <c r="LI117" s="1517">
        <f t="shared" si="712"/>
        <v>11038.144556390002</v>
      </c>
      <c r="LJ117" s="1517">
        <f t="shared" si="712"/>
        <v>8141.5347523600003</v>
      </c>
      <c r="LK117" s="1517">
        <f t="shared" si="712"/>
        <v>8522.8897244900018</v>
      </c>
      <c r="LL117" s="1517">
        <f t="shared" si="712"/>
        <v>14901.15571424</v>
      </c>
      <c r="LM117" s="1517">
        <f t="shared" si="712"/>
        <v>14901.15571424</v>
      </c>
      <c r="LN117" s="1517"/>
      <c r="LO117" s="1517"/>
      <c r="LR117" s="1520">
        <f t="shared" ref="LR117:LR135" si="713">+IFERROR(LD117/LC117-1," ")</f>
        <v>0.44696248717828491</v>
      </c>
      <c r="LS117" s="1520">
        <f t="shared" ref="LS117:LS135" si="714">+IFERROR(LE117/LD117-1," ")</f>
        <v>-0.53383788524584441</v>
      </c>
      <c r="LT117" s="1520">
        <f t="shared" ref="LT117:LT135" si="715">+IFERROR(LF117/LE117-1," ")</f>
        <v>-0.34686022283247908</v>
      </c>
      <c r="LU117" s="1520">
        <f t="shared" ref="LU117:LU135" si="716">+IFERROR(LG117/LF117-1," ")</f>
        <v>0.11726632233134815</v>
      </c>
      <c r="LV117" s="1520">
        <f t="shared" ref="LV117:LV135" si="717">+IFERROR(LH117/LG117-1," ")</f>
        <v>-3.0443322400626194E-2</v>
      </c>
      <c r="LW117" s="1520">
        <f t="shared" ref="LW117:LW135" si="718">+IFERROR(LI117/LH117-1," ")</f>
        <v>0.34330247301349259</v>
      </c>
      <c r="LX117" s="1520">
        <f t="shared" ref="LX117:LX148" si="719">+IFERROR(LO117/LI117-1," ")</f>
        <v>-1</v>
      </c>
      <c r="LZ117" s="1517">
        <f t="shared" ref="LZ117:LZ135" si="720">+LD117-LC117</f>
        <v>7695.9643476099955</v>
      </c>
      <c r="MA117" s="1517">
        <f t="shared" ref="MA117:MA135" si="721">+LE117-LD117</f>
        <v>-13300.214207519995</v>
      </c>
      <c r="MB117" s="1517">
        <f t="shared" ref="MB117:MB135" si="722">+LF117-LE117</f>
        <v>-4028.4754207400001</v>
      </c>
      <c r="MC117" s="1517">
        <f t="shared" ref="MC117:MC135" si="723">+LG117-LF117</f>
        <v>889.54036156000075</v>
      </c>
      <c r="MD117" s="1517">
        <f t="shared" ref="MD117:MD135" si="724">+LH117-LG117</f>
        <v>-258.0127146699997</v>
      </c>
      <c r="ME117" s="1517">
        <f t="shared" ref="ME117:ME135" si="725">+LI117-LH117</f>
        <v>2820.9747244700011</v>
      </c>
      <c r="MF117" s="1517">
        <f t="shared" ref="MF117:MF148" si="726">+LO117-LI117</f>
        <v>-11038.144556390002</v>
      </c>
      <c r="MH117" s="1548"/>
      <c r="MI117" s="1548"/>
      <c r="MJ117" s="1548"/>
      <c r="MK117" s="1548"/>
      <c r="ML117" s="1548"/>
      <c r="MM117" s="1548"/>
      <c r="MN117" s="1548"/>
      <c r="MO117" s="1548"/>
      <c r="MP117" s="1548"/>
    </row>
    <row r="118" spans="1:354" outlineLevel="1">
      <c r="A118" s="884">
        <v>11</v>
      </c>
      <c r="B118" s="70" t="s">
        <v>685</v>
      </c>
      <c r="C118" s="47" t="s">
        <v>112</v>
      </c>
      <c r="D118" s="923" t="s">
        <v>59</v>
      </c>
      <c r="E118" s="924">
        <v>2833.53048769</v>
      </c>
      <c r="F118" s="924">
        <v>989.98054859000013</v>
      </c>
      <c r="G118" s="924">
        <v>1376.7725896900001</v>
      </c>
      <c r="H118" s="924">
        <v>883.44318787999998</v>
      </c>
      <c r="I118" s="924">
        <v>792.26501574000008</v>
      </c>
      <c r="J118" s="924">
        <v>992.55316646999995</v>
      </c>
      <c r="K118" s="924">
        <v>2085.6105559000002</v>
      </c>
      <c r="L118" s="924">
        <v>2068.1988861999998</v>
      </c>
      <c r="M118" s="924">
        <v>2981.9645602000001</v>
      </c>
      <c r="N118" s="924">
        <v>3343.1993686900005</v>
      </c>
      <c r="O118" s="924">
        <v>3313.8520722500002</v>
      </c>
      <c r="P118" s="924">
        <v>3835.39230219</v>
      </c>
      <c r="Q118" s="924">
        <v>3408.3630763400001</v>
      </c>
      <c r="R118" s="924">
        <v>1676.9818873000002</v>
      </c>
      <c r="S118" s="924">
        <v>2927.1778309900001</v>
      </c>
      <c r="T118" s="924">
        <v>1825.96876445</v>
      </c>
      <c r="U118" s="924">
        <v>1110.98890538</v>
      </c>
      <c r="V118" s="924">
        <v>2203.86719214</v>
      </c>
      <c r="W118" s="924">
        <v>2503.5673522799998</v>
      </c>
      <c r="X118" s="924">
        <v>2394.0553328400001</v>
      </c>
      <c r="Y118" s="924">
        <v>1901.3337901700002</v>
      </c>
      <c r="Z118" s="924">
        <v>1827.2665967100002</v>
      </c>
      <c r="AA118" s="924">
        <v>2185.9939137199999</v>
      </c>
      <c r="AB118" s="924">
        <v>4645.1392445599995</v>
      </c>
      <c r="AC118" s="924">
        <v>3562.5048154300002</v>
      </c>
      <c r="AD118" s="924">
        <v>2349.28435227</v>
      </c>
      <c r="AE118" s="924">
        <v>2052.4095861899996</v>
      </c>
      <c r="AF118" s="924">
        <v>1650.8414450499999</v>
      </c>
      <c r="AG118" s="924">
        <v>1960.6726644299997</v>
      </c>
      <c r="AH118" s="924">
        <v>948.96439588999999</v>
      </c>
      <c r="AI118" s="924">
        <v>1052.82880471</v>
      </c>
      <c r="AJ118" s="924">
        <v>403.34569581999995</v>
      </c>
      <c r="AK118" s="924">
        <v>1795.48133411</v>
      </c>
      <c r="AL118" s="924">
        <v>994.53884521000009</v>
      </c>
      <c r="AM118" s="924">
        <v>3997.4894930199998</v>
      </c>
      <c r="AN118" s="145">
        <v>3701.5536533199993</v>
      </c>
      <c r="AO118" s="924">
        <v>2918.1053276600001</v>
      </c>
      <c r="AP118" s="925">
        <v>4709.4908429500001</v>
      </c>
      <c r="AQ118" s="220">
        <v>1855.7536376300002</v>
      </c>
      <c r="AR118" s="220">
        <v>883.52120755999999</v>
      </c>
      <c r="AS118" s="924">
        <v>1641.92703153</v>
      </c>
      <c r="AT118" s="924">
        <v>1316.65168462</v>
      </c>
      <c r="AU118" s="924">
        <v>806.49205954000001</v>
      </c>
      <c r="AV118" s="924">
        <v>649.95922852000001</v>
      </c>
      <c r="AW118" s="924">
        <v>102.71997603</v>
      </c>
      <c r="AX118" s="924">
        <v>1520.7559849000002</v>
      </c>
      <c r="AY118" s="924">
        <v>1317.08179378</v>
      </c>
      <c r="AZ118" s="924">
        <f>1523.74484645+31.05</f>
        <v>1554.79484645</v>
      </c>
      <c r="BA118" s="924">
        <v>639.71991041000001</v>
      </c>
      <c r="BB118" s="924">
        <v>816.52032979000001</v>
      </c>
      <c r="BC118" s="924">
        <v>452.61249125000001</v>
      </c>
      <c r="BD118" s="924">
        <v>1506.3966861600002</v>
      </c>
      <c r="BE118" s="924">
        <v>499.77373542000004</v>
      </c>
      <c r="BF118" s="924">
        <v>161.23459261000002</v>
      </c>
      <c r="BG118" s="924">
        <v>267.75896308</v>
      </c>
      <c r="BH118" s="924">
        <v>15.51668682</v>
      </c>
      <c r="BI118" s="924">
        <v>255.01679605999999</v>
      </c>
      <c r="BJ118" s="924">
        <v>188.56719293999998</v>
      </c>
      <c r="BK118" s="924">
        <v>1201.4780900399999</v>
      </c>
      <c r="BL118" s="925">
        <v>994.77457359000005</v>
      </c>
      <c r="BM118" s="974">
        <v>718.85212844</v>
      </c>
      <c r="BN118" s="924">
        <v>109.49317959999999</v>
      </c>
      <c r="BO118" s="924">
        <v>532.60934043999998</v>
      </c>
      <c r="BP118" s="924">
        <v>273.69954139999999</v>
      </c>
      <c r="BQ118" s="924">
        <v>809.50538270000004</v>
      </c>
      <c r="BR118" s="924">
        <v>760.83605007000006</v>
      </c>
      <c r="BS118" s="924">
        <v>476.58964413999996</v>
      </c>
      <c r="BT118" s="924">
        <v>581.39037716999997</v>
      </c>
      <c r="BU118" s="924">
        <v>220.19216511000002</v>
      </c>
      <c r="BV118" s="924">
        <v>1055.3493798500001</v>
      </c>
      <c r="BW118" s="924">
        <v>882.44866953999997</v>
      </c>
      <c r="BX118" s="924">
        <v>1388.09621137</v>
      </c>
      <c r="BY118" s="924">
        <v>667.90073370000005</v>
      </c>
      <c r="BZ118" s="924">
        <v>702.00959488000001</v>
      </c>
      <c r="CA118" s="924">
        <v>510.77248453999999</v>
      </c>
      <c r="CB118" s="924">
        <v>671.07141213</v>
      </c>
      <c r="CC118" s="924">
        <v>738.70474507000006</v>
      </c>
      <c r="CD118" s="924">
        <v>629.21219284000006</v>
      </c>
      <c r="CE118" s="924">
        <v>1715.98444193</v>
      </c>
      <c r="CF118" s="924">
        <v>1509.72160919</v>
      </c>
      <c r="CG118" s="924">
        <v>782.64187455999991</v>
      </c>
      <c r="CH118" s="924">
        <v>427.26837176999999</v>
      </c>
      <c r="CI118" s="924">
        <v>407.80054681000001</v>
      </c>
      <c r="CJ118" s="924">
        <v>571.73365359000002</v>
      </c>
      <c r="CK118" s="924">
        <v>155.42977234</v>
      </c>
      <c r="CL118" s="924">
        <v>477.99723272000006</v>
      </c>
      <c r="CM118" s="924">
        <v>520.68249633999994</v>
      </c>
      <c r="CN118" s="924">
        <v>462.44139431999997</v>
      </c>
      <c r="CO118" s="924">
        <v>539.25651461000007</v>
      </c>
      <c r="CP118" s="924">
        <v>749.59060105999993</v>
      </c>
      <c r="CQ118" s="924">
        <v>1199.6205524000002</v>
      </c>
      <c r="CR118" s="924">
        <v>1980.7564374600001</v>
      </c>
      <c r="CS118" s="924">
        <v>1907.68393758</v>
      </c>
      <c r="CT118" s="924">
        <v>1463.4634760199999</v>
      </c>
      <c r="CU118" s="924">
        <v>1025.66350713</v>
      </c>
      <c r="CV118" s="924">
        <v>1771.27937219</v>
      </c>
      <c r="CW118" s="924">
        <v>1439.87897802</v>
      </c>
      <c r="CX118" s="924">
        <v>693.67248210000002</v>
      </c>
      <c r="CY118" s="924">
        <v>300.89807716000001</v>
      </c>
      <c r="CZ118" s="924">
        <v>1616.4487882999999</v>
      </c>
      <c r="DA118" s="924">
        <v>1255.9867732600001</v>
      </c>
      <c r="DB118" s="924">
        <v>1741.70615357</v>
      </c>
      <c r="DC118" s="924">
        <v>1403.95910942</v>
      </c>
      <c r="DD118" s="924">
        <v>909.46979744000009</v>
      </c>
      <c r="DE118" s="924">
        <v>370.59758851999999</v>
      </c>
      <c r="DF118" s="924">
        <v>487.45576002999996</v>
      </c>
      <c r="DG118" s="924">
        <v>489.28558096</v>
      </c>
      <c r="DH118" s="924">
        <v>1512.67682281</v>
      </c>
      <c r="DI118" s="924">
        <v>888.06089162000001</v>
      </c>
      <c r="DJ118" s="924">
        <v>1176.2797645599999</v>
      </c>
      <c r="DK118" s="924">
        <v>858.49408739</v>
      </c>
      <c r="DL118" s="924">
        <v>1450.47924051</v>
      </c>
      <c r="DM118" s="924">
        <v>1190.4904555099999</v>
      </c>
      <c r="DN118" s="924">
        <v>1151.4078454400001</v>
      </c>
      <c r="DO118" s="924">
        <v>980.39310338999996</v>
      </c>
      <c r="DP118" s="924">
        <v>919.07762648000005</v>
      </c>
      <c r="DQ118" s="960">
        <v>1002.16662962</v>
      </c>
      <c r="DR118" s="960">
        <v>1689.8505163099999</v>
      </c>
      <c r="DS118" s="960">
        <v>925.62286967</v>
      </c>
      <c r="DT118" s="960">
        <v>747.73482663000004</v>
      </c>
      <c r="DU118" s="960">
        <v>433.50848317999998</v>
      </c>
      <c r="DV118" s="960">
        <v>996.37145862</v>
      </c>
      <c r="DW118" s="960">
        <v>407.33405283999997</v>
      </c>
      <c r="DX118" s="960">
        <v>199.19478481000002</v>
      </c>
      <c r="DY118" s="960">
        <v>321.31342788000001</v>
      </c>
      <c r="DZ118" s="960">
        <v>967.08853899999997</v>
      </c>
      <c r="EA118" s="960">
        <v>742.95935427999996</v>
      </c>
      <c r="EB118" s="960">
        <v>1142.3230494700001</v>
      </c>
      <c r="EC118" s="960">
        <v>530.92659312000001</v>
      </c>
      <c r="ED118" s="960">
        <v>621.63636726000004</v>
      </c>
      <c r="EE118" s="960">
        <v>582.54742284000008</v>
      </c>
      <c r="EF118" s="960">
        <v>1780.0150192999999</v>
      </c>
      <c r="EH118" s="1082">
        <v>1439.87897802</v>
      </c>
      <c r="EI118" s="1082">
        <v>693.67248210000002</v>
      </c>
      <c r="EJ118" s="1082">
        <v>300.89807716000001</v>
      </c>
      <c r="EK118" s="1082">
        <v>1616.4487882999999</v>
      </c>
      <c r="EL118" s="1082">
        <v>1255.9867732600001</v>
      </c>
      <c r="EM118" s="1082">
        <v>1741.70615357</v>
      </c>
      <c r="EN118" s="1082">
        <v>3215.1431711688379</v>
      </c>
      <c r="EO118" s="1082">
        <v>2290.0260357290708</v>
      </c>
      <c r="EP118" s="1082">
        <v>2639.0968923813994</v>
      </c>
      <c r="EQ118" s="1082">
        <v>2411.8606054975926</v>
      </c>
      <c r="ER118" s="1082">
        <v>2130.8001909326917</v>
      </c>
      <c r="ES118" s="1082">
        <v>1658.4336490041028</v>
      </c>
      <c r="EU118" s="924">
        <v>3928.35665204</v>
      </c>
      <c r="EV118" s="924">
        <v>3232.140397144005</v>
      </c>
      <c r="EW118" s="924">
        <v>3639.2465994710005</v>
      </c>
      <c r="EX118" s="924">
        <v>4631.8798533065683</v>
      </c>
      <c r="EY118" s="924">
        <v>3407.8092718110047</v>
      </c>
      <c r="EZ118" s="924">
        <v>3938.8117753251076</v>
      </c>
      <c r="FA118" s="924">
        <v>2291.6335389619485</v>
      </c>
      <c r="FB118" s="924">
        <v>1879.5390079576912</v>
      </c>
      <c r="FC118" s="924">
        <v>2579.2631533035737</v>
      </c>
      <c r="FD118" s="924">
        <v>3849.7183009673499</v>
      </c>
      <c r="FE118" s="924">
        <v>2182.8578586569365</v>
      </c>
      <c r="FF118" s="924">
        <v>2407.9802576594466</v>
      </c>
      <c r="FG118" s="924">
        <v>579.10075066427999</v>
      </c>
      <c r="FH118" s="924">
        <v>764.50876282839204</v>
      </c>
      <c r="FI118" s="924">
        <v>1569.4985465081329</v>
      </c>
      <c r="FJ118" s="924">
        <v>2765.6848334375536</v>
      </c>
      <c r="FK118" s="924">
        <v>2367.0689825936356</v>
      </c>
      <c r="FL118" s="924">
        <v>1831.3981090852737</v>
      </c>
      <c r="FM118" s="924">
        <v>1281.0330150990983</v>
      </c>
      <c r="FN118" s="924">
        <v>1259.4850519153633</v>
      </c>
      <c r="FO118" s="924">
        <v>680.87507599768071</v>
      </c>
      <c r="FP118" s="924">
        <v>151.36983185087968</v>
      </c>
      <c r="FQ118" s="924">
        <v>56.963869027229308</v>
      </c>
      <c r="FR118" s="924">
        <v>62.304407838443758</v>
      </c>
      <c r="FS118" s="924">
        <v>42.932505125984193</v>
      </c>
      <c r="FT118" s="924">
        <v>304.94828986504746</v>
      </c>
      <c r="FU118" s="924">
        <v>402.68095057301713</v>
      </c>
      <c r="FV118" s="924">
        <v>1456.2511845389672</v>
      </c>
      <c r="FW118" s="924">
        <v>1679.255327970501</v>
      </c>
      <c r="FX118" s="924">
        <v>2073.6700105415612</v>
      </c>
      <c r="FY118" s="924">
        <v>2397.2187234806902</v>
      </c>
      <c r="FZ118" s="924">
        <v>2421.6515739011688</v>
      </c>
      <c r="GA118" s="924">
        <v>2596.2358153541641</v>
      </c>
      <c r="GB118" s="924">
        <v>2505.1659671091425</v>
      </c>
      <c r="GC118" s="924">
        <v>2287.7237631606367</v>
      </c>
      <c r="GD118" s="924">
        <v>2008.5072588877754</v>
      </c>
      <c r="GE118" s="924">
        <v>0</v>
      </c>
      <c r="GF118" s="924">
        <v>0</v>
      </c>
      <c r="GG118" s="924">
        <v>0</v>
      </c>
      <c r="GH118" s="924">
        <v>0</v>
      </c>
      <c r="GI118" s="924">
        <v>0</v>
      </c>
      <c r="GJ118" s="924">
        <v>0</v>
      </c>
      <c r="GK118" s="924">
        <v>0</v>
      </c>
      <c r="GL118" s="924">
        <v>0</v>
      </c>
      <c r="GM118" s="924">
        <v>0</v>
      </c>
      <c r="GN118" s="924">
        <v>0</v>
      </c>
      <c r="GO118" s="924">
        <v>0</v>
      </c>
      <c r="GP118" s="924">
        <v>0</v>
      </c>
      <c r="GQ118" s="924">
        <v>0</v>
      </c>
      <c r="GR118" s="924">
        <v>0</v>
      </c>
      <c r="GS118" s="924">
        <v>0</v>
      </c>
      <c r="GT118" s="924">
        <v>0</v>
      </c>
      <c r="GU118" s="924">
        <v>0</v>
      </c>
      <c r="GV118" s="924">
        <v>0</v>
      </c>
      <c r="GW118" s="924">
        <v>0</v>
      </c>
      <c r="GX118" s="924">
        <v>0</v>
      </c>
      <c r="GY118" s="924">
        <v>0</v>
      </c>
      <c r="GZ118" s="924">
        <v>0</v>
      </c>
      <c r="HA118" s="924">
        <v>0</v>
      </c>
      <c r="HB118" s="924">
        <v>0</v>
      </c>
      <c r="HD118" s="924">
        <f t="shared" si="694"/>
        <v>3835.39230219</v>
      </c>
      <c r="HE118" s="924">
        <f t="shared" si="694"/>
        <v>4645.1392445599995</v>
      </c>
      <c r="HF118" s="924">
        <f t="shared" si="694"/>
        <v>3701.5536533199993</v>
      </c>
      <c r="HG118" s="924">
        <f t="shared" si="694"/>
        <v>1554.79484645</v>
      </c>
      <c r="HH118" s="924">
        <f>+SUMIFS($E118:$BL118,$E$6:$BL$6,HH$7,$E$5:$BL$5,12)</f>
        <v>994.77457359000005</v>
      </c>
      <c r="HI118" s="924">
        <f t="shared" si="695"/>
        <v>1388.09621137</v>
      </c>
      <c r="HJ118" s="924">
        <f t="shared" si="696"/>
        <v>571.73365359000002</v>
      </c>
      <c r="HK118" s="924">
        <f t="shared" si="697"/>
        <v>1771.27937219</v>
      </c>
      <c r="HL118" s="960">
        <f>+SUMIFS($E118:SEW118,$E$6:SEW$6,HL$7,$E$5:SEW$5,12)</f>
        <v>1512.67682281</v>
      </c>
      <c r="HM118" s="960">
        <f>+SUMIFS($E118:SEX118,$E$6:SEX$6,HM$7,$E$5:SEX$5,12)</f>
        <v>747.73482663000004</v>
      </c>
      <c r="HN118" s="960">
        <f>+SUMIFS($E118:SEY118,$E$6:SEY$6,HN$7,$E$5:SEY$5,12)</f>
        <v>1780.0150192999999</v>
      </c>
      <c r="HO118" s="924"/>
      <c r="HP118" s="924"/>
      <c r="HR118" s="927">
        <f t="shared" si="698"/>
        <v>-0.20313397329155403</v>
      </c>
      <c r="HS118" s="927">
        <f t="shared" si="698"/>
        <v>-0.57996155342622879</v>
      </c>
      <c r="HT118" s="927">
        <f t="shared" si="698"/>
        <v>-0.36018917488610891</v>
      </c>
      <c r="HU118" s="927">
        <f t="shared" si="698"/>
        <v>0.39538770714711591</v>
      </c>
      <c r="HV118" s="927">
        <f t="shared" si="698"/>
        <v>-0.58811669615773976</v>
      </c>
      <c r="HW118" s="927">
        <f t="shared" si="698"/>
        <v>2.0980848530917768</v>
      </c>
      <c r="HX118" s="927">
        <f t="shared" si="698"/>
        <v>-0.14599760683729146</v>
      </c>
      <c r="HY118" s="927">
        <f t="shared" si="698"/>
        <v>-0.50568765558198847</v>
      </c>
      <c r="HZ118" s="927">
        <f t="shared" si="698"/>
        <v>1.3805431496650091</v>
      </c>
      <c r="IA118" s="927">
        <f t="shared" si="604"/>
        <v>-1</v>
      </c>
      <c r="IB118" s="927" t="str">
        <f>+IFERROR(HP118/HO118-1,"")</f>
        <v/>
      </c>
      <c r="IC118" s="927">
        <f t="shared" si="605"/>
        <v>-1</v>
      </c>
      <c r="IE118" s="924">
        <f t="shared" si="699"/>
        <v>-943.58559124000021</v>
      </c>
      <c r="IF118" s="924">
        <f t="shared" si="699"/>
        <v>-2146.7588068699993</v>
      </c>
      <c r="IG118" s="924">
        <f t="shared" si="699"/>
        <v>-560.02027285999998</v>
      </c>
      <c r="IH118" s="924">
        <f t="shared" si="699"/>
        <v>393.32163777999995</v>
      </c>
      <c r="II118" s="924">
        <f t="shared" si="619"/>
        <v>-816.36255777999997</v>
      </c>
      <c r="IJ118" s="924">
        <f t="shared" si="620"/>
        <v>1199.5457185999999</v>
      </c>
      <c r="IK118" s="924">
        <f t="shared" si="621"/>
        <v>-258.60254938000003</v>
      </c>
      <c r="IL118" s="924">
        <f t="shared" si="607"/>
        <v>-1512.67682281</v>
      </c>
      <c r="IM118" s="924">
        <f>+HP118-HO118</f>
        <v>0</v>
      </c>
      <c r="IN118" s="924">
        <f t="shared" si="608"/>
        <v>-1512.67682281</v>
      </c>
      <c r="IP118" s="973"/>
      <c r="IQ118" s="973"/>
      <c r="IR118" s="973"/>
      <c r="IS118" s="973"/>
      <c r="IT118" s="973"/>
      <c r="IU118" s="973"/>
      <c r="IV118" s="973"/>
      <c r="IW118" s="973"/>
      <c r="IX118" s="973"/>
      <c r="IY118" s="973"/>
      <c r="JA118" s="924">
        <f t="shared" ref="JA118:JK181" si="727">+IFERROR(SUMIFS($E118:$EG118,$E$6:$EG$6,JA$7,$E$5:$EG$5,$JC$5),"NA")</f>
        <v>3835.39230219</v>
      </c>
      <c r="JB118" s="924">
        <f t="shared" si="727"/>
        <v>4645.1392445599995</v>
      </c>
      <c r="JC118" s="924">
        <f t="shared" si="727"/>
        <v>3701.5536533199993</v>
      </c>
      <c r="JD118" s="924">
        <f t="shared" si="727"/>
        <v>1554.79484645</v>
      </c>
      <c r="JE118" s="924">
        <f t="shared" si="727"/>
        <v>994.77457359000005</v>
      </c>
      <c r="JF118" s="924">
        <f t="shared" si="727"/>
        <v>1388.09621137</v>
      </c>
      <c r="JG118" s="924">
        <f t="shared" si="727"/>
        <v>571.73365359000002</v>
      </c>
      <c r="JH118" s="924">
        <f t="shared" si="727"/>
        <v>1771.27937219</v>
      </c>
      <c r="JI118" s="924">
        <f t="shared" si="727"/>
        <v>1512.67682281</v>
      </c>
      <c r="JJ118" s="924">
        <f t="shared" si="727"/>
        <v>747.73482663000004</v>
      </c>
      <c r="JK118" s="924">
        <f t="shared" si="727"/>
        <v>1780.0150192999999</v>
      </c>
      <c r="JL118" s="924">
        <f t="shared" ref="JL118:JL181" si="728">+IFERROR(SUMIFS($E118:$EF118,$E$6:$EF$6,JL$7,$E$5:$EF$5,$JC$5),"NA")</f>
        <v>1780.0150192999999</v>
      </c>
      <c r="JM118" s="924"/>
      <c r="JN118" s="924"/>
      <c r="JP118" s="924">
        <f t="shared" si="701"/>
        <v>0</v>
      </c>
      <c r="JQ118" s="924">
        <f t="shared" si="702"/>
        <v>0</v>
      </c>
      <c r="JR118" s="145"/>
      <c r="JS118" s="927" t="str">
        <f>+IFERROR(JP118/JQ118,"NA")</f>
        <v>NA</v>
      </c>
      <c r="JT118" s="928">
        <f>+IFERROR(JP118-JQ118,"NA")</f>
        <v>0</v>
      </c>
      <c r="JV118" s="973"/>
      <c r="JW118" s="973"/>
      <c r="JY118" s="927">
        <f t="shared" ref="JY118:JY135" si="729">+IFERROR(JC118/JB118-1,"")</f>
        <v>-0.20313397329155403</v>
      </c>
      <c r="JZ118" s="927">
        <f t="shared" ref="JZ118:JZ135" si="730">+IFERROR(JD118/JC118-1,"")</f>
        <v>-0.57996155342622879</v>
      </c>
      <c r="KA118" s="927">
        <f t="shared" ref="KA118:KA135" si="731">+IFERROR(JE118/JD118-1,"")</f>
        <v>-0.36018917488610891</v>
      </c>
      <c r="KB118" s="927">
        <f t="shared" ref="KB118:KB135" si="732">+IFERROR(JF118/JE118-1,"")</f>
        <v>0.39538770714711591</v>
      </c>
      <c r="KC118" s="927">
        <f t="shared" ref="KC118:KC135" si="733">+IFERROR(JG118/JF118-1,"")</f>
        <v>-0.58811669615773976</v>
      </c>
      <c r="KD118" s="927">
        <f t="shared" ref="KD118:KD135" si="734">+IFERROR(JH118/JG118-1,"")</f>
        <v>2.0980848530917768</v>
      </c>
      <c r="KE118" s="927">
        <f t="shared" ref="KE118:KE135" si="735">+IFERROR(JI118/JH118-1,"")</f>
        <v>-0.14599760683729146</v>
      </c>
      <c r="KF118" s="927">
        <f t="shared" ref="KF118:KF135" si="736">+IFERROR(JN118/JI118-1,"")</f>
        <v>-1</v>
      </c>
      <c r="KH118" s="924">
        <f t="shared" si="704"/>
        <v>-943.58559124000021</v>
      </c>
      <c r="KI118" s="924">
        <f t="shared" si="705"/>
        <v>-2146.7588068699993</v>
      </c>
      <c r="KJ118" s="924">
        <f t="shared" si="706"/>
        <v>-560.02027285999998</v>
      </c>
      <c r="KK118" s="924">
        <f t="shared" si="707"/>
        <v>393.32163777999995</v>
      </c>
      <c r="KL118" s="924">
        <f t="shared" si="708"/>
        <v>-816.36255777999997</v>
      </c>
      <c r="KM118" s="924">
        <f t="shared" si="709"/>
        <v>1199.5457185999999</v>
      </c>
      <c r="KN118" s="924">
        <f t="shared" si="710"/>
        <v>-258.60254938000003</v>
      </c>
      <c r="KO118" s="924">
        <f t="shared" si="711"/>
        <v>-1512.67682281</v>
      </c>
      <c r="KQ118" s="973"/>
      <c r="KR118" s="973"/>
      <c r="KS118" s="973"/>
      <c r="KT118" s="973"/>
      <c r="KU118" s="973"/>
      <c r="KV118" s="973"/>
      <c r="KW118" s="973"/>
      <c r="KX118" s="973"/>
      <c r="KY118" s="973"/>
      <c r="KZ118" s="973"/>
      <c r="LB118" s="924">
        <f t="shared" ref="LB118:LL181" si="737">+SUMIFS($E118:$EG118,$E$6:$EG$6,LB$7,$E$5:$EG$5,$LD$5)</f>
        <v>3835.39230219</v>
      </c>
      <c r="LC118" s="924">
        <f t="shared" si="737"/>
        <v>4645.1392445599995</v>
      </c>
      <c r="LD118" s="924">
        <f t="shared" si="737"/>
        <v>3701.5536533199993</v>
      </c>
      <c r="LE118" s="924">
        <f t="shared" si="737"/>
        <v>1554.79484645</v>
      </c>
      <c r="LF118" s="924">
        <f t="shared" si="737"/>
        <v>994.77457359000005</v>
      </c>
      <c r="LG118" s="924">
        <f t="shared" si="737"/>
        <v>1388.09621137</v>
      </c>
      <c r="LH118" s="924">
        <f t="shared" si="737"/>
        <v>571.73365359000002</v>
      </c>
      <c r="LI118" s="924">
        <f t="shared" si="737"/>
        <v>1771.27937219</v>
      </c>
      <c r="LJ118" s="924">
        <f t="shared" si="737"/>
        <v>1512.67682281</v>
      </c>
      <c r="LK118" s="924">
        <f t="shared" si="737"/>
        <v>747.73482663000004</v>
      </c>
      <c r="LL118" s="924">
        <f t="shared" si="737"/>
        <v>1780.0150192999999</v>
      </c>
      <c r="LM118" s="924">
        <f t="shared" si="712"/>
        <v>1780.0150192999999</v>
      </c>
      <c r="LN118" s="924"/>
      <c r="LO118" s="924"/>
      <c r="LR118" s="76">
        <f t="shared" si="713"/>
        <v>-0.20313397329155403</v>
      </c>
      <c r="LS118" s="76">
        <f t="shared" si="714"/>
        <v>-0.57996155342622879</v>
      </c>
      <c r="LT118" s="76">
        <f t="shared" si="715"/>
        <v>-0.36018917488610891</v>
      </c>
      <c r="LU118" s="76">
        <f t="shared" si="716"/>
        <v>0.39538770714711591</v>
      </c>
      <c r="LV118" s="76">
        <f t="shared" si="717"/>
        <v>-0.58811669615773976</v>
      </c>
      <c r="LW118" s="76">
        <f t="shared" si="718"/>
        <v>2.0980848530917768</v>
      </c>
      <c r="LX118" s="76">
        <f t="shared" si="719"/>
        <v>-1</v>
      </c>
      <c r="LZ118" s="924">
        <f t="shared" si="720"/>
        <v>-943.58559124000021</v>
      </c>
      <c r="MA118" s="924">
        <f t="shared" si="721"/>
        <v>-2146.7588068699993</v>
      </c>
      <c r="MB118" s="924">
        <f t="shared" si="722"/>
        <v>-560.02027285999998</v>
      </c>
      <c r="MC118" s="924">
        <f t="shared" si="723"/>
        <v>393.32163777999995</v>
      </c>
      <c r="MD118" s="924">
        <f t="shared" si="724"/>
        <v>-816.36255777999997</v>
      </c>
      <c r="ME118" s="924">
        <f t="shared" si="725"/>
        <v>1199.5457185999999</v>
      </c>
      <c r="MF118" s="924">
        <f t="shared" si="726"/>
        <v>-1771.27937219</v>
      </c>
      <c r="MH118" s="973"/>
      <c r="MI118" s="973"/>
      <c r="MJ118" s="973"/>
      <c r="MK118" s="973"/>
      <c r="ML118" s="973"/>
      <c r="MM118" s="973"/>
      <c r="MN118" s="973"/>
      <c r="MO118" s="973"/>
      <c r="MP118" s="973"/>
    </row>
    <row r="119" spans="1:354" outlineLevel="1">
      <c r="A119" s="884">
        <v>1245</v>
      </c>
      <c r="B119" s="657"/>
      <c r="C119" s="17" t="s">
        <v>113</v>
      </c>
      <c r="D119" s="31" t="s">
        <v>59</v>
      </c>
      <c r="E119" s="102">
        <v>0</v>
      </c>
      <c r="F119" s="102">
        <v>0</v>
      </c>
      <c r="G119" s="102">
        <v>0</v>
      </c>
      <c r="H119" s="102">
        <v>0</v>
      </c>
      <c r="I119" s="102">
        <v>0</v>
      </c>
      <c r="J119" s="102">
        <v>0</v>
      </c>
      <c r="K119" s="102">
        <v>0</v>
      </c>
      <c r="L119" s="102">
        <v>0</v>
      </c>
      <c r="M119" s="102">
        <v>0</v>
      </c>
      <c r="N119" s="102">
        <v>0</v>
      </c>
      <c r="O119" s="102">
        <v>0</v>
      </c>
      <c r="P119" s="102">
        <v>71.150999999999996</v>
      </c>
      <c r="Q119" s="102">
        <v>0</v>
      </c>
      <c r="R119" s="102">
        <v>0</v>
      </c>
      <c r="S119" s="102">
        <v>0</v>
      </c>
      <c r="T119" s="102">
        <v>0</v>
      </c>
      <c r="U119" s="102">
        <v>0</v>
      </c>
      <c r="V119" s="102">
        <v>0</v>
      </c>
      <c r="W119" s="102">
        <v>0</v>
      </c>
      <c r="X119" s="102">
        <v>0</v>
      </c>
      <c r="Y119" s="102">
        <v>0</v>
      </c>
      <c r="Z119" s="102">
        <v>0</v>
      </c>
      <c r="AA119" s="102">
        <v>0</v>
      </c>
      <c r="AB119" s="102">
        <v>0</v>
      </c>
      <c r="AC119" s="102">
        <v>0</v>
      </c>
      <c r="AD119" s="102">
        <v>0</v>
      </c>
      <c r="AE119" s="102">
        <v>0</v>
      </c>
      <c r="AF119" s="102">
        <v>0</v>
      </c>
      <c r="AG119" s="102">
        <v>0</v>
      </c>
      <c r="AH119" s="102">
        <v>0</v>
      </c>
      <c r="AI119" s="102">
        <v>2.2028688700000001</v>
      </c>
      <c r="AJ119" s="102">
        <v>1392.5215736700002</v>
      </c>
      <c r="AK119" s="102">
        <v>2.3802204900000001</v>
      </c>
      <c r="AL119" s="102">
        <v>748.88708738000003</v>
      </c>
      <c r="AM119" s="102">
        <v>2993.4487582399997</v>
      </c>
      <c r="AN119" s="145">
        <v>2999.9969603899999</v>
      </c>
      <c r="AO119" s="102">
        <v>1009.5687171799999</v>
      </c>
      <c r="AP119" s="145">
        <v>311.02149921</v>
      </c>
      <c r="AQ119" s="220">
        <v>1563.5328297999999</v>
      </c>
      <c r="AR119" s="220">
        <v>1467.2495228399998</v>
      </c>
      <c r="AS119" s="102">
        <v>8.3469703699999993</v>
      </c>
      <c r="AT119" s="102">
        <v>159.50019937000002</v>
      </c>
      <c r="AU119" s="102">
        <v>610.37951859000009</v>
      </c>
      <c r="AV119" s="102">
        <v>130.90642849</v>
      </c>
      <c r="AW119" s="102">
        <v>32.112053629999998</v>
      </c>
      <c r="AX119" s="102">
        <v>22.222173999999999</v>
      </c>
      <c r="AY119" s="102">
        <v>25.258574079999999</v>
      </c>
      <c r="AZ119" s="102">
        <v>0</v>
      </c>
      <c r="BA119" s="102">
        <v>0</v>
      </c>
      <c r="BB119" s="102">
        <v>0</v>
      </c>
      <c r="BC119" s="102">
        <v>0</v>
      </c>
      <c r="BD119" s="102">
        <v>0</v>
      </c>
      <c r="BE119" s="102">
        <v>0</v>
      </c>
      <c r="BF119" s="102">
        <v>0</v>
      </c>
      <c r="BG119" s="102">
        <v>0</v>
      </c>
      <c r="BH119" s="102">
        <v>0</v>
      </c>
      <c r="BI119" s="102">
        <v>0</v>
      </c>
      <c r="BJ119" s="102">
        <v>0.12143141</v>
      </c>
      <c r="BK119" s="102">
        <v>0</v>
      </c>
      <c r="BL119" s="145">
        <v>0</v>
      </c>
      <c r="BM119" s="974">
        <v>0</v>
      </c>
      <c r="BN119" s="102">
        <v>0</v>
      </c>
      <c r="BO119" s="102">
        <v>0</v>
      </c>
      <c r="BP119" s="102">
        <v>0</v>
      </c>
      <c r="BQ119" s="102">
        <v>0</v>
      </c>
      <c r="BR119" s="102">
        <v>0</v>
      </c>
      <c r="BS119" s="102">
        <v>0</v>
      </c>
      <c r="BT119" s="102">
        <v>0</v>
      </c>
      <c r="BU119" s="102">
        <v>0</v>
      </c>
      <c r="BV119" s="102">
        <v>0</v>
      </c>
      <c r="BW119" s="102">
        <v>0</v>
      </c>
      <c r="BX119" s="102">
        <v>0</v>
      </c>
      <c r="BY119" s="102">
        <v>0</v>
      </c>
      <c r="BZ119" s="102">
        <v>0</v>
      </c>
      <c r="CA119" s="102">
        <v>0</v>
      </c>
      <c r="CB119" s="102">
        <v>0</v>
      </c>
      <c r="CC119" s="102">
        <v>0</v>
      </c>
      <c r="CD119" s="102">
        <v>0</v>
      </c>
      <c r="CE119" s="102">
        <v>0</v>
      </c>
      <c r="CF119" s="102">
        <v>0</v>
      </c>
      <c r="CG119" s="102">
        <v>0</v>
      </c>
      <c r="CH119" s="102">
        <v>0</v>
      </c>
      <c r="CI119" s="102">
        <v>0</v>
      </c>
      <c r="CJ119" s="102">
        <v>0</v>
      </c>
      <c r="CK119" s="102">
        <v>0</v>
      </c>
      <c r="CL119" s="102">
        <v>0</v>
      </c>
      <c r="CM119" s="102">
        <v>0</v>
      </c>
      <c r="CN119" s="102">
        <v>0</v>
      </c>
      <c r="CO119" s="102">
        <v>0</v>
      </c>
      <c r="CP119" s="102">
        <v>0</v>
      </c>
      <c r="CQ119" s="102">
        <v>0</v>
      </c>
      <c r="CR119" s="102">
        <v>0</v>
      </c>
      <c r="CS119" s="102">
        <v>0</v>
      </c>
      <c r="CT119" s="102">
        <v>0</v>
      </c>
      <c r="CU119" s="102">
        <v>0</v>
      </c>
      <c r="CV119" s="102">
        <v>0</v>
      </c>
      <c r="CW119" s="102">
        <v>0</v>
      </c>
      <c r="CX119" s="102">
        <v>0</v>
      </c>
      <c r="CY119" s="102">
        <v>0</v>
      </c>
      <c r="CZ119" s="102">
        <v>0</v>
      </c>
      <c r="DA119" s="102">
        <v>0</v>
      </c>
      <c r="DB119" s="102">
        <v>0</v>
      </c>
      <c r="DC119" s="102">
        <v>0</v>
      </c>
      <c r="DD119" s="102">
        <v>0</v>
      </c>
      <c r="DE119" s="102">
        <v>0</v>
      </c>
      <c r="DF119" s="102">
        <v>0</v>
      </c>
      <c r="DG119" s="102">
        <v>0</v>
      </c>
      <c r="DH119" s="102">
        <v>0</v>
      </c>
      <c r="DI119" s="102">
        <v>0</v>
      </c>
      <c r="DJ119" s="102">
        <v>0</v>
      </c>
      <c r="DK119" s="102">
        <v>0</v>
      </c>
      <c r="DL119" s="102">
        <v>0</v>
      </c>
      <c r="DM119" s="102">
        <v>0</v>
      </c>
      <c r="DN119" s="102">
        <v>0</v>
      </c>
      <c r="DO119" s="102">
        <v>0</v>
      </c>
      <c r="DP119" s="102">
        <v>0</v>
      </c>
      <c r="DQ119" s="940">
        <v>0</v>
      </c>
      <c r="DR119" s="940">
        <v>0</v>
      </c>
      <c r="DS119" s="940">
        <v>0</v>
      </c>
      <c r="DT119" s="940">
        <v>0</v>
      </c>
      <c r="DU119" s="940">
        <v>0</v>
      </c>
      <c r="DV119" s="940">
        <v>0</v>
      </c>
      <c r="DW119" s="940">
        <v>0</v>
      </c>
      <c r="DX119" s="940">
        <v>0</v>
      </c>
      <c r="DY119" s="940">
        <v>0</v>
      </c>
      <c r="DZ119" s="940">
        <v>0</v>
      </c>
      <c r="EA119" s="940">
        <v>0</v>
      </c>
      <c r="EB119" s="940">
        <v>0</v>
      </c>
      <c r="EC119" s="940">
        <v>0</v>
      </c>
      <c r="ED119" s="940">
        <v>0</v>
      </c>
      <c r="EE119" s="940">
        <v>-6.4999999999999997E-3</v>
      </c>
      <c r="EF119" s="940">
        <v>0</v>
      </c>
      <c r="EH119" s="102">
        <v>0</v>
      </c>
      <c r="EI119" s="102">
        <v>0</v>
      </c>
      <c r="EJ119" s="102">
        <v>0</v>
      </c>
      <c r="EK119" s="102">
        <v>0</v>
      </c>
      <c r="EL119" s="102">
        <v>0</v>
      </c>
      <c r="EM119" s="102">
        <v>0</v>
      </c>
      <c r="EN119" s="102">
        <v>0</v>
      </c>
      <c r="EO119" s="102">
        <v>0</v>
      </c>
      <c r="EP119" s="102">
        <v>0</v>
      </c>
      <c r="EQ119" s="102">
        <v>0</v>
      </c>
      <c r="ER119" s="102">
        <v>0</v>
      </c>
      <c r="ES119" s="102">
        <v>0</v>
      </c>
      <c r="EU119" s="102">
        <v>0</v>
      </c>
      <c r="EV119" s="102">
        <v>0</v>
      </c>
      <c r="EW119" s="102">
        <v>0</v>
      </c>
      <c r="EX119" s="102">
        <v>0</v>
      </c>
      <c r="EY119" s="102">
        <v>0</v>
      </c>
      <c r="EZ119" s="102">
        <v>0</v>
      </c>
      <c r="FA119" s="102">
        <v>0</v>
      </c>
      <c r="FB119" s="102">
        <v>0</v>
      </c>
      <c r="FC119" s="102">
        <v>0</v>
      </c>
      <c r="FD119" s="102">
        <v>0</v>
      </c>
      <c r="FE119" s="102">
        <v>0</v>
      </c>
      <c r="FF119" s="102">
        <v>0</v>
      </c>
      <c r="FG119" s="102">
        <v>0</v>
      </c>
      <c r="FH119" s="102">
        <v>0</v>
      </c>
      <c r="FI119" s="102">
        <v>0</v>
      </c>
      <c r="FJ119" s="102">
        <v>0</v>
      </c>
      <c r="FK119" s="102">
        <v>0</v>
      </c>
      <c r="FL119" s="102">
        <v>0</v>
      </c>
      <c r="FM119" s="102">
        <v>0</v>
      </c>
      <c r="FN119" s="102">
        <v>0</v>
      </c>
      <c r="FO119" s="102">
        <v>0</v>
      </c>
      <c r="FP119" s="102">
        <v>0</v>
      </c>
      <c r="FQ119" s="102">
        <v>0</v>
      </c>
      <c r="FR119" s="102">
        <v>0</v>
      </c>
      <c r="FS119" s="102"/>
      <c r="FT119" s="102"/>
      <c r="FU119" s="102"/>
      <c r="FV119" s="102"/>
      <c r="FW119" s="102"/>
      <c r="FX119" s="102"/>
      <c r="FY119" s="102"/>
      <c r="FZ119" s="102"/>
      <c r="GA119" s="102"/>
      <c r="GB119" s="102"/>
      <c r="GC119" s="102"/>
      <c r="GD119" s="102"/>
      <c r="GE119" s="102">
        <v>0</v>
      </c>
      <c r="GF119" s="102">
        <v>0</v>
      </c>
      <c r="GG119" s="102">
        <v>0</v>
      </c>
      <c r="GH119" s="102">
        <v>0</v>
      </c>
      <c r="GI119" s="102">
        <v>0</v>
      </c>
      <c r="GJ119" s="102">
        <v>0</v>
      </c>
      <c r="GK119" s="102">
        <v>0</v>
      </c>
      <c r="GL119" s="102">
        <v>0</v>
      </c>
      <c r="GM119" s="102">
        <v>0</v>
      </c>
      <c r="GN119" s="102">
        <v>0</v>
      </c>
      <c r="GO119" s="102">
        <v>0</v>
      </c>
      <c r="GP119" s="102">
        <v>0</v>
      </c>
      <c r="GQ119" s="102">
        <v>0</v>
      </c>
      <c r="GR119" s="102">
        <v>0</v>
      </c>
      <c r="GS119" s="102">
        <v>0</v>
      </c>
      <c r="GT119" s="102">
        <v>0</v>
      </c>
      <c r="GU119" s="102">
        <v>0</v>
      </c>
      <c r="GV119" s="102">
        <v>0</v>
      </c>
      <c r="GW119" s="102">
        <v>0</v>
      </c>
      <c r="GX119" s="102">
        <v>0</v>
      </c>
      <c r="GY119" s="102">
        <v>0</v>
      </c>
      <c r="GZ119" s="102">
        <v>0</v>
      </c>
      <c r="HA119" s="102">
        <v>0</v>
      </c>
      <c r="HB119" s="102">
        <v>0</v>
      </c>
      <c r="HD119" s="102">
        <f t="shared" si="694"/>
        <v>71.150999999999996</v>
      </c>
      <c r="HE119" s="102">
        <f t="shared" si="694"/>
        <v>0</v>
      </c>
      <c r="HF119" s="102">
        <f t="shared" si="694"/>
        <v>2999.9969603899999</v>
      </c>
      <c r="HG119" s="102">
        <f t="shared" si="694"/>
        <v>0</v>
      </c>
      <c r="HH119" s="102">
        <f>+SUMIFS($E119:$BL119,$E$6:$BL$6,HH$7,$E$5:$BL$5,12)</f>
        <v>0</v>
      </c>
      <c r="HI119" s="102">
        <f t="shared" si="695"/>
        <v>0</v>
      </c>
      <c r="HJ119" s="102">
        <f t="shared" si="696"/>
        <v>0</v>
      </c>
      <c r="HK119" s="102">
        <f t="shared" si="697"/>
        <v>0</v>
      </c>
      <c r="HL119" s="940">
        <f>+SUMIFS($E119:SEW119,$E$6:SEW$6,HL$7,$E$5:SEW$5,12)</f>
        <v>0</v>
      </c>
      <c r="HM119" s="940">
        <f>+SUMIFS($E119:SEX119,$E$6:SEX$6,HM$7,$E$5:SEX$5,12)</f>
        <v>0</v>
      </c>
      <c r="HN119" s="940">
        <f>+SUMIFS($E119:SEY119,$E$6:SEY$6,HN$7,$E$5:SEY$5,12)</f>
        <v>0</v>
      </c>
      <c r="HO119" s="102"/>
      <c r="HP119" s="102"/>
      <c r="HR119" s="929" t="str">
        <f t="shared" si="698"/>
        <v/>
      </c>
      <c r="HS119" s="929">
        <f t="shared" si="698"/>
        <v>-1</v>
      </c>
      <c r="HT119" s="929" t="str">
        <f t="shared" si="698"/>
        <v/>
      </c>
      <c r="HU119" s="929" t="str">
        <f t="shared" si="698"/>
        <v/>
      </c>
      <c r="HV119" s="929" t="str">
        <f t="shared" si="698"/>
        <v/>
      </c>
      <c r="HW119" s="929" t="str">
        <f t="shared" si="698"/>
        <v/>
      </c>
      <c r="HX119" s="929" t="str">
        <f t="shared" si="698"/>
        <v/>
      </c>
      <c r="HY119" s="929" t="str">
        <f t="shared" si="698"/>
        <v/>
      </c>
      <c r="HZ119" s="929" t="str">
        <f t="shared" si="698"/>
        <v/>
      </c>
      <c r="IA119" s="929" t="str">
        <f t="shared" si="604"/>
        <v/>
      </c>
      <c r="IB119" s="929" t="str">
        <f>+IFERROR(HP119/HO119-1,"")</f>
        <v/>
      </c>
      <c r="IC119" s="929" t="str">
        <f t="shared" si="605"/>
        <v/>
      </c>
      <c r="IE119" s="102">
        <f t="shared" si="699"/>
        <v>2999.9969603899999</v>
      </c>
      <c r="IF119" s="102">
        <f t="shared" si="699"/>
        <v>-2999.9969603899999</v>
      </c>
      <c r="IG119" s="102">
        <f t="shared" si="699"/>
        <v>0</v>
      </c>
      <c r="IH119" s="102">
        <f t="shared" si="699"/>
        <v>0</v>
      </c>
      <c r="II119" s="102">
        <f t="shared" si="619"/>
        <v>0</v>
      </c>
      <c r="IJ119" s="102">
        <f t="shared" si="620"/>
        <v>0</v>
      </c>
      <c r="IK119" s="102">
        <f t="shared" si="621"/>
        <v>0</v>
      </c>
      <c r="IL119" s="102">
        <f t="shared" si="607"/>
        <v>0</v>
      </c>
      <c r="IM119" s="102">
        <f>+HP119-HO119</f>
        <v>0</v>
      </c>
      <c r="IN119" s="102">
        <f t="shared" si="608"/>
        <v>0</v>
      </c>
      <c r="IP119" s="973"/>
      <c r="IQ119" s="973"/>
      <c r="IR119" s="973"/>
      <c r="IS119" s="973"/>
      <c r="IT119" s="973"/>
      <c r="IU119" s="973"/>
      <c r="IV119" s="973"/>
      <c r="IW119" s="973"/>
      <c r="IX119" s="973"/>
      <c r="IY119" s="973"/>
      <c r="JA119" s="102">
        <f t="shared" si="727"/>
        <v>71.150999999999996</v>
      </c>
      <c r="JB119" s="102">
        <f t="shared" si="727"/>
        <v>0</v>
      </c>
      <c r="JC119" s="102">
        <f t="shared" si="727"/>
        <v>2999.9969603899999</v>
      </c>
      <c r="JD119" s="102">
        <f t="shared" si="727"/>
        <v>0</v>
      </c>
      <c r="JE119" s="102">
        <f t="shared" si="727"/>
        <v>0</v>
      </c>
      <c r="JF119" s="102">
        <f t="shared" si="727"/>
        <v>0</v>
      </c>
      <c r="JG119" s="102">
        <f t="shared" si="727"/>
        <v>0</v>
      </c>
      <c r="JH119" s="102">
        <f t="shared" si="727"/>
        <v>0</v>
      </c>
      <c r="JI119" s="102">
        <f t="shared" si="727"/>
        <v>0</v>
      </c>
      <c r="JJ119" s="102">
        <f t="shared" si="727"/>
        <v>0</v>
      </c>
      <c r="JK119" s="102">
        <f t="shared" si="727"/>
        <v>0</v>
      </c>
      <c r="JL119" s="102">
        <f t="shared" si="728"/>
        <v>0</v>
      </c>
      <c r="JM119" s="102"/>
      <c r="JN119" s="32"/>
      <c r="JP119" s="102">
        <f t="shared" si="701"/>
        <v>0</v>
      </c>
      <c r="JQ119" s="102">
        <f t="shared" si="702"/>
        <v>0</v>
      </c>
      <c r="JR119" s="145"/>
      <c r="JS119" s="929" t="str">
        <f>+IFERROR(JP119/JQ119,"NA")</f>
        <v>NA</v>
      </c>
      <c r="JT119" s="930">
        <f>+IFERROR(JP119-JQ119,"NA")</f>
        <v>0</v>
      </c>
      <c r="JV119" s="973"/>
      <c r="JW119" s="973"/>
      <c r="JY119" s="929" t="str">
        <f t="shared" si="729"/>
        <v/>
      </c>
      <c r="JZ119" s="929">
        <f t="shared" si="730"/>
        <v>-1</v>
      </c>
      <c r="KA119" s="929" t="str">
        <f t="shared" si="731"/>
        <v/>
      </c>
      <c r="KB119" s="929" t="str">
        <f t="shared" si="732"/>
        <v/>
      </c>
      <c r="KC119" s="929" t="str">
        <f t="shared" si="733"/>
        <v/>
      </c>
      <c r="KD119" s="929" t="str">
        <f t="shared" si="734"/>
        <v/>
      </c>
      <c r="KE119" s="929" t="str">
        <f t="shared" si="735"/>
        <v/>
      </c>
      <c r="KF119" s="929" t="str">
        <f t="shared" si="736"/>
        <v/>
      </c>
      <c r="KH119" s="102">
        <f t="shared" si="704"/>
        <v>2999.9969603899999</v>
      </c>
      <c r="KI119" s="102">
        <f t="shared" si="705"/>
        <v>-2999.9969603899999</v>
      </c>
      <c r="KJ119" s="102">
        <f t="shared" si="706"/>
        <v>0</v>
      </c>
      <c r="KK119" s="102">
        <f t="shared" si="707"/>
        <v>0</v>
      </c>
      <c r="KL119" s="102">
        <f t="shared" si="708"/>
        <v>0</v>
      </c>
      <c r="KM119" s="102">
        <f t="shared" si="709"/>
        <v>0</v>
      </c>
      <c r="KN119" s="102">
        <f t="shared" si="710"/>
        <v>0</v>
      </c>
      <c r="KO119" s="102">
        <f t="shared" si="711"/>
        <v>0</v>
      </c>
      <c r="KQ119" s="973"/>
      <c r="KR119" s="973"/>
      <c r="KS119" s="973"/>
      <c r="KT119" s="973"/>
      <c r="KU119" s="973"/>
      <c r="KV119" s="973"/>
      <c r="KW119" s="973"/>
      <c r="KX119" s="973"/>
      <c r="KY119" s="973"/>
      <c r="KZ119" s="973"/>
      <c r="LB119" s="102">
        <f t="shared" si="737"/>
        <v>71.150999999999996</v>
      </c>
      <c r="LC119" s="102">
        <f t="shared" si="737"/>
        <v>0</v>
      </c>
      <c r="LD119" s="102">
        <f t="shared" si="737"/>
        <v>2999.9969603899999</v>
      </c>
      <c r="LE119" s="102">
        <f t="shared" si="737"/>
        <v>0</v>
      </c>
      <c r="LF119" s="102">
        <f t="shared" si="737"/>
        <v>0</v>
      </c>
      <c r="LG119" s="102">
        <f t="shared" si="737"/>
        <v>0</v>
      </c>
      <c r="LH119" s="102">
        <f t="shared" si="737"/>
        <v>0</v>
      </c>
      <c r="LI119" s="102">
        <f t="shared" si="737"/>
        <v>0</v>
      </c>
      <c r="LJ119" s="102">
        <f t="shared" si="737"/>
        <v>0</v>
      </c>
      <c r="LK119" s="102">
        <f t="shared" si="737"/>
        <v>0</v>
      </c>
      <c r="LL119" s="102">
        <f t="shared" si="737"/>
        <v>0</v>
      </c>
      <c r="LM119" s="102">
        <f t="shared" si="712"/>
        <v>0</v>
      </c>
      <c r="LN119" s="102"/>
      <c r="LO119" s="102"/>
      <c r="LR119" s="32" t="str">
        <f t="shared" si="713"/>
        <v xml:space="preserve"> </v>
      </c>
      <c r="LS119" s="32">
        <f t="shared" si="714"/>
        <v>-1</v>
      </c>
      <c r="LT119" s="32" t="str">
        <f t="shared" si="715"/>
        <v xml:space="preserve"> </v>
      </c>
      <c r="LU119" s="32" t="str">
        <f t="shared" si="716"/>
        <v xml:space="preserve"> </v>
      </c>
      <c r="LV119" s="32" t="str">
        <f t="shared" si="717"/>
        <v xml:space="preserve"> </v>
      </c>
      <c r="LW119" s="32" t="str">
        <f t="shared" si="718"/>
        <v xml:space="preserve"> </v>
      </c>
      <c r="LX119" s="32" t="str">
        <f t="shared" si="719"/>
        <v xml:space="preserve"> </v>
      </c>
      <c r="LZ119" s="102">
        <f t="shared" si="720"/>
        <v>2999.9969603899999</v>
      </c>
      <c r="MA119" s="102">
        <f t="shared" si="721"/>
        <v>-2999.9969603899999</v>
      </c>
      <c r="MB119" s="102">
        <f t="shared" si="722"/>
        <v>0</v>
      </c>
      <c r="MC119" s="102">
        <f t="shared" si="723"/>
        <v>0</v>
      </c>
      <c r="MD119" s="102">
        <f t="shared" si="724"/>
        <v>0</v>
      </c>
      <c r="ME119" s="102">
        <f t="shared" si="725"/>
        <v>0</v>
      </c>
      <c r="MF119" s="102">
        <f t="shared" si="726"/>
        <v>0</v>
      </c>
      <c r="MH119" s="973"/>
      <c r="MI119" s="973"/>
      <c r="MJ119" s="973"/>
      <c r="MK119" s="973"/>
      <c r="ML119" s="973"/>
      <c r="MM119" s="973"/>
      <c r="MN119" s="973"/>
      <c r="MO119" s="973"/>
      <c r="MP119" s="973"/>
    </row>
    <row r="120" spans="1:354" outlineLevel="1">
      <c r="A120" s="884">
        <v>1296</v>
      </c>
      <c r="B120" s="657"/>
      <c r="C120" s="17" t="s">
        <v>686</v>
      </c>
      <c r="D120" s="31" t="s">
        <v>59</v>
      </c>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45"/>
      <c r="AO120" s="102"/>
      <c r="AP120" s="145"/>
      <c r="AQ120" s="220"/>
      <c r="AR120" s="220"/>
      <c r="AS120" s="102"/>
      <c r="AT120" s="102"/>
      <c r="AU120" s="102"/>
      <c r="AV120" s="102"/>
      <c r="AW120" s="102"/>
      <c r="AX120" s="102"/>
      <c r="AY120" s="102"/>
      <c r="AZ120" s="102">
        <v>0</v>
      </c>
      <c r="BA120" s="102"/>
      <c r="BB120" s="102"/>
      <c r="BC120" s="102"/>
      <c r="BD120" s="102"/>
      <c r="BE120" s="102"/>
      <c r="BF120" s="102"/>
      <c r="BG120" s="102"/>
      <c r="BH120" s="102"/>
      <c r="BI120" s="102"/>
      <c r="BJ120" s="102"/>
      <c r="BK120" s="102"/>
      <c r="BL120" s="145"/>
      <c r="BM120" s="974"/>
      <c r="BN120" s="102"/>
      <c r="BO120" s="102"/>
      <c r="BP120" s="102"/>
      <c r="BQ120" s="102"/>
      <c r="BR120" s="102"/>
      <c r="BS120" s="102"/>
      <c r="BT120" s="102">
        <v>0</v>
      </c>
      <c r="BU120" s="102">
        <v>0</v>
      </c>
      <c r="BV120" s="102">
        <v>0</v>
      </c>
      <c r="BW120" s="102">
        <v>0</v>
      </c>
      <c r="BX120" s="102">
        <v>0</v>
      </c>
      <c r="BY120" s="102">
        <v>0</v>
      </c>
      <c r="BZ120" s="102">
        <v>0</v>
      </c>
      <c r="CA120" s="102">
        <v>0</v>
      </c>
      <c r="CB120" s="102">
        <v>0</v>
      </c>
      <c r="CC120" s="102">
        <v>0</v>
      </c>
      <c r="CD120" s="102">
        <v>0</v>
      </c>
      <c r="CE120" s="102">
        <v>0</v>
      </c>
      <c r="CF120" s="102">
        <v>0</v>
      </c>
      <c r="CG120" s="102">
        <v>0</v>
      </c>
      <c r="CH120" s="102">
        <v>0</v>
      </c>
      <c r="CI120" s="102">
        <v>0</v>
      </c>
      <c r="CJ120" s="102">
        <v>0</v>
      </c>
      <c r="CK120" s="102">
        <v>0</v>
      </c>
      <c r="CL120" s="102">
        <v>0</v>
      </c>
      <c r="CM120" s="102">
        <v>0</v>
      </c>
      <c r="CN120" s="102">
        <v>0</v>
      </c>
      <c r="CO120" s="102">
        <v>0</v>
      </c>
      <c r="CP120" s="102">
        <v>0</v>
      </c>
      <c r="CQ120" s="102">
        <v>0</v>
      </c>
      <c r="CR120" s="102">
        <v>0</v>
      </c>
      <c r="CS120" s="102">
        <v>0</v>
      </c>
      <c r="CT120" s="102">
        <v>0</v>
      </c>
      <c r="CU120" s="102">
        <v>0</v>
      </c>
      <c r="CV120" s="102">
        <v>0</v>
      </c>
      <c r="CW120" s="102">
        <v>0</v>
      </c>
      <c r="CX120" s="102">
        <v>0</v>
      </c>
      <c r="CY120" s="102">
        <v>0</v>
      </c>
      <c r="CZ120" s="102">
        <v>0</v>
      </c>
      <c r="DA120" s="102">
        <v>0</v>
      </c>
      <c r="DB120" s="102">
        <v>0</v>
      </c>
      <c r="DC120" s="102">
        <v>0</v>
      </c>
      <c r="DD120" s="102">
        <v>0</v>
      </c>
      <c r="DE120" s="102">
        <v>0</v>
      </c>
      <c r="DF120" s="102">
        <v>0</v>
      </c>
      <c r="DG120" s="102">
        <v>0</v>
      </c>
      <c r="DH120" s="102">
        <v>0</v>
      </c>
      <c r="DI120" s="102">
        <v>0</v>
      </c>
      <c r="DJ120" s="102">
        <v>0</v>
      </c>
      <c r="DK120" s="102">
        <v>0</v>
      </c>
      <c r="DL120" s="102">
        <v>0</v>
      </c>
      <c r="DM120" s="102">
        <v>0</v>
      </c>
      <c r="DN120" s="102">
        <v>0</v>
      </c>
      <c r="DO120" s="102">
        <v>0</v>
      </c>
      <c r="DP120" s="102">
        <v>0</v>
      </c>
      <c r="DQ120" s="940">
        <v>0</v>
      </c>
      <c r="DR120" s="940">
        <v>0</v>
      </c>
      <c r="DS120" s="940">
        <v>0</v>
      </c>
      <c r="DT120" s="940">
        <v>0</v>
      </c>
      <c r="DU120" s="940">
        <v>0</v>
      </c>
      <c r="DV120" s="940">
        <v>0</v>
      </c>
      <c r="DW120" s="940">
        <v>0</v>
      </c>
      <c r="DX120" s="940">
        <v>0</v>
      </c>
      <c r="DY120" s="940">
        <v>0</v>
      </c>
      <c r="DZ120" s="940">
        <v>0</v>
      </c>
      <c r="EA120" s="940">
        <v>0</v>
      </c>
      <c r="EB120" s="940">
        <v>0</v>
      </c>
      <c r="EC120" s="940">
        <v>0</v>
      </c>
      <c r="ED120" s="940">
        <v>0</v>
      </c>
      <c r="EE120" s="940">
        <v>0</v>
      </c>
      <c r="EF120" s="940">
        <v>0</v>
      </c>
      <c r="EH120" s="102"/>
      <c r="EI120" s="102"/>
      <c r="EJ120" s="102"/>
      <c r="EK120" s="102"/>
      <c r="EL120" s="102"/>
      <c r="EM120" s="102"/>
      <c r="EN120" s="102"/>
      <c r="EO120" s="102"/>
      <c r="EP120" s="102"/>
      <c r="EQ120" s="102"/>
      <c r="ER120" s="102"/>
      <c r="ES120" s="102"/>
      <c r="EU120" s="102"/>
      <c r="EV120" s="102"/>
      <c r="EW120" s="102"/>
      <c r="EX120" s="102"/>
      <c r="EY120" s="102"/>
      <c r="EZ120" s="102"/>
      <c r="FA120" s="102"/>
      <c r="FB120" s="102"/>
      <c r="FC120" s="102"/>
      <c r="FD120" s="102"/>
      <c r="FE120" s="102"/>
      <c r="FF120" s="102"/>
      <c r="FG120" s="102"/>
      <c r="FH120" s="102"/>
      <c r="FI120" s="102"/>
      <c r="FJ120" s="102"/>
      <c r="FK120" s="102"/>
      <c r="FL120" s="102"/>
      <c r="FM120" s="102"/>
      <c r="FN120" s="102"/>
      <c r="FO120" s="102"/>
      <c r="FP120" s="102"/>
      <c r="FQ120" s="102"/>
      <c r="FR120" s="102"/>
      <c r="FS120" s="102"/>
      <c r="FT120" s="102"/>
      <c r="FU120" s="102"/>
      <c r="FV120" s="102"/>
      <c r="FW120" s="102"/>
      <c r="FX120" s="102"/>
      <c r="FY120" s="102"/>
      <c r="FZ120" s="102"/>
      <c r="GA120" s="102"/>
      <c r="GB120" s="102"/>
      <c r="GC120" s="102"/>
      <c r="GD120" s="102"/>
      <c r="GE120" s="102"/>
      <c r="GF120" s="102"/>
      <c r="GG120" s="102"/>
      <c r="GH120" s="102"/>
      <c r="GI120" s="102"/>
      <c r="GJ120" s="102"/>
      <c r="GK120" s="102"/>
      <c r="GL120" s="102"/>
      <c r="GM120" s="102"/>
      <c r="GN120" s="102"/>
      <c r="GO120" s="102"/>
      <c r="GP120" s="102"/>
      <c r="GQ120" s="102"/>
      <c r="GR120" s="102"/>
      <c r="GS120" s="102"/>
      <c r="GT120" s="102"/>
      <c r="GU120" s="102"/>
      <c r="GV120" s="102"/>
      <c r="GW120" s="102"/>
      <c r="GX120" s="102"/>
      <c r="GY120" s="102"/>
      <c r="GZ120" s="102"/>
      <c r="HA120" s="102"/>
      <c r="HB120" s="102"/>
      <c r="HD120" s="102"/>
      <c r="HE120" s="102"/>
      <c r="HF120" s="102"/>
      <c r="HG120" s="102"/>
      <c r="HH120" s="102"/>
      <c r="HI120" s="102">
        <f t="shared" si="695"/>
        <v>0</v>
      </c>
      <c r="HJ120" s="102">
        <f t="shared" si="696"/>
        <v>0</v>
      </c>
      <c r="HK120" s="102">
        <f t="shared" si="697"/>
        <v>0</v>
      </c>
      <c r="HL120" s="940">
        <f>+SUMIFS($E120:SEW120,$E$6:SEW$6,HL$7,$E$5:SEW$5,12)</f>
        <v>0</v>
      </c>
      <c r="HM120" s="940">
        <f>+SUMIFS($E120:SEX120,$E$6:SEX$6,HM$7,$E$5:SEX$5,12)</f>
        <v>0</v>
      </c>
      <c r="HN120" s="940">
        <f>+SUMIFS($E120:SEY120,$E$6:SEY$6,HN$7,$E$5:SEY$5,12)</f>
        <v>0</v>
      </c>
      <c r="HO120" s="102"/>
      <c r="HP120" s="102"/>
      <c r="HR120" s="32"/>
      <c r="HS120" s="32"/>
      <c r="HT120" s="32"/>
      <c r="HU120" s="929" t="str">
        <f t="shared" ref="HU120:HU164" si="738">+IFERROR(HI120/HH120-1,"")</f>
        <v/>
      </c>
      <c r="HV120" s="929" t="str">
        <f t="shared" ref="HV120:HV164" si="739">+IFERROR(HJ120/HI120-1,"")</f>
        <v/>
      </c>
      <c r="HW120" s="929" t="str">
        <f t="shared" ref="HW120:HW164" si="740">+IFERROR(HK120/HJ120-1,"")</f>
        <v/>
      </c>
      <c r="HX120" s="929" t="str">
        <f t="shared" ref="HX120:HZ164" si="741">+IFERROR(HL120/HK120-1,"")</f>
        <v/>
      </c>
      <c r="HY120" s="929" t="str">
        <f t="shared" si="741"/>
        <v/>
      </c>
      <c r="HZ120" s="929" t="str">
        <f t="shared" si="741"/>
        <v/>
      </c>
      <c r="IA120" s="929" t="str">
        <f t="shared" si="604"/>
        <v/>
      </c>
      <c r="IB120" s="32"/>
      <c r="IC120" s="929" t="str">
        <f t="shared" si="605"/>
        <v/>
      </c>
      <c r="IE120" s="102"/>
      <c r="IF120" s="102"/>
      <c r="IG120" s="102"/>
      <c r="IH120" s="102">
        <f t="shared" ref="IH120:IH164" si="742">+HI120-HH120</f>
        <v>0</v>
      </c>
      <c r="II120" s="102">
        <f t="shared" si="619"/>
        <v>0</v>
      </c>
      <c r="IJ120" s="102">
        <f t="shared" si="620"/>
        <v>0</v>
      </c>
      <c r="IK120" s="102">
        <f t="shared" si="621"/>
        <v>0</v>
      </c>
      <c r="IL120" s="102">
        <f t="shared" si="607"/>
        <v>0</v>
      </c>
      <c r="IM120" s="102"/>
      <c r="IN120" s="102">
        <f t="shared" si="608"/>
        <v>0</v>
      </c>
      <c r="IP120" s="973"/>
      <c r="IQ120" s="973"/>
      <c r="IR120" s="973"/>
      <c r="IS120" s="973"/>
      <c r="IT120" s="973"/>
      <c r="IU120" s="973"/>
      <c r="IV120" s="973"/>
      <c r="IW120" s="973"/>
      <c r="IX120" s="973"/>
      <c r="IY120" s="973"/>
      <c r="JA120" s="102">
        <f t="shared" si="727"/>
        <v>0</v>
      </c>
      <c r="JB120" s="102">
        <f t="shared" si="727"/>
        <v>0</v>
      </c>
      <c r="JC120" s="102">
        <f t="shared" si="727"/>
        <v>0</v>
      </c>
      <c r="JD120" s="102">
        <f t="shared" si="727"/>
        <v>0</v>
      </c>
      <c r="JE120" s="102">
        <f t="shared" si="727"/>
        <v>0</v>
      </c>
      <c r="JF120" s="102">
        <f t="shared" si="727"/>
        <v>0</v>
      </c>
      <c r="JG120" s="102">
        <f t="shared" si="727"/>
        <v>0</v>
      </c>
      <c r="JH120" s="102">
        <f t="shared" si="727"/>
        <v>0</v>
      </c>
      <c r="JI120" s="102">
        <f t="shared" si="727"/>
        <v>0</v>
      </c>
      <c r="JJ120" s="102">
        <f t="shared" si="727"/>
        <v>0</v>
      </c>
      <c r="JK120" s="102">
        <f t="shared" si="727"/>
        <v>0</v>
      </c>
      <c r="JL120" s="102">
        <f t="shared" si="728"/>
        <v>0</v>
      </c>
      <c r="JM120" s="102"/>
      <c r="JN120" s="32"/>
      <c r="JP120" s="102">
        <f t="shared" si="701"/>
        <v>0</v>
      </c>
      <c r="JQ120" s="102">
        <f t="shared" si="702"/>
        <v>0</v>
      </c>
      <c r="JR120" s="145"/>
      <c r="JS120" s="929"/>
      <c r="JT120" s="930"/>
      <c r="JV120" s="973"/>
      <c r="JW120" s="973"/>
      <c r="JY120" s="929" t="str">
        <f t="shared" si="729"/>
        <v/>
      </c>
      <c r="JZ120" s="929" t="str">
        <f t="shared" si="730"/>
        <v/>
      </c>
      <c r="KA120" s="929" t="str">
        <f t="shared" si="731"/>
        <v/>
      </c>
      <c r="KB120" s="929" t="str">
        <f t="shared" si="732"/>
        <v/>
      </c>
      <c r="KC120" s="929" t="str">
        <f t="shared" si="733"/>
        <v/>
      </c>
      <c r="KD120" s="929" t="str">
        <f t="shared" si="734"/>
        <v/>
      </c>
      <c r="KE120" s="929" t="str">
        <f t="shared" si="735"/>
        <v/>
      </c>
      <c r="KF120" s="929" t="str">
        <f t="shared" si="736"/>
        <v/>
      </c>
      <c r="KH120" s="102">
        <f t="shared" si="704"/>
        <v>0</v>
      </c>
      <c r="KI120" s="102">
        <f t="shared" si="705"/>
        <v>0</v>
      </c>
      <c r="KJ120" s="102">
        <f t="shared" si="706"/>
        <v>0</v>
      </c>
      <c r="KK120" s="102">
        <f t="shared" si="707"/>
        <v>0</v>
      </c>
      <c r="KL120" s="102">
        <f t="shared" si="708"/>
        <v>0</v>
      </c>
      <c r="KM120" s="102">
        <f t="shared" si="709"/>
        <v>0</v>
      </c>
      <c r="KN120" s="102">
        <f t="shared" si="710"/>
        <v>0</v>
      </c>
      <c r="KO120" s="102">
        <f t="shared" si="711"/>
        <v>0</v>
      </c>
      <c r="KQ120" s="973"/>
      <c r="KR120" s="973"/>
      <c r="KS120" s="973"/>
      <c r="KT120" s="973"/>
      <c r="KU120" s="973"/>
      <c r="KV120" s="973"/>
      <c r="KW120" s="973"/>
      <c r="KX120" s="973"/>
      <c r="KY120" s="973"/>
      <c r="KZ120" s="973"/>
      <c r="LB120" s="102">
        <f t="shared" si="737"/>
        <v>0</v>
      </c>
      <c r="LC120" s="102">
        <f t="shared" si="737"/>
        <v>0</v>
      </c>
      <c r="LD120" s="102">
        <f t="shared" si="737"/>
        <v>0</v>
      </c>
      <c r="LE120" s="102">
        <f t="shared" si="737"/>
        <v>0</v>
      </c>
      <c r="LF120" s="102">
        <f t="shared" si="737"/>
        <v>0</v>
      </c>
      <c r="LG120" s="102">
        <f t="shared" si="737"/>
        <v>0</v>
      </c>
      <c r="LH120" s="102">
        <f t="shared" si="737"/>
        <v>0</v>
      </c>
      <c r="LI120" s="102">
        <f t="shared" si="737"/>
        <v>0</v>
      </c>
      <c r="LJ120" s="102">
        <f t="shared" si="737"/>
        <v>0</v>
      </c>
      <c r="LK120" s="102">
        <f t="shared" si="737"/>
        <v>0</v>
      </c>
      <c r="LL120" s="102">
        <f t="shared" si="737"/>
        <v>0</v>
      </c>
      <c r="LM120" s="102">
        <f t="shared" si="712"/>
        <v>0</v>
      </c>
      <c r="LN120" s="102"/>
      <c r="LO120" s="102"/>
      <c r="LR120" s="32" t="str">
        <f t="shared" si="713"/>
        <v xml:space="preserve"> </v>
      </c>
      <c r="LS120" s="32" t="str">
        <f t="shared" si="714"/>
        <v xml:space="preserve"> </v>
      </c>
      <c r="LT120" s="32" t="str">
        <f t="shared" si="715"/>
        <v xml:space="preserve"> </v>
      </c>
      <c r="LU120" s="32" t="str">
        <f t="shared" si="716"/>
        <v xml:space="preserve"> </v>
      </c>
      <c r="LV120" s="32" t="str">
        <f t="shared" si="717"/>
        <v xml:space="preserve"> </v>
      </c>
      <c r="LW120" s="32" t="str">
        <f t="shared" si="718"/>
        <v xml:space="preserve"> </v>
      </c>
      <c r="LX120" s="32" t="str">
        <f t="shared" si="719"/>
        <v xml:space="preserve"> </v>
      </c>
      <c r="LZ120" s="102">
        <f t="shared" si="720"/>
        <v>0</v>
      </c>
      <c r="MA120" s="102">
        <f t="shared" si="721"/>
        <v>0</v>
      </c>
      <c r="MB120" s="102">
        <f t="shared" si="722"/>
        <v>0</v>
      </c>
      <c r="MC120" s="102">
        <f t="shared" si="723"/>
        <v>0</v>
      </c>
      <c r="MD120" s="102">
        <f t="shared" si="724"/>
        <v>0</v>
      </c>
      <c r="ME120" s="102">
        <f t="shared" si="725"/>
        <v>0</v>
      </c>
      <c r="MF120" s="102">
        <f t="shared" si="726"/>
        <v>0</v>
      </c>
      <c r="MH120" s="973"/>
      <c r="MI120" s="973"/>
      <c r="MJ120" s="973"/>
      <c r="MK120" s="973"/>
      <c r="ML120" s="973"/>
      <c r="MM120" s="973"/>
      <c r="MN120" s="973"/>
      <c r="MO120" s="973"/>
      <c r="MP120" s="973"/>
    </row>
    <row r="121" spans="1:354" outlineLevel="1">
      <c r="A121" s="884">
        <v>1305</v>
      </c>
      <c r="B121" s="918"/>
      <c r="C121" s="17" t="s">
        <v>114</v>
      </c>
      <c r="D121" s="31" t="s">
        <v>59</v>
      </c>
      <c r="E121" s="102">
        <v>2126.90729225</v>
      </c>
      <c r="F121" s="102">
        <v>3679.1958006499999</v>
      </c>
      <c r="G121" s="102">
        <v>3419.73328395</v>
      </c>
      <c r="H121" s="102">
        <v>3956.3459315199998</v>
      </c>
      <c r="I121" s="102">
        <v>5118.9544956700001</v>
      </c>
      <c r="J121" s="102">
        <v>4887.0481801000005</v>
      </c>
      <c r="K121" s="102">
        <v>4313.2440801800003</v>
      </c>
      <c r="L121" s="102">
        <v>5333.8155421499996</v>
      </c>
      <c r="M121" s="102">
        <v>4976.4924432700009</v>
      </c>
      <c r="N121" s="102">
        <v>4815.7211407900004</v>
      </c>
      <c r="O121" s="102">
        <v>5562.8832414399994</v>
      </c>
      <c r="P121" s="102">
        <v>4800.9107446899998</v>
      </c>
      <c r="Q121" s="102">
        <v>3862.0324780799997</v>
      </c>
      <c r="R121" s="102">
        <v>5938.8817922999997</v>
      </c>
      <c r="S121" s="102">
        <v>3848.2706140199998</v>
      </c>
      <c r="T121" s="102">
        <v>3292.8814960100003</v>
      </c>
      <c r="U121" s="102">
        <v>5177.6232665799998</v>
      </c>
      <c r="V121" s="102">
        <v>4499.2362169399994</v>
      </c>
      <c r="W121" s="102">
        <v>3260.4084304899998</v>
      </c>
      <c r="X121" s="102">
        <v>4062.6786280900001</v>
      </c>
      <c r="Y121" s="102">
        <v>3147.9968576699998</v>
      </c>
      <c r="Z121" s="102">
        <v>3239.5161952899998</v>
      </c>
      <c r="AA121" s="102">
        <v>5601.0114890599998</v>
      </c>
      <c r="AB121" s="102">
        <v>6206.8621487499995</v>
      </c>
      <c r="AC121" s="102">
        <v>5563.0343929800001</v>
      </c>
      <c r="AD121" s="102">
        <v>8040.7051193899997</v>
      </c>
      <c r="AE121" s="102">
        <v>8214.1276128299996</v>
      </c>
      <c r="AF121" s="102">
        <v>8967.803961919999</v>
      </c>
      <c r="AG121" s="102">
        <v>9365.6960775999996</v>
      </c>
      <c r="AH121" s="102">
        <v>10172.10853014</v>
      </c>
      <c r="AI121" s="102">
        <v>9238.2209437999991</v>
      </c>
      <c r="AJ121" s="102">
        <v>9618.2737528100006</v>
      </c>
      <c r="AK121" s="102">
        <v>9797.9620982600009</v>
      </c>
      <c r="AL121" s="102">
        <v>11261.438907220001</v>
      </c>
      <c r="AM121" s="102">
        <v>11468.079880879999</v>
      </c>
      <c r="AN121" s="145">
        <v>10590.56282719</v>
      </c>
      <c r="AO121" s="102">
        <v>10003.964494199996</v>
      </c>
      <c r="AP121" s="145">
        <v>10238.805029649995</v>
      </c>
      <c r="AQ121" s="220">
        <v>8765.4291857499957</v>
      </c>
      <c r="AR121" s="220">
        <v>9008.417232189995</v>
      </c>
      <c r="AS121" s="102">
        <v>9094.191274189996</v>
      </c>
      <c r="AT121" s="102">
        <v>8145.3826104699965</v>
      </c>
      <c r="AU121" s="102">
        <v>7388.4260260299961</v>
      </c>
      <c r="AV121" s="102">
        <v>7856.3505714199946</v>
      </c>
      <c r="AW121" s="102">
        <v>8418.114131149996</v>
      </c>
      <c r="AX121" s="102">
        <v>7868.2770665699954</v>
      </c>
      <c r="AY121" s="102">
        <v>7281.1650898099961</v>
      </c>
      <c r="AZ121" s="102">
        <v>5721.5446691199995</v>
      </c>
      <c r="BA121" s="102">
        <v>5487.9988496000005</v>
      </c>
      <c r="BB121" s="102">
        <v>4536.2517270200005</v>
      </c>
      <c r="BC121" s="102">
        <v>3565.9019378000003</v>
      </c>
      <c r="BD121" s="102">
        <v>2291.3572047899997</v>
      </c>
      <c r="BE121" s="102">
        <v>2708.6055580700004</v>
      </c>
      <c r="BF121" s="102">
        <v>2821.0402659599999</v>
      </c>
      <c r="BG121" s="102">
        <v>3042.87539539</v>
      </c>
      <c r="BH121" s="102">
        <v>3164.8790985800001</v>
      </c>
      <c r="BI121" s="102">
        <v>3044.4457773600002</v>
      </c>
      <c r="BJ121" s="102">
        <v>3217.32775821</v>
      </c>
      <c r="BK121" s="102">
        <v>4084.0245523000003</v>
      </c>
      <c r="BL121" s="145">
        <f>4518003804/1000000</f>
        <v>4518.0038039999999</v>
      </c>
      <c r="BM121" s="974">
        <v>5076.9742614699999</v>
      </c>
      <c r="BN121" s="102">
        <v>4986.79372478</v>
      </c>
      <c r="BO121" s="102">
        <v>5697.2037338800001</v>
      </c>
      <c r="BP121" s="102">
        <v>6229.4049512900001</v>
      </c>
      <c r="BQ121" s="102">
        <v>5160.25775247</v>
      </c>
      <c r="BR121" s="102">
        <v>5073.2950695899999</v>
      </c>
      <c r="BS121" s="102">
        <v>5419.2737052600005</v>
      </c>
      <c r="BT121" s="102">
        <v>5720.36802343</v>
      </c>
      <c r="BU121" s="102">
        <v>5717.1379273599996</v>
      </c>
      <c r="BV121" s="102">
        <v>5148.0485945500004</v>
      </c>
      <c r="BW121" s="102">
        <v>5280.34707875</v>
      </c>
      <c r="BX121" s="102">
        <v>3946.1515562899999</v>
      </c>
      <c r="BY121" s="102">
        <v>4248.3964593800001</v>
      </c>
      <c r="BZ121" s="102">
        <v>3726.6941283299998</v>
      </c>
      <c r="CA121" s="102">
        <v>3655.58108494</v>
      </c>
      <c r="CB121" s="102">
        <v>3057.4324677300001</v>
      </c>
      <c r="CC121" s="102">
        <v>2265.4083443699997</v>
      </c>
      <c r="CD121" s="102">
        <v>2580.43229393</v>
      </c>
      <c r="CE121" s="102">
        <v>2811.6788261500001</v>
      </c>
      <c r="CF121" s="102">
        <v>2759.1834644999999</v>
      </c>
      <c r="CG121" s="102">
        <v>3323.56790533</v>
      </c>
      <c r="CH121" s="102">
        <v>4284.3490730900003</v>
      </c>
      <c r="CI121" s="102">
        <v>4802.0423079600005</v>
      </c>
      <c r="CJ121" s="102">
        <v>4555.0173417400001</v>
      </c>
      <c r="CK121" s="102">
        <v>5317.7827622200002</v>
      </c>
      <c r="CL121" s="102">
        <v>4391.0410438500003</v>
      </c>
      <c r="CM121" s="102">
        <v>4589.7167035299999</v>
      </c>
      <c r="CN121" s="102">
        <v>4853.7180665799997</v>
      </c>
      <c r="CO121" s="102">
        <v>4472.9924034799997</v>
      </c>
      <c r="CP121" s="102">
        <v>4012.5795244899996</v>
      </c>
      <c r="CQ121" s="102">
        <v>4448.9908751599996</v>
      </c>
      <c r="CR121" s="102">
        <v>3909.8291210000002</v>
      </c>
      <c r="CS121" s="102">
        <v>3962.79654033</v>
      </c>
      <c r="CT121" s="102">
        <v>5224.5948767700002</v>
      </c>
      <c r="CU121" s="102">
        <v>5293.5366442900004</v>
      </c>
      <c r="CV121" s="102">
        <v>4497.4228453100004</v>
      </c>
      <c r="CW121" s="102">
        <v>4541.1355704200005</v>
      </c>
      <c r="CX121" s="102">
        <v>5227.9952890499999</v>
      </c>
      <c r="CY121" s="102">
        <v>6756.4350556600002</v>
      </c>
      <c r="CZ121" s="102">
        <v>4090.7031060599998</v>
      </c>
      <c r="DA121" s="102">
        <v>2476.4105308799999</v>
      </c>
      <c r="DB121" s="102">
        <v>1247.5072238</v>
      </c>
      <c r="DC121" s="102">
        <v>1067.40177296</v>
      </c>
      <c r="DD121" s="102">
        <v>2064.59586674</v>
      </c>
      <c r="DE121" s="102">
        <v>2886.3800116799998</v>
      </c>
      <c r="DF121" s="102">
        <v>3168.24797678</v>
      </c>
      <c r="DG121" s="102">
        <v>3112.22843448</v>
      </c>
      <c r="DH121" s="102">
        <v>2589.6019576599997</v>
      </c>
      <c r="DI121" s="102">
        <v>2841.80095188</v>
      </c>
      <c r="DJ121" s="102">
        <v>2207.6406144000002</v>
      </c>
      <c r="DK121" s="102">
        <v>2264.8745140999999</v>
      </c>
      <c r="DL121" s="102">
        <v>2978.1760111100002</v>
      </c>
      <c r="DM121" s="102">
        <v>3476.8896185999997</v>
      </c>
      <c r="DN121" s="102">
        <v>3325.51807689</v>
      </c>
      <c r="DO121" s="102">
        <v>3440.2024999200003</v>
      </c>
      <c r="DP121" s="102">
        <v>3665.2389940399999</v>
      </c>
      <c r="DQ121" s="940">
        <v>3523.4294188000003</v>
      </c>
      <c r="DR121" s="940">
        <v>3161.4113313100002</v>
      </c>
      <c r="DS121" s="940">
        <v>3841.0835113799999</v>
      </c>
      <c r="DT121" s="940">
        <v>4112.5312060900005</v>
      </c>
      <c r="DU121" s="940">
        <v>5158.1693242700003</v>
      </c>
      <c r="DV121" s="940">
        <v>3866.8219436999998</v>
      </c>
      <c r="DW121" s="940">
        <v>3439.4621602699999</v>
      </c>
      <c r="DX121" s="940">
        <v>3830.21537777</v>
      </c>
      <c r="DY121" s="940">
        <v>3213.9819553100001</v>
      </c>
      <c r="DZ121" s="940">
        <v>3253.2337008300001</v>
      </c>
      <c r="EA121" s="940">
        <v>4309.1598064399996</v>
      </c>
      <c r="EB121" s="940">
        <v>4287.6448886500002</v>
      </c>
      <c r="EC121" s="940">
        <v>5690.9493331099993</v>
      </c>
      <c r="ED121" s="940">
        <v>7162.98457358</v>
      </c>
      <c r="EE121" s="940">
        <v>8848.3193218799988</v>
      </c>
      <c r="EF121" s="940">
        <v>8241.4661028299997</v>
      </c>
      <c r="EH121" s="1083">
        <v>4541.1355704200005</v>
      </c>
      <c r="EI121" s="1083">
        <v>5227.9952890499999</v>
      </c>
      <c r="EJ121" s="1083">
        <v>6756.4350556600002</v>
      </c>
      <c r="EK121" s="1083">
        <v>4090.7031060599993</v>
      </c>
      <c r="EL121" s="1083">
        <v>2476.4105308799999</v>
      </c>
      <c r="EM121" s="1083">
        <v>1247.5072238</v>
      </c>
      <c r="EN121" s="1083">
        <v>1022.76606580264</v>
      </c>
      <c r="EO121" s="1083">
        <v>1436.8288877734399</v>
      </c>
      <c r="EP121" s="1083">
        <v>1531.9940544676399</v>
      </c>
      <c r="EQ121" s="1083">
        <v>1438.97334119844</v>
      </c>
      <c r="ER121" s="1083">
        <v>1433.80291239544</v>
      </c>
      <c r="ES121" s="1083">
        <v>1406.1084763751001</v>
      </c>
      <c r="EU121" s="102">
        <v>9719.0058211423984</v>
      </c>
      <c r="EV121" s="102">
        <v>9612.4566687287443</v>
      </c>
      <c r="EW121" s="102">
        <v>8160.5050137726839</v>
      </c>
      <c r="EX121" s="102">
        <v>6710.5175940379559</v>
      </c>
      <c r="EY121" s="102">
        <v>7390.7593677254008</v>
      </c>
      <c r="EZ121" s="102">
        <v>8344.471954871</v>
      </c>
      <c r="FA121" s="102">
        <v>9551.3768010810018</v>
      </c>
      <c r="FB121" s="102">
        <v>12145.042882611</v>
      </c>
      <c r="FC121" s="102">
        <v>12060.0112849202</v>
      </c>
      <c r="FD121" s="102">
        <v>12328.179426040198</v>
      </c>
      <c r="FE121" s="102">
        <v>11848.397350880199</v>
      </c>
      <c r="FF121" s="102">
        <v>12728.40772667278</v>
      </c>
      <c r="FG121" s="102">
        <v>5302.2601491297119</v>
      </c>
      <c r="FH121" s="102">
        <v>4575.4799651540125</v>
      </c>
      <c r="FI121" s="102">
        <v>4170.3362857746151</v>
      </c>
      <c r="FJ121" s="102">
        <v>4327.3854464137685</v>
      </c>
      <c r="FK121" s="102">
        <v>4303.3246688174295</v>
      </c>
      <c r="FL121" s="102">
        <v>4837.0921614264334</v>
      </c>
      <c r="FM121" s="102">
        <v>5326.0112420348896</v>
      </c>
      <c r="FN121" s="102">
        <v>5711.4736604836153</v>
      </c>
      <c r="FO121" s="102">
        <v>6508.2723503216093</v>
      </c>
      <c r="FP121" s="102">
        <v>7303.9142311864744</v>
      </c>
      <c r="FQ121" s="102">
        <v>7362.7234950689817</v>
      </c>
      <c r="FR121" s="102">
        <v>6881.3559004024037</v>
      </c>
      <c r="FS121" s="102">
        <v>4516.6799609995205</v>
      </c>
      <c r="FT121" s="102">
        <v>4337.0576565995198</v>
      </c>
      <c r="FU121" s="102">
        <v>4462.0603984480704</v>
      </c>
      <c r="FV121" s="102">
        <v>3383.9712598465699</v>
      </c>
      <c r="FW121" s="102">
        <v>3378.03110349297</v>
      </c>
      <c r="FX121" s="102">
        <v>3081.1341109520704</v>
      </c>
      <c r="FY121" s="102">
        <v>2975.5084961647703</v>
      </c>
      <c r="FZ121" s="102">
        <v>2766.0861023071698</v>
      </c>
      <c r="GA121" s="102">
        <v>2259.5173503861697</v>
      </c>
      <c r="GB121" s="102">
        <v>1989.1095267861699</v>
      </c>
      <c r="GC121" s="102">
        <v>1968.40308878617</v>
      </c>
      <c r="GD121" s="102">
        <v>1950.1623307861701</v>
      </c>
      <c r="GE121" s="102">
        <v>0</v>
      </c>
      <c r="GF121" s="102">
        <v>0</v>
      </c>
      <c r="GG121" s="102">
        <v>0</v>
      </c>
      <c r="GH121" s="102">
        <v>0</v>
      </c>
      <c r="GI121" s="102">
        <v>0</v>
      </c>
      <c r="GJ121" s="102">
        <v>0</v>
      </c>
      <c r="GK121" s="102">
        <v>0</v>
      </c>
      <c r="GL121" s="102">
        <v>0</v>
      </c>
      <c r="GM121" s="102">
        <v>0</v>
      </c>
      <c r="GN121" s="102">
        <v>0</v>
      </c>
      <c r="GO121" s="102">
        <v>0</v>
      </c>
      <c r="GP121" s="102">
        <v>0</v>
      </c>
      <c r="GQ121" s="102">
        <v>0</v>
      </c>
      <c r="GR121" s="102">
        <v>0</v>
      </c>
      <c r="GS121" s="102">
        <v>0</v>
      </c>
      <c r="GT121" s="102">
        <v>0</v>
      </c>
      <c r="GU121" s="102">
        <v>0</v>
      </c>
      <c r="GV121" s="102">
        <v>0</v>
      </c>
      <c r="GW121" s="102">
        <v>0</v>
      </c>
      <c r="GX121" s="102">
        <v>0</v>
      </c>
      <c r="GY121" s="102">
        <v>0</v>
      </c>
      <c r="GZ121" s="102">
        <v>0</v>
      </c>
      <c r="HA121" s="102">
        <v>0</v>
      </c>
      <c r="HB121" s="102">
        <v>0</v>
      </c>
      <c r="HD121" s="102">
        <f t="shared" ref="HD121:HG135" si="743">+SUMIFS($E121:$AZ121,$E$6:$AZ$6,HD$7,$E$5:$AZ$5,12)</f>
        <v>4800.9107446899998</v>
      </c>
      <c r="HE121" s="102">
        <f t="shared" si="743"/>
        <v>6206.8621487499995</v>
      </c>
      <c r="HF121" s="102">
        <f t="shared" si="743"/>
        <v>10590.56282719</v>
      </c>
      <c r="HG121" s="102">
        <f t="shared" si="743"/>
        <v>5721.5446691199995</v>
      </c>
      <c r="HH121" s="102">
        <f t="shared" ref="HH121:HH135" si="744">+SUMIFS($E121:$BL121,$E$6:$BL$6,HH$7,$E$5:$BL$5,12)</f>
        <v>4518.0038039999999</v>
      </c>
      <c r="HI121" s="102">
        <f t="shared" si="695"/>
        <v>3946.1515562899999</v>
      </c>
      <c r="HJ121" s="102">
        <f t="shared" si="696"/>
        <v>4555.0173417400001</v>
      </c>
      <c r="HK121" s="102">
        <f t="shared" si="697"/>
        <v>4497.4228453100004</v>
      </c>
      <c r="HL121" s="940">
        <f>+SUMIFS($E121:SEW121,$E$6:SEW$6,HL$7,$E$5:SEW$5,12)</f>
        <v>2589.6019576599997</v>
      </c>
      <c r="HM121" s="940">
        <f>+SUMIFS($E121:SEX121,$E$6:SEX$6,HM$7,$E$5:SEX$5,12)</f>
        <v>4112.5312060900005</v>
      </c>
      <c r="HN121" s="940">
        <f>+SUMIFS($E121:SEY121,$E$6:SEY$6,HN$7,$E$5:SEY$5,12)</f>
        <v>8241.4661028299997</v>
      </c>
      <c r="HO121" s="102"/>
      <c r="HP121" s="102"/>
      <c r="HR121" s="929">
        <f t="shared" ref="HR121:HR135" si="745">+IFERROR(HF121/HE121-1,"")</f>
        <v>0.70626680170798295</v>
      </c>
      <c r="HS121" s="929">
        <f t="shared" ref="HS121:HS135" si="746">+IFERROR(HG121/HF121-1,"")</f>
        <v>-0.45975065136003734</v>
      </c>
      <c r="HT121" s="929">
        <f t="shared" ref="HT121:HT135" si="747">+IFERROR(HH121/HG121-1,"")</f>
        <v>-0.21035243709896789</v>
      </c>
      <c r="HU121" s="929">
        <f t="shared" si="738"/>
        <v>-0.12657188274248743</v>
      </c>
      <c r="HV121" s="929">
        <f t="shared" si="739"/>
        <v>0.15429356342877742</v>
      </c>
      <c r="HW121" s="929">
        <f t="shared" si="740"/>
        <v>-1.2644188179533611E-2</v>
      </c>
      <c r="HX121" s="929">
        <f t="shared" si="741"/>
        <v>-0.4242031388352806</v>
      </c>
      <c r="HY121" s="929">
        <f t="shared" si="741"/>
        <v>0.58809395163036604</v>
      </c>
      <c r="HZ121" s="929">
        <f t="shared" si="741"/>
        <v>1.0039887091010296</v>
      </c>
      <c r="IA121" s="929">
        <f t="shared" si="604"/>
        <v>-1</v>
      </c>
      <c r="IB121" s="929" t="str">
        <f t="shared" ref="IB121:IB135" si="748">+IFERROR(HP121/HO121-1,"")</f>
        <v/>
      </c>
      <c r="IC121" s="929">
        <f t="shared" si="605"/>
        <v>-1</v>
      </c>
      <c r="IE121" s="102">
        <f t="shared" ref="IE121:IE135" si="749">+HF121-HE121</f>
        <v>4383.700678440001</v>
      </c>
      <c r="IF121" s="102">
        <f t="shared" ref="IF121:IF135" si="750">+HG121-HF121</f>
        <v>-4869.0181580700009</v>
      </c>
      <c r="IG121" s="102">
        <f t="shared" ref="IG121:IG135" si="751">+HH121-HG121</f>
        <v>-1203.5408651199996</v>
      </c>
      <c r="IH121" s="102">
        <f t="shared" si="742"/>
        <v>-571.85224771000003</v>
      </c>
      <c r="II121" s="102">
        <f t="shared" si="619"/>
        <v>608.8657854500002</v>
      </c>
      <c r="IJ121" s="102">
        <f t="shared" si="620"/>
        <v>-57.594496429999708</v>
      </c>
      <c r="IK121" s="102">
        <f t="shared" si="621"/>
        <v>-1907.8208876500007</v>
      </c>
      <c r="IL121" s="102">
        <f t="shared" si="607"/>
        <v>-2589.6019576599997</v>
      </c>
      <c r="IM121" s="102">
        <f t="shared" ref="IM121:IM135" si="752">+HP121-HO121</f>
        <v>0</v>
      </c>
      <c r="IN121" s="102">
        <f t="shared" si="608"/>
        <v>-2589.6019576599997</v>
      </c>
      <c r="IP121" s="973"/>
      <c r="IQ121" s="973"/>
      <c r="IR121" s="973"/>
      <c r="IS121" s="973"/>
      <c r="IT121" s="973"/>
      <c r="IU121" s="973"/>
      <c r="IV121" s="973"/>
      <c r="IW121" s="973"/>
      <c r="IX121" s="973"/>
      <c r="IY121" s="973"/>
      <c r="JA121" s="102">
        <f t="shared" si="727"/>
        <v>4800.9107446899998</v>
      </c>
      <c r="JB121" s="102">
        <f t="shared" si="727"/>
        <v>6206.8621487499995</v>
      </c>
      <c r="JC121" s="102">
        <f t="shared" si="727"/>
        <v>10590.56282719</v>
      </c>
      <c r="JD121" s="102">
        <f t="shared" si="727"/>
        <v>5721.5446691199995</v>
      </c>
      <c r="JE121" s="102">
        <f t="shared" si="727"/>
        <v>4518.0038039999999</v>
      </c>
      <c r="JF121" s="102">
        <f t="shared" si="727"/>
        <v>3946.1515562899999</v>
      </c>
      <c r="JG121" s="102">
        <f t="shared" si="727"/>
        <v>4555.0173417400001</v>
      </c>
      <c r="JH121" s="102">
        <f t="shared" si="727"/>
        <v>4497.4228453100004</v>
      </c>
      <c r="JI121" s="102">
        <f t="shared" si="727"/>
        <v>2589.6019576599997</v>
      </c>
      <c r="JJ121" s="102">
        <f t="shared" si="727"/>
        <v>4112.5312060900005</v>
      </c>
      <c r="JK121" s="102">
        <f t="shared" si="727"/>
        <v>8241.4661028299997</v>
      </c>
      <c r="JL121" s="102">
        <f t="shared" si="728"/>
        <v>8241.4661028299997</v>
      </c>
      <c r="JM121" s="102"/>
      <c r="JN121" s="102"/>
      <c r="JP121" s="102">
        <f t="shared" si="701"/>
        <v>0</v>
      </c>
      <c r="JQ121" s="102">
        <f t="shared" si="702"/>
        <v>0</v>
      </c>
      <c r="JR121" s="145"/>
      <c r="JS121" s="929" t="str">
        <f t="shared" ref="JS121:JS135" si="753">+IFERROR(JP121/JQ121,"NA")</f>
        <v>NA</v>
      </c>
      <c r="JT121" s="930">
        <f t="shared" ref="JT121:JT135" si="754">+IFERROR(JP121-JQ121,"NA")</f>
        <v>0</v>
      </c>
      <c r="JV121" s="973"/>
      <c r="JW121" s="973"/>
      <c r="JY121" s="929">
        <f t="shared" si="729"/>
        <v>0.70626680170798295</v>
      </c>
      <c r="JZ121" s="929">
        <f t="shared" si="730"/>
        <v>-0.45975065136003734</v>
      </c>
      <c r="KA121" s="929">
        <f t="shared" si="731"/>
        <v>-0.21035243709896789</v>
      </c>
      <c r="KB121" s="929">
        <f t="shared" si="732"/>
        <v>-0.12657188274248743</v>
      </c>
      <c r="KC121" s="929">
        <f t="shared" si="733"/>
        <v>0.15429356342877742</v>
      </c>
      <c r="KD121" s="929">
        <f t="shared" si="734"/>
        <v>-1.2644188179533611E-2</v>
      </c>
      <c r="KE121" s="929">
        <f t="shared" si="735"/>
        <v>-0.4242031388352806</v>
      </c>
      <c r="KF121" s="929">
        <f t="shared" si="736"/>
        <v>-1</v>
      </c>
      <c r="KH121" s="102">
        <f t="shared" si="704"/>
        <v>4383.700678440001</v>
      </c>
      <c r="KI121" s="102">
        <f t="shared" si="705"/>
        <v>-4869.0181580700009</v>
      </c>
      <c r="KJ121" s="102">
        <f t="shared" si="706"/>
        <v>-1203.5408651199996</v>
      </c>
      <c r="KK121" s="102">
        <f t="shared" si="707"/>
        <v>-571.85224771000003</v>
      </c>
      <c r="KL121" s="102">
        <f t="shared" si="708"/>
        <v>608.8657854500002</v>
      </c>
      <c r="KM121" s="102">
        <f t="shared" si="709"/>
        <v>-57.594496429999708</v>
      </c>
      <c r="KN121" s="102">
        <f t="shared" si="710"/>
        <v>-1907.8208876500007</v>
      </c>
      <c r="KO121" s="102">
        <f t="shared" si="711"/>
        <v>-2589.6019576599997</v>
      </c>
      <c r="KQ121" s="973"/>
      <c r="KR121" s="973"/>
      <c r="KS121" s="973"/>
      <c r="KT121" s="973"/>
      <c r="KU121" s="973"/>
      <c r="KV121" s="973"/>
      <c r="KW121" s="973"/>
      <c r="KX121" s="973"/>
      <c r="KY121" s="973"/>
      <c r="KZ121" s="973"/>
      <c r="LB121" s="102">
        <f t="shared" si="737"/>
        <v>4800.9107446899998</v>
      </c>
      <c r="LC121" s="102">
        <f t="shared" si="737"/>
        <v>6206.8621487499995</v>
      </c>
      <c r="LD121" s="102">
        <f t="shared" si="737"/>
        <v>10590.56282719</v>
      </c>
      <c r="LE121" s="102">
        <f t="shared" si="737"/>
        <v>5721.5446691199995</v>
      </c>
      <c r="LF121" s="102">
        <f t="shared" si="737"/>
        <v>4518.0038039999999</v>
      </c>
      <c r="LG121" s="102">
        <f t="shared" si="737"/>
        <v>3946.1515562899999</v>
      </c>
      <c r="LH121" s="102">
        <f t="shared" si="737"/>
        <v>4555.0173417400001</v>
      </c>
      <c r="LI121" s="102">
        <f t="shared" si="737"/>
        <v>4497.4228453100004</v>
      </c>
      <c r="LJ121" s="102">
        <f t="shared" si="737"/>
        <v>2589.6019576599997</v>
      </c>
      <c r="LK121" s="102">
        <f t="shared" si="737"/>
        <v>4112.5312060900005</v>
      </c>
      <c r="LL121" s="102">
        <f t="shared" si="737"/>
        <v>8241.4661028299997</v>
      </c>
      <c r="LM121" s="102">
        <f t="shared" si="712"/>
        <v>8241.4661028299997</v>
      </c>
      <c r="LN121" s="102"/>
      <c r="LO121" s="102"/>
      <c r="LR121" s="32">
        <f t="shared" si="713"/>
        <v>0.70626680170798295</v>
      </c>
      <c r="LS121" s="32">
        <f t="shared" si="714"/>
        <v>-0.45975065136003734</v>
      </c>
      <c r="LT121" s="32">
        <f t="shared" si="715"/>
        <v>-0.21035243709896789</v>
      </c>
      <c r="LU121" s="32">
        <f t="shared" si="716"/>
        <v>-0.12657188274248743</v>
      </c>
      <c r="LV121" s="32">
        <f t="shared" si="717"/>
        <v>0.15429356342877742</v>
      </c>
      <c r="LW121" s="32">
        <f t="shared" si="718"/>
        <v>-1.2644188179533611E-2</v>
      </c>
      <c r="LX121" s="32">
        <f t="shared" si="719"/>
        <v>-1</v>
      </c>
      <c r="LZ121" s="102">
        <f t="shared" si="720"/>
        <v>4383.700678440001</v>
      </c>
      <c r="MA121" s="102">
        <f t="shared" si="721"/>
        <v>-4869.0181580700009</v>
      </c>
      <c r="MB121" s="102">
        <f t="shared" si="722"/>
        <v>-1203.5408651199996</v>
      </c>
      <c r="MC121" s="102">
        <f t="shared" si="723"/>
        <v>-571.85224771000003</v>
      </c>
      <c r="MD121" s="102">
        <f t="shared" si="724"/>
        <v>608.8657854500002</v>
      </c>
      <c r="ME121" s="102">
        <f t="shared" si="725"/>
        <v>-57.594496429999708</v>
      </c>
      <c r="MF121" s="102">
        <f t="shared" si="726"/>
        <v>-4497.4228453100004</v>
      </c>
      <c r="MH121" s="973"/>
      <c r="MI121" s="973"/>
      <c r="MJ121" s="973"/>
      <c r="MK121" s="973"/>
      <c r="ML121" s="973"/>
      <c r="MM121" s="973"/>
      <c r="MN121" s="973"/>
      <c r="MO121" s="973"/>
      <c r="MP121" s="973"/>
    </row>
    <row r="122" spans="1:354" outlineLevel="1">
      <c r="A122" s="884">
        <v>1355</v>
      </c>
      <c r="B122" s="70" t="s">
        <v>687</v>
      </c>
      <c r="C122" s="17" t="s">
        <v>68</v>
      </c>
      <c r="D122" s="31" t="s">
        <v>59</v>
      </c>
      <c r="E122" s="102">
        <v>1393.6941153399998</v>
      </c>
      <c r="F122" s="102">
        <v>1622.02863744</v>
      </c>
      <c r="G122" s="102">
        <v>2039.6693314700001</v>
      </c>
      <c r="H122" s="102">
        <v>2139.0714290199999</v>
      </c>
      <c r="I122" s="102">
        <v>2677.1744742699998</v>
      </c>
      <c r="J122" s="102">
        <v>2735.3793700799997</v>
      </c>
      <c r="K122" s="102">
        <v>3241.0112218099998</v>
      </c>
      <c r="L122" s="102">
        <v>3450.8815873000003</v>
      </c>
      <c r="M122" s="102">
        <v>4017.2190828100001</v>
      </c>
      <c r="N122" s="102">
        <v>2848.3930006300002</v>
      </c>
      <c r="O122" s="102">
        <v>3496.9049360900003</v>
      </c>
      <c r="P122" s="102">
        <v>3463.3354494200003</v>
      </c>
      <c r="Q122" s="102">
        <v>3743.3620481299999</v>
      </c>
      <c r="R122" s="102">
        <v>4071.15157838</v>
      </c>
      <c r="S122" s="102">
        <v>4329.1201257600005</v>
      </c>
      <c r="T122" s="102">
        <v>1655.6230355199998</v>
      </c>
      <c r="U122" s="102">
        <v>2152.7592133799999</v>
      </c>
      <c r="V122" s="102">
        <v>2520.5635277000001</v>
      </c>
      <c r="W122" s="102">
        <v>2901.0007309900002</v>
      </c>
      <c r="X122" s="102">
        <v>3283.5746485099999</v>
      </c>
      <c r="Y122" s="102">
        <v>3432.1488891300005</v>
      </c>
      <c r="Z122" s="102">
        <v>3640.2294846600003</v>
      </c>
      <c r="AA122" s="102">
        <v>4376.9061982100002</v>
      </c>
      <c r="AB122" s="102">
        <v>4657.64484705</v>
      </c>
      <c r="AC122" s="102">
        <v>4874.1045209599988</v>
      </c>
      <c r="AD122" s="102">
        <v>5117.6895237900007</v>
      </c>
      <c r="AE122" s="102">
        <v>5360.9241598399994</v>
      </c>
      <c r="AF122" s="102">
        <v>2452.3202737000001</v>
      </c>
      <c r="AG122" s="102">
        <v>2783.6199949000002</v>
      </c>
      <c r="AH122" s="102">
        <v>3074.1638925100001</v>
      </c>
      <c r="AI122" s="102">
        <v>3495.0235343500003</v>
      </c>
      <c r="AJ122" s="102">
        <v>3849.7287700300003</v>
      </c>
      <c r="AK122" s="102">
        <v>4169.60555527</v>
      </c>
      <c r="AL122" s="102">
        <v>4620.8181851800009</v>
      </c>
      <c r="AM122" s="102">
        <v>5503.9397839700005</v>
      </c>
      <c r="AN122" s="145">
        <v>5112.3382132200004</v>
      </c>
      <c r="AO122" s="102">
        <v>5462.2077361299998</v>
      </c>
      <c r="AP122" s="145">
        <v>5525.4478799099998</v>
      </c>
      <c r="AQ122" s="220">
        <v>5622.9918753800002</v>
      </c>
      <c r="AR122" s="220">
        <v>1875.2280516199999</v>
      </c>
      <c r="AS122" s="102">
        <v>2112.5590946800003</v>
      </c>
      <c r="AT122" s="102">
        <v>2345.4523824399998</v>
      </c>
      <c r="AU122" s="102">
        <v>2633.1506781599996</v>
      </c>
      <c r="AV122" s="102">
        <v>2757.99602026</v>
      </c>
      <c r="AW122" s="102">
        <v>3070.6446376700001</v>
      </c>
      <c r="AX122" s="102">
        <v>3236.7197628399999</v>
      </c>
      <c r="AY122" s="102">
        <v>3406.4254587300002</v>
      </c>
      <c r="AZ122" s="102">
        <v>3277.0963567700001</v>
      </c>
      <c r="BA122" s="102">
        <v>3380.0259697600004</v>
      </c>
      <c r="BB122" s="102">
        <v>3493.9336214299997</v>
      </c>
      <c r="BC122" s="102">
        <v>3591.50431622</v>
      </c>
      <c r="BD122" s="102">
        <v>3366.9279758400003</v>
      </c>
      <c r="BE122" s="102">
        <v>2966.8272175900001</v>
      </c>
      <c r="BF122" s="102">
        <v>3010.68039636</v>
      </c>
      <c r="BG122" s="102">
        <v>3051.7151743200002</v>
      </c>
      <c r="BH122" s="102">
        <v>3111.9645305599997</v>
      </c>
      <c r="BI122" s="102">
        <v>3125.1007016799999</v>
      </c>
      <c r="BJ122" s="102">
        <v>3187.0953802399999</v>
      </c>
      <c r="BK122" s="102">
        <v>1547.1972502399999</v>
      </c>
      <c r="BL122" s="145">
        <v>1528</v>
      </c>
      <c r="BM122" s="974">
        <v>1686.7131156600001</v>
      </c>
      <c r="BN122" s="102">
        <v>1875.3934862200001</v>
      </c>
      <c r="BO122" s="102">
        <v>1201.10572742</v>
      </c>
      <c r="BP122" s="102">
        <v>1304.3772022999999</v>
      </c>
      <c r="BQ122" s="102">
        <v>1469.3492173499999</v>
      </c>
      <c r="BR122" s="102">
        <v>1521.60070531</v>
      </c>
      <c r="BS122" s="102">
        <v>1658.6807122600001</v>
      </c>
      <c r="BT122" s="102">
        <v>1141.71254561</v>
      </c>
      <c r="BU122" s="102">
        <v>1370.42826519</v>
      </c>
      <c r="BV122" s="102">
        <v>1529.87463458</v>
      </c>
      <c r="BW122" s="102">
        <v>1616.0804916900001</v>
      </c>
      <c r="BX122" s="102">
        <v>1657.90942002</v>
      </c>
      <c r="BY122" s="102">
        <v>1814.36986944</v>
      </c>
      <c r="BZ122" s="102">
        <v>1878.1835793800001</v>
      </c>
      <c r="CA122" s="102">
        <v>2064.0804014800001</v>
      </c>
      <c r="CB122" s="102">
        <v>2129.4623014500003</v>
      </c>
      <c r="CC122" s="102">
        <v>2181.5014277499999</v>
      </c>
      <c r="CD122" s="102">
        <v>2297.3449309499997</v>
      </c>
      <c r="CE122" s="102">
        <v>873.40519460999997</v>
      </c>
      <c r="CF122" s="102">
        <v>1000.44439698</v>
      </c>
      <c r="CG122" s="102">
        <v>1085.80006314</v>
      </c>
      <c r="CH122" s="102">
        <v>1253.4194646300002</v>
      </c>
      <c r="CI122" s="102">
        <v>1393.0190930699998</v>
      </c>
      <c r="CJ122" s="102">
        <v>1594.9852257299999</v>
      </c>
      <c r="CK122" s="102">
        <v>1716.2967687600001</v>
      </c>
      <c r="CL122" s="102">
        <v>2010.9983860299999</v>
      </c>
      <c r="CM122" s="102">
        <v>2202.3030680799998</v>
      </c>
      <c r="CN122" s="102">
        <v>2321.04801731</v>
      </c>
      <c r="CO122" s="102">
        <v>2639.28874455</v>
      </c>
      <c r="CP122" s="102">
        <v>2721.40378629</v>
      </c>
      <c r="CQ122" s="102">
        <v>1546.4220563800002</v>
      </c>
      <c r="CR122" s="102">
        <v>1887.79227302</v>
      </c>
      <c r="CS122" s="102">
        <v>2047.8943629400001</v>
      </c>
      <c r="CT122" s="102">
        <v>2407.8592032500001</v>
      </c>
      <c r="CU122" s="102">
        <v>2778.7185142800004</v>
      </c>
      <c r="CV122" s="102">
        <v>2910.1309270500001</v>
      </c>
      <c r="CW122" s="102">
        <v>3135.7478959200002</v>
      </c>
      <c r="CX122" s="102">
        <v>3244.4692848300001</v>
      </c>
      <c r="CY122" s="102">
        <v>3495.3666040100002</v>
      </c>
      <c r="CZ122" s="102">
        <v>3631.20294401</v>
      </c>
      <c r="DA122" s="102">
        <v>3802.8034295700004</v>
      </c>
      <c r="DB122" s="102">
        <v>1184.6300422899999</v>
      </c>
      <c r="DC122" s="102">
        <v>1190.3229706500001</v>
      </c>
      <c r="DD122" s="102">
        <v>1238.1917171600001</v>
      </c>
      <c r="DE122" s="102">
        <v>1411.5205631199999</v>
      </c>
      <c r="DF122" s="102">
        <v>1504.19977191</v>
      </c>
      <c r="DG122" s="102">
        <v>1761.3485905699999</v>
      </c>
      <c r="DH122" s="102">
        <v>1870.0387588699998</v>
      </c>
      <c r="DI122" s="102">
        <v>2095.04224841</v>
      </c>
      <c r="DJ122" s="102">
        <v>2168.7111764299998</v>
      </c>
      <c r="DK122" s="102">
        <v>2194.8912845100003</v>
      </c>
      <c r="DL122" s="102">
        <v>2319.6930333999999</v>
      </c>
      <c r="DM122" s="102">
        <v>2473.02554973</v>
      </c>
      <c r="DN122" s="102">
        <v>2622.72171248</v>
      </c>
      <c r="DO122" s="102">
        <v>2821.19033214</v>
      </c>
      <c r="DP122" s="102">
        <v>2965.9854473200003</v>
      </c>
      <c r="DQ122" s="940">
        <v>1642.44370882</v>
      </c>
      <c r="DR122" s="940">
        <v>1730.75773035</v>
      </c>
      <c r="DS122" s="940">
        <v>1910.9422622100001</v>
      </c>
      <c r="DT122" s="940">
        <v>1910.29391154</v>
      </c>
      <c r="DU122" s="940">
        <v>2341.6558446899999</v>
      </c>
      <c r="DV122" s="940">
        <v>2509.3065709299999</v>
      </c>
      <c r="DW122" s="940">
        <v>2648.9742012800002</v>
      </c>
      <c r="DX122" s="940">
        <v>2692.9598164499998</v>
      </c>
      <c r="DY122" s="940">
        <v>3129.9004148399999</v>
      </c>
      <c r="DZ122" s="940">
        <v>3266.1062096799997</v>
      </c>
      <c r="EA122" s="940">
        <v>1875.9157468599999</v>
      </c>
      <c r="EB122" s="940">
        <v>2247.6879140700003</v>
      </c>
      <c r="EC122" s="940">
        <v>2636.2206267500001</v>
      </c>
      <c r="ED122" s="940">
        <v>2898.20535277</v>
      </c>
      <c r="EE122" s="940">
        <v>3461.1148558800001</v>
      </c>
      <c r="EF122" s="940">
        <v>3634.91686338</v>
      </c>
      <c r="EH122" s="1083">
        <v>3135.7478959200007</v>
      </c>
      <c r="EI122" s="1083">
        <v>3244.4692848300001</v>
      </c>
      <c r="EJ122" s="1083">
        <v>3495.3666040100002</v>
      </c>
      <c r="EK122" s="1083">
        <v>3631.20294401</v>
      </c>
      <c r="EL122" s="1083">
        <v>3802.8034295700004</v>
      </c>
      <c r="EM122" s="1083">
        <v>1184.6300422899999</v>
      </c>
      <c r="EN122" s="1083">
        <v>1205.7554016656618</v>
      </c>
      <c r="EO122" s="1083">
        <v>1297.9348772435662</v>
      </c>
      <c r="EP122" s="1083">
        <v>1400.4626234508141</v>
      </c>
      <c r="EQ122" s="1083">
        <v>1477.9642358010672</v>
      </c>
      <c r="ER122" s="1083">
        <v>1543.1739336828841</v>
      </c>
      <c r="ES122" s="1083">
        <v>1609.589253858572</v>
      </c>
      <c r="EU122" s="102">
        <v>5432.2364198534005</v>
      </c>
      <c r="EV122" s="102">
        <v>4982.6985832037008</v>
      </c>
      <c r="EW122" s="102">
        <v>4920.8835433942477</v>
      </c>
      <c r="EX122" s="102">
        <v>1410.692471037496</v>
      </c>
      <c r="EY122" s="102">
        <v>1564.7342914771687</v>
      </c>
      <c r="EZ122" s="102">
        <v>1759.4141337804174</v>
      </c>
      <c r="FA122" s="102">
        <v>1887.8943011566671</v>
      </c>
      <c r="FB122" s="102">
        <v>2200.8558334599161</v>
      </c>
      <c r="FC122" s="102">
        <v>2475.3849220794659</v>
      </c>
      <c r="FD122" s="102">
        <v>2827.6727689160143</v>
      </c>
      <c r="FE122" s="102">
        <v>3007.9717504307646</v>
      </c>
      <c r="FF122" s="102">
        <v>3810.8845711231384</v>
      </c>
      <c r="FG122" s="102">
        <v>3625.5529963892382</v>
      </c>
      <c r="FH122" s="102">
        <v>3678.9099347194606</v>
      </c>
      <c r="FI122" s="102">
        <v>3784.8954321991278</v>
      </c>
      <c r="FJ122" s="102">
        <v>3919.3985822461791</v>
      </c>
      <c r="FK122" s="102">
        <v>4084.6997211961984</v>
      </c>
      <c r="FL122" s="102">
        <v>4229.4612865741901</v>
      </c>
      <c r="FM122" s="102">
        <v>4330.2309900021219</v>
      </c>
      <c r="FN122" s="102">
        <v>4469.4755789384362</v>
      </c>
      <c r="FO122" s="102">
        <v>4660.2428281211332</v>
      </c>
      <c r="FP122" s="102">
        <v>4833.4448819074878</v>
      </c>
      <c r="FQ122" s="102">
        <v>5027.9477039724952</v>
      </c>
      <c r="FR122" s="102">
        <v>5220.2037087832059</v>
      </c>
      <c r="FS122" s="102">
        <v>1784.1071315426498</v>
      </c>
      <c r="FT122" s="102">
        <v>1999.5179701860636</v>
      </c>
      <c r="FU122" s="102">
        <v>2222.3373232817635</v>
      </c>
      <c r="FV122" s="102">
        <v>2426.618994528254</v>
      </c>
      <c r="FW122" s="102">
        <v>2641.6461319039304</v>
      </c>
      <c r="FX122" s="102">
        <v>2830.4700864656625</v>
      </c>
      <c r="FY122" s="102">
        <v>3038.5492908239848</v>
      </c>
      <c r="FZ122" s="102">
        <v>3186.0134278547207</v>
      </c>
      <c r="GA122" s="102">
        <v>3295.9525562723206</v>
      </c>
      <c r="GB122" s="102">
        <v>3384.6977108723208</v>
      </c>
      <c r="GC122" s="102">
        <v>3485.258662112321</v>
      </c>
      <c r="GD122" s="102">
        <v>3578.5275721043204</v>
      </c>
      <c r="GE122" s="102">
        <v>0</v>
      </c>
      <c r="GF122" s="102">
        <v>0</v>
      </c>
      <c r="GG122" s="102">
        <v>0</v>
      </c>
      <c r="GH122" s="102">
        <v>0</v>
      </c>
      <c r="GI122" s="102">
        <v>0</v>
      </c>
      <c r="GJ122" s="102">
        <v>0</v>
      </c>
      <c r="GK122" s="102">
        <v>0</v>
      </c>
      <c r="GL122" s="102">
        <v>0</v>
      </c>
      <c r="GM122" s="102">
        <v>0</v>
      </c>
      <c r="GN122" s="102">
        <v>0</v>
      </c>
      <c r="GO122" s="102">
        <v>0</v>
      </c>
      <c r="GP122" s="102">
        <v>0</v>
      </c>
      <c r="GQ122" s="102">
        <v>0</v>
      </c>
      <c r="GR122" s="102">
        <v>0</v>
      </c>
      <c r="GS122" s="102">
        <v>0</v>
      </c>
      <c r="GT122" s="102">
        <v>0</v>
      </c>
      <c r="GU122" s="102">
        <v>0</v>
      </c>
      <c r="GV122" s="102">
        <v>0</v>
      </c>
      <c r="GW122" s="102">
        <v>0</v>
      </c>
      <c r="GX122" s="102">
        <v>0</v>
      </c>
      <c r="GY122" s="102">
        <v>0</v>
      </c>
      <c r="GZ122" s="102">
        <v>0</v>
      </c>
      <c r="HA122" s="102">
        <v>0</v>
      </c>
      <c r="HB122" s="102">
        <v>0</v>
      </c>
      <c r="HD122" s="102">
        <f t="shared" si="743"/>
        <v>3463.3354494200003</v>
      </c>
      <c r="HE122" s="102">
        <f t="shared" si="743"/>
        <v>4657.64484705</v>
      </c>
      <c r="HF122" s="102">
        <f t="shared" si="743"/>
        <v>5112.3382132200004</v>
      </c>
      <c r="HG122" s="102">
        <f t="shared" si="743"/>
        <v>3277.0963567700001</v>
      </c>
      <c r="HH122" s="102">
        <f t="shared" si="744"/>
        <v>1528</v>
      </c>
      <c r="HI122" s="102">
        <f t="shared" si="695"/>
        <v>1657.90942002</v>
      </c>
      <c r="HJ122" s="102">
        <f t="shared" si="696"/>
        <v>1594.9852257299999</v>
      </c>
      <c r="HK122" s="102">
        <f t="shared" si="697"/>
        <v>2910.1309270500001</v>
      </c>
      <c r="HL122" s="940">
        <f>+SUMIFS($E122:SEW122,$E$6:SEW$6,HL$7,$E$5:SEW$5,12)</f>
        <v>1870.0387588699998</v>
      </c>
      <c r="HM122" s="940">
        <f>+SUMIFS($E122:SEX122,$E$6:SEX$6,HM$7,$E$5:SEX$5,12)</f>
        <v>1910.29391154</v>
      </c>
      <c r="HN122" s="940">
        <f>+SUMIFS($E122:SEY122,$E$6:SEY$6,HN$7,$E$5:SEY$5,12)</f>
        <v>3634.91686338</v>
      </c>
      <c r="HO122" s="102"/>
      <c r="HP122" s="102"/>
      <c r="HR122" s="929">
        <f t="shared" si="745"/>
        <v>9.7623022171385188E-2</v>
      </c>
      <c r="HS122" s="929">
        <f t="shared" si="746"/>
        <v>-0.35898287239765292</v>
      </c>
      <c r="HT122" s="929">
        <f t="shared" si="747"/>
        <v>-0.53373357580915304</v>
      </c>
      <c r="HU122" s="929">
        <f t="shared" si="738"/>
        <v>8.5019253939790485E-2</v>
      </c>
      <c r="HV122" s="929">
        <f t="shared" si="739"/>
        <v>-3.7953939781125712E-2</v>
      </c>
      <c r="HW122" s="929">
        <f t="shared" si="740"/>
        <v>0.82455039714745859</v>
      </c>
      <c r="HX122" s="929">
        <f t="shared" si="741"/>
        <v>-0.35740390870810124</v>
      </c>
      <c r="HY122" s="929">
        <f t="shared" si="741"/>
        <v>2.1526373439620494E-2</v>
      </c>
      <c r="HZ122" s="929">
        <f t="shared" si="741"/>
        <v>0.90280502985515998</v>
      </c>
      <c r="IA122" s="929">
        <f t="shared" si="604"/>
        <v>-1</v>
      </c>
      <c r="IB122" s="929" t="str">
        <f t="shared" si="748"/>
        <v/>
      </c>
      <c r="IC122" s="929">
        <f t="shared" si="605"/>
        <v>-1</v>
      </c>
      <c r="IE122" s="102">
        <f t="shared" si="749"/>
        <v>454.69336617000044</v>
      </c>
      <c r="IF122" s="102">
        <f t="shared" si="750"/>
        <v>-1835.2418564500003</v>
      </c>
      <c r="IG122" s="102">
        <f t="shared" si="751"/>
        <v>-1749.0963567700001</v>
      </c>
      <c r="IH122" s="102">
        <f t="shared" si="742"/>
        <v>129.90942001999997</v>
      </c>
      <c r="II122" s="102">
        <f t="shared" si="619"/>
        <v>-62.924194290000059</v>
      </c>
      <c r="IJ122" s="102">
        <f t="shared" si="620"/>
        <v>1315.1457013200002</v>
      </c>
      <c r="IK122" s="102">
        <f t="shared" si="621"/>
        <v>-1040.0921681800003</v>
      </c>
      <c r="IL122" s="102">
        <f t="shared" si="607"/>
        <v>-1870.0387588699998</v>
      </c>
      <c r="IM122" s="102">
        <f t="shared" si="752"/>
        <v>0</v>
      </c>
      <c r="IN122" s="102">
        <f t="shared" si="608"/>
        <v>-1870.0387588699998</v>
      </c>
      <c r="IP122" s="973"/>
      <c r="IQ122" s="973"/>
      <c r="IR122" s="973"/>
      <c r="IS122" s="973"/>
      <c r="IT122" s="973"/>
      <c r="IU122" s="973"/>
      <c r="IV122" s="973"/>
      <c r="IW122" s="973"/>
      <c r="IX122" s="973"/>
      <c r="IY122" s="973"/>
      <c r="JA122" s="102">
        <f t="shared" si="727"/>
        <v>3463.3354494200003</v>
      </c>
      <c r="JB122" s="102">
        <f t="shared" si="727"/>
        <v>4657.64484705</v>
      </c>
      <c r="JC122" s="102">
        <f t="shared" si="727"/>
        <v>5112.3382132200004</v>
      </c>
      <c r="JD122" s="102">
        <f t="shared" si="727"/>
        <v>3277.0963567700001</v>
      </c>
      <c r="JE122" s="102">
        <f t="shared" si="727"/>
        <v>1528</v>
      </c>
      <c r="JF122" s="102">
        <f t="shared" si="727"/>
        <v>1657.90942002</v>
      </c>
      <c r="JG122" s="102">
        <f t="shared" si="727"/>
        <v>1594.9852257299999</v>
      </c>
      <c r="JH122" s="102">
        <f t="shared" si="727"/>
        <v>2910.1309270500001</v>
      </c>
      <c r="JI122" s="102">
        <f t="shared" si="727"/>
        <v>1870.0387588699998</v>
      </c>
      <c r="JJ122" s="102">
        <f t="shared" si="727"/>
        <v>1910.29391154</v>
      </c>
      <c r="JK122" s="102">
        <f t="shared" si="727"/>
        <v>3634.91686338</v>
      </c>
      <c r="JL122" s="102">
        <f t="shared" si="728"/>
        <v>3634.91686338</v>
      </c>
      <c r="JM122" s="102"/>
      <c r="JN122" s="102"/>
      <c r="JP122" s="102">
        <f t="shared" si="701"/>
        <v>0</v>
      </c>
      <c r="JQ122" s="102">
        <f t="shared" si="702"/>
        <v>0</v>
      </c>
      <c r="JR122" s="145"/>
      <c r="JS122" s="929" t="str">
        <f t="shared" si="753"/>
        <v>NA</v>
      </c>
      <c r="JT122" s="930">
        <f t="shared" si="754"/>
        <v>0</v>
      </c>
      <c r="JV122" s="973"/>
      <c r="JW122" s="973"/>
      <c r="JY122" s="929">
        <f t="shared" si="729"/>
        <v>9.7623022171385188E-2</v>
      </c>
      <c r="JZ122" s="929">
        <f t="shared" si="730"/>
        <v>-0.35898287239765292</v>
      </c>
      <c r="KA122" s="929">
        <f t="shared" si="731"/>
        <v>-0.53373357580915304</v>
      </c>
      <c r="KB122" s="929">
        <f t="shared" si="732"/>
        <v>8.5019253939790485E-2</v>
      </c>
      <c r="KC122" s="929">
        <f t="shared" si="733"/>
        <v>-3.7953939781125712E-2</v>
      </c>
      <c r="KD122" s="929">
        <f t="shared" si="734"/>
        <v>0.82455039714745859</v>
      </c>
      <c r="KE122" s="929">
        <f t="shared" si="735"/>
        <v>-0.35740390870810124</v>
      </c>
      <c r="KF122" s="929">
        <f t="shared" si="736"/>
        <v>-1</v>
      </c>
      <c r="KH122" s="102">
        <f t="shared" si="704"/>
        <v>454.69336617000044</v>
      </c>
      <c r="KI122" s="102">
        <f t="shared" si="705"/>
        <v>-1835.2418564500003</v>
      </c>
      <c r="KJ122" s="102">
        <f t="shared" si="706"/>
        <v>-1749.0963567700001</v>
      </c>
      <c r="KK122" s="102">
        <f t="shared" si="707"/>
        <v>129.90942001999997</v>
      </c>
      <c r="KL122" s="102">
        <f t="shared" si="708"/>
        <v>-62.924194290000059</v>
      </c>
      <c r="KM122" s="102">
        <f t="shared" si="709"/>
        <v>1315.1457013200002</v>
      </c>
      <c r="KN122" s="102">
        <f t="shared" si="710"/>
        <v>-1040.0921681800003</v>
      </c>
      <c r="KO122" s="102">
        <f t="shared" si="711"/>
        <v>-1870.0387588699998</v>
      </c>
      <c r="KQ122" s="973"/>
      <c r="KR122" s="973"/>
      <c r="KS122" s="973"/>
      <c r="KT122" s="973"/>
      <c r="KU122" s="973"/>
      <c r="KV122" s="973"/>
      <c r="KW122" s="973"/>
      <c r="KX122" s="973"/>
      <c r="KY122" s="973"/>
      <c r="KZ122" s="973"/>
      <c r="LB122" s="102">
        <f t="shared" si="737"/>
        <v>3463.3354494200003</v>
      </c>
      <c r="LC122" s="102">
        <f t="shared" si="737"/>
        <v>4657.64484705</v>
      </c>
      <c r="LD122" s="102">
        <f t="shared" si="737"/>
        <v>5112.3382132200004</v>
      </c>
      <c r="LE122" s="102">
        <f t="shared" si="737"/>
        <v>3277.0963567700001</v>
      </c>
      <c r="LF122" s="102">
        <f t="shared" si="737"/>
        <v>1528</v>
      </c>
      <c r="LG122" s="102">
        <f t="shared" si="737"/>
        <v>1657.90942002</v>
      </c>
      <c r="LH122" s="102">
        <f t="shared" si="737"/>
        <v>1594.9852257299999</v>
      </c>
      <c r="LI122" s="102">
        <f t="shared" si="737"/>
        <v>2910.1309270500001</v>
      </c>
      <c r="LJ122" s="102">
        <f t="shared" si="737"/>
        <v>1870.0387588699998</v>
      </c>
      <c r="LK122" s="102">
        <f t="shared" si="737"/>
        <v>1910.29391154</v>
      </c>
      <c r="LL122" s="102">
        <f t="shared" si="737"/>
        <v>3634.91686338</v>
      </c>
      <c r="LM122" s="102">
        <f t="shared" si="712"/>
        <v>3634.91686338</v>
      </c>
      <c r="LN122" s="102"/>
      <c r="LO122" s="102"/>
      <c r="LR122" s="32">
        <f t="shared" si="713"/>
        <v>9.7623022171385188E-2</v>
      </c>
      <c r="LS122" s="32">
        <f t="shared" si="714"/>
        <v>-0.35898287239765292</v>
      </c>
      <c r="LT122" s="32">
        <f t="shared" si="715"/>
        <v>-0.53373357580915304</v>
      </c>
      <c r="LU122" s="32">
        <f t="shared" si="716"/>
        <v>8.5019253939790485E-2</v>
      </c>
      <c r="LV122" s="32">
        <f t="shared" si="717"/>
        <v>-3.7953939781125712E-2</v>
      </c>
      <c r="LW122" s="32">
        <f t="shared" si="718"/>
        <v>0.82455039714745859</v>
      </c>
      <c r="LX122" s="32">
        <f t="shared" si="719"/>
        <v>-1</v>
      </c>
      <c r="LZ122" s="102">
        <f t="shared" si="720"/>
        <v>454.69336617000044</v>
      </c>
      <c r="MA122" s="102">
        <f t="shared" si="721"/>
        <v>-1835.2418564500003</v>
      </c>
      <c r="MB122" s="102">
        <f t="shared" si="722"/>
        <v>-1749.0963567700001</v>
      </c>
      <c r="MC122" s="102">
        <f t="shared" si="723"/>
        <v>129.90942001999997</v>
      </c>
      <c r="MD122" s="102">
        <f t="shared" si="724"/>
        <v>-62.924194290000059</v>
      </c>
      <c r="ME122" s="102">
        <f t="shared" si="725"/>
        <v>1315.1457013200002</v>
      </c>
      <c r="MF122" s="102">
        <f t="shared" si="726"/>
        <v>-2910.1309270500001</v>
      </c>
      <c r="MH122" s="973"/>
      <c r="MI122" s="973"/>
      <c r="MJ122" s="973"/>
      <c r="MK122" s="973"/>
      <c r="ML122" s="973"/>
      <c r="MM122" s="973"/>
      <c r="MN122" s="973"/>
      <c r="MO122" s="973"/>
      <c r="MP122" s="973"/>
    </row>
    <row r="123" spans="1:354" outlineLevel="1">
      <c r="A123" s="884">
        <v>14</v>
      </c>
      <c r="B123" s="70" t="s">
        <v>688</v>
      </c>
      <c r="C123" s="17" t="s">
        <v>115</v>
      </c>
      <c r="D123" s="31" t="s">
        <v>59</v>
      </c>
      <c r="E123" s="102">
        <v>0</v>
      </c>
      <c r="F123" s="102">
        <v>0</v>
      </c>
      <c r="G123" s="102">
        <v>0</v>
      </c>
      <c r="H123" s="102">
        <v>0</v>
      </c>
      <c r="I123" s="102">
        <v>0</v>
      </c>
      <c r="J123" s="102">
        <v>0</v>
      </c>
      <c r="K123" s="102">
        <v>0</v>
      </c>
      <c r="L123" s="102">
        <v>0</v>
      </c>
      <c r="M123" s="102">
        <v>0</v>
      </c>
      <c r="N123" s="102">
        <v>487.94608324000001</v>
      </c>
      <c r="O123" s="102">
        <v>486.60923295999999</v>
      </c>
      <c r="P123" s="102">
        <v>548.95273213999997</v>
      </c>
      <c r="Q123" s="102">
        <v>760.07285590000004</v>
      </c>
      <c r="R123" s="102">
        <v>791.97802522999996</v>
      </c>
      <c r="S123" s="102">
        <v>532.42285036999999</v>
      </c>
      <c r="T123" s="102">
        <v>553.85198849000005</v>
      </c>
      <c r="U123" s="102">
        <v>495.01385831000005</v>
      </c>
      <c r="V123" s="102">
        <v>488.89970628000003</v>
      </c>
      <c r="W123" s="102">
        <v>503.34802568999999</v>
      </c>
      <c r="X123" s="102">
        <v>500.54201756999998</v>
      </c>
      <c r="Y123" s="102">
        <v>518.44331277999993</v>
      </c>
      <c r="Z123" s="102">
        <v>521.29766328000005</v>
      </c>
      <c r="AA123" s="102">
        <v>506.95406381999993</v>
      </c>
      <c r="AB123" s="102">
        <v>404.07414027000004</v>
      </c>
      <c r="AC123" s="102">
        <v>396.81334751000003</v>
      </c>
      <c r="AD123" s="102">
        <v>387.77895488000001</v>
      </c>
      <c r="AE123" s="102">
        <v>371.50540468000003</v>
      </c>
      <c r="AF123" s="102">
        <v>377.38166436000006</v>
      </c>
      <c r="AG123" s="102">
        <v>384.64692274999993</v>
      </c>
      <c r="AH123" s="102">
        <v>369.79821493999998</v>
      </c>
      <c r="AI123" s="102">
        <v>364.01100280000003</v>
      </c>
      <c r="AJ123" s="102">
        <v>334.02532107000002</v>
      </c>
      <c r="AK123" s="102">
        <v>361.92356613999999</v>
      </c>
      <c r="AL123" s="102">
        <v>348.60241199000001</v>
      </c>
      <c r="AM123" s="102">
        <v>367.98729913</v>
      </c>
      <c r="AN123" s="145">
        <v>308.08695413999999</v>
      </c>
      <c r="AO123" s="102">
        <v>333.04852416</v>
      </c>
      <c r="AP123" s="145">
        <v>275.12343793000002</v>
      </c>
      <c r="AQ123" s="220">
        <v>292.11846942</v>
      </c>
      <c r="AR123" s="220">
        <v>296.17134817000004</v>
      </c>
      <c r="AS123" s="102">
        <v>308.95450019999998</v>
      </c>
      <c r="AT123" s="102">
        <v>351.73687254999999</v>
      </c>
      <c r="AU123" s="102">
        <v>373.07492975999997</v>
      </c>
      <c r="AV123" s="102">
        <v>354.56105581999998</v>
      </c>
      <c r="AW123" s="102">
        <v>333.59656856999999</v>
      </c>
      <c r="AX123" s="102">
        <v>347.39427312999999</v>
      </c>
      <c r="AY123" s="102">
        <v>329.07778945000001</v>
      </c>
      <c r="AZ123" s="102">
        <f>392.14959927-6.49</f>
        <v>385.65959927</v>
      </c>
      <c r="BA123" s="102">
        <v>365.07953086999999</v>
      </c>
      <c r="BB123" s="102">
        <v>371.20675683999997</v>
      </c>
      <c r="BC123" s="102">
        <v>368.79314436000004</v>
      </c>
      <c r="BD123" s="102">
        <v>368.43246696</v>
      </c>
      <c r="BE123" s="102">
        <v>364.20507743000002</v>
      </c>
      <c r="BF123" s="102">
        <v>353.83322880999998</v>
      </c>
      <c r="BG123" s="102">
        <v>349.92336118000003</v>
      </c>
      <c r="BH123" s="102">
        <v>344.38770943000003</v>
      </c>
      <c r="BI123" s="102">
        <v>375.48792610999999</v>
      </c>
      <c r="BJ123" s="102">
        <v>361.65159611000001</v>
      </c>
      <c r="BK123" s="102">
        <v>337.21908267999999</v>
      </c>
      <c r="BL123" s="145">
        <v>348.22277494000002</v>
      </c>
      <c r="BM123" s="974">
        <v>379.8373249</v>
      </c>
      <c r="BN123" s="102">
        <v>374.19862716</v>
      </c>
      <c r="BO123" s="102">
        <v>350.63426877000001</v>
      </c>
      <c r="BP123" s="102">
        <v>382.83040231000001</v>
      </c>
      <c r="BQ123" s="102">
        <v>428.90712888999997</v>
      </c>
      <c r="BR123" s="102">
        <v>460.66345108999997</v>
      </c>
      <c r="BS123" s="102">
        <v>413.11595762000002</v>
      </c>
      <c r="BT123" s="102">
        <v>430.48169127</v>
      </c>
      <c r="BU123" s="102">
        <v>478.70084055000001</v>
      </c>
      <c r="BV123" s="102">
        <v>513.47037743999999</v>
      </c>
      <c r="BW123" s="102">
        <v>548.95937744000003</v>
      </c>
      <c r="BX123" s="102">
        <v>584.44420807000006</v>
      </c>
      <c r="BY123" s="102">
        <v>550.07096779999995</v>
      </c>
      <c r="BZ123" s="102">
        <v>568.7834005499999</v>
      </c>
      <c r="CA123" s="102">
        <v>535.81916844</v>
      </c>
      <c r="CB123" s="102">
        <v>535.21874089999994</v>
      </c>
      <c r="CC123" s="102">
        <v>521.64548737999996</v>
      </c>
      <c r="CD123" s="102">
        <v>516.78568199999995</v>
      </c>
      <c r="CE123" s="102">
        <v>539.54502174000004</v>
      </c>
      <c r="CF123" s="102">
        <v>555.18561277000003</v>
      </c>
      <c r="CG123" s="102">
        <v>607.84201255999994</v>
      </c>
      <c r="CH123" s="102">
        <v>643.41665016999991</v>
      </c>
      <c r="CI123" s="102">
        <v>625.02742459000001</v>
      </c>
      <c r="CJ123" s="102">
        <v>664.91499580999994</v>
      </c>
      <c r="CK123" s="102">
        <v>691.55315328999995</v>
      </c>
      <c r="CL123" s="102">
        <v>711.75095544999999</v>
      </c>
      <c r="CM123" s="102">
        <v>720.25226729999997</v>
      </c>
      <c r="CN123" s="102">
        <v>694.89777312000001</v>
      </c>
      <c r="CO123" s="102">
        <v>747.76567334000003</v>
      </c>
      <c r="CP123" s="102">
        <v>745.77197363999994</v>
      </c>
      <c r="CQ123" s="102">
        <v>822.63156101999994</v>
      </c>
      <c r="CR123" s="102">
        <v>873.75509170000009</v>
      </c>
      <c r="CS123" s="102">
        <v>885.30963287999998</v>
      </c>
      <c r="CT123" s="102">
        <v>913.25467628999991</v>
      </c>
      <c r="CU123" s="102">
        <v>871.61433838999994</v>
      </c>
      <c r="CV123" s="102">
        <v>913.49819362000005</v>
      </c>
      <c r="CW123" s="102">
        <v>940.59801626000001</v>
      </c>
      <c r="CX123" s="102">
        <v>950.43614941999999</v>
      </c>
      <c r="CY123" s="102">
        <v>990.07806254999991</v>
      </c>
      <c r="CZ123" s="102">
        <v>990.07806254999991</v>
      </c>
      <c r="DA123" s="102">
        <v>982.30606254999998</v>
      </c>
      <c r="DB123" s="102">
        <v>973.5210625499999</v>
      </c>
      <c r="DC123" s="102">
        <v>994.83678254999995</v>
      </c>
      <c r="DD123" s="102">
        <v>984.83678254999995</v>
      </c>
      <c r="DE123" s="102">
        <v>1112.9367885499998</v>
      </c>
      <c r="DF123" s="102">
        <v>1018.08313255</v>
      </c>
      <c r="DG123" s="102">
        <v>992.52659754999991</v>
      </c>
      <c r="DH123" s="102">
        <v>1152.97058655</v>
      </c>
      <c r="DI123" s="102">
        <v>1109.3273874400002</v>
      </c>
      <c r="DJ123" s="102">
        <v>1101.7186972899999</v>
      </c>
      <c r="DK123" s="102">
        <v>1104.3273996400001</v>
      </c>
      <c r="DL123" s="102">
        <v>1090.08985925</v>
      </c>
      <c r="DM123" s="102">
        <v>1067.1095310000001</v>
      </c>
      <c r="DN123" s="102">
        <v>1158.7264840799999</v>
      </c>
      <c r="DO123" s="102">
        <v>1166.57120652</v>
      </c>
      <c r="DP123" s="102">
        <v>1151.5109814500001</v>
      </c>
      <c r="DQ123" s="940">
        <v>1231.78796769</v>
      </c>
      <c r="DR123" s="940">
        <v>1141.7787136099998</v>
      </c>
      <c r="DS123" s="940">
        <v>1189.8406364500001</v>
      </c>
      <c r="DT123" s="940">
        <v>1260.6158910300001</v>
      </c>
      <c r="DU123" s="940">
        <v>1389.48457581</v>
      </c>
      <c r="DV123" s="940">
        <v>1522.3237926700001</v>
      </c>
      <c r="DW123" s="940">
        <v>1706.0594302500001</v>
      </c>
      <c r="DX123" s="940">
        <v>1797.50351503</v>
      </c>
      <c r="DY123" s="940">
        <v>1797.5477995399999</v>
      </c>
      <c r="DZ123" s="940">
        <v>1711.1308014200001</v>
      </c>
      <c r="EA123" s="940">
        <v>1897.5375345799998</v>
      </c>
      <c r="EB123" s="940">
        <v>2023.9904897899999</v>
      </c>
      <c r="EC123" s="940">
        <v>2126.1285371700001</v>
      </c>
      <c r="ED123" s="940">
        <v>2209.6897054800002</v>
      </c>
      <c r="EE123" s="940">
        <v>2101.8315739099999</v>
      </c>
      <c r="EF123" s="940">
        <v>652.28043898999999</v>
      </c>
      <c r="EH123" s="1083">
        <v>940.59801626000001</v>
      </c>
      <c r="EI123" s="1083">
        <v>950.43614941999999</v>
      </c>
      <c r="EJ123" s="1083">
        <v>990.07806254999991</v>
      </c>
      <c r="EK123" s="1083">
        <v>990.07806254999991</v>
      </c>
      <c r="EL123" s="1083">
        <v>982.30606254999998</v>
      </c>
      <c r="EM123" s="1083">
        <v>973.5210625499999</v>
      </c>
      <c r="EN123" s="1083">
        <v>973.5210625499999</v>
      </c>
      <c r="EO123" s="1083">
        <v>973.5210625499999</v>
      </c>
      <c r="EP123" s="1083">
        <v>973.5210625499999</v>
      </c>
      <c r="EQ123" s="1083">
        <v>973.5210625499999</v>
      </c>
      <c r="ER123" s="1083">
        <v>973.5210625499999</v>
      </c>
      <c r="ES123" s="1083">
        <v>973.5210625499999</v>
      </c>
      <c r="EU123" s="102">
        <v>267.30653996000001</v>
      </c>
      <c r="EV123" s="102">
        <v>267.30653996000001</v>
      </c>
      <c r="EW123" s="102">
        <v>267.30653996000001</v>
      </c>
      <c r="EX123" s="102">
        <v>267.30653996000001</v>
      </c>
      <c r="EY123" s="102">
        <v>267.30653996000001</v>
      </c>
      <c r="EZ123" s="102">
        <v>267.30653996000001</v>
      </c>
      <c r="FA123" s="102">
        <v>267.30653996000001</v>
      </c>
      <c r="FB123" s="102">
        <v>267.30653996000001</v>
      </c>
      <c r="FC123" s="102">
        <v>267.30653996000001</v>
      </c>
      <c r="FD123" s="102">
        <v>267.30653996000001</v>
      </c>
      <c r="FE123" s="102">
        <v>267.30653996000001</v>
      </c>
      <c r="FF123" s="102">
        <v>267.30653996000001</v>
      </c>
      <c r="FG123" s="102">
        <v>391.56955643000003</v>
      </c>
      <c r="FH123" s="102">
        <v>391.56955643000003</v>
      </c>
      <c r="FI123" s="102">
        <v>391.56955643000003</v>
      </c>
      <c r="FJ123" s="102">
        <v>391.56955643000003</v>
      </c>
      <c r="FK123" s="102">
        <v>391.56955643000003</v>
      </c>
      <c r="FL123" s="102">
        <v>391.56955643000003</v>
      </c>
      <c r="FM123" s="102">
        <v>391.56955643000003</v>
      </c>
      <c r="FN123" s="102">
        <v>391.56955643000003</v>
      </c>
      <c r="FO123" s="102">
        <v>391.56955643000003</v>
      </c>
      <c r="FP123" s="102">
        <v>391.56955643000003</v>
      </c>
      <c r="FQ123" s="102">
        <v>391.56955643000003</v>
      </c>
      <c r="FR123" s="102">
        <v>391.56955643000003</v>
      </c>
      <c r="FS123" s="102">
        <v>348.50292524000002</v>
      </c>
      <c r="FT123" s="102">
        <v>348.50292524000002</v>
      </c>
      <c r="FU123" s="102">
        <v>348.50292524000002</v>
      </c>
      <c r="FV123" s="102">
        <v>348.50292524000002</v>
      </c>
      <c r="FW123" s="102">
        <v>348.50292524000002</v>
      </c>
      <c r="FX123" s="102">
        <v>348.50292524000002</v>
      </c>
      <c r="FY123" s="102">
        <v>348.50292524000002</v>
      </c>
      <c r="FZ123" s="102">
        <v>348.50292524000002</v>
      </c>
      <c r="GA123" s="102">
        <v>348.50292524000002</v>
      </c>
      <c r="GB123" s="102">
        <v>348.50292524000002</v>
      </c>
      <c r="GC123" s="102">
        <v>348.50292524000002</v>
      </c>
      <c r="GD123" s="102">
        <v>348.50292524000002</v>
      </c>
      <c r="GE123" s="102">
        <v>0</v>
      </c>
      <c r="GF123" s="102">
        <v>0</v>
      </c>
      <c r="GG123" s="102">
        <v>0</v>
      </c>
      <c r="GH123" s="102">
        <v>0</v>
      </c>
      <c r="GI123" s="102">
        <v>0</v>
      </c>
      <c r="GJ123" s="102">
        <v>0</v>
      </c>
      <c r="GK123" s="102">
        <v>0</v>
      </c>
      <c r="GL123" s="102">
        <v>0</v>
      </c>
      <c r="GM123" s="102">
        <v>0</v>
      </c>
      <c r="GN123" s="102">
        <v>0</v>
      </c>
      <c r="GO123" s="102">
        <v>0</v>
      </c>
      <c r="GP123" s="102">
        <v>0</v>
      </c>
      <c r="GQ123" s="102">
        <v>0</v>
      </c>
      <c r="GR123" s="102">
        <v>0</v>
      </c>
      <c r="GS123" s="102">
        <v>0</v>
      </c>
      <c r="GT123" s="102">
        <v>0</v>
      </c>
      <c r="GU123" s="102">
        <v>0</v>
      </c>
      <c r="GV123" s="102">
        <v>0</v>
      </c>
      <c r="GW123" s="102">
        <v>0</v>
      </c>
      <c r="GX123" s="102">
        <v>0</v>
      </c>
      <c r="GY123" s="102">
        <v>0</v>
      </c>
      <c r="GZ123" s="102">
        <v>0</v>
      </c>
      <c r="HA123" s="102">
        <v>0</v>
      </c>
      <c r="HB123" s="102">
        <v>0</v>
      </c>
      <c r="HD123" s="102">
        <f t="shared" si="743"/>
        <v>548.95273213999997</v>
      </c>
      <c r="HE123" s="102">
        <f t="shared" si="743"/>
        <v>404.07414027000004</v>
      </c>
      <c r="HF123" s="102">
        <f t="shared" si="743"/>
        <v>308.08695413999999</v>
      </c>
      <c r="HG123" s="102">
        <f t="shared" si="743"/>
        <v>385.65959927</v>
      </c>
      <c r="HH123" s="102">
        <f t="shared" si="744"/>
        <v>348.22277494000002</v>
      </c>
      <c r="HI123" s="102">
        <f t="shared" si="695"/>
        <v>584.44420807000006</v>
      </c>
      <c r="HJ123" s="102">
        <f t="shared" si="696"/>
        <v>664.91499580999994</v>
      </c>
      <c r="HK123" s="102">
        <f t="shared" si="697"/>
        <v>913.49819362000005</v>
      </c>
      <c r="HL123" s="940">
        <f>+SUMIFS($E123:SEW123,$E$6:SEW$6,HL$7,$E$5:SEW$5,12)</f>
        <v>1152.97058655</v>
      </c>
      <c r="HM123" s="940">
        <f>+SUMIFS($E123:SEX123,$E$6:SEX$6,HM$7,$E$5:SEX$5,12)</f>
        <v>1260.6158910300001</v>
      </c>
      <c r="HN123" s="940">
        <f>+SUMIFS($E123:SEY123,$E$6:SEY$6,HN$7,$E$5:SEY$5,12)</f>
        <v>652.28043898999999</v>
      </c>
      <c r="HO123" s="102"/>
      <c r="HP123" s="102"/>
      <c r="HR123" s="929">
        <f t="shared" si="745"/>
        <v>-0.23754845104876532</v>
      </c>
      <c r="HS123" s="929">
        <f t="shared" si="746"/>
        <v>0.25178815294707246</v>
      </c>
      <c r="HT123" s="929">
        <f t="shared" si="747"/>
        <v>-9.7072196312143366E-2</v>
      </c>
      <c r="HU123" s="929">
        <f t="shared" si="738"/>
        <v>0.67836296224651527</v>
      </c>
      <c r="HV123" s="929">
        <f t="shared" si="739"/>
        <v>0.1376877153180065</v>
      </c>
      <c r="HW123" s="929">
        <f t="shared" si="740"/>
        <v>0.37385710861758481</v>
      </c>
      <c r="HX123" s="929">
        <f t="shared" si="741"/>
        <v>0.26214873176817299</v>
      </c>
      <c r="HY123" s="929">
        <f t="shared" si="741"/>
        <v>9.3363443730255069E-2</v>
      </c>
      <c r="HZ123" s="929">
        <f t="shared" si="741"/>
        <v>-0.48257003292490064</v>
      </c>
      <c r="IA123" s="929">
        <f t="shared" si="604"/>
        <v>-1</v>
      </c>
      <c r="IB123" s="929" t="str">
        <f t="shared" si="748"/>
        <v/>
      </c>
      <c r="IC123" s="929">
        <f t="shared" si="605"/>
        <v>-1</v>
      </c>
      <c r="IE123" s="102">
        <f t="shared" si="749"/>
        <v>-95.987186130000055</v>
      </c>
      <c r="IF123" s="102">
        <f t="shared" si="750"/>
        <v>77.572645130000012</v>
      </c>
      <c r="IG123" s="102">
        <f t="shared" si="751"/>
        <v>-37.436824329999979</v>
      </c>
      <c r="IH123" s="102">
        <f t="shared" si="742"/>
        <v>236.22143313000004</v>
      </c>
      <c r="II123" s="102">
        <f t="shared" si="619"/>
        <v>80.470787739999878</v>
      </c>
      <c r="IJ123" s="102">
        <f t="shared" si="620"/>
        <v>248.58319781000012</v>
      </c>
      <c r="IK123" s="102">
        <f t="shared" si="621"/>
        <v>239.47239292999996</v>
      </c>
      <c r="IL123" s="102">
        <f t="shared" si="607"/>
        <v>-1152.97058655</v>
      </c>
      <c r="IM123" s="102">
        <f t="shared" si="752"/>
        <v>0</v>
      </c>
      <c r="IN123" s="102">
        <f t="shared" si="608"/>
        <v>-1152.97058655</v>
      </c>
      <c r="IP123" s="973"/>
      <c r="IQ123" s="973"/>
      <c r="IR123" s="973"/>
      <c r="IS123" s="973"/>
      <c r="IT123" s="973"/>
      <c r="IU123" s="973"/>
      <c r="IV123" s="973"/>
      <c r="IW123" s="973"/>
      <c r="IX123" s="973"/>
      <c r="IY123" s="973"/>
      <c r="JA123" s="102">
        <f t="shared" si="727"/>
        <v>548.95273213999997</v>
      </c>
      <c r="JB123" s="102">
        <f t="shared" si="727"/>
        <v>404.07414027000004</v>
      </c>
      <c r="JC123" s="102">
        <f t="shared" si="727"/>
        <v>308.08695413999999</v>
      </c>
      <c r="JD123" s="102">
        <f t="shared" si="727"/>
        <v>385.65959927</v>
      </c>
      <c r="JE123" s="102">
        <f t="shared" si="727"/>
        <v>348.22277494000002</v>
      </c>
      <c r="JF123" s="102">
        <f t="shared" si="727"/>
        <v>584.44420807000006</v>
      </c>
      <c r="JG123" s="102">
        <f t="shared" si="727"/>
        <v>664.91499580999994</v>
      </c>
      <c r="JH123" s="102">
        <f t="shared" si="727"/>
        <v>913.49819362000005</v>
      </c>
      <c r="JI123" s="102">
        <f t="shared" si="727"/>
        <v>1152.97058655</v>
      </c>
      <c r="JJ123" s="102">
        <f t="shared" si="727"/>
        <v>1260.6158910300001</v>
      </c>
      <c r="JK123" s="102">
        <f t="shared" si="727"/>
        <v>652.28043898999999</v>
      </c>
      <c r="JL123" s="102">
        <f t="shared" si="728"/>
        <v>652.28043898999999</v>
      </c>
      <c r="JM123" s="102"/>
      <c r="JN123" s="102"/>
      <c r="JP123" s="102">
        <f t="shared" si="701"/>
        <v>0</v>
      </c>
      <c r="JQ123" s="102">
        <f t="shared" si="702"/>
        <v>0</v>
      </c>
      <c r="JR123" s="145"/>
      <c r="JS123" s="929" t="str">
        <f t="shared" si="753"/>
        <v>NA</v>
      </c>
      <c r="JT123" s="930">
        <f t="shared" si="754"/>
        <v>0</v>
      </c>
      <c r="JV123" s="973"/>
      <c r="JW123" s="973"/>
      <c r="JY123" s="929">
        <f t="shared" si="729"/>
        <v>-0.23754845104876532</v>
      </c>
      <c r="JZ123" s="929">
        <f t="shared" si="730"/>
        <v>0.25178815294707246</v>
      </c>
      <c r="KA123" s="929">
        <f t="shared" si="731"/>
        <v>-9.7072196312143366E-2</v>
      </c>
      <c r="KB123" s="929">
        <f t="shared" si="732"/>
        <v>0.67836296224651527</v>
      </c>
      <c r="KC123" s="929">
        <f t="shared" si="733"/>
        <v>0.1376877153180065</v>
      </c>
      <c r="KD123" s="929">
        <f t="shared" si="734"/>
        <v>0.37385710861758481</v>
      </c>
      <c r="KE123" s="929">
        <f t="shared" si="735"/>
        <v>0.26214873176817299</v>
      </c>
      <c r="KF123" s="929">
        <f t="shared" si="736"/>
        <v>-1</v>
      </c>
      <c r="KH123" s="102">
        <f t="shared" si="704"/>
        <v>-95.987186130000055</v>
      </c>
      <c r="KI123" s="102">
        <f t="shared" si="705"/>
        <v>77.572645130000012</v>
      </c>
      <c r="KJ123" s="102">
        <f t="shared" si="706"/>
        <v>-37.436824329999979</v>
      </c>
      <c r="KK123" s="102">
        <f t="shared" si="707"/>
        <v>236.22143313000004</v>
      </c>
      <c r="KL123" s="102">
        <f t="shared" si="708"/>
        <v>80.470787739999878</v>
      </c>
      <c r="KM123" s="102">
        <f t="shared" si="709"/>
        <v>248.58319781000012</v>
      </c>
      <c r="KN123" s="102">
        <f t="shared" si="710"/>
        <v>239.47239292999996</v>
      </c>
      <c r="KO123" s="102">
        <f t="shared" si="711"/>
        <v>-1152.97058655</v>
      </c>
      <c r="KQ123" s="973"/>
      <c r="KR123" s="973"/>
      <c r="KS123" s="973"/>
      <c r="KT123" s="973"/>
      <c r="KU123" s="973"/>
      <c r="KV123" s="973"/>
      <c r="KW123" s="973"/>
      <c r="KX123" s="973"/>
      <c r="KY123" s="973"/>
      <c r="KZ123" s="973"/>
      <c r="LB123" s="102">
        <f t="shared" si="737"/>
        <v>548.95273213999997</v>
      </c>
      <c r="LC123" s="102">
        <f t="shared" si="737"/>
        <v>404.07414027000004</v>
      </c>
      <c r="LD123" s="102">
        <f t="shared" si="737"/>
        <v>308.08695413999999</v>
      </c>
      <c r="LE123" s="102">
        <f t="shared" si="737"/>
        <v>385.65959927</v>
      </c>
      <c r="LF123" s="102">
        <f t="shared" si="737"/>
        <v>348.22277494000002</v>
      </c>
      <c r="LG123" s="102">
        <f t="shared" si="737"/>
        <v>584.44420807000006</v>
      </c>
      <c r="LH123" s="102">
        <f t="shared" si="737"/>
        <v>664.91499580999994</v>
      </c>
      <c r="LI123" s="102">
        <f t="shared" si="737"/>
        <v>913.49819362000005</v>
      </c>
      <c r="LJ123" s="102">
        <f t="shared" si="737"/>
        <v>1152.97058655</v>
      </c>
      <c r="LK123" s="102">
        <f t="shared" si="737"/>
        <v>1260.6158910300001</v>
      </c>
      <c r="LL123" s="102">
        <f t="shared" si="737"/>
        <v>652.28043898999999</v>
      </c>
      <c r="LM123" s="102">
        <f t="shared" si="712"/>
        <v>652.28043898999999</v>
      </c>
      <c r="LN123" s="102"/>
      <c r="LO123" s="102"/>
      <c r="LR123" s="32">
        <f t="shared" si="713"/>
        <v>-0.23754845104876532</v>
      </c>
      <c r="LS123" s="32">
        <f t="shared" si="714"/>
        <v>0.25178815294707246</v>
      </c>
      <c r="LT123" s="32">
        <f t="shared" si="715"/>
        <v>-9.7072196312143366E-2</v>
      </c>
      <c r="LU123" s="32">
        <f t="shared" si="716"/>
        <v>0.67836296224651527</v>
      </c>
      <c r="LV123" s="32">
        <f t="shared" si="717"/>
        <v>0.1376877153180065</v>
      </c>
      <c r="LW123" s="32">
        <f t="shared" si="718"/>
        <v>0.37385710861758481</v>
      </c>
      <c r="LX123" s="32">
        <f t="shared" si="719"/>
        <v>-1</v>
      </c>
      <c r="LZ123" s="102">
        <f t="shared" si="720"/>
        <v>-95.987186130000055</v>
      </c>
      <c r="MA123" s="102">
        <f t="shared" si="721"/>
        <v>77.572645130000012</v>
      </c>
      <c r="MB123" s="102">
        <f t="shared" si="722"/>
        <v>-37.436824329999979</v>
      </c>
      <c r="MC123" s="102">
        <f t="shared" si="723"/>
        <v>236.22143313000004</v>
      </c>
      <c r="MD123" s="102">
        <f t="shared" si="724"/>
        <v>80.470787739999878</v>
      </c>
      <c r="ME123" s="102">
        <f t="shared" si="725"/>
        <v>248.58319781000012</v>
      </c>
      <c r="MF123" s="102">
        <f t="shared" si="726"/>
        <v>-913.49819362000005</v>
      </c>
      <c r="MH123" s="973"/>
      <c r="MI123" s="973"/>
      <c r="MJ123" s="973"/>
      <c r="MK123" s="973"/>
      <c r="ML123" s="973"/>
      <c r="MM123" s="973"/>
      <c r="MN123" s="973"/>
      <c r="MO123" s="973"/>
      <c r="MP123" s="973"/>
    </row>
    <row r="124" spans="1:354" outlineLevel="1">
      <c r="A124" s="884"/>
      <c r="B124" s="70"/>
      <c r="C124" s="17" t="s">
        <v>116</v>
      </c>
      <c r="D124" s="31" t="s">
        <v>59</v>
      </c>
      <c r="E124" s="102">
        <v>154.00426576000001</v>
      </c>
      <c r="F124" s="102">
        <v>156.57463952000001</v>
      </c>
      <c r="G124" s="102">
        <v>134.7297374</v>
      </c>
      <c r="H124" s="102">
        <v>189.93315557000003</v>
      </c>
      <c r="I124" s="102">
        <v>283.63037587000002</v>
      </c>
      <c r="J124" s="102">
        <v>229.60471624000002</v>
      </c>
      <c r="K124" s="102">
        <v>202.04296312</v>
      </c>
      <c r="L124" s="102">
        <v>204.06037214</v>
      </c>
      <c r="M124" s="102">
        <v>148.01083817999998</v>
      </c>
      <c r="N124" s="102">
        <v>259.74001757999997</v>
      </c>
      <c r="O124" s="102">
        <v>356.42666441</v>
      </c>
      <c r="P124" s="102">
        <v>303.26433100999998</v>
      </c>
      <c r="Q124" s="102">
        <v>489.31343468999995</v>
      </c>
      <c r="R124" s="102">
        <v>411.79869819999999</v>
      </c>
      <c r="S124" s="102">
        <v>453.53441457000002</v>
      </c>
      <c r="T124" s="102">
        <v>377.77203868999999</v>
      </c>
      <c r="U124" s="102">
        <v>373.57856774000004</v>
      </c>
      <c r="V124" s="102">
        <v>438.61094516000009</v>
      </c>
      <c r="W124" s="102">
        <v>453.70087165000007</v>
      </c>
      <c r="X124" s="102">
        <v>436.19086530999999</v>
      </c>
      <c r="Y124" s="102">
        <v>430.24012096000001</v>
      </c>
      <c r="Z124" s="102">
        <v>402.96533173</v>
      </c>
      <c r="AA124" s="102">
        <v>279.76984636000003</v>
      </c>
      <c r="AB124" s="102">
        <v>616.57358817999989</v>
      </c>
      <c r="AC124" s="102">
        <v>503.91668283000001</v>
      </c>
      <c r="AD124" s="102">
        <v>481.88388479000002</v>
      </c>
      <c r="AE124" s="102">
        <v>482.82555216999992</v>
      </c>
      <c r="AF124" s="102">
        <v>494.21227497999996</v>
      </c>
      <c r="AG124" s="102">
        <v>417.34189848999995</v>
      </c>
      <c r="AH124" s="102">
        <v>412.07629508999997</v>
      </c>
      <c r="AI124" s="102">
        <v>556.45974027</v>
      </c>
      <c r="AJ124" s="102">
        <v>477.11517072000004</v>
      </c>
      <c r="AK124" s="102">
        <v>399.68623186000002</v>
      </c>
      <c r="AL124" s="102">
        <v>451.96003449999989</v>
      </c>
      <c r="AM124" s="102">
        <v>586.67329484999993</v>
      </c>
      <c r="AN124" s="220">
        <v>1005.4924514600001</v>
      </c>
      <c r="AO124" s="975">
        <v>2282.43854612</v>
      </c>
      <c r="AP124" s="976">
        <v>698.83289895999997</v>
      </c>
      <c r="AQ124" s="975">
        <v>844.66636844000004</v>
      </c>
      <c r="AR124" s="975">
        <v>872.56133520000003</v>
      </c>
      <c r="AS124" s="975">
        <v>746.85921020000001</v>
      </c>
      <c r="AT124" s="975">
        <v>800.30930795999996</v>
      </c>
      <c r="AU124" s="975">
        <v>1070.3898786899999</v>
      </c>
      <c r="AV124" s="975">
        <v>1144.25487071</v>
      </c>
      <c r="AW124" s="975">
        <v>913.19503637000003</v>
      </c>
      <c r="AX124" s="975">
        <v>1043.0095067100001</v>
      </c>
      <c r="AY124" s="975">
        <v>747.14278360999992</v>
      </c>
      <c r="AZ124" s="102">
        <f>SUM(AZ125,AZ130:AZ133)</f>
        <v>324.80004122000003</v>
      </c>
      <c r="BA124" s="146">
        <v>303.69287141000001</v>
      </c>
      <c r="BB124" s="146">
        <v>320.02072078000003</v>
      </c>
      <c r="BC124" s="146">
        <v>342.13478610000004</v>
      </c>
      <c r="BD124" s="146">
        <v>425.13910057999999</v>
      </c>
      <c r="BE124" s="146">
        <v>436.31499768000003</v>
      </c>
      <c r="BF124" s="146">
        <v>442.99209926000003</v>
      </c>
      <c r="BG124" s="146">
        <v>451.02617409999993</v>
      </c>
      <c r="BH124" s="146">
        <v>322.51067608</v>
      </c>
      <c r="BI124" s="146">
        <v>307.64920852</v>
      </c>
      <c r="BJ124" s="146">
        <v>314.17791462999998</v>
      </c>
      <c r="BK124" s="146">
        <v>315.66974722999998</v>
      </c>
      <c r="BL124" s="939">
        <f>SUM(BL125,BL130:BL133)</f>
        <v>543.70467169000005</v>
      </c>
      <c r="BM124" s="974">
        <f t="shared" ref="BM124:DX124" si="755">SUM(BM125,BM130:BM133)</f>
        <v>548.24929269000006</v>
      </c>
      <c r="BN124" s="102">
        <f t="shared" si="755"/>
        <v>994.78589084000009</v>
      </c>
      <c r="BO124" s="102">
        <f t="shared" si="755"/>
        <v>1013.16242141</v>
      </c>
      <c r="BP124" s="102">
        <f t="shared" si="755"/>
        <v>1032.2830625300001</v>
      </c>
      <c r="BQ124" s="102">
        <f t="shared" si="755"/>
        <v>1005.96527618</v>
      </c>
      <c r="BR124" s="102">
        <f t="shared" si="755"/>
        <v>1072.48205398</v>
      </c>
      <c r="BS124" s="102">
        <f t="shared" si="755"/>
        <v>1040.0459120600001</v>
      </c>
      <c r="BT124" s="102">
        <f t="shared" si="755"/>
        <v>1206.3876264800001</v>
      </c>
      <c r="BU124" s="102">
        <f t="shared" si="755"/>
        <v>987.54597358000001</v>
      </c>
      <c r="BV124" s="102">
        <f t="shared" si="755"/>
        <v>939.29021182000008</v>
      </c>
      <c r="BW124" s="102">
        <f t="shared" si="755"/>
        <v>790.78087072999995</v>
      </c>
      <c r="BX124" s="102">
        <f t="shared" si="755"/>
        <v>741.32012697999994</v>
      </c>
      <c r="BY124" s="102">
        <f t="shared" si="755"/>
        <v>768.51713208000001</v>
      </c>
      <c r="BZ124" s="102">
        <f t="shared" si="755"/>
        <v>867.93115633000002</v>
      </c>
      <c r="CA124" s="102">
        <f t="shared" si="755"/>
        <v>746.96328203000007</v>
      </c>
      <c r="CB124" s="102">
        <f t="shared" si="755"/>
        <v>698.62965260999999</v>
      </c>
      <c r="CC124" s="102">
        <f t="shared" si="755"/>
        <v>701.50175839999997</v>
      </c>
      <c r="CD124" s="102">
        <f t="shared" si="755"/>
        <v>648.90701071000001</v>
      </c>
      <c r="CE124" s="102">
        <f t="shared" si="755"/>
        <v>697.09967071000005</v>
      </c>
      <c r="CF124" s="102">
        <f t="shared" si="755"/>
        <v>814.55298627999991</v>
      </c>
      <c r="CG124" s="102">
        <f t="shared" si="755"/>
        <v>940.27718127000003</v>
      </c>
      <c r="CH124" s="102">
        <f t="shared" si="755"/>
        <v>637.38276139999994</v>
      </c>
      <c r="CI124" s="102">
        <f t="shared" si="755"/>
        <v>543.40161269999999</v>
      </c>
      <c r="CJ124" s="102">
        <f t="shared" si="755"/>
        <v>428.14857602999996</v>
      </c>
      <c r="CK124" s="102">
        <f t="shared" si="755"/>
        <v>411.53272562999996</v>
      </c>
      <c r="CL124" s="102">
        <f t="shared" si="755"/>
        <v>433.28673962999994</v>
      </c>
      <c r="CM124" s="102">
        <f t="shared" si="755"/>
        <v>417.67084002999997</v>
      </c>
      <c r="CN124" s="102">
        <f t="shared" si="755"/>
        <v>408.33138033</v>
      </c>
      <c r="CO124" s="102">
        <f t="shared" si="755"/>
        <v>417.09034149999997</v>
      </c>
      <c r="CP124" s="102">
        <f t="shared" si="755"/>
        <v>422.21918526999997</v>
      </c>
      <c r="CQ124" s="102">
        <f t="shared" si="755"/>
        <v>415.34517886999998</v>
      </c>
      <c r="CR124" s="102">
        <f t="shared" si="755"/>
        <v>422.29265677000001</v>
      </c>
      <c r="CS124" s="102">
        <f t="shared" si="755"/>
        <v>429.72119766999998</v>
      </c>
      <c r="CT124" s="102">
        <f t="shared" si="755"/>
        <v>431.50645882999999</v>
      </c>
      <c r="CU124" s="102">
        <f t="shared" si="755"/>
        <v>434.86480225999998</v>
      </c>
      <c r="CV124" s="102">
        <f t="shared" si="755"/>
        <v>352.76158563999996</v>
      </c>
      <c r="CW124" s="102">
        <f t="shared" si="755"/>
        <v>359.94054224999996</v>
      </c>
      <c r="CX124" s="102">
        <f t="shared" si="755"/>
        <v>418.24686828999995</v>
      </c>
      <c r="CY124" s="102">
        <f t="shared" si="755"/>
        <v>391.24113823999994</v>
      </c>
      <c r="CZ124" s="102">
        <f t="shared" si="755"/>
        <v>390.59399096999994</v>
      </c>
      <c r="DA124" s="102">
        <f t="shared" si="755"/>
        <v>387.60155293999998</v>
      </c>
      <c r="DB124" s="102">
        <f t="shared" si="755"/>
        <v>393.86197993999997</v>
      </c>
      <c r="DC124" s="102">
        <f t="shared" si="755"/>
        <v>387.15544686999999</v>
      </c>
      <c r="DD124" s="102">
        <f t="shared" si="755"/>
        <v>349.63238486999995</v>
      </c>
      <c r="DE124" s="102">
        <f t="shared" si="755"/>
        <v>364.63577225999995</v>
      </c>
      <c r="DF124" s="102">
        <f t="shared" si="755"/>
        <v>359.42383964999999</v>
      </c>
      <c r="DG124" s="102">
        <f t="shared" si="755"/>
        <v>359.81532800999997</v>
      </c>
      <c r="DH124" s="102">
        <f t="shared" si="755"/>
        <v>452.98577540999997</v>
      </c>
      <c r="DI124" s="102">
        <f t="shared" si="755"/>
        <v>491.58156055999996</v>
      </c>
      <c r="DJ124" s="102">
        <f t="shared" si="755"/>
        <v>454.30146224999999</v>
      </c>
      <c r="DK124" s="102">
        <f t="shared" si="755"/>
        <v>463.87634592999996</v>
      </c>
      <c r="DL124" s="102">
        <f t="shared" si="755"/>
        <v>486.83763242999999</v>
      </c>
      <c r="DM124" s="102">
        <f t="shared" si="755"/>
        <v>491.26898115</v>
      </c>
      <c r="DN124" s="102">
        <f t="shared" si="755"/>
        <v>463.70437392999997</v>
      </c>
      <c r="DO124" s="102">
        <f t="shared" si="755"/>
        <v>536.72031637999999</v>
      </c>
      <c r="DP124" s="102">
        <f t="shared" si="755"/>
        <v>536.36647111999991</v>
      </c>
      <c r="DQ124" s="940">
        <f t="shared" si="755"/>
        <v>480.56307132000001</v>
      </c>
      <c r="DR124" s="940">
        <f t="shared" si="755"/>
        <v>404.77267842000003</v>
      </c>
      <c r="DS124" s="940">
        <f t="shared" si="755"/>
        <v>399.19010136999998</v>
      </c>
      <c r="DT124" s="940">
        <f t="shared" si="755"/>
        <v>372.89824778000002</v>
      </c>
      <c r="DU124" s="940">
        <f t="shared" si="755"/>
        <v>368.68653807999999</v>
      </c>
      <c r="DV124" s="940">
        <f t="shared" si="755"/>
        <v>397.66472929999998</v>
      </c>
      <c r="DW124" s="940">
        <f t="shared" si="755"/>
        <v>405.91367859000002</v>
      </c>
      <c r="DX124" s="940">
        <f t="shared" si="755"/>
        <v>412.42232787</v>
      </c>
      <c r="DY124" s="940">
        <f t="shared" ref="DY124:EF124" si="756">SUM(DY125,DY130:DY133)</f>
        <v>440.11586256999999</v>
      </c>
      <c r="DZ124" s="940">
        <f t="shared" si="756"/>
        <v>424.46276881</v>
      </c>
      <c r="EA124" s="940">
        <f t="shared" si="756"/>
        <v>449.17923616999997</v>
      </c>
      <c r="EB124" s="940">
        <f t="shared" si="756"/>
        <v>452.44899428999997</v>
      </c>
      <c r="EC124" s="940">
        <f t="shared" si="756"/>
        <v>465.62365232000002</v>
      </c>
      <c r="ED124" s="940">
        <f t="shared" si="756"/>
        <v>444.99384158999999</v>
      </c>
      <c r="EE124" s="940">
        <f t="shared" si="756"/>
        <v>466.42929871000001</v>
      </c>
      <c r="EF124" s="940">
        <f t="shared" si="756"/>
        <v>268.87641309000003</v>
      </c>
      <c r="EH124" s="102" t="e">
        <f t="shared" ref="EH124:ES124" si="757">+SUM(EH125:EH131)</f>
        <v>#VALUE!</v>
      </c>
      <c r="EI124" s="102" t="e">
        <f t="shared" si="757"/>
        <v>#VALUE!</v>
      </c>
      <c r="EJ124" s="102" t="e">
        <f t="shared" si="757"/>
        <v>#VALUE!</v>
      </c>
      <c r="EK124" s="102" t="e">
        <f t="shared" si="757"/>
        <v>#VALUE!</v>
      </c>
      <c r="EL124" s="102" t="e">
        <f t="shared" si="757"/>
        <v>#VALUE!</v>
      </c>
      <c r="EM124" s="102" t="e">
        <f t="shared" si="757"/>
        <v>#VALUE!</v>
      </c>
      <c r="EN124" s="102" t="e">
        <f t="shared" si="757"/>
        <v>#VALUE!</v>
      </c>
      <c r="EO124" s="102" t="e">
        <f t="shared" si="757"/>
        <v>#VALUE!</v>
      </c>
      <c r="EP124" s="102" t="e">
        <f t="shared" si="757"/>
        <v>#VALUE!</v>
      </c>
      <c r="EQ124" s="102" t="e">
        <f t="shared" si="757"/>
        <v>#VALUE!</v>
      </c>
      <c r="ER124" s="102" t="e">
        <f t="shared" si="757"/>
        <v>#VALUE!</v>
      </c>
      <c r="ES124" s="102" t="e">
        <f t="shared" si="757"/>
        <v>#VALUE!</v>
      </c>
      <c r="EU124" s="102">
        <v>2283.4126546100001</v>
      </c>
      <c r="EV124" s="102">
        <v>409.39781805000001</v>
      </c>
      <c r="EW124" s="102">
        <v>354.39781805000001</v>
      </c>
      <c r="EX124" s="102">
        <v>299.39781805000001</v>
      </c>
      <c r="EY124" s="102">
        <v>114.39781805000001</v>
      </c>
      <c r="EZ124" s="102">
        <v>66.197646179999992</v>
      </c>
      <c r="FA124" s="102">
        <v>66.197646179999992</v>
      </c>
      <c r="FB124" s="102">
        <v>66.197646179999992</v>
      </c>
      <c r="FC124" s="102">
        <v>66.197646179999992</v>
      </c>
      <c r="FD124" s="102">
        <v>66.197646179999992</v>
      </c>
      <c r="FE124" s="102">
        <v>66.197646179999992</v>
      </c>
      <c r="FF124" s="102">
        <v>66.197646179999992</v>
      </c>
      <c r="FG124" s="102">
        <f t="shared" ref="FG124:HB124" si="758">+SUM(FG125,FG130:FG133)</f>
        <v>488.72594187599998</v>
      </c>
      <c r="FH124" s="102">
        <f t="shared" si="758"/>
        <v>330.6047532888</v>
      </c>
      <c r="FI124" s="102">
        <f t="shared" si="758"/>
        <v>361.30780241903994</v>
      </c>
      <c r="FJ124" s="102">
        <f t="shared" si="758"/>
        <v>333.11830754323199</v>
      </c>
      <c r="FK124" s="102">
        <f t="shared" si="758"/>
        <v>320.76825898658558</v>
      </c>
      <c r="FL124" s="102">
        <f t="shared" si="758"/>
        <v>310.88822014126845</v>
      </c>
      <c r="FM124" s="102">
        <f t="shared" si="758"/>
        <v>302.98418906501479</v>
      </c>
      <c r="FN124" s="102">
        <f t="shared" si="758"/>
        <v>296.6609642040118</v>
      </c>
      <c r="FO124" s="102">
        <f t="shared" si="758"/>
        <v>291.60238431520946</v>
      </c>
      <c r="FP124" s="102">
        <f t="shared" si="758"/>
        <v>281.36806475999998</v>
      </c>
      <c r="FQ124" s="102">
        <f t="shared" si="758"/>
        <v>231.36806475999998</v>
      </c>
      <c r="FR124" s="102">
        <f t="shared" si="758"/>
        <v>241.36806475999998</v>
      </c>
      <c r="FS124" s="102">
        <f t="shared" si="758"/>
        <v>542.44467169000006</v>
      </c>
      <c r="FT124" s="102">
        <f t="shared" si="758"/>
        <v>542.44467169000006</v>
      </c>
      <c r="FU124" s="102">
        <f t="shared" si="758"/>
        <v>542.44467169000006</v>
      </c>
      <c r="FV124" s="102">
        <f t="shared" si="758"/>
        <v>542.44467169000006</v>
      </c>
      <c r="FW124" s="102">
        <f t="shared" si="758"/>
        <v>542.44467169000006</v>
      </c>
      <c r="FX124" s="102">
        <f t="shared" si="758"/>
        <v>542.44467169000006</v>
      </c>
      <c r="FY124" s="102">
        <f t="shared" si="758"/>
        <v>542.44467169000006</v>
      </c>
      <c r="FZ124" s="102">
        <f t="shared" si="758"/>
        <v>542.44467169000006</v>
      </c>
      <c r="GA124" s="102">
        <f t="shared" si="758"/>
        <v>542.44467169000006</v>
      </c>
      <c r="GB124" s="102">
        <f t="shared" si="758"/>
        <v>542.44467169000006</v>
      </c>
      <c r="GC124" s="102">
        <f t="shared" si="758"/>
        <v>542.44467169000006</v>
      </c>
      <c r="GD124" s="102">
        <f t="shared" si="758"/>
        <v>542.44467169000006</v>
      </c>
      <c r="GE124" s="102" t="e">
        <f t="shared" si="758"/>
        <v>#VALUE!</v>
      </c>
      <c r="GF124" s="102" t="e">
        <f t="shared" si="758"/>
        <v>#VALUE!</v>
      </c>
      <c r="GG124" s="102" t="e">
        <f t="shared" si="758"/>
        <v>#VALUE!</v>
      </c>
      <c r="GH124" s="102" t="e">
        <f t="shared" si="758"/>
        <v>#VALUE!</v>
      </c>
      <c r="GI124" s="102" t="e">
        <f t="shared" si="758"/>
        <v>#VALUE!</v>
      </c>
      <c r="GJ124" s="102" t="e">
        <f t="shared" si="758"/>
        <v>#VALUE!</v>
      </c>
      <c r="GK124" s="102" t="e">
        <f t="shared" si="758"/>
        <v>#VALUE!</v>
      </c>
      <c r="GL124" s="102" t="e">
        <f t="shared" si="758"/>
        <v>#VALUE!</v>
      </c>
      <c r="GM124" s="102" t="e">
        <f t="shared" si="758"/>
        <v>#VALUE!</v>
      </c>
      <c r="GN124" s="102" t="e">
        <f t="shared" si="758"/>
        <v>#VALUE!</v>
      </c>
      <c r="GO124" s="102" t="e">
        <f t="shared" si="758"/>
        <v>#VALUE!</v>
      </c>
      <c r="GP124" s="102" t="e">
        <f t="shared" si="758"/>
        <v>#VALUE!</v>
      </c>
      <c r="GQ124" s="102" t="e">
        <f t="shared" si="758"/>
        <v>#VALUE!</v>
      </c>
      <c r="GR124" s="102" t="e">
        <f t="shared" si="758"/>
        <v>#VALUE!</v>
      </c>
      <c r="GS124" s="102" t="e">
        <f t="shared" si="758"/>
        <v>#VALUE!</v>
      </c>
      <c r="GT124" s="102" t="e">
        <f t="shared" si="758"/>
        <v>#VALUE!</v>
      </c>
      <c r="GU124" s="102" t="e">
        <f t="shared" si="758"/>
        <v>#VALUE!</v>
      </c>
      <c r="GV124" s="102" t="e">
        <f t="shared" si="758"/>
        <v>#VALUE!</v>
      </c>
      <c r="GW124" s="102" t="e">
        <f t="shared" si="758"/>
        <v>#VALUE!</v>
      </c>
      <c r="GX124" s="102" t="e">
        <f t="shared" si="758"/>
        <v>#VALUE!</v>
      </c>
      <c r="GY124" s="102" t="e">
        <f t="shared" si="758"/>
        <v>#VALUE!</v>
      </c>
      <c r="GZ124" s="102" t="e">
        <f t="shared" si="758"/>
        <v>#VALUE!</v>
      </c>
      <c r="HA124" s="102" t="e">
        <f t="shared" si="758"/>
        <v>#VALUE!</v>
      </c>
      <c r="HB124" s="102" t="e">
        <f t="shared" si="758"/>
        <v>#VALUE!</v>
      </c>
      <c r="HD124" s="102">
        <f t="shared" si="743"/>
        <v>303.26433100999998</v>
      </c>
      <c r="HE124" s="102">
        <f t="shared" si="743"/>
        <v>616.57358817999989</v>
      </c>
      <c r="HF124" s="102">
        <f t="shared" si="743"/>
        <v>1005.4924514600001</v>
      </c>
      <c r="HG124" s="102">
        <f t="shared" si="743"/>
        <v>324.80004122000003</v>
      </c>
      <c r="HH124" s="102">
        <f t="shared" si="744"/>
        <v>543.70467169000005</v>
      </c>
      <c r="HI124" s="102">
        <f t="shared" si="695"/>
        <v>741.32012697999994</v>
      </c>
      <c r="HJ124" s="102">
        <f t="shared" si="696"/>
        <v>428.14857602999996</v>
      </c>
      <c r="HK124" s="102">
        <f t="shared" si="697"/>
        <v>352.76158563999996</v>
      </c>
      <c r="HL124" s="940">
        <f>+SUMIFS($E124:SEW124,$E$6:SEW$6,HL$7,$E$5:SEW$5,12)</f>
        <v>452.98577540999997</v>
      </c>
      <c r="HM124" s="940">
        <f>+SUMIFS($E124:SEX124,$E$6:SEX$6,HM$7,$E$5:SEX$5,12)</f>
        <v>372.89824778000002</v>
      </c>
      <c r="HN124" s="940">
        <f>+SUMIFS($E124:SEY124,$E$6:SEY$6,HN$7,$E$5:SEY$5,12)</f>
        <v>268.87641309000003</v>
      </c>
      <c r="HO124" s="102"/>
      <c r="HP124" s="102"/>
      <c r="HR124" s="929">
        <f t="shared" si="745"/>
        <v>0.63077444563918106</v>
      </c>
      <c r="HS124" s="929">
        <f t="shared" si="746"/>
        <v>-0.67697416251272469</v>
      </c>
      <c r="HT124" s="929">
        <f t="shared" si="747"/>
        <v>0.67396737281116037</v>
      </c>
      <c r="HU124" s="929">
        <f t="shared" si="738"/>
        <v>0.36346102135880254</v>
      </c>
      <c r="HV124" s="929">
        <f t="shared" si="739"/>
        <v>-0.4224511645539728</v>
      </c>
      <c r="HW124" s="929">
        <f t="shared" si="740"/>
        <v>-0.17607670470149528</v>
      </c>
      <c r="HX124" s="929">
        <f t="shared" si="741"/>
        <v>0.28411310598960937</v>
      </c>
      <c r="HY124" s="929">
        <f t="shared" si="741"/>
        <v>-0.17679921087480566</v>
      </c>
      <c r="HZ124" s="929">
        <f t="shared" si="741"/>
        <v>-0.2789550106745744</v>
      </c>
      <c r="IA124" s="929">
        <f t="shared" si="604"/>
        <v>-1</v>
      </c>
      <c r="IB124" s="929" t="str">
        <f t="shared" si="748"/>
        <v/>
      </c>
      <c r="IC124" s="929">
        <f t="shared" si="605"/>
        <v>-1</v>
      </c>
      <c r="IE124" s="102">
        <f t="shared" si="749"/>
        <v>388.91886328000021</v>
      </c>
      <c r="IF124" s="102">
        <f t="shared" si="750"/>
        <v>-680.69241024000007</v>
      </c>
      <c r="IG124" s="102">
        <f t="shared" si="751"/>
        <v>218.90463047000003</v>
      </c>
      <c r="IH124" s="102">
        <f t="shared" si="742"/>
        <v>197.61545528999989</v>
      </c>
      <c r="II124" s="102">
        <f t="shared" si="619"/>
        <v>-313.17155094999998</v>
      </c>
      <c r="IJ124" s="102">
        <f t="shared" si="620"/>
        <v>-75.386990389999994</v>
      </c>
      <c r="IK124" s="102">
        <f t="shared" si="621"/>
        <v>100.22418977000001</v>
      </c>
      <c r="IL124" s="102">
        <f t="shared" si="607"/>
        <v>-452.98577540999997</v>
      </c>
      <c r="IM124" s="102">
        <f t="shared" si="752"/>
        <v>0</v>
      </c>
      <c r="IN124" s="102">
        <f t="shared" si="608"/>
        <v>-452.98577540999997</v>
      </c>
      <c r="IP124" s="973"/>
      <c r="IQ124" s="973"/>
      <c r="IR124" s="973"/>
      <c r="IS124" s="973"/>
      <c r="IT124" s="973"/>
      <c r="IU124" s="973"/>
      <c r="IV124" s="973"/>
      <c r="IW124" s="973"/>
      <c r="IX124" s="973"/>
      <c r="IY124" s="973"/>
      <c r="JA124" s="102">
        <f t="shared" si="727"/>
        <v>303.26433100999998</v>
      </c>
      <c r="JB124" s="102">
        <f t="shared" si="727"/>
        <v>616.57358817999989</v>
      </c>
      <c r="JC124" s="102">
        <f t="shared" si="727"/>
        <v>1005.4924514600001</v>
      </c>
      <c r="JD124" s="102">
        <f t="shared" si="727"/>
        <v>324.80004122000003</v>
      </c>
      <c r="JE124" s="102">
        <f t="shared" si="727"/>
        <v>543.70467169000005</v>
      </c>
      <c r="JF124" s="102">
        <f t="shared" si="727"/>
        <v>741.32012697999994</v>
      </c>
      <c r="JG124" s="102">
        <f t="shared" si="727"/>
        <v>428.14857602999996</v>
      </c>
      <c r="JH124" s="102">
        <f t="shared" si="727"/>
        <v>352.76158563999996</v>
      </c>
      <c r="JI124" s="102">
        <f t="shared" si="727"/>
        <v>452.98577540999997</v>
      </c>
      <c r="JJ124" s="102">
        <f t="shared" si="727"/>
        <v>372.89824778000002</v>
      </c>
      <c r="JK124" s="102">
        <f t="shared" si="727"/>
        <v>268.87641309000003</v>
      </c>
      <c r="JL124" s="102">
        <f t="shared" si="728"/>
        <v>268.87641309000003</v>
      </c>
      <c r="JM124" s="102"/>
      <c r="JN124" s="102"/>
      <c r="JP124" s="102">
        <f t="shared" si="701"/>
        <v>0</v>
      </c>
      <c r="JQ124" s="102">
        <f t="shared" si="702"/>
        <v>0</v>
      </c>
      <c r="JR124" s="145"/>
      <c r="JS124" s="929" t="str">
        <f t="shared" si="753"/>
        <v>NA</v>
      </c>
      <c r="JT124" s="930">
        <f t="shared" si="754"/>
        <v>0</v>
      </c>
      <c r="JV124" s="973"/>
      <c r="JW124" s="973"/>
      <c r="JY124" s="929">
        <f t="shared" si="729"/>
        <v>0.63077444563918106</v>
      </c>
      <c r="JZ124" s="929">
        <f t="shared" si="730"/>
        <v>-0.67697416251272469</v>
      </c>
      <c r="KA124" s="929">
        <f t="shared" si="731"/>
        <v>0.67396737281116037</v>
      </c>
      <c r="KB124" s="929">
        <f t="shared" si="732"/>
        <v>0.36346102135880254</v>
      </c>
      <c r="KC124" s="929">
        <f t="shared" si="733"/>
        <v>-0.4224511645539728</v>
      </c>
      <c r="KD124" s="929">
        <f t="shared" si="734"/>
        <v>-0.17607670470149528</v>
      </c>
      <c r="KE124" s="929">
        <f t="shared" si="735"/>
        <v>0.28411310598960937</v>
      </c>
      <c r="KF124" s="929">
        <f t="shared" si="736"/>
        <v>-1</v>
      </c>
      <c r="KH124" s="102">
        <f t="shared" si="704"/>
        <v>388.91886328000021</v>
      </c>
      <c r="KI124" s="102">
        <f t="shared" si="705"/>
        <v>-680.69241024000007</v>
      </c>
      <c r="KJ124" s="102">
        <f t="shared" si="706"/>
        <v>218.90463047000003</v>
      </c>
      <c r="KK124" s="102">
        <f t="shared" si="707"/>
        <v>197.61545528999989</v>
      </c>
      <c r="KL124" s="102">
        <f t="shared" si="708"/>
        <v>-313.17155094999998</v>
      </c>
      <c r="KM124" s="102">
        <f t="shared" si="709"/>
        <v>-75.386990389999994</v>
      </c>
      <c r="KN124" s="102">
        <f t="shared" si="710"/>
        <v>100.22418977000001</v>
      </c>
      <c r="KO124" s="102">
        <f t="shared" si="711"/>
        <v>-452.98577540999997</v>
      </c>
      <c r="KQ124" s="973"/>
      <c r="KR124" s="973"/>
      <c r="KS124" s="973"/>
      <c r="KT124" s="973"/>
      <c r="KU124" s="973"/>
      <c r="KV124" s="973"/>
      <c r="KW124" s="973"/>
      <c r="KX124" s="973"/>
      <c r="KY124" s="973"/>
      <c r="KZ124" s="973"/>
      <c r="LB124" s="102">
        <f t="shared" si="737"/>
        <v>303.26433100999998</v>
      </c>
      <c r="LC124" s="102">
        <f t="shared" si="737"/>
        <v>616.57358817999989</v>
      </c>
      <c r="LD124" s="102">
        <f t="shared" si="737"/>
        <v>1005.4924514600001</v>
      </c>
      <c r="LE124" s="102">
        <f t="shared" si="737"/>
        <v>324.80004122000003</v>
      </c>
      <c r="LF124" s="102">
        <f t="shared" si="737"/>
        <v>543.70467169000005</v>
      </c>
      <c r="LG124" s="102">
        <f t="shared" si="737"/>
        <v>741.32012697999994</v>
      </c>
      <c r="LH124" s="102">
        <f t="shared" si="737"/>
        <v>428.14857602999996</v>
      </c>
      <c r="LI124" s="102">
        <f t="shared" si="737"/>
        <v>352.76158563999996</v>
      </c>
      <c r="LJ124" s="102">
        <f t="shared" si="737"/>
        <v>452.98577540999997</v>
      </c>
      <c r="LK124" s="102">
        <f t="shared" si="737"/>
        <v>372.89824778000002</v>
      </c>
      <c r="LL124" s="102">
        <f t="shared" si="737"/>
        <v>268.87641309000003</v>
      </c>
      <c r="LM124" s="102">
        <f t="shared" si="712"/>
        <v>268.87641309000003</v>
      </c>
      <c r="LN124" s="102"/>
      <c r="LO124" s="102"/>
      <c r="LR124" s="32">
        <f t="shared" si="713"/>
        <v>0.63077444563918106</v>
      </c>
      <c r="LS124" s="32">
        <f t="shared" si="714"/>
        <v>-0.67697416251272469</v>
      </c>
      <c r="LT124" s="32">
        <f t="shared" si="715"/>
        <v>0.67396737281116037</v>
      </c>
      <c r="LU124" s="32">
        <f t="shared" si="716"/>
        <v>0.36346102135880254</v>
      </c>
      <c r="LV124" s="32">
        <f t="shared" si="717"/>
        <v>-0.4224511645539728</v>
      </c>
      <c r="LW124" s="32">
        <f t="shared" si="718"/>
        <v>-0.17607670470149528</v>
      </c>
      <c r="LX124" s="32">
        <f t="shared" si="719"/>
        <v>-1</v>
      </c>
      <c r="LZ124" s="102">
        <f t="shared" si="720"/>
        <v>388.91886328000021</v>
      </c>
      <c r="MA124" s="102">
        <f t="shared" si="721"/>
        <v>-680.69241024000007</v>
      </c>
      <c r="MB124" s="102">
        <f t="shared" si="722"/>
        <v>218.90463047000003</v>
      </c>
      <c r="MC124" s="102">
        <f t="shared" si="723"/>
        <v>197.61545528999989</v>
      </c>
      <c r="MD124" s="102">
        <f t="shared" si="724"/>
        <v>-313.17155094999998</v>
      </c>
      <c r="ME124" s="102">
        <f t="shared" si="725"/>
        <v>-75.386990389999994</v>
      </c>
      <c r="MF124" s="102">
        <f t="shared" si="726"/>
        <v>-352.76158563999996</v>
      </c>
      <c r="MH124" s="973"/>
      <c r="MI124" s="973"/>
      <c r="MJ124" s="973"/>
      <c r="MK124" s="973"/>
      <c r="ML124" s="973"/>
      <c r="MM124" s="973"/>
      <c r="MN124" s="973"/>
      <c r="MO124" s="973"/>
      <c r="MP124" s="973"/>
    </row>
    <row r="125" spans="1:354" outlineLevel="2">
      <c r="A125" s="884"/>
      <c r="B125" s="70"/>
      <c r="C125" s="29" t="s">
        <v>265</v>
      </c>
      <c r="D125" s="31" t="s">
        <v>59</v>
      </c>
      <c r="E125" s="102">
        <v>49.824469280000002</v>
      </c>
      <c r="F125" s="102">
        <v>45.203743010000004</v>
      </c>
      <c r="G125" s="102">
        <v>43.50099384</v>
      </c>
      <c r="H125" s="102">
        <v>71.141521010000005</v>
      </c>
      <c r="I125" s="102">
        <v>106.34959344000001</v>
      </c>
      <c r="J125" s="102">
        <v>117.88453885</v>
      </c>
      <c r="K125" s="102">
        <v>103.85475443</v>
      </c>
      <c r="L125" s="102">
        <v>92.617714430000007</v>
      </c>
      <c r="M125" s="102">
        <v>39.189177430000001</v>
      </c>
      <c r="N125" s="102">
        <v>4.6242782299999945</v>
      </c>
      <c r="O125" s="102">
        <v>23.391938230000001</v>
      </c>
      <c r="P125" s="102">
        <v>45.683813000000001</v>
      </c>
      <c r="Q125" s="102">
        <v>13.716889500000001</v>
      </c>
      <c r="R125" s="102">
        <v>12.096480699999999</v>
      </c>
      <c r="S125" s="102">
        <v>8.5949247</v>
      </c>
      <c r="T125" s="102">
        <v>-8.3211913000000042</v>
      </c>
      <c r="U125" s="102">
        <v>11.584243259999994</v>
      </c>
      <c r="V125" s="102">
        <v>47.437652140000004</v>
      </c>
      <c r="W125" s="102">
        <v>74.353507899999997</v>
      </c>
      <c r="X125" s="102">
        <v>53.527625399999998</v>
      </c>
      <c r="Y125" s="102">
        <v>64.112806399999982</v>
      </c>
      <c r="Z125" s="102">
        <v>82.05139392000001</v>
      </c>
      <c r="AA125" s="102">
        <v>79.417924280000008</v>
      </c>
      <c r="AB125" s="102">
        <v>151.64571827999998</v>
      </c>
      <c r="AC125" s="102">
        <v>187.2438631</v>
      </c>
      <c r="AD125" s="102">
        <v>162.76928896999999</v>
      </c>
      <c r="AE125" s="102">
        <v>127.53124169</v>
      </c>
      <c r="AF125" s="102">
        <v>131.77173058</v>
      </c>
      <c r="AG125" s="102">
        <v>133.58298574999998</v>
      </c>
      <c r="AH125" s="102">
        <v>108.63143907999999</v>
      </c>
      <c r="AI125" s="102">
        <v>107.60204241</v>
      </c>
      <c r="AJ125" s="102">
        <v>82.023335729999999</v>
      </c>
      <c r="AK125" s="102">
        <v>60.394557570000003</v>
      </c>
      <c r="AL125" s="102">
        <v>47.578074040000004</v>
      </c>
      <c r="AM125" s="102">
        <v>74.291846559999982</v>
      </c>
      <c r="AN125" s="220">
        <v>217.41029005000001</v>
      </c>
      <c r="AO125" s="220">
        <v>191.66486455</v>
      </c>
      <c r="AP125" s="220">
        <v>187.55746994</v>
      </c>
      <c r="AQ125" s="220">
        <v>181.79738536000002</v>
      </c>
      <c r="AR125" s="220">
        <v>242.09916036000001</v>
      </c>
      <c r="AS125" s="220">
        <v>322.52737418999999</v>
      </c>
      <c r="AT125" s="220">
        <v>310.23780348999998</v>
      </c>
      <c r="AU125" s="220">
        <v>300.10000036000002</v>
      </c>
      <c r="AV125" s="220">
        <v>300.10000036000002</v>
      </c>
      <c r="AW125" s="220">
        <v>300</v>
      </c>
      <c r="AX125" s="220">
        <v>300</v>
      </c>
      <c r="AY125" s="220">
        <v>300</v>
      </c>
      <c r="AZ125" s="102">
        <f>SUM(AZ126:AZ129)</f>
        <v>12.34993755</v>
      </c>
      <c r="BA125" s="102">
        <v>12.34993755</v>
      </c>
      <c r="BB125" s="102">
        <v>12.34993755</v>
      </c>
      <c r="BC125" s="102">
        <v>12.34993755</v>
      </c>
      <c r="BD125" s="102">
        <v>0</v>
      </c>
      <c r="BE125" s="102">
        <v>0</v>
      </c>
      <c r="BF125" s="102">
        <v>0.96388799999999997</v>
      </c>
      <c r="BG125" s="102">
        <v>0</v>
      </c>
      <c r="BH125" s="102">
        <v>0.38850460999999997</v>
      </c>
      <c r="BI125" s="102">
        <v>8.3902500000000005E-2</v>
      </c>
      <c r="BJ125" s="102">
        <v>1.2544999999999999</v>
      </c>
      <c r="BK125" s="102">
        <v>5.7013999999999996</v>
      </c>
      <c r="BL125" s="102">
        <v>2.6406670000000001</v>
      </c>
      <c r="BM125" s="974">
        <f t="shared" ref="BM125:DX125" si="759">SUM(BM126:BM129)</f>
        <v>2.6406670000000001</v>
      </c>
      <c r="BN125" s="102">
        <f t="shared" si="759"/>
        <v>2.6406670000000001</v>
      </c>
      <c r="BO125" s="102">
        <f t="shared" si="759"/>
        <v>2.6406670000000001</v>
      </c>
      <c r="BP125" s="102">
        <f t="shared" si="759"/>
        <v>2.6406670000000001</v>
      </c>
      <c r="BQ125" s="102">
        <f t="shared" si="759"/>
        <v>2.6406670000000001</v>
      </c>
      <c r="BR125" s="102">
        <f t="shared" si="759"/>
        <v>2.6406670000000001</v>
      </c>
      <c r="BS125" s="102">
        <f t="shared" si="759"/>
        <v>2.6406670000000001</v>
      </c>
      <c r="BT125" s="102">
        <f t="shared" si="759"/>
        <v>2.6406670000000001</v>
      </c>
      <c r="BU125" s="102">
        <f t="shared" si="759"/>
        <v>2.770667</v>
      </c>
      <c r="BV125" s="102">
        <f t="shared" si="759"/>
        <v>2.6406670000000001</v>
      </c>
      <c r="BW125" s="102">
        <f t="shared" si="759"/>
        <v>2.6406670000000001</v>
      </c>
      <c r="BX125" s="102">
        <f t="shared" si="759"/>
        <v>5.3220590000000003</v>
      </c>
      <c r="BY125" s="102">
        <f t="shared" si="759"/>
        <v>31.201367000000001</v>
      </c>
      <c r="BZ125" s="102">
        <f t="shared" si="759"/>
        <v>42.024366999999998</v>
      </c>
      <c r="CA125" s="102">
        <f t="shared" si="759"/>
        <v>46.424926999999997</v>
      </c>
      <c r="CB125" s="102">
        <f t="shared" si="759"/>
        <v>33.314926999999997</v>
      </c>
      <c r="CC125" s="102">
        <f t="shared" si="759"/>
        <v>32.252927</v>
      </c>
      <c r="CD125" s="102">
        <f t="shared" si="759"/>
        <v>2.6406670000000001</v>
      </c>
      <c r="CE125" s="102">
        <f t="shared" si="759"/>
        <v>2.6406670000000001</v>
      </c>
      <c r="CF125" s="102">
        <f t="shared" si="759"/>
        <v>2.6406670000000001</v>
      </c>
      <c r="CG125" s="102">
        <f t="shared" si="759"/>
        <v>34.133541000000001</v>
      </c>
      <c r="CH125" s="102">
        <f t="shared" si="759"/>
        <v>28.940381000000002</v>
      </c>
      <c r="CI125" s="102">
        <f t="shared" si="759"/>
        <v>34.133541000000001</v>
      </c>
      <c r="CJ125" s="102">
        <f t="shared" si="759"/>
        <v>51.467167000000003</v>
      </c>
      <c r="CK125" s="102">
        <f t="shared" si="759"/>
        <v>32.640667000000001</v>
      </c>
      <c r="CL125" s="102">
        <f t="shared" si="759"/>
        <v>32.640667000000001</v>
      </c>
      <c r="CM125" s="102">
        <f t="shared" si="759"/>
        <v>32.640667000000001</v>
      </c>
      <c r="CN125" s="102">
        <f t="shared" si="759"/>
        <v>24.887117</v>
      </c>
      <c r="CO125" s="102">
        <f t="shared" si="759"/>
        <v>32.640667000000001</v>
      </c>
      <c r="CP125" s="102">
        <f t="shared" si="759"/>
        <v>32.640667000000001</v>
      </c>
      <c r="CQ125" s="102">
        <f t="shared" si="759"/>
        <v>32.640667000000001</v>
      </c>
      <c r="CR125" s="102">
        <f t="shared" si="759"/>
        <v>32.640667000000001</v>
      </c>
      <c r="CS125" s="102">
        <f t="shared" si="759"/>
        <v>32.640667000000001</v>
      </c>
      <c r="CT125" s="102">
        <f t="shared" si="759"/>
        <v>32.640667000000001</v>
      </c>
      <c r="CU125" s="102">
        <f t="shared" si="759"/>
        <v>32.640667000000001</v>
      </c>
      <c r="CV125" s="102">
        <f t="shared" si="759"/>
        <v>32.640667000000001</v>
      </c>
      <c r="CW125" s="102">
        <f t="shared" si="759"/>
        <v>32.640667000000001</v>
      </c>
      <c r="CX125" s="102">
        <f t="shared" si="759"/>
        <v>32.640667000000001</v>
      </c>
      <c r="CY125" s="102">
        <f t="shared" si="759"/>
        <v>32.640667000000001</v>
      </c>
      <c r="CZ125" s="102">
        <f t="shared" si="759"/>
        <v>32.640667000000001</v>
      </c>
      <c r="DA125" s="102">
        <f t="shared" si="759"/>
        <v>32.640667000000001</v>
      </c>
      <c r="DB125" s="102">
        <f t="shared" si="759"/>
        <v>32.640667000000001</v>
      </c>
      <c r="DC125" s="102">
        <f t="shared" si="759"/>
        <v>32.640667000000001</v>
      </c>
      <c r="DD125" s="102">
        <f t="shared" si="759"/>
        <v>32.640667000000001</v>
      </c>
      <c r="DE125" s="102">
        <f t="shared" si="759"/>
        <v>32.640667000000001</v>
      </c>
      <c r="DF125" s="102">
        <f t="shared" si="759"/>
        <v>32.640667000000001</v>
      </c>
      <c r="DG125" s="102">
        <f t="shared" si="759"/>
        <v>32.640667000000001</v>
      </c>
      <c r="DH125" s="102">
        <f t="shared" si="759"/>
        <v>130.80366700000002</v>
      </c>
      <c r="DI125" s="102">
        <f t="shared" si="759"/>
        <v>154.80366700000002</v>
      </c>
      <c r="DJ125" s="102">
        <f t="shared" si="759"/>
        <v>124.08066700000001</v>
      </c>
      <c r="DK125" s="102">
        <f t="shared" si="759"/>
        <v>116.70066700000001</v>
      </c>
      <c r="DL125" s="102">
        <f t="shared" si="759"/>
        <v>142.44785400000001</v>
      </c>
      <c r="DM125" s="102">
        <f t="shared" si="759"/>
        <v>152.64756145000001</v>
      </c>
      <c r="DN125" s="102">
        <f t="shared" si="759"/>
        <v>127.15839728</v>
      </c>
      <c r="DO125" s="102">
        <f t="shared" si="759"/>
        <v>122.17569857999999</v>
      </c>
      <c r="DP125" s="102">
        <f t="shared" si="759"/>
        <v>122.17569857999999</v>
      </c>
      <c r="DQ125" s="940">
        <f t="shared" si="759"/>
        <v>101.15852</v>
      </c>
      <c r="DR125" s="940">
        <f t="shared" si="759"/>
        <v>97.270216000000005</v>
      </c>
      <c r="DS125" s="940">
        <f t="shared" si="759"/>
        <v>92.661912000000001</v>
      </c>
      <c r="DT125" s="940">
        <f t="shared" si="759"/>
        <v>63.773608000000003</v>
      </c>
      <c r="DU125" s="940">
        <f t="shared" si="759"/>
        <v>60.091836000000001</v>
      </c>
      <c r="DV125" s="940">
        <f t="shared" si="759"/>
        <v>76.430053000000001</v>
      </c>
      <c r="DW125" s="940">
        <f t="shared" si="759"/>
        <v>76.679734999999994</v>
      </c>
      <c r="DX125" s="940">
        <f t="shared" si="759"/>
        <v>76.955160000000006</v>
      </c>
      <c r="DY125" s="940">
        <f t="shared" ref="DY125:EF125" si="760">SUM(DY126:DY129)</f>
        <v>77.230387000000007</v>
      </c>
      <c r="DZ125" s="940">
        <f t="shared" si="760"/>
        <v>77.522061000000008</v>
      </c>
      <c r="EA125" s="940">
        <f t="shared" si="760"/>
        <v>97.840413999999996</v>
      </c>
      <c r="EB125" s="940">
        <f t="shared" si="760"/>
        <v>98.182980999999998</v>
      </c>
      <c r="EC125" s="940">
        <f t="shared" si="760"/>
        <v>98.538863000000006</v>
      </c>
      <c r="ED125" s="940">
        <f t="shared" si="760"/>
        <v>98.920141999999998</v>
      </c>
      <c r="EE125" s="940">
        <f t="shared" si="760"/>
        <v>99.313256999999993</v>
      </c>
      <c r="EF125" s="940">
        <f t="shared" si="760"/>
        <v>99.709997000000001</v>
      </c>
      <c r="EH125" s="102" t="e">
        <v>#VALUE!</v>
      </c>
      <c r="EI125" s="102" t="e">
        <v>#VALUE!</v>
      </c>
      <c r="EJ125" s="102" t="e">
        <v>#VALUE!</v>
      </c>
      <c r="EK125" s="102" t="e">
        <v>#VALUE!</v>
      </c>
      <c r="EL125" s="102" t="e">
        <v>#VALUE!</v>
      </c>
      <c r="EM125" s="102" t="e">
        <v>#VALUE!</v>
      </c>
      <c r="EN125" s="102" t="e">
        <v>#VALUE!</v>
      </c>
      <c r="EO125" s="102" t="e">
        <v>#VALUE!</v>
      </c>
      <c r="EP125" s="102" t="e">
        <v>#VALUE!</v>
      </c>
      <c r="EQ125" s="102" t="e">
        <v>#VALUE!</v>
      </c>
      <c r="ER125" s="102" t="e">
        <v>#VALUE!</v>
      </c>
      <c r="ES125" s="102" t="e">
        <v>#VALUE!</v>
      </c>
      <c r="EU125" s="102">
        <v>251.95618683999999</v>
      </c>
      <c r="EV125" s="102">
        <v>243.20017187000002</v>
      </c>
      <c r="EW125" s="102">
        <v>238.20017187000002</v>
      </c>
      <c r="EX125" s="102">
        <v>233.20017187000002</v>
      </c>
      <c r="EY125" s="102">
        <v>48.200171870000005</v>
      </c>
      <c r="EZ125" s="102">
        <v>0</v>
      </c>
      <c r="FA125" s="102">
        <v>0</v>
      </c>
      <c r="FB125" s="102">
        <v>0</v>
      </c>
      <c r="FC125" s="102">
        <v>0</v>
      </c>
      <c r="FD125" s="102">
        <v>0</v>
      </c>
      <c r="FE125" s="102">
        <v>0</v>
      </c>
      <c r="FF125" s="102">
        <v>0</v>
      </c>
      <c r="FG125" s="102">
        <f t="shared" ref="FG125:HB125" si="761">+SUM(FG126:FG129)</f>
        <v>60</v>
      </c>
      <c r="FH125" s="102">
        <f t="shared" si="761"/>
        <v>60</v>
      </c>
      <c r="FI125" s="102">
        <f t="shared" si="761"/>
        <v>60</v>
      </c>
      <c r="FJ125" s="102">
        <f t="shared" si="761"/>
        <v>60</v>
      </c>
      <c r="FK125" s="102">
        <f t="shared" si="761"/>
        <v>60</v>
      </c>
      <c r="FL125" s="102">
        <f t="shared" si="761"/>
        <v>60</v>
      </c>
      <c r="FM125" s="102">
        <f t="shared" si="761"/>
        <v>60</v>
      </c>
      <c r="FN125" s="102">
        <f t="shared" si="761"/>
        <v>60</v>
      </c>
      <c r="FO125" s="102">
        <f t="shared" si="761"/>
        <v>60</v>
      </c>
      <c r="FP125" s="102">
        <f t="shared" si="761"/>
        <v>120</v>
      </c>
      <c r="FQ125" s="102">
        <f t="shared" si="761"/>
        <v>120</v>
      </c>
      <c r="FR125" s="102">
        <f t="shared" si="761"/>
        <v>180</v>
      </c>
      <c r="FS125" s="102">
        <f t="shared" si="761"/>
        <v>2.6406670000000001</v>
      </c>
      <c r="FT125" s="102">
        <f t="shared" si="761"/>
        <v>2.6406670000000001</v>
      </c>
      <c r="FU125" s="102">
        <f t="shared" si="761"/>
        <v>2.6406670000000001</v>
      </c>
      <c r="FV125" s="102">
        <f t="shared" si="761"/>
        <v>2.6406670000000001</v>
      </c>
      <c r="FW125" s="102">
        <f t="shared" si="761"/>
        <v>2.6406670000000001</v>
      </c>
      <c r="FX125" s="102">
        <f t="shared" si="761"/>
        <v>2.6406670000000001</v>
      </c>
      <c r="FY125" s="102">
        <f t="shared" si="761"/>
        <v>2.6406670000000001</v>
      </c>
      <c r="FZ125" s="102">
        <f t="shared" si="761"/>
        <v>2.6406670000000001</v>
      </c>
      <c r="GA125" s="102">
        <f t="shared" si="761"/>
        <v>2.6406670000000001</v>
      </c>
      <c r="GB125" s="102">
        <f t="shared" si="761"/>
        <v>2.6406670000000001</v>
      </c>
      <c r="GC125" s="102">
        <f t="shared" si="761"/>
        <v>2.6406670000000001</v>
      </c>
      <c r="GD125" s="102">
        <f t="shared" si="761"/>
        <v>2.6406670000000001</v>
      </c>
      <c r="GE125" s="102">
        <f t="shared" si="761"/>
        <v>0</v>
      </c>
      <c r="GF125" s="102">
        <f t="shared" si="761"/>
        <v>0</v>
      </c>
      <c r="GG125" s="102">
        <f t="shared" si="761"/>
        <v>0</v>
      </c>
      <c r="GH125" s="102">
        <f t="shared" si="761"/>
        <v>0</v>
      </c>
      <c r="GI125" s="102">
        <f t="shared" si="761"/>
        <v>0</v>
      </c>
      <c r="GJ125" s="102">
        <f t="shared" si="761"/>
        <v>0</v>
      </c>
      <c r="GK125" s="102">
        <f t="shared" si="761"/>
        <v>0</v>
      </c>
      <c r="GL125" s="102">
        <f t="shared" si="761"/>
        <v>0</v>
      </c>
      <c r="GM125" s="102">
        <f t="shared" si="761"/>
        <v>0</v>
      </c>
      <c r="GN125" s="102">
        <f t="shared" si="761"/>
        <v>0</v>
      </c>
      <c r="GO125" s="102">
        <f t="shared" si="761"/>
        <v>0</v>
      </c>
      <c r="GP125" s="102">
        <f t="shared" si="761"/>
        <v>0</v>
      </c>
      <c r="GQ125" s="102">
        <f t="shared" si="761"/>
        <v>0</v>
      </c>
      <c r="GR125" s="102">
        <f t="shared" si="761"/>
        <v>0</v>
      </c>
      <c r="GS125" s="102">
        <f t="shared" si="761"/>
        <v>0</v>
      </c>
      <c r="GT125" s="102">
        <f t="shared" si="761"/>
        <v>0</v>
      </c>
      <c r="GU125" s="102">
        <f t="shared" si="761"/>
        <v>0</v>
      </c>
      <c r="GV125" s="102">
        <f t="shared" si="761"/>
        <v>0</v>
      </c>
      <c r="GW125" s="102">
        <f t="shared" si="761"/>
        <v>0</v>
      </c>
      <c r="GX125" s="102">
        <f t="shared" si="761"/>
        <v>0</v>
      </c>
      <c r="GY125" s="102">
        <f t="shared" si="761"/>
        <v>0</v>
      </c>
      <c r="GZ125" s="102">
        <f t="shared" si="761"/>
        <v>0</v>
      </c>
      <c r="HA125" s="102">
        <f t="shared" si="761"/>
        <v>0</v>
      </c>
      <c r="HB125" s="102">
        <f t="shared" si="761"/>
        <v>0</v>
      </c>
      <c r="HD125" s="102">
        <f t="shared" si="743"/>
        <v>45.683813000000001</v>
      </c>
      <c r="HE125" s="102">
        <f t="shared" si="743"/>
        <v>151.64571827999998</v>
      </c>
      <c r="HF125" s="102">
        <f t="shared" si="743"/>
        <v>217.41029005000001</v>
      </c>
      <c r="HG125" s="102">
        <f t="shared" si="743"/>
        <v>12.34993755</v>
      </c>
      <c r="HH125" s="102">
        <f t="shared" si="744"/>
        <v>2.6406670000000001</v>
      </c>
      <c r="HI125" s="102">
        <f t="shared" si="695"/>
        <v>5.3220590000000003</v>
      </c>
      <c r="HJ125" s="102">
        <f t="shared" si="696"/>
        <v>51.467167000000003</v>
      </c>
      <c r="HK125" s="102">
        <f t="shared" si="697"/>
        <v>32.640667000000001</v>
      </c>
      <c r="HL125" s="940">
        <f>+SUMIFS($E125:SEW125,$E$6:SEW$6,HL$7,$E$5:SEW$5,12)</f>
        <v>130.80366700000002</v>
      </c>
      <c r="HM125" s="940">
        <f>+SUMIFS($E125:SEX125,$E$6:SEX$6,HM$7,$E$5:SEX$5,12)</f>
        <v>63.773608000000003</v>
      </c>
      <c r="HN125" s="940">
        <f>+SUMIFS($E125:SEY125,$E$6:SEY$6,HN$7,$E$5:SEY$5,12)</f>
        <v>99.709997000000001</v>
      </c>
      <c r="HO125" s="102"/>
      <c r="HP125" s="102"/>
      <c r="HR125" s="929">
        <f t="shared" si="745"/>
        <v>0.43367246049487362</v>
      </c>
      <c r="HS125" s="929">
        <f t="shared" si="746"/>
        <v>-0.94319524826925272</v>
      </c>
      <c r="HT125" s="929">
        <f t="shared" si="747"/>
        <v>-0.78617972849587403</v>
      </c>
      <c r="HU125" s="929">
        <f t="shared" si="738"/>
        <v>1.0154222399113557</v>
      </c>
      <c r="HV125" s="929">
        <f t="shared" si="739"/>
        <v>8.6705367227232912</v>
      </c>
      <c r="HW125" s="929">
        <f t="shared" si="740"/>
        <v>-0.3657963143765034</v>
      </c>
      <c r="HX125" s="929">
        <f t="shared" si="741"/>
        <v>3.0073833969140402</v>
      </c>
      <c r="HY125" s="929">
        <f t="shared" si="741"/>
        <v>-0.51244785820874583</v>
      </c>
      <c r="HZ125" s="929">
        <f t="shared" si="741"/>
        <v>0.56349938676826938</v>
      </c>
      <c r="IA125" s="929">
        <f t="shared" si="604"/>
        <v>-1</v>
      </c>
      <c r="IB125" s="929" t="str">
        <f t="shared" si="748"/>
        <v/>
      </c>
      <c r="IC125" s="929">
        <f t="shared" si="605"/>
        <v>-1</v>
      </c>
      <c r="IE125" s="102">
        <f t="shared" si="749"/>
        <v>65.764571770000032</v>
      </c>
      <c r="IF125" s="102">
        <f t="shared" si="750"/>
        <v>-205.06035250000002</v>
      </c>
      <c r="IG125" s="102">
        <f t="shared" si="751"/>
        <v>-9.7092705499999994</v>
      </c>
      <c r="IH125" s="102">
        <f t="shared" si="742"/>
        <v>2.6813920000000002</v>
      </c>
      <c r="II125" s="102">
        <f t="shared" si="619"/>
        <v>46.145108</v>
      </c>
      <c r="IJ125" s="102">
        <f t="shared" si="620"/>
        <v>-18.826500000000003</v>
      </c>
      <c r="IK125" s="102">
        <f t="shared" si="621"/>
        <v>98.163000000000011</v>
      </c>
      <c r="IL125" s="102">
        <f t="shared" si="607"/>
        <v>-130.80366700000002</v>
      </c>
      <c r="IM125" s="102">
        <f t="shared" si="752"/>
        <v>0</v>
      </c>
      <c r="IN125" s="102">
        <f t="shared" si="608"/>
        <v>-130.80366700000002</v>
      </c>
      <c r="IP125" s="973"/>
      <c r="IQ125" s="973"/>
      <c r="IR125" s="973"/>
      <c r="IS125" s="973"/>
      <c r="IT125" s="973"/>
      <c r="IU125" s="973"/>
      <c r="IV125" s="973"/>
      <c r="IW125" s="973"/>
      <c r="IX125" s="973"/>
      <c r="IY125" s="973"/>
      <c r="JA125" s="102">
        <f t="shared" si="727"/>
        <v>45.683813000000001</v>
      </c>
      <c r="JB125" s="102">
        <f t="shared" si="727"/>
        <v>151.64571827999998</v>
      </c>
      <c r="JC125" s="102">
        <f t="shared" si="727"/>
        <v>217.41029005000001</v>
      </c>
      <c r="JD125" s="102">
        <f t="shared" si="727"/>
        <v>12.34993755</v>
      </c>
      <c r="JE125" s="102">
        <f t="shared" si="727"/>
        <v>2.6406670000000001</v>
      </c>
      <c r="JF125" s="102">
        <f t="shared" si="727"/>
        <v>5.3220590000000003</v>
      </c>
      <c r="JG125" s="102">
        <f t="shared" si="727"/>
        <v>51.467167000000003</v>
      </c>
      <c r="JH125" s="102">
        <f t="shared" si="727"/>
        <v>32.640667000000001</v>
      </c>
      <c r="JI125" s="102">
        <f t="shared" si="727"/>
        <v>130.80366700000002</v>
      </c>
      <c r="JJ125" s="102">
        <f t="shared" si="727"/>
        <v>63.773608000000003</v>
      </c>
      <c r="JK125" s="102">
        <f t="shared" si="727"/>
        <v>99.709997000000001</v>
      </c>
      <c r="JL125" s="102">
        <f t="shared" si="728"/>
        <v>99.709997000000001</v>
      </c>
      <c r="JM125" s="102"/>
      <c r="JN125" s="102"/>
      <c r="JP125" s="102">
        <f t="shared" si="701"/>
        <v>0</v>
      </c>
      <c r="JQ125" s="102">
        <f t="shared" si="702"/>
        <v>0</v>
      </c>
      <c r="JR125" s="145"/>
      <c r="JS125" s="929" t="str">
        <f t="shared" si="753"/>
        <v>NA</v>
      </c>
      <c r="JT125" s="930">
        <f t="shared" si="754"/>
        <v>0</v>
      </c>
      <c r="JV125" s="973"/>
      <c r="JW125" s="973"/>
      <c r="JY125" s="929">
        <f t="shared" si="729"/>
        <v>0.43367246049487362</v>
      </c>
      <c r="JZ125" s="929">
        <f t="shared" si="730"/>
        <v>-0.94319524826925272</v>
      </c>
      <c r="KA125" s="929">
        <f t="shared" si="731"/>
        <v>-0.78617972849587403</v>
      </c>
      <c r="KB125" s="929">
        <f t="shared" si="732"/>
        <v>1.0154222399113557</v>
      </c>
      <c r="KC125" s="929">
        <f t="shared" si="733"/>
        <v>8.6705367227232912</v>
      </c>
      <c r="KD125" s="929">
        <f t="shared" si="734"/>
        <v>-0.3657963143765034</v>
      </c>
      <c r="KE125" s="929">
        <f t="shared" si="735"/>
        <v>3.0073833969140402</v>
      </c>
      <c r="KF125" s="929">
        <f t="shared" si="736"/>
        <v>-1</v>
      </c>
      <c r="KH125" s="102">
        <f t="shared" si="704"/>
        <v>65.764571770000032</v>
      </c>
      <c r="KI125" s="102">
        <f t="shared" si="705"/>
        <v>-205.06035250000002</v>
      </c>
      <c r="KJ125" s="102">
        <f t="shared" si="706"/>
        <v>-9.7092705499999994</v>
      </c>
      <c r="KK125" s="102">
        <f t="shared" si="707"/>
        <v>2.6813920000000002</v>
      </c>
      <c r="KL125" s="102">
        <f t="shared" si="708"/>
        <v>46.145108</v>
      </c>
      <c r="KM125" s="102">
        <f t="shared" si="709"/>
        <v>-18.826500000000003</v>
      </c>
      <c r="KN125" s="102">
        <f t="shared" si="710"/>
        <v>98.163000000000011</v>
      </c>
      <c r="KO125" s="102">
        <f t="shared" si="711"/>
        <v>-130.80366700000002</v>
      </c>
      <c r="KQ125" s="973"/>
      <c r="KR125" s="973"/>
      <c r="KS125" s="973"/>
      <c r="KT125" s="973"/>
      <c r="KU125" s="973"/>
      <c r="KV125" s="973"/>
      <c r="KW125" s="973"/>
      <c r="KX125" s="973"/>
      <c r="KY125" s="973"/>
      <c r="KZ125" s="973"/>
      <c r="LB125" s="102">
        <f t="shared" si="737"/>
        <v>45.683813000000001</v>
      </c>
      <c r="LC125" s="102">
        <f t="shared" si="737"/>
        <v>151.64571827999998</v>
      </c>
      <c r="LD125" s="102">
        <f t="shared" si="737"/>
        <v>217.41029005000001</v>
      </c>
      <c r="LE125" s="102">
        <f t="shared" si="737"/>
        <v>12.34993755</v>
      </c>
      <c r="LF125" s="102">
        <f t="shared" si="737"/>
        <v>2.6406670000000001</v>
      </c>
      <c r="LG125" s="102">
        <f t="shared" si="737"/>
        <v>5.3220590000000003</v>
      </c>
      <c r="LH125" s="102">
        <f t="shared" si="737"/>
        <v>51.467167000000003</v>
      </c>
      <c r="LI125" s="102">
        <f t="shared" si="737"/>
        <v>32.640667000000001</v>
      </c>
      <c r="LJ125" s="102">
        <f t="shared" si="737"/>
        <v>130.80366700000002</v>
      </c>
      <c r="LK125" s="102">
        <f t="shared" si="737"/>
        <v>63.773608000000003</v>
      </c>
      <c r="LL125" s="102">
        <f t="shared" si="737"/>
        <v>99.709997000000001</v>
      </c>
      <c r="LM125" s="102">
        <f t="shared" si="712"/>
        <v>99.709997000000001</v>
      </c>
      <c r="LN125" s="102"/>
      <c r="LO125" s="102"/>
      <c r="LR125" s="32">
        <f t="shared" si="713"/>
        <v>0.43367246049487362</v>
      </c>
      <c r="LS125" s="32">
        <f t="shared" si="714"/>
        <v>-0.94319524826925272</v>
      </c>
      <c r="LT125" s="32">
        <f t="shared" si="715"/>
        <v>-0.78617972849587403</v>
      </c>
      <c r="LU125" s="32">
        <f t="shared" si="716"/>
        <v>1.0154222399113557</v>
      </c>
      <c r="LV125" s="32">
        <f t="shared" si="717"/>
        <v>8.6705367227232912</v>
      </c>
      <c r="LW125" s="32">
        <f t="shared" si="718"/>
        <v>-0.3657963143765034</v>
      </c>
      <c r="LX125" s="32">
        <f t="shared" si="719"/>
        <v>-1</v>
      </c>
      <c r="LZ125" s="102">
        <f t="shared" si="720"/>
        <v>65.764571770000032</v>
      </c>
      <c r="MA125" s="102">
        <f t="shared" si="721"/>
        <v>-205.06035250000002</v>
      </c>
      <c r="MB125" s="102">
        <f t="shared" si="722"/>
        <v>-9.7092705499999994</v>
      </c>
      <c r="MC125" s="102">
        <f t="shared" si="723"/>
        <v>2.6813920000000002</v>
      </c>
      <c r="MD125" s="102">
        <f t="shared" si="724"/>
        <v>46.145108</v>
      </c>
      <c r="ME125" s="102">
        <f t="shared" si="725"/>
        <v>-18.826500000000003</v>
      </c>
      <c r="MF125" s="102">
        <f t="shared" si="726"/>
        <v>-32.640667000000001</v>
      </c>
      <c r="MH125" s="973"/>
      <c r="MI125" s="973"/>
      <c r="MJ125" s="973"/>
      <c r="MK125" s="973"/>
      <c r="ML125" s="973"/>
      <c r="MM125" s="973"/>
      <c r="MN125" s="973"/>
      <c r="MO125" s="973"/>
      <c r="MP125" s="973"/>
    </row>
    <row r="126" spans="1:354" outlineLevel="3">
      <c r="A126" s="884">
        <v>1370</v>
      </c>
      <c r="B126" s="70" t="s">
        <v>689</v>
      </c>
      <c r="C126" s="40" t="s">
        <v>690</v>
      </c>
      <c r="D126" s="31" t="s">
        <v>59</v>
      </c>
      <c r="E126" s="102">
        <v>0</v>
      </c>
      <c r="F126" s="102">
        <v>0</v>
      </c>
      <c r="G126" s="102">
        <v>0</v>
      </c>
      <c r="H126" s="102">
        <v>0</v>
      </c>
      <c r="I126" s="102">
        <v>0</v>
      </c>
      <c r="J126" s="102">
        <v>0</v>
      </c>
      <c r="K126" s="102">
        <v>0</v>
      </c>
      <c r="L126" s="102">
        <v>0</v>
      </c>
      <c r="M126" s="102">
        <v>0</v>
      </c>
      <c r="N126" s="102">
        <v>0</v>
      </c>
      <c r="O126" s="102">
        <v>0</v>
      </c>
      <c r="P126" s="102">
        <v>0</v>
      </c>
      <c r="Q126" s="102">
        <v>0</v>
      </c>
      <c r="R126" s="102">
        <v>0</v>
      </c>
      <c r="S126" s="102">
        <v>0</v>
      </c>
      <c r="T126" s="102">
        <v>0</v>
      </c>
      <c r="U126" s="102">
        <v>0</v>
      </c>
      <c r="V126" s="102">
        <v>0</v>
      </c>
      <c r="W126" s="102">
        <v>0</v>
      </c>
      <c r="X126" s="102">
        <v>0</v>
      </c>
      <c r="Y126" s="102">
        <v>0</v>
      </c>
      <c r="Z126" s="102">
        <v>0</v>
      </c>
      <c r="AA126" s="102">
        <v>0</v>
      </c>
      <c r="AB126" s="102">
        <v>55</v>
      </c>
      <c r="AC126" s="102">
        <v>100.15166667</v>
      </c>
      <c r="AD126" s="102">
        <v>87.247546870000008</v>
      </c>
      <c r="AE126" s="102">
        <v>78.962779799999993</v>
      </c>
      <c r="AF126" s="102">
        <v>79.046701249999998</v>
      </c>
      <c r="AG126" s="102">
        <v>70.740519209999988</v>
      </c>
      <c r="AH126" s="102">
        <v>53.996606799999995</v>
      </c>
      <c r="AI126" s="102">
        <v>54.086601139999999</v>
      </c>
      <c r="AJ126" s="102">
        <v>37.314932200000001</v>
      </c>
      <c r="AK126" s="102">
        <v>28.95323702</v>
      </c>
      <c r="AL126" s="102">
        <v>20.577605690000002</v>
      </c>
      <c r="AM126" s="102">
        <v>20.611901700000001</v>
      </c>
      <c r="AN126" s="145">
        <v>12.188014970000001</v>
      </c>
      <c r="AO126" s="102">
        <v>3.7641282400000002</v>
      </c>
      <c r="AP126" s="145">
        <v>3.7641282400000002</v>
      </c>
      <c r="AQ126" s="220">
        <v>0</v>
      </c>
      <c r="AR126" s="220">
        <v>0</v>
      </c>
      <c r="AS126" s="102">
        <v>0</v>
      </c>
      <c r="AT126" s="102">
        <v>0</v>
      </c>
      <c r="AU126" s="102">
        <v>0</v>
      </c>
      <c r="AV126" s="102">
        <v>0</v>
      </c>
      <c r="AW126" s="102">
        <v>0</v>
      </c>
      <c r="AX126" s="102">
        <v>0</v>
      </c>
      <c r="AY126" s="102">
        <v>0</v>
      </c>
      <c r="AZ126" s="102">
        <v>0</v>
      </c>
      <c r="BA126" s="102">
        <v>0</v>
      </c>
      <c r="BB126" s="102">
        <v>0</v>
      </c>
      <c r="BC126" s="102">
        <v>0</v>
      </c>
      <c r="BD126" s="102">
        <v>0</v>
      </c>
      <c r="BE126" s="102">
        <v>0</v>
      </c>
      <c r="BF126" s="102">
        <v>0</v>
      </c>
      <c r="BG126" s="102">
        <v>0</v>
      </c>
      <c r="BH126" s="102">
        <v>0</v>
      </c>
      <c r="BI126" s="102">
        <v>0</v>
      </c>
      <c r="BJ126" s="102">
        <v>0</v>
      </c>
      <c r="BK126" s="102">
        <v>0</v>
      </c>
      <c r="BL126" s="102">
        <v>0</v>
      </c>
      <c r="BM126" s="974">
        <v>0</v>
      </c>
      <c r="BN126" s="102">
        <v>0</v>
      </c>
      <c r="BO126" s="102">
        <v>0</v>
      </c>
      <c r="BP126" s="102">
        <v>0</v>
      </c>
      <c r="BQ126" s="102">
        <v>0</v>
      </c>
      <c r="BR126" s="102">
        <v>0</v>
      </c>
      <c r="BS126" s="102">
        <v>0</v>
      </c>
      <c r="BT126" s="102">
        <v>0</v>
      </c>
      <c r="BU126" s="102">
        <v>0</v>
      </c>
      <c r="BV126" s="102">
        <v>0</v>
      </c>
      <c r="BW126" s="102">
        <v>0</v>
      </c>
      <c r="BX126" s="102">
        <v>0</v>
      </c>
      <c r="BY126" s="102">
        <v>0</v>
      </c>
      <c r="BZ126" s="102">
        <v>0</v>
      </c>
      <c r="CA126" s="102">
        <v>0</v>
      </c>
      <c r="CB126" s="102">
        <v>0</v>
      </c>
      <c r="CC126" s="102">
        <v>0</v>
      </c>
      <c r="CD126" s="102">
        <v>0</v>
      </c>
      <c r="CE126" s="102">
        <v>0</v>
      </c>
      <c r="CF126" s="102">
        <v>0</v>
      </c>
      <c r="CG126" s="102">
        <v>0</v>
      </c>
      <c r="CH126" s="102">
        <v>0</v>
      </c>
      <c r="CI126" s="102">
        <v>0</v>
      </c>
      <c r="CJ126" s="102">
        <v>0</v>
      </c>
      <c r="CK126" s="102">
        <v>0</v>
      </c>
      <c r="CL126" s="102">
        <v>0</v>
      </c>
      <c r="CM126" s="102">
        <v>0</v>
      </c>
      <c r="CN126" s="102">
        <v>0</v>
      </c>
      <c r="CO126" s="102">
        <v>0</v>
      </c>
      <c r="CP126" s="102">
        <v>0</v>
      </c>
      <c r="CQ126" s="102">
        <v>0</v>
      </c>
      <c r="CR126" s="102">
        <v>0</v>
      </c>
      <c r="CS126" s="102">
        <v>0</v>
      </c>
      <c r="CT126" s="102">
        <v>0</v>
      </c>
      <c r="CU126" s="102">
        <v>0</v>
      </c>
      <c r="CV126" s="102">
        <v>0</v>
      </c>
      <c r="CW126" s="102">
        <v>0</v>
      </c>
      <c r="CX126" s="102">
        <v>0</v>
      </c>
      <c r="CY126" s="102">
        <v>0</v>
      </c>
      <c r="CZ126" s="102">
        <v>0</v>
      </c>
      <c r="DA126" s="102">
        <v>0</v>
      </c>
      <c r="DB126" s="102">
        <v>0</v>
      </c>
      <c r="DC126" s="102">
        <v>0</v>
      </c>
      <c r="DD126" s="102">
        <v>0</v>
      </c>
      <c r="DE126" s="102">
        <v>0</v>
      </c>
      <c r="DF126" s="102">
        <v>0</v>
      </c>
      <c r="DG126" s="102">
        <v>0</v>
      </c>
      <c r="DH126" s="102">
        <v>0</v>
      </c>
      <c r="DI126" s="102">
        <v>0</v>
      </c>
      <c r="DJ126" s="102">
        <v>0</v>
      </c>
      <c r="DK126" s="102">
        <v>0</v>
      </c>
      <c r="DL126" s="102">
        <v>0</v>
      </c>
      <c r="DM126" s="102">
        <v>0</v>
      </c>
      <c r="DN126" s="102">
        <v>0</v>
      </c>
      <c r="DO126" s="102">
        <v>0</v>
      </c>
      <c r="DP126" s="102">
        <v>0</v>
      </c>
      <c r="DQ126" s="940">
        <v>0</v>
      </c>
      <c r="DR126" s="940">
        <v>0</v>
      </c>
      <c r="DS126" s="940">
        <v>0</v>
      </c>
      <c r="DT126" s="940">
        <v>0</v>
      </c>
      <c r="DU126" s="940">
        <v>0</v>
      </c>
      <c r="DV126" s="940">
        <v>0</v>
      </c>
      <c r="DW126" s="940">
        <v>0</v>
      </c>
      <c r="DX126" s="940">
        <v>0</v>
      </c>
      <c r="DY126" s="940">
        <v>0</v>
      </c>
      <c r="DZ126" s="940">
        <v>0</v>
      </c>
      <c r="EA126" s="940">
        <v>0</v>
      </c>
      <c r="EB126" s="940">
        <v>0</v>
      </c>
      <c r="EC126" s="940">
        <v>0</v>
      </c>
      <c r="ED126" s="940">
        <v>0</v>
      </c>
      <c r="EE126" s="940">
        <v>0</v>
      </c>
      <c r="EF126" s="940">
        <v>0</v>
      </c>
      <c r="EH126" s="102">
        <v>0</v>
      </c>
      <c r="EI126" s="102">
        <v>0</v>
      </c>
      <c r="EJ126" s="102">
        <v>0</v>
      </c>
      <c r="EK126" s="102">
        <v>0</v>
      </c>
      <c r="EL126" s="102">
        <v>0</v>
      </c>
      <c r="EM126" s="102">
        <v>0</v>
      </c>
      <c r="EN126" s="102">
        <v>0</v>
      </c>
      <c r="EO126" s="102">
        <v>0</v>
      </c>
      <c r="EP126" s="102">
        <v>0</v>
      </c>
      <c r="EQ126" s="102">
        <v>0</v>
      </c>
      <c r="ER126" s="102">
        <v>0</v>
      </c>
      <c r="ES126" s="102">
        <v>0</v>
      </c>
      <c r="EU126" s="102">
        <v>3.7560149699999998</v>
      </c>
      <c r="EV126" s="102">
        <v>0</v>
      </c>
      <c r="EW126" s="102">
        <v>0</v>
      </c>
      <c r="EX126" s="102">
        <v>0</v>
      </c>
      <c r="EY126" s="102">
        <v>0</v>
      </c>
      <c r="EZ126" s="102">
        <v>0</v>
      </c>
      <c r="FA126" s="102">
        <v>0</v>
      </c>
      <c r="FB126" s="102">
        <v>0</v>
      </c>
      <c r="FC126" s="102">
        <v>0</v>
      </c>
      <c r="FD126" s="102">
        <v>0</v>
      </c>
      <c r="FE126" s="102">
        <v>0</v>
      </c>
      <c r="FF126" s="102">
        <v>0</v>
      </c>
      <c r="FG126" s="102">
        <v>0</v>
      </c>
      <c r="FH126" s="102">
        <v>0</v>
      </c>
      <c r="FI126" s="102">
        <v>0</v>
      </c>
      <c r="FJ126" s="102">
        <v>0</v>
      </c>
      <c r="FK126" s="102">
        <v>0</v>
      </c>
      <c r="FL126" s="102">
        <v>0</v>
      </c>
      <c r="FM126" s="102">
        <v>0</v>
      </c>
      <c r="FN126" s="102">
        <v>0</v>
      </c>
      <c r="FO126" s="102">
        <v>0</v>
      </c>
      <c r="FP126" s="102">
        <v>0</v>
      </c>
      <c r="FQ126" s="102">
        <v>0</v>
      </c>
      <c r="FR126" s="102">
        <v>0</v>
      </c>
      <c r="FS126" s="102"/>
      <c r="FT126" s="102"/>
      <c r="FU126" s="102"/>
      <c r="FV126" s="102"/>
      <c r="FW126" s="102"/>
      <c r="FX126" s="102"/>
      <c r="FY126" s="102"/>
      <c r="FZ126" s="102"/>
      <c r="GA126" s="102"/>
      <c r="GB126" s="102"/>
      <c r="GC126" s="102"/>
      <c r="GD126" s="102"/>
      <c r="GE126" s="102">
        <v>0</v>
      </c>
      <c r="GF126" s="102">
        <v>0</v>
      </c>
      <c r="GG126" s="102">
        <v>0</v>
      </c>
      <c r="GH126" s="102">
        <v>0</v>
      </c>
      <c r="GI126" s="102">
        <v>0</v>
      </c>
      <c r="GJ126" s="102">
        <v>0</v>
      </c>
      <c r="GK126" s="102">
        <v>0</v>
      </c>
      <c r="GL126" s="102">
        <v>0</v>
      </c>
      <c r="GM126" s="102">
        <v>0</v>
      </c>
      <c r="GN126" s="102">
        <v>0</v>
      </c>
      <c r="GO126" s="102">
        <v>0</v>
      </c>
      <c r="GP126" s="102">
        <v>0</v>
      </c>
      <c r="GQ126" s="102">
        <v>0</v>
      </c>
      <c r="GR126" s="102">
        <v>0</v>
      </c>
      <c r="GS126" s="102">
        <v>0</v>
      </c>
      <c r="GT126" s="102">
        <v>0</v>
      </c>
      <c r="GU126" s="102">
        <v>0</v>
      </c>
      <c r="GV126" s="102">
        <v>0</v>
      </c>
      <c r="GW126" s="102">
        <v>0</v>
      </c>
      <c r="GX126" s="102">
        <v>0</v>
      </c>
      <c r="GY126" s="102">
        <v>0</v>
      </c>
      <c r="GZ126" s="102">
        <v>0</v>
      </c>
      <c r="HA126" s="102">
        <v>0</v>
      </c>
      <c r="HB126" s="102">
        <v>0</v>
      </c>
      <c r="HD126" s="102">
        <f t="shared" si="743"/>
        <v>0</v>
      </c>
      <c r="HE126" s="102">
        <f t="shared" si="743"/>
        <v>55</v>
      </c>
      <c r="HF126" s="102">
        <f t="shared" si="743"/>
        <v>12.188014970000001</v>
      </c>
      <c r="HG126" s="102">
        <f t="shared" si="743"/>
        <v>0</v>
      </c>
      <c r="HH126" s="102">
        <f t="shared" si="744"/>
        <v>0</v>
      </c>
      <c r="HI126" s="102">
        <f t="shared" si="695"/>
        <v>0</v>
      </c>
      <c r="HJ126" s="102">
        <f t="shared" si="696"/>
        <v>0</v>
      </c>
      <c r="HK126" s="102">
        <f t="shared" si="697"/>
        <v>0</v>
      </c>
      <c r="HL126" s="940">
        <f>+SUMIFS($E126:SEW126,$E$6:SEW$6,HL$7,$E$5:SEW$5,12)</f>
        <v>0</v>
      </c>
      <c r="HM126" s="940">
        <f>+SUMIFS($E126:SEX126,$E$6:SEX$6,HM$7,$E$5:SEX$5,12)</f>
        <v>0</v>
      </c>
      <c r="HN126" s="940">
        <f>+SUMIFS($E126:SEY126,$E$6:SEY$6,HN$7,$E$5:SEY$5,12)</f>
        <v>0</v>
      </c>
      <c r="HO126" s="102"/>
      <c r="HP126" s="102"/>
      <c r="HR126" s="929">
        <f t="shared" si="745"/>
        <v>-0.77839972781818179</v>
      </c>
      <c r="HS126" s="929">
        <f t="shared" si="746"/>
        <v>-1</v>
      </c>
      <c r="HT126" s="929" t="str">
        <f t="shared" si="747"/>
        <v/>
      </c>
      <c r="HU126" s="929" t="str">
        <f t="shared" si="738"/>
        <v/>
      </c>
      <c r="HV126" s="929" t="str">
        <f t="shared" si="739"/>
        <v/>
      </c>
      <c r="HW126" s="929" t="str">
        <f t="shared" si="740"/>
        <v/>
      </c>
      <c r="HX126" s="929" t="str">
        <f t="shared" si="741"/>
        <v/>
      </c>
      <c r="HY126" s="929" t="str">
        <f t="shared" si="741"/>
        <v/>
      </c>
      <c r="HZ126" s="929" t="str">
        <f t="shared" si="741"/>
        <v/>
      </c>
      <c r="IA126" s="929" t="str">
        <f t="shared" si="604"/>
        <v/>
      </c>
      <c r="IB126" s="929" t="str">
        <f t="shared" si="748"/>
        <v/>
      </c>
      <c r="IC126" s="929" t="str">
        <f t="shared" si="605"/>
        <v/>
      </c>
      <c r="IE126" s="102">
        <f t="shared" si="749"/>
        <v>-42.811985030000002</v>
      </c>
      <c r="IF126" s="102">
        <f t="shared" si="750"/>
        <v>-12.188014970000001</v>
      </c>
      <c r="IG126" s="102">
        <f t="shared" si="751"/>
        <v>0</v>
      </c>
      <c r="IH126" s="102">
        <f t="shared" si="742"/>
        <v>0</v>
      </c>
      <c r="II126" s="102">
        <f t="shared" si="619"/>
        <v>0</v>
      </c>
      <c r="IJ126" s="102">
        <f t="shared" si="620"/>
        <v>0</v>
      </c>
      <c r="IK126" s="102">
        <f t="shared" si="621"/>
        <v>0</v>
      </c>
      <c r="IL126" s="102">
        <f t="shared" si="607"/>
        <v>0</v>
      </c>
      <c r="IM126" s="102">
        <f t="shared" si="752"/>
        <v>0</v>
      </c>
      <c r="IN126" s="102">
        <f t="shared" si="608"/>
        <v>0</v>
      </c>
      <c r="IP126" s="973"/>
      <c r="IQ126" s="973"/>
      <c r="IR126" s="973"/>
      <c r="IS126" s="973"/>
      <c r="IT126" s="973"/>
      <c r="IU126" s="973"/>
      <c r="IV126" s="973"/>
      <c r="IW126" s="973"/>
      <c r="IX126" s="973"/>
      <c r="IY126" s="973"/>
      <c r="JA126" s="102">
        <f t="shared" si="727"/>
        <v>0</v>
      </c>
      <c r="JB126" s="102">
        <f t="shared" si="727"/>
        <v>55</v>
      </c>
      <c r="JC126" s="102">
        <f t="shared" si="727"/>
        <v>12.188014970000001</v>
      </c>
      <c r="JD126" s="102">
        <f t="shared" si="727"/>
        <v>0</v>
      </c>
      <c r="JE126" s="102">
        <f t="shared" si="727"/>
        <v>0</v>
      </c>
      <c r="JF126" s="102">
        <f t="shared" si="727"/>
        <v>0</v>
      </c>
      <c r="JG126" s="102">
        <f t="shared" si="727"/>
        <v>0</v>
      </c>
      <c r="JH126" s="102">
        <f t="shared" si="727"/>
        <v>0</v>
      </c>
      <c r="JI126" s="102">
        <f t="shared" si="727"/>
        <v>0</v>
      </c>
      <c r="JJ126" s="102">
        <f t="shared" si="727"/>
        <v>0</v>
      </c>
      <c r="JK126" s="102">
        <f t="shared" si="727"/>
        <v>0</v>
      </c>
      <c r="JL126" s="102">
        <f t="shared" si="728"/>
        <v>0</v>
      </c>
      <c r="JM126" s="102"/>
      <c r="JN126" s="102"/>
      <c r="JP126" s="102">
        <f t="shared" si="701"/>
        <v>0</v>
      </c>
      <c r="JQ126" s="102">
        <f t="shared" si="702"/>
        <v>0</v>
      </c>
      <c r="JR126" s="145"/>
      <c r="JS126" s="929" t="str">
        <f t="shared" si="753"/>
        <v>NA</v>
      </c>
      <c r="JT126" s="930">
        <f t="shared" si="754"/>
        <v>0</v>
      </c>
      <c r="JV126" s="973"/>
      <c r="JW126" s="973"/>
      <c r="JY126" s="929">
        <f t="shared" si="729"/>
        <v>-0.77839972781818179</v>
      </c>
      <c r="JZ126" s="929">
        <f t="shared" si="730"/>
        <v>-1</v>
      </c>
      <c r="KA126" s="929" t="str">
        <f t="shared" si="731"/>
        <v/>
      </c>
      <c r="KB126" s="929" t="str">
        <f t="shared" si="732"/>
        <v/>
      </c>
      <c r="KC126" s="929" t="str">
        <f t="shared" si="733"/>
        <v/>
      </c>
      <c r="KD126" s="929" t="str">
        <f t="shared" si="734"/>
        <v/>
      </c>
      <c r="KE126" s="929" t="str">
        <f t="shared" si="735"/>
        <v/>
      </c>
      <c r="KF126" s="929" t="str">
        <f t="shared" si="736"/>
        <v/>
      </c>
      <c r="KH126" s="102">
        <f t="shared" si="704"/>
        <v>-42.811985030000002</v>
      </c>
      <c r="KI126" s="102">
        <f t="shared" si="705"/>
        <v>-12.188014970000001</v>
      </c>
      <c r="KJ126" s="102">
        <f t="shared" si="706"/>
        <v>0</v>
      </c>
      <c r="KK126" s="102">
        <f t="shared" si="707"/>
        <v>0</v>
      </c>
      <c r="KL126" s="102">
        <f t="shared" si="708"/>
        <v>0</v>
      </c>
      <c r="KM126" s="102">
        <f t="shared" si="709"/>
        <v>0</v>
      </c>
      <c r="KN126" s="102">
        <f t="shared" si="710"/>
        <v>0</v>
      </c>
      <c r="KO126" s="102">
        <f t="shared" si="711"/>
        <v>0</v>
      </c>
      <c r="KQ126" s="973"/>
      <c r="KR126" s="973"/>
      <c r="KS126" s="973"/>
      <c r="KT126" s="973"/>
      <c r="KU126" s="973"/>
      <c r="KV126" s="973"/>
      <c r="KW126" s="973"/>
      <c r="KX126" s="973"/>
      <c r="KY126" s="973"/>
      <c r="KZ126" s="973"/>
      <c r="LB126" s="102">
        <f t="shared" si="737"/>
        <v>0</v>
      </c>
      <c r="LC126" s="102">
        <f t="shared" si="737"/>
        <v>55</v>
      </c>
      <c r="LD126" s="102">
        <f t="shared" si="737"/>
        <v>12.188014970000001</v>
      </c>
      <c r="LE126" s="102">
        <f t="shared" si="737"/>
        <v>0</v>
      </c>
      <c r="LF126" s="102">
        <f t="shared" si="737"/>
        <v>0</v>
      </c>
      <c r="LG126" s="102">
        <f t="shared" si="737"/>
        <v>0</v>
      </c>
      <c r="LH126" s="102">
        <f t="shared" si="737"/>
        <v>0</v>
      </c>
      <c r="LI126" s="102">
        <f t="shared" si="737"/>
        <v>0</v>
      </c>
      <c r="LJ126" s="102">
        <f t="shared" si="737"/>
        <v>0</v>
      </c>
      <c r="LK126" s="102">
        <f t="shared" si="737"/>
        <v>0</v>
      </c>
      <c r="LL126" s="102">
        <f t="shared" si="737"/>
        <v>0</v>
      </c>
      <c r="LM126" s="102">
        <f t="shared" si="712"/>
        <v>0</v>
      </c>
      <c r="LN126" s="102"/>
      <c r="LO126" s="102"/>
      <c r="LR126" s="32">
        <f t="shared" si="713"/>
        <v>-0.77839972781818179</v>
      </c>
      <c r="LS126" s="32">
        <f t="shared" si="714"/>
        <v>-1</v>
      </c>
      <c r="LT126" s="32" t="str">
        <f t="shared" si="715"/>
        <v xml:space="preserve"> </v>
      </c>
      <c r="LU126" s="32" t="str">
        <f t="shared" si="716"/>
        <v xml:space="preserve"> </v>
      </c>
      <c r="LV126" s="32" t="str">
        <f t="shared" si="717"/>
        <v xml:space="preserve"> </v>
      </c>
      <c r="LW126" s="32" t="str">
        <f t="shared" si="718"/>
        <v xml:space="preserve"> </v>
      </c>
      <c r="LX126" s="32" t="str">
        <f t="shared" si="719"/>
        <v xml:space="preserve"> </v>
      </c>
      <c r="LZ126" s="102">
        <f t="shared" si="720"/>
        <v>-42.811985030000002</v>
      </c>
      <c r="MA126" s="102">
        <f t="shared" si="721"/>
        <v>-12.188014970000001</v>
      </c>
      <c r="MB126" s="102">
        <f t="shared" si="722"/>
        <v>0</v>
      </c>
      <c r="MC126" s="102">
        <f t="shared" si="723"/>
        <v>0</v>
      </c>
      <c r="MD126" s="102">
        <f t="shared" si="724"/>
        <v>0</v>
      </c>
      <c r="ME126" s="102">
        <f t="shared" si="725"/>
        <v>0</v>
      </c>
      <c r="MF126" s="102">
        <f t="shared" si="726"/>
        <v>0</v>
      </c>
      <c r="MH126" s="973"/>
      <c r="MI126" s="973"/>
      <c r="MJ126" s="973"/>
      <c r="MK126" s="973"/>
      <c r="ML126" s="973"/>
      <c r="MM126" s="973"/>
      <c r="MN126" s="973"/>
      <c r="MO126" s="973"/>
      <c r="MP126" s="973"/>
    </row>
    <row r="127" spans="1:354" outlineLevel="3">
      <c r="A127" s="884">
        <v>1325</v>
      </c>
      <c r="B127" s="70"/>
      <c r="C127" s="40" t="s">
        <v>691</v>
      </c>
      <c r="D127" s="31" t="s">
        <v>59</v>
      </c>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45">
        <v>180</v>
      </c>
      <c r="AO127" s="102">
        <v>180</v>
      </c>
      <c r="AP127" s="145">
        <v>180</v>
      </c>
      <c r="AQ127" s="220">
        <v>180</v>
      </c>
      <c r="AR127" s="220">
        <v>240</v>
      </c>
      <c r="AS127" s="102">
        <v>300</v>
      </c>
      <c r="AT127" s="102">
        <v>300</v>
      </c>
      <c r="AU127" s="102">
        <v>300</v>
      </c>
      <c r="AV127" s="102">
        <v>300</v>
      </c>
      <c r="AW127" s="102">
        <v>300</v>
      </c>
      <c r="AX127" s="102">
        <v>300</v>
      </c>
      <c r="AY127" s="102">
        <v>300</v>
      </c>
      <c r="AZ127" s="102">
        <v>0</v>
      </c>
      <c r="BA127" s="102">
        <v>0</v>
      </c>
      <c r="BB127" s="102">
        <v>0</v>
      </c>
      <c r="BC127" s="102">
        <v>0</v>
      </c>
      <c r="BD127" s="102">
        <v>0</v>
      </c>
      <c r="BE127" s="102">
        <v>0</v>
      </c>
      <c r="BF127" s="102">
        <v>0</v>
      </c>
      <c r="BG127" s="102">
        <v>0</v>
      </c>
      <c r="BH127" s="102">
        <v>0</v>
      </c>
      <c r="BI127" s="102">
        <v>0</v>
      </c>
      <c r="BJ127" s="102">
        <v>0</v>
      </c>
      <c r="BK127" s="102">
        <v>0</v>
      </c>
      <c r="BL127" s="102">
        <v>0</v>
      </c>
      <c r="BM127" s="974">
        <v>0</v>
      </c>
      <c r="BN127" s="102">
        <v>0</v>
      </c>
      <c r="BO127" s="102">
        <v>0</v>
      </c>
      <c r="BP127" s="102">
        <v>0</v>
      </c>
      <c r="BQ127" s="102">
        <v>0</v>
      </c>
      <c r="BR127" s="102">
        <v>0</v>
      </c>
      <c r="BS127" s="102">
        <v>0</v>
      </c>
      <c r="BT127" s="102">
        <v>0</v>
      </c>
      <c r="BU127" s="102">
        <v>0</v>
      </c>
      <c r="BV127" s="102">
        <v>0</v>
      </c>
      <c r="BW127" s="102">
        <v>0</v>
      </c>
      <c r="BX127" s="102">
        <v>0</v>
      </c>
      <c r="BY127" s="102">
        <v>0</v>
      </c>
      <c r="BZ127" s="102">
        <v>0</v>
      </c>
      <c r="CA127" s="102">
        <v>0</v>
      </c>
      <c r="CB127" s="102">
        <v>0</v>
      </c>
      <c r="CC127" s="102">
        <v>0</v>
      </c>
      <c r="CD127" s="102">
        <v>0</v>
      </c>
      <c r="CE127" s="102">
        <v>0</v>
      </c>
      <c r="CF127" s="102">
        <v>0</v>
      </c>
      <c r="CG127" s="102">
        <v>30</v>
      </c>
      <c r="CH127" s="102">
        <v>30</v>
      </c>
      <c r="CI127" s="102">
        <v>30</v>
      </c>
      <c r="CJ127" s="102">
        <v>30</v>
      </c>
      <c r="CK127" s="102">
        <v>30</v>
      </c>
      <c r="CL127" s="102">
        <v>30</v>
      </c>
      <c r="CM127" s="102">
        <v>30</v>
      </c>
      <c r="CN127" s="102">
        <v>30</v>
      </c>
      <c r="CO127" s="102">
        <v>30</v>
      </c>
      <c r="CP127" s="102">
        <v>30</v>
      </c>
      <c r="CQ127" s="102">
        <v>30</v>
      </c>
      <c r="CR127" s="102">
        <v>30</v>
      </c>
      <c r="CS127" s="102">
        <v>30</v>
      </c>
      <c r="CT127" s="102">
        <v>30</v>
      </c>
      <c r="CU127" s="102">
        <v>30</v>
      </c>
      <c r="CV127" s="102">
        <v>30</v>
      </c>
      <c r="CW127" s="102">
        <v>30</v>
      </c>
      <c r="CX127" s="102">
        <v>30</v>
      </c>
      <c r="CY127" s="102">
        <v>30</v>
      </c>
      <c r="CZ127" s="102">
        <v>30</v>
      </c>
      <c r="DA127" s="102">
        <v>30</v>
      </c>
      <c r="DB127" s="102">
        <v>30</v>
      </c>
      <c r="DC127" s="102">
        <v>30</v>
      </c>
      <c r="DD127" s="102">
        <v>30</v>
      </c>
      <c r="DE127" s="102">
        <v>30</v>
      </c>
      <c r="DF127" s="102">
        <v>30</v>
      </c>
      <c r="DG127" s="102">
        <v>30</v>
      </c>
      <c r="DH127" s="102">
        <v>60</v>
      </c>
      <c r="DI127" s="102">
        <v>60</v>
      </c>
      <c r="DJ127" s="102">
        <v>60</v>
      </c>
      <c r="DK127" s="102">
        <v>60</v>
      </c>
      <c r="DL127" s="102">
        <v>60</v>
      </c>
      <c r="DM127" s="102">
        <v>60</v>
      </c>
      <c r="DN127" s="102">
        <v>60</v>
      </c>
      <c r="DO127" s="102">
        <v>60</v>
      </c>
      <c r="DP127" s="102">
        <v>60</v>
      </c>
      <c r="DQ127" s="940">
        <v>30</v>
      </c>
      <c r="DR127" s="940">
        <v>30</v>
      </c>
      <c r="DS127" s="940">
        <v>30</v>
      </c>
      <c r="DT127" s="940">
        <v>30</v>
      </c>
      <c r="DU127" s="940">
        <v>30.206531999999999</v>
      </c>
      <c r="DV127" s="940">
        <v>50.430053000000001</v>
      </c>
      <c r="DW127" s="940">
        <v>50.679735000000001</v>
      </c>
      <c r="DX127" s="940">
        <v>50.955159999999999</v>
      </c>
      <c r="DY127" s="940">
        <v>51.230387</v>
      </c>
      <c r="DZ127" s="940">
        <v>51.522061000000001</v>
      </c>
      <c r="EA127" s="940">
        <v>71.840413999999996</v>
      </c>
      <c r="EB127" s="940">
        <v>72.182980999999998</v>
      </c>
      <c r="EC127" s="940">
        <v>72.538863000000006</v>
      </c>
      <c r="ED127" s="940">
        <v>72.920141999999998</v>
      </c>
      <c r="EE127" s="940">
        <v>73.313256999999993</v>
      </c>
      <c r="EF127" s="940">
        <v>73.709997000000001</v>
      </c>
      <c r="EG127" s="145"/>
      <c r="EH127" s="102">
        <v>30</v>
      </c>
      <c r="EI127" s="102">
        <v>30</v>
      </c>
      <c r="EJ127" s="102">
        <v>30</v>
      </c>
      <c r="EK127" s="102">
        <v>30</v>
      </c>
      <c r="EL127" s="102">
        <v>30</v>
      </c>
      <c r="EM127" s="102">
        <v>30</v>
      </c>
      <c r="EN127" s="102">
        <v>30</v>
      </c>
      <c r="EO127" s="102">
        <v>30</v>
      </c>
      <c r="EP127" s="102">
        <v>30</v>
      </c>
      <c r="EQ127" s="102">
        <v>30</v>
      </c>
      <c r="ER127" s="102">
        <v>30</v>
      </c>
      <c r="ES127" s="102">
        <v>30</v>
      </c>
      <c r="EU127" s="102">
        <v>180</v>
      </c>
      <c r="EV127" s="102">
        <v>180</v>
      </c>
      <c r="EW127" s="102">
        <v>180</v>
      </c>
      <c r="EX127" s="102">
        <v>180</v>
      </c>
      <c r="EY127" s="102">
        <v>0</v>
      </c>
      <c r="EZ127" s="102">
        <v>0</v>
      </c>
      <c r="FA127" s="102">
        <v>0</v>
      </c>
      <c r="FB127" s="102">
        <v>0</v>
      </c>
      <c r="FC127" s="102">
        <v>0</v>
      </c>
      <c r="FD127" s="102">
        <v>0</v>
      </c>
      <c r="FE127" s="102">
        <v>0</v>
      </c>
      <c r="FF127" s="102">
        <v>0</v>
      </c>
      <c r="FG127" s="102">
        <v>60</v>
      </c>
      <c r="FH127" s="102">
        <v>60</v>
      </c>
      <c r="FI127" s="102">
        <v>60</v>
      </c>
      <c r="FJ127" s="102">
        <v>60</v>
      </c>
      <c r="FK127" s="102">
        <v>60</v>
      </c>
      <c r="FL127" s="102">
        <v>60</v>
      </c>
      <c r="FM127" s="102">
        <v>60</v>
      </c>
      <c r="FN127" s="102">
        <v>60</v>
      </c>
      <c r="FO127" s="102">
        <v>60</v>
      </c>
      <c r="FP127" s="102">
        <v>120</v>
      </c>
      <c r="FQ127" s="102">
        <v>120</v>
      </c>
      <c r="FR127" s="102">
        <v>180</v>
      </c>
      <c r="FS127" s="102"/>
      <c r="FT127" s="102"/>
      <c r="FU127" s="102"/>
      <c r="FV127" s="102"/>
      <c r="FW127" s="102"/>
      <c r="FX127" s="102"/>
      <c r="FY127" s="102"/>
      <c r="FZ127" s="102"/>
      <c r="GA127" s="102"/>
      <c r="GB127" s="102"/>
      <c r="GC127" s="102"/>
      <c r="GD127" s="102"/>
      <c r="GE127" s="102">
        <v>0</v>
      </c>
      <c r="GF127" s="102">
        <v>0</v>
      </c>
      <c r="GG127" s="102">
        <v>0</v>
      </c>
      <c r="GH127" s="102">
        <v>0</v>
      </c>
      <c r="GI127" s="102">
        <v>0</v>
      </c>
      <c r="GJ127" s="102">
        <v>0</v>
      </c>
      <c r="GK127" s="102">
        <v>0</v>
      </c>
      <c r="GL127" s="102">
        <v>0</v>
      </c>
      <c r="GM127" s="102">
        <v>0</v>
      </c>
      <c r="GN127" s="102">
        <v>0</v>
      </c>
      <c r="GO127" s="102">
        <v>0</v>
      </c>
      <c r="GP127" s="102">
        <v>0</v>
      </c>
      <c r="GQ127" s="102">
        <v>0</v>
      </c>
      <c r="GR127" s="102">
        <v>0</v>
      </c>
      <c r="GS127" s="102">
        <v>0</v>
      </c>
      <c r="GT127" s="102">
        <v>0</v>
      </c>
      <c r="GU127" s="102">
        <v>0</v>
      </c>
      <c r="GV127" s="102">
        <v>0</v>
      </c>
      <c r="GW127" s="102">
        <v>0</v>
      </c>
      <c r="GX127" s="102">
        <v>0</v>
      </c>
      <c r="GY127" s="102">
        <v>0</v>
      </c>
      <c r="GZ127" s="102">
        <v>0</v>
      </c>
      <c r="HA127" s="102">
        <v>0</v>
      </c>
      <c r="HB127" s="102">
        <v>0</v>
      </c>
      <c r="HD127" s="102">
        <f t="shared" si="743"/>
        <v>0</v>
      </c>
      <c r="HE127" s="102">
        <f t="shared" si="743"/>
        <v>0</v>
      </c>
      <c r="HF127" s="102">
        <f t="shared" si="743"/>
        <v>180</v>
      </c>
      <c r="HG127" s="102">
        <f t="shared" si="743"/>
        <v>0</v>
      </c>
      <c r="HH127" s="102">
        <f t="shared" si="744"/>
        <v>0</v>
      </c>
      <c r="HI127" s="102">
        <f t="shared" si="695"/>
        <v>0</v>
      </c>
      <c r="HJ127" s="102">
        <f t="shared" si="696"/>
        <v>30</v>
      </c>
      <c r="HK127" s="102">
        <f t="shared" si="697"/>
        <v>30</v>
      </c>
      <c r="HL127" s="940">
        <f>+SUMIFS($E127:SEW127,$E$6:SEW$6,HL$7,$E$5:SEW$5,12)</f>
        <v>60</v>
      </c>
      <c r="HM127" s="940">
        <f>+SUMIFS($E127:SEX127,$E$6:SEX$6,HM$7,$E$5:SEX$5,12)</f>
        <v>30</v>
      </c>
      <c r="HN127" s="940">
        <f>+SUMIFS($E127:SEY127,$E$6:SEY$6,HN$7,$E$5:SEY$5,12)</f>
        <v>73.709997000000001</v>
      </c>
      <c r="HO127" s="102"/>
      <c r="HP127" s="102"/>
      <c r="HR127" s="929" t="str">
        <f t="shared" si="745"/>
        <v/>
      </c>
      <c r="HS127" s="929">
        <f t="shared" si="746"/>
        <v>-1</v>
      </c>
      <c r="HT127" s="929" t="str">
        <f t="shared" si="747"/>
        <v/>
      </c>
      <c r="HU127" s="929" t="str">
        <f t="shared" si="738"/>
        <v/>
      </c>
      <c r="HV127" s="929" t="str">
        <f t="shared" si="739"/>
        <v/>
      </c>
      <c r="HW127" s="929">
        <f t="shared" si="740"/>
        <v>0</v>
      </c>
      <c r="HX127" s="929">
        <f t="shared" si="741"/>
        <v>1</v>
      </c>
      <c r="HY127" s="929">
        <f t="shared" si="741"/>
        <v>-0.5</v>
      </c>
      <c r="HZ127" s="929">
        <f t="shared" si="741"/>
        <v>1.4569999</v>
      </c>
      <c r="IA127" s="929">
        <f t="shared" si="604"/>
        <v>-1</v>
      </c>
      <c r="IB127" s="929" t="str">
        <f t="shared" si="748"/>
        <v/>
      </c>
      <c r="IC127" s="929">
        <f t="shared" si="605"/>
        <v>-1</v>
      </c>
      <c r="IE127" s="102">
        <f t="shared" si="749"/>
        <v>180</v>
      </c>
      <c r="IF127" s="102">
        <f t="shared" si="750"/>
        <v>-180</v>
      </c>
      <c r="IG127" s="102">
        <f t="shared" si="751"/>
        <v>0</v>
      </c>
      <c r="IH127" s="102">
        <f t="shared" si="742"/>
        <v>0</v>
      </c>
      <c r="II127" s="102">
        <f t="shared" si="619"/>
        <v>30</v>
      </c>
      <c r="IJ127" s="102">
        <f t="shared" si="620"/>
        <v>0</v>
      </c>
      <c r="IK127" s="102">
        <f t="shared" si="621"/>
        <v>30</v>
      </c>
      <c r="IL127" s="102">
        <f t="shared" si="607"/>
        <v>-60</v>
      </c>
      <c r="IM127" s="102">
        <f t="shared" si="752"/>
        <v>0</v>
      </c>
      <c r="IN127" s="102">
        <f t="shared" si="608"/>
        <v>-60</v>
      </c>
      <c r="IP127" s="973"/>
      <c r="IQ127" s="973"/>
      <c r="IR127" s="973"/>
      <c r="IS127" s="973"/>
      <c r="IT127" s="973"/>
      <c r="IU127" s="973"/>
      <c r="IV127" s="973"/>
      <c r="IW127" s="973"/>
      <c r="IX127" s="973"/>
      <c r="IY127" s="973"/>
      <c r="JA127" s="102">
        <f t="shared" si="727"/>
        <v>0</v>
      </c>
      <c r="JB127" s="102">
        <f t="shared" si="727"/>
        <v>0</v>
      </c>
      <c r="JC127" s="102">
        <f t="shared" si="727"/>
        <v>180</v>
      </c>
      <c r="JD127" s="102">
        <f t="shared" si="727"/>
        <v>0</v>
      </c>
      <c r="JE127" s="102">
        <f t="shared" si="727"/>
        <v>0</v>
      </c>
      <c r="JF127" s="102">
        <f t="shared" si="727"/>
        <v>0</v>
      </c>
      <c r="JG127" s="102">
        <f t="shared" si="727"/>
        <v>30</v>
      </c>
      <c r="JH127" s="102">
        <f t="shared" si="727"/>
        <v>30</v>
      </c>
      <c r="JI127" s="102">
        <f t="shared" si="727"/>
        <v>60</v>
      </c>
      <c r="JJ127" s="102">
        <f t="shared" si="727"/>
        <v>30</v>
      </c>
      <c r="JK127" s="102">
        <f t="shared" si="727"/>
        <v>73.709997000000001</v>
      </c>
      <c r="JL127" s="102">
        <f t="shared" si="728"/>
        <v>73.709997000000001</v>
      </c>
      <c r="JM127" s="102"/>
      <c r="JN127" s="102"/>
      <c r="JP127" s="102">
        <f t="shared" si="701"/>
        <v>0</v>
      </c>
      <c r="JQ127" s="102">
        <f t="shared" si="702"/>
        <v>0</v>
      </c>
      <c r="JR127" s="145"/>
      <c r="JS127" s="929" t="str">
        <f t="shared" si="753"/>
        <v>NA</v>
      </c>
      <c r="JT127" s="930">
        <f t="shared" si="754"/>
        <v>0</v>
      </c>
      <c r="JV127" s="973"/>
      <c r="JW127" s="973"/>
      <c r="JY127" s="929" t="str">
        <f t="shared" si="729"/>
        <v/>
      </c>
      <c r="JZ127" s="929">
        <f t="shared" si="730"/>
        <v>-1</v>
      </c>
      <c r="KA127" s="929" t="str">
        <f t="shared" si="731"/>
        <v/>
      </c>
      <c r="KB127" s="929" t="str">
        <f t="shared" si="732"/>
        <v/>
      </c>
      <c r="KC127" s="929" t="str">
        <f t="shared" si="733"/>
        <v/>
      </c>
      <c r="KD127" s="929">
        <f t="shared" si="734"/>
        <v>0</v>
      </c>
      <c r="KE127" s="929">
        <f t="shared" si="735"/>
        <v>1</v>
      </c>
      <c r="KF127" s="929">
        <f t="shared" si="736"/>
        <v>-1</v>
      </c>
      <c r="KH127" s="102">
        <f t="shared" si="704"/>
        <v>180</v>
      </c>
      <c r="KI127" s="102">
        <f t="shared" si="705"/>
        <v>-180</v>
      </c>
      <c r="KJ127" s="102">
        <f t="shared" si="706"/>
        <v>0</v>
      </c>
      <c r="KK127" s="102">
        <f t="shared" si="707"/>
        <v>0</v>
      </c>
      <c r="KL127" s="102">
        <f t="shared" si="708"/>
        <v>30</v>
      </c>
      <c r="KM127" s="102">
        <f t="shared" si="709"/>
        <v>0</v>
      </c>
      <c r="KN127" s="102">
        <f t="shared" si="710"/>
        <v>30</v>
      </c>
      <c r="KO127" s="102">
        <f t="shared" si="711"/>
        <v>-60</v>
      </c>
      <c r="KQ127" s="973"/>
      <c r="KR127" s="973"/>
      <c r="KS127" s="973"/>
      <c r="KT127" s="973"/>
      <c r="KU127" s="973"/>
      <c r="KV127" s="973"/>
      <c r="KW127" s="973"/>
      <c r="KX127" s="973"/>
      <c r="KY127" s="973"/>
      <c r="KZ127" s="973"/>
      <c r="LB127" s="102">
        <f t="shared" si="737"/>
        <v>0</v>
      </c>
      <c r="LC127" s="102">
        <f t="shared" si="737"/>
        <v>0</v>
      </c>
      <c r="LD127" s="102">
        <f t="shared" si="737"/>
        <v>180</v>
      </c>
      <c r="LE127" s="102">
        <f t="shared" si="737"/>
        <v>0</v>
      </c>
      <c r="LF127" s="102">
        <f t="shared" si="737"/>
        <v>0</v>
      </c>
      <c r="LG127" s="102">
        <f t="shared" si="737"/>
        <v>0</v>
      </c>
      <c r="LH127" s="102">
        <f t="shared" si="737"/>
        <v>30</v>
      </c>
      <c r="LI127" s="102">
        <f t="shared" si="737"/>
        <v>30</v>
      </c>
      <c r="LJ127" s="102">
        <f t="shared" si="737"/>
        <v>60</v>
      </c>
      <c r="LK127" s="102">
        <f t="shared" si="737"/>
        <v>30</v>
      </c>
      <c r="LL127" s="102">
        <f t="shared" si="737"/>
        <v>73.709997000000001</v>
      </c>
      <c r="LM127" s="102">
        <f t="shared" si="712"/>
        <v>73.709997000000001</v>
      </c>
      <c r="LN127" s="102"/>
      <c r="LO127" s="102"/>
      <c r="LR127" s="32" t="str">
        <f t="shared" si="713"/>
        <v xml:space="preserve"> </v>
      </c>
      <c r="LS127" s="32">
        <f t="shared" si="714"/>
        <v>-1</v>
      </c>
      <c r="LT127" s="32" t="str">
        <f t="shared" si="715"/>
        <v xml:space="preserve"> </v>
      </c>
      <c r="LU127" s="32" t="str">
        <f t="shared" si="716"/>
        <v xml:space="preserve"> </v>
      </c>
      <c r="LV127" s="32" t="str">
        <f t="shared" si="717"/>
        <v xml:space="preserve"> </v>
      </c>
      <c r="LW127" s="32">
        <f t="shared" si="718"/>
        <v>0</v>
      </c>
      <c r="LX127" s="32">
        <f t="shared" si="719"/>
        <v>-1</v>
      </c>
      <c r="LZ127" s="102">
        <f t="shared" si="720"/>
        <v>180</v>
      </c>
      <c r="MA127" s="102">
        <f t="shared" si="721"/>
        <v>-180</v>
      </c>
      <c r="MB127" s="102">
        <f t="shared" si="722"/>
        <v>0</v>
      </c>
      <c r="MC127" s="102">
        <f t="shared" si="723"/>
        <v>0</v>
      </c>
      <c r="MD127" s="102">
        <f t="shared" si="724"/>
        <v>30</v>
      </c>
      <c r="ME127" s="102">
        <f t="shared" si="725"/>
        <v>0</v>
      </c>
      <c r="MF127" s="102">
        <f t="shared" si="726"/>
        <v>-30</v>
      </c>
      <c r="MH127" s="973"/>
      <c r="MI127" s="973"/>
      <c r="MJ127" s="973"/>
      <c r="MK127" s="973"/>
      <c r="ML127" s="973"/>
      <c r="MM127" s="973"/>
      <c r="MN127" s="973"/>
      <c r="MO127" s="973"/>
      <c r="MP127" s="973"/>
    </row>
    <row r="128" spans="1:354" outlineLevel="3">
      <c r="A128" s="884">
        <v>1365</v>
      </c>
      <c r="B128" s="70" t="s">
        <v>692</v>
      </c>
      <c r="C128" s="40" t="s">
        <v>693</v>
      </c>
      <c r="D128" s="31" t="s">
        <v>59</v>
      </c>
      <c r="E128" s="102">
        <v>-1.23846072</v>
      </c>
      <c r="F128" s="102">
        <v>-5.0455889900000006</v>
      </c>
      <c r="G128" s="102">
        <v>-13.379293990000001</v>
      </c>
      <c r="H128" s="102">
        <v>-16.16715499</v>
      </c>
      <c r="I128" s="102">
        <v>-16.64670499</v>
      </c>
      <c r="J128" s="102">
        <v>-1.22864558</v>
      </c>
      <c r="K128" s="102">
        <v>-20.258604999999999</v>
      </c>
      <c r="L128" s="102">
        <v>-29.694389999999999</v>
      </c>
      <c r="M128" s="102">
        <v>-37.158175</v>
      </c>
      <c r="N128" s="102">
        <v>-45.04374</v>
      </c>
      <c r="O128" s="102">
        <v>3.0768469999999999</v>
      </c>
      <c r="P128" s="102">
        <v>10.787079</v>
      </c>
      <c r="Q128" s="102">
        <v>6.4961805000000004</v>
      </c>
      <c r="R128" s="102">
        <v>3.8034804999999996</v>
      </c>
      <c r="S128" s="102">
        <v>2.8846555</v>
      </c>
      <c r="T128" s="102">
        <v>-23.299015500000003</v>
      </c>
      <c r="U128" s="102">
        <v>-24.2332125</v>
      </c>
      <c r="V128" s="102">
        <v>-29.35005614</v>
      </c>
      <c r="W128" s="102">
        <v>6.0285678599999999</v>
      </c>
      <c r="X128" s="102">
        <v>-1.7481140000000117E-2</v>
      </c>
      <c r="Y128" s="102">
        <v>-1.8821221399999999</v>
      </c>
      <c r="Z128" s="102">
        <v>-3.2571271400000001</v>
      </c>
      <c r="AA128" s="102">
        <v>-1.7650131399999998</v>
      </c>
      <c r="AB128" s="102">
        <v>20.701506500000001</v>
      </c>
      <c r="AC128" s="102">
        <v>3.4736436500000001</v>
      </c>
      <c r="AD128" s="102">
        <v>10.860962000000001</v>
      </c>
      <c r="AE128" s="102">
        <v>2.0554687300000003</v>
      </c>
      <c r="AF128" s="102">
        <v>6.9939633700000003</v>
      </c>
      <c r="AG128" s="102">
        <v>11.130290369999999</v>
      </c>
      <c r="AH128" s="102">
        <v>7.1781092499999994</v>
      </c>
      <c r="AI128" s="102">
        <v>4.4787075000000005</v>
      </c>
      <c r="AJ128" s="102">
        <v>1.923645</v>
      </c>
      <c r="AK128" s="102">
        <v>0.89165499999999998</v>
      </c>
      <c r="AL128" s="102">
        <v>2.20831161</v>
      </c>
      <c r="AM128" s="102">
        <v>3.1435000000000005E-2</v>
      </c>
      <c r="AN128" s="145">
        <v>0.10000149</v>
      </c>
      <c r="AO128" s="102">
        <v>-0.35259051000000002</v>
      </c>
      <c r="AP128" s="145">
        <v>0.16856499999999999</v>
      </c>
      <c r="AQ128" s="220">
        <v>0.64849999999999997</v>
      </c>
      <c r="AR128" s="220">
        <v>1.057375</v>
      </c>
      <c r="AS128" s="102">
        <v>0.54683999999999999</v>
      </c>
      <c r="AT128" s="102">
        <v>0.68397036</v>
      </c>
      <c r="AU128" s="102">
        <v>0.10000036</v>
      </c>
      <c r="AV128" s="102">
        <v>0.10000036</v>
      </c>
      <c r="AW128" s="102">
        <v>0</v>
      </c>
      <c r="AX128" s="102">
        <v>0</v>
      </c>
      <c r="AY128" s="102">
        <v>0</v>
      </c>
      <c r="AZ128" s="102">
        <v>0</v>
      </c>
      <c r="BA128" s="102">
        <v>0</v>
      </c>
      <c r="BB128" s="102">
        <v>0</v>
      </c>
      <c r="BC128" s="102">
        <v>0</v>
      </c>
      <c r="BD128" s="102">
        <v>0</v>
      </c>
      <c r="BE128" s="102">
        <v>0</v>
      </c>
      <c r="BF128" s="102">
        <v>0</v>
      </c>
      <c r="BG128" s="102">
        <v>0</v>
      </c>
      <c r="BH128" s="102">
        <v>0</v>
      </c>
      <c r="BI128" s="102">
        <v>0</v>
      </c>
      <c r="BJ128" s="102">
        <v>0</v>
      </c>
      <c r="BK128" s="102">
        <v>0</v>
      </c>
      <c r="BL128" s="102">
        <v>0</v>
      </c>
      <c r="BM128" s="974">
        <v>0</v>
      </c>
      <c r="BN128" s="102">
        <v>0</v>
      </c>
      <c r="BO128" s="102">
        <v>0</v>
      </c>
      <c r="BP128" s="102">
        <v>0</v>
      </c>
      <c r="BQ128" s="102">
        <v>0</v>
      </c>
      <c r="BR128" s="102">
        <v>0</v>
      </c>
      <c r="BS128" s="102">
        <v>0</v>
      </c>
      <c r="BT128" s="102">
        <v>0</v>
      </c>
      <c r="BU128" s="102">
        <v>0.13</v>
      </c>
      <c r="BV128" s="102">
        <v>0</v>
      </c>
      <c r="BW128" s="102">
        <v>0</v>
      </c>
      <c r="BX128" s="102">
        <v>0</v>
      </c>
      <c r="BY128" s="102">
        <v>0</v>
      </c>
      <c r="BZ128" s="102">
        <v>0</v>
      </c>
      <c r="CA128" s="102">
        <v>0</v>
      </c>
      <c r="CB128" s="102">
        <v>0.05</v>
      </c>
      <c r="CC128" s="102">
        <v>0.2</v>
      </c>
      <c r="CD128" s="102">
        <v>0</v>
      </c>
      <c r="CE128" s="102">
        <v>0</v>
      </c>
      <c r="CF128" s="102">
        <v>0</v>
      </c>
      <c r="CG128" s="102">
        <v>1.492874</v>
      </c>
      <c r="CH128" s="102">
        <v>1.492874</v>
      </c>
      <c r="CI128" s="102">
        <v>1.492874</v>
      </c>
      <c r="CJ128" s="102">
        <v>0</v>
      </c>
      <c r="CK128" s="102">
        <v>0</v>
      </c>
      <c r="CL128" s="102">
        <v>0</v>
      </c>
      <c r="CM128" s="102">
        <v>0</v>
      </c>
      <c r="CN128" s="102">
        <v>0</v>
      </c>
      <c r="CO128" s="102">
        <v>0</v>
      </c>
      <c r="CP128" s="102">
        <v>0</v>
      </c>
      <c r="CQ128" s="102">
        <v>0</v>
      </c>
      <c r="CR128" s="102">
        <v>0</v>
      </c>
      <c r="CS128" s="102">
        <v>0</v>
      </c>
      <c r="CT128" s="102">
        <v>0</v>
      </c>
      <c r="CU128" s="102">
        <v>0</v>
      </c>
      <c r="CV128" s="102">
        <v>0</v>
      </c>
      <c r="CW128" s="102">
        <v>0</v>
      </c>
      <c r="CX128" s="102">
        <v>0</v>
      </c>
      <c r="CY128" s="102">
        <v>0</v>
      </c>
      <c r="CZ128" s="102">
        <v>0</v>
      </c>
      <c r="DA128" s="102">
        <v>0</v>
      </c>
      <c r="DB128" s="102">
        <v>0</v>
      </c>
      <c r="DC128" s="102">
        <v>0</v>
      </c>
      <c r="DD128" s="102">
        <v>0</v>
      </c>
      <c r="DE128" s="102">
        <v>0</v>
      </c>
      <c r="DF128" s="102">
        <v>0</v>
      </c>
      <c r="DG128" s="102">
        <v>0</v>
      </c>
      <c r="DH128" s="102">
        <v>0</v>
      </c>
      <c r="DI128" s="102">
        <v>0</v>
      </c>
      <c r="DJ128" s="102">
        <v>0</v>
      </c>
      <c r="DK128" s="102">
        <v>0</v>
      </c>
      <c r="DL128" s="102">
        <v>0</v>
      </c>
      <c r="DM128" s="102">
        <v>0</v>
      </c>
      <c r="DN128" s="102">
        <v>0</v>
      </c>
      <c r="DO128" s="102">
        <v>0</v>
      </c>
      <c r="DP128" s="102">
        <v>0</v>
      </c>
      <c r="DQ128" s="940">
        <v>0</v>
      </c>
      <c r="DR128" s="940">
        <v>0</v>
      </c>
      <c r="DS128" s="940">
        <v>0</v>
      </c>
      <c r="DT128" s="940">
        <v>0</v>
      </c>
      <c r="DU128" s="940">
        <v>0</v>
      </c>
      <c r="DV128" s="940">
        <v>0</v>
      </c>
      <c r="DW128" s="940">
        <v>0</v>
      </c>
      <c r="DX128" s="940">
        <v>0</v>
      </c>
      <c r="DY128" s="940">
        <v>0</v>
      </c>
      <c r="DZ128" s="940">
        <v>0</v>
      </c>
      <c r="EA128" s="940">
        <v>0</v>
      </c>
      <c r="EB128" s="940">
        <v>0</v>
      </c>
      <c r="EC128" s="940">
        <v>0</v>
      </c>
      <c r="ED128" s="940">
        <v>0</v>
      </c>
      <c r="EE128" s="940">
        <v>0</v>
      </c>
      <c r="EF128" s="940">
        <v>0</v>
      </c>
      <c r="EH128" s="102">
        <v>0</v>
      </c>
      <c r="EI128" s="102">
        <v>0</v>
      </c>
      <c r="EJ128" s="102">
        <v>0</v>
      </c>
      <c r="EK128" s="102">
        <v>0</v>
      </c>
      <c r="EL128" s="102">
        <v>0</v>
      </c>
      <c r="EM128" s="102">
        <v>0</v>
      </c>
      <c r="EN128" s="102">
        <v>0</v>
      </c>
      <c r="EO128" s="102">
        <v>0</v>
      </c>
      <c r="EP128" s="102">
        <v>0</v>
      </c>
      <c r="EQ128" s="102">
        <v>0</v>
      </c>
      <c r="ER128" s="102">
        <v>0</v>
      </c>
      <c r="ES128" s="102">
        <v>0</v>
      </c>
      <c r="EU128" s="102">
        <v>0</v>
      </c>
      <c r="EV128" s="102">
        <v>0</v>
      </c>
      <c r="EW128" s="102">
        <v>0</v>
      </c>
      <c r="EX128" s="102">
        <v>0</v>
      </c>
      <c r="EY128" s="102">
        <v>0</v>
      </c>
      <c r="EZ128" s="102">
        <v>0</v>
      </c>
      <c r="FA128" s="102">
        <v>0</v>
      </c>
      <c r="FB128" s="102">
        <v>0</v>
      </c>
      <c r="FC128" s="102">
        <v>0</v>
      </c>
      <c r="FD128" s="102">
        <v>0</v>
      </c>
      <c r="FE128" s="102">
        <v>0</v>
      </c>
      <c r="FF128" s="102">
        <v>0</v>
      </c>
      <c r="FG128" s="102">
        <v>0</v>
      </c>
      <c r="FH128" s="102">
        <v>0</v>
      </c>
      <c r="FI128" s="102">
        <v>0</v>
      </c>
      <c r="FJ128" s="102">
        <v>0</v>
      </c>
      <c r="FK128" s="102">
        <v>0</v>
      </c>
      <c r="FL128" s="102">
        <v>0</v>
      </c>
      <c r="FM128" s="102">
        <v>0</v>
      </c>
      <c r="FN128" s="102">
        <v>0</v>
      </c>
      <c r="FO128" s="102">
        <v>0</v>
      </c>
      <c r="FP128" s="102">
        <v>0</v>
      </c>
      <c r="FQ128" s="102">
        <v>0</v>
      </c>
      <c r="FR128" s="102">
        <v>0</v>
      </c>
      <c r="FS128" s="102"/>
      <c r="FT128" s="102"/>
      <c r="FU128" s="102"/>
      <c r="FV128" s="102"/>
      <c r="FW128" s="102"/>
      <c r="FX128" s="102"/>
      <c r="FY128" s="102"/>
      <c r="FZ128" s="102"/>
      <c r="GA128" s="102"/>
      <c r="GB128" s="102"/>
      <c r="GC128" s="102"/>
      <c r="GD128" s="102"/>
      <c r="GE128" s="102">
        <v>0</v>
      </c>
      <c r="GF128" s="102">
        <v>0</v>
      </c>
      <c r="GG128" s="102">
        <v>0</v>
      </c>
      <c r="GH128" s="102">
        <v>0</v>
      </c>
      <c r="GI128" s="102">
        <v>0</v>
      </c>
      <c r="GJ128" s="102">
        <v>0</v>
      </c>
      <c r="GK128" s="102">
        <v>0</v>
      </c>
      <c r="GL128" s="102">
        <v>0</v>
      </c>
      <c r="GM128" s="102">
        <v>0</v>
      </c>
      <c r="GN128" s="102">
        <v>0</v>
      </c>
      <c r="GO128" s="102">
        <v>0</v>
      </c>
      <c r="GP128" s="102">
        <v>0</v>
      </c>
      <c r="GQ128" s="102">
        <v>0</v>
      </c>
      <c r="GR128" s="102">
        <v>0</v>
      </c>
      <c r="GS128" s="102">
        <v>0</v>
      </c>
      <c r="GT128" s="102">
        <v>0</v>
      </c>
      <c r="GU128" s="102">
        <v>0</v>
      </c>
      <c r="GV128" s="102">
        <v>0</v>
      </c>
      <c r="GW128" s="102">
        <v>0</v>
      </c>
      <c r="GX128" s="102">
        <v>0</v>
      </c>
      <c r="GY128" s="102">
        <v>0</v>
      </c>
      <c r="GZ128" s="102">
        <v>0</v>
      </c>
      <c r="HA128" s="102">
        <v>0</v>
      </c>
      <c r="HB128" s="102">
        <v>0</v>
      </c>
      <c r="HD128" s="102">
        <f t="shared" si="743"/>
        <v>10.787079</v>
      </c>
      <c r="HE128" s="102">
        <f t="shared" si="743"/>
        <v>20.701506500000001</v>
      </c>
      <c r="HF128" s="102">
        <f t="shared" si="743"/>
        <v>0.10000149</v>
      </c>
      <c r="HG128" s="102">
        <f t="shared" si="743"/>
        <v>0</v>
      </c>
      <c r="HH128" s="102">
        <f t="shared" si="744"/>
        <v>0</v>
      </c>
      <c r="HI128" s="102">
        <f t="shared" si="695"/>
        <v>0</v>
      </c>
      <c r="HJ128" s="102">
        <f t="shared" si="696"/>
        <v>0</v>
      </c>
      <c r="HK128" s="102">
        <f t="shared" si="697"/>
        <v>0</v>
      </c>
      <c r="HL128" s="940">
        <f>+SUMIFS($E128:SEW128,$E$6:SEW$6,HL$7,$E$5:SEW$5,12)</f>
        <v>0</v>
      </c>
      <c r="HM128" s="940">
        <f>+SUMIFS($E128:SEX128,$E$6:SEX$6,HM$7,$E$5:SEX$5,12)</f>
        <v>0</v>
      </c>
      <c r="HN128" s="940">
        <f>+SUMIFS($E128:SEY128,$E$6:SEY$6,HN$7,$E$5:SEY$5,12)</f>
        <v>0</v>
      </c>
      <c r="HO128" s="102"/>
      <c r="HP128" s="102"/>
      <c r="HR128" s="929">
        <f t="shared" si="745"/>
        <v>-0.99516936170804771</v>
      </c>
      <c r="HS128" s="929">
        <f t="shared" si="746"/>
        <v>-1</v>
      </c>
      <c r="HT128" s="929" t="str">
        <f t="shared" si="747"/>
        <v/>
      </c>
      <c r="HU128" s="929" t="str">
        <f t="shared" si="738"/>
        <v/>
      </c>
      <c r="HV128" s="929" t="str">
        <f t="shared" si="739"/>
        <v/>
      </c>
      <c r="HW128" s="929" t="str">
        <f t="shared" si="740"/>
        <v/>
      </c>
      <c r="HX128" s="929" t="str">
        <f t="shared" si="741"/>
        <v/>
      </c>
      <c r="HY128" s="929" t="str">
        <f t="shared" si="741"/>
        <v/>
      </c>
      <c r="HZ128" s="929" t="str">
        <f t="shared" si="741"/>
        <v/>
      </c>
      <c r="IA128" s="929" t="str">
        <f t="shared" si="604"/>
        <v/>
      </c>
      <c r="IB128" s="929" t="str">
        <f t="shared" si="748"/>
        <v/>
      </c>
      <c r="IC128" s="929" t="str">
        <f t="shared" si="605"/>
        <v/>
      </c>
      <c r="IE128" s="102">
        <f t="shared" si="749"/>
        <v>-20.60150501</v>
      </c>
      <c r="IF128" s="102">
        <f t="shared" si="750"/>
        <v>-0.10000149</v>
      </c>
      <c r="IG128" s="102">
        <f t="shared" si="751"/>
        <v>0</v>
      </c>
      <c r="IH128" s="102">
        <f t="shared" si="742"/>
        <v>0</v>
      </c>
      <c r="II128" s="102">
        <f t="shared" si="619"/>
        <v>0</v>
      </c>
      <c r="IJ128" s="102">
        <f t="shared" si="620"/>
        <v>0</v>
      </c>
      <c r="IK128" s="102">
        <f t="shared" si="621"/>
        <v>0</v>
      </c>
      <c r="IL128" s="102">
        <f t="shared" si="607"/>
        <v>0</v>
      </c>
      <c r="IM128" s="102">
        <f t="shared" si="752"/>
        <v>0</v>
      </c>
      <c r="IN128" s="102">
        <f t="shared" si="608"/>
        <v>0</v>
      </c>
      <c r="IP128" s="973"/>
      <c r="IQ128" s="973"/>
      <c r="IR128" s="973"/>
      <c r="IS128" s="973"/>
      <c r="IT128" s="973"/>
      <c r="IU128" s="973"/>
      <c r="IV128" s="973"/>
      <c r="IW128" s="973"/>
      <c r="IX128" s="973"/>
      <c r="IY128" s="973"/>
      <c r="JA128" s="102">
        <f t="shared" si="727"/>
        <v>10.787079</v>
      </c>
      <c r="JB128" s="102">
        <f t="shared" si="727"/>
        <v>20.701506500000001</v>
      </c>
      <c r="JC128" s="102">
        <f t="shared" si="727"/>
        <v>0.10000149</v>
      </c>
      <c r="JD128" s="102">
        <f t="shared" si="727"/>
        <v>0</v>
      </c>
      <c r="JE128" s="102">
        <f t="shared" si="727"/>
        <v>0</v>
      </c>
      <c r="JF128" s="102">
        <f t="shared" si="727"/>
        <v>0</v>
      </c>
      <c r="JG128" s="102">
        <f t="shared" si="727"/>
        <v>0</v>
      </c>
      <c r="JH128" s="102">
        <f t="shared" si="727"/>
        <v>0</v>
      </c>
      <c r="JI128" s="102">
        <f t="shared" si="727"/>
        <v>0</v>
      </c>
      <c r="JJ128" s="102">
        <f t="shared" si="727"/>
        <v>0</v>
      </c>
      <c r="JK128" s="102">
        <f t="shared" si="727"/>
        <v>0</v>
      </c>
      <c r="JL128" s="102">
        <f t="shared" si="728"/>
        <v>0</v>
      </c>
      <c r="JM128" s="102"/>
      <c r="JN128" s="102"/>
      <c r="JP128" s="102">
        <f t="shared" si="701"/>
        <v>0</v>
      </c>
      <c r="JQ128" s="102">
        <f t="shared" si="702"/>
        <v>0</v>
      </c>
      <c r="JR128" s="145"/>
      <c r="JS128" s="929" t="str">
        <f t="shared" si="753"/>
        <v>NA</v>
      </c>
      <c r="JT128" s="930">
        <f t="shared" si="754"/>
        <v>0</v>
      </c>
      <c r="JV128" s="973"/>
      <c r="JW128" s="973"/>
      <c r="JY128" s="929">
        <f t="shared" si="729"/>
        <v>-0.99516936170804771</v>
      </c>
      <c r="JZ128" s="929">
        <f t="shared" si="730"/>
        <v>-1</v>
      </c>
      <c r="KA128" s="929" t="str">
        <f t="shared" si="731"/>
        <v/>
      </c>
      <c r="KB128" s="929" t="str">
        <f t="shared" si="732"/>
        <v/>
      </c>
      <c r="KC128" s="929" t="str">
        <f t="shared" si="733"/>
        <v/>
      </c>
      <c r="KD128" s="929" t="str">
        <f t="shared" si="734"/>
        <v/>
      </c>
      <c r="KE128" s="929" t="str">
        <f t="shared" si="735"/>
        <v/>
      </c>
      <c r="KF128" s="929" t="str">
        <f t="shared" si="736"/>
        <v/>
      </c>
      <c r="KH128" s="102">
        <f t="shared" si="704"/>
        <v>-20.60150501</v>
      </c>
      <c r="KI128" s="102">
        <f t="shared" si="705"/>
        <v>-0.10000149</v>
      </c>
      <c r="KJ128" s="102">
        <f t="shared" si="706"/>
        <v>0</v>
      </c>
      <c r="KK128" s="102">
        <f t="shared" si="707"/>
        <v>0</v>
      </c>
      <c r="KL128" s="102">
        <f t="shared" si="708"/>
        <v>0</v>
      </c>
      <c r="KM128" s="102">
        <f t="shared" si="709"/>
        <v>0</v>
      </c>
      <c r="KN128" s="102">
        <f t="shared" si="710"/>
        <v>0</v>
      </c>
      <c r="KO128" s="102">
        <f t="shared" si="711"/>
        <v>0</v>
      </c>
      <c r="KQ128" s="973"/>
      <c r="KR128" s="973"/>
      <c r="KS128" s="973"/>
      <c r="KT128" s="973"/>
      <c r="KU128" s="973"/>
      <c r="KV128" s="973"/>
      <c r="KW128" s="973"/>
      <c r="KX128" s="973"/>
      <c r="KY128" s="973"/>
      <c r="KZ128" s="973"/>
      <c r="LB128" s="102">
        <f t="shared" si="737"/>
        <v>10.787079</v>
      </c>
      <c r="LC128" s="102">
        <f t="shared" si="737"/>
        <v>20.701506500000001</v>
      </c>
      <c r="LD128" s="102">
        <f t="shared" si="737"/>
        <v>0.10000149</v>
      </c>
      <c r="LE128" s="102">
        <f t="shared" si="737"/>
        <v>0</v>
      </c>
      <c r="LF128" s="102">
        <f t="shared" si="737"/>
        <v>0</v>
      </c>
      <c r="LG128" s="102">
        <f t="shared" si="737"/>
        <v>0</v>
      </c>
      <c r="LH128" s="102">
        <f t="shared" si="737"/>
        <v>0</v>
      </c>
      <c r="LI128" s="102">
        <f t="shared" si="737"/>
        <v>0</v>
      </c>
      <c r="LJ128" s="102">
        <f t="shared" si="737"/>
        <v>0</v>
      </c>
      <c r="LK128" s="102">
        <f t="shared" si="737"/>
        <v>0</v>
      </c>
      <c r="LL128" s="102">
        <f t="shared" si="737"/>
        <v>0</v>
      </c>
      <c r="LM128" s="102">
        <f t="shared" si="712"/>
        <v>0</v>
      </c>
      <c r="LN128" s="102"/>
      <c r="LO128" s="102"/>
      <c r="LR128" s="32">
        <f t="shared" si="713"/>
        <v>-0.99516936170804771</v>
      </c>
      <c r="LS128" s="32">
        <f t="shared" si="714"/>
        <v>-1</v>
      </c>
      <c r="LT128" s="32" t="str">
        <f t="shared" si="715"/>
        <v xml:space="preserve"> </v>
      </c>
      <c r="LU128" s="32" t="str">
        <f t="shared" si="716"/>
        <v xml:space="preserve"> </v>
      </c>
      <c r="LV128" s="32" t="str">
        <f t="shared" si="717"/>
        <v xml:space="preserve"> </v>
      </c>
      <c r="LW128" s="32" t="str">
        <f t="shared" si="718"/>
        <v xml:space="preserve"> </v>
      </c>
      <c r="LX128" s="32" t="str">
        <f t="shared" si="719"/>
        <v xml:space="preserve"> </v>
      </c>
      <c r="LZ128" s="102">
        <f t="shared" si="720"/>
        <v>-20.60150501</v>
      </c>
      <c r="MA128" s="102">
        <f t="shared" si="721"/>
        <v>-0.10000149</v>
      </c>
      <c r="MB128" s="102">
        <f t="shared" si="722"/>
        <v>0</v>
      </c>
      <c r="MC128" s="102">
        <f t="shared" si="723"/>
        <v>0</v>
      </c>
      <c r="MD128" s="102">
        <f t="shared" si="724"/>
        <v>0</v>
      </c>
      <c r="ME128" s="102">
        <f t="shared" si="725"/>
        <v>0</v>
      </c>
      <c r="MF128" s="102">
        <f t="shared" si="726"/>
        <v>0</v>
      </c>
      <c r="MH128" s="973"/>
      <c r="MI128" s="973"/>
      <c r="MJ128" s="973"/>
      <c r="MK128" s="973"/>
      <c r="ML128" s="973"/>
      <c r="MM128" s="973"/>
      <c r="MN128" s="973"/>
      <c r="MO128" s="973"/>
      <c r="MP128" s="973"/>
    </row>
    <row r="129" spans="1:354" outlineLevel="3">
      <c r="A129" s="884">
        <v>1380</v>
      </c>
      <c r="B129" s="70" t="s">
        <v>694</v>
      </c>
      <c r="C129" s="40" t="s">
        <v>695</v>
      </c>
      <c r="D129" s="31" t="s">
        <v>59</v>
      </c>
      <c r="E129" s="102">
        <v>51.062930000000001</v>
      </c>
      <c r="F129" s="102">
        <v>50.249332000000003</v>
      </c>
      <c r="G129" s="102">
        <v>56.88028783</v>
      </c>
      <c r="H129" s="102">
        <v>87.308676000000006</v>
      </c>
      <c r="I129" s="102">
        <v>122.99629843000001</v>
      </c>
      <c r="J129" s="102">
        <v>119.11318443</v>
      </c>
      <c r="K129" s="102">
        <v>124.11335943</v>
      </c>
      <c r="L129" s="102">
        <v>122.31210443000001</v>
      </c>
      <c r="M129" s="102">
        <v>76.347352430000001</v>
      </c>
      <c r="N129" s="102">
        <v>49.668018229999994</v>
      </c>
      <c r="O129" s="102">
        <v>20.31509123</v>
      </c>
      <c r="P129" s="102">
        <v>34.896734000000002</v>
      </c>
      <c r="Q129" s="102">
        <v>7.2207089999999994</v>
      </c>
      <c r="R129" s="102">
        <v>8.2930001999999998</v>
      </c>
      <c r="S129" s="102">
        <v>5.7102692000000008</v>
      </c>
      <c r="T129" s="102">
        <v>14.977824199999999</v>
      </c>
      <c r="U129" s="102">
        <v>35.817455759999994</v>
      </c>
      <c r="V129" s="102">
        <v>76.787708280000004</v>
      </c>
      <c r="W129" s="102">
        <v>68.324940040000001</v>
      </c>
      <c r="X129" s="102">
        <v>53.545106539999999</v>
      </c>
      <c r="Y129" s="102">
        <v>65.994928539999989</v>
      </c>
      <c r="Z129" s="102">
        <v>85.308521060000004</v>
      </c>
      <c r="AA129" s="102">
        <v>81.182937420000002</v>
      </c>
      <c r="AB129" s="102">
        <v>75.944211779999989</v>
      </c>
      <c r="AC129" s="102">
        <v>83.618552779999987</v>
      </c>
      <c r="AD129" s="102">
        <v>64.660780099999997</v>
      </c>
      <c r="AE129" s="102">
        <v>46.512993160000001</v>
      </c>
      <c r="AF129" s="102">
        <v>45.731065959999995</v>
      </c>
      <c r="AG129" s="102">
        <v>51.712176169999999</v>
      </c>
      <c r="AH129" s="102">
        <v>47.456723029999999</v>
      </c>
      <c r="AI129" s="102">
        <v>49.036733770000005</v>
      </c>
      <c r="AJ129" s="102">
        <v>42.784758529999998</v>
      </c>
      <c r="AK129" s="102">
        <v>30.54966555</v>
      </c>
      <c r="AL129" s="102">
        <v>24.792156739999999</v>
      </c>
      <c r="AM129" s="102">
        <v>53.64850985999999</v>
      </c>
      <c r="AN129" s="145">
        <v>25.122273589999999</v>
      </c>
      <c r="AO129" s="102">
        <v>8.2533268199999998</v>
      </c>
      <c r="AP129" s="145">
        <v>3.6247767000000004</v>
      </c>
      <c r="AQ129" s="220">
        <v>1.1488853600000002</v>
      </c>
      <c r="AR129" s="220">
        <v>1.04178536</v>
      </c>
      <c r="AS129" s="102">
        <v>21.98053419</v>
      </c>
      <c r="AT129" s="102">
        <v>9.553833130000001</v>
      </c>
      <c r="AU129" s="102">
        <v>0</v>
      </c>
      <c r="AV129" s="102">
        <v>0</v>
      </c>
      <c r="AW129" s="102">
        <v>0</v>
      </c>
      <c r="AX129" s="102">
        <v>0</v>
      </c>
      <c r="AY129" s="102">
        <v>0</v>
      </c>
      <c r="AZ129" s="102">
        <v>12.34993755</v>
      </c>
      <c r="BA129" s="102">
        <v>12.34993755</v>
      </c>
      <c r="BB129" s="102">
        <v>12.34993755</v>
      </c>
      <c r="BC129" s="102">
        <v>12.34993755</v>
      </c>
      <c r="BD129" s="102">
        <v>0</v>
      </c>
      <c r="BE129" s="102">
        <v>0</v>
      </c>
      <c r="BF129" s="102">
        <v>0.96388799999999997</v>
      </c>
      <c r="BG129" s="102">
        <v>0</v>
      </c>
      <c r="BH129" s="102">
        <v>0.38850460999999997</v>
      </c>
      <c r="BI129" s="102">
        <v>8.3902500000000005E-2</v>
      </c>
      <c r="BJ129" s="102">
        <v>1.2544999999999999</v>
      </c>
      <c r="BK129" s="102">
        <v>5.7013999999999996</v>
      </c>
      <c r="BL129" s="146">
        <v>2.6406670000000001</v>
      </c>
      <c r="BM129" s="974">
        <v>2.6406670000000001</v>
      </c>
      <c r="BN129" s="102">
        <v>2.6406670000000001</v>
      </c>
      <c r="BO129" s="102">
        <v>2.6406670000000001</v>
      </c>
      <c r="BP129" s="102">
        <v>2.6406670000000001</v>
      </c>
      <c r="BQ129" s="102">
        <v>2.6406670000000001</v>
      </c>
      <c r="BR129" s="102">
        <v>2.6406670000000001</v>
      </c>
      <c r="BS129" s="102">
        <v>2.6406670000000001</v>
      </c>
      <c r="BT129" s="102">
        <v>2.6406670000000001</v>
      </c>
      <c r="BU129" s="102">
        <v>2.6406670000000001</v>
      </c>
      <c r="BV129" s="102">
        <v>2.6406670000000001</v>
      </c>
      <c r="BW129" s="102">
        <v>2.6406670000000001</v>
      </c>
      <c r="BX129" s="102">
        <v>5.3220590000000003</v>
      </c>
      <c r="BY129" s="102">
        <v>31.201367000000001</v>
      </c>
      <c r="BZ129" s="102">
        <v>42.024366999999998</v>
      </c>
      <c r="CA129" s="102">
        <v>46.424926999999997</v>
      </c>
      <c r="CB129" s="102">
        <v>33.264927</v>
      </c>
      <c r="CC129" s="102">
        <v>32.052926999999997</v>
      </c>
      <c r="CD129" s="102">
        <v>2.6406670000000001</v>
      </c>
      <c r="CE129" s="102">
        <v>2.6406670000000001</v>
      </c>
      <c r="CF129" s="102">
        <v>2.6406670000000001</v>
      </c>
      <c r="CG129" s="102">
        <v>2.6406670000000001</v>
      </c>
      <c r="CH129" s="102">
        <v>-2.5524930000000001</v>
      </c>
      <c r="CI129" s="102">
        <v>2.6406670000000001</v>
      </c>
      <c r="CJ129" s="102">
        <v>21.467167</v>
      </c>
      <c r="CK129" s="102">
        <v>2.6406670000000001</v>
      </c>
      <c r="CL129" s="102">
        <v>2.6406670000000001</v>
      </c>
      <c r="CM129" s="102">
        <v>2.6406670000000001</v>
      </c>
      <c r="CN129" s="102">
        <v>-5.1128830000000001</v>
      </c>
      <c r="CO129" s="102">
        <v>2.6406670000000001</v>
      </c>
      <c r="CP129" s="102">
        <v>2.6406670000000001</v>
      </c>
      <c r="CQ129" s="102">
        <v>2.6406670000000001</v>
      </c>
      <c r="CR129" s="102">
        <v>2.6406670000000001</v>
      </c>
      <c r="CS129" s="102">
        <v>2.6406670000000001</v>
      </c>
      <c r="CT129" s="102">
        <v>2.6406670000000001</v>
      </c>
      <c r="CU129" s="102">
        <v>2.6406670000000001</v>
      </c>
      <c r="CV129" s="102">
        <v>2.6406670000000001</v>
      </c>
      <c r="CW129" s="102">
        <v>2.6406670000000001</v>
      </c>
      <c r="CX129" s="102">
        <v>2.6406670000000001</v>
      </c>
      <c r="CY129" s="102">
        <v>2.6406670000000001</v>
      </c>
      <c r="CZ129" s="102">
        <v>2.6406670000000001</v>
      </c>
      <c r="DA129" s="102">
        <v>2.6406670000000001</v>
      </c>
      <c r="DB129" s="102">
        <v>2.6406670000000001</v>
      </c>
      <c r="DC129" s="102">
        <v>2.6406670000000001</v>
      </c>
      <c r="DD129" s="102">
        <v>2.6406670000000001</v>
      </c>
      <c r="DE129" s="102">
        <v>2.6406670000000001</v>
      </c>
      <c r="DF129" s="102">
        <v>2.6406670000000001</v>
      </c>
      <c r="DG129" s="102">
        <v>2.6406670000000001</v>
      </c>
      <c r="DH129" s="102">
        <v>70.803667000000004</v>
      </c>
      <c r="DI129" s="102">
        <v>94.803667000000004</v>
      </c>
      <c r="DJ129" s="102">
        <v>64.080667000000005</v>
      </c>
      <c r="DK129" s="102">
        <v>56.700667000000003</v>
      </c>
      <c r="DL129" s="102">
        <v>82.447854000000007</v>
      </c>
      <c r="DM129" s="102">
        <v>92.647561449999998</v>
      </c>
      <c r="DN129" s="102">
        <v>67.158397280000003</v>
      </c>
      <c r="DO129" s="102">
        <v>62.175698579999995</v>
      </c>
      <c r="DP129" s="102">
        <v>62.175698579999995</v>
      </c>
      <c r="DQ129" s="940">
        <v>71.158519999999996</v>
      </c>
      <c r="DR129" s="940">
        <v>67.270216000000005</v>
      </c>
      <c r="DS129" s="940">
        <v>62.661912000000001</v>
      </c>
      <c r="DT129" s="940">
        <v>33.773608000000003</v>
      </c>
      <c r="DU129" s="940">
        <v>29.885304000000001</v>
      </c>
      <c r="DV129" s="940">
        <v>26</v>
      </c>
      <c r="DW129" s="940">
        <v>26</v>
      </c>
      <c r="DX129" s="940">
        <v>26</v>
      </c>
      <c r="DY129" s="940">
        <v>26</v>
      </c>
      <c r="DZ129" s="940">
        <v>26</v>
      </c>
      <c r="EA129" s="940">
        <v>26</v>
      </c>
      <c r="EB129" s="940">
        <v>26</v>
      </c>
      <c r="EC129" s="940">
        <v>26</v>
      </c>
      <c r="ED129" s="940">
        <v>26</v>
      </c>
      <c r="EE129" s="940">
        <v>26</v>
      </c>
      <c r="EF129" s="940">
        <v>26</v>
      </c>
      <c r="EH129" s="102">
        <v>2.6406670000000001</v>
      </c>
      <c r="EI129" s="102">
        <v>2.6406670000000001</v>
      </c>
      <c r="EJ129" s="102">
        <v>2.6406670000000001</v>
      </c>
      <c r="EK129" s="102">
        <v>2.6406670000000001</v>
      </c>
      <c r="EL129" s="102">
        <v>2.6406670000000001</v>
      </c>
      <c r="EM129" s="102">
        <v>2.6406670000000001</v>
      </c>
      <c r="EN129" s="102">
        <v>2.6406670000000001</v>
      </c>
      <c r="EO129" s="102">
        <v>2.6406670000000001</v>
      </c>
      <c r="EP129" s="102">
        <v>2.6406670000000001</v>
      </c>
      <c r="EQ129" s="102">
        <v>2.6406670000000001</v>
      </c>
      <c r="ER129" s="102">
        <v>2.6406670000000001</v>
      </c>
      <c r="ES129" s="102">
        <v>2.6406670000000001</v>
      </c>
      <c r="EU129" s="102">
        <v>68.200171870000005</v>
      </c>
      <c r="EV129" s="102">
        <v>63.200171870000005</v>
      </c>
      <c r="EW129" s="102">
        <v>58.200171870000005</v>
      </c>
      <c r="EX129" s="102">
        <v>53.200171870000005</v>
      </c>
      <c r="EY129" s="102">
        <v>48.200171870000005</v>
      </c>
      <c r="EZ129" s="102">
        <v>0</v>
      </c>
      <c r="FA129" s="102">
        <v>0</v>
      </c>
      <c r="FB129" s="102">
        <v>0</v>
      </c>
      <c r="FC129" s="102">
        <v>0</v>
      </c>
      <c r="FD129" s="102">
        <v>0</v>
      </c>
      <c r="FE129" s="102">
        <v>0</v>
      </c>
      <c r="FF129" s="102">
        <v>0</v>
      </c>
      <c r="FG129" s="102">
        <v>0</v>
      </c>
      <c r="FH129" s="102">
        <v>0</v>
      </c>
      <c r="FI129" s="102">
        <v>0</v>
      </c>
      <c r="FJ129" s="102">
        <v>0</v>
      </c>
      <c r="FK129" s="102">
        <v>0</v>
      </c>
      <c r="FL129" s="102">
        <v>0</v>
      </c>
      <c r="FM129" s="102">
        <v>0</v>
      </c>
      <c r="FN129" s="102">
        <v>0</v>
      </c>
      <c r="FO129" s="102">
        <v>0</v>
      </c>
      <c r="FP129" s="102">
        <v>0</v>
      </c>
      <c r="FQ129" s="102">
        <v>0</v>
      </c>
      <c r="FR129" s="102">
        <v>0</v>
      </c>
      <c r="FS129" s="102">
        <v>2.6406670000000001</v>
      </c>
      <c r="FT129" s="102">
        <v>2.6406670000000001</v>
      </c>
      <c r="FU129" s="102">
        <v>2.6406670000000001</v>
      </c>
      <c r="FV129" s="102">
        <v>2.6406670000000001</v>
      </c>
      <c r="FW129" s="102">
        <v>2.6406670000000001</v>
      </c>
      <c r="FX129" s="102">
        <v>2.6406670000000001</v>
      </c>
      <c r="FY129" s="102">
        <v>2.6406670000000001</v>
      </c>
      <c r="FZ129" s="102">
        <v>2.6406670000000001</v>
      </c>
      <c r="GA129" s="102">
        <v>2.6406670000000001</v>
      </c>
      <c r="GB129" s="102">
        <v>2.6406670000000001</v>
      </c>
      <c r="GC129" s="102">
        <v>2.6406670000000001</v>
      </c>
      <c r="GD129" s="102">
        <v>2.6406670000000001</v>
      </c>
      <c r="GE129" s="102">
        <v>0</v>
      </c>
      <c r="GF129" s="102">
        <v>0</v>
      </c>
      <c r="GG129" s="102">
        <v>0</v>
      </c>
      <c r="GH129" s="102">
        <v>0</v>
      </c>
      <c r="GI129" s="102">
        <v>0</v>
      </c>
      <c r="GJ129" s="102">
        <v>0</v>
      </c>
      <c r="GK129" s="102">
        <v>0</v>
      </c>
      <c r="GL129" s="102">
        <v>0</v>
      </c>
      <c r="GM129" s="102">
        <v>0</v>
      </c>
      <c r="GN129" s="102">
        <v>0</v>
      </c>
      <c r="GO129" s="102">
        <v>0</v>
      </c>
      <c r="GP129" s="102">
        <v>0</v>
      </c>
      <c r="GQ129" s="102">
        <v>0</v>
      </c>
      <c r="GR129" s="102">
        <v>0</v>
      </c>
      <c r="GS129" s="102">
        <v>0</v>
      </c>
      <c r="GT129" s="102">
        <v>0</v>
      </c>
      <c r="GU129" s="102">
        <v>0</v>
      </c>
      <c r="GV129" s="102">
        <v>0</v>
      </c>
      <c r="GW129" s="102">
        <v>0</v>
      </c>
      <c r="GX129" s="102">
        <v>0</v>
      </c>
      <c r="GY129" s="102">
        <v>0</v>
      </c>
      <c r="GZ129" s="102">
        <v>0</v>
      </c>
      <c r="HA129" s="102">
        <v>0</v>
      </c>
      <c r="HB129" s="102">
        <v>0</v>
      </c>
      <c r="HD129" s="102">
        <f t="shared" si="743"/>
        <v>34.896734000000002</v>
      </c>
      <c r="HE129" s="102">
        <f t="shared" si="743"/>
        <v>75.944211779999989</v>
      </c>
      <c r="HF129" s="102">
        <f t="shared" si="743"/>
        <v>25.122273589999999</v>
      </c>
      <c r="HG129" s="102">
        <f t="shared" si="743"/>
        <v>12.34993755</v>
      </c>
      <c r="HH129" s="102">
        <f t="shared" si="744"/>
        <v>2.6406670000000001</v>
      </c>
      <c r="HI129" s="102">
        <f t="shared" si="695"/>
        <v>5.3220590000000003</v>
      </c>
      <c r="HJ129" s="102">
        <f t="shared" si="696"/>
        <v>21.467167</v>
      </c>
      <c r="HK129" s="102">
        <f t="shared" si="697"/>
        <v>2.6406670000000001</v>
      </c>
      <c r="HL129" s="940">
        <f>+SUMIFS($E129:SEW129,$E$6:SEW$6,HL$7,$E$5:SEW$5,12)</f>
        <v>70.803667000000004</v>
      </c>
      <c r="HM129" s="940">
        <f>+SUMIFS($E129:SEX129,$E$6:SEX$6,HM$7,$E$5:SEX$5,12)</f>
        <v>33.773608000000003</v>
      </c>
      <c r="HN129" s="940">
        <f>+SUMIFS($E129:SEY129,$E$6:SEY$6,HN$7,$E$5:SEY$5,12)</f>
        <v>26</v>
      </c>
      <c r="HO129" s="102"/>
      <c r="HP129" s="102"/>
      <c r="HR129" s="929">
        <f t="shared" si="745"/>
        <v>-0.6692009436772377</v>
      </c>
      <c r="HS129" s="929">
        <f t="shared" si="746"/>
        <v>-0.50840685235925731</v>
      </c>
      <c r="HT129" s="929">
        <f t="shared" si="747"/>
        <v>-0.78617972849587403</v>
      </c>
      <c r="HU129" s="929">
        <f t="shared" si="738"/>
        <v>1.0154222399113557</v>
      </c>
      <c r="HV129" s="929">
        <f t="shared" si="739"/>
        <v>3.033620634419874</v>
      </c>
      <c r="HW129" s="929">
        <f t="shared" si="740"/>
        <v>-0.87699042915164349</v>
      </c>
      <c r="HX129" s="929">
        <f t="shared" si="741"/>
        <v>25.812796539662138</v>
      </c>
      <c r="HY129" s="929">
        <f t="shared" si="741"/>
        <v>-0.52299634424301777</v>
      </c>
      <c r="HZ129" s="929">
        <f t="shared" si="741"/>
        <v>-0.23016812417553978</v>
      </c>
      <c r="IA129" s="929">
        <f t="shared" si="604"/>
        <v>-1</v>
      </c>
      <c r="IB129" s="929" t="str">
        <f t="shared" si="748"/>
        <v/>
      </c>
      <c r="IC129" s="929">
        <f t="shared" si="605"/>
        <v>-1</v>
      </c>
      <c r="IE129" s="102">
        <f t="shared" si="749"/>
        <v>-50.82193818999999</v>
      </c>
      <c r="IF129" s="102">
        <f t="shared" si="750"/>
        <v>-12.772336039999999</v>
      </c>
      <c r="IG129" s="102">
        <f t="shared" si="751"/>
        <v>-9.7092705499999994</v>
      </c>
      <c r="IH129" s="102">
        <f t="shared" si="742"/>
        <v>2.6813920000000002</v>
      </c>
      <c r="II129" s="102">
        <f t="shared" si="619"/>
        <v>16.145108</v>
      </c>
      <c r="IJ129" s="102">
        <f t="shared" si="620"/>
        <v>-18.826499999999999</v>
      </c>
      <c r="IK129" s="102">
        <f t="shared" si="621"/>
        <v>68.163000000000011</v>
      </c>
      <c r="IL129" s="102">
        <f t="shared" si="607"/>
        <v>-70.803667000000004</v>
      </c>
      <c r="IM129" s="102">
        <f t="shared" si="752"/>
        <v>0</v>
      </c>
      <c r="IN129" s="102">
        <f t="shared" si="608"/>
        <v>-70.803667000000004</v>
      </c>
      <c r="IP129" s="973"/>
      <c r="IQ129" s="973"/>
      <c r="IR129" s="973"/>
      <c r="IS129" s="973"/>
      <c r="IT129" s="973"/>
      <c r="IU129" s="973"/>
      <c r="IV129" s="973"/>
      <c r="IW129" s="973"/>
      <c r="IX129" s="973"/>
      <c r="IY129" s="973"/>
      <c r="JA129" s="102">
        <f t="shared" si="727"/>
        <v>34.896734000000002</v>
      </c>
      <c r="JB129" s="102">
        <f t="shared" si="727"/>
        <v>75.944211779999989</v>
      </c>
      <c r="JC129" s="102">
        <f t="shared" si="727"/>
        <v>25.122273589999999</v>
      </c>
      <c r="JD129" s="102">
        <f t="shared" si="727"/>
        <v>12.34993755</v>
      </c>
      <c r="JE129" s="102">
        <f t="shared" si="727"/>
        <v>2.6406670000000001</v>
      </c>
      <c r="JF129" s="102">
        <f t="shared" si="727"/>
        <v>5.3220590000000003</v>
      </c>
      <c r="JG129" s="102">
        <f t="shared" si="727"/>
        <v>21.467167</v>
      </c>
      <c r="JH129" s="102">
        <f t="shared" si="727"/>
        <v>2.6406670000000001</v>
      </c>
      <c r="JI129" s="102">
        <f t="shared" si="727"/>
        <v>70.803667000000004</v>
      </c>
      <c r="JJ129" s="102">
        <f t="shared" si="727"/>
        <v>33.773608000000003</v>
      </c>
      <c r="JK129" s="102">
        <f t="shared" si="727"/>
        <v>26</v>
      </c>
      <c r="JL129" s="102">
        <f t="shared" si="728"/>
        <v>26</v>
      </c>
      <c r="JM129" s="102"/>
      <c r="JN129" s="102"/>
      <c r="JP129" s="102">
        <f t="shared" si="701"/>
        <v>0</v>
      </c>
      <c r="JQ129" s="102">
        <f t="shared" si="702"/>
        <v>0</v>
      </c>
      <c r="JR129" s="145"/>
      <c r="JS129" s="929" t="str">
        <f t="shared" si="753"/>
        <v>NA</v>
      </c>
      <c r="JT129" s="930">
        <f t="shared" si="754"/>
        <v>0</v>
      </c>
      <c r="JV129" s="973"/>
      <c r="JW129" s="973"/>
      <c r="JY129" s="929">
        <f t="shared" si="729"/>
        <v>-0.6692009436772377</v>
      </c>
      <c r="JZ129" s="929">
        <f t="shared" si="730"/>
        <v>-0.50840685235925731</v>
      </c>
      <c r="KA129" s="929">
        <f t="shared" si="731"/>
        <v>-0.78617972849587403</v>
      </c>
      <c r="KB129" s="929">
        <f t="shared" si="732"/>
        <v>1.0154222399113557</v>
      </c>
      <c r="KC129" s="929">
        <f t="shared" si="733"/>
        <v>3.033620634419874</v>
      </c>
      <c r="KD129" s="929">
        <f t="shared" si="734"/>
        <v>-0.87699042915164349</v>
      </c>
      <c r="KE129" s="929">
        <f t="shared" si="735"/>
        <v>25.812796539662138</v>
      </c>
      <c r="KF129" s="929">
        <f t="shared" si="736"/>
        <v>-1</v>
      </c>
      <c r="KH129" s="102">
        <f t="shared" si="704"/>
        <v>-50.82193818999999</v>
      </c>
      <c r="KI129" s="102">
        <f t="shared" si="705"/>
        <v>-12.772336039999999</v>
      </c>
      <c r="KJ129" s="102">
        <f t="shared" si="706"/>
        <v>-9.7092705499999994</v>
      </c>
      <c r="KK129" s="102">
        <f t="shared" si="707"/>
        <v>2.6813920000000002</v>
      </c>
      <c r="KL129" s="102">
        <f t="shared" si="708"/>
        <v>16.145108</v>
      </c>
      <c r="KM129" s="102">
        <f t="shared" si="709"/>
        <v>-18.826499999999999</v>
      </c>
      <c r="KN129" s="102">
        <f t="shared" si="710"/>
        <v>68.163000000000011</v>
      </c>
      <c r="KO129" s="102">
        <f t="shared" si="711"/>
        <v>-70.803667000000004</v>
      </c>
      <c r="KQ129" s="973"/>
      <c r="KR129" s="973"/>
      <c r="KS129" s="973"/>
      <c r="KT129" s="973"/>
      <c r="KU129" s="973"/>
      <c r="KV129" s="973"/>
      <c r="KW129" s="973"/>
      <c r="KX129" s="973"/>
      <c r="KY129" s="973"/>
      <c r="KZ129" s="973"/>
      <c r="LB129" s="102">
        <f t="shared" si="737"/>
        <v>34.896734000000002</v>
      </c>
      <c r="LC129" s="102">
        <f t="shared" si="737"/>
        <v>75.944211779999989</v>
      </c>
      <c r="LD129" s="102">
        <f t="shared" si="737"/>
        <v>25.122273589999999</v>
      </c>
      <c r="LE129" s="102">
        <f t="shared" si="737"/>
        <v>12.34993755</v>
      </c>
      <c r="LF129" s="102">
        <f t="shared" si="737"/>
        <v>2.6406670000000001</v>
      </c>
      <c r="LG129" s="102">
        <f t="shared" si="737"/>
        <v>5.3220590000000003</v>
      </c>
      <c r="LH129" s="102">
        <f t="shared" si="737"/>
        <v>21.467167</v>
      </c>
      <c r="LI129" s="102">
        <f t="shared" si="737"/>
        <v>2.6406670000000001</v>
      </c>
      <c r="LJ129" s="102">
        <f t="shared" si="737"/>
        <v>70.803667000000004</v>
      </c>
      <c r="LK129" s="102">
        <f t="shared" si="737"/>
        <v>33.773608000000003</v>
      </c>
      <c r="LL129" s="102">
        <f t="shared" si="737"/>
        <v>26</v>
      </c>
      <c r="LM129" s="102">
        <f t="shared" si="712"/>
        <v>26</v>
      </c>
      <c r="LN129" s="102"/>
      <c r="LO129" s="102"/>
      <c r="LR129" s="32">
        <f t="shared" si="713"/>
        <v>-0.6692009436772377</v>
      </c>
      <c r="LS129" s="32">
        <f t="shared" si="714"/>
        <v>-0.50840685235925731</v>
      </c>
      <c r="LT129" s="32">
        <f t="shared" si="715"/>
        <v>-0.78617972849587403</v>
      </c>
      <c r="LU129" s="32">
        <f t="shared" si="716"/>
        <v>1.0154222399113557</v>
      </c>
      <c r="LV129" s="32">
        <f t="shared" si="717"/>
        <v>3.033620634419874</v>
      </c>
      <c r="LW129" s="32">
        <f t="shared" si="718"/>
        <v>-0.87699042915164349</v>
      </c>
      <c r="LX129" s="32">
        <f t="shared" si="719"/>
        <v>-1</v>
      </c>
      <c r="LZ129" s="102">
        <f t="shared" si="720"/>
        <v>-50.82193818999999</v>
      </c>
      <c r="MA129" s="102">
        <f t="shared" si="721"/>
        <v>-12.772336039999999</v>
      </c>
      <c r="MB129" s="102">
        <f t="shared" si="722"/>
        <v>-9.7092705499999994</v>
      </c>
      <c r="MC129" s="102">
        <f t="shared" si="723"/>
        <v>2.6813920000000002</v>
      </c>
      <c r="MD129" s="102">
        <f t="shared" si="724"/>
        <v>16.145108</v>
      </c>
      <c r="ME129" s="102">
        <f t="shared" si="725"/>
        <v>-18.826499999999999</v>
      </c>
      <c r="MF129" s="102">
        <f t="shared" si="726"/>
        <v>-2.6406670000000001</v>
      </c>
      <c r="MH129" s="973"/>
      <c r="MI129" s="973"/>
      <c r="MJ129" s="973"/>
      <c r="MK129" s="973"/>
      <c r="ML129" s="973"/>
      <c r="MM129" s="973"/>
      <c r="MN129" s="973"/>
      <c r="MO129" s="973"/>
      <c r="MP129" s="973"/>
    </row>
    <row r="130" spans="1:354" outlineLevel="2">
      <c r="A130" s="884">
        <v>1330</v>
      </c>
      <c r="B130" s="70" t="s">
        <v>696</v>
      </c>
      <c r="C130" s="29" t="s">
        <v>117</v>
      </c>
      <c r="D130" s="31" t="s">
        <v>59</v>
      </c>
      <c r="E130" s="102">
        <v>104.17979648000001</v>
      </c>
      <c r="F130" s="102">
        <v>108.71904648</v>
      </c>
      <c r="G130" s="102">
        <v>85.75183048000001</v>
      </c>
      <c r="H130" s="102">
        <v>113.31472148</v>
      </c>
      <c r="I130" s="102">
        <v>165.72839472999999</v>
      </c>
      <c r="J130" s="102">
        <v>100.32863873000001</v>
      </c>
      <c r="K130" s="102">
        <v>84.224881730000007</v>
      </c>
      <c r="L130" s="102">
        <v>97.658232749999996</v>
      </c>
      <c r="M130" s="102">
        <v>94.500749749999997</v>
      </c>
      <c r="N130" s="102">
        <v>241.83862675</v>
      </c>
      <c r="O130" s="102">
        <v>319.76859292</v>
      </c>
      <c r="P130" s="102">
        <v>214.44639749999999</v>
      </c>
      <c r="Q130" s="102">
        <v>400.41888001999996</v>
      </c>
      <c r="R130" s="102">
        <v>368.32386832999998</v>
      </c>
      <c r="S130" s="102">
        <v>408.05841742000001</v>
      </c>
      <c r="T130" s="102">
        <v>354.66983061999997</v>
      </c>
      <c r="U130" s="102">
        <v>330.57092511000002</v>
      </c>
      <c r="V130" s="102">
        <v>359.74989365000005</v>
      </c>
      <c r="W130" s="102">
        <v>347.92396438000003</v>
      </c>
      <c r="X130" s="102">
        <v>336.89659280000001</v>
      </c>
      <c r="Y130" s="102">
        <v>320.36066744999999</v>
      </c>
      <c r="Z130" s="102">
        <v>300.36981343999997</v>
      </c>
      <c r="AA130" s="102">
        <v>191.78832070999999</v>
      </c>
      <c r="AB130" s="102">
        <v>53.165152459999995</v>
      </c>
      <c r="AC130" s="102">
        <v>95.474994600000002</v>
      </c>
      <c r="AD130" s="102">
        <v>104.71348669</v>
      </c>
      <c r="AE130" s="102">
        <v>138.86517035</v>
      </c>
      <c r="AF130" s="102">
        <v>146.01140426999999</v>
      </c>
      <c r="AG130" s="102">
        <v>132.74687686999999</v>
      </c>
      <c r="AH130" s="102">
        <v>152.43282013999999</v>
      </c>
      <c r="AI130" s="102">
        <v>295.65639064000004</v>
      </c>
      <c r="AJ130" s="102">
        <v>247.87984377000001</v>
      </c>
      <c r="AK130" s="102">
        <v>275.65555010999998</v>
      </c>
      <c r="AL130" s="102">
        <v>340.74583627999993</v>
      </c>
      <c r="AM130" s="102">
        <v>446.18380210999999</v>
      </c>
      <c r="AN130" s="145">
        <v>608.19288423000012</v>
      </c>
      <c r="AO130" s="102">
        <v>1910.8844043900001</v>
      </c>
      <c r="AP130" s="145">
        <v>331.38615183999997</v>
      </c>
      <c r="AQ130" s="220">
        <v>482.9797059</v>
      </c>
      <c r="AR130" s="220">
        <v>450.57289766000002</v>
      </c>
      <c r="AS130" s="102">
        <v>262.16459617999999</v>
      </c>
      <c r="AT130" s="102">
        <v>327.90426464000001</v>
      </c>
      <c r="AU130" s="102">
        <v>584.67237350000005</v>
      </c>
      <c r="AV130" s="102">
        <v>628.92908751999994</v>
      </c>
      <c r="AW130" s="102">
        <v>399.53683752000001</v>
      </c>
      <c r="AX130" s="102">
        <v>529.35130786000002</v>
      </c>
      <c r="AY130" s="102">
        <v>233.48458475999999</v>
      </c>
      <c r="AZ130" s="102">
        <v>38.940740820000002</v>
      </c>
      <c r="BA130" s="102">
        <v>17.833570680000001</v>
      </c>
      <c r="BB130" s="102">
        <v>34.161420049999997</v>
      </c>
      <c r="BC130" s="102">
        <v>56.275485369999998</v>
      </c>
      <c r="BD130" s="102">
        <v>151.62973740000001</v>
      </c>
      <c r="BE130" s="102">
        <v>162.8056345</v>
      </c>
      <c r="BF130" s="102">
        <v>168.51884808000003</v>
      </c>
      <c r="BG130" s="102">
        <v>177.51681091999998</v>
      </c>
      <c r="BH130" s="102">
        <v>49.236861140000002</v>
      </c>
      <c r="BI130" s="102">
        <v>34.679995689999998</v>
      </c>
      <c r="BJ130" s="102">
        <v>40.038104300000001</v>
      </c>
      <c r="BK130" s="102">
        <v>37.083036899999996</v>
      </c>
      <c r="BL130" s="146">
        <v>28.178694359999998</v>
      </c>
      <c r="BM130" s="974">
        <v>32.723315360000001</v>
      </c>
      <c r="BN130" s="102">
        <v>479.25991350999999</v>
      </c>
      <c r="BO130" s="102">
        <v>497.63644407999999</v>
      </c>
      <c r="BP130" s="102">
        <v>516.75708520000001</v>
      </c>
      <c r="BQ130" s="102">
        <v>490.43929885</v>
      </c>
      <c r="BR130" s="102">
        <v>556.95607665</v>
      </c>
      <c r="BS130" s="102">
        <v>524.51993473000005</v>
      </c>
      <c r="BT130" s="102">
        <v>690.86164914999995</v>
      </c>
      <c r="BU130" s="102">
        <v>471.88999625000002</v>
      </c>
      <c r="BV130" s="102">
        <v>423.76423449000004</v>
      </c>
      <c r="BW130" s="102">
        <v>425.38826939999996</v>
      </c>
      <c r="BX130" s="102">
        <v>373.24613364999999</v>
      </c>
      <c r="BY130" s="102">
        <v>374.56383075000002</v>
      </c>
      <c r="BZ130" s="102">
        <v>463.154855</v>
      </c>
      <c r="CA130" s="102">
        <v>337.78642070000001</v>
      </c>
      <c r="CB130" s="102">
        <v>302.56279128</v>
      </c>
      <c r="CC130" s="102">
        <v>306.49689706999999</v>
      </c>
      <c r="CD130" s="102">
        <v>283.51440938000002</v>
      </c>
      <c r="CE130" s="102">
        <v>331.70706938000001</v>
      </c>
      <c r="CF130" s="102">
        <v>449.16038494999998</v>
      </c>
      <c r="CG130" s="102">
        <v>543.39170594000007</v>
      </c>
      <c r="CH130" s="102">
        <v>245.69044606999998</v>
      </c>
      <c r="CI130" s="102">
        <v>146.51613737</v>
      </c>
      <c r="CJ130" s="102">
        <v>13.9294747</v>
      </c>
      <c r="CK130" s="102">
        <v>16.1401243</v>
      </c>
      <c r="CL130" s="102">
        <v>37.894138299999995</v>
      </c>
      <c r="CM130" s="102">
        <v>22.278238699999999</v>
      </c>
      <c r="CN130" s="102">
        <v>20.692329000000001</v>
      </c>
      <c r="CO130" s="102">
        <v>21.697740170000003</v>
      </c>
      <c r="CP130" s="102">
        <v>26.826583940000003</v>
      </c>
      <c r="CQ130" s="102">
        <v>19.95257754</v>
      </c>
      <c r="CR130" s="102">
        <v>26.900055440000003</v>
      </c>
      <c r="CS130" s="102">
        <v>34.328596340000004</v>
      </c>
      <c r="CT130" s="102">
        <v>36.113857500000002</v>
      </c>
      <c r="CU130" s="102">
        <v>39.47220093</v>
      </c>
      <c r="CV130" s="102">
        <v>20.12091882</v>
      </c>
      <c r="CW130" s="102">
        <v>27.29987543</v>
      </c>
      <c r="CX130" s="102">
        <v>85.606201470000002</v>
      </c>
      <c r="CY130" s="102">
        <v>58.600471420000005</v>
      </c>
      <c r="CZ130" s="102">
        <v>57.95332415</v>
      </c>
      <c r="DA130" s="102">
        <v>54.960886119999998</v>
      </c>
      <c r="DB130" s="102">
        <v>61.221313119999998</v>
      </c>
      <c r="DC130" s="102">
        <v>54.514780049999999</v>
      </c>
      <c r="DD130" s="102">
        <v>16.991718049999999</v>
      </c>
      <c r="DE130" s="102">
        <v>31.99510544</v>
      </c>
      <c r="DF130" s="102">
        <v>26.783172829999998</v>
      </c>
      <c r="DG130" s="102">
        <v>27.174661190000002</v>
      </c>
      <c r="DH130" s="102">
        <v>22.182108589999999</v>
      </c>
      <c r="DI130" s="102">
        <v>36.777893740000003</v>
      </c>
      <c r="DJ130" s="102">
        <v>30.220795429999999</v>
      </c>
      <c r="DK130" s="102">
        <v>47.175679109999997</v>
      </c>
      <c r="DL130" s="102">
        <v>44.38977861</v>
      </c>
      <c r="DM130" s="102">
        <v>38.621419880000005</v>
      </c>
      <c r="DN130" s="102">
        <v>36.545976830000001</v>
      </c>
      <c r="DO130" s="102">
        <v>114.54461798</v>
      </c>
      <c r="DP130" s="102">
        <v>114.19077272</v>
      </c>
      <c r="DQ130" s="940">
        <v>79.404551319999996</v>
      </c>
      <c r="DR130" s="940">
        <v>7.5024624199999996</v>
      </c>
      <c r="DS130" s="940">
        <v>6.5281893699999998</v>
      </c>
      <c r="DT130" s="940">
        <v>9.124639779999999</v>
      </c>
      <c r="DU130" s="940">
        <v>8.5947020799999994</v>
      </c>
      <c r="DV130" s="940">
        <v>21.2346763</v>
      </c>
      <c r="DW130" s="940">
        <v>29.233943589999999</v>
      </c>
      <c r="DX130" s="940">
        <v>35.467167869999997</v>
      </c>
      <c r="DY130" s="940">
        <v>62.885475569999997</v>
      </c>
      <c r="DZ130" s="940">
        <v>46.940707809999999</v>
      </c>
      <c r="EA130" s="940">
        <v>51.33882217</v>
      </c>
      <c r="EB130" s="940">
        <v>54.266013289999997</v>
      </c>
      <c r="EC130" s="940">
        <v>67.084789319999999</v>
      </c>
      <c r="ED130" s="940">
        <v>46.073699590000004</v>
      </c>
      <c r="EE130" s="940">
        <v>67.11604170999999</v>
      </c>
      <c r="EF130" s="940">
        <v>19.166416089999998</v>
      </c>
      <c r="EH130" s="102" t="e">
        <v>#VALUE!</v>
      </c>
      <c r="EI130" s="102" t="e">
        <v>#VALUE!</v>
      </c>
      <c r="EJ130" s="102" t="e">
        <v>#VALUE!</v>
      </c>
      <c r="EK130" s="102" t="e">
        <v>#VALUE!</v>
      </c>
      <c r="EL130" s="102" t="e">
        <v>#VALUE!</v>
      </c>
      <c r="EM130" s="102" t="e">
        <v>#VALUE!</v>
      </c>
      <c r="EN130" s="102" t="e">
        <v>#VALUE!</v>
      </c>
      <c r="EO130" s="102" t="e">
        <v>#VALUE!</v>
      </c>
      <c r="EP130" s="102" t="e">
        <v>#VALUE!</v>
      </c>
      <c r="EQ130" s="102" t="e">
        <v>#VALUE!</v>
      </c>
      <c r="ER130" s="102" t="e">
        <v>#VALUE!</v>
      </c>
      <c r="ES130" s="102" t="e">
        <v>#VALUE!</v>
      </c>
      <c r="EU130" s="102">
        <v>1965.2588215900003</v>
      </c>
      <c r="EV130" s="102">
        <v>100</v>
      </c>
      <c r="EW130" s="102">
        <v>50</v>
      </c>
      <c r="EX130" s="102">
        <v>0</v>
      </c>
      <c r="EY130" s="102">
        <v>0</v>
      </c>
      <c r="EZ130" s="102">
        <v>0</v>
      </c>
      <c r="FA130" s="102">
        <v>0</v>
      </c>
      <c r="FB130" s="102">
        <v>0</v>
      </c>
      <c r="FC130" s="102">
        <v>0</v>
      </c>
      <c r="FD130" s="102">
        <v>0</v>
      </c>
      <c r="FE130" s="102">
        <v>0</v>
      </c>
      <c r="FF130" s="102">
        <v>0</v>
      </c>
      <c r="FG130" s="102">
        <v>245.36806475999998</v>
      </c>
      <c r="FH130" s="102">
        <v>111.36806476</v>
      </c>
      <c r="FI130" s="102">
        <v>161.36806475999998</v>
      </c>
      <c r="FJ130" s="102">
        <v>211.36806475999998</v>
      </c>
      <c r="FK130" s="102">
        <v>211.36806475999998</v>
      </c>
      <c r="FL130" s="102">
        <v>211.36806475999998</v>
      </c>
      <c r="FM130" s="102">
        <v>211.36806475999998</v>
      </c>
      <c r="FN130" s="102">
        <v>211.36806475999998</v>
      </c>
      <c r="FO130" s="102">
        <v>211.36806475999998</v>
      </c>
      <c r="FP130" s="102">
        <v>161.36806475999998</v>
      </c>
      <c r="FQ130" s="102">
        <v>111.36806476</v>
      </c>
      <c r="FR130" s="102">
        <v>61.368064759999989</v>
      </c>
      <c r="FS130" s="102">
        <v>26.91869436</v>
      </c>
      <c r="FT130" s="102">
        <v>26.91869436</v>
      </c>
      <c r="FU130" s="102">
        <v>26.91869436</v>
      </c>
      <c r="FV130" s="102">
        <v>26.91869436</v>
      </c>
      <c r="FW130" s="102">
        <v>26.91869436</v>
      </c>
      <c r="FX130" s="102">
        <v>26.91869436</v>
      </c>
      <c r="FY130" s="102">
        <v>26.91869436</v>
      </c>
      <c r="FZ130" s="102">
        <v>26.91869436</v>
      </c>
      <c r="GA130" s="102">
        <v>26.91869436</v>
      </c>
      <c r="GB130" s="102">
        <v>26.91869436</v>
      </c>
      <c r="GC130" s="102">
        <v>26.91869436</v>
      </c>
      <c r="GD130" s="102">
        <v>26.91869436</v>
      </c>
      <c r="GE130" s="102" t="e">
        <v>#VALUE!</v>
      </c>
      <c r="GF130" s="102" t="e">
        <v>#VALUE!</v>
      </c>
      <c r="GG130" s="102" t="e">
        <v>#VALUE!</v>
      </c>
      <c r="GH130" s="102" t="e">
        <v>#VALUE!</v>
      </c>
      <c r="GI130" s="102" t="e">
        <v>#VALUE!</v>
      </c>
      <c r="GJ130" s="102" t="e">
        <v>#VALUE!</v>
      </c>
      <c r="GK130" s="102" t="e">
        <v>#VALUE!</v>
      </c>
      <c r="GL130" s="102" t="e">
        <v>#VALUE!</v>
      </c>
      <c r="GM130" s="102" t="e">
        <v>#VALUE!</v>
      </c>
      <c r="GN130" s="102" t="e">
        <v>#VALUE!</v>
      </c>
      <c r="GO130" s="102" t="e">
        <v>#VALUE!</v>
      </c>
      <c r="GP130" s="102" t="e">
        <v>#VALUE!</v>
      </c>
      <c r="GQ130" s="102" t="e">
        <v>#VALUE!</v>
      </c>
      <c r="GR130" s="102" t="e">
        <v>#VALUE!</v>
      </c>
      <c r="GS130" s="102" t="e">
        <v>#VALUE!</v>
      </c>
      <c r="GT130" s="102" t="e">
        <v>#VALUE!</v>
      </c>
      <c r="GU130" s="102" t="e">
        <v>#VALUE!</v>
      </c>
      <c r="GV130" s="102" t="e">
        <v>#VALUE!</v>
      </c>
      <c r="GW130" s="102" t="e">
        <v>#VALUE!</v>
      </c>
      <c r="GX130" s="102" t="e">
        <v>#VALUE!</v>
      </c>
      <c r="GY130" s="102" t="e">
        <v>#VALUE!</v>
      </c>
      <c r="GZ130" s="102" t="e">
        <v>#VALUE!</v>
      </c>
      <c r="HA130" s="102" t="e">
        <v>#VALUE!</v>
      </c>
      <c r="HB130" s="102" t="e">
        <v>#VALUE!</v>
      </c>
      <c r="HD130" s="102">
        <f t="shared" si="743"/>
        <v>214.44639749999999</v>
      </c>
      <c r="HE130" s="102">
        <f t="shared" si="743"/>
        <v>53.165152459999995</v>
      </c>
      <c r="HF130" s="102">
        <f t="shared" si="743"/>
        <v>608.19288423000012</v>
      </c>
      <c r="HG130" s="102">
        <f t="shared" si="743"/>
        <v>38.940740820000002</v>
      </c>
      <c r="HH130" s="102">
        <f t="shared" si="744"/>
        <v>28.178694359999998</v>
      </c>
      <c r="HI130" s="102">
        <f t="shared" si="695"/>
        <v>373.24613364999999</v>
      </c>
      <c r="HJ130" s="102">
        <f t="shared" si="696"/>
        <v>13.9294747</v>
      </c>
      <c r="HK130" s="102">
        <f t="shared" si="697"/>
        <v>20.12091882</v>
      </c>
      <c r="HL130" s="940">
        <f>+SUMIFS($E130:SEW130,$E$6:SEW$6,HL$7,$E$5:SEW$5,12)</f>
        <v>22.182108589999999</v>
      </c>
      <c r="HM130" s="940">
        <f>+SUMIFS($E130:SEX130,$E$6:SEX$6,HM$7,$E$5:SEX$5,12)</f>
        <v>9.124639779999999</v>
      </c>
      <c r="HN130" s="940">
        <f>+SUMIFS($E130:SEY130,$E$6:SEY$6,HN$7,$E$5:SEY$5,12)</f>
        <v>19.166416089999998</v>
      </c>
      <c r="HO130" s="102"/>
      <c r="HP130" s="102"/>
      <c r="HR130" s="929">
        <f t="shared" si="745"/>
        <v>10.439690400353649</v>
      </c>
      <c r="HS130" s="929">
        <f t="shared" si="746"/>
        <v>-0.93597304107018486</v>
      </c>
      <c r="HT130" s="929">
        <f t="shared" si="747"/>
        <v>-0.27636984385444996</v>
      </c>
      <c r="HU130" s="929">
        <f t="shared" si="738"/>
        <v>12.24568586754067</v>
      </c>
      <c r="HV130" s="929">
        <f t="shared" si="739"/>
        <v>-0.96268019024394791</v>
      </c>
      <c r="HW130" s="929">
        <f t="shared" si="740"/>
        <v>0.44448511184703898</v>
      </c>
      <c r="HX130" s="929">
        <f t="shared" si="741"/>
        <v>0.10244014144876901</v>
      </c>
      <c r="HY130" s="929">
        <f t="shared" si="741"/>
        <v>-0.58864867408892252</v>
      </c>
      <c r="HZ130" s="929">
        <f t="shared" si="741"/>
        <v>1.1005120807081328</v>
      </c>
      <c r="IA130" s="929">
        <f t="shared" si="604"/>
        <v>-1</v>
      </c>
      <c r="IB130" s="929" t="str">
        <f t="shared" si="748"/>
        <v/>
      </c>
      <c r="IC130" s="929">
        <f t="shared" si="605"/>
        <v>-1</v>
      </c>
      <c r="IE130" s="102">
        <f t="shared" si="749"/>
        <v>555.02773177000017</v>
      </c>
      <c r="IF130" s="102">
        <f t="shared" si="750"/>
        <v>-569.25214341000014</v>
      </c>
      <c r="IG130" s="102">
        <f t="shared" si="751"/>
        <v>-10.762046460000004</v>
      </c>
      <c r="IH130" s="102">
        <f t="shared" si="742"/>
        <v>345.06743928999998</v>
      </c>
      <c r="II130" s="102">
        <f t="shared" si="619"/>
        <v>-359.31665894999998</v>
      </c>
      <c r="IJ130" s="102">
        <f t="shared" si="620"/>
        <v>6.1914441199999999</v>
      </c>
      <c r="IK130" s="102">
        <f t="shared" si="621"/>
        <v>2.0611897699999986</v>
      </c>
      <c r="IL130" s="102">
        <f t="shared" si="607"/>
        <v>-22.182108589999999</v>
      </c>
      <c r="IM130" s="102">
        <f t="shared" si="752"/>
        <v>0</v>
      </c>
      <c r="IN130" s="102">
        <f t="shared" si="608"/>
        <v>-22.182108589999999</v>
      </c>
      <c r="IP130" s="973"/>
      <c r="IQ130" s="973"/>
      <c r="IR130" s="973"/>
      <c r="IS130" s="973"/>
      <c r="IT130" s="973"/>
      <c r="IU130" s="973"/>
      <c r="IV130" s="973"/>
      <c r="IW130" s="973"/>
      <c r="IX130" s="973"/>
      <c r="IY130" s="973"/>
      <c r="JA130" s="102">
        <f t="shared" si="727"/>
        <v>214.44639749999999</v>
      </c>
      <c r="JB130" s="102">
        <f t="shared" si="727"/>
        <v>53.165152459999995</v>
      </c>
      <c r="JC130" s="102">
        <f t="shared" si="727"/>
        <v>608.19288423000012</v>
      </c>
      <c r="JD130" s="102">
        <f t="shared" si="727"/>
        <v>38.940740820000002</v>
      </c>
      <c r="JE130" s="102">
        <f t="shared" si="727"/>
        <v>28.178694359999998</v>
      </c>
      <c r="JF130" s="102">
        <f t="shared" si="727"/>
        <v>373.24613364999999</v>
      </c>
      <c r="JG130" s="102">
        <f t="shared" si="727"/>
        <v>13.9294747</v>
      </c>
      <c r="JH130" s="102">
        <f t="shared" si="727"/>
        <v>20.12091882</v>
      </c>
      <c r="JI130" s="102">
        <f t="shared" si="727"/>
        <v>22.182108589999999</v>
      </c>
      <c r="JJ130" s="102">
        <f t="shared" si="727"/>
        <v>9.124639779999999</v>
      </c>
      <c r="JK130" s="102">
        <f t="shared" si="727"/>
        <v>19.166416089999998</v>
      </c>
      <c r="JL130" s="102">
        <f t="shared" si="728"/>
        <v>19.166416089999998</v>
      </c>
      <c r="JM130" s="102"/>
      <c r="JN130" s="102"/>
      <c r="JP130" s="102">
        <f t="shared" si="701"/>
        <v>0</v>
      </c>
      <c r="JQ130" s="102">
        <f t="shared" si="702"/>
        <v>0</v>
      </c>
      <c r="JR130" s="145"/>
      <c r="JS130" s="929" t="str">
        <f t="shared" si="753"/>
        <v>NA</v>
      </c>
      <c r="JT130" s="930">
        <f t="shared" si="754"/>
        <v>0</v>
      </c>
      <c r="JV130" s="973"/>
      <c r="JW130" s="973"/>
      <c r="JY130" s="929">
        <f t="shared" si="729"/>
        <v>10.439690400353649</v>
      </c>
      <c r="JZ130" s="929">
        <f t="shared" si="730"/>
        <v>-0.93597304107018486</v>
      </c>
      <c r="KA130" s="929">
        <f t="shared" si="731"/>
        <v>-0.27636984385444996</v>
      </c>
      <c r="KB130" s="929">
        <f t="shared" si="732"/>
        <v>12.24568586754067</v>
      </c>
      <c r="KC130" s="929">
        <f t="shared" si="733"/>
        <v>-0.96268019024394791</v>
      </c>
      <c r="KD130" s="929">
        <f t="shared" si="734"/>
        <v>0.44448511184703898</v>
      </c>
      <c r="KE130" s="929">
        <f t="shared" si="735"/>
        <v>0.10244014144876901</v>
      </c>
      <c r="KF130" s="929">
        <f t="shared" si="736"/>
        <v>-1</v>
      </c>
      <c r="KH130" s="102">
        <f t="shared" si="704"/>
        <v>555.02773177000017</v>
      </c>
      <c r="KI130" s="102">
        <f t="shared" si="705"/>
        <v>-569.25214341000014</v>
      </c>
      <c r="KJ130" s="102">
        <f t="shared" si="706"/>
        <v>-10.762046460000004</v>
      </c>
      <c r="KK130" s="102">
        <f t="shared" si="707"/>
        <v>345.06743928999998</v>
      </c>
      <c r="KL130" s="102">
        <f t="shared" si="708"/>
        <v>-359.31665894999998</v>
      </c>
      <c r="KM130" s="102">
        <f t="shared" si="709"/>
        <v>6.1914441199999999</v>
      </c>
      <c r="KN130" s="102">
        <f t="shared" si="710"/>
        <v>2.0611897699999986</v>
      </c>
      <c r="KO130" s="102">
        <f t="shared" si="711"/>
        <v>-22.182108589999999</v>
      </c>
      <c r="KQ130" s="973"/>
      <c r="KR130" s="973"/>
      <c r="KS130" s="973"/>
      <c r="KT130" s="973"/>
      <c r="KU130" s="973"/>
      <c r="KV130" s="973"/>
      <c r="KW130" s="973"/>
      <c r="KX130" s="973"/>
      <c r="KY130" s="973"/>
      <c r="KZ130" s="973"/>
      <c r="LB130" s="102">
        <f t="shared" si="737"/>
        <v>214.44639749999999</v>
      </c>
      <c r="LC130" s="102">
        <f t="shared" si="737"/>
        <v>53.165152459999995</v>
      </c>
      <c r="LD130" s="102">
        <f t="shared" si="737"/>
        <v>608.19288423000012</v>
      </c>
      <c r="LE130" s="102">
        <f t="shared" si="737"/>
        <v>38.940740820000002</v>
      </c>
      <c r="LF130" s="102">
        <f t="shared" si="737"/>
        <v>28.178694359999998</v>
      </c>
      <c r="LG130" s="102">
        <f t="shared" si="737"/>
        <v>373.24613364999999</v>
      </c>
      <c r="LH130" s="102">
        <f t="shared" si="737"/>
        <v>13.9294747</v>
      </c>
      <c r="LI130" s="102">
        <f t="shared" si="737"/>
        <v>20.12091882</v>
      </c>
      <c r="LJ130" s="102">
        <f t="shared" si="737"/>
        <v>22.182108589999999</v>
      </c>
      <c r="LK130" s="102">
        <f t="shared" si="737"/>
        <v>9.124639779999999</v>
      </c>
      <c r="LL130" s="102">
        <f t="shared" si="737"/>
        <v>19.166416089999998</v>
      </c>
      <c r="LM130" s="102">
        <f t="shared" si="712"/>
        <v>19.166416089999998</v>
      </c>
      <c r="LN130" s="102"/>
      <c r="LO130" s="102"/>
      <c r="LR130" s="32">
        <f t="shared" si="713"/>
        <v>10.439690400353649</v>
      </c>
      <c r="LS130" s="32">
        <f t="shared" si="714"/>
        <v>-0.93597304107018486</v>
      </c>
      <c r="LT130" s="32">
        <f t="shared" si="715"/>
        <v>-0.27636984385444996</v>
      </c>
      <c r="LU130" s="32">
        <f t="shared" si="716"/>
        <v>12.24568586754067</v>
      </c>
      <c r="LV130" s="32">
        <f t="shared" si="717"/>
        <v>-0.96268019024394791</v>
      </c>
      <c r="LW130" s="32">
        <f t="shared" si="718"/>
        <v>0.44448511184703898</v>
      </c>
      <c r="LX130" s="32">
        <f t="shared" si="719"/>
        <v>-1</v>
      </c>
      <c r="LZ130" s="102">
        <f t="shared" si="720"/>
        <v>555.02773177000017</v>
      </c>
      <c r="MA130" s="102">
        <f t="shared" si="721"/>
        <v>-569.25214341000014</v>
      </c>
      <c r="MB130" s="102">
        <f t="shared" si="722"/>
        <v>-10.762046460000004</v>
      </c>
      <c r="MC130" s="102">
        <f t="shared" si="723"/>
        <v>345.06743928999998</v>
      </c>
      <c r="MD130" s="102">
        <f t="shared" si="724"/>
        <v>-359.31665894999998</v>
      </c>
      <c r="ME130" s="102">
        <f t="shared" si="725"/>
        <v>6.1914441199999999</v>
      </c>
      <c r="MF130" s="102">
        <f t="shared" si="726"/>
        <v>-20.12091882</v>
      </c>
      <c r="MH130" s="973"/>
      <c r="MI130" s="973"/>
      <c r="MJ130" s="973"/>
      <c r="MK130" s="973"/>
      <c r="ML130" s="973"/>
      <c r="MM130" s="973"/>
      <c r="MN130" s="973"/>
      <c r="MO130" s="973"/>
      <c r="MP130" s="973"/>
    </row>
    <row r="131" spans="1:354" outlineLevel="2">
      <c r="A131" s="884">
        <v>1310</v>
      </c>
      <c r="B131" s="70" t="s">
        <v>697</v>
      </c>
      <c r="C131" s="29" t="s">
        <v>698</v>
      </c>
      <c r="D131" s="31" t="s">
        <v>59</v>
      </c>
      <c r="E131" s="102">
        <v>0</v>
      </c>
      <c r="F131" s="102">
        <v>0</v>
      </c>
      <c r="G131" s="102">
        <v>0</v>
      </c>
      <c r="H131" s="102">
        <v>0</v>
      </c>
      <c r="I131" s="102">
        <v>0</v>
      </c>
      <c r="J131" s="102">
        <v>0</v>
      </c>
      <c r="K131" s="102">
        <v>0</v>
      </c>
      <c r="L131" s="102">
        <v>0</v>
      </c>
      <c r="M131" s="102">
        <v>0</v>
      </c>
      <c r="N131" s="102">
        <v>0</v>
      </c>
      <c r="O131" s="102">
        <v>0</v>
      </c>
      <c r="P131" s="102">
        <v>31.423399370000002</v>
      </c>
      <c r="Q131" s="102">
        <v>31.423399370000002</v>
      </c>
      <c r="R131" s="102">
        <v>31.423399370000002</v>
      </c>
      <c r="S131" s="102">
        <v>31.423399370000002</v>
      </c>
      <c r="T131" s="102">
        <v>31.423399370000002</v>
      </c>
      <c r="U131" s="102">
        <v>31.423399370000002</v>
      </c>
      <c r="V131" s="102">
        <v>31.423399370000002</v>
      </c>
      <c r="W131" s="102">
        <v>31.423399370000002</v>
      </c>
      <c r="X131" s="102">
        <v>31.423399370000002</v>
      </c>
      <c r="Y131" s="102">
        <v>31.423399370000002</v>
      </c>
      <c r="Z131" s="102">
        <v>31.423399370000002</v>
      </c>
      <c r="AA131" s="102">
        <v>31.423399370000002</v>
      </c>
      <c r="AB131" s="102">
        <v>16.72475318</v>
      </c>
      <c r="AC131" s="102">
        <v>16.72475318</v>
      </c>
      <c r="AD131" s="102">
        <v>16.72475318</v>
      </c>
      <c r="AE131" s="102">
        <v>16.72475318</v>
      </c>
      <c r="AF131" s="102">
        <v>16.72475318</v>
      </c>
      <c r="AG131" s="102">
        <v>16.72475318</v>
      </c>
      <c r="AH131" s="102">
        <v>16.72475318</v>
      </c>
      <c r="AI131" s="102">
        <v>16.72475318</v>
      </c>
      <c r="AJ131" s="102">
        <v>16.72475318</v>
      </c>
      <c r="AK131" s="102">
        <v>16.72475318</v>
      </c>
      <c r="AL131" s="102">
        <v>16.72475318</v>
      </c>
      <c r="AM131" s="102">
        <v>16.72475318</v>
      </c>
      <c r="AN131" s="145">
        <v>16.72475318</v>
      </c>
      <c r="AO131" s="102">
        <v>16.72475318</v>
      </c>
      <c r="AP131" s="145">
        <v>16.72475318</v>
      </c>
      <c r="AQ131" s="220">
        <v>16.72475318</v>
      </c>
      <c r="AR131" s="220">
        <v>16.72475318</v>
      </c>
      <c r="AS131" s="102">
        <v>16.72475318</v>
      </c>
      <c r="AT131" s="102">
        <v>16.72475318</v>
      </c>
      <c r="AU131" s="102">
        <v>33.143656180000001</v>
      </c>
      <c r="AV131" s="102">
        <v>62.751934179999999</v>
      </c>
      <c r="AW131" s="102">
        <v>62.751934179999999</v>
      </c>
      <c r="AX131" s="102">
        <v>62.751934179999999</v>
      </c>
      <c r="AY131" s="102">
        <v>62.751934179999999</v>
      </c>
      <c r="AZ131" s="102">
        <f>62.75193418+60</f>
        <v>122.75193418000001</v>
      </c>
      <c r="BA131" s="102">
        <v>122.75193451000001</v>
      </c>
      <c r="BB131" s="102">
        <v>122.75193451000001</v>
      </c>
      <c r="BC131" s="102">
        <v>122.75193451000001</v>
      </c>
      <c r="BD131" s="102">
        <v>122.75193451000001</v>
      </c>
      <c r="BE131" s="102">
        <v>122.75193451000001</v>
      </c>
      <c r="BF131" s="102">
        <v>122.75193451000001</v>
      </c>
      <c r="BG131" s="102">
        <v>122.75193451000001</v>
      </c>
      <c r="BH131" s="102">
        <v>122.12788166</v>
      </c>
      <c r="BI131" s="102">
        <v>122.12788166</v>
      </c>
      <c r="BJ131" s="102">
        <v>272.88531032999998</v>
      </c>
      <c r="BK131" s="102">
        <v>272.88531032999998</v>
      </c>
      <c r="BL131" s="102">
        <v>512.88531033000004</v>
      </c>
      <c r="BM131" s="974">
        <v>512.88531033000004</v>
      </c>
      <c r="BN131" s="102">
        <v>512.88531033000004</v>
      </c>
      <c r="BO131" s="102">
        <v>512.88531033000004</v>
      </c>
      <c r="BP131" s="102">
        <v>512.88531033000004</v>
      </c>
      <c r="BQ131" s="102">
        <v>512.88531033000004</v>
      </c>
      <c r="BR131" s="102">
        <v>512.88531033000004</v>
      </c>
      <c r="BS131" s="102">
        <v>512.88531033000004</v>
      </c>
      <c r="BT131" s="102">
        <v>512.88531033000004</v>
      </c>
      <c r="BU131" s="102">
        <v>512.88531033000004</v>
      </c>
      <c r="BV131" s="102">
        <v>512.88531033000004</v>
      </c>
      <c r="BW131" s="102">
        <v>362.75193432999998</v>
      </c>
      <c r="BX131" s="102">
        <v>362.75193432999998</v>
      </c>
      <c r="BY131" s="102">
        <v>362.75193432999998</v>
      </c>
      <c r="BZ131" s="102">
        <v>362.75193432999998</v>
      </c>
      <c r="CA131" s="102">
        <v>362.75193432999998</v>
      </c>
      <c r="CB131" s="102">
        <v>362.75193432999998</v>
      </c>
      <c r="CC131" s="102">
        <v>362.75193432999998</v>
      </c>
      <c r="CD131" s="102">
        <v>362.75193432999998</v>
      </c>
      <c r="CE131" s="102">
        <v>362.75193432999998</v>
      </c>
      <c r="CF131" s="102">
        <v>362.75193432999998</v>
      </c>
      <c r="CG131" s="102">
        <v>362.75193432999998</v>
      </c>
      <c r="CH131" s="102">
        <v>362.75193432999998</v>
      </c>
      <c r="CI131" s="102">
        <v>362.75193432999998</v>
      </c>
      <c r="CJ131" s="102">
        <v>362.75193432999998</v>
      </c>
      <c r="CK131" s="102">
        <v>362.75193432999998</v>
      </c>
      <c r="CL131" s="102">
        <v>362.75193432999998</v>
      </c>
      <c r="CM131" s="102">
        <v>362.75193432999998</v>
      </c>
      <c r="CN131" s="102">
        <v>362.75193432999998</v>
      </c>
      <c r="CO131" s="102">
        <v>362.75193432999998</v>
      </c>
      <c r="CP131" s="102">
        <v>362.75193432999998</v>
      </c>
      <c r="CQ131" s="102">
        <v>362.75193432999998</v>
      </c>
      <c r="CR131" s="102">
        <v>362.75193432999998</v>
      </c>
      <c r="CS131" s="102">
        <v>362.75193432999998</v>
      </c>
      <c r="CT131" s="102">
        <v>362.75193432999998</v>
      </c>
      <c r="CU131" s="102">
        <v>362.75193432999998</v>
      </c>
      <c r="CV131" s="102">
        <v>299.99999981999997</v>
      </c>
      <c r="CW131" s="102">
        <v>299.99999981999997</v>
      </c>
      <c r="CX131" s="102">
        <v>299.99999981999997</v>
      </c>
      <c r="CY131" s="102">
        <v>299.99999981999997</v>
      </c>
      <c r="CZ131" s="102">
        <v>299.99999981999997</v>
      </c>
      <c r="DA131" s="102">
        <v>299.99999981999997</v>
      </c>
      <c r="DB131" s="102">
        <v>299.99999981999997</v>
      </c>
      <c r="DC131" s="102">
        <v>299.99999981999997</v>
      </c>
      <c r="DD131" s="102">
        <v>299.99999981999997</v>
      </c>
      <c r="DE131" s="102">
        <v>299.99999981999997</v>
      </c>
      <c r="DF131" s="102">
        <v>299.99999981999997</v>
      </c>
      <c r="DG131" s="102">
        <v>299.99999981999997</v>
      </c>
      <c r="DH131" s="102">
        <v>299.99999981999997</v>
      </c>
      <c r="DI131" s="102">
        <v>299.99999981999997</v>
      </c>
      <c r="DJ131" s="102">
        <v>299.99999981999997</v>
      </c>
      <c r="DK131" s="102">
        <v>299.99999981999997</v>
      </c>
      <c r="DL131" s="102">
        <v>299.99999981999997</v>
      </c>
      <c r="DM131" s="102">
        <v>299.99999981999997</v>
      </c>
      <c r="DN131" s="102">
        <v>299.99999981999997</v>
      </c>
      <c r="DO131" s="102">
        <v>299.99999981999997</v>
      </c>
      <c r="DP131" s="102">
        <v>299.99999981999997</v>
      </c>
      <c r="DQ131" s="940">
        <v>300</v>
      </c>
      <c r="DR131" s="940">
        <v>300</v>
      </c>
      <c r="DS131" s="940">
        <v>300</v>
      </c>
      <c r="DT131" s="940">
        <v>300</v>
      </c>
      <c r="DU131" s="940">
        <v>300</v>
      </c>
      <c r="DV131" s="940">
        <v>300</v>
      </c>
      <c r="DW131" s="940">
        <v>300</v>
      </c>
      <c r="DX131" s="940">
        <v>300</v>
      </c>
      <c r="DY131" s="940">
        <v>300</v>
      </c>
      <c r="DZ131" s="940">
        <v>300</v>
      </c>
      <c r="EA131" s="940">
        <v>300</v>
      </c>
      <c r="EB131" s="940">
        <v>300</v>
      </c>
      <c r="EC131" s="940">
        <v>300</v>
      </c>
      <c r="ED131" s="940">
        <v>300</v>
      </c>
      <c r="EE131" s="940">
        <v>300</v>
      </c>
      <c r="EF131" s="940">
        <v>150</v>
      </c>
      <c r="EH131" s="1083" t="e">
        <v>#VALUE!</v>
      </c>
      <c r="EI131" s="1083" t="e">
        <v>#VALUE!</v>
      </c>
      <c r="EJ131" s="1083" t="e">
        <v>#VALUE!</v>
      </c>
      <c r="EK131" s="1083" t="e">
        <v>#VALUE!</v>
      </c>
      <c r="EL131" s="1083" t="e">
        <v>#VALUE!</v>
      </c>
      <c r="EM131" s="1083" t="e">
        <v>#VALUE!</v>
      </c>
      <c r="EN131" s="1083" t="e">
        <v>#VALUE!</v>
      </c>
      <c r="EO131" s="1083" t="e">
        <v>#VALUE!</v>
      </c>
      <c r="EP131" s="1083" t="e">
        <v>#VALUE!</v>
      </c>
      <c r="EQ131" s="1083" t="e">
        <v>#VALUE!</v>
      </c>
      <c r="ER131" s="1083" t="e">
        <v>#VALUE!</v>
      </c>
      <c r="ES131" s="1083" t="e">
        <v>#VALUE!</v>
      </c>
      <c r="EU131" s="102">
        <v>16.72475318</v>
      </c>
      <c r="EV131" s="102">
        <v>16.72475318</v>
      </c>
      <c r="EW131" s="102">
        <v>16.72475318</v>
      </c>
      <c r="EX131" s="102">
        <v>16.72475318</v>
      </c>
      <c r="EY131" s="102">
        <v>16.72475318</v>
      </c>
      <c r="EZ131" s="102">
        <v>16.72475318</v>
      </c>
      <c r="FA131" s="102">
        <v>16.72475318</v>
      </c>
      <c r="FB131" s="102">
        <v>16.72475318</v>
      </c>
      <c r="FC131" s="102">
        <v>16.72475318</v>
      </c>
      <c r="FD131" s="102">
        <v>16.72475318</v>
      </c>
      <c r="FE131" s="102">
        <v>16.72475318</v>
      </c>
      <c r="FF131" s="102">
        <v>16.72475318</v>
      </c>
      <c r="FG131" s="102">
        <v>62.751934179999999</v>
      </c>
      <c r="FH131" s="102">
        <v>62.751934179999999</v>
      </c>
      <c r="FI131" s="102">
        <v>62.751934179999999</v>
      </c>
      <c r="FJ131" s="102">
        <v>0</v>
      </c>
      <c r="FK131" s="102">
        <v>0</v>
      </c>
      <c r="FL131" s="102">
        <v>0</v>
      </c>
      <c r="FM131" s="102">
        <v>0</v>
      </c>
      <c r="FN131" s="102">
        <v>0</v>
      </c>
      <c r="FO131" s="102">
        <v>0</v>
      </c>
      <c r="FP131" s="102">
        <v>0</v>
      </c>
      <c r="FQ131" s="102">
        <v>0</v>
      </c>
      <c r="FR131" s="102">
        <v>0</v>
      </c>
      <c r="FS131" s="102">
        <v>512.88531033000004</v>
      </c>
      <c r="FT131" s="102">
        <v>512.88531033000004</v>
      </c>
      <c r="FU131" s="102">
        <v>512.88531033000004</v>
      </c>
      <c r="FV131" s="102">
        <v>512.88531033000004</v>
      </c>
      <c r="FW131" s="102">
        <v>512.88531033000004</v>
      </c>
      <c r="FX131" s="102">
        <v>512.88531033000004</v>
      </c>
      <c r="FY131" s="102">
        <v>512.88531033000004</v>
      </c>
      <c r="FZ131" s="102">
        <v>512.88531033000004</v>
      </c>
      <c r="GA131" s="102">
        <v>512.88531033000004</v>
      </c>
      <c r="GB131" s="102">
        <v>512.88531033000004</v>
      </c>
      <c r="GC131" s="102">
        <v>512.88531033000004</v>
      </c>
      <c r="GD131" s="102">
        <v>512.88531033000004</v>
      </c>
      <c r="GE131" s="102" t="e">
        <v>#VALUE!</v>
      </c>
      <c r="GF131" s="102" t="e">
        <v>#VALUE!</v>
      </c>
      <c r="GG131" s="102" t="e">
        <v>#VALUE!</v>
      </c>
      <c r="GH131" s="102" t="e">
        <v>#VALUE!</v>
      </c>
      <c r="GI131" s="102" t="e">
        <v>#VALUE!</v>
      </c>
      <c r="GJ131" s="102" t="e">
        <v>#VALUE!</v>
      </c>
      <c r="GK131" s="102" t="e">
        <v>#VALUE!</v>
      </c>
      <c r="GL131" s="102" t="e">
        <v>#VALUE!</v>
      </c>
      <c r="GM131" s="102" t="e">
        <v>#VALUE!</v>
      </c>
      <c r="GN131" s="102" t="e">
        <v>#VALUE!</v>
      </c>
      <c r="GO131" s="102" t="e">
        <v>#VALUE!</v>
      </c>
      <c r="GP131" s="102" t="e">
        <v>#VALUE!</v>
      </c>
      <c r="GQ131" s="102" t="e">
        <v>#VALUE!</v>
      </c>
      <c r="GR131" s="102" t="e">
        <v>#VALUE!</v>
      </c>
      <c r="GS131" s="102" t="e">
        <v>#VALUE!</v>
      </c>
      <c r="GT131" s="102" t="e">
        <v>#VALUE!</v>
      </c>
      <c r="GU131" s="102" t="e">
        <v>#VALUE!</v>
      </c>
      <c r="GV131" s="102" t="e">
        <v>#VALUE!</v>
      </c>
      <c r="GW131" s="102" t="e">
        <v>#VALUE!</v>
      </c>
      <c r="GX131" s="102" t="e">
        <v>#VALUE!</v>
      </c>
      <c r="GY131" s="102" t="e">
        <v>#VALUE!</v>
      </c>
      <c r="GZ131" s="102" t="e">
        <v>#VALUE!</v>
      </c>
      <c r="HA131" s="102" t="e">
        <v>#VALUE!</v>
      </c>
      <c r="HB131" s="102" t="e">
        <v>#VALUE!</v>
      </c>
      <c r="HD131" s="102">
        <f t="shared" si="743"/>
        <v>31.423399370000002</v>
      </c>
      <c r="HE131" s="102">
        <f t="shared" si="743"/>
        <v>16.72475318</v>
      </c>
      <c r="HF131" s="102">
        <f t="shared" si="743"/>
        <v>16.72475318</v>
      </c>
      <c r="HG131" s="102">
        <f t="shared" si="743"/>
        <v>122.75193418000001</v>
      </c>
      <c r="HH131" s="102">
        <f t="shared" si="744"/>
        <v>512.88531033000004</v>
      </c>
      <c r="HI131" s="102">
        <f t="shared" si="695"/>
        <v>362.75193432999998</v>
      </c>
      <c r="HJ131" s="102">
        <f t="shared" si="696"/>
        <v>362.75193432999998</v>
      </c>
      <c r="HK131" s="102">
        <f t="shared" si="697"/>
        <v>299.99999981999997</v>
      </c>
      <c r="HL131" s="940">
        <f>+SUMIFS($E131:SEW131,$E$6:SEW$6,HL$7,$E$5:SEW$5,12)</f>
        <v>299.99999981999997</v>
      </c>
      <c r="HM131" s="940">
        <f>+SUMIFS($E131:SEX131,$E$6:SEX$6,HM$7,$E$5:SEX$5,12)</f>
        <v>300</v>
      </c>
      <c r="HN131" s="940">
        <f>+SUMIFS($E131:SEY131,$E$6:SEY$6,HN$7,$E$5:SEY$5,12)</f>
        <v>150</v>
      </c>
      <c r="HO131" s="102"/>
      <c r="HP131" s="102"/>
      <c r="HR131" s="929">
        <f t="shared" si="745"/>
        <v>0</v>
      </c>
      <c r="HS131" s="929">
        <f t="shared" si="746"/>
        <v>6.3395363661803232</v>
      </c>
      <c r="HT131" s="929">
        <f t="shared" si="747"/>
        <v>3.1782258972630064</v>
      </c>
      <c r="HU131" s="929">
        <f t="shared" si="738"/>
        <v>-0.29272309613118264</v>
      </c>
      <c r="HV131" s="929">
        <f t="shared" si="739"/>
        <v>0</v>
      </c>
      <c r="HW131" s="929">
        <f t="shared" si="740"/>
        <v>-0.17298855931920076</v>
      </c>
      <c r="HX131" s="929">
        <f t="shared" si="741"/>
        <v>0</v>
      </c>
      <c r="HY131" s="929">
        <f t="shared" si="741"/>
        <v>6.000000496442226E-10</v>
      </c>
      <c r="HZ131" s="929">
        <f t="shared" si="741"/>
        <v>-0.5</v>
      </c>
      <c r="IA131" s="929">
        <f t="shared" ref="IA131:IA162" si="762">+IFERROR(HO131/HL131-1,"")</f>
        <v>-1</v>
      </c>
      <c r="IB131" s="929" t="str">
        <f t="shared" si="748"/>
        <v/>
      </c>
      <c r="IC131" s="929">
        <f t="shared" ref="IC131:IC162" si="763">+IFERROR(HP131/HL131-1,"")</f>
        <v>-1</v>
      </c>
      <c r="IE131" s="102">
        <f t="shared" si="749"/>
        <v>0</v>
      </c>
      <c r="IF131" s="102">
        <f t="shared" si="750"/>
        <v>106.02718100000001</v>
      </c>
      <c r="IG131" s="102">
        <f t="shared" si="751"/>
        <v>390.13337615</v>
      </c>
      <c r="IH131" s="102">
        <f t="shared" si="742"/>
        <v>-150.13337600000006</v>
      </c>
      <c r="II131" s="102">
        <f t="shared" si="619"/>
        <v>0</v>
      </c>
      <c r="IJ131" s="102">
        <f t="shared" si="620"/>
        <v>-62.751934510000012</v>
      </c>
      <c r="IK131" s="102">
        <f t="shared" si="621"/>
        <v>0</v>
      </c>
      <c r="IL131" s="102">
        <f t="shared" ref="IL131:IL162" si="764">+HO131-HL131</f>
        <v>-299.99999981999997</v>
      </c>
      <c r="IM131" s="102">
        <f t="shared" si="752"/>
        <v>0</v>
      </c>
      <c r="IN131" s="102">
        <f t="shared" ref="IN131:IN162" si="765">+HP131-HL131</f>
        <v>-299.99999981999997</v>
      </c>
      <c r="IP131" s="973"/>
      <c r="IQ131" s="973"/>
      <c r="IR131" s="973"/>
      <c r="IS131" s="973"/>
      <c r="IT131" s="973"/>
      <c r="IU131" s="973"/>
      <c r="IV131" s="973"/>
      <c r="IW131" s="973"/>
      <c r="IX131" s="973"/>
      <c r="IY131" s="973"/>
      <c r="JA131" s="102">
        <f t="shared" si="727"/>
        <v>31.423399370000002</v>
      </c>
      <c r="JB131" s="102">
        <f t="shared" si="727"/>
        <v>16.72475318</v>
      </c>
      <c r="JC131" s="102">
        <f t="shared" si="727"/>
        <v>16.72475318</v>
      </c>
      <c r="JD131" s="102">
        <f t="shared" si="727"/>
        <v>122.75193418000001</v>
      </c>
      <c r="JE131" s="102">
        <f t="shared" si="727"/>
        <v>512.88531033000004</v>
      </c>
      <c r="JF131" s="102">
        <f t="shared" si="727"/>
        <v>362.75193432999998</v>
      </c>
      <c r="JG131" s="102">
        <f t="shared" si="727"/>
        <v>362.75193432999998</v>
      </c>
      <c r="JH131" s="102">
        <f t="shared" si="727"/>
        <v>299.99999981999997</v>
      </c>
      <c r="JI131" s="102">
        <f t="shared" si="727"/>
        <v>299.99999981999997</v>
      </c>
      <c r="JJ131" s="102">
        <f t="shared" si="727"/>
        <v>300</v>
      </c>
      <c r="JK131" s="102">
        <f t="shared" si="727"/>
        <v>150</v>
      </c>
      <c r="JL131" s="102">
        <f t="shared" si="728"/>
        <v>150</v>
      </c>
      <c r="JM131" s="102"/>
      <c r="JN131" s="102"/>
      <c r="JP131" s="102">
        <f t="shared" si="701"/>
        <v>0</v>
      </c>
      <c r="JQ131" s="102">
        <f t="shared" si="702"/>
        <v>0</v>
      </c>
      <c r="JR131" s="145"/>
      <c r="JS131" s="929" t="str">
        <f t="shared" si="753"/>
        <v>NA</v>
      </c>
      <c r="JT131" s="930">
        <f t="shared" si="754"/>
        <v>0</v>
      </c>
      <c r="JV131" s="973"/>
      <c r="JW131" s="973"/>
      <c r="JY131" s="929">
        <f t="shared" si="729"/>
        <v>0</v>
      </c>
      <c r="JZ131" s="929">
        <f t="shared" si="730"/>
        <v>6.3395363661803232</v>
      </c>
      <c r="KA131" s="929">
        <f t="shared" si="731"/>
        <v>3.1782258972630064</v>
      </c>
      <c r="KB131" s="929">
        <f t="shared" si="732"/>
        <v>-0.29272309613118264</v>
      </c>
      <c r="KC131" s="929">
        <f t="shared" si="733"/>
        <v>0</v>
      </c>
      <c r="KD131" s="929">
        <f t="shared" si="734"/>
        <v>-0.17298855931920076</v>
      </c>
      <c r="KE131" s="929">
        <f t="shared" si="735"/>
        <v>0</v>
      </c>
      <c r="KF131" s="929">
        <f t="shared" si="736"/>
        <v>-1</v>
      </c>
      <c r="KH131" s="102">
        <f t="shared" si="704"/>
        <v>0</v>
      </c>
      <c r="KI131" s="102">
        <f t="shared" si="705"/>
        <v>106.02718100000001</v>
      </c>
      <c r="KJ131" s="102">
        <f t="shared" si="706"/>
        <v>390.13337615</v>
      </c>
      <c r="KK131" s="102">
        <f t="shared" si="707"/>
        <v>-150.13337600000006</v>
      </c>
      <c r="KL131" s="102">
        <f t="shared" si="708"/>
        <v>0</v>
      </c>
      <c r="KM131" s="102">
        <f t="shared" si="709"/>
        <v>-62.751934510000012</v>
      </c>
      <c r="KN131" s="102">
        <f t="shared" si="710"/>
        <v>0</v>
      </c>
      <c r="KO131" s="102">
        <f t="shared" si="711"/>
        <v>-299.99999981999997</v>
      </c>
      <c r="KQ131" s="973"/>
      <c r="KR131" s="973"/>
      <c r="KS131" s="973"/>
      <c r="KT131" s="973"/>
      <c r="KU131" s="973"/>
      <c r="KV131" s="973"/>
      <c r="KW131" s="973"/>
      <c r="KX131" s="973"/>
      <c r="KY131" s="973"/>
      <c r="KZ131" s="973"/>
      <c r="LB131" s="102">
        <f t="shared" si="737"/>
        <v>31.423399370000002</v>
      </c>
      <c r="LC131" s="102">
        <f t="shared" si="737"/>
        <v>16.72475318</v>
      </c>
      <c r="LD131" s="102">
        <f t="shared" si="737"/>
        <v>16.72475318</v>
      </c>
      <c r="LE131" s="102">
        <f t="shared" si="737"/>
        <v>122.75193418000001</v>
      </c>
      <c r="LF131" s="102">
        <f t="shared" si="737"/>
        <v>512.88531033000004</v>
      </c>
      <c r="LG131" s="102">
        <f t="shared" si="737"/>
        <v>362.75193432999998</v>
      </c>
      <c r="LH131" s="102">
        <f t="shared" si="737"/>
        <v>362.75193432999998</v>
      </c>
      <c r="LI131" s="102">
        <f t="shared" si="737"/>
        <v>299.99999981999997</v>
      </c>
      <c r="LJ131" s="102">
        <f t="shared" si="737"/>
        <v>299.99999981999997</v>
      </c>
      <c r="LK131" s="102">
        <f t="shared" si="737"/>
        <v>300</v>
      </c>
      <c r="LL131" s="102">
        <f t="shared" si="737"/>
        <v>150</v>
      </c>
      <c r="LM131" s="102">
        <f t="shared" si="712"/>
        <v>150</v>
      </c>
      <c r="LN131" s="102"/>
      <c r="LO131" s="102"/>
      <c r="LR131" s="32">
        <f t="shared" si="713"/>
        <v>0</v>
      </c>
      <c r="LS131" s="32">
        <f t="shared" si="714"/>
        <v>6.3395363661803232</v>
      </c>
      <c r="LT131" s="32">
        <f t="shared" si="715"/>
        <v>3.1782258972630064</v>
      </c>
      <c r="LU131" s="32">
        <f t="shared" si="716"/>
        <v>-0.29272309613118264</v>
      </c>
      <c r="LV131" s="32">
        <f t="shared" si="717"/>
        <v>0</v>
      </c>
      <c r="LW131" s="32">
        <f t="shared" si="718"/>
        <v>-0.17298855931920076</v>
      </c>
      <c r="LX131" s="32">
        <f t="shared" si="719"/>
        <v>-1</v>
      </c>
      <c r="LZ131" s="102">
        <f t="shared" si="720"/>
        <v>0</v>
      </c>
      <c r="MA131" s="102">
        <f t="shared" si="721"/>
        <v>106.02718100000001</v>
      </c>
      <c r="MB131" s="102">
        <f t="shared" si="722"/>
        <v>390.13337615</v>
      </c>
      <c r="MC131" s="102">
        <f t="shared" si="723"/>
        <v>-150.13337600000006</v>
      </c>
      <c r="MD131" s="102">
        <f t="shared" si="724"/>
        <v>0</v>
      </c>
      <c r="ME131" s="102">
        <f t="shared" si="725"/>
        <v>-62.751934510000012</v>
      </c>
      <c r="MF131" s="102">
        <f t="shared" si="726"/>
        <v>-299.99999981999997</v>
      </c>
      <c r="MH131" s="973"/>
      <c r="MI131" s="973"/>
      <c r="MJ131" s="973"/>
      <c r="MK131" s="973"/>
      <c r="ML131" s="973"/>
      <c r="MM131" s="973"/>
      <c r="MN131" s="973"/>
      <c r="MO131" s="973"/>
      <c r="MP131" s="973"/>
    </row>
    <row r="132" spans="1:354" outlineLevel="2">
      <c r="A132" s="967"/>
      <c r="B132" s="70"/>
      <c r="C132" s="29"/>
      <c r="D132" s="31"/>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45"/>
      <c r="AO132" s="102"/>
      <c r="AP132" s="145"/>
      <c r="AQ132" s="220"/>
      <c r="AR132" s="220"/>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974"/>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c r="CR132" s="102"/>
      <c r="CS132" s="102"/>
      <c r="CT132" s="102"/>
      <c r="CU132" s="102"/>
      <c r="CV132" s="102"/>
      <c r="CW132" s="102"/>
      <c r="CX132" s="102"/>
      <c r="CY132" s="102"/>
      <c r="CZ132" s="102"/>
      <c r="DA132" s="102"/>
      <c r="DB132" s="102"/>
      <c r="DC132" s="102"/>
      <c r="DD132" s="102"/>
      <c r="DE132" s="102"/>
      <c r="DF132" s="102"/>
      <c r="DG132" s="102"/>
      <c r="DH132" s="102"/>
      <c r="DI132" s="102"/>
      <c r="DJ132" s="102"/>
      <c r="DK132" s="102"/>
      <c r="DL132" s="102"/>
      <c r="DM132" s="102"/>
      <c r="DN132" s="102"/>
      <c r="DO132" s="102"/>
      <c r="DP132" s="102"/>
      <c r="DQ132" s="940"/>
      <c r="DR132" s="940"/>
      <c r="DS132" s="940"/>
      <c r="DT132" s="940"/>
      <c r="DU132" s="940"/>
      <c r="DV132" s="940"/>
      <c r="DW132" s="940"/>
      <c r="DX132" s="940"/>
      <c r="DY132" s="940"/>
      <c r="DZ132" s="940"/>
      <c r="EA132" s="940"/>
      <c r="EB132" s="940"/>
      <c r="EC132" s="940"/>
      <c r="ED132" s="940"/>
      <c r="EE132" s="940"/>
      <c r="EF132" s="940"/>
      <c r="EH132" s="102" t="e">
        <v>#VALUE!</v>
      </c>
      <c r="EI132" s="102" t="e">
        <v>#VALUE!</v>
      </c>
      <c r="EJ132" s="102" t="e">
        <v>#VALUE!</v>
      </c>
      <c r="EK132" s="102" t="e">
        <v>#VALUE!</v>
      </c>
      <c r="EL132" s="102" t="e">
        <v>#VALUE!</v>
      </c>
      <c r="EM132" s="102" t="e">
        <v>#VALUE!</v>
      </c>
      <c r="EN132" s="102" t="e">
        <v>#VALUE!</v>
      </c>
      <c r="EO132" s="102" t="e">
        <v>#VALUE!</v>
      </c>
      <c r="EP132" s="102" t="e">
        <v>#VALUE!</v>
      </c>
      <c r="EQ132" s="102" t="e">
        <v>#VALUE!</v>
      </c>
      <c r="ER132" s="102" t="e">
        <v>#VALUE!</v>
      </c>
      <c r="ES132" s="102" t="e">
        <v>#VALUE!</v>
      </c>
      <c r="EU132" s="102"/>
      <c r="EV132" s="102"/>
      <c r="EW132" s="102"/>
      <c r="EX132" s="102"/>
      <c r="EY132" s="102"/>
      <c r="EZ132" s="102"/>
      <c r="FA132" s="102"/>
      <c r="FB132" s="102"/>
      <c r="FC132" s="102"/>
      <c r="FD132" s="102"/>
      <c r="FE132" s="102"/>
      <c r="FF132" s="102"/>
      <c r="FG132" s="102"/>
      <c r="FH132" s="102"/>
      <c r="FI132" s="102"/>
      <c r="FJ132" s="102"/>
      <c r="FK132" s="102"/>
      <c r="FL132" s="102"/>
      <c r="FM132" s="102"/>
      <c r="FN132" s="102"/>
      <c r="FO132" s="102"/>
      <c r="FP132" s="102"/>
      <c r="FQ132" s="102"/>
      <c r="FR132" s="102"/>
      <c r="FS132" s="102"/>
      <c r="FT132" s="102"/>
      <c r="FU132" s="102"/>
      <c r="FV132" s="102"/>
      <c r="FW132" s="102"/>
      <c r="FX132" s="102"/>
      <c r="FY132" s="102"/>
      <c r="FZ132" s="102"/>
      <c r="GA132" s="102"/>
      <c r="GB132" s="102"/>
      <c r="GC132" s="102"/>
      <c r="GD132" s="102"/>
      <c r="GE132" s="102" t="e">
        <v>#VALUE!</v>
      </c>
      <c r="GF132" s="102" t="e">
        <v>#VALUE!</v>
      </c>
      <c r="GG132" s="102" t="e">
        <v>#VALUE!</v>
      </c>
      <c r="GH132" s="102" t="e">
        <v>#VALUE!</v>
      </c>
      <c r="GI132" s="102" t="e">
        <v>#VALUE!</v>
      </c>
      <c r="GJ132" s="102" t="e">
        <v>#VALUE!</v>
      </c>
      <c r="GK132" s="102" t="e">
        <v>#VALUE!</v>
      </c>
      <c r="GL132" s="102" t="e">
        <v>#VALUE!</v>
      </c>
      <c r="GM132" s="102" t="e">
        <v>#VALUE!</v>
      </c>
      <c r="GN132" s="102" t="e">
        <v>#VALUE!</v>
      </c>
      <c r="GO132" s="102" t="e">
        <v>#VALUE!</v>
      </c>
      <c r="GP132" s="102" t="e">
        <v>#VALUE!</v>
      </c>
      <c r="GQ132" s="102" t="e">
        <v>#VALUE!</v>
      </c>
      <c r="GR132" s="102" t="e">
        <v>#VALUE!</v>
      </c>
      <c r="GS132" s="102" t="e">
        <v>#VALUE!</v>
      </c>
      <c r="GT132" s="102" t="e">
        <v>#VALUE!</v>
      </c>
      <c r="GU132" s="102" t="e">
        <v>#VALUE!</v>
      </c>
      <c r="GV132" s="102" t="e">
        <v>#VALUE!</v>
      </c>
      <c r="GW132" s="102" t="e">
        <v>#VALUE!</v>
      </c>
      <c r="GX132" s="102" t="e">
        <v>#VALUE!</v>
      </c>
      <c r="GY132" s="102" t="e">
        <v>#VALUE!</v>
      </c>
      <c r="GZ132" s="102" t="e">
        <v>#VALUE!</v>
      </c>
      <c r="HA132" s="102" t="e">
        <v>#VALUE!</v>
      </c>
      <c r="HB132" s="102" t="e">
        <v>#VALUE!</v>
      </c>
      <c r="HD132" s="102">
        <f t="shared" si="743"/>
        <v>0</v>
      </c>
      <c r="HE132" s="102">
        <f t="shared" si="743"/>
        <v>0</v>
      </c>
      <c r="HF132" s="102">
        <f t="shared" si="743"/>
        <v>0</v>
      </c>
      <c r="HG132" s="102">
        <f t="shared" si="743"/>
        <v>0</v>
      </c>
      <c r="HH132" s="102">
        <f t="shared" si="744"/>
        <v>0</v>
      </c>
      <c r="HI132" s="102">
        <f t="shared" si="695"/>
        <v>0</v>
      </c>
      <c r="HJ132" s="102">
        <f t="shared" si="696"/>
        <v>0</v>
      </c>
      <c r="HK132" s="102">
        <f t="shared" si="697"/>
        <v>0</v>
      </c>
      <c r="HL132" s="940">
        <f>+SUMIFS($E132:SEW132,$E$6:SEW$6,HL$7,$E$5:SEW$5,12)</f>
        <v>0</v>
      </c>
      <c r="HM132" s="940">
        <f>+SUMIFS($E132:SEX132,$E$6:SEX$6,HM$7,$E$5:SEX$5,12)</f>
        <v>0</v>
      </c>
      <c r="HN132" s="940">
        <f>+SUMIFS($E132:SEY132,$E$6:SEY$6,HN$7,$E$5:SEY$5,12)</f>
        <v>0</v>
      </c>
      <c r="HO132" s="102"/>
      <c r="HP132" s="102"/>
      <c r="HR132" s="929" t="str">
        <f t="shared" si="745"/>
        <v/>
      </c>
      <c r="HS132" s="929" t="str">
        <f t="shared" si="746"/>
        <v/>
      </c>
      <c r="HT132" s="929" t="str">
        <f t="shared" si="747"/>
        <v/>
      </c>
      <c r="HU132" s="929" t="str">
        <f t="shared" si="738"/>
        <v/>
      </c>
      <c r="HV132" s="929" t="str">
        <f t="shared" si="739"/>
        <v/>
      </c>
      <c r="HW132" s="929" t="str">
        <f t="shared" si="740"/>
        <v/>
      </c>
      <c r="HX132" s="929" t="str">
        <f t="shared" si="741"/>
        <v/>
      </c>
      <c r="HY132" s="929" t="str">
        <f t="shared" si="741"/>
        <v/>
      </c>
      <c r="HZ132" s="929" t="str">
        <f t="shared" si="741"/>
        <v/>
      </c>
      <c r="IA132" s="929" t="str">
        <f t="shared" si="762"/>
        <v/>
      </c>
      <c r="IB132" s="929" t="str">
        <f t="shared" si="748"/>
        <v/>
      </c>
      <c r="IC132" s="929" t="str">
        <f t="shared" si="763"/>
        <v/>
      </c>
      <c r="IE132" s="102">
        <f t="shared" si="749"/>
        <v>0</v>
      </c>
      <c r="IF132" s="102">
        <f t="shared" si="750"/>
        <v>0</v>
      </c>
      <c r="IG132" s="102">
        <f t="shared" si="751"/>
        <v>0</v>
      </c>
      <c r="IH132" s="102">
        <f t="shared" si="742"/>
        <v>0</v>
      </c>
      <c r="II132" s="102">
        <f t="shared" si="619"/>
        <v>0</v>
      </c>
      <c r="IJ132" s="102">
        <f t="shared" si="620"/>
        <v>0</v>
      </c>
      <c r="IK132" s="102">
        <f t="shared" si="621"/>
        <v>0</v>
      </c>
      <c r="IL132" s="102">
        <f t="shared" si="764"/>
        <v>0</v>
      </c>
      <c r="IM132" s="102">
        <f t="shared" si="752"/>
        <v>0</v>
      </c>
      <c r="IN132" s="102">
        <f t="shared" si="765"/>
        <v>0</v>
      </c>
      <c r="IP132" s="973"/>
      <c r="IQ132" s="973"/>
      <c r="IR132" s="973"/>
      <c r="IS132" s="973"/>
      <c r="IT132" s="973"/>
      <c r="IU132" s="973"/>
      <c r="IV132" s="973"/>
      <c r="IW132" s="973"/>
      <c r="IX132" s="973"/>
      <c r="IY132" s="973"/>
      <c r="JA132" s="102">
        <f t="shared" si="727"/>
        <v>0</v>
      </c>
      <c r="JB132" s="102">
        <f t="shared" si="727"/>
        <v>0</v>
      </c>
      <c r="JC132" s="102">
        <f t="shared" si="727"/>
        <v>0</v>
      </c>
      <c r="JD132" s="102">
        <f t="shared" si="727"/>
        <v>0</v>
      </c>
      <c r="JE132" s="102">
        <f t="shared" si="727"/>
        <v>0</v>
      </c>
      <c r="JF132" s="102">
        <f t="shared" si="727"/>
        <v>0</v>
      </c>
      <c r="JG132" s="102">
        <f t="shared" si="727"/>
        <v>0</v>
      </c>
      <c r="JH132" s="102">
        <f t="shared" si="727"/>
        <v>0</v>
      </c>
      <c r="JI132" s="102">
        <f t="shared" si="727"/>
        <v>0</v>
      </c>
      <c r="JJ132" s="102">
        <f t="shared" si="727"/>
        <v>0</v>
      </c>
      <c r="JK132" s="102">
        <f t="shared" si="727"/>
        <v>0</v>
      </c>
      <c r="JL132" s="102">
        <f t="shared" si="728"/>
        <v>0</v>
      </c>
      <c r="JM132" s="102"/>
      <c r="JN132" s="102"/>
      <c r="JP132" s="102">
        <f t="shared" si="701"/>
        <v>0</v>
      </c>
      <c r="JQ132" s="102">
        <f t="shared" si="702"/>
        <v>0</v>
      </c>
      <c r="JR132" s="145"/>
      <c r="JS132" s="929" t="str">
        <f t="shared" si="753"/>
        <v>NA</v>
      </c>
      <c r="JT132" s="930">
        <f t="shared" si="754"/>
        <v>0</v>
      </c>
      <c r="JV132" s="973"/>
      <c r="JW132" s="973"/>
      <c r="JY132" s="929" t="str">
        <f t="shared" si="729"/>
        <v/>
      </c>
      <c r="JZ132" s="929" t="str">
        <f t="shared" si="730"/>
        <v/>
      </c>
      <c r="KA132" s="929" t="str">
        <f t="shared" si="731"/>
        <v/>
      </c>
      <c r="KB132" s="929" t="str">
        <f t="shared" si="732"/>
        <v/>
      </c>
      <c r="KC132" s="929" t="str">
        <f t="shared" si="733"/>
        <v/>
      </c>
      <c r="KD132" s="929" t="str">
        <f t="shared" si="734"/>
        <v/>
      </c>
      <c r="KE132" s="929" t="str">
        <f t="shared" si="735"/>
        <v/>
      </c>
      <c r="KF132" s="929" t="str">
        <f t="shared" si="736"/>
        <v/>
      </c>
      <c r="KH132" s="102">
        <f t="shared" si="704"/>
        <v>0</v>
      </c>
      <c r="KI132" s="102">
        <f t="shared" si="705"/>
        <v>0</v>
      </c>
      <c r="KJ132" s="102">
        <f t="shared" si="706"/>
        <v>0</v>
      </c>
      <c r="KK132" s="102">
        <f t="shared" si="707"/>
        <v>0</v>
      </c>
      <c r="KL132" s="102">
        <f t="shared" si="708"/>
        <v>0</v>
      </c>
      <c r="KM132" s="102">
        <f t="shared" si="709"/>
        <v>0</v>
      </c>
      <c r="KN132" s="102">
        <f t="shared" si="710"/>
        <v>0</v>
      </c>
      <c r="KO132" s="102">
        <f t="shared" si="711"/>
        <v>0</v>
      </c>
      <c r="KQ132" s="973"/>
      <c r="KR132" s="973"/>
      <c r="KS132" s="973"/>
      <c r="KT132" s="973"/>
      <c r="KU132" s="973"/>
      <c r="KV132" s="973"/>
      <c r="KW132" s="973"/>
      <c r="KX132" s="973"/>
      <c r="KY132" s="973"/>
      <c r="KZ132" s="973"/>
      <c r="LB132" s="102">
        <f t="shared" si="737"/>
        <v>0</v>
      </c>
      <c r="LC132" s="102">
        <f t="shared" si="737"/>
        <v>0</v>
      </c>
      <c r="LD132" s="102">
        <f t="shared" si="737"/>
        <v>0</v>
      </c>
      <c r="LE132" s="102">
        <f t="shared" si="737"/>
        <v>0</v>
      </c>
      <c r="LF132" s="102">
        <f t="shared" si="737"/>
        <v>0</v>
      </c>
      <c r="LG132" s="102">
        <f t="shared" si="737"/>
        <v>0</v>
      </c>
      <c r="LH132" s="102">
        <f t="shared" si="737"/>
        <v>0</v>
      </c>
      <c r="LI132" s="102">
        <f t="shared" si="737"/>
        <v>0</v>
      </c>
      <c r="LJ132" s="102">
        <f t="shared" si="737"/>
        <v>0</v>
      </c>
      <c r="LK132" s="102">
        <f t="shared" si="737"/>
        <v>0</v>
      </c>
      <c r="LL132" s="102">
        <f t="shared" si="737"/>
        <v>0</v>
      </c>
      <c r="LM132" s="102">
        <f t="shared" si="712"/>
        <v>0</v>
      </c>
      <c r="LN132" s="102"/>
      <c r="LO132" s="102"/>
      <c r="LR132" s="32" t="str">
        <f t="shared" si="713"/>
        <v xml:space="preserve"> </v>
      </c>
      <c r="LS132" s="32" t="str">
        <f t="shared" si="714"/>
        <v xml:space="preserve"> </v>
      </c>
      <c r="LT132" s="32" t="str">
        <f t="shared" si="715"/>
        <v xml:space="preserve"> </v>
      </c>
      <c r="LU132" s="32" t="str">
        <f t="shared" si="716"/>
        <v xml:space="preserve"> </v>
      </c>
      <c r="LV132" s="32" t="str">
        <f t="shared" si="717"/>
        <v xml:space="preserve"> </v>
      </c>
      <c r="LW132" s="32" t="str">
        <f t="shared" si="718"/>
        <v xml:space="preserve"> </v>
      </c>
      <c r="LX132" s="32" t="str">
        <f t="shared" si="719"/>
        <v xml:space="preserve"> </v>
      </c>
      <c r="LZ132" s="102">
        <f t="shared" si="720"/>
        <v>0</v>
      </c>
      <c r="MA132" s="102">
        <f t="shared" si="721"/>
        <v>0</v>
      </c>
      <c r="MB132" s="102">
        <f t="shared" si="722"/>
        <v>0</v>
      </c>
      <c r="MC132" s="102">
        <f t="shared" si="723"/>
        <v>0</v>
      </c>
      <c r="MD132" s="102">
        <f t="shared" si="724"/>
        <v>0</v>
      </c>
      <c r="ME132" s="102">
        <f t="shared" si="725"/>
        <v>0</v>
      </c>
      <c r="MF132" s="102">
        <f t="shared" si="726"/>
        <v>0</v>
      </c>
      <c r="MH132" s="973"/>
      <c r="MI132" s="973"/>
      <c r="MJ132" s="973"/>
      <c r="MK132" s="973"/>
      <c r="ML132" s="973"/>
      <c r="MM132" s="973"/>
      <c r="MN132" s="973"/>
      <c r="MO132" s="973"/>
      <c r="MP132" s="973"/>
    </row>
    <row r="133" spans="1:354" outlineLevel="2">
      <c r="A133" s="884">
        <v>1345</v>
      </c>
      <c r="B133" s="70" t="s">
        <v>699</v>
      </c>
      <c r="C133" s="29" t="s">
        <v>119</v>
      </c>
      <c r="D133" s="31" t="s">
        <v>59</v>
      </c>
      <c r="E133" s="102">
        <v>0</v>
      </c>
      <c r="F133" s="102">
        <v>2.6518500299999999</v>
      </c>
      <c r="G133" s="102">
        <v>5.4769130800000001</v>
      </c>
      <c r="H133" s="102">
        <v>5.4769130800000001</v>
      </c>
      <c r="I133" s="102">
        <v>11.552387699999999</v>
      </c>
      <c r="J133" s="102">
        <v>11.39153866</v>
      </c>
      <c r="K133" s="102">
        <v>13.963326960000002</v>
      </c>
      <c r="L133" s="102">
        <v>13.784424960000001</v>
      </c>
      <c r="M133" s="102">
        <v>14.320911000000001</v>
      </c>
      <c r="N133" s="102">
        <v>13.277112599999999</v>
      </c>
      <c r="O133" s="102">
        <v>13.26613326</v>
      </c>
      <c r="P133" s="102">
        <v>11.71072114</v>
      </c>
      <c r="Q133" s="102">
        <v>43.754265799999999</v>
      </c>
      <c r="R133" s="102">
        <v>-4.5050199999999999E-2</v>
      </c>
      <c r="S133" s="102">
        <v>5.4576730800000002</v>
      </c>
      <c r="T133" s="102">
        <v>0</v>
      </c>
      <c r="U133" s="102">
        <v>0</v>
      </c>
      <c r="V133" s="102">
        <v>0</v>
      </c>
      <c r="W133" s="102">
        <v>0</v>
      </c>
      <c r="X133" s="102">
        <v>14.343247740000001</v>
      </c>
      <c r="Y133" s="102">
        <v>14.343247740000001</v>
      </c>
      <c r="Z133" s="102">
        <v>-10.879275</v>
      </c>
      <c r="AA133" s="102">
        <v>-22.859798000000001</v>
      </c>
      <c r="AB133" s="102">
        <v>395.03796425999997</v>
      </c>
      <c r="AC133" s="102">
        <v>204.47307194999999</v>
      </c>
      <c r="AD133" s="102">
        <v>197.67635594999999</v>
      </c>
      <c r="AE133" s="102">
        <v>199.70438694999999</v>
      </c>
      <c r="AF133" s="102">
        <v>199.70438694999999</v>
      </c>
      <c r="AG133" s="102">
        <v>134.28728268999998</v>
      </c>
      <c r="AH133" s="102">
        <v>134.28728268999998</v>
      </c>
      <c r="AI133" s="102">
        <v>136.47655404</v>
      </c>
      <c r="AJ133" s="102">
        <v>130.48723803999999</v>
      </c>
      <c r="AK133" s="102">
        <v>46.911371000000003</v>
      </c>
      <c r="AL133" s="102">
        <v>46.911371000000003</v>
      </c>
      <c r="AM133" s="102">
        <v>49.472892999999999</v>
      </c>
      <c r="AN133" s="145">
        <v>163.164524</v>
      </c>
      <c r="AO133" s="102">
        <v>163.164524</v>
      </c>
      <c r="AP133" s="145">
        <v>163.164524</v>
      </c>
      <c r="AQ133" s="220">
        <v>163.164524</v>
      </c>
      <c r="AR133" s="220">
        <v>163.164524</v>
      </c>
      <c r="AS133" s="102">
        <v>145.44248665000001</v>
      </c>
      <c r="AT133" s="102">
        <v>145.44248665000001</v>
      </c>
      <c r="AU133" s="102">
        <v>152.47384865000001</v>
      </c>
      <c r="AV133" s="102">
        <v>152.47384865000001</v>
      </c>
      <c r="AW133" s="102">
        <v>150.90626466999998</v>
      </c>
      <c r="AX133" s="102">
        <v>150.90626466999998</v>
      </c>
      <c r="AY133" s="102">
        <v>150.90626466999998</v>
      </c>
      <c r="AZ133" s="102">
        <v>150.75742867</v>
      </c>
      <c r="BA133" s="102">
        <v>150.75742867</v>
      </c>
      <c r="BB133" s="102">
        <v>150.75742867</v>
      </c>
      <c r="BC133" s="102">
        <v>150.75742867</v>
      </c>
      <c r="BD133" s="102">
        <v>150.75742867</v>
      </c>
      <c r="BE133" s="102">
        <v>150.75742867</v>
      </c>
      <c r="BF133" s="102">
        <v>150.75742867</v>
      </c>
      <c r="BG133" s="102">
        <v>150.75742867</v>
      </c>
      <c r="BH133" s="102">
        <v>150.75742867</v>
      </c>
      <c r="BI133" s="102">
        <v>150.75742867</v>
      </c>
      <c r="BJ133" s="102">
        <v>0</v>
      </c>
      <c r="BK133" s="102">
        <v>0</v>
      </c>
      <c r="BL133" s="102">
        <v>0</v>
      </c>
      <c r="BM133" s="974">
        <v>0</v>
      </c>
      <c r="BN133" s="102">
        <v>0</v>
      </c>
      <c r="BO133" s="102">
        <v>0</v>
      </c>
      <c r="BP133" s="102">
        <v>0</v>
      </c>
      <c r="BQ133" s="102">
        <v>0</v>
      </c>
      <c r="BR133" s="102">
        <v>0</v>
      </c>
      <c r="BS133" s="102">
        <v>0</v>
      </c>
      <c r="BT133" s="102">
        <v>0</v>
      </c>
      <c r="BU133" s="102">
        <v>0</v>
      </c>
      <c r="BV133" s="102">
        <v>0</v>
      </c>
      <c r="BW133" s="102">
        <v>0</v>
      </c>
      <c r="BX133" s="102">
        <v>0</v>
      </c>
      <c r="BY133" s="102">
        <v>0</v>
      </c>
      <c r="BZ133" s="102">
        <v>0</v>
      </c>
      <c r="CA133" s="102">
        <v>0</v>
      </c>
      <c r="CB133" s="102">
        <v>0</v>
      </c>
      <c r="CC133" s="102">
        <v>0</v>
      </c>
      <c r="CD133" s="102">
        <v>0</v>
      </c>
      <c r="CE133" s="102">
        <v>0</v>
      </c>
      <c r="CF133" s="102">
        <v>0</v>
      </c>
      <c r="CG133" s="102">
        <v>0</v>
      </c>
      <c r="CH133" s="102">
        <v>0</v>
      </c>
      <c r="CI133" s="102">
        <v>0</v>
      </c>
      <c r="CJ133" s="102">
        <v>0</v>
      </c>
      <c r="CK133" s="102">
        <v>0</v>
      </c>
      <c r="CL133" s="102">
        <v>0</v>
      </c>
      <c r="CM133" s="102">
        <v>0</v>
      </c>
      <c r="CN133" s="102">
        <v>0</v>
      </c>
      <c r="CO133" s="102">
        <v>0</v>
      </c>
      <c r="CP133" s="102">
        <v>0</v>
      </c>
      <c r="CQ133" s="102">
        <v>0</v>
      </c>
      <c r="CR133" s="102">
        <v>0</v>
      </c>
      <c r="CS133" s="102">
        <v>0</v>
      </c>
      <c r="CT133" s="102">
        <v>0</v>
      </c>
      <c r="CU133" s="102">
        <v>0</v>
      </c>
      <c r="CV133" s="102">
        <v>0</v>
      </c>
      <c r="CW133" s="102">
        <v>0</v>
      </c>
      <c r="CX133" s="102">
        <v>0</v>
      </c>
      <c r="CY133" s="102">
        <v>0</v>
      </c>
      <c r="CZ133" s="102">
        <v>0</v>
      </c>
      <c r="DA133" s="102">
        <v>0</v>
      </c>
      <c r="DB133" s="102">
        <v>0</v>
      </c>
      <c r="DC133" s="102">
        <v>0</v>
      </c>
      <c r="DD133" s="102">
        <v>0</v>
      </c>
      <c r="DE133" s="102">
        <v>0</v>
      </c>
      <c r="DF133" s="102">
        <v>0</v>
      </c>
      <c r="DG133" s="102">
        <v>0</v>
      </c>
      <c r="DH133" s="102">
        <v>0</v>
      </c>
      <c r="DI133" s="102">
        <v>0</v>
      </c>
      <c r="DJ133" s="102">
        <v>0</v>
      </c>
      <c r="DK133" s="102">
        <v>0</v>
      </c>
      <c r="DL133" s="102">
        <v>0</v>
      </c>
      <c r="DM133" s="102">
        <v>0</v>
      </c>
      <c r="DN133" s="102">
        <v>0</v>
      </c>
      <c r="DO133" s="102">
        <v>0</v>
      </c>
      <c r="DP133" s="102">
        <v>0</v>
      </c>
      <c r="DQ133" s="940">
        <v>0</v>
      </c>
      <c r="DR133" s="940">
        <v>0</v>
      </c>
      <c r="DS133" s="940">
        <v>0</v>
      </c>
      <c r="DT133" s="940">
        <v>0</v>
      </c>
      <c r="DU133" s="940">
        <v>0</v>
      </c>
      <c r="DV133" s="940">
        <v>0</v>
      </c>
      <c r="DW133" s="940">
        <v>0</v>
      </c>
      <c r="DX133" s="940">
        <v>0</v>
      </c>
      <c r="DY133" s="940">
        <v>0</v>
      </c>
      <c r="DZ133" s="940">
        <v>0</v>
      </c>
      <c r="EA133" s="940">
        <v>0</v>
      </c>
      <c r="EB133" s="940">
        <v>0</v>
      </c>
      <c r="EC133" s="940">
        <v>0</v>
      </c>
      <c r="ED133" s="940">
        <v>0</v>
      </c>
      <c r="EE133" s="940">
        <v>0</v>
      </c>
      <c r="EF133" s="940">
        <v>0</v>
      </c>
      <c r="EH133" s="102" t="e">
        <v>#VALUE!</v>
      </c>
      <c r="EI133" s="102" t="e">
        <v>#VALUE!</v>
      </c>
      <c r="EJ133" s="102" t="e">
        <v>#VALUE!</v>
      </c>
      <c r="EK133" s="102" t="e">
        <v>#VALUE!</v>
      </c>
      <c r="EL133" s="102" t="e">
        <v>#VALUE!</v>
      </c>
      <c r="EM133" s="102" t="e">
        <v>#VALUE!</v>
      </c>
      <c r="EN133" s="102" t="e">
        <v>#VALUE!</v>
      </c>
      <c r="EO133" s="102" t="e">
        <v>#VALUE!</v>
      </c>
      <c r="EP133" s="102" t="e">
        <v>#VALUE!</v>
      </c>
      <c r="EQ133" s="102" t="e">
        <v>#VALUE!</v>
      </c>
      <c r="ER133" s="102" t="e">
        <v>#VALUE!</v>
      </c>
      <c r="ES133" s="102" t="e">
        <v>#VALUE!</v>
      </c>
      <c r="EU133" s="102">
        <v>49.472892999999999</v>
      </c>
      <c r="EV133" s="102">
        <v>49.472892999999999</v>
      </c>
      <c r="EW133" s="102">
        <v>49.472892999999999</v>
      </c>
      <c r="EX133" s="102">
        <v>49.472892999999999</v>
      </c>
      <c r="EY133" s="102">
        <v>49.472892999999999</v>
      </c>
      <c r="EZ133" s="102">
        <v>49.472892999999999</v>
      </c>
      <c r="FA133" s="102">
        <v>49.472892999999999</v>
      </c>
      <c r="FB133" s="102">
        <v>49.472892999999999</v>
      </c>
      <c r="FC133" s="102">
        <v>49.472892999999999</v>
      </c>
      <c r="FD133" s="102">
        <v>49.472892999999999</v>
      </c>
      <c r="FE133" s="102">
        <v>49.472892999999999</v>
      </c>
      <c r="FF133" s="102">
        <v>49.472892999999999</v>
      </c>
      <c r="FG133" s="102">
        <v>120.60594293599999</v>
      </c>
      <c r="FH133" s="102">
        <v>96.48475434880001</v>
      </c>
      <c r="FI133" s="102">
        <v>77.187803479040014</v>
      </c>
      <c r="FJ133" s="102">
        <v>61.750242783232011</v>
      </c>
      <c r="FK133" s="102">
        <v>49.400194226585612</v>
      </c>
      <c r="FL133" s="102">
        <v>39.520155381268495</v>
      </c>
      <c r="FM133" s="102">
        <v>31.616124305014797</v>
      </c>
      <c r="FN133" s="102">
        <v>25.292899444011837</v>
      </c>
      <c r="FO133" s="102">
        <v>20.234319555209474</v>
      </c>
      <c r="FP133" s="102">
        <v>0</v>
      </c>
      <c r="FQ133" s="102">
        <v>0</v>
      </c>
      <c r="FR133" s="102">
        <v>0</v>
      </c>
      <c r="FS133" s="102"/>
      <c r="FT133" s="102"/>
      <c r="FU133" s="102"/>
      <c r="FV133" s="102"/>
      <c r="FW133" s="102"/>
      <c r="FX133" s="102"/>
      <c r="FY133" s="102"/>
      <c r="FZ133" s="102"/>
      <c r="GA133" s="102"/>
      <c r="GB133" s="102"/>
      <c r="GC133" s="102"/>
      <c r="GD133" s="102"/>
      <c r="GE133" s="102" t="e">
        <v>#VALUE!</v>
      </c>
      <c r="GF133" s="102" t="e">
        <v>#VALUE!</v>
      </c>
      <c r="GG133" s="102" t="e">
        <v>#VALUE!</v>
      </c>
      <c r="GH133" s="102" t="e">
        <v>#VALUE!</v>
      </c>
      <c r="GI133" s="102" t="e">
        <v>#VALUE!</v>
      </c>
      <c r="GJ133" s="102" t="e">
        <v>#VALUE!</v>
      </c>
      <c r="GK133" s="102" t="e">
        <v>#VALUE!</v>
      </c>
      <c r="GL133" s="102" t="e">
        <v>#VALUE!</v>
      </c>
      <c r="GM133" s="102" t="e">
        <v>#VALUE!</v>
      </c>
      <c r="GN133" s="102" t="e">
        <v>#VALUE!</v>
      </c>
      <c r="GO133" s="102" t="e">
        <v>#VALUE!</v>
      </c>
      <c r="GP133" s="102" t="e">
        <v>#VALUE!</v>
      </c>
      <c r="GQ133" s="102" t="e">
        <v>#VALUE!</v>
      </c>
      <c r="GR133" s="102" t="e">
        <v>#VALUE!</v>
      </c>
      <c r="GS133" s="102" t="e">
        <v>#VALUE!</v>
      </c>
      <c r="GT133" s="102" t="e">
        <v>#VALUE!</v>
      </c>
      <c r="GU133" s="102" t="e">
        <v>#VALUE!</v>
      </c>
      <c r="GV133" s="102" t="e">
        <v>#VALUE!</v>
      </c>
      <c r="GW133" s="102" t="e">
        <v>#VALUE!</v>
      </c>
      <c r="GX133" s="102" t="e">
        <v>#VALUE!</v>
      </c>
      <c r="GY133" s="102" t="e">
        <v>#VALUE!</v>
      </c>
      <c r="GZ133" s="102" t="e">
        <v>#VALUE!</v>
      </c>
      <c r="HA133" s="102" t="e">
        <v>#VALUE!</v>
      </c>
      <c r="HB133" s="102" t="e">
        <v>#VALUE!</v>
      </c>
      <c r="HD133" s="102">
        <f t="shared" si="743"/>
        <v>11.71072114</v>
      </c>
      <c r="HE133" s="102">
        <f t="shared" si="743"/>
        <v>395.03796425999997</v>
      </c>
      <c r="HF133" s="102">
        <f t="shared" si="743"/>
        <v>163.164524</v>
      </c>
      <c r="HG133" s="102">
        <f t="shared" si="743"/>
        <v>150.75742867</v>
      </c>
      <c r="HH133" s="102">
        <f t="shared" si="744"/>
        <v>0</v>
      </c>
      <c r="HI133" s="102">
        <f t="shared" si="695"/>
        <v>0</v>
      </c>
      <c r="HJ133" s="102">
        <f t="shared" si="696"/>
        <v>0</v>
      </c>
      <c r="HK133" s="102">
        <f t="shared" si="697"/>
        <v>0</v>
      </c>
      <c r="HL133" s="940">
        <f>+SUMIFS($E133:SEW133,$E$6:SEW$6,HL$7,$E$5:SEW$5,12)</f>
        <v>0</v>
      </c>
      <c r="HM133" s="940">
        <f>+SUMIFS($E133:SEX133,$E$6:SEX$6,HM$7,$E$5:SEX$5,12)</f>
        <v>0</v>
      </c>
      <c r="HN133" s="940">
        <f>+SUMIFS($E133:SEY133,$E$6:SEY$6,HN$7,$E$5:SEY$5,12)</f>
        <v>0</v>
      </c>
      <c r="HO133" s="102"/>
      <c r="HP133" s="102"/>
      <c r="HR133" s="929">
        <f t="shared" si="745"/>
        <v>-0.5869649533415201</v>
      </c>
      <c r="HS133" s="929">
        <f t="shared" si="746"/>
        <v>-7.6040397911496971E-2</v>
      </c>
      <c r="HT133" s="929">
        <f t="shared" si="747"/>
        <v>-1</v>
      </c>
      <c r="HU133" s="929" t="str">
        <f t="shared" si="738"/>
        <v/>
      </c>
      <c r="HV133" s="929" t="str">
        <f t="shared" si="739"/>
        <v/>
      </c>
      <c r="HW133" s="929" t="str">
        <f t="shared" si="740"/>
        <v/>
      </c>
      <c r="HX133" s="929" t="str">
        <f t="shared" si="741"/>
        <v/>
      </c>
      <c r="HY133" s="929" t="str">
        <f t="shared" si="741"/>
        <v/>
      </c>
      <c r="HZ133" s="929" t="str">
        <f t="shared" si="741"/>
        <v/>
      </c>
      <c r="IA133" s="929" t="str">
        <f t="shared" si="762"/>
        <v/>
      </c>
      <c r="IB133" s="929" t="str">
        <f t="shared" si="748"/>
        <v/>
      </c>
      <c r="IC133" s="929" t="str">
        <f t="shared" si="763"/>
        <v/>
      </c>
      <c r="IE133" s="102">
        <f t="shared" si="749"/>
        <v>-231.87344025999997</v>
      </c>
      <c r="IF133" s="102">
        <f t="shared" si="750"/>
        <v>-12.407095330000004</v>
      </c>
      <c r="IG133" s="102">
        <f t="shared" si="751"/>
        <v>-150.75742867</v>
      </c>
      <c r="IH133" s="102">
        <f t="shared" si="742"/>
        <v>0</v>
      </c>
      <c r="II133" s="102">
        <f t="shared" si="619"/>
        <v>0</v>
      </c>
      <c r="IJ133" s="102">
        <f t="shared" si="620"/>
        <v>0</v>
      </c>
      <c r="IK133" s="102">
        <f t="shared" si="621"/>
        <v>0</v>
      </c>
      <c r="IL133" s="102">
        <f t="shared" si="764"/>
        <v>0</v>
      </c>
      <c r="IM133" s="102">
        <f t="shared" si="752"/>
        <v>0</v>
      </c>
      <c r="IN133" s="102">
        <f t="shared" si="765"/>
        <v>0</v>
      </c>
      <c r="IP133" s="973"/>
      <c r="IQ133" s="973"/>
      <c r="IR133" s="973"/>
      <c r="IS133" s="973"/>
      <c r="IT133" s="973"/>
      <c r="IU133" s="973"/>
      <c r="IV133" s="973"/>
      <c r="IW133" s="973"/>
      <c r="IX133" s="973"/>
      <c r="IY133" s="973"/>
      <c r="JA133" s="102">
        <f t="shared" si="727"/>
        <v>11.71072114</v>
      </c>
      <c r="JB133" s="102">
        <f t="shared" si="727"/>
        <v>395.03796425999997</v>
      </c>
      <c r="JC133" s="102">
        <f t="shared" si="727"/>
        <v>163.164524</v>
      </c>
      <c r="JD133" s="102">
        <f t="shared" si="727"/>
        <v>150.75742867</v>
      </c>
      <c r="JE133" s="102">
        <f t="shared" si="727"/>
        <v>0</v>
      </c>
      <c r="JF133" s="102">
        <f t="shared" si="727"/>
        <v>0</v>
      </c>
      <c r="JG133" s="102">
        <f t="shared" si="727"/>
        <v>0</v>
      </c>
      <c r="JH133" s="102">
        <f t="shared" si="727"/>
        <v>0</v>
      </c>
      <c r="JI133" s="102">
        <f t="shared" si="727"/>
        <v>0</v>
      </c>
      <c r="JJ133" s="102">
        <f t="shared" si="727"/>
        <v>0</v>
      </c>
      <c r="JK133" s="102">
        <f t="shared" si="727"/>
        <v>0</v>
      </c>
      <c r="JL133" s="102">
        <f t="shared" si="728"/>
        <v>0</v>
      </c>
      <c r="JM133" s="102"/>
      <c r="JN133" s="102"/>
      <c r="JP133" s="102">
        <f t="shared" si="701"/>
        <v>0</v>
      </c>
      <c r="JQ133" s="102">
        <f t="shared" si="702"/>
        <v>0</v>
      </c>
      <c r="JR133" s="145"/>
      <c r="JS133" s="929" t="str">
        <f t="shared" si="753"/>
        <v>NA</v>
      </c>
      <c r="JT133" s="930">
        <f t="shared" si="754"/>
        <v>0</v>
      </c>
      <c r="JV133" s="973"/>
      <c r="JW133" s="973"/>
      <c r="JY133" s="929">
        <f t="shared" si="729"/>
        <v>-0.5869649533415201</v>
      </c>
      <c r="JZ133" s="929">
        <f t="shared" si="730"/>
        <v>-7.6040397911496971E-2</v>
      </c>
      <c r="KA133" s="929">
        <f t="shared" si="731"/>
        <v>-1</v>
      </c>
      <c r="KB133" s="929" t="str">
        <f t="shared" si="732"/>
        <v/>
      </c>
      <c r="KC133" s="929" t="str">
        <f t="shared" si="733"/>
        <v/>
      </c>
      <c r="KD133" s="929" t="str">
        <f t="shared" si="734"/>
        <v/>
      </c>
      <c r="KE133" s="929" t="str">
        <f t="shared" si="735"/>
        <v/>
      </c>
      <c r="KF133" s="929" t="str">
        <f t="shared" si="736"/>
        <v/>
      </c>
      <c r="KH133" s="102">
        <f t="shared" si="704"/>
        <v>-231.87344025999997</v>
      </c>
      <c r="KI133" s="102">
        <f t="shared" si="705"/>
        <v>-12.407095330000004</v>
      </c>
      <c r="KJ133" s="102">
        <f t="shared" si="706"/>
        <v>-150.75742867</v>
      </c>
      <c r="KK133" s="102">
        <f t="shared" si="707"/>
        <v>0</v>
      </c>
      <c r="KL133" s="102">
        <f t="shared" si="708"/>
        <v>0</v>
      </c>
      <c r="KM133" s="102">
        <f t="shared" si="709"/>
        <v>0</v>
      </c>
      <c r="KN133" s="102">
        <f t="shared" si="710"/>
        <v>0</v>
      </c>
      <c r="KO133" s="102">
        <f t="shared" si="711"/>
        <v>0</v>
      </c>
      <c r="KQ133" s="973"/>
      <c r="KR133" s="973"/>
      <c r="KS133" s="973"/>
      <c r="KT133" s="973"/>
      <c r="KU133" s="973"/>
      <c r="KV133" s="973"/>
      <c r="KW133" s="973"/>
      <c r="KX133" s="973"/>
      <c r="KY133" s="973"/>
      <c r="KZ133" s="973"/>
      <c r="LB133" s="102">
        <f t="shared" si="737"/>
        <v>11.71072114</v>
      </c>
      <c r="LC133" s="102">
        <f t="shared" si="737"/>
        <v>395.03796425999997</v>
      </c>
      <c r="LD133" s="102">
        <f t="shared" si="737"/>
        <v>163.164524</v>
      </c>
      <c r="LE133" s="102">
        <f t="shared" si="737"/>
        <v>150.75742867</v>
      </c>
      <c r="LF133" s="102">
        <f t="shared" si="737"/>
        <v>0</v>
      </c>
      <c r="LG133" s="102">
        <f t="shared" si="737"/>
        <v>0</v>
      </c>
      <c r="LH133" s="102">
        <f t="shared" si="737"/>
        <v>0</v>
      </c>
      <c r="LI133" s="102">
        <f t="shared" si="737"/>
        <v>0</v>
      </c>
      <c r="LJ133" s="102">
        <f t="shared" si="737"/>
        <v>0</v>
      </c>
      <c r="LK133" s="102">
        <f t="shared" si="737"/>
        <v>0</v>
      </c>
      <c r="LL133" s="102">
        <f t="shared" si="737"/>
        <v>0</v>
      </c>
      <c r="LM133" s="102">
        <f t="shared" ref="LM133:LM137" si="766">+SUMIFS($E133:$EG133,$E$6:$EG$6,LM$7,$E$5:$EG$5,$LD$5)</f>
        <v>0</v>
      </c>
      <c r="LN133" s="102"/>
      <c r="LO133" s="102"/>
      <c r="LR133" s="32">
        <f t="shared" si="713"/>
        <v>-0.5869649533415201</v>
      </c>
      <c r="LS133" s="32">
        <f t="shared" si="714"/>
        <v>-7.6040397911496971E-2</v>
      </c>
      <c r="LT133" s="32">
        <f t="shared" si="715"/>
        <v>-1</v>
      </c>
      <c r="LU133" s="32" t="str">
        <f t="shared" si="716"/>
        <v xml:space="preserve"> </v>
      </c>
      <c r="LV133" s="32" t="str">
        <f t="shared" si="717"/>
        <v xml:space="preserve"> </v>
      </c>
      <c r="LW133" s="32" t="str">
        <f t="shared" si="718"/>
        <v xml:space="preserve"> </v>
      </c>
      <c r="LX133" s="32" t="str">
        <f t="shared" si="719"/>
        <v xml:space="preserve"> </v>
      </c>
      <c r="LZ133" s="102">
        <f t="shared" si="720"/>
        <v>-231.87344025999997</v>
      </c>
      <c r="MA133" s="102">
        <f t="shared" si="721"/>
        <v>-12.407095330000004</v>
      </c>
      <c r="MB133" s="102">
        <f t="shared" si="722"/>
        <v>-150.75742867</v>
      </c>
      <c r="MC133" s="102">
        <f t="shared" si="723"/>
        <v>0</v>
      </c>
      <c r="MD133" s="102">
        <f t="shared" si="724"/>
        <v>0</v>
      </c>
      <c r="ME133" s="102">
        <f t="shared" si="725"/>
        <v>0</v>
      </c>
      <c r="MF133" s="102">
        <f t="shared" si="726"/>
        <v>0</v>
      </c>
      <c r="MH133" s="973"/>
      <c r="MI133" s="973"/>
      <c r="MJ133" s="973"/>
      <c r="MK133" s="973"/>
      <c r="ML133" s="973"/>
      <c r="MM133" s="973"/>
      <c r="MN133" s="973"/>
      <c r="MO133" s="973"/>
      <c r="MP133" s="973"/>
    </row>
    <row r="134" spans="1:354" outlineLevel="1">
      <c r="A134" s="884">
        <v>1399</v>
      </c>
      <c r="B134" s="70" t="s">
        <v>641</v>
      </c>
      <c r="C134" s="17" t="s">
        <v>93</v>
      </c>
      <c r="D134" s="31" t="s">
        <v>59</v>
      </c>
      <c r="E134" s="102">
        <v>0</v>
      </c>
      <c r="F134" s="102">
        <v>0</v>
      </c>
      <c r="G134" s="102">
        <v>0</v>
      </c>
      <c r="H134" s="102">
        <v>0</v>
      </c>
      <c r="I134" s="102">
        <v>0</v>
      </c>
      <c r="J134" s="102">
        <v>0</v>
      </c>
      <c r="K134" s="102">
        <v>0</v>
      </c>
      <c r="L134" s="102">
        <v>0</v>
      </c>
      <c r="M134" s="102">
        <v>0</v>
      </c>
      <c r="N134" s="102">
        <v>0</v>
      </c>
      <c r="O134" s="102">
        <v>0</v>
      </c>
      <c r="P134" s="102">
        <v>-26.549074000000001</v>
      </c>
      <c r="Q134" s="102">
        <v>-11.416378</v>
      </c>
      <c r="R134" s="102">
        <v>-11.416378</v>
      </c>
      <c r="S134" s="102">
        <v>-11.416378</v>
      </c>
      <c r="T134" s="102">
        <v>-9.1999999999999993</v>
      </c>
      <c r="U134" s="102">
        <v>-9.1999999999999993</v>
      </c>
      <c r="V134" s="102">
        <v>-9.1999999999999993</v>
      </c>
      <c r="W134" s="102">
        <v>-3.2</v>
      </c>
      <c r="X134" s="102">
        <v>-3.2</v>
      </c>
      <c r="Y134" s="102">
        <v>-3.2</v>
      </c>
      <c r="Z134" s="102">
        <v>0</v>
      </c>
      <c r="AA134" s="102">
        <v>0</v>
      </c>
      <c r="AB134" s="102">
        <v>-26.025024420000001</v>
      </c>
      <c r="AC134" s="102">
        <v>-24.810326739999997</v>
      </c>
      <c r="AD134" s="102">
        <v>-17.190899999999999</v>
      </c>
      <c r="AE134" s="102">
        <v>-0.54</v>
      </c>
      <c r="AF134" s="102">
        <v>-0.54</v>
      </c>
      <c r="AG134" s="102">
        <v>-0.54</v>
      </c>
      <c r="AH134" s="102">
        <v>-0.54</v>
      </c>
      <c r="AI134" s="102">
        <v>-0.54</v>
      </c>
      <c r="AJ134" s="102">
        <v>-17.635211999999999</v>
      </c>
      <c r="AK134" s="102">
        <v>-9.1375919999999997</v>
      </c>
      <c r="AL134" s="102">
        <v>-12.398872000000001</v>
      </c>
      <c r="AM134" s="102">
        <v>-12.875901279999999</v>
      </c>
      <c r="AN134" s="145">
        <v>-11.814254</v>
      </c>
      <c r="AO134" s="102">
        <v>-11.814254</v>
      </c>
      <c r="AP134" s="145">
        <v>-11.814254</v>
      </c>
      <c r="AQ134" s="220">
        <v>-11.814254</v>
      </c>
      <c r="AR134" s="220">
        <v>-11.814254</v>
      </c>
      <c r="AS134" s="102">
        <v>-11.814254</v>
      </c>
      <c r="AT134" s="102">
        <v>-11.814254</v>
      </c>
      <c r="AU134" s="102">
        <v>0</v>
      </c>
      <c r="AV134" s="102">
        <v>0</v>
      </c>
      <c r="AW134" s="102">
        <v>-87.301801180000012</v>
      </c>
      <c r="AX134" s="102">
        <v>-115.97256373</v>
      </c>
      <c r="AY134" s="102">
        <v>-117.65608687999999</v>
      </c>
      <c r="AZ134" s="102">
        <v>-1206</v>
      </c>
      <c r="BA134" s="102">
        <v>-1238.6484355299999</v>
      </c>
      <c r="BB134" s="102">
        <v>-1243.27358153</v>
      </c>
      <c r="BC134" s="102">
        <v>-1249.09824106</v>
      </c>
      <c r="BD134" s="102">
        <v>-1050.1344665900001</v>
      </c>
      <c r="BE134" s="102">
        <v>-1078.1355003399999</v>
      </c>
      <c r="BF134" s="102">
        <v>-1153.5555885199999</v>
      </c>
      <c r="BG134" s="102">
        <v>-1229.8143303299998</v>
      </c>
      <c r="BH134" s="102">
        <v>-1307.13748801</v>
      </c>
      <c r="BI134" s="102">
        <v>-1374.94225706</v>
      </c>
      <c r="BJ134" s="102">
        <v>-1472.4814217600001</v>
      </c>
      <c r="BK134" s="102">
        <v>-1608.17247264</v>
      </c>
      <c r="BL134" s="102">
        <v>-911.79222283000001</v>
      </c>
      <c r="BM134" s="974">
        <v>-907.20422180999992</v>
      </c>
      <c r="BN134" s="102">
        <v>-895.60052064000001</v>
      </c>
      <c r="BO134" s="102">
        <v>-935.65340363999996</v>
      </c>
      <c r="BP134" s="102">
        <v>-950.20559463999996</v>
      </c>
      <c r="BQ134" s="102">
        <v>-977.68759263999993</v>
      </c>
      <c r="BR134" s="102">
        <v>-1010.67970064</v>
      </c>
      <c r="BS134" s="102">
        <v>-1026.21825964</v>
      </c>
      <c r="BT134" s="102">
        <v>-1080.9715706400002</v>
      </c>
      <c r="BU134" s="102">
        <v>-1043.78351464</v>
      </c>
      <c r="BV134" s="102">
        <v>-1036.7328076399999</v>
      </c>
      <c r="BW134" s="102">
        <v>-1036.6821076399999</v>
      </c>
      <c r="BX134" s="102">
        <v>-296.68854314999999</v>
      </c>
      <c r="BY134" s="102">
        <v>-301.74364714999996</v>
      </c>
      <c r="BZ134" s="102">
        <v>-244.47352015000001</v>
      </c>
      <c r="CA134" s="102">
        <v>-202.19390015000002</v>
      </c>
      <c r="CB134" s="102">
        <v>-175.05605315</v>
      </c>
      <c r="CC134" s="102">
        <v>-118.59200015</v>
      </c>
      <c r="CD134" s="102">
        <v>-53.592000149999997</v>
      </c>
      <c r="CE134" s="102">
        <v>-28.592000149999997</v>
      </c>
      <c r="CF134" s="102">
        <v>-1.8407501499999999</v>
      </c>
      <c r="CG134" s="102">
        <v>-2.0450731499999999</v>
      </c>
      <c r="CH134" s="102">
        <v>-1.4663851499999998</v>
      </c>
      <c r="CI134" s="102">
        <v>-1.6763711499999998</v>
      </c>
      <c r="CJ134" s="102">
        <v>0</v>
      </c>
      <c r="CK134" s="102">
        <v>0</v>
      </c>
      <c r="CL134" s="102">
        <v>0</v>
      </c>
      <c r="CM134" s="102">
        <v>0</v>
      </c>
      <c r="CN134" s="102">
        <v>0</v>
      </c>
      <c r="CO134" s="102">
        <v>0</v>
      </c>
      <c r="CP134" s="102">
        <v>0</v>
      </c>
      <c r="CQ134" s="102">
        <v>0</v>
      </c>
      <c r="CR134" s="102">
        <v>0</v>
      </c>
      <c r="CS134" s="102">
        <v>0</v>
      </c>
      <c r="CT134" s="102">
        <v>0</v>
      </c>
      <c r="CU134" s="102">
        <v>0</v>
      </c>
      <c r="CV134" s="102">
        <v>0</v>
      </c>
      <c r="CW134" s="102">
        <v>0</v>
      </c>
      <c r="CX134" s="102">
        <v>0</v>
      </c>
      <c r="CY134" s="102">
        <v>0</v>
      </c>
      <c r="CZ134" s="102">
        <v>0</v>
      </c>
      <c r="DA134" s="102">
        <v>0</v>
      </c>
      <c r="DB134" s="102">
        <v>-0.89066299999999998</v>
      </c>
      <c r="DC134" s="102">
        <v>-5.4994459999999998</v>
      </c>
      <c r="DD134" s="102">
        <v>-10.258084999999999</v>
      </c>
      <c r="DE134" s="102">
        <v>0</v>
      </c>
      <c r="DF134" s="102">
        <v>0</v>
      </c>
      <c r="DG134" s="102">
        <v>0</v>
      </c>
      <c r="DH134" s="102">
        <v>0</v>
      </c>
      <c r="DI134" s="102">
        <v>0</v>
      </c>
      <c r="DJ134" s="102">
        <v>0</v>
      </c>
      <c r="DK134" s="102">
        <v>0</v>
      </c>
      <c r="DL134" s="102">
        <v>0</v>
      </c>
      <c r="DM134" s="102">
        <v>0</v>
      </c>
      <c r="DN134" s="102">
        <v>0</v>
      </c>
      <c r="DO134" s="102">
        <v>0</v>
      </c>
      <c r="DP134" s="102">
        <v>0</v>
      </c>
      <c r="DQ134" s="940">
        <v>0</v>
      </c>
      <c r="DR134" s="940">
        <v>0</v>
      </c>
      <c r="DS134" s="940">
        <v>0</v>
      </c>
      <c r="DT134" s="940">
        <v>0</v>
      </c>
      <c r="DU134" s="940">
        <v>0</v>
      </c>
      <c r="DV134" s="940">
        <v>0</v>
      </c>
      <c r="DW134" s="940">
        <v>0</v>
      </c>
      <c r="DX134" s="940">
        <v>0</v>
      </c>
      <c r="DY134" s="940">
        <v>0</v>
      </c>
      <c r="DZ134" s="940">
        <v>0</v>
      </c>
      <c r="EA134" s="940">
        <v>0</v>
      </c>
      <c r="EB134" s="940">
        <v>0</v>
      </c>
      <c r="EC134" s="940">
        <v>0</v>
      </c>
      <c r="ED134" s="940">
        <v>0</v>
      </c>
      <c r="EE134" s="940">
        <v>0</v>
      </c>
      <c r="EF134" s="940">
        <v>0</v>
      </c>
      <c r="EH134" s="102">
        <v>0</v>
      </c>
      <c r="EI134" s="102">
        <v>0</v>
      </c>
      <c r="EJ134" s="102">
        <v>0</v>
      </c>
      <c r="EK134" s="102">
        <v>0</v>
      </c>
      <c r="EL134" s="102">
        <v>0</v>
      </c>
      <c r="EM134" s="102">
        <v>-0.89066299999999998</v>
      </c>
      <c r="EN134" s="102">
        <v>-0.89066299999999998</v>
      </c>
      <c r="EO134" s="102">
        <v>-0.89066299999999998</v>
      </c>
      <c r="EP134" s="102">
        <v>-0.89066299999999998</v>
      </c>
      <c r="EQ134" s="102">
        <v>-0.89066299999999998</v>
      </c>
      <c r="ER134" s="102">
        <v>-0.89066299999999998</v>
      </c>
      <c r="ES134" s="102">
        <v>-0.89066299999999998</v>
      </c>
      <c r="EU134" s="102">
        <v>0</v>
      </c>
      <c r="EV134" s="102">
        <v>0</v>
      </c>
      <c r="EW134" s="102">
        <v>0</v>
      </c>
      <c r="EX134" s="102">
        <v>0</v>
      </c>
      <c r="EY134" s="102">
        <v>0</v>
      </c>
      <c r="EZ134" s="102">
        <v>0</v>
      </c>
      <c r="FA134" s="102">
        <v>0</v>
      </c>
      <c r="FB134" s="102">
        <v>0</v>
      </c>
      <c r="FC134" s="102">
        <v>0</v>
      </c>
      <c r="FD134" s="102">
        <v>0</v>
      </c>
      <c r="FE134" s="102">
        <v>0</v>
      </c>
      <c r="FF134" s="102">
        <v>0</v>
      </c>
      <c r="FG134" s="102">
        <v>-127.61662110369456</v>
      </c>
      <c r="FH134" s="102">
        <v>-134.47984105142558</v>
      </c>
      <c r="FI134" s="102">
        <v>-140.73534548008749</v>
      </c>
      <c r="FJ134" s="102">
        <v>-147.22642364970815</v>
      </c>
      <c r="FK134" s="102">
        <v>-153.68141065293429</v>
      </c>
      <c r="FL134" s="102">
        <v>-160.93704889507393</v>
      </c>
      <c r="FM134" s="102">
        <v>-168.92606575812627</v>
      </c>
      <c r="FN134" s="102">
        <v>-177.49327624885169</v>
      </c>
      <c r="FO134" s="102">
        <v>-187.2556847743341</v>
      </c>
      <c r="FP134" s="102">
        <v>-198.2115561211138</v>
      </c>
      <c r="FQ134" s="102">
        <v>-209.25564136371727</v>
      </c>
      <c r="FR134" s="102">
        <v>-219.57767521432089</v>
      </c>
      <c r="FS134" s="102">
        <v>-960.28476252579196</v>
      </c>
      <c r="FT134" s="102">
        <v>-978.34073796221594</v>
      </c>
      <c r="FU134" s="102">
        <v>-1022.5774208333359</v>
      </c>
      <c r="FV134" s="102">
        <v>-1041.041905727456</v>
      </c>
      <c r="FW134" s="102">
        <v>-1088.9644639160001</v>
      </c>
      <c r="FX134" s="102">
        <v>-1100.940415153832</v>
      </c>
      <c r="FY134" s="102">
        <v>-1124.3128469205442</v>
      </c>
      <c r="FZ134" s="102">
        <v>-1191.4699178000003</v>
      </c>
      <c r="GA134" s="102">
        <v>-1209.1861096399998</v>
      </c>
      <c r="GB134" s="102">
        <v>-1209.1861096399998</v>
      </c>
      <c r="GC134" s="102">
        <v>-1209.1861096399998</v>
      </c>
      <c r="GD134" s="102">
        <v>-1209.1861096399998</v>
      </c>
      <c r="GE134" s="102">
        <v>0</v>
      </c>
      <c r="GF134" s="102">
        <v>0</v>
      </c>
      <c r="GG134" s="102">
        <v>0</v>
      </c>
      <c r="GH134" s="102">
        <v>0</v>
      </c>
      <c r="GI134" s="102">
        <v>0</v>
      </c>
      <c r="GJ134" s="102">
        <v>0</v>
      </c>
      <c r="GK134" s="102">
        <v>0</v>
      </c>
      <c r="GL134" s="102">
        <v>0</v>
      </c>
      <c r="GM134" s="102">
        <v>0</v>
      </c>
      <c r="GN134" s="102">
        <v>0</v>
      </c>
      <c r="GO134" s="102">
        <v>0</v>
      </c>
      <c r="GP134" s="102">
        <v>0</v>
      </c>
      <c r="GQ134" s="102">
        <v>0</v>
      </c>
      <c r="GR134" s="102">
        <v>0</v>
      </c>
      <c r="GS134" s="102">
        <v>0</v>
      </c>
      <c r="GT134" s="102">
        <v>0</v>
      </c>
      <c r="GU134" s="102">
        <v>0</v>
      </c>
      <c r="GV134" s="102">
        <v>0</v>
      </c>
      <c r="GW134" s="102">
        <v>0</v>
      </c>
      <c r="GX134" s="102">
        <v>0</v>
      </c>
      <c r="GY134" s="102">
        <v>0</v>
      </c>
      <c r="GZ134" s="102">
        <v>0</v>
      </c>
      <c r="HA134" s="102">
        <v>0</v>
      </c>
      <c r="HB134" s="102">
        <v>0</v>
      </c>
      <c r="HD134" s="102">
        <f t="shared" si="743"/>
        <v>-26.549074000000001</v>
      </c>
      <c r="HE134" s="102">
        <f t="shared" si="743"/>
        <v>-26.025024420000001</v>
      </c>
      <c r="HF134" s="102">
        <f t="shared" si="743"/>
        <v>-11.814254</v>
      </c>
      <c r="HG134" s="102">
        <f t="shared" si="743"/>
        <v>-1206</v>
      </c>
      <c r="HH134" s="102">
        <f t="shared" si="744"/>
        <v>-911.79222283000001</v>
      </c>
      <c r="HI134" s="102">
        <f t="shared" si="695"/>
        <v>-296.68854314999999</v>
      </c>
      <c r="HJ134" s="102">
        <f t="shared" si="696"/>
        <v>0</v>
      </c>
      <c r="HK134" s="102">
        <f t="shared" si="697"/>
        <v>0</v>
      </c>
      <c r="HL134" s="940">
        <f>+SUMIFS($E134:SEW134,$E$6:SEW$6,HL$7,$E$5:SEW$5,12)</f>
        <v>0</v>
      </c>
      <c r="HM134" s="940">
        <f>+SUMIFS($E134:SEX134,$E$6:SEX$6,HM$7,$E$5:SEX$5,12)</f>
        <v>0</v>
      </c>
      <c r="HN134" s="940">
        <f>+SUMIFS($E134:SEY134,$E$6:SEY$6,HN$7,$E$5:SEY$5,12)</f>
        <v>0</v>
      </c>
      <c r="HO134" s="102"/>
      <c r="HP134" s="102"/>
      <c r="HR134" s="929">
        <f t="shared" si="745"/>
        <v>-0.54604253931378255</v>
      </c>
      <c r="HS134" s="929">
        <f t="shared" si="746"/>
        <v>101.08008055354151</v>
      </c>
      <c r="HT134" s="929">
        <f t="shared" si="747"/>
        <v>-0.24395338073797679</v>
      </c>
      <c r="HU134" s="929">
        <f t="shared" si="738"/>
        <v>-0.67460948259775155</v>
      </c>
      <c r="HV134" s="929">
        <f t="shared" si="739"/>
        <v>-1</v>
      </c>
      <c r="HW134" s="929" t="str">
        <f t="shared" si="740"/>
        <v/>
      </c>
      <c r="HX134" s="929" t="str">
        <f t="shared" si="741"/>
        <v/>
      </c>
      <c r="HY134" s="929" t="str">
        <f t="shared" si="741"/>
        <v/>
      </c>
      <c r="HZ134" s="929" t="str">
        <f t="shared" si="741"/>
        <v/>
      </c>
      <c r="IA134" s="929" t="str">
        <f t="shared" si="762"/>
        <v/>
      </c>
      <c r="IB134" s="929" t="str">
        <f t="shared" si="748"/>
        <v/>
      </c>
      <c r="IC134" s="929" t="str">
        <f t="shared" si="763"/>
        <v/>
      </c>
      <c r="IE134" s="102">
        <f t="shared" si="749"/>
        <v>14.210770420000001</v>
      </c>
      <c r="IF134" s="102">
        <f t="shared" si="750"/>
        <v>-1194.1857460000001</v>
      </c>
      <c r="IG134" s="102">
        <f t="shared" si="751"/>
        <v>294.20777716999999</v>
      </c>
      <c r="IH134" s="102">
        <f t="shared" si="742"/>
        <v>615.10367968000003</v>
      </c>
      <c r="II134" s="102">
        <f t="shared" si="619"/>
        <v>296.68854314999999</v>
      </c>
      <c r="IJ134" s="102">
        <f t="shared" si="620"/>
        <v>0</v>
      </c>
      <c r="IK134" s="102">
        <f t="shared" si="621"/>
        <v>0</v>
      </c>
      <c r="IL134" s="102">
        <f t="shared" si="764"/>
        <v>0</v>
      </c>
      <c r="IM134" s="102">
        <f t="shared" si="752"/>
        <v>0</v>
      </c>
      <c r="IN134" s="102">
        <f t="shared" si="765"/>
        <v>0</v>
      </c>
      <c r="IP134" s="973"/>
      <c r="IQ134" s="973"/>
      <c r="IR134" s="973"/>
      <c r="IS134" s="973"/>
      <c r="IT134" s="973"/>
      <c r="IU134" s="973"/>
      <c r="IV134" s="973"/>
      <c r="IW134" s="973"/>
      <c r="IX134" s="973"/>
      <c r="IY134" s="973"/>
      <c r="JA134" s="102">
        <f t="shared" si="727"/>
        <v>-26.549074000000001</v>
      </c>
      <c r="JB134" s="102">
        <f t="shared" si="727"/>
        <v>-26.025024420000001</v>
      </c>
      <c r="JC134" s="102">
        <f t="shared" si="727"/>
        <v>-11.814254</v>
      </c>
      <c r="JD134" s="102">
        <f t="shared" si="727"/>
        <v>-1206</v>
      </c>
      <c r="JE134" s="102">
        <f t="shared" si="727"/>
        <v>-911.79222283000001</v>
      </c>
      <c r="JF134" s="102">
        <f t="shared" si="727"/>
        <v>-296.68854314999999</v>
      </c>
      <c r="JG134" s="102">
        <f t="shared" si="727"/>
        <v>0</v>
      </c>
      <c r="JH134" s="102">
        <f t="shared" si="727"/>
        <v>0</v>
      </c>
      <c r="JI134" s="102">
        <f t="shared" si="727"/>
        <v>0</v>
      </c>
      <c r="JJ134" s="102">
        <f t="shared" si="727"/>
        <v>0</v>
      </c>
      <c r="JK134" s="102">
        <f t="shared" si="727"/>
        <v>0</v>
      </c>
      <c r="JL134" s="102">
        <f t="shared" si="728"/>
        <v>0</v>
      </c>
      <c r="JM134" s="102"/>
      <c r="JN134" s="102"/>
      <c r="JP134" s="102">
        <f t="shared" si="701"/>
        <v>0</v>
      </c>
      <c r="JQ134" s="102">
        <f t="shared" si="702"/>
        <v>0</v>
      </c>
      <c r="JR134" s="145"/>
      <c r="JS134" s="929" t="str">
        <f t="shared" si="753"/>
        <v>NA</v>
      </c>
      <c r="JT134" s="930">
        <f t="shared" si="754"/>
        <v>0</v>
      </c>
      <c r="JV134" s="973"/>
      <c r="JW134" s="973"/>
      <c r="JY134" s="929">
        <f t="shared" si="729"/>
        <v>-0.54604253931378255</v>
      </c>
      <c r="JZ134" s="929">
        <f t="shared" si="730"/>
        <v>101.08008055354151</v>
      </c>
      <c r="KA134" s="929">
        <f t="shared" si="731"/>
        <v>-0.24395338073797679</v>
      </c>
      <c r="KB134" s="929">
        <f t="shared" si="732"/>
        <v>-0.67460948259775155</v>
      </c>
      <c r="KC134" s="929">
        <f t="shared" si="733"/>
        <v>-1</v>
      </c>
      <c r="KD134" s="929" t="str">
        <f t="shared" si="734"/>
        <v/>
      </c>
      <c r="KE134" s="929" t="str">
        <f t="shared" si="735"/>
        <v/>
      </c>
      <c r="KF134" s="929" t="str">
        <f t="shared" si="736"/>
        <v/>
      </c>
      <c r="KH134" s="102">
        <f t="shared" si="704"/>
        <v>14.210770420000001</v>
      </c>
      <c r="KI134" s="102">
        <f t="shared" si="705"/>
        <v>-1194.1857460000001</v>
      </c>
      <c r="KJ134" s="102">
        <f t="shared" si="706"/>
        <v>294.20777716999999</v>
      </c>
      <c r="KK134" s="102">
        <f t="shared" si="707"/>
        <v>615.10367968000003</v>
      </c>
      <c r="KL134" s="102">
        <f t="shared" si="708"/>
        <v>296.68854314999999</v>
      </c>
      <c r="KM134" s="102">
        <f t="shared" si="709"/>
        <v>0</v>
      </c>
      <c r="KN134" s="102">
        <f t="shared" si="710"/>
        <v>0</v>
      </c>
      <c r="KO134" s="102">
        <f t="shared" si="711"/>
        <v>0</v>
      </c>
      <c r="KQ134" s="973"/>
      <c r="KR134" s="973"/>
      <c r="KS134" s="973"/>
      <c r="KT134" s="973"/>
      <c r="KU134" s="973"/>
      <c r="KV134" s="973"/>
      <c r="KW134" s="973"/>
      <c r="KX134" s="973"/>
      <c r="KY134" s="973"/>
      <c r="KZ134" s="973"/>
      <c r="LB134" s="102">
        <f t="shared" si="737"/>
        <v>-26.549074000000001</v>
      </c>
      <c r="LC134" s="102">
        <f t="shared" si="737"/>
        <v>-26.025024420000001</v>
      </c>
      <c r="LD134" s="102">
        <f t="shared" si="737"/>
        <v>-11.814254</v>
      </c>
      <c r="LE134" s="102">
        <f t="shared" si="737"/>
        <v>-1206</v>
      </c>
      <c r="LF134" s="102">
        <f t="shared" si="737"/>
        <v>-911.79222283000001</v>
      </c>
      <c r="LG134" s="102">
        <f t="shared" si="737"/>
        <v>-296.68854314999999</v>
      </c>
      <c r="LH134" s="102">
        <f t="shared" si="737"/>
        <v>0</v>
      </c>
      <c r="LI134" s="102">
        <f t="shared" si="737"/>
        <v>0</v>
      </c>
      <c r="LJ134" s="102">
        <f t="shared" si="737"/>
        <v>0</v>
      </c>
      <c r="LK134" s="102">
        <f t="shared" si="737"/>
        <v>0</v>
      </c>
      <c r="LL134" s="102">
        <f t="shared" si="737"/>
        <v>0</v>
      </c>
      <c r="LM134" s="102">
        <f t="shared" si="766"/>
        <v>0</v>
      </c>
      <c r="LN134" s="102"/>
      <c r="LO134" s="102"/>
      <c r="LR134" s="32">
        <f t="shared" si="713"/>
        <v>-0.54604253931378255</v>
      </c>
      <c r="LS134" s="32">
        <f t="shared" si="714"/>
        <v>101.08008055354151</v>
      </c>
      <c r="LT134" s="32">
        <f t="shared" si="715"/>
        <v>-0.24395338073797679</v>
      </c>
      <c r="LU134" s="32">
        <f t="shared" si="716"/>
        <v>-0.67460948259775155</v>
      </c>
      <c r="LV134" s="32">
        <f t="shared" si="717"/>
        <v>-1</v>
      </c>
      <c r="LW134" s="32" t="str">
        <f t="shared" si="718"/>
        <v xml:space="preserve"> </v>
      </c>
      <c r="LX134" s="32" t="str">
        <f t="shared" si="719"/>
        <v xml:space="preserve"> </v>
      </c>
      <c r="LZ134" s="102">
        <f t="shared" si="720"/>
        <v>14.210770420000001</v>
      </c>
      <c r="MA134" s="102">
        <f t="shared" si="721"/>
        <v>-1194.1857460000001</v>
      </c>
      <c r="MB134" s="102">
        <f t="shared" si="722"/>
        <v>294.20777716999999</v>
      </c>
      <c r="MC134" s="102">
        <f t="shared" si="723"/>
        <v>615.10367968000003</v>
      </c>
      <c r="MD134" s="102">
        <f t="shared" si="724"/>
        <v>296.68854314999999</v>
      </c>
      <c r="ME134" s="102">
        <f t="shared" si="725"/>
        <v>0</v>
      </c>
      <c r="MF134" s="102">
        <f t="shared" si="726"/>
        <v>0</v>
      </c>
      <c r="MH134" s="973"/>
      <c r="MI134" s="973"/>
      <c r="MJ134" s="973"/>
      <c r="MK134" s="973"/>
      <c r="ML134" s="973"/>
      <c r="MM134" s="973"/>
      <c r="MN134" s="973"/>
      <c r="MO134" s="973"/>
      <c r="MP134" s="973"/>
    </row>
    <row r="135" spans="1:354" outlineLevel="1">
      <c r="A135" s="884">
        <v>1335</v>
      </c>
      <c r="B135" s="70" t="s">
        <v>700</v>
      </c>
      <c r="C135" s="186" t="s">
        <v>701</v>
      </c>
      <c r="D135" s="307" t="s">
        <v>59</v>
      </c>
      <c r="E135" s="931">
        <v>160.29502328999999</v>
      </c>
      <c r="F135" s="931">
        <v>173.08204881999998</v>
      </c>
      <c r="G135" s="931">
        <v>119.07895431</v>
      </c>
      <c r="H135" s="931">
        <v>141.98544361</v>
      </c>
      <c r="I135" s="931">
        <v>125.91896860999999</v>
      </c>
      <c r="J135" s="931">
        <v>158.36734322000001</v>
      </c>
      <c r="K135" s="931">
        <v>173.02890008</v>
      </c>
      <c r="L135" s="931">
        <v>192.95103508000003</v>
      </c>
      <c r="M135" s="931">
        <v>197.9806859</v>
      </c>
      <c r="N135" s="931">
        <v>217.18136290000001</v>
      </c>
      <c r="O135" s="931">
        <v>226.5798169</v>
      </c>
      <c r="P135" s="931">
        <v>232.59635890000001</v>
      </c>
      <c r="Q135" s="931">
        <v>272.41586766</v>
      </c>
      <c r="R135" s="931">
        <v>289.53518866000002</v>
      </c>
      <c r="S135" s="931">
        <v>387.12092347000004</v>
      </c>
      <c r="T135" s="931">
        <v>401.69372546</v>
      </c>
      <c r="U135" s="931">
        <v>493.32946951999998</v>
      </c>
      <c r="V135" s="931">
        <v>576.18396392999989</v>
      </c>
      <c r="W135" s="931">
        <v>666.94549638000001</v>
      </c>
      <c r="X135" s="931">
        <v>705.35320291999994</v>
      </c>
      <c r="Y135" s="931">
        <v>759.13571027</v>
      </c>
      <c r="Z135" s="931">
        <v>826.85807466999995</v>
      </c>
      <c r="AA135" s="931">
        <v>619.16520549000006</v>
      </c>
      <c r="AB135" s="931">
        <v>714.09852129000001</v>
      </c>
      <c r="AC135" s="931">
        <v>763.75679560000003</v>
      </c>
      <c r="AD135" s="931">
        <v>827.84509360000004</v>
      </c>
      <c r="AE135" s="931">
        <v>878.24915714999997</v>
      </c>
      <c r="AF135" s="931">
        <v>840.57179822000001</v>
      </c>
      <c r="AG135" s="931">
        <v>749.51744996000002</v>
      </c>
      <c r="AH135" s="931">
        <v>741.59071052000002</v>
      </c>
      <c r="AI135" s="931">
        <v>873.46071407000011</v>
      </c>
      <c r="AJ135" s="931">
        <v>950.93169628999999</v>
      </c>
      <c r="AK135" s="931">
        <v>1038.4150262000001</v>
      </c>
      <c r="AL135" s="931">
        <v>1036.59723285</v>
      </c>
      <c r="AM135" s="931">
        <v>1097.5808886300001</v>
      </c>
      <c r="AN135" s="932">
        <v>1208.11500757</v>
      </c>
      <c r="AO135" s="931">
        <v>1355.74736938</v>
      </c>
      <c r="AP135" s="932">
        <v>1295.5980340199999</v>
      </c>
      <c r="AQ135" s="936">
        <v>1294.7287174600001</v>
      </c>
      <c r="AR135" s="936">
        <v>1375.9496648099998</v>
      </c>
      <c r="AS135" s="931">
        <v>1433.9779295200001</v>
      </c>
      <c r="AT135" s="931">
        <v>1449.0789032299999</v>
      </c>
      <c r="AU135" s="931">
        <v>1502.4116158499999</v>
      </c>
      <c r="AV135" s="931">
        <v>1510.89147536</v>
      </c>
      <c r="AW135" s="931">
        <v>1522.3326193099999</v>
      </c>
      <c r="AX135" s="931">
        <v>1559.5445538800002</v>
      </c>
      <c r="AY135" s="931">
        <v>1602.3055628699999</v>
      </c>
      <c r="AZ135" s="931">
        <f>1665.22209294-109</f>
        <v>1556.22209294</v>
      </c>
      <c r="BA135" s="931">
        <v>1560.0930468900001</v>
      </c>
      <c r="BB135" s="931">
        <v>1583.93432796</v>
      </c>
      <c r="BC135" s="931">
        <v>1583.93432796</v>
      </c>
      <c r="BD135" s="931">
        <v>1584.30543448</v>
      </c>
      <c r="BE135" s="931">
        <v>1584.3054340799999</v>
      </c>
      <c r="BF135" s="931">
        <v>1584.3054340799999</v>
      </c>
      <c r="BG135" s="931">
        <v>1524.6883025299999</v>
      </c>
      <c r="BH135" s="931">
        <v>720.07335509000006</v>
      </c>
      <c r="BI135" s="931">
        <v>512.78198505</v>
      </c>
      <c r="BJ135" s="931">
        <v>520.99683504999996</v>
      </c>
      <c r="BK135" s="931">
        <v>543.76601591999997</v>
      </c>
      <c r="BL135" s="931">
        <v>564.72858364000001</v>
      </c>
      <c r="BM135" s="974">
        <v>565.12643191999996</v>
      </c>
      <c r="BN135" s="931">
        <v>631.10683469000003</v>
      </c>
      <c r="BO135" s="931">
        <v>379.89248213000002</v>
      </c>
      <c r="BP135" s="931">
        <v>411.06763525999997</v>
      </c>
      <c r="BQ135" s="931">
        <v>394.16262101999996</v>
      </c>
      <c r="BR135" s="931">
        <v>384.51565162000003</v>
      </c>
      <c r="BS135" s="931">
        <v>408.94226310000005</v>
      </c>
      <c r="BT135" s="931">
        <v>409.71229491000003</v>
      </c>
      <c r="BU135" s="931">
        <v>421.40875711000001</v>
      </c>
      <c r="BV135" s="931">
        <v>455.45405477999998</v>
      </c>
      <c r="BW135" s="931">
        <v>480.18147362999997</v>
      </c>
      <c r="BX135" s="931">
        <v>453.94956701000001</v>
      </c>
      <c r="BY135" s="931">
        <v>493.78600505999998</v>
      </c>
      <c r="BZ135" s="931">
        <v>488.53394743000001</v>
      </c>
      <c r="CA135" s="931">
        <v>525.24706337999999</v>
      </c>
      <c r="CB135" s="931">
        <v>484.21677712000002</v>
      </c>
      <c r="CC135" s="931">
        <v>491.03686174000001</v>
      </c>
      <c r="CD135" s="931">
        <v>230.62920456999998</v>
      </c>
      <c r="CE135" s="931">
        <v>252.14679619999998</v>
      </c>
      <c r="CF135" s="931">
        <v>383.90781963000001</v>
      </c>
      <c r="CG135" s="931">
        <v>396.69614586</v>
      </c>
      <c r="CH135" s="931">
        <v>431.23899339999997</v>
      </c>
      <c r="CI135" s="931">
        <v>446.06268497000002</v>
      </c>
      <c r="CJ135" s="931">
        <v>402.37003901999998</v>
      </c>
      <c r="CK135" s="931">
        <v>316.03917526999999</v>
      </c>
      <c r="CL135" s="931">
        <v>354.74002445999997</v>
      </c>
      <c r="CM135" s="931">
        <v>374.27700620999997</v>
      </c>
      <c r="CN135" s="931">
        <v>404.55080748</v>
      </c>
      <c r="CO135" s="931">
        <v>432.54018681999997</v>
      </c>
      <c r="CP135" s="931">
        <v>446.85371248000001</v>
      </c>
      <c r="CQ135" s="931">
        <v>445.06465451999998</v>
      </c>
      <c r="CR135" s="931">
        <v>476.10996208</v>
      </c>
      <c r="CS135" s="931">
        <v>489.71237489999999</v>
      </c>
      <c r="CT135" s="931">
        <v>533.65897488999997</v>
      </c>
      <c r="CU135" s="931">
        <v>572.01937538999994</v>
      </c>
      <c r="CV135" s="931">
        <v>593.05163258000005</v>
      </c>
      <c r="CW135" s="931">
        <v>628.13242133000006</v>
      </c>
      <c r="CX135" s="931">
        <v>636.86006917999998</v>
      </c>
      <c r="CY135" s="931">
        <v>649.41440496000007</v>
      </c>
      <c r="CZ135" s="931">
        <v>654.11009682000008</v>
      </c>
      <c r="DA135" s="931">
        <v>665.05647275000001</v>
      </c>
      <c r="DB135" s="931">
        <v>665.05647275000001</v>
      </c>
      <c r="DC135" s="931">
        <v>691.82368912000004</v>
      </c>
      <c r="DD135" s="931">
        <v>691.82368912000004</v>
      </c>
      <c r="DE135" s="931">
        <v>715.03781511</v>
      </c>
      <c r="DF135" s="931">
        <v>755.75335971000004</v>
      </c>
      <c r="DG135" s="931">
        <v>745.00468911999997</v>
      </c>
      <c r="DH135" s="931">
        <v>563.26085105999994</v>
      </c>
      <c r="DI135" s="931">
        <v>563.26085105999994</v>
      </c>
      <c r="DJ135" s="931">
        <v>565.23940786000003</v>
      </c>
      <c r="DK135" s="931">
        <v>565.23940786000003</v>
      </c>
      <c r="DL135" s="931">
        <v>335.21574879000002</v>
      </c>
      <c r="DM135" s="931">
        <v>56.52509483</v>
      </c>
      <c r="DN135" s="931">
        <v>58.205686280000002</v>
      </c>
      <c r="DO135" s="931">
        <v>80.435411310000006</v>
      </c>
      <c r="DP135" s="931">
        <v>81.967670439999992</v>
      </c>
      <c r="DQ135" s="941">
        <v>96.422758529999996</v>
      </c>
      <c r="DR135" s="941">
        <v>105.89813735</v>
      </c>
      <c r="DS135" s="941">
        <v>110.06605353</v>
      </c>
      <c r="DT135" s="941">
        <v>118.81564142000001</v>
      </c>
      <c r="DU135" s="941">
        <v>134.20311078</v>
      </c>
      <c r="DV135" s="941">
        <v>145.75217709</v>
      </c>
      <c r="DW135" s="941">
        <v>152.45863805000002</v>
      </c>
      <c r="DX135" s="941">
        <v>159.06578306</v>
      </c>
      <c r="DY135" s="941">
        <v>184.67350704</v>
      </c>
      <c r="DZ135" s="941">
        <v>208.60451983000002</v>
      </c>
      <c r="EA135" s="941">
        <v>227.04703805000003</v>
      </c>
      <c r="EB135" s="941">
        <v>245.32496022000001</v>
      </c>
      <c r="EC135" s="941">
        <v>255.69054678999998</v>
      </c>
      <c r="ED135" s="941">
        <v>288.06121368999999</v>
      </c>
      <c r="EE135" s="941">
        <v>308.77419243999998</v>
      </c>
      <c r="EF135" s="941">
        <v>323.60087664999998</v>
      </c>
      <c r="EH135" s="1084">
        <v>628.13242133000006</v>
      </c>
      <c r="EI135" s="1084">
        <v>636.86006917999998</v>
      </c>
      <c r="EJ135" s="1084">
        <v>649.41440496000007</v>
      </c>
      <c r="EK135" s="1084">
        <v>654.11009682000008</v>
      </c>
      <c r="EL135" s="1084">
        <v>665.05647275000001</v>
      </c>
      <c r="EM135" s="1084">
        <v>665.05647275000001</v>
      </c>
      <c r="EN135" s="1084">
        <v>665.05647275000001</v>
      </c>
      <c r="EO135" s="1084">
        <v>665.05647275000001</v>
      </c>
      <c r="EP135" s="1084">
        <v>196.65552274999999</v>
      </c>
      <c r="EQ135" s="1084">
        <v>196.65552274999999</v>
      </c>
      <c r="ER135" s="1084">
        <v>201.19727275</v>
      </c>
      <c r="ES135" s="1084">
        <v>205.73902275</v>
      </c>
      <c r="EU135" s="931">
        <v>1217.2072133015001</v>
      </c>
      <c r="EV135" s="931">
        <v>1293.3370690800002</v>
      </c>
      <c r="EW135" s="931">
        <v>1339.4563787888749</v>
      </c>
      <c r="EX135" s="931">
        <v>1379.1337992417612</v>
      </c>
      <c r="EY135" s="931">
        <v>1431.7771657846474</v>
      </c>
      <c r="EZ135" s="931">
        <v>1485.8374462375339</v>
      </c>
      <c r="FA135" s="931">
        <v>137.06041687154556</v>
      </c>
      <c r="FB135" s="931">
        <v>189.88874732443182</v>
      </c>
      <c r="FC135" s="931">
        <v>227.51188118735931</v>
      </c>
      <c r="FD135" s="931">
        <v>287.45847814394557</v>
      </c>
      <c r="FE135" s="931">
        <v>339.04645619053184</v>
      </c>
      <c r="FF135" s="931">
        <v>464.32735815029059</v>
      </c>
      <c r="FG135" s="931">
        <v>1731.7466896635001</v>
      </c>
      <c r="FH135" s="931">
        <v>1731.7466896635001</v>
      </c>
      <c r="FI135" s="931">
        <v>1731.7466896635001</v>
      </c>
      <c r="FJ135" s="931">
        <v>1731.7466896635001</v>
      </c>
      <c r="FK135" s="931">
        <v>1731.7466896635001</v>
      </c>
      <c r="FL135" s="931">
        <v>1731.7466896635001</v>
      </c>
      <c r="FM135" s="931">
        <v>1731.7466896635001</v>
      </c>
      <c r="FN135" s="931">
        <v>1731.7466896635001</v>
      </c>
      <c r="FO135" s="931">
        <v>1757.2861637599999</v>
      </c>
      <c r="FP135" s="931">
        <v>1792.6077772102001</v>
      </c>
      <c r="FQ135" s="931">
        <v>1833.9119295129001</v>
      </c>
      <c r="FR135" s="931">
        <v>1877.4356794721</v>
      </c>
      <c r="FS135" s="931">
        <v>603.30513364000001</v>
      </c>
      <c r="FT135" s="931">
        <v>627.46798363999994</v>
      </c>
      <c r="FU135" s="931">
        <v>649.05333364000001</v>
      </c>
      <c r="FV135" s="931">
        <v>668.07998364000002</v>
      </c>
      <c r="FW135" s="931">
        <v>679.45643364</v>
      </c>
      <c r="FX135" s="931">
        <v>693.87788363999994</v>
      </c>
      <c r="FY135" s="931">
        <v>706.23433363999993</v>
      </c>
      <c r="FZ135" s="931">
        <v>712.65058364000004</v>
      </c>
      <c r="GA135" s="931">
        <v>719.06683364000003</v>
      </c>
      <c r="GB135" s="931">
        <v>725.48308364000002</v>
      </c>
      <c r="GC135" s="931">
        <v>735.64993363999997</v>
      </c>
      <c r="GD135" s="931">
        <v>746.03428364000001</v>
      </c>
      <c r="GE135" s="977">
        <v>0</v>
      </c>
      <c r="GF135" s="977">
        <v>0</v>
      </c>
      <c r="GG135" s="977">
        <v>0</v>
      </c>
      <c r="GH135" s="977">
        <v>0</v>
      </c>
      <c r="GI135" s="977">
        <v>0</v>
      </c>
      <c r="GJ135" s="977">
        <v>0</v>
      </c>
      <c r="GK135" s="977">
        <v>0</v>
      </c>
      <c r="GL135" s="977">
        <v>0</v>
      </c>
      <c r="GM135" s="977">
        <v>0</v>
      </c>
      <c r="GN135" s="977">
        <v>0</v>
      </c>
      <c r="GO135" s="977">
        <v>0</v>
      </c>
      <c r="GP135" s="977">
        <v>0</v>
      </c>
      <c r="GQ135" s="977">
        <v>0</v>
      </c>
      <c r="GR135" s="977">
        <v>0</v>
      </c>
      <c r="GS135" s="977">
        <v>0</v>
      </c>
      <c r="GT135" s="977">
        <v>0</v>
      </c>
      <c r="GU135" s="977">
        <v>0</v>
      </c>
      <c r="GV135" s="977">
        <v>0</v>
      </c>
      <c r="GW135" s="977">
        <v>0</v>
      </c>
      <c r="GX135" s="977">
        <v>0</v>
      </c>
      <c r="GY135" s="977">
        <v>0</v>
      </c>
      <c r="GZ135" s="977">
        <v>0</v>
      </c>
      <c r="HA135" s="977">
        <v>0</v>
      </c>
      <c r="HB135" s="977">
        <v>0</v>
      </c>
      <c r="HD135" s="931">
        <f t="shared" si="743"/>
        <v>232.59635890000001</v>
      </c>
      <c r="HE135" s="931">
        <f t="shared" si="743"/>
        <v>714.09852129000001</v>
      </c>
      <c r="HF135" s="931">
        <f t="shared" si="743"/>
        <v>1208.11500757</v>
      </c>
      <c r="HG135" s="931">
        <f t="shared" si="743"/>
        <v>1556.22209294</v>
      </c>
      <c r="HH135" s="931">
        <f t="shared" si="744"/>
        <v>564.72858364000001</v>
      </c>
      <c r="HI135" s="931">
        <f t="shared" si="695"/>
        <v>453.94956701000001</v>
      </c>
      <c r="HJ135" s="931">
        <f t="shared" si="696"/>
        <v>402.37003901999998</v>
      </c>
      <c r="HK135" s="931">
        <f t="shared" si="697"/>
        <v>593.05163258000005</v>
      </c>
      <c r="HL135" s="941">
        <f>+SUMIFS($E135:SEW135,$E$6:SEW$6,HL$7,$E$5:SEW$5,12)</f>
        <v>563.26085105999994</v>
      </c>
      <c r="HM135" s="941">
        <f>+SUMIFS($E135:SEX135,$E$6:SEX$6,HM$7,$E$5:SEX$5,12)</f>
        <v>118.81564142000001</v>
      </c>
      <c r="HN135" s="941">
        <f>+SUMIFS($E135:SEY135,$E$6:SEY$6,HN$7,$E$5:SEY$5,12)</f>
        <v>323.60087664999998</v>
      </c>
      <c r="HO135" s="931"/>
      <c r="HP135" s="931"/>
      <c r="HR135" s="934">
        <f t="shared" si="745"/>
        <v>0.69180438210062722</v>
      </c>
      <c r="HS135" s="934">
        <f t="shared" si="746"/>
        <v>0.2881406846109642</v>
      </c>
      <c r="HT135" s="934">
        <f t="shared" si="747"/>
        <v>-0.63711568792014761</v>
      </c>
      <c r="HU135" s="934">
        <f t="shared" si="738"/>
        <v>-0.19616328947963924</v>
      </c>
      <c r="HV135" s="934">
        <f t="shared" si="739"/>
        <v>-0.11362391714510389</v>
      </c>
      <c r="HW135" s="934">
        <f t="shared" si="740"/>
        <v>0.47389610325962206</v>
      </c>
      <c r="HX135" s="934">
        <f t="shared" si="741"/>
        <v>-5.0233031802642381E-2</v>
      </c>
      <c r="HY135" s="934">
        <f t="shared" si="741"/>
        <v>-0.78905751891614517</v>
      </c>
      <c r="HZ135" s="934">
        <f t="shared" si="741"/>
        <v>1.7235545150668088</v>
      </c>
      <c r="IA135" s="934">
        <f t="shared" si="762"/>
        <v>-1</v>
      </c>
      <c r="IB135" s="934" t="str">
        <f t="shared" si="748"/>
        <v/>
      </c>
      <c r="IC135" s="934">
        <f t="shared" si="763"/>
        <v>-1</v>
      </c>
      <c r="IE135" s="931">
        <f t="shared" si="749"/>
        <v>494.01648627999998</v>
      </c>
      <c r="IF135" s="931">
        <f t="shared" si="750"/>
        <v>348.10708537000005</v>
      </c>
      <c r="IG135" s="931">
        <f t="shared" si="751"/>
        <v>-991.49350930000003</v>
      </c>
      <c r="IH135" s="931">
        <f t="shared" si="742"/>
        <v>-110.77901663</v>
      </c>
      <c r="II135" s="931">
        <f t="shared" si="619"/>
        <v>-51.579527990000031</v>
      </c>
      <c r="IJ135" s="931">
        <f t="shared" si="620"/>
        <v>190.68159356000007</v>
      </c>
      <c r="IK135" s="931">
        <f t="shared" si="621"/>
        <v>-29.79078152000011</v>
      </c>
      <c r="IL135" s="931">
        <f t="shared" si="764"/>
        <v>-563.26085105999994</v>
      </c>
      <c r="IM135" s="931">
        <f t="shared" si="752"/>
        <v>0</v>
      </c>
      <c r="IN135" s="931">
        <f t="shared" si="765"/>
        <v>-563.26085105999994</v>
      </c>
      <c r="IP135" s="978"/>
      <c r="IQ135" s="978"/>
      <c r="IR135" s="978"/>
      <c r="IS135" s="978"/>
      <c r="IT135" s="978"/>
      <c r="IU135" s="978"/>
      <c r="IV135" s="978"/>
      <c r="IW135" s="978"/>
      <c r="IX135" s="978"/>
      <c r="IY135" s="978"/>
      <c r="JA135" s="931">
        <f t="shared" si="727"/>
        <v>232.59635890000001</v>
      </c>
      <c r="JB135" s="931">
        <f t="shared" si="727"/>
        <v>714.09852129000001</v>
      </c>
      <c r="JC135" s="931">
        <f t="shared" si="727"/>
        <v>1208.11500757</v>
      </c>
      <c r="JD135" s="931">
        <f t="shared" si="727"/>
        <v>1556.22209294</v>
      </c>
      <c r="JE135" s="931">
        <f t="shared" si="727"/>
        <v>564.72858364000001</v>
      </c>
      <c r="JF135" s="931">
        <f t="shared" si="727"/>
        <v>453.94956701000001</v>
      </c>
      <c r="JG135" s="931">
        <f t="shared" si="727"/>
        <v>402.37003901999998</v>
      </c>
      <c r="JH135" s="931">
        <f t="shared" si="727"/>
        <v>593.05163258000005</v>
      </c>
      <c r="JI135" s="931">
        <f t="shared" si="727"/>
        <v>563.26085105999994</v>
      </c>
      <c r="JJ135" s="931">
        <f t="shared" si="727"/>
        <v>118.81564142000001</v>
      </c>
      <c r="JK135" s="931">
        <f t="shared" si="727"/>
        <v>323.60087664999998</v>
      </c>
      <c r="JL135" s="931">
        <f t="shared" si="728"/>
        <v>323.60087664999998</v>
      </c>
      <c r="JM135" s="931"/>
      <c r="JN135" s="931"/>
      <c r="JP135" s="931">
        <f t="shared" si="701"/>
        <v>0</v>
      </c>
      <c r="JQ135" s="931">
        <f t="shared" si="702"/>
        <v>0</v>
      </c>
      <c r="JR135" s="145"/>
      <c r="JS135" s="934" t="str">
        <f t="shared" si="753"/>
        <v>NA</v>
      </c>
      <c r="JT135" s="935">
        <f t="shared" si="754"/>
        <v>0</v>
      </c>
      <c r="JV135" s="973"/>
      <c r="JW135" s="973"/>
      <c r="JY135" s="934">
        <f t="shared" si="729"/>
        <v>0.69180438210062722</v>
      </c>
      <c r="JZ135" s="934">
        <f t="shared" si="730"/>
        <v>0.2881406846109642</v>
      </c>
      <c r="KA135" s="934">
        <f t="shared" si="731"/>
        <v>-0.63711568792014761</v>
      </c>
      <c r="KB135" s="934">
        <f t="shared" si="732"/>
        <v>-0.19616328947963924</v>
      </c>
      <c r="KC135" s="934">
        <f t="shared" si="733"/>
        <v>-0.11362391714510389</v>
      </c>
      <c r="KD135" s="934">
        <f t="shared" si="734"/>
        <v>0.47389610325962206</v>
      </c>
      <c r="KE135" s="934">
        <f t="shared" si="735"/>
        <v>-5.0233031802642381E-2</v>
      </c>
      <c r="KF135" s="934">
        <f t="shared" si="736"/>
        <v>-1</v>
      </c>
      <c r="KH135" s="931">
        <f t="shared" si="704"/>
        <v>494.01648627999998</v>
      </c>
      <c r="KI135" s="931">
        <f t="shared" si="705"/>
        <v>348.10708537000005</v>
      </c>
      <c r="KJ135" s="931">
        <f t="shared" si="706"/>
        <v>-991.49350930000003</v>
      </c>
      <c r="KK135" s="931">
        <f t="shared" si="707"/>
        <v>-110.77901663</v>
      </c>
      <c r="KL135" s="931">
        <f t="shared" si="708"/>
        <v>-51.579527990000031</v>
      </c>
      <c r="KM135" s="931">
        <f t="shared" si="709"/>
        <v>190.68159356000007</v>
      </c>
      <c r="KN135" s="931">
        <f t="shared" si="710"/>
        <v>-29.79078152000011</v>
      </c>
      <c r="KO135" s="931">
        <f t="shared" si="711"/>
        <v>-563.26085105999994</v>
      </c>
      <c r="KQ135" s="978"/>
      <c r="KR135" s="978"/>
      <c r="KS135" s="978"/>
      <c r="KT135" s="978"/>
      <c r="KU135" s="978"/>
      <c r="KV135" s="978"/>
      <c r="KW135" s="978"/>
      <c r="KX135" s="978"/>
      <c r="KY135" s="978"/>
      <c r="KZ135" s="978"/>
      <c r="LB135" s="931">
        <f t="shared" si="737"/>
        <v>232.59635890000001</v>
      </c>
      <c r="LC135" s="931">
        <f t="shared" si="737"/>
        <v>714.09852129000001</v>
      </c>
      <c r="LD135" s="931">
        <f t="shared" si="737"/>
        <v>1208.11500757</v>
      </c>
      <c r="LE135" s="931">
        <f t="shared" si="737"/>
        <v>1556.22209294</v>
      </c>
      <c r="LF135" s="931">
        <f t="shared" si="737"/>
        <v>564.72858364000001</v>
      </c>
      <c r="LG135" s="931">
        <f t="shared" si="737"/>
        <v>453.94956701000001</v>
      </c>
      <c r="LH135" s="931">
        <f t="shared" si="737"/>
        <v>402.37003901999998</v>
      </c>
      <c r="LI135" s="931">
        <f t="shared" si="737"/>
        <v>593.05163258000005</v>
      </c>
      <c r="LJ135" s="931">
        <f t="shared" si="737"/>
        <v>563.26085105999994</v>
      </c>
      <c r="LK135" s="931">
        <f t="shared" si="737"/>
        <v>118.81564142000001</v>
      </c>
      <c r="LL135" s="931">
        <f t="shared" si="737"/>
        <v>323.60087664999998</v>
      </c>
      <c r="LM135" s="931">
        <f t="shared" si="766"/>
        <v>323.60087664999998</v>
      </c>
      <c r="LN135" s="931"/>
      <c r="LO135" s="931"/>
      <c r="LR135" s="230">
        <f t="shared" si="713"/>
        <v>0.69180438210062722</v>
      </c>
      <c r="LS135" s="230">
        <f t="shared" si="714"/>
        <v>0.2881406846109642</v>
      </c>
      <c r="LT135" s="230">
        <f t="shared" si="715"/>
        <v>-0.63711568792014761</v>
      </c>
      <c r="LU135" s="230">
        <f t="shared" si="716"/>
        <v>-0.19616328947963924</v>
      </c>
      <c r="LV135" s="230">
        <f t="shared" si="717"/>
        <v>-0.11362391714510389</v>
      </c>
      <c r="LW135" s="230">
        <f t="shared" si="718"/>
        <v>0.47389610325962206</v>
      </c>
      <c r="LX135" s="230">
        <f t="shared" si="719"/>
        <v>-1</v>
      </c>
      <c r="LZ135" s="931">
        <f t="shared" si="720"/>
        <v>494.01648627999998</v>
      </c>
      <c r="MA135" s="931">
        <f t="shared" si="721"/>
        <v>348.10708537000005</v>
      </c>
      <c r="MB135" s="931">
        <f t="shared" si="722"/>
        <v>-991.49350930000003</v>
      </c>
      <c r="MC135" s="931">
        <f t="shared" si="723"/>
        <v>-110.77901663</v>
      </c>
      <c r="MD135" s="931">
        <f t="shared" si="724"/>
        <v>-51.579527990000031</v>
      </c>
      <c r="ME135" s="931">
        <f t="shared" si="725"/>
        <v>190.68159356000007</v>
      </c>
      <c r="MF135" s="931">
        <f t="shared" si="726"/>
        <v>-593.05163258000005</v>
      </c>
      <c r="MH135" s="978"/>
      <c r="MI135" s="978"/>
      <c r="MJ135" s="978"/>
      <c r="MK135" s="978"/>
      <c r="ML135" s="978"/>
      <c r="MM135" s="978"/>
      <c r="MN135" s="978"/>
      <c r="MO135" s="978"/>
      <c r="MP135" s="978"/>
    </row>
    <row r="136" spans="1:354" outlineLevel="1">
      <c r="A136" s="884"/>
      <c r="B136" s="25"/>
      <c r="E136" s="66"/>
      <c r="F136" s="66"/>
      <c r="G136" s="66"/>
      <c r="H136" s="66"/>
      <c r="I136" s="66"/>
      <c r="J136" s="66"/>
      <c r="K136" s="66"/>
      <c r="L136" s="66"/>
      <c r="M136" s="66"/>
      <c r="N136" s="66"/>
      <c r="O136" s="66"/>
      <c r="P136" s="66"/>
      <c r="Q136" s="102"/>
      <c r="R136" s="66"/>
      <c r="S136" s="66"/>
      <c r="T136" s="66"/>
      <c r="U136" s="66"/>
      <c r="V136" s="66"/>
      <c r="W136" s="66"/>
      <c r="X136" s="66"/>
      <c r="Y136" s="66"/>
      <c r="Z136" s="66"/>
      <c r="AA136" s="66"/>
      <c r="AB136" s="66"/>
      <c r="AC136" s="102"/>
      <c r="AD136" s="102"/>
      <c r="AE136" s="102"/>
      <c r="AF136" s="102"/>
      <c r="AG136" s="102"/>
      <c r="AH136" s="102"/>
      <c r="AI136" s="102"/>
      <c r="AJ136" s="102"/>
      <c r="AK136" s="102"/>
      <c r="AL136" s="102"/>
      <c r="AM136" s="102"/>
      <c r="AN136" s="143"/>
      <c r="AO136" s="102"/>
      <c r="AP136" s="145"/>
      <c r="AQ136" s="143"/>
      <c r="AR136" s="143"/>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v>9684</v>
      </c>
      <c r="BM136" s="152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2"/>
      <c r="CT136" s="102"/>
      <c r="CU136" s="102"/>
      <c r="CV136" s="102"/>
      <c r="CW136" s="102"/>
      <c r="CX136" s="102"/>
      <c r="CY136" s="102"/>
      <c r="CZ136" s="102"/>
      <c r="DA136" s="102"/>
      <c r="DB136" s="102"/>
      <c r="DC136" s="102"/>
      <c r="DD136" s="102"/>
      <c r="DE136" s="102"/>
      <c r="DF136" s="102"/>
      <c r="DG136" s="102"/>
      <c r="DH136" s="102"/>
      <c r="DI136" s="102"/>
      <c r="DJ136" s="102"/>
      <c r="DK136" s="102"/>
      <c r="DL136" s="102"/>
      <c r="DM136" s="102"/>
      <c r="DN136" s="102"/>
      <c r="DO136" s="102"/>
      <c r="DP136" s="102"/>
      <c r="DQ136" s="940"/>
      <c r="DR136" s="940"/>
      <c r="DS136" s="940"/>
      <c r="DT136" s="940"/>
      <c r="DU136" s="940"/>
      <c r="DV136" s="940"/>
      <c r="DW136" s="940"/>
      <c r="DX136" s="940"/>
      <c r="DY136" s="940"/>
      <c r="DZ136" s="940"/>
      <c r="EA136" s="940"/>
      <c r="EB136" s="940"/>
      <c r="EC136" s="940"/>
      <c r="ED136" s="940"/>
      <c r="EE136" s="940"/>
      <c r="EF136" s="940"/>
      <c r="EH136" s="102"/>
      <c r="EI136" s="102"/>
      <c r="EJ136" s="102"/>
      <c r="EK136" s="102"/>
      <c r="EL136" s="102"/>
      <c r="EM136" s="102"/>
      <c r="EN136" s="102"/>
      <c r="EO136" s="102"/>
      <c r="EP136" s="102"/>
      <c r="EQ136" s="102"/>
      <c r="ER136" s="102"/>
      <c r="ES136" s="102"/>
      <c r="EU136" s="102"/>
      <c r="EV136" s="102"/>
      <c r="EW136" s="102"/>
      <c r="EX136" s="102"/>
      <c r="EY136" s="102"/>
      <c r="EZ136" s="102"/>
      <c r="FA136" s="102"/>
      <c r="FB136" s="102"/>
      <c r="FC136" s="102"/>
      <c r="FD136" s="102"/>
      <c r="FE136" s="102"/>
      <c r="FF136" s="102"/>
      <c r="FG136" s="102"/>
      <c r="FH136" s="102"/>
      <c r="FI136" s="102"/>
      <c r="FJ136" s="102"/>
      <c r="FK136" s="102"/>
      <c r="FL136" s="102"/>
      <c r="FM136" s="102"/>
      <c r="FN136" s="102"/>
      <c r="FO136" s="102"/>
      <c r="FP136" s="102"/>
      <c r="FQ136" s="102"/>
      <c r="FR136" s="102"/>
      <c r="FS136" s="102"/>
      <c r="FT136" s="102"/>
      <c r="FU136" s="102"/>
      <c r="FV136" s="102"/>
      <c r="FW136" s="102"/>
      <c r="FX136" s="102"/>
      <c r="FY136" s="102"/>
      <c r="FZ136" s="102"/>
      <c r="GA136" s="102"/>
      <c r="GB136" s="102"/>
      <c r="GC136" s="102"/>
      <c r="GD136" s="102"/>
      <c r="GE136" s="102"/>
      <c r="GF136" s="102"/>
      <c r="GG136" s="102"/>
      <c r="GH136" s="102"/>
      <c r="GI136" s="102"/>
      <c r="GJ136" s="102"/>
      <c r="GK136" s="102"/>
      <c r="GL136" s="102"/>
      <c r="GM136" s="102"/>
      <c r="GN136" s="102"/>
      <c r="GO136" s="102"/>
      <c r="GP136" s="102"/>
      <c r="GQ136" s="102"/>
      <c r="GR136" s="102"/>
      <c r="GS136" s="102"/>
      <c r="GT136" s="102"/>
      <c r="GU136" s="102"/>
      <c r="GV136" s="102"/>
      <c r="GW136" s="102"/>
      <c r="GX136" s="102"/>
      <c r="GY136" s="102"/>
      <c r="GZ136" s="102"/>
      <c r="HA136" s="102"/>
      <c r="HB136" s="102"/>
      <c r="HD136" s="102"/>
      <c r="HE136" s="102"/>
      <c r="HF136" s="102"/>
      <c r="HG136" s="102"/>
      <c r="HH136" s="102"/>
      <c r="HI136" s="102"/>
      <c r="HJ136" s="102">
        <f t="shared" si="696"/>
        <v>0</v>
      </c>
      <c r="HK136" s="102">
        <f t="shared" si="697"/>
        <v>0</v>
      </c>
      <c r="HL136" s="940">
        <f>+SUMIFS($E136:SEW136,$E$6:SEW$6,HL$7,$E$5:SEW$5,12)</f>
        <v>0</v>
      </c>
      <c r="HM136" s="940">
        <f>+SUMIFS($E136:SEX136,$E$6:SEX$6,HM$7,$E$5:SEX$5,12)</f>
        <v>0</v>
      </c>
      <c r="HN136" s="940">
        <f>+SUMIFS($E136:SEY136,$E$6:SEY$6,HN$7,$E$5:SEY$5,12)</f>
        <v>0</v>
      </c>
      <c r="HO136" s="102"/>
      <c r="HP136" s="102"/>
      <c r="HR136" s="32"/>
      <c r="HS136" s="32"/>
      <c r="HT136" s="32"/>
      <c r="HU136" s="929" t="str">
        <f t="shared" si="738"/>
        <v/>
      </c>
      <c r="HV136" s="929" t="str">
        <f t="shared" si="739"/>
        <v/>
      </c>
      <c r="HW136" s="929" t="str">
        <f t="shared" si="740"/>
        <v/>
      </c>
      <c r="HX136" s="929" t="str">
        <f t="shared" si="741"/>
        <v/>
      </c>
      <c r="HY136" s="929" t="str">
        <f t="shared" si="741"/>
        <v/>
      </c>
      <c r="HZ136" s="929" t="str">
        <f t="shared" si="741"/>
        <v/>
      </c>
      <c r="IA136" s="929" t="str">
        <f t="shared" si="762"/>
        <v/>
      </c>
      <c r="IB136" s="32"/>
      <c r="IC136" s="929" t="str">
        <f t="shared" si="763"/>
        <v/>
      </c>
      <c r="IE136" s="102"/>
      <c r="IF136" s="102"/>
      <c r="IG136" s="102"/>
      <c r="IH136" s="102">
        <f t="shared" si="742"/>
        <v>0</v>
      </c>
      <c r="II136" s="102">
        <f t="shared" ref="II136:II167" si="767">+HJ136-HI136</f>
        <v>0</v>
      </c>
      <c r="IJ136" s="102">
        <f t="shared" ref="IJ136:IJ167" si="768">+HK136-HJ136</f>
        <v>0</v>
      </c>
      <c r="IK136" s="102">
        <f t="shared" ref="IK136:IK167" si="769">+HL136-HK136</f>
        <v>0</v>
      </c>
      <c r="IL136" s="102">
        <f t="shared" si="764"/>
        <v>0</v>
      </c>
      <c r="IM136" s="102"/>
      <c r="IN136" s="102">
        <f t="shared" si="765"/>
        <v>0</v>
      </c>
      <c r="JA136" s="102"/>
      <c r="JB136" s="102"/>
      <c r="JC136" s="102"/>
      <c r="JD136" s="102"/>
      <c r="JE136" s="102"/>
      <c r="JF136" s="102"/>
      <c r="JG136" s="102"/>
      <c r="JH136" s="102"/>
      <c r="JI136" s="102"/>
      <c r="JJ136" s="102"/>
      <c r="JK136" s="102"/>
      <c r="JL136" s="102"/>
      <c r="JM136" s="102"/>
      <c r="JN136" s="102"/>
      <c r="JP136" s="102"/>
      <c r="JQ136" s="102"/>
      <c r="JR136" s="145"/>
      <c r="JS136" s="32"/>
      <c r="JT136" s="102"/>
      <c r="JY136" s="32"/>
      <c r="JZ136" s="32"/>
      <c r="KA136" s="32"/>
      <c r="KB136" s="32"/>
      <c r="KC136" s="32"/>
      <c r="KD136" s="32"/>
      <c r="KE136" s="32"/>
      <c r="KF136" s="32"/>
      <c r="KH136" s="102"/>
      <c r="KI136" s="102"/>
      <c r="KJ136" s="102"/>
      <c r="KK136" s="102"/>
      <c r="KL136" s="102"/>
      <c r="KM136" s="102"/>
      <c r="KN136" s="102"/>
      <c r="KO136" s="102">
        <f t="shared" si="711"/>
        <v>0</v>
      </c>
      <c r="LB136" s="102"/>
      <c r="LC136" s="102"/>
      <c r="LD136" s="102"/>
      <c r="LE136" s="102"/>
      <c r="LF136" s="102"/>
      <c r="LG136" s="102"/>
      <c r="LH136" s="102"/>
      <c r="LI136" s="102"/>
      <c r="LJ136" s="102"/>
      <c r="LK136" s="102"/>
      <c r="LL136" s="102"/>
      <c r="LM136" s="102"/>
      <c r="LN136" s="102"/>
      <c r="LO136" s="102"/>
      <c r="LR136" s="32"/>
      <c r="LS136" s="32"/>
      <c r="LT136" s="32"/>
      <c r="LU136" s="32"/>
      <c r="LV136" s="32"/>
      <c r="LW136" s="32"/>
      <c r="LX136" s="32" t="str">
        <f t="shared" si="719"/>
        <v xml:space="preserve"> </v>
      </c>
      <c r="LZ136" s="102"/>
      <c r="MA136" s="102"/>
      <c r="MB136" s="102"/>
      <c r="MC136" s="102"/>
      <c r="MD136" s="102"/>
      <c r="ME136" s="102"/>
      <c r="MF136" s="102">
        <f t="shared" si="726"/>
        <v>0</v>
      </c>
    </row>
    <row r="137" spans="1:354">
      <c r="A137" s="884"/>
      <c r="B137" s="70"/>
      <c r="C137" s="1549" t="s">
        <v>121</v>
      </c>
      <c r="D137" s="1550" t="s">
        <v>59</v>
      </c>
      <c r="E137" s="1515">
        <f t="shared" ref="E137:BP137" si="770">+E138+E157+E158+E162+E163+E164</f>
        <v>4613.7346589499994</v>
      </c>
      <c r="F137" s="1515">
        <f t="shared" si="770"/>
        <v>4687.5663810900005</v>
      </c>
      <c r="G137" s="1515">
        <f t="shared" si="770"/>
        <v>4949.0513424500014</v>
      </c>
      <c r="H137" s="1515">
        <f t="shared" si="770"/>
        <v>4994.6562862400006</v>
      </c>
      <c r="I137" s="1515">
        <f t="shared" si="770"/>
        <v>4995.9875441099994</v>
      </c>
      <c r="J137" s="1515">
        <f t="shared" si="770"/>
        <v>5397.5032481499993</v>
      </c>
      <c r="K137" s="1515">
        <f t="shared" si="770"/>
        <v>5364.6287119299986</v>
      </c>
      <c r="L137" s="1515">
        <f t="shared" si="770"/>
        <v>5285.6901160399993</v>
      </c>
      <c r="M137" s="1515">
        <f t="shared" si="770"/>
        <v>20239.587622950003</v>
      </c>
      <c r="N137" s="1515">
        <f t="shared" si="770"/>
        <v>5262.1842671399991</v>
      </c>
      <c r="O137" s="1515">
        <f t="shared" si="770"/>
        <v>5684.8266675200002</v>
      </c>
      <c r="P137" s="1515">
        <f t="shared" si="770"/>
        <v>5910.0350581300017</v>
      </c>
      <c r="Q137" s="1515">
        <f t="shared" si="770"/>
        <v>5923.1152020899999</v>
      </c>
      <c r="R137" s="1515">
        <f t="shared" si="770"/>
        <v>5923.8831370700009</v>
      </c>
      <c r="S137" s="1515">
        <f t="shared" si="770"/>
        <v>5991.6411027600016</v>
      </c>
      <c r="T137" s="1515">
        <f t="shared" si="770"/>
        <v>6004.8864639899994</v>
      </c>
      <c r="U137" s="1515">
        <f t="shared" si="770"/>
        <v>6034.9968489600005</v>
      </c>
      <c r="V137" s="1515">
        <f t="shared" si="770"/>
        <v>6029.8797000800014</v>
      </c>
      <c r="W137" s="1515">
        <f t="shared" si="770"/>
        <v>6005.1409912000008</v>
      </c>
      <c r="X137" s="1515">
        <f t="shared" si="770"/>
        <v>5970.5749050499999</v>
      </c>
      <c r="Y137" s="1515">
        <f t="shared" si="770"/>
        <v>5835.0302165799976</v>
      </c>
      <c r="Z137" s="1515">
        <f t="shared" si="770"/>
        <v>5759.8945670800003</v>
      </c>
      <c r="AA137" s="1515">
        <f t="shared" si="770"/>
        <v>5583.1989037100002</v>
      </c>
      <c r="AB137" s="1515">
        <f t="shared" si="770"/>
        <v>5793.9416717099994</v>
      </c>
      <c r="AC137" s="1515">
        <f t="shared" si="770"/>
        <v>5765.4514196600003</v>
      </c>
      <c r="AD137" s="1515">
        <f t="shared" si="770"/>
        <v>5730.1397197500009</v>
      </c>
      <c r="AE137" s="1515">
        <f t="shared" si="770"/>
        <v>5675.9402432000006</v>
      </c>
      <c r="AF137" s="1515">
        <f t="shared" si="770"/>
        <v>5582.1115298700006</v>
      </c>
      <c r="AG137" s="1515">
        <f t="shared" si="770"/>
        <v>5532.5612696000007</v>
      </c>
      <c r="AH137" s="1515">
        <f t="shared" si="770"/>
        <v>5492.4084041100004</v>
      </c>
      <c r="AI137" s="1515">
        <f t="shared" si="770"/>
        <v>5593.7172796000013</v>
      </c>
      <c r="AJ137" s="1515">
        <f t="shared" si="770"/>
        <v>6092.6732071300003</v>
      </c>
      <c r="AK137" s="1515">
        <f t="shared" si="770"/>
        <v>6132.764807900001</v>
      </c>
      <c r="AL137" s="1515">
        <f t="shared" si="770"/>
        <v>6182.2442587699998</v>
      </c>
      <c r="AM137" s="1515">
        <f t="shared" si="770"/>
        <v>6207.0547106400008</v>
      </c>
      <c r="AN137" s="1515">
        <f t="shared" si="770"/>
        <v>7994.86876484</v>
      </c>
      <c r="AO137" s="1515">
        <f t="shared" si="770"/>
        <v>8075.3278278899998</v>
      </c>
      <c r="AP137" s="1515">
        <f t="shared" si="770"/>
        <v>11633.675828500001</v>
      </c>
      <c r="AQ137" s="1515">
        <f t="shared" si="770"/>
        <v>11719.330822979999</v>
      </c>
      <c r="AR137" s="1515">
        <f t="shared" si="770"/>
        <v>12045.96648112</v>
      </c>
      <c r="AS137" s="1515">
        <f t="shared" si="770"/>
        <v>12433.79954686</v>
      </c>
      <c r="AT137" s="1515">
        <f t="shared" si="770"/>
        <v>12855.80433535</v>
      </c>
      <c r="AU137" s="1515">
        <f t="shared" si="770"/>
        <v>12675.93380452</v>
      </c>
      <c r="AV137" s="1515">
        <f t="shared" si="770"/>
        <v>12636.205467810001</v>
      </c>
      <c r="AW137" s="1515">
        <f t="shared" si="770"/>
        <v>12750.500661939999</v>
      </c>
      <c r="AX137" s="1515">
        <f t="shared" si="770"/>
        <v>12397.35081303</v>
      </c>
      <c r="AY137" s="1515">
        <f t="shared" si="770"/>
        <v>12506.78750083</v>
      </c>
      <c r="AZ137" s="1515">
        <f t="shared" si="770"/>
        <v>15809.335226210002</v>
      </c>
      <c r="BA137" s="1515">
        <f t="shared" si="770"/>
        <v>15995.485772600001</v>
      </c>
      <c r="BB137" s="1515">
        <f t="shared" si="770"/>
        <v>15885.6317433</v>
      </c>
      <c r="BC137" s="1515">
        <f t="shared" si="770"/>
        <v>15787.617452800001</v>
      </c>
      <c r="BD137" s="1515">
        <f t="shared" si="770"/>
        <v>14420.29194402</v>
      </c>
      <c r="BE137" s="1515">
        <f t="shared" si="770"/>
        <v>14750.079112610001</v>
      </c>
      <c r="BF137" s="1515">
        <f t="shared" si="770"/>
        <v>14510.109553449998</v>
      </c>
      <c r="BG137" s="1515">
        <f t="shared" si="770"/>
        <v>14393.102216499998</v>
      </c>
      <c r="BH137" s="1515">
        <f t="shared" si="770"/>
        <v>14272.58745203</v>
      </c>
      <c r="BI137" s="1515">
        <f t="shared" si="770"/>
        <v>14105.335451409999</v>
      </c>
      <c r="BJ137" s="1515">
        <f t="shared" si="770"/>
        <v>13995.258195869999</v>
      </c>
      <c r="BK137" s="1515">
        <f t="shared" si="770"/>
        <v>13569.47417546</v>
      </c>
      <c r="BL137" s="1515">
        <f t="shared" si="770"/>
        <v>13092.14112258</v>
      </c>
      <c r="BM137" s="1515">
        <f t="shared" si="770"/>
        <v>13511.058156449995</v>
      </c>
      <c r="BN137" s="1515">
        <f t="shared" si="770"/>
        <v>13478.033038149999</v>
      </c>
      <c r="BO137" s="1515">
        <f t="shared" si="770"/>
        <v>13534.353718539998</v>
      </c>
      <c r="BP137" s="1515">
        <f t="shared" si="770"/>
        <v>13506.611516699999</v>
      </c>
      <c r="BQ137" s="1515">
        <f t="shared" ref="BQ137:EB137" si="771">+BQ138+BQ157+BQ158+BQ162+BQ163+BQ164</f>
        <v>13472.406094879996</v>
      </c>
      <c r="BR137" s="1515">
        <f t="shared" si="771"/>
        <v>13454.917559319998</v>
      </c>
      <c r="BS137" s="1515">
        <f t="shared" si="771"/>
        <v>13427.023685199998</v>
      </c>
      <c r="BT137" s="1515">
        <f t="shared" si="771"/>
        <v>13378.339743749999</v>
      </c>
      <c r="BU137" s="1515">
        <f t="shared" si="771"/>
        <v>13342.860032799997</v>
      </c>
      <c r="BV137" s="1515">
        <f t="shared" si="771"/>
        <v>13317.101167719999</v>
      </c>
      <c r="BW137" s="1515">
        <f t="shared" si="771"/>
        <v>13334.889248749998</v>
      </c>
      <c r="BX137" s="1515">
        <f t="shared" si="771"/>
        <v>12927.02540572</v>
      </c>
      <c r="BY137" s="1515">
        <f t="shared" si="771"/>
        <v>13072.192083680002</v>
      </c>
      <c r="BZ137" s="1515">
        <f t="shared" si="771"/>
        <v>13220.513947649997</v>
      </c>
      <c r="CA137" s="1515">
        <f t="shared" si="771"/>
        <v>13382.124914919999</v>
      </c>
      <c r="CB137" s="1515">
        <f t="shared" si="771"/>
        <v>13363.658936969998</v>
      </c>
      <c r="CC137" s="1515">
        <f t="shared" si="771"/>
        <v>13371.736711900001</v>
      </c>
      <c r="CD137" s="1515">
        <f t="shared" si="771"/>
        <v>13357.053676149999</v>
      </c>
      <c r="CE137" s="1515">
        <f t="shared" si="771"/>
        <v>13414.350318949999</v>
      </c>
      <c r="CF137" s="1515">
        <f t="shared" si="771"/>
        <v>13433.612729059998</v>
      </c>
      <c r="CG137" s="1515">
        <f t="shared" si="771"/>
        <v>13500.136823610001</v>
      </c>
      <c r="CH137" s="1515">
        <f t="shared" si="771"/>
        <v>13645.027231100003</v>
      </c>
      <c r="CI137" s="1515">
        <f t="shared" si="771"/>
        <v>13860.001924870001</v>
      </c>
      <c r="CJ137" s="1515">
        <f t="shared" si="771"/>
        <v>13790.349712270001</v>
      </c>
      <c r="CK137" s="1515">
        <f t="shared" si="771"/>
        <v>13805.116346430001</v>
      </c>
      <c r="CL137" s="1515">
        <f t="shared" si="771"/>
        <v>13861.94402807</v>
      </c>
      <c r="CM137" s="1515">
        <f t="shared" si="771"/>
        <v>13807.755373290001</v>
      </c>
      <c r="CN137" s="1515">
        <f t="shared" si="771"/>
        <v>13796.933301010002</v>
      </c>
      <c r="CO137" s="1515">
        <f t="shared" si="771"/>
        <v>13829.704391339999</v>
      </c>
      <c r="CP137" s="1515">
        <f t="shared" si="771"/>
        <v>13967.304176169997</v>
      </c>
      <c r="CQ137" s="1515">
        <f t="shared" si="771"/>
        <v>13993.33100849</v>
      </c>
      <c r="CR137" s="1515">
        <f t="shared" si="771"/>
        <v>14001.366129249996</v>
      </c>
      <c r="CS137" s="1515">
        <f t="shared" si="771"/>
        <v>13952.33162424</v>
      </c>
      <c r="CT137" s="1515">
        <f t="shared" si="771"/>
        <v>14014.559185470001</v>
      </c>
      <c r="CU137" s="1515">
        <f t="shared" si="771"/>
        <v>14084.134578309997</v>
      </c>
      <c r="CV137" s="1515">
        <f t="shared" si="771"/>
        <v>13607.911864549998</v>
      </c>
      <c r="CW137" s="1515">
        <f t="shared" si="771"/>
        <v>13597.92929982</v>
      </c>
      <c r="CX137" s="1515">
        <f t="shared" si="771"/>
        <v>13640.034532989997</v>
      </c>
      <c r="CY137" s="1515">
        <f t="shared" si="771"/>
        <v>13721.813118099999</v>
      </c>
      <c r="CZ137" s="1515">
        <f t="shared" si="771"/>
        <v>13674.96539001</v>
      </c>
      <c r="DA137" s="1515">
        <f t="shared" si="771"/>
        <v>13643.05973764</v>
      </c>
      <c r="DB137" s="1515">
        <f t="shared" si="771"/>
        <v>15234.241040689998</v>
      </c>
      <c r="DC137" s="1515">
        <f t="shared" si="771"/>
        <v>15137.43147012</v>
      </c>
      <c r="DD137" s="1515">
        <f t="shared" si="771"/>
        <v>15145.000895639996</v>
      </c>
      <c r="DE137" s="1515">
        <f t="shared" si="771"/>
        <v>15120.40764813</v>
      </c>
      <c r="DF137" s="1515">
        <f t="shared" si="771"/>
        <v>15046.663990160001</v>
      </c>
      <c r="DG137" s="1515">
        <f t="shared" si="771"/>
        <v>14732.358707930003</v>
      </c>
      <c r="DH137" s="1515">
        <f t="shared" si="771"/>
        <v>13968.555516510001</v>
      </c>
      <c r="DI137" s="1515">
        <f t="shared" si="771"/>
        <v>13962.273066239999</v>
      </c>
      <c r="DJ137" s="1515">
        <f t="shared" si="771"/>
        <v>13801.098384399998</v>
      </c>
      <c r="DK137" s="1515">
        <f t="shared" si="771"/>
        <v>13791.568967469999</v>
      </c>
      <c r="DL137" s="1515">
        <f t="shared" si="771"/>
        <v>13132.129830290001</v>
      </c>
      <c r="DM137" s="1515">
        <f t="shared" si="771"/>
        <v>13154.348251620004</v>
      </c>
      <c r="DN137" s="1515">
        <f t="shared" si="771"/>
        <v>13111.776141540002</v>
      </c>
      <c r="DO137" s="1515">
        <f t="shared" si="771"/>
        <v>13058.500199470003</v>
      </c>
      <c r="DP137" s="1515">
        <f t="shared" si="771"/>
        <v>13018.91097479</v>
      </c>
      <c r="DQ137" s="1516">
        <f t="shared" si="771"/>
        <v>13631.632004340003</v>
      </c>
      <c r="DR137" s="1516">
        <f t="shared" si="771"/>
        <v>13801.184447169999</v>
      </c>
      <c r="DS137" s="1516">
        <f t="shared" si="771"/>
        <v>13924.17810712</v>
      </c>
      <c r="DT137" s="1516">
        <f t="shared" si="771"/>
        <v>13592.242015299998</v>
      </c>
      <c r="DU137" s="1516">
        <f t="shared" si="771"/>
        <v>13112.449643019998</v>
      </c>
      <c r="DV137" s="1516">
        <f t="shared" si="771"/>
        <v>13067.998938650002</v>
      </c>
      <c r="DW137" s="1516">
        <f t="shared" si="771"/>
        <v>13219.522393720003</v>
      </c>
      <c r="DX137" s="1516">
        <f t="shared" si="771"/>
        <v>13371.752214970002</v>
      </c>
      <c r="DY137" s="1516">
        <f t="shared" si="771"/>
        <v>13376.895443589998</v>
      </c>
      <c r="DZ137" s="1516">
        <f t="shared" si="771"/>
        <v>13652.098095999996</v>
      </c>
      <c r="EA137" s="1516">
        <f t="shared" si="771"/>
        <v>14027.20886905</v>
      </c>
      <c r="EB137" s="1516">
        <f t="shared" si="771"/>
        <v>14462.733223540003</v>
      </c>
      <c r="EC137" s="1516">
        <f t="shared" ref="EC137:EF137" si="772">+EC138+EC157+EC158+EC162+EC163+EC164</f>
        <v>14815.477229480004</v>
      </c>
      <c r="ED137" s="1516">
        <f t="shared" si="772"/>
        <v>15161.71846091</v>
      </c>
      <c r="EE137" s="1516">
        <f t="shared" si="772"/>
        <v>15314.105594840004</v>
      </c>
      <c r="EF137" s="1516">
        <f t="shared" si="772"/>
        <v>14995.60652272</v>
      </c>
      <c r="EG137" s="77"/>
      <c r="EH137" s="1515" t="e">
        <f t="shared" ref="EH137:ES137" si="773">+EH138+EH157+EH158+EH162+EH163+EH164</f>
        <v>#VALUE!</v>
      </c>
      <c r="EI137" s="1515" t="e">
        <f t="shared" si="773"/>
        <v>#VALUE!</v>
      </c>
      <c r="EJ137" s="1515" t="e">
        <f t="shared" si="773"/>
        <v>#VALUE!</v>
      </c>
      <c r="EK137" s="1515" t="e">
        <f t="shared" si="773"/>
        <v>#VALUE!</v>
      </c>
      <c r="EL137" s="1515" t="e">
        <f t="shared" si="773"/>
        <v>#VALUE!</v>
      </c>
      <c r="EM137" s="1515" t="e">
        <f t="shared" si="773"/>
        <v>#VALUE!</v>
      </c>
      <c r="EN137" s="1515" t="e">
        <f t="shared" si="773"/>
        <v>#VALUE!</v>
      </c>
      <c r="EO137" s="1515" t="e">
        <f t="shared" si="773"/>
        <v>#VALUE!</v>
      </c>
      <c r="EP137" s="1515" t="e">
        <f t="shared" si="773"/>
        <v>#VALUE!</v>
      </c>
      <c r="EQ137" s="1515" t="e">
        <f t="shared" si="773"/>
        <v>#VALUE!</v>
      </c>
      <c r="ER137" s="1515" t="e">
        <f t="shared" si="773"/>
        <v>#VALUE!</v>
      </c>
      <c r="ES137" s="1515" t="e">
        <f t="shared" si="773"/>
        <v>#VALUE!</v>
      </c>
      <c r="EU137" s="1515">
        <f t="shared" ref="EU137:FZ137" si="774">+EU138+EU157+EU158+EU162+EU163+EU164</f>
        <v>6326.8519098012512</v>
      </c>
      <c r="EV137" s="1515">
        <f t="shared" si="774"/>
        <v>13196.190648535139</v>
      </c>
      <c r="EW137" s="1515">
        <f t="shared" si="774"/>
        <v>13856.173516119165</v>
      </c>
      <c r="EX137" s="1515">
        <f t="shared" si="774"/>
        <v>13832.285672367323</v>
      </c>
      <c r="EY137" s="1515">
        <f t="shared" si="774"/>
        <v>14307.954290125901</v>
      </c>
      <c r="EZ137" s="1515">
        <f t="shared" si="774"/>
        <v>13184.473097730803</v>
      </c>
      <c r="FA137" s="1515">
        <f t="shared" si="774"/>
        <v>13227.99007681526</v>
      </c>
      <c r="FB137" s="1515">
        <f t="shared" si="774"/>
        <v>13223.897137739414</v>
      </c>
      <c r="FC137" s="1515">
        <f t="shared" si="774"/>
        <v>13231.60488830897</v>
      </c>
      <c r="FD137" s="1515">
        <f t="shared" si="774"/>
        <v>13301.592418348768</v>
      </c>
      <c r="FE137" s="1515">
        <f t="shared" si="774"/>
        <v>13326.446695418263</v>
      </c>
      <c r="FF137" s="1515">
        <f t="shared" si="774"/>
        <v>13336.175035676386</v>
      </c>
      <c r="FG137" s="1515">
        <f t="shared" si="774"/>
        <v>12083.175892853335</v>
      </c>
      <c r="FH137" s="1515">
        <f t="shared" si="774"/>
        <v>11943.515180397606</v>
      </c>
      <c r="FI137" s="1515">
        <f t="shared" si="774"/>
        <v>10954.969520156774</v>
      </c>
      <c r="FJ137" s="1515">
        <f t="shared" si="774"/>
        <v>10809.234743375573</v>
      </c>
      <c r="FK137" s="1515">
        <f t="shared" si="774"/>
        <v>10679.631814715625</v>
      </c>
      <c r="FL137" s="1515">
        <f t="shared" si="774"/>
        <v>10584.223460252071</v>
      </c>
      <c r="FM137" s="1515">
        <f t="shared" si="774"/>
        <v>10498.834563683728</v>
      </c>
      <c r="FN137" s="1515">
        <f t="shared" si="774"/>
        <v>10394.099846694784</v>
      </c>
      <c r="FO137" s="1515">
        <f t="shared" si="774"/>
        <v>10304.431475435398</v>
      </c>
      <c r="FP137" s="1515">
        <f t="shared" si="774"/>
        <v>10194.626796076387</v>
      </c>
      <c r="FQ137" s="1515">
        <f t="shared" si="774"/>
        <v>10133.416260941738</v>
      </c>
      <c r="FR137" s="1515">
        <f t="shared" si="774"/>
        <v>10031.828104262473</v>
      </c>
      <c r="FS137" s="1515">
        <f t="shared" si="774"/>
        <v>13591.51079102109</v>
      </c>
      <c r="FT137" s="1515">
        <f t="shared" si="774"/>
        <v>13522.354275539681</v>
      </c>
      <c r="FU137" s="1515">
        <f t="shared" si="774"/>
        <v>13471.985227110354</v>
      </c>
      <c r="FV137" s="1515">
        <f t="shared" si="774"/>
        <v>13410.073759930036</v>
      </c>
      <c r="FW137" s="1515">
        <f t="shared" si="774"/>
        <v>13348.909769273529</v>
      </c>
      <c r="FX137" s="1515">
        <f t="shared" si="774"/>
        <v>13288.755793108339</v>
      </c>
      <c r="FY137" s="1515">
        <f t="shared" si="774"/>
        <v>13231.675691038468</v>
      </c>
      <c r="FZ137" s="1515">
        <f t="shared" si="774"/>
        <v>13176.965812327524</v>
      </c>
      <c r="GA137" s="1515">
        <f t="shared" ref="GA137:HB137" si="775">+GA138+GA157+GA158+GA162+GA163+GA164</f>
        <v>13122.38914869594</v>
      </c>
      <c r="GB137" s="1515">
        <f t="shared" si="775"/>
        <v>13067.881662564359</v>
      </c>
      <c r="GC137" s="1515">
        <f t="shared" si="775"/>
        <v>13013.386333464026</v>
      </c>
      <c r="GD137" s="1515">
        <f t="shared" si="775"/>
        <v>12965.514037657889</v>
      </c>
      <c r="GE137" s="1515" t="e">
        <f t="shared" si="775"/>
        <v>#VALUE!</v>
      </c>
      <c r="GF137" s="1515" t="e">
        <f t="shared" si="775"/>
        <v>#VALUE!</v>
      </c>
      <c r="GG137" s="1515" t="e">
        <f t="shared" si="775"/>
        <v>#VALUE!</v>
      </c>
      <c r="GH137" s="1515" t="e">
        <f t="shared" si="775"/>
        <v>#VALUE!</v>
      </c>
      <c r="GI137" s="1515" t="e">
        <f t="shared" si="775"/>
        <v>#VALUE!</v>
      </c>
      <c r="GJ137" s="1515" t="e">
        <f t="shared" si="775"/>
        <v>#VALUE!</v>
      </c>
      <c r="GK137" s="1515" t="e">
        <f t="shared" si="775"/>
        <v>#VALUE!</v>
      </c>
      <c r="GL137" s="1515" t="e">
        <f t="shared" si="775"/>
        <v>#VALUE!</v>
      </c>
      <c r="GM137" s="1515" t="e">
        <f t="shared" si="775"/>
        <v>#VALUE!</v>
      </c>
      <c r="GN137" s="1515" t="e">
        <f t="shared" si="775"/>
        <v>#VALUE!</v>
      </c>
      <c r="GO137" s="1515" t="e">
        <f t="shared" si="775"/>
        <v>#VALUE!</v>
      </c>
      <c r="GP137" s="1515" t="e">
        <f t="shared" si="775"/>
        <v>#VALUE!</v>
      </c>
      <c r="GQ137" s="1515" t="e">
        <f t="shared" si="775"/>
        <v>#VALUE!</v>
      </c>
      <c r="GR137" s="1515" t="e">
        <f t="shared" si="775"/>
        <v>#VALUE!</v>
      </c>
      <c r="GS137" s="1515" t="e">
        <f t="shared" si="775"/>
        <v>#VALUE!</v>
      </c>
      <c r="GT137" s="1515" t="e">
        <f t="shared" si="775"/>
        <v>#VALUE!</v>
      </c>
      <c r="GU137" s="1515" t="e">
        <f t="shared" si="775"/>
        <v>#VALUE!</v>
      </c>
      <c r="GV137" s="1515" t="e">
        <f t="shared" si="775"/>
        <v>#VALUE!</v>
      </c>
      <c r="GW137" s="1515" t="e">
        <f t="shared" si="775"/>
        <v>#VALUE!</v>
      </c>
      <c r="GX137" s="1515" t="e">
        <f t="shared" si="775"/>
        <v>#VALUE!</v>
      </c>
      <c r="GY137" s="1515" t="e">
        <f t="shared" si="775"/>
        <v>#VALUE!</v>
      </c>
      <c r="GZ137" s="1515" t="e">
        <f t="shared" si="775"/>
        <v>#VALUE!</v>
      </c>
      <c r="HA137" s="1515" t="e">
        <f t="shared" si="775"/>
        <v>#VALUE!</v>
      </c>
      <c r="HB137" s="1515" t="e">
        <f t="shared" si="775"/>
        <v>#VALUE!</v>
      </c>
      <c r="HD137" s="1515">
        <f t="shared" ref="HD137:HG153" si="776">+SUMIFS($E137:$AZ137,$E$6:$AZ$6,HD$7,$E$5:$AZ$5,12)</f>
        <v>5910.0350581300017</v>
      </c>
      <c r="HE137" s="1515">
        <f t="shared" si="776"/>
        <v>5793.9416717099994</v>
      </c>
      <c r="HF137" s="1515">
        <f t="shared" si="776"/>
        <v>7994.86876484</v>
      </c>
      <c r="HG137" s="1515">
        <f t="shared" si="776"/>
        <v>15809.335226210002</v>
      </c>
      <c r="HH137" s="1515">
        <f t="shared" ref="HH137:HH164" si="777">+SUMIFS($E137:$BL137,$E$6:$BL$6,HH$7,$E$5:$BL$5,12)</f>
        <v>13092.14112258</v>
      </c>
      <c r="HI137" s="1515">
        <f t="shared" ref="HI137:HI164" si="778">+SUMIFS($E137:$BX137,$E$6:$BX$6,HI$7,$E$5:$BX$5,12)</f>
        <v>12927.02540572</v>
      </c>
      <c r="HJ137" s="1515">
        <f t="shared" si="696"/>
        <v>13790.349712270001</v>
      </c>
      <c r="HK137" s="1515">
        <f t="shared" si="697"/>
        <v>13607.911864549998</v>
      </c>
      <c r="HL137" s="1516">
        <f>+SUMIFS($E137:SEW137,$E$6:SEW$6,HL$7,$E$5:SEW$5,12)</f>
        <v>13968.555516510001</v>
      </c>
      <c r="HM137" s="1516">
        <f>+SUMIFS($E137:SEX137,$E$6:SEX$6,HM$7,$E$5:SEX$5,12)</f>
        <v>13592.242015299998</v>
      </c>
      <c r="HN137" s="1516">
        <f>+SUMIFS($E137:SEY137,$E$6:SEY$6,HN$7,$E$5:SEY$5,12)</f>
        <v>14995.60652272</v>
      </c>
      <c r="HO137" s="1515"/>
      <c r="HP137" s="1515"/>
      <c r="HR137" s="1519">
        <f t="shared" ref="HR137:HR153" si="779">+IFERROR(HF137/HE137-1,"")</f>
        <v>0.37986697447722628</v>
      </c>
      <c r="HS137" s="1519">
        <f t="shared" ref="HS137:HS153" si="780">+IFERROR(HG137/HF137-1,"")</f>
        <v>0.97743523892932727</v>
      </c>
      <c r="HT137" s="1519">
        <f t="shared" ref="HT137:HT153" si="781">+IFERROR(HH137/HG137-1,"")</f>
        <v>-0.17187276155199849</v>
      </c>
      <c r="HU137" s="1519">
        <f t="shared" si="738"/>
        <v>-1.2611819206197361E-2</v>
      </c>
      <c r="HV137" s="1519">
        <f t="shared" si="739"/>
        <v>6.6784451910181453E-2</v>
      </c>
      <c r="HW137" s="1519">
        <f t="shared" si="740"/>
        <v>-1.3229385151681705E-2</v>
      </c>
      <c r="HX137" s="1519">
        <f t="shared" si="741"/>
        <v>2.6502497631507804E-2</v>
      </c>
      <c r="HY137" s="1519">
        <f t="shared" si="741"/>
        <v>-2.6940044070070335E-2</v>
      </c>
      <c r="HZ137" s="1519">
        <f t="shared" si="741"/>
        <v>0.10324746321028688</v>
      </c>
      <c r="IA137" s="1519">
        <f t="shared" si="762"/>
        <v>-1</v>
      </c>
      <c r="IB137" s="1519" t="str">
        <f t="shared" ref="IB137:IB153" si="782">+IFERROR(HP137/HO137-1,"")</f>
        <v/>
      </c>
      <c r="IC137" s="1519">
        <f t="shared" si="763"/>
        <v>-1</v>
      </c>
      <c r="IE137" s="1515">
        <f t="shared" ref="IE137:IE153" si="783">+HF137-HE137</f>
        <v>2200.9270931300007</v>
      </c>
      <c r="IF137" s="1515">
        <f t="shared" ref="IF137:IF153" si="784">+HG137-HF137</f>
        <v>7814.4664613700015</v>
      </c>
      <c r="IG137" s="1515">
        <f t="shared" ref="IG137:IG153" si="785">+HH137-HG137</f>
        <v>-2717.1941036300013</v>
      </c>
      <c r="IH137" s="1515">
        <f t="shared" si="742"/>
        <v>-165.11571686000025</v>
      </c>
      <c r="II137" s="1515">
        <f t="shared" si="767"/>
        <v>863.32430655000098</v>
      </c>
      <c r="IJ137" s="1515">
        <f t="shared" si="768"/>
        <v>-182.43784772000254</v>
      </c>
      <c r="IK137" s="1515">
        <f t="shared" si="769"/>
        <v>360.6436519600029</v>
      </c>
      <c r="IL137" s="1515">
        <f t="shared" si="764"/>
        <v>-13968.555516510001</v>
      </c>
      <c r="IM137" s="1515">
        <f t="shared" ref="IM137:IM153" si="786">+HP137-HO137</f>
        <v>0</v>
      </c>
      <c r="IN137" s="1515">
        <f t="shared" si="765"/>
        <v>-13968.555516510001</v>
      </c>
      <c r="IP137" s="1548"/>
      <c r="IQ137" s="1548"/>
      <c r="IR137" s="1548"/>
      <c r="IS137" s="1548"/>
      <c r="IT137" s="1548"/>
      <c r="IU137" s="1548"/>
      <c r="IV137" s="1548"/>
      <c r="IW137" s="1548"/>
      <c r="IX137" s="1548"/>
      <c r="IY137" s="1548"/>
      <c r="JA137" s="1515">
        <f t="shared" si="727"/>
        <v>5910.0350581300017</v>
      </c>
      <c r="JB137" s="1515">
        <f t="shared" si="727"/>
        <v>5793.9416717099994</v>
      </c>
      <c r="JC137" s="1515">
        <f t="shared" si="727"/>
        <v>7994.86876484</v>
      </c>
      <c r="JD137" s="1515">
        <f t="shared" si="727"/>
        <v>15809.335226210002</v>
      </c>
      <c r="JE137" s="1515">
        <f t="shared" si="727"/>
        <v>13092.14112258</v>
      </c>
      <c r="JF137" s="1515">
        <f t="shared" si="727"/>
        <v>12927.02540572</v>
      </c>
      <c r="JG137" s="1515">
        <f t="shared" si="727"/>
        <v>13790.349712270001</v>
      </c>
      <c r="JH137" s="1515">
        <f t="shared" si="727"/>
        <v>13607.911864549998</v>
      </c>
      <c r="JI137" s="1515">
        <f t="shared" si="727"/>
        <v>13968.555516510001</v>
      </c>
      <c r="JJ137" s="1515">
        <f t="shared" si="727"/>
        <v>13592.242015299998</v>
      </c>
      <c r="JK137" s="1515">
        <f t="shared" si="727"/>
        <v>14995.60652272</v>
      </c>
      <c r="JL137" s="1515">
        <f t="shared" si="728"/>
        <v>14995.60652272</v>
      </c>
      <c r="JM137" s="1515"/>
      <c r="JN137" s="1515"/>
      <c r="JP137" s="1515">
        <f t="shared" ref="JP137:JP164" si="787">+JN137</f>
        <v>0</v>
      </c>
      <c r="JQ137" s="1515">
        <f t="shared" ref="JQ137:JQ164" si="788">+JM137</f>
        <v>0</v>
      </c>
      <c r="JR137" s="939"/>
      <c r="JS137" s="1519" t="str">
        <f t="shared" ref="JS137:JS153" si="789">+IFERROR(JP137/JQ137,"NA")</f>
        <v>NA</v>
      </c>
      <c r="JT137" s="1523">
        <f t="shared" ref="JT137:JT153" si="790">+IFERROR(JP137-JQ137,"NA")</f>
        <v>0</v>
      </c>
      <c r="JV137" s="973"/>
      <c r="JW137" s="973"/>
      <c r="JY137" s="1520">
        <f t="shared" ref="JY137:KE137" si="791">+IFERROR(JC137/JB137-1,"NA")</f>
        <v>0.37986697447722628</v>
      </c>
      <c r="JZ137" s="1520">
        <f t="shared" si="791"/>
        <v>0.97743523892932727</v>
      </c>
      <c r="KA137" s="1520">
        <f t="shared" si="791"/>
        <v>-0.17187276155199849</v>
      </c>
      <c r="KB137" s="1520">
        <f t="shared" si="791"/>
        <v>-1.2611819206197361E-2</v>
      </c>
      <c r="KC137" s="1520">
        <f t="shared" si="791"/>
        <v>6.6784451910181453E-2</v>
      </c>
      <c r="KD137" s="1520">
        <f t="shared" si="791"/>
        <v>-1.3229385151681705E-2</v>
      </c>
      <c r="KE137" s="1520">
        <f t="shared" si="791"/>
        <v>2.6502497631507804E-2</v>
      </c>
      <c r="KF137" s="1520">
        <f>+IFERROR(JN137/JI137-1,"NA")</f>
        <v>-1</v>
      </c>
      <c r="KH137" s="1515">
        <f t="shared" ref="KH137:KH164" si="792">+JC137-JB137</f>
        <v>2200.9270931300007</v>
      </c>
      <c r="KI137" s="1515">
        <f t="shared" ref="KI137:KI164" si="793">+JD137-JC137</f>
        <v>7814.4664613700015</v>
      </c>
      <c r="KJ137" s="1515">
        <f t="shared" ref="KJ137:KJ164" si="794">+JE137-JD137</f>
        <v>-2717.1941036300013</v>
      </c>
      <c r="KK137" s="1515">
        <f t="shared" ref="KK137:KK164" si="795">+JF137-JE137</f>
        <v>-165.11571686000025</v>
      </c>
      <c r="KL137" s="1515">
        <f t="shared" ref="KL137:KL164" si="796">+JG137-JF137</f>
        <v>863.32430655000098</v>
      </c>
      <c r="KM137" s="1515">
        <f t="shared" ref="KM137:KM164" si="797">+JH137-JG137</f>
        <v>-182.43784772000254</v>
      </c>
      <c r="KN137" s="1515">
        <f t="shared" ref="KN137:KN164" si="798">+JI137-JH137</f>
        <v>360.6436519600029</v>
      </c>
      <c r="KO137" s="1515">
        <f t="shared" si="711"/>
        <v>-13968.555516510001</v>
      </c>
      <c r="KQ137" s="1548"/>
      <c r="KR137" s="1548"/>
      <c r="KS137" s="1548"/>
      <c r="KT137" s="1548"/>
      <c r="KU137" s="1548"/>
      <c r="KV137" s="1548"/>
      <c r="KW137" s="1548"/>
      <c r="KX137" s="1548"/>
      <c r="KY137" s="1548"/>
      <c r="KZ137" s="1548"/>
      <c r="LB137" s="1515">
        <f t="shared" si="737"/>
        <v>5910.0350581300017</v>
      </c>
      <c r="LC137" s="1515">
        <f t="shared" si="737"/>
        <v>5793.9416717099994</v>
      </c>
      <c r="LD137" s="1515">
        <f t="shared" si="737"/>
        <v>7994.86876484</v>
      </c>
      <c r="LE137" s="1515">
        <f t="shared" si="737"/>
        <v>15809.335226210002</v>
      </c>
      <c r="LF137" s="1515">
        <f t="shared" si="737"/>
        <v>13092.14112258</v>
      </c>
      <c r="LG137" s="1515">
        <f t="shared" si="737"/>
        <v>12927.02540572</v>
      </c>
      <c r="LH137" s="1515">
        <f t="shared" si="737"/>
        <v>13790.349712270001</v>
      </c>
      <c r="LI137" s="1515">
        <f t="shared" si="737"/>
        <v>13607.911864549998</v>
      </c>
      <c r="LJ137" s="1515">
        <f t="shared" si="737"/>
        <v>13968.555516510001</v>
      </c>
      <c r="LK137" s="1515">
        <f t="shared" si="737"/>
        <v>13592.242015299998</v>
      </c>
      <c r="LL137" s="1515">
        <f t="shared" si="737"/>
        <v>14995.60652272</v>
      </c>
      <c r="LM137" s="1515">
        <f t="shared" si="766"/>
        <v>14995.60652272</v>
      </c>
      <c r="LN137" s="1515"/>
      <c r="LO137" s="1515"/>
      <c r="LR137" s="1520">
        <f t="shared" ref="LR137:LR164" si="799">+IFERROR(LD137/LC137-1," ")</f>
        <v>0.37986697447722628</v>
      </c>
      <c r="LS137" s="1520">
        <f t="shared" ref="LS137:LS164" si="800">+IFERROR(LE137/LD137-1," ")</f>
        <v>0.97743523892932727</v>
      </c>
      <c r="LT137" s="1520">
        <f t="shared" ref="LT137:LT164" si="801">+IFERROR(LF137/LE137-1," ")</f>
        <v>-0.17187276155199849</v>
      </c>
      <c r="LU137" s="1520">
        <f t="shared" ref="LU137:LU164" si="802">+IFERROR(LG137/LF137-1," ")</f>
        <v>-1.2611819206197361E-2</v>
      </c>
      <c r="LV137" s="1520">
        <f t="shared" ref="LV137:LV164" si="803">+IFERROR(LH137/LG137-1," ")</f>
        <v>6.6784451910181453E-2</v>
      </c>
      <c r="LW137" s="1520">
        <f t="shared" ref="LW137:LW164" si="804">+IFERROR(LI137/LH137-1," ")</f>
        <v>-1.3229385151681705E-2</v>
      </c>
      <c r="LX137" s="1520">
        <f t="shared" si="719"/>
        <v>-1</v>
      </c>
      <c r="LZ137" s="1515">
        <f t="shared" ref="LZ137:LZ164" si="805">+LD137-LC137</f>
        <v>2200.9270931300007</v>
      </c>
      <c r="MA137" s="1515">
        <f t="shared" ref="MA137:MA164" si="806">+LE137-LD137</f>
        <v>7814.4664613700015</v>
      </c>
      <c r="MB137" s="1515">
        <f t="shared" ref="MB137:MB164" si="807">+LF137-LE137</f>
        <v>-2717.1941036300013</v>
      </c>
      <c r="MC137" s="1515">
        <f t="shared" ref="MC137:MC164" si="808">+LG137-LF137</f>
        <v>-165.11571686000025</v>
      </c>
      <c r="MD137" s="1515">
        <f t="shared" ref="MD137:MD164" si="809">+LH137-LG137</f>
        <v>863.32430655000098</v>
      </c>
      <c r="ME137" s="1515">
        <f t="shared" ref="ME137:ME164" si="810">+LI137-LH137</f>
        <v>-182.43784772000254</v>
      </c>
      <c r="MF137" s="1515">
        <f t="shared" si="726"/>
        <v>-13607.911864549998</v>
      </c>
      <c r="MH137" s="1548"/>
      <c r="MI137" s="1548"/>
      <c r="MJ137" s="1548"/>
      <c r="MK137" s="1548"/>
      <c r="ML137" s="1548"/>
      <c r="MM137" s="1548"/>
      <c r="MN137" s="1548"/>
      <c r="MO137" s="1548"/>
      <c r="MP137" s="1548"/>
    </row>
    <row r="138" spans="1:354">
      <c r="A138" s="884"/>
      <c r="B138" s="70"/>
      <c r="C138" s="17" t="s">
        <v>122</v>
      </c>
      <c r="D138" s="31" t="s">
        <v>59</v>
      </c>
      <c r="E138" s="924">
        <v>3865.5447703299997</v>
      </c>
      <c r="F138" s="924">
        <v>3945.4585081100004</v>
      </c>
      <c r="G138" s="924">
        <v>4214.7737581100009</v>
      </c>
      <c r="H138" s="924">
        <v>4271.4574431100009</v>
      </c>
      <c r="I138" s="924">
        <v>4278.2544731500002</v>
      </c>
      <c r="J138" s="924">
        <v>4311.2161475899993</v>
      </c>
      <c r="K138" s="924">
        <v>4289.066274589999</v>
      </c>
      <c r="L138" s="924">
        <v>4217.115669589999</v>
      </c>
      <c r="M138" s="924">
        <v>4224.2257065899994</v>
      </c>
      <c r="N138" s="924">
        <v>4212.9721431499993</v>
      </c>
      <c r="O138" s="924">
        <v>4150.8088538299999</v>
      </c>
      <c r="P138" s="924">
        <v>4335.8611459100011</v>
      </c>
      <c r="Q138" s="924">
        <v>4369.7795021299989</v>
      </c>
      <c r="R138" s="924">
        <v>4384.636614850001</v>
      </c>
      <c r="S138" s="924">
        <v>4455.7468511900006</v>
      </c>
      <c r="T138" s="924">
        <v>4494.2505452400001</v>
      </c>
      <c r="U138" s="924">
        <v>4492.3337362600014</v>
      </c>
      <c r="V138" s="924">
        <v>4492.6144109800016</v>
      </c>
      <c r="W138" s="924">
        <v>4492.7111964600008</v>
      </c>
      <c r="X138" s="924">
        <v>4487.6110748199999</v>
      </c>
      <c r="Y138" s="924">
        <v>4513.5345021599987</v>
      </c>
      <c r="Z138" s="924">
        <v>4464.38413408</v>
      </c>
      <c r="AA138" s="924">
        <v>4280.0954028899996</v>
      </c>
      <c r="AB138" s="924">
        <v>4148.3749045899986</v>
      </c>
      <c r="AC138" s="924">
        <v>4105.0732504000007</v>
      </c>
      <c r="AD138" s="924">
        <v>4076.5715580800002</v>
      </c>
      <c r="AE138" s="924">
        <v>4044.8894093599997</v>
      </c>
      <c r="AF138" s="924">
        <v>3984.8798581599999</v>
      </c>
      <c r="AG138" s="924">
        <v>3973.3843383000008</v>
      </c>
      <c r="AH138" s="924">
        <v>4061.5642722199991</v>
      </c>
      <c r="AI138" s="924">
        <v>4055.5959145800007</v>
      </c>
      <c r="AJ138" s="924">
        <v>4085.7634799400003</v>
      </c>
      <c r="AK138" s="924">
        <v>4134.16997455</v>
      </c>
      <c r="AL138" s="924">
        <v>4183.8749125499999</v>
      </c>
      <c r="AM138" s="924">
        <v>4194.8297650300001</v>
      </c>
      <c r="AN138" s="64">
        <f>+AN139+AN156</f>
        <v>5277.0045758400001</v>
      </c>
      <c r="AO138" s="64">
        <v>5263.6762534799991</v>
      </c>
      <c r="AP138" s="64">
        <v>8752.267025510002</v>
      </c>
      <c r="AQ138" s="64">
        <v>8782.5002433699992</v>
      </c>
      <c r="AR138" s="64">
        <v>9119.3026245500005</v>
      </c>
      <c r="AS138" s="64">
        <v>9404.2416536599994</v>
      </c>
      <c r="AT138" s="64">
        <v>6448.1196583299989</v>
      </c>
      <c r="AU138" s="64">
        <v>6398.3387428200003</v>
      </c>
      <c r="AV138" s="64">
        <v>6413.4397930100004</v>
      </c>
      <c r="AW138" s="64">
        <v>5477.4796652799996</v>
      </c>
      <c r="AX138" s="64">
        <v>5499.1482576100007</v>
      </c>
      <c r="AY138" s="64">
        <v>5669.5932613900004</v>
      </c>
      <c r="AZ138" s="64">
        <f>+AZ139+AZ155+AZ156</f>
        <v>11757.2898</v>
      </c>
      <c r="BA138" s="64">
        <v>11879.377041610001</v>
      </c>
      <c r="BB138" s="64">
        <v>11786.481538290001</v>
      </c>
      <c r="BC138" s="64">
        <v>11682.832690770001</v>
      </c>
      <c r="BD138" s="64">
        <v>10329.71444492</v>
      </c>
      <c r="BE138" s="924">
        <v>10407.159393690001</v>
      </c>
      <c r="BF138" s="924">
        <v>10330.194343219999</v>
      </c>
      <c r="BG138" s="924">
        <v>10231.719556959999</v>
      </c>
      <c r="BH138" s="924">
        <v>10129.558581180001</v>
      </c>
      <c r="BI138" s="924">
        <v>9980.83967132</v>
      </c>
      <c r="BJ138" s="924">
        <v>9889.2058554699997</v>
      </c>
      <c r="BK138" s="924">
        <v>9791.4947008899999</v>
      </c>
      <c r="BL138" s="102">
        <v>9684.8110154400001</v>
      </c>
      <c r="BM138" s="64">
        <f t="shared" ref="BM138:DX138" si="811">+BM139+BM155+BM156</f>
        <v>9958.184054659996</v>
      </c>
      <c r="BN138" s="64">
        <f t="shared" si="811"/>
        <v>9918.5684883099984</v>
      </c>
      <c r="BO138" s="64">
        <f t="shared" si="811"/>
        <v>9910.3091681599981</v>
      </c>
      <c r="BP138" s="64">
        <f t="shared" si="811"/>
        <v>9898.6211472699979</v>
      </c>
      <c r="BQ138" s="924">
        <f t="shared" si="811"/>
        <v>9880.2476293999971</v>
      </c>
      <c r="BR138" s="924">
        <f t="shared" si="811"/>
        <v>9870.8200129499983</v>
      </c>
      <c r="BS138" s="924">
        <f t="shared" si="811"/>
        <v>9859.7701533599975</v>
      </c>
      <c r="BT138" s="924">
        <f t="shared" si="811"/>
        <v>9827.7183388599988</v>
      </c>
      <c r="BU138" s="924">
        <f t="shared" si="811"/>
        <v>9807.4091476999965</v>
      </c>
      <c r="BV138" s="924">
        <f t="shared" si="811"/>
        <v>9792.672129569999</v>
      </c>
      <c r="BW138" s="924">
        <f t="shared" si="811"/>
        <v>9826.0702565499978</v>
      </c>
      <c r="BX138" s="924">
        <f t="shared" si="811"/>
        <v>9868.5442695099991</v>
      </c>
      <c r="BY138" s="924">
        <f t="shared" si="811"/>
        <v>9999.9245089300002</v>
      </c>
      <c r="BZ138" s="924">
        <f t="shared" si="811"/>
        <v>10163.728241899998</v>
      </c>
      <c r="CA138" s="924">
        <f t="shared" si="811"/>
        <v>10343.610198169999</v>
      </c>
      <c r="CB138" s="924">
        <f t="shared" si="811"/>
        <v>10342.295149219999</v>
      </c>
      <c r="CC138" s="924">
        <f t="shared" si="811"/>
        <v>10343.609041150001</v>
      </c>
      <c r="CD138" s="924">
        <f t="shared" si="811"/>
        <v>10329.693111119999</v>
      </c>
      <c r="CE138" s="924">
        <f t="shared" si="811"/>
        <v>10405.714057919999</v>
      </c>
      <c r="CF138" s="924">
        <f t="shared" si="811"/>
        <v>10438.713748029999</v>
      </c>
      <c r="CG138" s="924">
        <f t="shared" si="811"/>
        <v>10522.86709358</v>
      </c>
      <c r="CH138" s="924">
        <f t="shared" si="811"/>
        <v>10685.927440070001</v>
      </c>
      <c r="CI138" s="924">
        <f t="shared" si="811"/>
        <v>10917.044224240002</v>
      </c>
      <c r="CJ138" s="924">
        <f t="shared" si="811"/>
        <v>11019.617097990002</v>
      </c>
      <c r="CK138" s="924">
        <f t="shared" si="811"/>
        <v>11012.197713150001</v>
      </c>
      <c r="CL138" s="924">
        <f t="shared" si="811"/>
        <v>11057.995940789999</v>
      </c>
      <c r="CM138" s="924">
        <f t="shared" si="811"/>
        <v>11024.853942010002</v>
      </c>
      <c r="CN138" s="924">
        <f t="shared" si="811"/>
        <v>11021.826592730002</v>
      </c>
      <c r="CO138" s="924">
        <f t="shared" si="811"/>
        <v>11060.67977966</v>
      </c>
      <c r="CP138" s="924">
        <f t="shared" si="811"/>
        <v>11216.230672489999</v>
      </c>
      <c r="CQ138" s="924">
        <f t="shared" si="811"/>
        <v>11258.28789381</v>
      </c>
      <c r="CR138" s="924">
        <f t="shared" si="811"/>
        <v>11287.311768569998</v>
      </c>
      <c r="CS138" s="924">
        <f t="shared" si="811"/>
        <v>11258.655083559999</v>
      </c>
      <c r="CT138" s="924">
        <f t="shared" si="811"/>
        <v>11339.400981390001</v>
      </c>
      <c r="CU138" s="924">
        <f t="shared" si="811"/>
        <v>11394.479000229998</v>
      </c>
      <c r="CV138" s="924">
        <f t="shared" si="811"/>
        <v>11453.022646309999</v>
      </c>
      <c r="CW138" s="924">
        <f t="shared" si="811"/>
        <v>11419.876536579999</v>
      </c>
      <c r="CX138" s="924">
        <f t="shared" si="811"/>
        <v>11477.156950749999</v>
      </c>
      <c r="CY138" s="924">
        <f t="shared" si="811"/>
        <v>11529.61412034</v>
      </c>
      <c r="CZ138" s="924">
        <f t="shared" si="811"/>
        <v>11501.607676250002</v>
      </c>
      <c r="DA138" s="924">
        <f t="shared" si="811"/>
        <v>11468.736441180001</v>
      </c>
      <c r="DB138" s="924">
        <f t="shared" si="811"/>
        <v>11375.36476323</v>
      </c>
      <c r="DC138" s="924">
        <f t="shared" si="811"/>
        <v>11296.451047400002</v>
      </c>
      <c r="DD138" s="924">
        <f t="shared" si="811"/>
        <v>11302.161876899998</v>
      </c>
      <c r="DE138" s="924">
        <f t="shared" si="811"/>
        <v>11258.98729039</v>
      </c>
      <c r="DF138" s="924">
        <f t="shared" si="811"/>
        <v>11203.620936080002</v>
      </c>
      <c r="DG138" s="924">
        <f t="shared" si="811"/>
        <v>11208.027942850003</v>
      </c>
      <c r="DH138" s="924">
        <f t="shared" si="811"/>
        <v>11172.775860490001</v>
      </c>
      <c r="DI138" s="924">
        <f t="shared" si="811"/>
        <v>11143.780871730001</v>
      </c>
      <c r="DJ138" s="924">
        <f t="shared" si="811"/>
        <v>11105.243703299999</v>
      </c>
      <c r="DK138" s="924">
        <f t="shared" si="811"/>
        <v>11101.10035778</v>
      </c>
      <c r="DL138" s="924">
        <f t="shared" si="811"/>
        <v>11112.479713600002</v>
      </c>
      <c r="DM138" s="924">
        <f t="shared" si="811"/>
        <v>11138.078383730004</v>
      </c>
      <c r="DN138" s="924">
        <f t="shared" si="811"/>
        <v>11108.745156650002</v>
      </c>
      <c r="DO138" s="924">
        <f t="shared" si="811"/>
        <v>11077.710778580002</v>
      </c>
      <c r="DP138" s="924">
        <f t="shared" si="811"/>
        <v>11047.3219969</v>
      </c>
      <c r="DQ138" s="960">
        <f t="shared" si="811"/>
        <v>11037.459138450002</v>
      </c>
      <c r="DR138" s="960">
        <f t="shared" si="811"/>
        <v>11217.538104219999</v>
      </c>
      <c r="DS138" s="960">
        <f t="shared" si="811"/>
        <v>11313.92363954</v>
      </c>
      <c r="DT138" s="960">
        <f t="shared" si="811"/>
        <v>11346.462306179998</v>
      </c>
      <c r="DU138" s="960">
        <f t="shared" si="811"/>
        <v>11333.416141139998</v>
      </c>
      <c r="DV138" s="960">
        <f t="shared" si="811"/>
        <v>11389.413357530002</v>
      </c>
      <c r="DW138" s="960">
        <f t="shared" si="811"/>
        <v>11559.328330560002</v>
      </c>
      <c r="DX138" s="960">
        <f t="shared" si="811"/>
        <v>11729.949669770001</v>
      </c>
      <c r="DY138" s="960">
        <f t="shared" ref="DY138:EF138" si="812">+DY139+DY155+DY156</f>
        <v>11733.087003949997</v>
      </c>
      <c r="DZ138" s="960">
        <f t="shared" si="812"/>
        <v>12009.708943969996</v>
      </c>
      <c r="EA138" s="960">
        <f t="shared" si="812"/>
        <v>12392.92816741</v>
      </c>
      <c r="EB138" s="960">
        <f t="shared" si="812"/>
        <v>12831.971420860002</v>
      </c>
      <c r="EC138" s="960">
        <f t="shared" si="812"/>
        <v>13196.933788160004</v>
      </c>
      <c r="ED138" s="960">
        <f t="shared" si="812"/>
        <v>13560.858777130001</v>
      </c>
      <c r="EE138" s="960">
        <f t="shared" si="812"/>
        <v>13687.565155930004</v>
      </c>
      <c r="EF138" s="960">
        <f t="shared" si="812"/>
        <v>13374.871632689999</v>
      </c>
      <c r="EH138" s="924" t="e">
        <f t="shared" ref="EH138:ES138" si="813">+EH139+EH155+EH156</f>
        <v>#VALUE!</v>
      </c>
      <c r="EI138" s="924" t="e">
        <f t="shared" si="813"/>
        <v>#VALUE!</v>
      </c>
      <c r="EJ138" s="924" t="e">
        <f t="shared" si="813"/>
        <v>#VALUE!</v>
      </c>
      <c r="EK138" s="924" t="e">
        <f t="shared" si="813"/>
        <v>#VALUE!</v>
      </c>
      <c r="EL138" s="924" t="e">
        <f t="shared" si="813"/>
        <v>#VALUE!</v>
      </c>
      <c r="EM138" s="924" t="e">
        <f t="shared" si="813"/>
        <v>#VALUE!</v>
      </c>
      <c r="EN138" s="924" t="e">
        <f t="shared" si="813"/>
        <v>#VALUE!</v>
      </c>
      <c r="EO138" s="924" t="e">
        <f t="shared" si="813"/>
        <v>#VALUE!</v>
      </c>
      <c r="EP138" s="924" t="e">
        <f t="shared" si="813"/>
        <v>#VALUE!</v>
      </c>
      <c r="EQ138" s="924" t="e">
        <f t="shared" si="813"/>
        <v>#VALUE!</v>
      </c>
      <c r="ER138" s="924" t="e">
        <f t="shared" si="813"/>
        <v>#VALUE!</v>
      </c>
      <c r="ES138" s="924" t="e">
        <f t="shared" si="813"/>
        <v>#VALUE!</v>
      </c>
      <c r="ET138" s="279"/>
      <c r="EU138" s="924">
        <f t="shared" ref="EU138:FZ138" si="814">+EU139+EU155+EU156</f>
        <v>4326.657476490418</v>
      </c>
      <c r="EV138" s="924">
        <f t="shared" si="814"/>
        <v>9568.6520170793065</v>
      </c>
      <c r="EW138" s="924">
        <f t="shared" si="814"/>
        <v>10302.750653114861</v>
      </c>
      <c r="EX138" s="924">
        <f t="shared" si="814"/>
        <v>10364.011559442637</v>
      </c>
      <c r="EY138" s="924">
        <f t="shared" si="814"/>
        <v>10924.828927280832</v>
      </c>
      <c r="EZ138" s="924">
        <f t="shared" si="814"/>
        <v>9877.3023336086098</v>
      </c>
      <c r="FA138" s="924">
        <f t="shared" si="814"/>
        <v>9982.9826843808314</v>
      </c>
      <c r="FB138" s="924">
        <f t="shared" si="814"/>
        <v>10027.644979597499</v>
      </c>
      <c r="FC138" s="924">
        <f t="shared" si="814"/>
        <v>10074.275330369721</v>
      </c>
      <c r="FD138" s="924">
        <f t="shared" si="814"/>
        <v>10177.598736697499</v>
      </c>
      <c r="FE138" s="924">
        <f t="shared" si="814"/>
        <v>10233.367976358608</v>
      </c>
      <c r="FF138" s="924">
        <f t="shared" si="814"/>
        <v>10273.266382686386</v>
      </c>
      <c r="FG138" s="924">
        <f t="shared" si="814"/>
        <v>5408.8942676300003</v>
      </c>
      <c r="FH138" s="924">
        <f t="shared" si="814"/>
        <v>5327.2767587567996</v>
      </c>
      <c r="FI138" s="924">
        <f t="shared" si="814"/>
        <v>4384.4525739551955</v>
      </c>
      <c r="FJ138" s="924">
        <f t="shared" si="814"/>
        <v>4290.3439802623207</v>
      </c>
      <c r="FK138" s="924">
        <f t="shared" si="814"/>
        <v>4200.2116873671621</v>
      </c>
      <c r="FL138" s="924">
        <f t="shared" si="814"/>
        <v>4152.3966432378083</v>
      </c>
      <c r="FM138" s="924">
        <f t="shared" si="814"/>
        <v>4102.5253245902968</v>
      </c>
      <c r="FN138" s="924">
        <f t="shared" si="814"/>
        <v>4043.7914824053505</v>
      </c>
      <c r="FO138" s="924">
        <f t="shared" si="814"/>
        <v>3988.2839509578043</v>
      </c>
      <c r="FP138" s="924">
        <f t="shared" si="814"/>
        <v>3920.8736778181583</v>
      </c>
      <c r="FQ138" s="924">
        <f t="shared" si="814"/>
        <v>3855.3617726540997</v>
      </c>
      <c r="FR138" s="924">
        <f t="shared" si="814"/>
        <v>3792.8443007466003</v>
      </c>
      <c r="FS138" s="924">
        <f t="shared" si="814"/>
        <v>9694.68826640109</v>
      </c>
      <c r="FT138" s="924">
        <f t="shared" si="814"/>
        <v>9632.8763819196811</v>
      </c>
      <c r="FU138" s="924">
        <f t="shared" si="814"/>
        <v>9577.7019644903539</v>
      </c>
      <c r="FV138" s="924">
        <f t="shared" si="814"/>
        <v>9523.1351283100357</v>
      </c>
      <c r="FW138" s="924">
        <f t="shared" si="814"/>
        <v>9469.3157686535287</v>
      </c>
      <c r="FX138" s="924">
        <f t="shared" si="814"/>
        <v>9416.5064234883394</v>
      </c>
      <c r="FY138" s="924">
        <f t="shared" si="814"/>
        <v>9366.7709524184684</v>
      </c>
      <c r="FZ138" s="924">
        <f t="shared" si="814"/>
        <v>9319.4057047075239</v>
      </c>
      <c r="GA138" s="924">
        <f t="shared" ref="GA138:HB138" si="815">+GA139+GA155+GA156</f>
        <v>9272.17367207594</v>
      </c>
      <c r="GB138" s="924">
        <f t="shared" si="815"/>
        <v>9225.0108169443592</v>
      </c>
      <c r="GC138" s="924">
        <f t="shared" si="815"/>
        <v>9177.8601188440261</v>
      </c>
      <c r="GD138" s="924">
        <f t="shared" si="815"/>
        <v>9129.728419177889</v>
      </c>
      <c r="GE138" s="924" t="e">
        <f t="shared" si="815"/>
        <v>#VALUE!</v>
      </c>
      <c r="GF138" s="924" t="e">
        <f t="shared" si="815"/>
        <v>#VALUE!</v>
      </c>
      <c r="GG138" s="924" t="e">
        <f t="shared" si="815"/>
        <v>#VALUE!</v>
      </c>
      <c r="GH138" s="924" t="e">
        <f t="shared" si="815"/>
        <v>#VALUE!</v>
      </c>
      <c r="GI138" s="924" t="e">
        <f t="shared" si="815"/>
        <v>#VALUE!</v>
      </c>
      <c r="GJ138" s="924" t="e">
        <f t="shared" si="815"/>
        <v>#VALUE!</v>
      </c>
      <c r="GK138" s="924" t="e">
        <f t="shared" si="815"/>
        <v>#VALUE!</v>
      </c>
      <c r="GL138" s="924" t="e">
        <f t="shared" si="815"/>
        <v>#VALUE!</v>
      </c>
      <c r="GM138" s="924" t="e">
        <f t="shared" si="815"/>
        <v>#VALUE!</v>
      </c>
      <c r="GN138" s="924" t="e">
        <f t="shared" si="815"/>
        <v>#VALUE!</v>
      </c>
      <c r="GO138" s="924" t="e">
        <f t="shared" si="815"/>
        <v>#VALUE!</v>
      </c>
      <c r="GP138" s="924" t="e">
        <f t="shared" si="815"/>
        <v>#VALUE!</v>
      </c>
      <c r="GQ138" s="924" t="e">
        <f t="shared" si="815"/>
        <v>#VALUE!</v>
      </c>
      <c r="GR138" s="924" t="e">
        <f t="shared" si="815"/>
        <v>#VALUE!</v>
      </c>
      <c r="GS138" s="924" t="e">
        <f t="shared" si="815"/>
        <v>#VALUE!</v>
      </c>
      <c r="GT138" s="924" t="e">
        <f t="shared" si="815"/>
        <v>#VALUE!</v>
      </c>
      <c r="GU138" s="924" t="e">
        <f t="shared" si="815"/>
        <v>#VALUE!</v>
      </c>
      <c r="GV138" s="924" t="e">
        <f t="shared" si="815"/>
        <v>#VALUE!</v>
      </c>
      <c r="GW138" s="924" t="e">
        <f t="shared" si="815"/>
        <v>#VALUE!</v>
      </c>
      <c r="GX138" s="924" t="e">
        <f t="shared" si="815"/>
        <v>#VALUE!</v>
      </c>
      <c r="GY138" s="924" t="e">
        <f t="shared" si="815"/>
        <v>#VALUE!</v>
      </c>
      <c r="GZ138" s="924" t="e">
        <f t="shared" si="815"/>
        <v>#VALUE!</v>
      </c>
      <c r="HA138" s="924" t="e">
        <f t="shared" si="815"/>
        <v>#VALUE!</v>
      </c>
      <c r="HB138" s="924" t="e">
        <f t="shared" si="815"/>
        <v>#VALUE!</v>
      </c>
      <c r="HD138" s="924">
        <f t="shared" si="776"/>
        <v>4335.8611459100011</v>
      </c>
      <c r="HE138" s="924">
        <f t="shared" si="776"/>
        <v>4148.3749045899986</v>
      </c>
      <c r="HF138" s="924">
        <f t="shared" si="776"/>
        <v>5277.0045758400001</v>
      </c>
      <c r="HG138" s="924">
        <f t="shared" si="776"/>
        <v>11757.2898</v>
      </c>
      <c r="HH138" s="924">
        <f t="shared" si="777"/>
        <v>9684.8110154400001</v>
      </c>
      <c r="HI138" s="924">
        <f t="shared" si="778"/>
        <v>9868.5442695099991</v>
      </c>
      <c r="HJ138" s="924">
        <f t="shared" si="696"/>
        <v>11019.617097990002</v>
      </c>
      <c r="HK138" s="924">
        <f t="shared" si="697"/>
        <v>11453.022646309999</v>
      </c>
      <c r="HL138" s="960">
        <f>+SUMIFS($E138:SEW138,$E$6:SEW$6,HL$7,$E$5:SEW$5,12)</f>
        <v>11172.775860490001</v>
      </c>
      <c r="HM138" s="960">
        <f>+SUMIFS($E138:SEX138,$E$6:SEX$6,HM$7,$E$5:SEX$5,12)</f>
        <v>11346.462306179998</v>
      </c>
      <c r="HN138" s="960">
        <f>+SUMIFS($E138:SEY138,$E$6:SEY$6,HN$7,$E$5:SEY$5,12)</f>
        <v>13374.871632689999</v>
      </c>
      <c r="HO138" s="924"/>
      <c r="HP138" s="924"/>
      <c r="HR138" s="927">
        <f t="shared" si="779"/>
        <v>0.2720654948522665</v>
      </c>
      <c r="HS138" s="927">
        <f t="shared" si="780"/>
        <v>1.2280234233316842</v>
      </c>
      <c r="HT138" s="927">
        <f t="shared" si="781"/>
        <v>-0.17627181262130664</v>
      </c>
      <c r="HU138" s="927">
        <f t="shared" si="738"/>
        <v>1.8971279230651117E-2</v>
      </c>
      <c r="HV138" s="927">
        <f t="shared" si="739"/>
        <v>0.11664059024757822</v>
      </c>
      <c r="HW138" s="927">
        <f t="shared" si="740"/>
        <v>3.933036370193399E-2</v>
      </c>
      <c r="HX138" s="927">
        <f t="shared" si="741"/>
        <v>-2.4469242266825453E-2</v>
      </c>
      <c r="HY138" s="927">
        <f t="shared" si="741"/>
        <v>1.5545505240483593E-2</v>
      </c>
      <c r="HZ138" s="927">
        <f t="shared" si="741"/>
        <v>0.17877019918404025</v>
      </c>
      <c r="IA138" s="927">
        <f t="shared" si="762"/>
        <v>-1</v>
      </c>
      <c r="IB138" s="927" t="str">
        <f t="shared" si="782"/>
        <v/>
      </c>
      <c r="IC138" s="927">
        <f t="shared" si="763"/>
        <v>-1</v>
      </c>
      <c r="IE138" s="924">
        <f t="shared" si="783"/>
        <v>1128.6296712500016</v>
      </c>
      <c r="IF138" s="924">
        <f t="shared" si="784"/>
        <v>6480.2852241600003</v>
      </c>
      <c r="IG138" s="924">
        <f t="shared" si="785"/>
        <v>-2072.4787845600003</v>
      </c>
      <c r="IH138" s="924">
        <f t="shared" si="742"/>
        <v>183.73325406999902</v>
      </c>
      <c r="II138" s="924">
        <f t="shared" si="767"/>
        <v>1151.0728284800025</v>
      </c>
      <c r="IJ138" s="924">
        <f t="shared" si="768"/>
        <v>433.40554831999725</v>
      </c>
      <c r="IK138" s="924">
        <f t="shared" si="769"/>
        <v>-280.24678581999797</v>
      </c>
      <c r="IL138" s="924">
        <f t="shared" si="764"/>
        <v>-11172.775860490001</v>
      </c>
      <c r="IM138" s="924">
        <f t="shared" si="786"/>
        <v>0</v>
      </c>
      <c r="IN138" s="924">
        <f t="shared" si="765"/>
        <v>-11172.775860490001</v>
      </c>
      <c r="IP138" s="973"/>
      <c r="IQ138" s="973"/>
      <c r="IR138" s="973"/>
      <c r="IS138" s="973"/>
      <c r="IT138" s="973"/>
      <c r="IU138" s="973"/>
      <c r="IV138" s="973"/>
      <c r="IW138" s="973"/>
      <c r="IX138" s="973"/>
      <c r="IY138" s="973"/>
      <c r="JA138" s="924">
        <f t="shared" si="727"/>
        <v>4335.8611459100011</v>
      </c>
      <c r="JB138" s="924">
        <f t="shared" si="727"/>
        <v>4148.3749045899986</v>
      </c>
      <c r="JC138" s="924">
        <f t="shared" si="727"/>
        <v>5277.0045758400001</v>
      </c>
      <c r="JD138" s="924">
        <f t="shared" si="727"/>
        <v>11757.2898</v>
      </c>
      <c r="JE138" s="924">
        <f t="shared" si="727"/>
        <v>9684.8110154400001</v>
      </c>
      <c r="JF138" s="924">
        <f t="shared" ref="JB138:JK153" si="816">+IFERROR(SUMIFS($E138:$EG138,$E$6:$EG$6,JF$7,$E$5:$EG$5,$JC$5),"NA")</f>
        <v>9868.5442695099991</v>
      </c>
      <c r="JG138" s="924">
        <f t="shared" si="816"/>
        <v>11019.617097990002</v>
      </c>
      <c r="JH138" s="924">
        <f t="shared" si="816"/>
        <v>11453.022646309999</v>
      </c>
      <c r="JI138" s="924">
        <f t="shared" si="816"/>
        <v>11172.775860490001</v>
      </c>
      <c r="JJ138" s="924">
        <f t="shared" si="816"/>
        <v>11346.462306179998</v>
      </c>
      <c r="JK138" s="924">
        <f t="shared" si="816"/>
        <v>13374.871632689999</v>
      </c>
      <c r="JL138" s="924">
        <f t="shared" si="728"/>
        <v>13374.871632689999</v>
      </c>
      <c r="JM138" s="924"/>
      <c r="JN138" s="924"/>
      <c r="JP138" s="924">
        <f t="shared" si="787"/>
        <v>0</v>
      </c>
      <c r="JQ138" s="924">
        <f t="shared" si="788"/>
        <v>0</v>
      </c>
      <c r="JR138" s="145"/>
      <c r="JS138" s="927" t="str">
        <f t="shared" si="789"/>
        <v>NA</v>
      </c>
      <c r="JT138" s="928">
        <f t="shared" si="790"/>
        <v>0</v>
      </c>
      <c r="JV138" s="973"/>
      <c r="JW138" s="973"/>
      <c r="JY138" s="927">
        <f t="shared" ref="JY138:JY164" si="817">+IFERROR(JC138/JB138-1,"")</f>
        <v>0.2720654948522665</v>
      </c>
      <c r="JZ138" s="927">
        <f t="shared" ref="JZ138:JZ164" si="818">+IFERROR(JD138/JC138-1,"")</f>
        <v>1.2280234233316842</v>
      </c>
      <c r="KA138" s="927">
        <f t="shared" ref="KA138:KA164" si="819">+IFERROR(JE138/JD138-1,"")</f>
        <v>-0.17627181262130664</v>
      </c>
      <c r="KB138" s="927">
        <f t="shared" ref="KB138:KB164" si="820">+IFERROR(JF138/JE138-1,"")</f>
        <v>1.8971279230651117E-2</v>
      </c>
      <c r="KC138" s="927">
        <f t="shared" ref="KC138:KC164" si="821">+IFERROR(JG138/JF138-1,"")</f>
        <v>0.11664059024757822</v>
      </c>
      <c r="KD138" s="927">
        <f t="shared" ref="KD138:KD164" si="822">+IFERROR(JH138/JG138-1,"")</f>
        <v>3.933036370193399E-2</v>
      </c>
      <c r="KE138" s="927">
        <f t="shared" ref="KE138:KE164" si="823">+IFERROR(JI138/JH138-1,"")</f>
        <v>-2.4469242266825453E-2</v>
      </c>
      <c r="KF138" s="927">
        <f t="shared" ref="KF138:KF164" si="824">+IFERROR(JN138/JI138-1,"")</f>
        <v>-1</v>
      </c>
      <c r="KH138" s="924">
        <f t="shared" si="792"/>
        <v>1128.6296712500016</v>
      </c>
      <c r="KI138" s="924">
        <f t="shared" si="793"/>
        <v>6480.2852241600003</v>
      </c>
      <c r="KJ138" s="924">
        <f t="shared" si="794"/>
        <v>-2072.4787845600003</v>
      </c>
      <c r="KK138" s="924">
        <f t="shared" si="795"/>
        <v>183.73325406999902</v>
      </c>
      <c r="KL138" s="924">
        <f t="shared" si="796"/>
        <v>1151.0728284800025</v>
      </c>
      <c r="KM138" s="924">
        <f t="shared" si="797"/>
        <v>433.40554831999725</v>
      </c>
      <c r="KN138" s="924">
        <f t="shared" si="798"/>
        <v>-280.24678581999797</v>
      </c>
      <c r="KO138" s="924">
        <f t="shared" si="711"/>
        <v>-11172.775860490001</v>
      </c>
      <c r="KQ138" s="973"/>
      <c r="KR138" s="973"/>
      <c r="KS138" s="973"/>
      <c r="KT138" s="973"/>
      <c r="KU138" s="973"/>
      <c r="KV138" s="973"/>
      <c r="KW138" s="973"/>
      <c r="KX138" s="973"/>
      <c r="KY138" s="973"/>
      <c r="KZ138" s="973"/>
      <c r="LB138" s="924">
        <f t="shared" si="737"/>
        <v>4335.8611459100011</v>
      </c>
      <c r="LC138" s="924">
        <f t="shared" si="737"/>
        <v>4148.3749045899986</v>
      </c>
      <c r="LD138" s="924">
        <f t="shared" si="737"/>
        <v>5277.0045758400001</v>
      </c>
      <c r="LE138" s="924">
        <f t="shared" si="737"/>
        <v>11757.2898</v>
      </c>
      <c r="LF138" s="924">
        <f t="shared" si="737"/>
        <v>9684.8110154400001</v>
      </c>
      <c r="LG138" s="924">
        <f t="shared" ref="LC138:LM153" si="825">+SUMIFS($E138:$EG138,$E$6:$EG$6,LG$7,$E$5:$EG$5,$LD$5)</f>
        <v>9868.5442695099991</v>
      </c>
      <c r="LH138" s="924">
        <f t="shared" si="825"/>
        <v>11019.617097990002</v>
      </c>
      <c r="LI138" s="924">
        <f t="shared" si="825"/>
        <v>11453.022646309999</v>
      </c>
      <c r="LJ138" s="924">
        <f t="shared" si="825"/>
        <v>11172.775860490001</v>
      </c>
      <c r="LK138" s="924">
        <f t="shared" si="825"/>
        <v>11346.462306179998</v>
      </c>
      <c r="LL138" s="924">
        <f t="shared" si="825"/>
        <v>13374.871632689999</v>
      </c>
      <c r="LM138" s="924">
        <f t="shared" si="825"/>
        <v>13374.871632689999</v>
      </c>
      <c r="LN138" s="924"/>
      <c r="LO138" s="924"/>
      <c r="LR138" s="76">
        <f t="shared" si="799"/>
        <v>0.2720654948522665</v>
      </c>
      <c r="LS138" s="76">
        <f t="shared" si="800"/>
        <v>1.2280234233316842</v>
      </c>
      <c r="LT138" s="76">
        <f t="shared" si="801"/>
        <v>-0.17627181262130664</v>
      </c>
      <c r="LU138" s="76">
        <f t="shared" si="802"/>
        <v>1.8971279230651117E-2</v>
      </c>
      <c r="LV138" s="76">
        <f t="shared" si="803"/>
        <v>0.11664059024757822</v>
      </c>
      <c r="LW138" s="76">
        <f t="shared" si="804"/>
        <v>3.933036370193399E-2</v>
      </c>
      <c r="LX138" s="76">
        <f t="shared" si="719"/>
        <v>-1</v>
      </c>
      <c r="LZ138" s="924">
        <f t="shared" si="805"/>
        <v>1128.6296712500016</v>
      </c>
      <c r="MA138" s="924">
        <f t="shared" si="806"/>
        <v>6480.2852241600003</v>
      </c>
      <c r="MB138" s="924">
        <f t="shared" si="807"/>
        <v>-2072.4787845600003</v>
      </c>
      <c r="MC138" s="924">
        <f t="shared" si="808"/>
        <v>183.73325406999902</v>
      </c>
      <c r="MD138" s="924">
        <f t="shared" si="809"/>
        <v>1151.0728284800025</v>
      </c>
      <c r="ME138" s="924">
        <f t="shared" si="810"/>
        <v>433.40554831999725</v>
      </c>
      <c r="MF138" s="924">
        <f t="shared" si="726"/>
        <v>-11453.022646309999</v>
      </c>
      <c r="MH138" s="973"/>
      <c r="MI138" s="973"/>
      <c r="MJ138" s="973"/>
      <c r="MK138" s="973"/>
      <c r="ML138" s="973"/>
      <c r="MM138" s="973"/>
      <c r="MN138" s="973"/>
      <c r="MO138" s="973"/>
      <c r="MP138" s="973"/>
    </row>
    <row r="139" spans="1:354" outlineLevel="2">
      <c r="A139" s="884"/>
      <c r="B139" s="70"/>
      <c r="C139" s="29" t="s">
        <v>123</v>
      </c>
      <c r="D139" s="31" t="s">
        <v>59</v>
      </c>
      <c r="E139" s="102">
        <v>6049.6312850699996</v>
      </c>
      <c r="F139" s="102">
        <v>6190.6579952800003</v>
      </c>
      <c r="G139" s="102">
        <v>6540.0942892800003</v>
      </c>
      <c r="H139" s="102">
        <v>6659.6536232800008</v>
      </c>
      <c r="I139" s="102">
        <v>6723.6122072799999</v>
      </c>
      <c r="J139" s="102">
        <v>6819.7586787199998</v>
      </c>
      <c r="K139" s="102">
        <v>6845.9665927199994</v>
      </c>
      <c r="L139" s="102">
        <v>6823.2496857199994</v>
      </c>
      <c r="M139" s="102">
        <v>6830.3006287199996</v>
      </c>
      <c r="N139" s="102">
        <v>6862.6761962799992</v>
      </c>
      <c r="O139" s="102">
        <v>6857.06075728</v>
      </c>
      <c r="P139" s="102">
        <v>7038.8459994900004</v>
      </c>
      <c r="Q139" s="102">
        <v>7153.6967559899995</v>
      </c>
      <c r="R139" s="102">
        <v>7231.071853370001</v>
      </c>
      <c r="S139" s="102">
        <v>7361.3141713700006</v>
      </c>
      <c r="T139" s="102">
        <v>7457.4084166600005</v>
      </c>
      <c r="U139" s="102">
        <v>7517.6129969500016</v>
      </c>
      <c r="V139" s="102">
        <v>7570.8746042800012</v>
      </c>
      <c r="W139" s="102">
        <v>7623.8584269900011</v>
      </c>
      <c r="X139" s="102">
        <v>7671.49110827</v>
      </c>
      <c r="Y139" s="102">
        <v>7821.6667585699997</v>
      </c>
      <c r="Z139" s="102">
        <v>7826.5196185700006</v>
      </c>
      <c r="AA139" s="102">
        <v>7585.6853319299989</v>
      </c>
      <c r="AB139" s="102">
        <v>7272.8061216399983</v>
      </c>
      <c r="AC139" s="102">
        <v>7280.2317804499999</v>
      </c>
      <c r="AD139" s="102">
        <v>7302.70065213</v>
      </c>
      <c r="AE139" s="102">
        <v>7321.66809337</v>
      </c>
      <c r="AF139" s="102">
        <v>7050.9006003699997</v>
      </c>
      <c r="AG139" s="102">
        <v>7083.4706535100004</v>
      </c>
      <c r="AH139" s="102">
        <v>7271.8474564299995</v>
      </c>
      <c r="AI139" s="102">
        <v>7317.5681217900001</v>
      </c>
      <c r="AJ139" s="102">
        <v>7399.08900515</v>
      </c>
      <c r="AK139" s="102">
        <v>7503.8889567599999</v>
      </c>
      <c r="AL139" s="102">
        <v>7598.9103117599998</v>
      </c>
      <c r="AM139" s="102">
        <v>7660.5610282799998</v>
      </c>
      <c r="AN139" s="102">
        <v>8565.0381131300001</v>
      </c>
      <c r="AO139" s="220">
        <v>8551.709790769999</v>
      </c>
      <c r="AP139" s="220">
        <v>12111.026066940001</v>
      </c>
      <c r="AQ139" s="220">
        <v>12108.38772694</v>
      </c>
      <c r="AR139" s="220">
        <v>12627.802743420001</v>
      </c>
      <c r="AS139" s="220">
        <v>13079.235672479999</v>
      </c>
      <c r="AT139" s="220">
        <v>10152.561841109999</v>
      </c>
      <c r="AU139" s="220">
        <v>10188.516431030001</v>
      </c>
      <c r="AV139" s="220">
        <v>10262.776568470001</v>
      </c>
      <c r="AW139" s="220">
        <v>9344.2730644900003</v>
      </c>
      <c r="AX139" s="220">
        <v>9436.5521026900005</v>
      </c>
      <c r="AY139" s="220">
        <v>9687.4023056900005</v>
      </c>
      <c r="AZ139" s="220">
        <f>+SUM(AZ140,AZ141,AZ145,AZ149,AZ152,AZ153,AZ154)</f>
        <v>15077.8968</v>
      </c>
      <c r="BA139" s="220">
        <v>15077.104035279999</v>
      </c>
      <c r="BB139" s="220">
        <v>15087.954428959998</v>
      </c>
      <c r="BC139" s="220">
        <v>15087.936078289998</v>
      </c>
      <c r="BD139" s="220">
        <v>13837.936078289998</v>
      </c>
      <c r="BE139" s="102">
        <v>13913.088262539999</v>
      </c>
      <c r="BF139" s="102">
        <v>13906.10383629</v>
      </c>
      <c r="BG139" s="102">
        <v>13889.68106873</v>
      </c>
      <c r="BH139" s="102">
        <v>13889.66455313</v>
      </c>
      <c r="BI139" s="102">
        <v>13800.55611713</v>
      </c>
      <c r="BJ139" s="102">
        <v>13807.863881130001</v>
      </c>
      <c r="BK139" s="102">
        <v>13808.661611399999</v>
      </c>
      <c r="BL139" s="102">
        <v>13840.526737699998</v>
      </c>
      <c r="BM139" s="220">
        <f t="shared" ref="BM139:DX139" si="826">+SUM(BM140,BM141,BM145,BM149,BM152,BM153,BM154)</f>
        <v>14165.538623699997</v>
      </c>
      <c r="BN139" s="220">
        <f t="shared" si="826"/>
        <v>14172.224043699998</v>
      </c>
      <c r="BO139" s="220">
        <f t="shared" si="826"/>
        <v>14209.751870669998</v>
      </c>
      <c r="BP139" s="220">
        <f t="shared" si="826"/>
        <v>14243.763099669997</v>
      </c>
      <c r="BQ139" s="102">
        <f t="shared" si="826"/>
        <v>14271.210686729997</v>
      </c>
      <c r="BR139" s="102">
        <f t="shared" si="826"/>
        <v>14307.578971729998</v>
      </c>
      <c r="BS139" s="102">
        <f t="shared" si="826"/>
        <v>14341.690421729998</v>
      </c>
      <c r="BT139" s="102">
        <f t="shared" si="826"/>
        <v>14354.206949509999</v>
      </c>
      <c r="BU139" s="102">
        <f t="shared" si="826"/>
        <v>14377.840349509997</v>
      </c>
      <c r="BV139" s="102">
        <f t="shared" si="826"/>
        <v>14403.566400739999</v>
      </c>
      <c r="BW139" s="102">
        <f t="shared" si="826"/>
        <v>14474.647648469998</v>
      </c>
      <c r="BX139" s="102">
        <f t="shared" si="826"/>
        <v>14550.735922530001</v>
      </c>
      <c r="BY139" s="102">
        <f t="shared" si="826"/>
        <v>14716.77978013</v>
      </c>
      <c r="BZ139" s="102">
        <f t="shared" si="826"/>
        <v>14916.759634709999</v>
      </c>
      <c r="CA139" s="102">
        <f t="shared" si="826"/>
        <v>15132.765712709999</v>
      </c>
      <c r="CB139" s="102">
        <f t="shared" si="826"/>
        <v>15165.451621709999</v>
      </c>
      <c r="CC139" s="102">
        <f t="shared" si="826"/>
        <v>15200.901522460001</v>
      </c>
      <c r="CD139" s="102">
        <f t="shared" si="826"/>
        <v>15221.31461247</v>
      </c>
      <c r="CE139" s="102">
        <f t="shared" si="826"/>
        <v>15331.32292216</v>
      </c>
      <c r="CF139" s="102">
        <f t="shared" si="826"/>
        <v>15399.631259849999</v>
      </c>
      <c r="CG139" s="102">
        <f t="shared" si="826"/>
        <v>15519.38850078</v>
      </c>
      <c r="CH139" s="102">
        <f t="shared" si="826"/>
        <v>15718.877391880002</v>
      </c>
      <c r="CI139" s="102">
        <f t="shared" si="826"/>
        <v>15987.327888240003</v>
      </c>
      <c r="CJ139" s="102">
        <f t="shared" si="826"/>
        <v>16128.458083650001</v>
      </c>
      <c r="CK139" s="102">
        <f t="shared" si="826"/>
        <v>16162.26467889</v>
      </c>
      <c r="CL139" s="102">
        <f t="shared" si="826"/>
        <v>16249.72234097</v>
      </c>
      <c r="CM139" s="102">
        <f t="shared" si="826"/>
        <v>16258.490415900002</v>
      </c>
      <c r="CN139" s="102">
        <f t="shared" si="826"/>
        <v>16297.749876650003</v>
      </c>
      <c r="CO139" s="102">
        <f t="shared" si="826"/>
        <v>16379.055712989999</v>
      </c>
      <c r="CP139" s="102">
        <f t="shared" si="826"/>
        <v>16577.568163619999</v>
      </c>
      <c r="CQ139" s="102">
        <f t="shared" si="826"/>
        <v>16664.852390690001</v>
      </c>
      <c r="CR139" s="102">
        <f t="shared" si="826"/>
        <v>16739.552885019999</v>
      </c>
      <c r="CS139" s="102">
        <f t="shared" si="826"/>
        <v>16712.89610808</v>
      </c>
      <c r="CT139" s="102">
        <f t="shared" si="826"/>
        <v>16840.41488004</v>
      </c>
      <c r="CU139" s="102">
        <f t="shared" si="826"/>
        <v>16943.054200849998</v>
      </c>
      <c r="CV139" s="102">
        <f t="shared" si="826"/>
        <v>17049.984147949999</v>
      </c>
      <c r="CW139" s="102">
        <f t="shared" si="826"/>
        <v>17065.903016479999</v>
      </c>
      <c r="CX139" s="102">
        <f t="shared" si="826"/>
        <v>17172.456684479999</v>
      </c>
      <c r="CY139" s="102">
        <f t="shared" si="826"/>
        <v>17275.52172348</v>
      </c>
      <c r="CZ139" s="102">
        <f t="shared" si="826"/>
        <v>17299.450520480001</v>
      </c>
      <c r="DA139" s="102">
        <f t="shared" si="826"/>
        <v>17319.15854688</v>
      </c>
      <c r="DB139" s="102">
        <f t="shared" si="826"/>
        <v>17246.17713801</v>
      </c>
      <c r="DC139" s="102">
        <f t="shared" si="826"/>
        <v>17219.493302750001</v>
      </c>
      <c r="DD139" s="102">
        <f t="shared" si="826"/>
        <v>17140.527206749997</v>
      </c>
      <c r="DE139" s="102">
        <f t="shared" si="826"/>
        <v>17002.292244749999</v>
      </c>
      <c r="DF139" s="102">
        <f t="shared" si="826"/>
        <v>16999.034698750002</v>
      </c>
      <c r="DG139" s="102">
        <f t="shared" si="826"/>
        <v>17055.883940750002</v>
      </c>
      <c r="DH139" s="102">
        <f t="shared" si="826"/>
        <v>17075.98169465</v>
      </c>
      <c r="DI139" s="102">
        <f t="shared" si="826"/>
        <v>17098.836411650002</v>
      </c>
      <c r="DJ139" s="102">
        <f t="shared" si="826"/>
        <v>17109.546852079999</v>
      </c>
      <c r="DK139" s="102">
        <f t="shared" si="826"/>
        <v>17154.21633494</v>
      </c>
      <c r="DL139" s="102">
        <f t="shared" si="826"/>
        <v>17214.113018440003</v>
      </c>
      <c r="DM139" s="102">
        <f t="shared" si="826"/>
        <v>17289.090527890003</v>
      </c>
      <c r="DN139" s="102">
        <f t="shared" si="826"/>
        <v>17301.657056890002</v>
      </c>
      <c r="DO139" s="102">
        <f t="shared" si="826"/>
        <v>17316.122247890002</v>
      </c>
      <c r="DP139" s="102">
        <f t="shared" si="826"/>
        <v>17335.884714129999</v>
      </c>
      <c r="DQ139" s="940">
        <f t="shared" si="826"/>
        <v>17377.126513130002</v>
      </c>
      <c r="DR139" s="940">
        <f t="shared" si="826"/>
        <v>17607.875042</v>
      </c>
      <c r="DS139" s="940">
        <f t="shared" si="826"/>
        <v>17756.53459739</v>
      </c>
      <c r="DT139" s="940">
        <f t="shared" si="826"/>
        <v>17842.191409619998</v>
      </c>
      <c r="DU139" s="940">
        <f t="shared" si="826"/>
        <v>17886.889959619999</v>
      </c>
      <c r="DV139" s="940">
        <f t="shared" si="826"/>
        <v>17995.118314620002</v>
      </c>
      <c r="DW139" s="940">
        <f t="shared" si="826"/>
        <v>18224.130658280003</v>
      </c>
      <c r="DX139" s="940">
        <f t="shared" si="826"/>
        <v>18451.765293550001</v>
      </c>
      <c r="DY139" s="940">
        <f t="shared" ref="DY139:EF139" si="827">+SUM(DY140,DY141,DY145,DY149,DY152,DY153,DY154)</f>
        <v>18495.633540219998</v>
      </c>
      <c r="DZ139" s="940">
        <f t="shared" si="827"/>
        <v>18828.394317029997</v>
      </c>
      <c r="EA139" s="940">
        <f t="shared" si="827"/>
        <v>19266.46405803</v>
      </c>
      <c r="EB139" s="940">
        <f t="shared" si="827"/>
        <v>19767.621008900001</v>
      </c>
      <c r="EC139" s="940">
        <f t="shared" si="827"/>
        <v>20198.160361880004</v>
      </c>
      <c r="ED139" s="940">
        <f t="shared" si="827"/>
        <v>20631.72335113</v>
      </c>
      <c r="EE139" s="940">
        <f t="shared" si="827"/>
        <v>20831.252442620003</v>
      </c>
      <c r="EF139" s="940">
        <f t="shared" si="827"/>
        <v>20289.127739359999</v>
      </c>
      <c r="EH139" s="220" t="e">
        <f t="shared" ref="EH139:ES139" si="828">+SUM(EH140,EH141,EH145,EH149,EH152,EH153)</f>
        <v>#VALUE!</v>
      </c>
      <c r="EI139" s="220" t="e">
        <f t="shared" si="828"/>
        <v>#VALUE!</v>
      </c>
      <c r="EJ139" s="220" t="e">
        <f t="shared" si="828"/>
        <v>#VALUE!</v>
      </c>
      <c r="EK139" s="220" t="e">
        <f t="shared" si="828"/>
        <v>#VALUE!</v>
      </c>
      <c r="EL139" s="220" t="e">
        <f t="shared" si="828"/>
        <v>#VALUE!</v>
      </c>
      <c r="EM139" s="220" t="e">
        <f t="shared" si="828"/>
        <v>#VALUE!</v>
      </c>
      <c r="EN139" s="220" t="e">
        <f t="shared" si="828"/>
        <v>#VALUE!</v>
      </c>
      <c r="EO139" s="220" t="e">
        <f t="shared" si="828"/>
        <v>#VALUE!</v>
      </c>
      <c r="EP139" s="220" t="e">
        <f t="shared" si="828"/>
        <v>#VALUE!</v>
      </c>
      <c r="EQ139" s="220" t="e">
        <f t="shared" si="828"/>
        <v>#VALUE!</v>
      </c>
      <c r="ER139" s="220" t="e">
        <f t="shared" si="828"/>
        <v>#VALUE!</v>
      </c>
      <c r="ES139" s="220" t="e">
        <f t="shared" si="828"/>
        <v>#VALUE!</v>
      </c>
      <c r="ET139" s="279"/>
      <c r="EU139" s="102">
        <f t="shared" ref="EU139:FZ139" si="829">+SUM(EU140,EU141,EU145,EU149,EU152,EU153)</f>
        <v>7651.3930709700007</v>
      </c>
      <c r="EV139" s="102">
        <f t="shared" si="829"/>
        <v>12978.246457970001</v>
      </c>
      <c r="EW139" s="102">
        <f t="shared" si="829"/>
        <v>13780.707221636667</v>
      </c>
      <c r="EX139" s="102">
        <f t="shared" si="829"/>
        <v>13920.841888303332</v>
      </c>
      <c r="EY139" s="102">
        <f t="shared" si="829"/>
        <v>14545.744873969999</v>
      </c>
      <c r="EZ139" s="102">
        <f t="shared" si="829"/>
        <v>13558.379540636666</v>
      </c>
      <c r="FA139" s="102">
        <f t="shared" si="829"/>
        <v>13725.864207303332</v>
      </c>
      <c r="FB139" s="102">
        <f t="shared" si="829"/>
        <v>13830.948873969999</v>
      </c>
      <c r="FC139" s="102">
        <f t="shared" si="829"/>
        <v>13938.033540636665</v>
      </c>
      <c r="FD139" s="102">
        <f t="shared" si="829"/>
        <v>14103.118207303332</v>
      </c>
      <c r="FE139" s="102">
        <f t="shared" si="829"/>
        <v>14219.602873969998</v>
      </c>
      <c r="FF139" s="102">
        <f t="shared" si="829"/>
        <v>14319.787540636666</v>
      </c>
      <c r="FG139" s="102">
        <f t="shared" si="829"/>
        <v>8818.9089624600001</v>
      </c>
      <c r="FH139" s="102">
        <f t="shared" si="829"/>
        <v>8845.9181324599995</v>
      </c>
      <c r="FI139" s="102">
        <f t="shared" si="829"/>
        <v>8007.777302460001</v>
      </c>
      <c r="FJ139" s="102">
        <f t="shared" si="829"/>
        <v>8014.7864724600004</v>
      </c>
      <c r="FK139" s="102">
        <f t="shared" si="829"/>
        <v>8021.7956424600006</v>
      </c>
      <c r="FL139" s="102">
        <f t="shared" si="829"/>
        <v>8067.30481246</v>
      </c>
      <c r="FM139" s="102">
        <f t="shared" si="829"/>
        <v>8107.4139824600006</v>
      </c>
      <c r="FN139" s="102">
        <f t="shared" si="829"/>
        <v>8135.42315246</v>
      </c>
      <c r="FO139" s="102">
        <f t="shared" si="829"/>
        <v>8163.4323224600012</v>
      </c>
      <c r="FP139" s="102">
        <f t="shared" si="829"/>
        <v>8176.4414924600005</v>
      </c>
      <c r="FQ139" s="102">
        <f t="shared" si="829"/>
        <v>8188.250662460001</v>
      </c>
      <c r="FR139" s="102">
        <f t="shared" si="829"/>
        <v>8200.0598324599996</v>
      </c>
      <c r="FS139" s="102">
        <f t="shared" si="829"/>
        <v>13871.294257399999</v>
      </c>
      <c r="FT139" s="102">
        <f t="shared" si="829"/>
        <v>13871.946585399999</v>
      </c>
      <c r="FU139" s="102">
        <f t="shared" si="829"/>
        <v>13878.955755399998</v>
      </c>
      <c r="FV139" s="102">
        <f t="shared" si="829"/>
        <v>13885.964925399998</v>
      </c>
      <c r="FW139" s="102">
        <f t="shared" si="829"/>
        <v>13892.974095399999</v>
      </c>
      <c r="FX139" s="102">
        <f t="shared" si="829"/>
        <v>13899.983265399998</v>
      </c>
      <c r="FY139" s="102">
        <f t="shared" si="829"/>
        <v>13906.9924354</v>
      </c>
      <c r="FZ139" s="102">
        <f t="shared" si="829"/>
        <v>13914.001605400001</v>
      </c>
      <c r="GA139" s="102">
        <f t="shared" ref="GA139:HB139" si="830">+SUM(GA140,GA141,GA145,GA149,GA152,GA153)</f>
        <v>13921.010775399998</v>
      </c>
      <c r="GB139" s="102">
        <f t="shared" si="830"/>
        <v>13928.019945399999</v>
      </c>
      <c r="GC139" s="102">
        <f t="shared" si="830"/>
        <v>13935.029115399997</v>
      </c>
      <c r="GD139" s="102">
        <f t="shared" si="830"/>
        <v>13940.838285399997</v>
      </c>
      <c r="GE139" s="102" t="e">
        <f t="shared" si="830"/>
        <v>#VALUE!</v>
      </c>
      <c r="GF139" s="102" t="e">
        <f t="shared" si="830"/>
        <v>#VALUE!</v>
      </c>
      <c r="GG139" s="102" t="e">
        <f t="shared" si="830"/>
        <v>#VALUE!</v>
      </c>
      <c r="GH139" s="102" t="e">
        <f t="shared" si="830"/>
        <v>#VALUE!</v>
      </c>
      <c r="GI139" s="102" t="e">
        <f t="shared" si="830"/>
        <v>#VALUE!</v>
      </c>
      <c r="GJ139" s="102" t="e">
        <f t="shared" si="830"/>
        <v>#VALUE!</v>
      </c>
      <c r="GK139" s="102" t="e">
        <f t="shared" si="830"/>
        <v>#VALUE!</v>
      </c>
      <c r="GL139" s="102" t="e">
        <f t="shared" si="830"/>
        <v>#VALUE!</v>
      </c>
      <c r="GM139" s="102" t="e">
        <f t="shared" si="830"/>
        <v>#VALUE!</v>
      </c>
      <c r="GN139" s="102" t="e">
        <f t="shared" si="830"/>
        <v>#VALUE!</v>
      </c>
      <c r="GO139" s="102" t="e">
        <f t="shared" si="830"/>
        <v>#VALUE!</v>
      </c>
      <c r="GP139" s="102" t="e">
        <f t="shared" si="830"/>
        <v>#VALUE!</v>
      </c>
      <c r="GQ139" s="102" t="e">
        <f t="shared" si="830"/>
        <v>#VALUE!</v>
      </c>
      <c r="GR139" s="102" t="e">
        <f t="shared" si="830"/>
        <v>#VALUE!</v>
      </c>
      <c r="GS139" s="102" t="e">
        <f t="shared" si="830"/>
        <v>#VALUE!</v>
      </c>
      <c r="GT139" s="102" t="e">
        <f t="shared" si="830"/>
        <v>#VALUE!</v>
      </c>
      <c r="GU139" s="102" t="e">
        <f t="shared" si="830"/>
        <v>#VALUE!</v>
      </c>
      <c r="GV139" s="102" t="e">
        <f t="shared" si="830"/>
        <v>#VALUE!</v>
      </c>
      <c r="GW139" s="102" t="e">
        <f t="shared" si="830"/>
        <v>#VALUE!</v>
      </c>
      <c r="GX139" s="102" t="e">
        <f t="shared" si="830"/>
        <v>#VALUE!</v>
      </c>
      <c r="GY139" s="102" t="e">
        <f t="shared" si="830"/>
        <v>#VALUE!</v>
      </c>
      <c r="GZ139" s="102" t="e">
        <f t="shared" si="830"/>
        <v>#VALUE!</v>
      </c>
      <c r="HA139" s="102" t="e">
        <f t="shared" si="830"/>
        <v>#VALUE!</v>
      </c>
      <c r="HB139" s="102" t="e">
        <f t="shared" si="830"/>
        <v>#VALUE!</v>
      </c>
      <c r="HD139" s="102">
        <f t="shared" si="776"/>
        <v>7038.8459994900004</v>
      </c>
      <c r="HE139" s="102">
        <f t="shared" si="776"/>
        <v>7272.8061216399983</v>
      </c>
      <c r="HF139" s="102">
        <f t="shared" si="776"/>
        <v>8565.0381131300001</v>
      </c>
      <c r="HG139" s="102">
        <f t="shared" si="776"/>
        <v>15077.8968</v>
      </c>
      <c r="HH139" s="102">
        <f t="shared" si="777"/>
        <v>13840.526737699998</v>
      </c>
      <c r="HI139" s="102">
        <f t="shared" si="778"/>
        <v>14550.735922530001</v>
      </c>
      <c r="HJ139" s="102">
        <f t="shared" si="696"/>
        <v>16128.458083650001</v>
      </c>
      <c r="HK139" s="102">
        <f t="shared" si="697"/>
        <v>17049.984147949999</v>
      </c>
      <c r="HL139" s="940">
        <f>+SUMIFS($E139:SEW139,$E$6:SEW$6,HL$7,$E$5:SEW$5,12)</f>
        <v>17075.98169465</v>
      </c>
      <c r="HM139" s="940">
        <f>+SUMIFS($E139:SEX139,$E$6:SEX$6,HM$7,$E$5:SEX$5,12)</f>
        <v>17842.191409619998</v>
      </c>
      <c r="HN139" s="940">
        <f>+SUMIFS($E139:SEY139,$E$6:SEY$6,HN$7,$E$5:SEY$5,12)</f>
        <v>20289.127739359999</v>
      </c>
      <c r="HO139" s="102"/>
      <c r="HP139" s="102"/>
      <c r="HR139" s="929">
        <f t="shared" si="779"/>
        <v>0.17767997247238698</v>
      </c>
      <c r="HS139" s="929">
        <f t="shared" si="780"/>
        <v>0.76040043264792279</v>
      </c>
      <c r="HT139" s="929">
        <f t="shared" si="781"/>
        <v>-8.2065163246110129E-2</v>
      </c>
      <c r="HU139" s="929">
        <f t="shared" si="738"/>
        <v>5.1313739591678509E-2</v>
      </c>
      <c r="HV139" s="929">
        <f t="shared" si="739"/>
        <v>0.10842902857422443</v>
      </c>
      <c r="HW139" s="929">
        <f t="shared" si="740"/>
        <v>5.7136649983558163E-2</v>
      </c>
      <c r="HX139" s="929">
        <f t="shared" si="741"/>
        <v>1.5247842153054414E-3</v>
      </c>
      <c r="HY139" s="929">
        <f t="shared" si="741"/>
        <v>4.4870609998958644E-2</v>
      </c>
      <c r="HZ139" s="929">
        <f t="shared" si="741"/>
        <v>0.13714326192132908</v>
      </c>
      <c r="IA139" s="929">
        <f t="shared" si="762"/>
        <v>-1</v>
      </c>
      <c r="IB139" s="929" t="str">
        <f t="shared" si="782"/>
        <v/>
      </c>
      <c r="IC139" s="929">
        <f t="shared" si="763"/>
        <v>-1</v>
      </c>
      <c r="IE139" s="102">
        <f t="shared" si="783"/>
        <v>1292.2319914900017</v>
      </c>
      <c r="IF139" s="102">
        <f t="shared" si="784"/>
        <v>6512.8586868700004</v>
      </c>
      <c r="IG139" s="102">
        <f t="shared" si="785"/>
        <v>-1237.3700623000022</v>
      </c>
      <c r="IH139" s="102">
        <f t="shared" si="742"/>
        <v>710.20918483000241</v>
      </c>
      <c r="II139" s="102">
        <f t="shared" si="767"/>
        <v>1577.7221611200002</v>
      </c>
      <c r="IJ139" s="102">
        <f t="shared" si="768"/>
        <v>921.52606429999832</v>
      </c>
      <c r="IK139" s="102">
        <f t="shared" si="769"/>
        <v>25.997546700000385</v>
      </c>
      <c r="IL139" s="102">
        <f t="shared" si="764"/>
        <v>-17075.98169465</v>
      </c>
      <c r="IM139" s="102">
        <f t="shared" si="786"/>
        <v>0</v>
      </c>
      <c r="IN139" s="102">
        <f t="shared" si="765"/>
        <v>-17075.98169465</v>
      </c>
      <c r="IP139" s="973"/>
      <c r="IQ139" s="973"/>
      <c r="IR139" s="973"/>
      <c r="IS139" s="973"/>
      <c r="IT139" s="973"/>
      <c r="IU139" s="973"/>
      <c r="IV139" s="973"/>
      <c r="IW139" s="973"/>
      <c r="IX139" s="973"/>
      <c r="IY139" s="973"/>
      <c r="JA139" s="102">
        <f t="shared" si="727"/>
        <v>7038.8459994900004</v>
      </c>
      <c r="JB139" s="102">
        <f t="shared" si="816"/>
        <v>7272.8061216399983</v>
      </c>
      <c r="JC139" s="102">
        <f t="shared" si="816"/>
        <v>8565.0381131300001</v>
      </c>
      <c r="JD139" s="102">
        <f t="shared" si="816"/>
        <v>15077.8968</v>
      </c>
      <c r="JE139" s="102">
        <f t="shared" si="816"/>
        <v>13840.526737699998</v>
      </c>
      <c r="JF139" s="102">
        <f t="shared" si="816"/>
        <v>14550.735922530001</v>
      </c>
      <c r="JG139" s="102">
        <f t="shared" si="816"/>
        <v>16128.458083650001</v>
      </c>
      <c r="JH139" s="102">
        <f t="shared" si="816"/>
        <v>17049.984147949999</v>
      </c>
      <c r="JI139" s="102">
        <f t="shared" si="816"/>
        <v>17075.98169465</v>
      </c>
      <c r="JJ139" s="102">
        <f t="shared" si="816"/>
        <v>17842.191409619998</v>
      </c>
      <c r="JK139" s="102">
        <f t="shared" si="816"/>
        <v>20289.127739359999</v>
      </c>
      <c r="JL139" s="102">
        <f t="shared" si="728"/>
        <v>20289.127739359999</v>
      </c>
      <c r="JM139" s="102"/>
      <c r="JN139" s="102"/>
      <c r="JP139" s="102">
        <f t="shared" si="787"/>
        <v>0</v>
      </c>
      <c r="JQ139" s="102">
        <f t="shared" si="788"/>
        <v>0</v>
      </c>
      <c r="JR139" s="145"/>
      <c r="JS139" s="929" t="str">
        <f t="shared" si="789"/>
        <v>NA</v>
      </c>
      <c r="JT139" s="930">
        <f t="shared" si="790"/>
        <v>0</v>
      </c>
      <c r="JV139" s="973"/>
      <c r="JW139" s="973"/>
      <c r="JY139" s="929">
        <f t="shared" si="817"/>
        <v>0.17767997247238698</v>
      </c>
      <c r="JZ139" s="929">
        <f t="shared" si="818"/>
        <v>0.76040043264792279</v>
      </c>
      <c r="KA139" s="929">
        <f t="shared" si="819"/>
        <v>-8.2065163246110129E-2</v>
      </c>
      <c r="KB139" s="929">
        <f t="shared" si="820"/>
        <v>5.1313739591678509E-2</v>
      </c>
      <c r="KC139" s="929">
        <f t="shared" si="821"/>
        <v>0.10842902857422443</v>
      </c>
      <c r="KD139" s="929">
        <f t="shared" si="822"/>
        <v>5.7136649983558163E-2</v>
      </c>
      <c r="KE139" s="929">
        <f t="shared" si="823"/>
        <v>1.5247842153054414E-3</v>
      </c>
      <c r="KF139" s="929">
        <f t="shared" si="824"/>
        <v>-1</v>
      </c>
      <c r="KH139" s="102">
        <f t="shared" si="792"/>
        <v>1292.2319914900017</v>
      </c>
      <c r="KI139" s="102">
        <f t="shared" si="793"/>
        <v>6512.8586868700004</v>
      </c>
      <c r="KJ139" s="102">
        <f t="shared" si="794"/>
        <v>-1237.3700623000022</v>
      </c>
      <c r="KK139" s="102">
        <f t="shared" si="795"/>
        <v>710.20918483000241</v>
      </c>
      <c r="KL139" s="102">
        <f t="shared" si="796"/>
        <v>1577.7221611200002</v>
      </c>
      <c r="KM139" s="102">
        <f t="shared" si="797"/>
        <v>921.52606429999832</v>
      </c>
      <c r="KN139" s="102">
        <f t="shared" si="798"/>
        <v>25.997546700000385</v>
      </c>
      <c r="KO139" s="102">
        <f t="shared" si="711"/>
        <v>-17075.98169465</v>
      </c>
      <c r="KQ139" s="973"/>
      <c r="KR139" s="973"/>
      <c r="KS139" s="973"/>
      <c r="KT139" s="973"/>
      <c r="KU139" s="973"/>
      <c r="KV139" s="973"/>
      <c r="KW139" s="973"/>
      <c r="KX139" s="973"/>
      <c r="KY139" s="973"/>
      <c r="KZ139" s="973"/>
      <c r="LB139" s="102">
        <f t="shared" si="737"/>
        <v>7038.8459994900004</v>
      </c>
      <c r="LC139" s="102">
        <f t="shared" si="825"/>
        <v>7272.8061216399983</v>
      </c>
      <c r="LD139" s="102">
        <f t="shared" si="825"/>
        <v>8565.0381131300001</v>
      </c>
      <c r="LE139" s="102">
        <f t="shared" si="825"/>
        <v>15077.8968</v>
      </c>
      <c r="LF139" s="102">
        <f t="shared" si="825"/>
        <v>13840.526737699998</v>
      </c>
      <c r="LG139" s="102">
        <f t="shared" si="825"/>
        <v>14550.735922530001</v>
      </c>
      <c r="LH139" s="102">
        <f t="shared" si="825"/>
        <v>16128.458083650001</v>
      </c>
      <c r="LI139" s="102">
        <f t="shared" si="825"/>
        <v>17049.984147949999</v>
      </c>
      <c r="LJ139" s="102">
        <f t="shared" si="825"/>
        <v>17075.98169465</v>
      </c>
      <c r="LK139" s="102">
        <f t="shared" si="825"/>
        <v>17842.191409619998</v>
      </c>
      <c r="LL139" s="102">
        <f t="shared" si="825"/>
        <v>20289.127739359999</v>
      </c>
      <c r="LM139" s="102">
        <f t="shared" si="825"/>
        <v>20289.127739359999</v>
      </c>
      <c r="LN139" s="102"/>
      <c r="LO139" s="102"/>
      <c r="LR139" s="32">
        <f t="shared" si="799"/>
        <v>0.17767997247238698</v>
      </c>
      <c r="LS139" s="32">
        <f t="shared" si="800"/>
        <v>0.76040043264792279</v>
      </c>
      <c r="LT139" s="32">
        <f t="shared" si="801"/>
        <v>-8.2065163246110129E-2</v>
      </c>
      <c r="LU139" s="32">
        <f t="shared" si="802"/>
        <v>5.1313739591678509E-2</v>
      </c>
      <c r="LV139" s="32">
        <f t="shared" si="803"/>
        <v>0.10842902857422443</v>
      </c>
      <c r="LW139" s="32">
        <f t="shared" si="804"/>
        <v>5.7136649983558163E-2</v>
      </c>
      <c r="LX139" s="32">
        <f t="shared" si="719"/>
        <v>-1</v>
      </c>
      <c r="LZ139" s="102">
        <f t="shared" si="805"/>
        <v>1292.2319914900017</v>
      </c>
      <c r="MA139" s="102">
        <f t="shared" si="806"/>
        <v>6512.8586868700004</v>
      </c>
      <c r="MB139" s="102">
        <f t="shared" si="807"/>
        <v>-1237.3700623000022</v>
      </c>
      <c r="MC139" s="102">
        <f t="shared" si="808"/>
        <v>710.20918483000241</v>
      </c>
      <c r="MD139" s="102">
        <f t="shared" si="809"/>
        <v>1577.7221611200002</v>
      </c>
      <c r="ME139" s="102">
        <f t="shared" si="810"/>
        <v>921.52606429999832</v>
      </c>
      <c r="MF139" s="102">
        <f t="shared" si="726"/>
        <v>-17049.984147949999</v>
      </c>
      <c r="MH139" s="973"/>
      <c r="MI139" s="973"/>
      <c r="MJ139" s="973"/>
      <c r="MK139" s="973"/>
      <c r="ML139" s="973"/>
      <c r="MM139" s="973"/>
      <c r="MN139" s="973"/>
      <c r="MO139" s="973"/>
      <c r="MP139" s="973"/>
    </row>
    <row r="140" spans="1:354" outlineLevel="3">
      <c r="A140" s="884">
        <v>1504</v>
      </c>
      <c r="B140" s="70" t="s">
        <v>702</v>
      </c>
      <c r="C140" s="40" t="s">
        <v>124</v>
      </c>
      <c r="D140" s="31" t="s">
        <v>59</v>
      </c>
      <c r="E140" s="102">
        <v>0</v>
      </c>
      <c r="F140" s="102">
        <v>0</v>
      </c>
      <c r="G140" s="102">
        <v>0</v>
      </c>
      <c r="H140" s="102">
        <v>0</v>
      </c>
      <c r="I140" s="102">
        <v>0</v>
      </c>
      <c r="J140" s="102">
        <v>0</v>
      </c>
      <c r="K140" s="102">
        <v>0</v>
      </c>
      <c r="L140" s="102">
        <v>0</v>
      </c>
      <c r="M140" s="102">
        <v>0</v>
      </c>
      <c r="N140" s="102">
        <v>0</v>
      </c>
      <c r="O140" s="102">
        <v>141.55000000000001</v>
      </c>
      <c r="P140" s="102">
        <v>141.55000000000001</v>
      </c>
      <c r="Q140" s="102">
        <v>141.55000000000001</v>
      </c>
      <c r="R140" s="102">
        <v>141.55000000000001</v>
      </c>
      <c r="S140" s="102">
        <v>141.55000000000001</v>
      </c>
      <c r="T140" s="102">
        <v>141.55000000000001</v>
      </c>
      <c r="U140" s="102">
        <v>141.55000000000001</v>
      </c>
      <c r="V140" s="102">
        <v>141.55000000000001</v>
      </c>
      <c r="W140" s="102">
        <v>141.55000000000001</v>
      </c>
      <c r="X140" s="102">
        <v>141.55000000000001</v>
      </c>
      <c r="Y140" s="102">
        <v>141.55000000000001</v>
      </c>
      <c r="Z140" s="102">
        <v>141.55000000000001</v>
      </c>
      <c r="AA140" s="102">
        <v>141.55000000000001</v>
      </c>
      <c r="AB140" s="102">
        <v>141.55000000000001</v>
      </c>
      <c r="AC140" s="102">
        <v>141.55000000000001</v>
      </c>
      <c r="AD140" s="102">
        <v>141.55000000000001</v>
      </c>
      <c r="AE140" s="102">
        <v>141.55000000000001</v>
      </c>
      <c r="AF140" s="102">
        <v>141.55000000000001</v>
      </c>
      <c r="AG140" s="102">
        <v>141.55000000000001</v>
      </c>
      <c r="AH140" s="102">
        <v>141.55000000000001</v>
      </c>
      <c r="AI140" s="102">
        <v>141.55000000000001</v>
      </c>
      <c r="AJ140" s="102">
        <v>141.55000000000001</v>
      </c>
      <c r="AK140" s="102">
        <v>141.55000000000001</v>
      </c>
      <c r="AL140" s="102">
        <v>141.55000000000001</v>
      </c>
      <c r="AM140" s="102">
        <v>141.55000000000001</v>
      </c>
      <c r="AN140" s="102">
        <v>141.55000000000001</v>
      </c>
      <c r="AO140" s="102">
        <v>141.55000000000001</v>
      </c>
      <c r="AP140" s="145">
        <v>3491.55</v>
      </c>
      <c r="AQ140" s="220">
        <v>3491.55</v>
      </c>
      <c r="AR140" s="220">
        <v>3491.55</v>
      </c>
      <c r="AS140" s="102">
        <v>141.55000000000001</v>
      </c>
      <c r="AT140" s="102">
        <v>141.55000000000001</v>
      </c>
      <c r="AU140" s="102">
        <v>141.55000000000001</v>
      </c>
      <c r="AV140" s="102">
        <v>141.55000000000001</v>
      </c>
      <c r="AW140" s="102">
        <v>141.55000000000001</v>
      </c>
      <c r="AX140" s="102">
        <v>141.55000000000001</v>
      </c>
      <c r="AY140" s="102">
        <v>141.55000000000001</v>
      </c>
      <c r="AZ140" s="102">
        <v>0</v>
      </c>
      <c r="BA140" s="102">
        <v>0</v>
      </c>
      <c r="BB140" s="102">
        <v>0</v>
      </c>
      <c r="BC140" s="102">
        <v>0</v>
      </c>
      <c r="BD140" s="102">
        <v>0</v>
      </c>
      <c r="BE140" s="102">
        <v>0</v>
      </c>
      <c r="BF140" s="102">
        <v>0</v>
      </c>
      <c r="BG140" s="102">
        <v>0</v>
      </c>
      <c r="BH140" s="102">
        <v>0</v>
      </c>
      <c r="BI140" s="102">
        <v>0</v>
      </c>
      <c r="BJ140" s="102">
        <v>0</v>
      </c>
      <c r="BK140" s="102">
        <v>0</v>
      </c>
      <c r="BL140" s="102">
        <v>0</v>
      </c>
      <c r="BM140" s="102">
        <v>0</v>
      </c>
      <c r="BN140" s="102">
        <v>0</v>
      </c>
      <c r="BO140" s="102">
        <v>0</v>
      </c>
      <c r="BP140" s="102">
        <v>0</v>
      </c>
      <c r="BQ140" s="102">
        <v>0</v>
      </c>
      <c r="BR140" s="102">
        <v>0</v>
      </c>
      <c r="BS140" s="102">
        <v>0</v>
      </c>
      <c r="BT140" s="102">
        <v>0</v>
      </c>
      <c r="BU140" s="102">
        <v>0</v>
      </c>
      <c r="BV140" s="102">
        <v>0</v>
      </c>
      <c r="BW140" s="102">
        <v>0</v>
      </c>
      <c r="BX140" s="102">
        <v>0</v>
      </c>
      <c r="BY140" s="102">
        <v>0</v>
      </c>
      <c r="BZ140" s="102">
        <v>0</v>
      </c>
      <c r="CA140" s="102">
        <v>0</v>
      </c>
      <c r="CB140" s="102">
        <v>0</v>
      </c>
      <c r="CC140" s="102">
        <v>0</v>
      </c>
      <c r="CD140" s="102">
        <v>0</v>
      </c>
      <c r="CE140" s="102">
        <v>0</v>
      </c>
      <c r="CF140" s="102">
        <v>0</v>
      </c>
      <c r="CG140" s="102">
        <v>0</v>
      </c>
      <c r="CH140" s="102">
        <v>0</v>
      </c>
      <c r="CI140" s="102">
        <v>0</v>
      </c>
      <c r="CJ140" s="102">
        <v>0</v>
      </c>
      <c r="CK140" s="102">
        <v>0</v>
      </c>
      <c r="CL140" s="102">
        <v>0</v>
      </c>
      <c r="CM140" s="102">
        <v>0</v>
      </c>
      <c r="CN140" s="102">
        <v>0</v>
      </c>
      <c r="CO140" s="102">
        <v>0</v>
      </c>
      <c r="CP140" s="102">
        <v>0</v>
      </c>
      <c r="CQ140" s="102">
        <v>0</v>
      </c>
      <c r="CR140" s="102">
        <v>0</v>
      </c>
      <c r="CS140" s="102">
        <v>0</v>
      </c>
      <c r="CT140" s="102">
        <v>0</v>
      </c>
      <c r="CU140" s="102">
        <v>0</v>
      </c>
      <c r="CV140" s="102">
        <v>0</v>
      </c>
      <c r="CW140" s="102">
        <v>0</v>
      </c>
      <c r="CX140" s="102">
        <v>0</v>
      </c>
      <c r="CY140" s="102">
        <v>0</v>
      </c>
      <c r="CZ140" s="102">
        <v>0</v>
      </c>
      <c r="DA140" s="102">
        <v>0</v>
      </c>
      <c r="DB140" s="102">
        <v>0</v>
      </c>
      <c r="DC140" s="102">
        <v>0</v>
      </c>
      <c r="DD140" s="102">
        <v>0</v>
      </c>
      <c r="DE140" s="102">
        <v>0</v>
      </c>
      <c r="DF140" s="102">
        <v>0</v>
      </c>
      <c r="DG140" s="102">
        <v>0</v>
      </c>
      <c r="DH140" s="102">
        <v>0</v>
      </c>
      <c r="DI140" s="102">
        <v>0</v>
      </c>
      <c r="DJ140" s="102">
        <v>0</v>
      </c>
      <c r="DK140" s="102">
        <v>0</v>
      </c>
      <c r="DL140" s="102">
        <v>0</v>
      </c>
      <c r="DM140" s="102">
        <v>0</v>
      </c>
      <c r="DN140" s="102">
        <v>0</v>
      </c>
      <c r="DO140" s="102">
        <v>0</v>
      </c>
      <c r="DP140" s="102">
        <v>0</v>
      </c>
      <c r="DQ140" s="940">
        <v>0</v>
      </c>
      <c r="DR140" s="940">
        <v>0</v>
      </c>
      <c r="DS140" s="940">
        <v>0</v>
      </c>
      <c r="DT140" s="940">
        <v>0</v>
      </c>
      <c r="DU140" s="940">
        <v>0</v>
      </c>
      <c r="DV140" s="940">
        <v>0</v>
      </c>
      <c r="DW140" s="940">
        <v>0</v>
      </c>
      <c r="DX140" s="940">
        <v>0</v>
      </c>
      <c r="DY140" s="940">
        <v>0</v>
      </c>
      <c r="DZ140" s="940">
        <v>0</v>
      </c>
      <c r="EA140" s="940">
        <v>0</v>
      </c>
      <c r="EB140" s="940">
        <v>0</v>
      </c>
      <c r="EC140" s="940">
        <v>0</v>
      </c>
      <c r="ED140" s="940">
        <v>0</v>
      </c>
      <c r="EE140" s="940">
        <v>0</v>
      </c>
      <c r="EF140" s="940">
        <v>0</v>
      </c>
      <c r="EH140" s="102" t="e">
        <v>#VALUE!</v>
      </c>
      <c r="EI140" s="102" t="e">
        <v>#VALUE!</v>
      </c>
      <c r="EJ140" s="102" t="e">
        <v>#VALUE!</v>
      </c>
      <c r="EK140" s="102" t="e">
        <v>#VALUE!</v>
      </c>
      <c r="EL140" s="102" t="e">
        <v>#VALUE!</v>
      </c>
      <c r="EM140" s="102" t="e">
        <v>#VALUE!</v>
      </c>
      <c r="EN140" s="102" t="e">
        <v>#VALUE!</v>
      </c>
      <c r="EO140" s="102" t="e">
        <v>#VALUE!</v>
      </c>
      <c r="EP140" s="102" t="e">
        <v>#VALUE!</v>
      </c>
      <c r="EQ140" s="102" t="e">
        <v>#VALUE!</v>
      </c>
      <c r="ER140" s="102" t="e">
        <v>#VALUE!</v>
      </c>
      <c r="ES140" s="102" t="e">
        <v>#VALUE!</v>
      </c>
      <c r="EU140" s="102">
        <v>141.55000000000001</v>
      </c>
      <c r="EV140" s="102">
        <v>141.55000000000001</v>
      </c>
      <c r="EW140" s="102">
        <v>141.55000000000001</v>
      </c>
      <c r="EX140" s="102">
        <v>141.55000000000001</v>
      </c>
      <c r="EY140" s="102">
        <v>141.55000000000001</v>
      </c>
      <c r="EZ140" s="102">
        <v>0</v>
      </c>
      <c r="FA140" s="102">
        <v>0</v>
      </c>
      <c r="FB140" s="102">
        <v>0</v>
      </c>
      <c r="FC140" s="102">
        <v>0</v>
      </c>
      <c r="FD140" s="102">
        <v>0</v>
      </c>
      <c r="FE140" s="102">
        <v>0</v>
      </c>
      <c r="FF140" s="102">
        <v>0</v>
      </c>
      <c r="FG140" s="102">
        <v>141.55000000000001</v>
      </c>
      <c r="FH140" s="102">
        <v>141.55000000000001</v>
      </c>
      <c r="FI140" s="102">
        <v>0</v>
      </c>
      <c r="FJ140" s="102">
        <v>0</v>
      </c>
      <c r="FK140" s="102">
        <v>0</v>
      </c>
      <c r="FL140" s="102">
        <v>0</v>
      </c>
      <c r="FM140" s="102">
        <v>0</v>
      </c>
      <c r="FN140" s="102">
        <v>0</v>
      </c>
      <c r="FO140" s="102">
        <v>0</v>
      </c>
      <c r="FP140" s="102">
        <v>0</v>
      </c>
      <c r="FQ140" s="102">
        <v>0</v>
      </c>
      <c r="FR140" s="102">
        <v>0</v>
      </c>
      <c r="FS140" s="102"/>
      <c r="FT140" s="102"/>
      <c r="FU140" s="102"/>
      <c r="FV140" s="102"/>
      <c r="FW140" s="102"/>
      <c r="FX140" s="102"/>
      <c r="FY140" s="102"/>
      <c r="FZ140" s="102"/>
      <c r="GA140" s="102"/>
      <c r="GB140" s="102"/>
      <c r="GC140" s="102"/>
      <c r="GD140" s="102"/>
      <c r="GE140" s="102" t="e">
        <v>#VALUE!</v>
      </c>
      <c r="GF140" s="102" t="e">
        <v>#VALUE!</v>
      </c>
      <c r="GG140" s="102" t="e">
        <v>#VALUE!</v>
      </c>
      <c r="GH140" s="102" t="e">
        <v>#VALUE!</v>
      </c>
      <c r="GI140" s="102" t="e">
        <v>#VALUE!</v>
      </c>
      <c r="GJ140" s="102" t="e">
        <v>#VALUE!</v>
      </c>
      <c r="GK140" s="102" t="e">
        <v>#VALUE!</v>
      </c>
      <c r="GL140" s="102" t="e">
        <v>#VALUE!</v>
      </c>
      <c r="GM140" s="102" t="e">
        <v>#VALUE!</v>
      </c>
      <c r="GN140" s="102" t="e">
        <v>#VALUE!</v>
      </c>
      <c r="GO140" s="102" t="e">
        <v>#VALUE!</v>
      </c>
      <c r="GP140" s="102" t="e">
        <v>#VALUE!</v>
      </c>
      <c r="GQ140" s="102" t="e">
        <v>#VALUE!</v>
      </c>
      <c r="GR140" s="102" t="e">
        <v>#VALUE!</v>
      </c>
      <c r="GS140" s="102" t="e">
        <v>#VALUE!</v>
      </c>
      <c r="GT140" s="102" t="e">
        <v>#VALUE!</v>
      </c>
      <c r="GU140" s="102" t="e">
        <v>#VALUE!</v>
      </c>
      <c r="GV140" s="102" t="e">
        <v>#VALUE!</v>
      </c>
      <c r="GW140" s="102" t="e">
        <v>#VALUE!</v>
      </c>
      <c r="GX140" s="102" t="e">
        <v>#VALUE!</v>
      </c>
      <c r="GY140" s="102" t="e">
        <v>#VALUE!</v>
      </c>
      <c r="GZ140" s="102" t="e">
        <v>#VALUE!</v>
      </c>
      <c r="HA140" s="102" t="e">
        <v>#VALUE!</v>
      </c>
      <c r="HB140" s="102" t="e">
        <v>#VALUE!</v>
      </c>
      <c r="HD140" s="102">
        <f t="shared" si="776"/>
        <v>141.55000000000001</v>
      </c>
      <c r="HE140" s="102">
        <f t="shared" si="776"/>
        <v>141.55000000000001</v>
      </c>
      <c r="HF140" s="102">
        <f t="shared" si="776"/>
        <v>141.55000000000001</v>
      </c>
      <c r="HG140" s="102">
        <f t="shared" si="776"/>
        <v>0</v>
      </c>
      <c r="HH140" s="102">
        <f t="shared" si="777"/>
        <v>0</v>
      </c>
      <c r="HI140" s="102">
        <f t="shared" si="778"/>
        <v>0</v>
      </c>
      <c r="HJ140" s="102">
        <f t="shared" si="696"/>
        <v>0</v>
      </c>
      <c r="HK140" s="102">
        <f t="shared" si="697"/>
        <v>0</v>
      </c>
      <c r="HL140" s="940">
        <f>+SUMIFS($E140:SEW140,$E$6:SEW$6,HL$7,$E$5:SEW$5,12)</f>
        <v>0</v>
      </c>
      <c r="HM140" s="940">
        <f>+SUMIFS($E140:SEX140,$E$6:SEX$6,HM$7,$E$5:SEX$5,12)</f>
        <v>0</v>
      </c>
      <c r="HN140" s="940">
        <f>+SUMIFS($E140:SEY140,$E$6:SEY$6,HN$7,$E$5:SEY$5,12)</f>
        <v>0</v>
      </c>
      <c r="HO140" s="102"/>
      <c r="HP140" s="102"/>
      <c r="HR140" s="929">
        <f t="shared" si="779"/>
        <v>0</v>
      </c>
      <c r="HS140" s="929">
        <f t="shared" si="780"/>
        <v>-1</v>
      </c>
      <c r="HT140" s="929" t="str">
        <f t="shared" si="781"/>
        <v/>
      </c>
      <c r="HU140" s="929" t="str">
        <f t="shared" si="738"/>
        <v/>
      </c>
      <c r="HV140" s="929" t="str">
        <f t="shared" si="739"/>
        <v/>
      </c>
      <c r="HW140" s="929" t="str">
        <f t="shared" si="740"/>
        <v/>
      </c>
      <c r="HX140" s="929" t="str">
        <f t="shared" si="741"/>
        <v/>
      </c>
      <c r="HY140" s="929" t="str">
        <f t="shared" si="741"/>
        <v/>
      </c>
      <c r="HZ140" s="929" t="str">
        <f t="shared" si="741"/>
        <v/>
      </c>
      <c r="IA140" s="929" t="str">
        <f t="shared" si="762"/>
        <v/>
      </c>
      <c r="IB140" s="929" t="str">
        <f t="shared" si="782"/>
        <v/>
      </c>
      <c r="IC140" s="929" t="str">
        <f t="shared" si="763"/>
        <v/>
      </c>
      <c r="IE140" s="102">
        <f t="shared" si="783"/>
        <v>0</v>
      </c>
      <c r="IF140" s="102">
        <f t="shared" si="784"/>
        <v>-141.55000000000001</v>
      </c>
      <c r="IG140" s="102">
        <f t="shared" si="785"/>
        <v>0</v>
      </c>
      <c r="IH140" s="102">
        <f t="shared" si="742"/>
        <v>0</v>
      </c>
      <c r="II140" s="102">
        <f t="shared" si="767"/>
        <v>0</v>
      </c>
      <c r="IJ140" s="102">
        <f t="shared" si="768"/>
        <v>0</v>
      </c>
      <c r="IK140" s="102">
        <f t="shared" si="769"/>
        <v>0</v>
      </c>
      <c r="IL140" s="102">
        <f t="shared" si="764"/>
        <v>0</v>
      </c>
      <c r="IM140" s="102">
        <f t="shared" si="786"/>
        <v>0</v>
      </c>
      <c r="IN140" s="102">
        <f t="shared" si="765"/>
        <v>0</v>
      </c>
      <c r="IP140" s="973"/>
      <c r="IQ140" s="973"/>
      <c r="IR140" s="973"/>
      <c r="IS140" s="973"/>
      <c r="IT140" s="973"/>
      <c r="IU140" s="973"/>
      <c r="IV140" s="973"/>
      <c r="IW140" s="973"/>
      <c r="IX140" s="973"/>
      <c r="IY140" s="973"/>
      <c r="JA140" s="102">
        <f t="shared" si="727"/>
        <v>141.55000000000001</v>
      </c>
      <c r="JB140" s="102">
        <f t="shared" si="816"/>
        <v>141.55000000000001</v>
      </c>
      <c r="JC140" s="102">
        <f t="shared" si="816"/>
        <v>141.55000000000001</v>
      </c>
      <c r="JD140" s="102">
        <f t="shared" si="816"/>
        <v>0</v>
      </c>
      <c r="JE140" s="102">
        <f t="shared" si="816"/>
        <v>0</v>
      </c>
      <c r="JF140" s="102">
        <f t="shared" si="816"/>
        <v>0</v>
      </c>
      <c r="JG140" s="102">
        <f t="shared" si="816"/>
        <v>0</v>
      </c>
      <c r="JH140" s="102">
        <f t="shared" si="816"/>
        <v>0</v>
      </c>
      <c r="JI140" s="102">
        <f t="shared" si="816"/>
        <v>0</v>
      </c>
      <c r="JJ140" s="102">
        <f t="shared" si="816"/>
        <v>0</v>
      </c>
      <c r="JK140" s="102">
        <f t="shared" si="816"/>
        <v>0</v>
      </c>
      <c r="JL140" s="102">
        <f t="shared" si="728"/>
        <v>0</v>
      </c>
      <c r="JM140" s="102"/>
      <c r="JN140" s="102"/>
      <c r="JP140" s="102">
        <f t="shared" si="787"/>
        <v>0</v>
      </c>
      <c r="JQ140" s="102">
        <f t="shared" si="788"/>
        <v>0</v>
      </c>
      <c r="JR140" s="145"/>
      <c r="JS140" s="929" t="str">
        <f t="shared" si="789"/>
        <v>NA</v>
      </c>
      <c r="JT140" s="930">
        <f t="shared" si="790"/>
        <v>0</v>
      </c>
      <c r="JV140" s="973"/>
      <c r="JW140" s="973"/>
      <c r="JY140" s="929">
        <f t="shared" si="817"/>
        <v>0</v>
      </c>
      <c r="JZ140" s="929">
        <f t="shared" si="818"/>
        <v>-1</v>
      </c>
      <c r="KA140" s="929" t="str">
        <f t="shared" si="819"/>
        <v/>
      </c>
      <c r="KB140" s="929" t="str">
        <f t="shared" si="820"/>
        <v/>
      </c>
      <c r="KC140" s="929" t="str">
        <f t="shared" si="821"/>
        <v/>
      </c>
      <c r="KD140" s="929" t="str">
        <f t="shared" si="822"/>
        <v/>
      </c>
      <c r="KE140" s="929" t="str">
        <f t="shared" si="823"/>
        <v/>
      </c>
      <c r="KF140" s="929" t="str">
        <f t="shared" si="824"/>
        <v/>
      </c>
      <c r="KH140" s="102">
        <f t="shared" si="792"/>
        <v>0</v>
      </c>
      <c r="KI140" s="102">
        <f t="shared" si="793"/>
        <v>-141.55000000000001</v>
      </c>
      <c r="KJ140" s="102">
        <f t="shared" si="794"/>
        <v>0</v>
      </c>
      <c r="KK140" s="102">
        <f t="shared" si="795"/>
        <v>0</v>
      </c>
      <c r="KL140" s="102">
        <f t="shared" si="796"/>
        <v>0</v>
      </c>
      <c r="KM140" s="102">
        <f t="shared" si="797"/>
        <v>0</v>
      </c>
      <c r="KN140" s="102">
        <f t="shared" si="798"/>
        <v>0</v>
      </c>
      <c r="KO140" s="102">
        <f t="shared" si="711"/>
        <v>0</v>
      </c>
      <c r="KQ140" s="973"/>
      <c r="KR140" s="973"/>
      <c r="KS140" s="973"/>
      <c r="KT140" s="973"/>
      <c r="KU140" s="973"/>
      <c r="KV140" s="973"/>
      <c r="KW140" s="973"/>
      <c r="KX140" s="973"/>
      <c r="KY140" s="973"/>
      <c r="KZ140" s="973"/>
      <c r="LB140" s="102">
        <f t="shared" si="737"/>
        <v>141.55000000000001</v>
      </c>
      <c r="LC140" s="102">
        <f t="shared" si="825"/>
        <v>141.55000000000001</v>
      </c>
      <c r="LD140" s="102">
        <f t="shared" si="825"/>
        <v>141.55000000000001</v>
      </c>
      <c r="LE140" s="102">
        <f t="shared" si="825"/>
        <v>0</v>
      </c>
      <c r="LF140" s="102">
        <f t="shared" si="825"/>
        <v>0</v>
      </c>
      <c r="LG140" s="102">
        <f t="shared" si="825"/>
        <v>0</v>
      </c>
      <c r="LH140" s="102">
        <f t="shared" si="825"/>
        <v>0</v>
      </c>
      <c r="LI140" s="102">
        <f t="shared" si="825"/>
        <v>0</v>
      </c>
      <c r="LJ140" s="102">
        <f t="shared" si="825"/>
        <v>0</v>
      </c>
      <c r="LK140" s="102">
        <f t="shared" si="825"/>
        <v>0</v>
      </c>
      <c r="LL140" s="102">
        <f t="shared" si="825"/>
        <v>0</v>
      </c>
      <c r="LM140" s="102">
        <f t="shared" si="825"/>
        <v>0</v>
      </c>
      <c r="LN140" s="102"/>
      <c r="LO140" s="102"/>
      <c r="LR140" s="32">
        <f t="shared" si="799"/>
        <v>0</v>
      </c>
      <c r="LS140" s="32">
        <f t="shared" si="800"/>
        <v>-1</v>
      </c>
      <c r="LT140" s="32" t="str">
        <f t="shared" si="801"/>
        <v xml:space="preserve"> </v>
      </c>
      <c r="LU140" s="32" t="str">
        <f t="shared" si="802"/>
        <v xml:space="preserve"> </v>
      </c>
      <c r="LV140" s="32" t="str">
        <f t="shared" si="803"/>
        <v xml:space="preserve"> </v>
      </c>
      <c r="LW140" s="32" t="str">
        <f t="shared" si="804"/>
        <v xml:space="preserve"> </v>
      </c>
      <c r="LX140" s="32" t="str">
        <f t="shared" si="719"/>
        <v xml:space="preserve"> </v>
      </c>
      <c r="LZ140" s="102">
        <f t="shared" si="805"/>
        <v>0</v>
      </c>
      <c r="MA140" s="102">
        <f t="shared" si="806"/>
        <v>-141.55000000000001</v>
      </c>
      <c r="MB140" s="102">
        <f t="shared" si="807"/>
        <v>0</v>
      </c>
      <c r="MC140" s="102">
        <f t="shared" si="808"/>
        <v>0</v>
      </c>
      <c r="MD140" s="102">
        <f t="shared" si="809"/>
        <v>0</v>
      </c>
      <c r="ME140" s="102">
        <f t="shared" si="810"/>
        <v>0</v>
      </c>
      <c r="MF140" s="102">
        <f t="shared" si="726"/>
        <v>0</v>
      </c>
      <c r="MH140" s="973"/>
      <c r="MI140" s="973"/>
      <c r="MJ140" s="973"/>
      <c r="MK140" s="973"/>
      <c r="ML140" s="973"/>
      <c r="MM140" s="973"/>
      <c r="MN140" s="973"/>
      <c r="MO140" s="973"/>
      <c r="MP140" s="973"/>
    </row>
    <row r="141" spans="1:354" outlineLevel="3">
      <c r="A141" s="884">
        <v>1516</v>
      </c>
      <c r="B141" s="70"/>
      <c r="C141" s="40" t="s">
        <v>125</v>
      </c>
      <c r="D141" s="31" t="s">
        <v>59</v>
      </c>
      <c r="E141" s="102">
        <v>904.963978</v>
      </c>
      <c r="F141" s="102">
        <v>904.963978</v>
      </c>
      <c r="G141" s="102">
        <v>904.963978</v>
      </c>
      <c r="H141" s="102">
        <v>904.963978</v>
      </c>
      <c r="I141" s="102">
        <v>904.963978</v>
      </c>
      <c r="J141" s="102">
        <v>904.963978</v>
      </c>
      <c r="K141" s="102">
        <v>904.963978</v>
      </c>
      <c r="L141" s="102">
        <v>904.963978</v>
      </c>
      <c r="M141" s="102">
        <v>904.963978</v>
      </c>
      <c r="N141" s="102">
        <v>904.963978</v>
      </c>
      <c r="O141" s="102">
        <v>763.41397800000004</v>
      </c>
      <c r="P141" s="102">
        <v>763.41397800000004</v>
      </c>
      <c r="Q141" s="102">
        <v>763.41397800000004</v>
      </c>
      <c r="R141" s="102">
        <v>763.41397800000004</v>
      </c>
      <c r="S141" s="102">
        <v>763.41397800000004</v>
      </c>
      <c r="T141" s="102">
        <v>763.41397800000004</v>
      </c>
      <c r="U141" s="102">
        <v>763.41397800000004</v>
      </c>
      <c r="V141" s="102">
        <v>763.41397800000004</v>
      </c>
      <c r="W141" s="102">
        <v>763.41397800000004</v>
      </c>
      <c r="X141" s="102">
        <v>763.41397800000004</v>
      </c>
      <c r="Y141" s="102">
        <v>763.41397800000004</v>
      </c>
      <c r="Z141" s="102">
        <v>763.41397800000004</v>
      </c>
      <c r="AA141" s="102">
        <v>763.41397800000004</v>
      </c>
      <c r="AB141" s="102">
        <v>763.41397800000004</v>
      </c>
      <c r="AC141" s="102">
        <v>763.41397800000004</v>
      </c>
      <c r="AD141" s="102">
        <v>763.41397800000004</v>
      </c>
      <c r="AE141" s="102">
        <v>763.41397800000004</v>
      </c>
      <c r="AF141" s="102">
        <v>763.41397800000004</v>
      </c>
      <c r="AG141" s="102">
        <v>763.41397800000004</v>
      </c>
      <c r="AH141" s="102">
        <v>763.41397800000004</v>
      </c>
      <c r="AI141" s="102">
        <v>763.41397800000004</v>
      </c>
      <c r="AJ141" s="102">
        <v>763.41397800000004</v>
      </c>
      <c r="AK141" s="102">
        <v>776.86997800000006</v>
      </c>
      <c r="AL141" s="102">
        <v>770.14197799999999</v>
      </c>
      <c r="AM141" s="102">
        <v>770.14197799999999</v>
      </c>
      <c r="AN141" s="220">
        <v>770.14197799999999</v>
      </c>
      <c r="AO141" s="220">
        <v>766.60626300000001</v>
      </c>
      <c r="AP141" s="220">
        <v>970.11900813</v>
      </c>
      <c r="AQ141" s="220">
        <v>970.11900813</v>
      </c>
      <c r="AR141" s="220">
        <v>1460.42590513</v>
      </c>
      <c r="AS141" s="220">
        <v>4972.2812481299998</v>
      </c>
      <c r="AT141" s="220">
        <v>1870.4121052200001</v>
      </c>
      <c r="AU141" s="220">
        <v>1890.5101802199999</v>
      </c>
      <c r="AV141" s="220">
        <v>1890.5101802199999</v>
      </c>
      <c r="AW141" s="220">
        <v>766.60626300000001</v>
      </c>
      <c r="AX141" s="220">
        <v>766.60626300000001</v>
      </c>
      <c r="AY141" s="220">
        <v>766.60626300000001</v>
      </c>
      <c r="AZ141" s="979">
        <v>7785.8249999999998</v>
      </c>
      <c r="BA141" s="220">
        <v>5723.9039169999996</v>
      </c>
      <c r="BB141" s="220">
        <v>5723.9039169999996</v>
      </c>
      <c r="BC141" s="220">
        <v>5723.9039169999996</v>
      </c>
      <c r="BD141" s="220">
        <v>4473.9039169999996</v>
      </c>
      <c r="BE141" s="102">
        <v>4473.9039169999996</v>
      </c>
      <c r="BF141" s="102">
        <v>4473.9039169999996</v>
      </c>
      <c r="BG141" s="102">
        <v>4473.9039169999996</v>
      </c>
      <c r="BH141" s="102">
        <v>4473.9039169999996</v>
      </c>
      <c r="BI141" s="102">
        <v>4473.9039169999996</v>
      </c>
      <c r="BJ141" s="102">
        <v>4473.9039169999996</v>
      </c>
      <c r="BK141" s="102">
        <v>4473.9039169999996</v>
      </c>
      <c r="BL141" s="102">
        <v>4473.9039169999996</v>
      </c>
      <c r="BM141" s="102">
        <f t="shared" ref="BM141:DX141" si="831">SUM(BM142:BM144)</f>
        <v>4473.9039169999996</v>
      </c>
      <c r="BN141" s="220">
        <f t="shared" si="831"/>
        <v>4473.9039169999996</v>
      </c>
      <c r="BO141" s="220">
        <f t="shared" si="831"/>
        <v>4473.9039169999996</v>
      </c>
      <c r="BP141" s="220">
        <f t="shared" si="831"/>
        <v>4473.9039169999996</v>
      </c>
      <c r="BQ141" s="102">
        <f t="shared" si="831"/>
        <v>4473.9039169999996</v>
      </c>
      <c r="BR141" s="102">
        <f t="shared" si="831"/>
        <v>4473.9039169999996</v>
      </c>
      <c r="BS141" s="102">
        <f t="shared" si="831"/>
        <v>4473.9039169999996</v>
      </c>
      <c r="BT141" s="102">
        <f t="shared" si="831"/>
        <v>4473.9039169999996</v>
      </c>
      <c r="BU141" s="102">
        <f t="shared" si="831"/>
        <v>4473.9039169999996</v>
      </c>
      <c r="BV141" s="102">
        <f t="shared" si="831"/>
        <v>4473.9039169999996</v>
      </c>
      <c r="BW141" s="102">
        <f t="shared" si="831"/>
        <v>4473.9039169999996</v>
      </c>
      <c r="BX141" s="102">
        <f t="shared" si="831"/>
        <v>4473.9039169999996</v>
      </c>
      <c r="BY141" s="102">
        <f t="shared" si="831"/>
        <v>4495.6075170000004</v>
      </c>
      <c r="BZ141" s="102">
        <f t="shared" si="831"/>
        <v>4495.6075170000004</v>
      </c>
      <c r="CA141" s="102">
        <f t="shared" si="831"/>
        <v>4495.6075170000004</v>
      </c>
      <c r="CB141" s="102">
        <f t="shared" si="831"/>
        <v>4495.6075170000004</v>
      </c>
      <c r="CC141" s="102">
        <f t="shared" si="831"/>
        <v>4495.6075170000004</v>
      </c>
      <c r="CD141" s="102">
        <f t="shared" si="831"/>
        <v>4495.6075170000004</v>
      </c>
      <c r="CE141" s="102">
        <f t="shared" si="831"/>
        <v>4519.0616639999998</v>
      </c>
      <c r="CF141" s="102">
        <f t="shared" si="831"/>
        <v>4522.1833589999997</v>
      </c>
      <c r="CG141" s="102">
        <f t="shared" si="831"/>
        <v>4523.0597289999996</v>
      </c>
      <c r="CH141" s="102">
        <f t="shared" si="831"/>
        <v>4525.0032920000003</v>
      </c>
      <c r="CI141" s="102">
        <f t="shared" si="831"/>
        <v>4525.0032920000003</v>
      </c>
      <c r="CJ141" s="102">
        <f t="shared" si="831"/>
        <v>4525.0032920000003</v>
      </c>
      <c r="CK141" s="102">
        <f t="shared" si="831"/>
        <v>4525.0032920000003</v>
      </c>
      <c r="CL141" s="102">
        <f t="shared" si="831"/>
        <v>4534.4488300000003</v>
      </c>
      <c r="CM141" s="102">
        <f t="shared" si="831"/>
        <v>4534.4488300000003</v>
      </c>
      <c r="CN141" s="102">
        <f t="shared" si="831"/>
        <v>4534.4488300000003</v>
      </c>
      <c r="CO141" s="102">
        <f t="shared" si="831"/>
        <v>4534.4488300000003</v>
      </c>
      <c r="CP141" s="102">
        <f t="shared" si="831"/>
        <v>4534.4488300000003</v>
      </c>
      <c r="CQ141" s="102">
        <f t="shared" si="831"/>
        <v>4534.4488300000003</v>
      </c>
      <c r="CR141" s="102">
        <f t="shared" si="831"/>
        <v>4534.4488300000003</v>
      </c>
      <c r="CS141" s="102">
        <f t="shared" si="831"/>
        <v>4534.4488300000003</v>
      </c>
      <c r="CT141" s="102">
        <f t="shared" si="831"/>
        <v>4534.4488300000003</v>
      </c>
      <c r="CU141" s="102">
        <f t="shared" si="831"/>
        <v>4534.4488300000003</v>
      </c>
      <c r="CV141" s="102">
        <f t="shared" si="831"/>
        <v>4534.4488300000003</v>
      </c>
      <c r="CW141" s="102">
        <f t="shared" si="831"/>
        <v>4534.4488300000003</v>
      </c>
      <c r="CX141" s="102">
        <f t="shared" si="831"/>
        <v>4534.4488300000003</v>
      </c>
      <c r="CY141" s="102">
        <f t="shared" si="831"/>
        <v>4534.4488300000003</v>
      </c>
      <c r="CZ141" s="102">
        <f t="shared" si="831"/>
        <v>4534.4488300000003</v>
      </c>
      <c r="DA141" s="102">
        <f t="shared" si="831"/>
        <v>4534.4488300000003</v>
      </c>
      <c r="DB141" s="102">
        <f t="shared" si="831"/>
        <v>4534.4488300000003</v>
      </c>
      <c r="DC141" s="102">
        <f t="shared" si="831"/>
        <v>4534.4488300000003</v>
      </c>
      <c r="DD141" s="102">
        <f t="shared" si="831"/>
        <v>4534.4488300000003</v>
      </c>
      <c r="DE141" s="102">
        <f t="shared" si="831"/>
        <v>4534.4488300000003</v>
      </c>
      <c r="DF141" s="102">
        <f t="shared" si="831"/>
        <v>4534.4488300000003</v>
      </c>
      <c r="DG141" s="102">
        <f t="shared" si="831"/>
        <v>4534.4488300000003</v>
      </c>
      <c r="DH141" s="102">
        <f t="shared" si="831"/>
        <v>4534.4488300000003</v>
      </c>
      <c r="DI141" s="102">
        <f t="shared" si="831"/>
        <v>4534.4488300000003</v>
      </c>
      <c r="DJ141" s="102">
        <f t="shared" si="831"/>
        <v>4534.4488300000003</v>
      </c>
      <c r="DK141" s="102">
        <f t="shared" si="831"/>
        <v>4534.4488300000003</v>
      </c>
      <c r="DL141" s="102">
        <f t="shared" si="831"/>
        <v>4534.4488300000003</v>
      </c>
      <c r="DM141" s="102">
        <f t="shared" si="831"/>
        <v>4534.4488300000003</v>
      </c>
      <c r="DN141" s="102">
        <f t="shared" si="831"/>
        <v>4534.4488300000003</v>
      </c>
      <c r="DO141" s="102">
        <f t="shared" si="831"/>
        <v>4534.4488300000003</v>
      </c>
      <c r="DP141" s="102">
        <f t="shared" si="831"/>
        <v>4534.4488300000003</v>
      </c>
      <c r="DQ141" s="940">
        <f t="shared" si="831"/>
        <v>4534.4488300000003</v>
      </c>
      <c r="DR141" s="940">
        <f t="shared" si="831"/>
        <v>4534.4488300000003</v>
      </c>
      <c r="DS141" s="940">
        <f t="shared" si="831"/>
        <v>4534.4488300000003</v>
      </c>
      <c r="DT141" s="940">
        <f t="shared" si="831"/>
        <v>4534.4488300000003</v>
      </c>
      <c r="DU141" s="940">
        <f t="shared" si="831"/>
        <v>4534.4488300000003</v>
      </c>
      <c r="DV141" s="940">
        <f t="shared" si="831"/>
        <v>4534.4488300000003</v>
      </c>
      <c r="DW141" s="940">
        <f t="shared" si="831"/>
        <v>4534.4488300000003</v>
      </c>
      <c r="DX141" s="940">
        <f t="shared" si="831"/>
        <v>4534.4488300000003</v>
      </c>
      <c r="DY141" s="940">
        <f t="shared" ref="DY141:EF141" si="832">SUM(DY142:DY144)</f>
        <v>4534.4488300000003</v>
      </c>
      <c r="DZ141" s="940">
        <f t="shared" si="832"/>
        <v>4534.4488300000003</v>
      </c>
      <c r="EA141" s="940">
        <f t="shared" si="832"/>
        <v>4534.4488300000003</v>
      </c>
      <c r="EB141" s="940">
        <f t="shared" si="832"/>
        <v>4536.45993</v>
      </c>
      <c r="EC141" s="940">
        <f t="shared" si="832"/>
        <v>4536.45993</v>
      </c>
      <c r="ED141" s="940">
        <f t="shared" si="832"/>
        <v>4536.45993</v>
      </c>
      <c r="EE141" s="940">
        <f t="shared" si="832"/>
        <v>4536.45993</v>
      </c>
      <c r="EF141" s="940">
        <f t="shared" si="832"/>
        <v>4540.128557</v>
      </c>
      <c r="EH141" s="102">
        <f t="shared" ref="EH141:ES141" si="833">+SUM(EH142:EH144)</f>
        <v>7678.7959440499999</v>
      </c>
      <c r="EI141" s="102">
        <f t="shared" si="833"/>
        <v>7678.7959440499999</v>
      </c>
      <c r="EJ141" s="102">
        <f t="shared" si="833"/>
        <v>7722.8588830500003</v>
      </c>
      <c r="EK141" s="102">
        <f t="shared" si="833"/>
        <v>7722.8588830500003</v>
      </c>
      <c r="EL141" s="102">
        <f t="shared" si="833"/>
        <v>7722.8588830500003</v>
      </c>
      <c r="EM141" s="102">
        <f t="shared" si="833"/>
        <v>7739.5943290499999</v>
      </c>
      <c r="EN141" s="102">
        <f t="shared" si="833"/>
        <v>7739.5943290499999</v>
      </c>
      <c r="EO141" s="102">
        <f t="shared" si="833"/>
        <v>7739.5943290499999</v>
      </c>
      <c r="EP141" s="102">
        <f t="shared" si="833"/>
        <v>7739.5943290499999</v>
      </c>
      <c r="EQ141" s="102">
        <f t="shared" si="833"/>
        <v>7739.5943290499999</v>
      </c>
      <c r="ER141" s="102">
        <f t="shared" si="833"/>
        <v>7739.5943290499999</v>
      </c>
      <c r="ES141" s="102">
        <f t="shared" si="833"/>
        <v>7739.5943290499999</v>
      </c>
      <c r="ET141" s="279"/>
      <c r="EU141" s="102">
        <f t="shared" ref="EU141:FZ141" si="834">+SUM(EU142:EU144)</f>
        <v>2580.4586551799998</v>
      </c>
      <c r="EV141" s="102">
        <f t="shared" si="834"/>
        <v>7354.0586551800006</v>
      </c>
      <c r="EW141" s="102">
        <f t="shared" si="834"/>
        <v>7782.3261971800002</v>
      </c>
      <c r="EX141" s="102">
        <f t="shared" si="834"/>
        <v>7782.3261971800002</v>
      </c>
      <c r="EY141" s="102">
        <f t="shared" si="834"/>
        <v>8014.3261971800002</v>
      </c>
      <c r="EZ141" s="102">
        <f t="shared" si="834"/>
        <v>7272.8261971800002</v>
      </c>
      <c r="FA141" s="102">
        <f t="shared" si="834"/>
        <v>7272.8261971800002</v>
      </c>
      <c r="FB141" s="102">
        <f t="shared" si="834"/>
        <v>7272.8261971800002</v>
      </c>
      <c r="FC141" s="102">
        <f t="shared" si="834"/>
        <v>7272.8261971800002</v>
      </c>
      <c r="FD141" s="102">
        <f t="shared" si="834"/>
        <v>7272.8261971800002</v>
      </c>
      <c r="FE141" s="102">
        <f t="shared" si="834"/>
        <v>7272.8261971800002</v>
      </c>
      <c r="FF141" s="102">
        <f t="shared" si="834"/>
        <v>7272.8261971800002</v>
      </c>
      <c r="FG141" s="102">
        <f t="shared" si="834"/>
        <v>759.87826300000006</v>
      </c>
      <c r="FH141" s="102">
        <f t="shared" si="834"/>
        <v>759.87826300000006</v>
      </c>
      <c r="FI141" s="102">
        <f t="shared" si="834"/>
        <v>19.878263000000288</v>
      </c>
      <c r="FJ141" s="102">
        <f t="shared" si="834"/>
        <v>19.878263000000288</v>
      </c>
      <c r="FK141" s="102">
        <f t="shared" si="834"/>
        <v>19.878263000000288</v>
      </c>
      <c r="FL141" s="102">
        <f t="shared" si="834"/>
        <v>19.878263000000288</v>
      </c>
      <c r="FM141" s="102">
        <f t="shared" si="834"/>
        <v>19.878263000000288</v>
      </c>
      <c r="FN141" s="102">
        <f t="shared" si="834"/>
        <v>19.878263000000288</v>
      </c>
      <c r="FO141" s="102">
        <f t="shared" si="834"/>
        <v>19.878263000000288</v>
      </c>
      <c r="FP141" s="102">
        <f t="shared" si="834"/>
        <v>19.878263000000288</v>
      </c>
      <c r="FQ141" s="102">
        <f t="shared" si="834"/>
        <v>19.878263000000288</v>
      </c>
      <c r="FR141" s="102">
        <f t="shared" si="834"/>
        <v>19.878263000000288</v>
      </c>
      <c r="FS141" s="102">
        <f t="shared" si="834"/>
        <v>6513.9974936999997</v>
      </c>
      <c r="FT141" s="102">
        <f t="shared" si="834"/>
        <v>6513.9974936999997</v>
      </c>
      <c r="FU141" s="102">
        <f t="shared" si="834"/>
        <v>6513.9974936999997</v>
      </c>
      <c r="FV141" s="102">
        <f t="shared" si="834"/>
        <v>6513.9974936999997</v>
      </c>
      <c r="FW141" s="102">
        <f t="shared" si="834"/>
        <v>6513.9974936999997</v>
      </c>
      <c r="FX141" s="102">
        <f t="shared" si="834"/>
        <v>6513.9974936999997</v>
      </c>
      <c r="FY141" s="102">
        <f t="shared" si="834"/>
        <v>6513.9974936999997</v>
      </c>
      <c r="FZ141" s="102">
        <f t="shared" si="834"/>
        <v>6513.9974936999997</v>
      </c>
      <c r="GA141" s="102">
        <f t="shared" ref="GA141:HB141" si="835">+SUM(GA142:GA144)</f>
        <v>6513.9974936999997</v>
      </c>
      <c r="GB141" s="102">
        <f t="shared" si="835"/>
        <v>6513.9974936999997</v>
      </c>
      <c r="GC141" s="102">
        <f t="shared" si="835"/>
        <v>6513.9974936999997</v>
      </c>
      <c r="GD141" s="102">
        <f t="shared" si="835"/>
        <v>6513.9974936999997</v>
      </c>
      <c r="GE141" s="145" t="e">
        <f t="shared" si="835"/>
        <v>#VALUE!</v>
      </c>
      <c r="GF141" s="145" t="e">
        <f t="shared" si="835"/>
        <v>#VALUE!</v>
      </c>
      <c r="GG141" s="145" t="e">
        <f t="shared" si="835"/>
        <v>#VALUE!</v>
      </c>
      <c r="GH141" s="145" t="e">
        <f t="shared" si="835"/>
        <v>#VALUE!</v>
      </c>
      <c r="GI141" s="145" t="e">
        <f t="shared" si="835"/>
        <v>#VALUE!</v>
      </c>
      <c r="GJ141" s="145" t="e">
        <f t="shared" si="835"/>
        <v>#VALUE!</v>
      </c>
      <c r="GK141" s="145" t="e">
        <f t="shared" si="835"/>
        <v>#VALUE!</v>
      </c>
      <c r="GL141" s="145" t="e">
        <f t="shared" si="835"/>
        <v>#VALUE!</v>
      </c>
      <c r="GM141" s="145" t="e">
        <f t="shared" si="835"/>
        <v>#VALUE!</v>
      </c>
      <c r="GN141" s="145" t="e">
        <f t="shared" si="835"/>
        <v>#VALUE!</v>
      </c>
      <c r="GO141" s="145" t="e">
        <f t="shared" si="835"/>
        <v>#VALUE!</v>
      </c>
      <c r="GP141" s="145" t="e">
        <f t="shared" si="835"/>
        <v>#VALUE!</v>
      </c>
      <c r="GQ141" s="145" t="e">
        <f t="shared" si="835"/>
        <v>#VALUE!</v>
      </c>
      <c r="GR141" s="145" t="e">
        <f t="shared" si="835"/>
        <v>#VALUE!</v>
      </c>
      <c r="GS141" s="145" t="e">
        <f t="shared" si="835"/>
        <v>#VALUE!</v>
      </c>
      <c r="GT141" s="145" t="e">
        <f t="shared" si="835"/>
        <v>#VALUE!</v>
      </c>
      <c r="GU141" s="145" t="e">
        <f t="shared" si="835"/>
        <v>#VALUE!</v>
      </c>
      <c r="GV141" s="145" t="e">
        <f t="shared" si="835"/>
        <v>#VALUE!</v>
      </c>
      <c r="GW141" s="145" t="e">
        <f t="shared" si="835"/>
        <v>#VALUE!</v>
      </c>
      <c r="GX141" s="145" t="e">
        <f t="shared" si="835"/>
        <v>#VALUE!</v>
      </c>
      <c r="GY141" s="145" t="e">
        <f t="shared" si="835"/>
        <v>#VALUE!</v>
      </c>
      <c r="GZ141" s="145" t="e">
        <f t="shared" si="835"/>
        <v>#VALUE!</v>
      </c>
      <c r="HA141" s="145" t="e">
        <f t="shared" si="835"/>
        <v>#VALUE!</v>
      </c>
      <c r="HB141" s="145" t="e">
        <f t="shared" si="835"/>
        <v>#VALUE!</v>
      </c>
      <c r="HD141" s="102">
        <f t="shared" si="776"/>
        <v>763.41397800000004</v>
      </c>
      <c r="HE141" s="102">
        <f t="shared" si="776"/>
        <v>763.41397800000004</v>
      </c>
      <c r="HF141" s="102">
        <f t="shared" si="776"/>
        <v>770.14197799999999</v>
      </c>
      <c r="HG141" s="102">
        <f t="shared" si="776"/>
        <v>7785.8249999999998</v>
      </c>
      <c r="HH141" s="102">
        <f t="shared" si="777"/>
        <v>4473.9039169999996</v>
      </c>
      <c r="HI141" s="102">
        <f t="shared" si="778"/>
        <v>4473.9039169999996</v>
      </c>
      <c r="HJ141" s="102">
        <f t="shared" si="696"/>
        <v>4525.0032920000003</v>
      </c>
      <c r="HK141" s="102">
        <f t="shared" si="697"/>
        <v>4534.4488300000003</v>
      </c>
      <c r="HL141" s="940">
        <f>+SUMIFS($E141:SEW141,$E$6:SEW$6,HL$7,$E$5:SEW$5,12)</f>
        <v>4534.4488300000003</v>
      </c>
      <c r="HM141" s="940">
        <f>+SUMIFS($E141:SEX141,$E$6:SEX$6,HM$7,$E$5:SEX$5,12)</f>
        <v>4534.4488300000003</v>
      </c>
      <c r="HN141" s="940">
        <f>+SUMIFS($E141:SEY141,$E$6:SEY$6,HN$7,$E$5:SEY$5,12)</f>
        <v>4540.128557</v>
      </c>
      <c r="HO141" s="102"/>
      <c r="HP141" s="102"/>
      <c r="HR141" s="929">
        <f t="shared" si="779"/>
        <v>8.8130427184816007E-3</v>
      </c>
      <c r="HS141" s="929">
        <f t="shared" si="780"/>
        <v>9.1095969605749758</v>
      </c>
      <c r="HT141" s="929">
        <f t="shared" si="781"/>
        <v>-0.42537831032677975</v>
      </c>
      <c r="HU141" s="929">
        <f t="shared" si="738"/>
        <v>0</v>
      </c>
      <c r="HV141" s="929">
        <f t="shared" si="739"/>
        <v>1.1421652308140295E-2</v>
      </c>
      <c r="HW141" s="929">
        <f t="shared" si="740"/>
        <v>2.0874101940873135E-3</v>
      </c>
      <c r="HX141" s="929">
        <f t="shared" si="741"/>
        <v>0</v>
      </c>
      <c r="HY141" s="929">
        <f t="shared" si="741"/>
        <v>0</v>
      </c>
      <c r="HZ141" s="929">
        <f t="shared" si="741"/>
        <v>1.2525727410181986E-3</v>
      </c>
      <c r="IA141" s="929">
        <f t="shared" si="762"/>
        <v>-1</v>
      </c>
      <c r="IB141" s="929" t="str">
        <f t="shared" si="782"/>
        <v/>
      </c>
      <c r="IC141" s="929">
        <f t="shared" si="763"/>
        <v>-1</v>
      </c>
      <c r="IE141" s="102">
        <f t="shared" si="783"/>
        <v>6.7279999999999518</v>
      </c>
      <c r="IF141" s="102">
        <f t="shared" si="784"/>
        <v>7015.6830220000002</v>
      </c>
      <c r="IG141" s="102">
        <f t="shared" si="785"/>
        <v>-3311.9210830000002</v>
      </c>
      <c r="IH141" s="102">
        <f t="shared" si="742"/>
        <v>0</v>
      </c>
      <c r="II141" s="102">
        <f t="shared" si="767"/>
        <v>51.099375000000691</v>
      </c>
      <c r="IJ141" s="102">
        <f t="shared" si="768"/>
        <v>9.4455379999999423</v>
      </c>
      <c r="IK141" s="102">
        <f t="shared" si="769"/>
        <v>0</v>
      </c>
      <c r="IL141" s="102">
        <f t="shared" si="764"/>
        <v>-4534.4488300000003</v>
      </c>
      <c r="IM141" s="102">
        <f t="shared" si="786"/>
        <v>0</v>
      </c>
      <c r="IN141" s="102">
        <f t="shared" si="765"/>
        <v>-4534.4488300000003</v>
      </c>
      <c r="IP141" s="973"/>
      <c r="IQ141" s="973"/>
      <c r="IR141" s="973"/>
      <c r="IS141" s="973"/>
      <c r="IT141" s="973"/>
      <c r="IU141" s="973"/>
      <c r="IV141" s="973"/>
      <c r="IW141" s="973"/>
      <c r="IX141" s="973"/>
      <c r="IY141" s="973"/>
      <c r="JA141" s="102">
        <f t="shared" si="727"/>
        <v>763.41397800000004</v>
      </c>
      <c r="JB141" s="102">
        <f t="shared" si="816"/>
        <v>763.41397800000004</v>
      </c>
      <c r="JC141" s="102">
        <f t="shared" si="816"/>
        <v>770.14197799999999</v>
      </c>
      <c r="JD141" s="102">
        <f t="shared" si="816"/>
        <v>7785.8249999999998</v>
      </c>
      <c r="JE141" s="102">
        <f t="shared" si="816"/>
        <v>4473.9039169999996</v>
      </c>
      <c r="JF141" s="102">
        <f t="shared" si="816"/>
        <v>4473.9039169999996</v>
      </c>
      <c r="JG141" s="102">
        <f t="shared" si="816"/>
        <v>4525.0032920000003</v>
      </c>
      <c r="JH141" s="102">
        <f t="shared" si="816"/>
        <v>4534.4488300000003</v>
      </c>
      <c r="JI141" s="102">
        <f t="shared" si="816"/>
        <v>4534.4488300000003</v>
      </c>
      <c r="JJ141" s="102">
        <f t="shared" si="816"/>
        <v>4534.4488300000003</v>
      </c>
      <c r="JK141" s="102">
        <f t="shared" si="816"/>
        <v>4540.128557</v>
      </c>
      <c r="JL141" s="102">
        <f t="shared" si="728"/>
        <v>4540.128557</v>
      </c>
      <c r="JM141" s="102"/>
      <c r="JN141" s="102"/>
      <c r="JP141" s="102">
        <f t="shared" si="787"/>
        <v>0</v>
      </c>
      <c r="JQ141" s="102">
        <f t="shared" si="788"/>
        <v>0</v>
      </c>
      <c r="JR141" s="145"/>
      <c r="JS141" s="929" t="str">
        <f t="shared" si="789"/>
        <v>NA</v>
      </c>
      <c r="JT141" s="930">
        <f t="shared" si="790"/>
        <v>0</v>
      </c>
      <c r="JV141" s="973"/>
      <c r="JW141" s="973"/>
      <c r="JY141" s="929">
        <f t="shared" si="817"/>
        <v>8.8130427184816007E-3</v>
      </c>
      <c r="JZ141" s="929">
        <f t="shared" si="818"/>
        <v>9.1095969605749758</v>
      </c>
      <c r="KA141" s="929">
        <f t="shared" si="819"/>
        <v>-0.42537831032677975</v>
      </c>
      <c r="KB141" s="929">
        <f t="shared" si="820"/>
        <v>0</v>
      </c>
      <c r="KC141" s="929">
        <f t="shared" si="821"/>
        <v>1.1421652308140295E-2</v>
      </c>
      <c r="KD141" s="929">
        <f t="shared" si="822"/>
        <v>2.0874101940873135E-3</v>
      </c>
      <c r="KE141" s="929">
        <f t="shared" si="823"/>
        <v>0</v>
      </c>
      <c r="KF141" s="929">
        <f t="shared" si="824"/>
        <v>-1</v>
      </c>
      <c r="KH141" s="102">
        <f t="shared" si="792"/>
        <v>6.7279999999999518</v>
      </c>
      <c r="KI141" s="102">
        <f t="shared" si="793"/>
        <v>7015.6830220000002</v>
      </c>
      <c r="KJ141" s="102">
        <f t="shared" si="794"/>
        <v>-3311.9210830000002</v>
      </c>
      <c r="KK141" s="102">
        <f t="shared" si="795"/>
        <v>0</v>
      </c>
      <c r="KL141" s="102">
        <f t="shared" si="796"/>
        <v>51.099375000000691</v>
      </c>
      <c r="KM141" s="102">
        <f t="shared" si="797"/>
        <v>9.4455379999999423</v>
      </c>
      <c r="KN141" s="102">
        <f t="shared" si="798"/>
        <v>0</v>
      </c>
      <c r="KO141" s="102">
        <f t="shared" si="711"/>
        <v>-4534.4488300000003</v>
      </c>
      <c r="KQ141" s="973"/>
      <c r="KR141" s="973"/>
      <c r="KS141" s="973"/>
      <c r="KT141" s="973"/>
      <c r="KU141" s="973"/>
      <c r="KV141" s="973"/>
      <c r="KW141" s="973"/>
      <c r="KX141" s="973"/>
      <c r="KY141" s="973"/>
      <c r="KZ141" s="973"/>
      <c r="LB141" s="102">
        <f t="shared" si="737"/>
        <v>763.41397800000004</v>
      </c>
      <c r="LC141" s="102">
        <f t="shared" si="825"/>
        <v>763.41397800000004</v>
      </c>
      <c r="LD141" s="102">
        <f t="shared" si="825"/>
        <v>770.14197799999999</v>
      </c>
      <c r="LE141" s="102">
        <f t="shared" si="825"/>
        <v>7785.8249999999998</v>
      </c>
      <c r="LF141" s="102">
        <f t="shared" si="825"/>
        <v>4473.9039169999996</v>
      </c>
      <c r="LG141" s="102">
        <f t="shared" si="825"/>
        <v>4473.9039169999996</v>
      </c>
      <c r="LH141" s="102">
        <f t="shared" si="825"/>
        <v>4525.0032920000003</v>
      </c>
      <c r="LI141" s="102">
        <f t="shared" si="825"/>
        <v>4534.4488300000003</v>
      </c>
      <c r="LJ141" s="102">
        <f t="shared" si="825"/>
        <v>4534.4488300000003</v>
      </c>
      <c r="LK141" s="102">
        <f t="shared" si="825"/>
        <v>4534.4488300000003</v>
      </c>
      <c r="LL141" s="102">
        <f t="shared" si="825"/>
        <v>4540.128557</v>
      </c>
      <c r="LM141" s="102">
        <f t="shared" si="825"/>
        <v>4540.128557</v>
      </c>
      <c r="LN141" s="102"/>
      <c r="LO141" s="102"/>
      <c r="LR141" s="32">
        <f t="shared" si="799"/>
        <v>8.8130427184816007E-3</v>
      </c>
      <c r="LS141" s="32">
        <f t="shared" si="800"/>
        <v>9.1095969605749758</v>
      </c>
      <c r="LT141" s="32">
        <f t="shared" si="801"/>
        <v>-0.42537831032677975</v>
      </c>
      <c r="LU141" s="32">
        <f t="shared" si="802"/>
        <v>0</v>
      </c>
      <c r="LV141" s="32">
        <f t="shared" si="803"/>
        <v>1.1421652308140295E-2</v>
      </c>
      <c r="LW141" s="32">
        <f t="shared" si="804"/>
        <v>2.0874101940873135E-3</v>
      </c>
      <c r="LX141" s="32">
        <f t="shared" si="719"/>
        <v>-1</v>
      </c>
      <c r="LZ141" s="102">
        <f t="shared" si="805"/>
        <v>6.7279999999999518</v>
      </c>
      <c r="MA141" s="102">
        <f t="shared" si="806"/>
        <v>7015.6830220000002</v>
      </c>
      <c r="MB141" s="102">
        <f t="shared" si="807"/>
        <v>-3311.9210830000002</v>
      </c>
      <c r="MC141" s="102">
        <f t="shared" si="808"/>
        <v>0</v>
      </c>
      <c r="MD141" s="102">
        <f t="shared" si="809"/>
        <v>51.099375000000691</v>
      </c>
      <c r="ME141" s="102">
        <f t="shared" si="810"/>
        <v>9.4455379999999423</v>
      </c>
      <c r="MF141" s="102">
        <f t="shared" si="726"/>
        <v>-4534.4488300000003</v>
      </c>
      <c r="MH141" s="973"/>
      <c r="MI141" s="973"/>
      <c r="MJ141" s="973"/>
      <c r="MK141" s="973"/>
      <c r="ML141" s="973"/>
      <c r="MM141" s="973"/>
      <c r="MN141" s="973"/>
      <c r="MO141" s="973"/>
      <c r="MP141" s="973"/>
    </row>
    <row r="142" spans="1:354" outlineLevel="4">
      <c r="A142" s="884">
        <v>151610</v>
      </c>
      <c r="B142" s="70" t="s">
        <v>703</v>
      </c>
      <c r="C142" s="980" t="s">
        <v>704</v>
      </c>
      <c r="D142" s="31"/>
      <c r="E142" s="102">
        <v>883.04311199999995</v>
      </c>
      <c r="F142" s="102">
        <v>883.04311199999995</v>
      </c>
      <c r="G142" s="102">
        <v>883.04311199999995</v>
      </c>
      <c r="H142" s="102">
        <v>883.04311199999995</v>
      </c>
      <c r="I142" s="102">
        <v>883.04311199999995</v>
      </c>
      <c r="J142" s="102">
        <v>883.04311199999995</v>
      </c>
      <c r="K142" s="102">
        <v>883.04311199999995</v>
      </c>
      <c r="L142" s="102">
        <v>883.04311199999995</v>
      </c>
      <c r="M142" s="102">
        <v>883.04311199999995</v>
      </c>
      <c r="N142" s="102">
        <v>883.04311199999995</v>
      </c>
      <c r="O142" s="102">
        <v>741.493112</v>
      </c>
      <c r="P142" s="102">
        <v>741.493112</v>
      </c>
      <c r="Q142" s="102">
        <v>741.493112</v>
      </c>
      <c r="R142" s="102">
        <v>741.493112</v>
      </c>
      <c r="S142" s="102">
        <v>741.493112</v>
      </c>
      <c r="T142" s="102">
        <v>741.493112</v>
      </c>
      <c r="U142" s="102">
        <v>741.493112</v>
      </c>
      <c r="V142" s="102">
        <v>741.493112</v>
      </c>
      <c r="W142" s="102">
        <v>741.493112</v>
      </c>
      <c r="X142" s="102">
        <v>741.493112</v>
      </c>
      <c r="Y142" s="102">
        <v>741.493112</v>
      </c>
      <c r="Z142" s="102">
        <v>741.493112</v>
      </c>
      <c r="AA142" s="102">
        <v>741.493112</v>
      </c>
      <c r="AB142" s="102">
        <v>741.493112</v>
      </c>
      <c r="AC142" s="102">
        <v>741.493112</v>
      </c>
      <c r="AD142" s="102">
        <v>741.493112</v>
      </c>
      <c r="AE142" s="102">
        <v>741.493112</v>
      </c>
      <c r="AF142" s="102">
        <v>741.493112</v>
      </c>
      <c r="AG142" s="102">
        <v>741.493112</v>
      </c>
      <c r="AH142" s="102">
        <v>741.493112</v>
      </c>
      <c r="AI142" s="102">
        <v>741.493112</v>
      </c>
      <c r="AJ142" s="102">
        <v>741.493112</v>
      </c>
      <c r="AK142" s="102">
        <v>754.94911200000001</v>
      </c>
      <c r="AL142" s="102">
        <v>748.22111199999995</v>
      </c>
      <c r="AM142" s="102">
        <v>748.22111199999995</v>
      </c>
      <c r="AN142" s="102">
        <v>770.14197799999999</v>
      </c>
      <c r="AO142" s="102">
        <v>766.60626300000001</v>
      </c>
      <c r="AP142" s="145">
        <v>970.11900813</v>
      </c>
      <c r="AQ142" s="220">
        <v>970.11900813</v>
      </c>
      <c r="AR142" s="220">
        <v>1460.42590513</v>
      </c>
      <c r="AS142" s="102">
        <v>4972.2812481299998</v>
      </c>
      <c r="AT142" s="102">
        <v>1870.4121052200001</v>
      </c>
      <c r="AU142" s="102">
        <v>1890.5101802199999</v>
      </c>
      <c r="AV142" s="102">
        <v>1890.5101802199999</v>
      </c>
      <c r="AW142" s="102">
        <v>766.60626300000001</v>
      </c>
      <c r="AX142" s="102">
        <v>766.60626300000001</v>
      </c>
      <c r="AY142" s="102">
        <v>766.60626300000001</v>
      </c>
      <c r="AZ142" s="102">
        <f>+AZ141</f>
        <v>7785.8249999999998</v>
      </c>
      <c r="BA142" s="102">
        <v>5723.9039169999996</v>
      </c>
      <c r="BB142" s="102">
        <v>5723.9039169999996</v>
      </c>
      <c r="BC142" s="102">
        <v>5723.9039169999996</v>
      </c>
      <c r="BD142" s="102">
        <v>4473.9039169999996</v>
      </c>
      <c r="BE142" s="102">
        <v>4473.9039169999996</v>
      </c>
      <c r="BF142" s="102">
        <v>4473.9039169999996</v>
      </c>
      <c r="BG142" s="102">
        <v>4473.9039169999996</v>
      </c>
      <c r="BH142" s="102">
        <v>4473.9039169999996</v>
      </c>
      <c r="BI142" s="102">
        <v>4473.9039169999996</v>
      </c>
      <c r="BJ142" s="102">
        <v>4473.9039169999996</v>
      </c>
      <c r="BK142" s="102">
        <v>4473.9039169999996</v>
      </c>
      <c r="BL142" s="102">
        <v>4473.9039169999996</v>
      </c>
      <c r="BM142" s="102">
        <v>4473.9039169999996</v>
      </c>
      <c r="BN142" s="102">
        <v>4473.9039169999996</v>
      </c>
      <c r="BO142" s="102">
        <v>4473.9039169999996</v>
      </c>
      <c r="BP142" s="102">
        <v>4473.9039169999996</v>
      </c>
      <c r="BQ142" s="102">
        <v>4473.9039169999996</v>
      </c>
      <c r="BR142" s="102">
        <v>4473.9039169999996</v>
      </c>
      <c r="BS142" s="102">
        <v>4473.9039169999996</v>
      </c>
      <c r="BT142" s="102">
        <v>4473.9039169999996</v>
      </c>
      <c r="BU142" s="102">
        <v>4473.9039169999996</v>
      </c>
      <c r="BV142" s="102">
        <v>4473.9039169999996</v>
      </c>
      <c r="BW142" s="102">
        <v>4473.9039169999996</v>
      </c>
      <c r="BX142" s="102">
        <v>4473.9039169999996</v>
      </c>
      <c r="BY142" s="102">
        <v>4495.6075170000004</v>
      </c>
      <c r="BZ142" s="102">
        <v>4495.6075170000004</v>
      </c>
      <c r="CA142" s="102">
        <v>4495.6075170000004</v>
      </c>
      <c r="CB142" s="102">
        <v>4495.6075170000004</v>
      </c>
      <c r="CC142" s="102">
        <v>4495.6075170000004</v>
      </c>
      <c r="CD142" s="102">
        <v>4495.6075170000004</v>
      </c>
      <c r="CE142" s="102">
        <v>4519.0616639999998</v>
      </c>
      <c r="CF142" s="102">
        <v>4522.1833589999997</v>
      </c>
      <c r="CG142" s="102">
        <v>4523.0597289999996</v>
      </c>
      <c r="CH142" s="102">
        <v>4525.0032920000003</v>
      </c>
      <c r="CI142" s="102">
        <v>4525.0032920000003</v>
      </c>
      <c r="CJ142" s="102">
        <v>4525.0032920000003</v>
      </c>
      <c r="CK142" s="102">
        <v>4525.0032920000003</v>
      </c>
      <c r="CL142" s="102">
        <v>4534.4488300000003</v>
      </c>
      <c r="CM142" s="102">
        <v>4534.4488300000003</v>
      </c>
      <c r="CN142" s="102">
        <v>4534.4488300000003</v>
      </c>
      <c r="CO142" s="102">
        <v>4534.4488300000003</v>
      </c>
      <c r="CP142" s="102">
        <v>4534.4488300000003</v>
      </c>
      <c r="CQ142" s="102">
        <v>4534.4488300000003</v>
      </c>
      <c r="CR142" s="102">
        <v>4534.4488300000003</v>
      </c>
      <c r="CS142" s="102">
        <v>4534.4488300000003</v>
      </c>
      <c r="CT142" s="102">
        <v>4534.4488300000003</v>
      </c>
      <c r="CU142" s="102">
        <v>4534.4488300000003</v>
      </c>
      <c r="CV142" s="102">
        <v>4534.4488300000003</v>
      </c>
      <c r="CW142" s="102">
        <v>4534.4488300000003</v>
      </c>
      <c r="CX142" s="102">
        <v>4534.4488300000003</v>
      </c>
      <c r="CY142" s="102">
        <v>4534.4488300000003</v>
      </c>
      <c r="CZ142" s="102">
        <v>4534.4488300000003</v>
      </c>
      <c r="DA142" s="102">
        <v>4534.4488300000003</v>
      </c>
      <c r="DB142" s="102">
        <v>4534.4488300000003</v>
      </c>
      <c r="DC142" s="102">
        <v>4534.4488300000003</v>
      </c>
      <c r="DD142" s="102">
        <v>4534.4488300000003</v>
      </c>
      <c r="DE142" s="102">
        <v>4534.4488300000003</v>
      </c>
      <c r="DF142" s="102">
        <v>4534.4488300000003</v>
      </c>
      <c r="DG142" s="102">
        <v>4534.4488300000003</v>
      </c>
      <c r="DH142" s="102">
        <v>4534.4488300000003</v>
      </c>
      <c r="DI142" s="102">
        <v>4534.4488300000003</v>
      </c>
      <c r="DJ142" s="102">
        <v>4534.4488300000003</v>
      </c>
      <c r="DK142" s="102">
        <v>4534.4488300000003</v>
      </c>
      <c r="DL142" s="102">
        <v>4534.4488300000003</v>
      </c>
      <c r="DM142" s="102">
        <v>4534.4488300000003</v>
      </c>
      <c r="DN142" s="102">
        <v>4534.4488300000003</v>
      </c>
      <c r="DO142" s="102">
        <v>4534.4488300000003</v>
      </c>
      <c r="DP142" s="102">
        <v>4534.4488300000003</v>
      </c>
      <c r="DQ142" s="940">
        <v>4534.4488300000003</v>
      </c>
      <c r="DR142" s="940">
        <v>4534.4488300000003</v>
      </c>
      <c r="DS142" s="940">
        <v>4534.4488300000003</v>
      </c>
      <c r="DT142" s="940">
        <v>4534.4488300000003</v>
      </c>
      <c r="DU142" s="940">
        <v>4534.4488300000003</v>
      </c>
      <c r="DV142" s="940">
        <v>4534.4488300000003</v>
      </c>
      <c r="DW142" s="940">
        <v>4534.4488300000003</v>
      </c>
      <c r="DX142" s="940">
        <v>4534.4488300000003</v>
      </c>
      <c r="DY142" s="940">
        <v>4534.4488300000003</v>
      </c>
      <c r="DZ142" s="940">
        <v>4534.4488300000003</v>
      </c>
      <c r="EA142" s="940">
        <v>4534.4488300000003</v>
      </c>
      <c r="EB142" s="940">
        <v>4536.45993</v>
      </c>
      <c r="EC142" s="940">
        <v>4536.45993</v>
      </c>
      <c r="ED142" s="940">
        <v>4536.45993</v>
      </c>
      <c r="EE142" s="940">
        <v>4536.45993</v>
      </c>
      <c r="EF142" s="940">
        <v>4540.128557</v>
      </c>
      <c r="EH142" s="102">
        <v>7678.7959440499999</v>
      </c>
      <c r="EI142" s="102">
        <v>7678.7959440499999</v>
      </c>
      <c r="EJ142" s="102">
        <v>7722.8588830500003</v>
      </c>
      <c r="EK142" s="102">
        <v>7722.8588830500003</v>
      </c>
      <c r="EL142" s="102">
        <v>7722.8588830500003</v>
      </c>
      <c r="EM142" s="102">
        <v>7739.5943290499999</v>
      </c>
      <c r="EN142" s="102">
        <v>7739.5943290499999</v>
      </c>
      <c r="EO142" s="102">
        <v>7739.5943290499999</v>
      </c>
      <c r="EP142" s="102">
        <v>7739.5943290499999</v>
      </c>
      <c r="EQ142" s="102">
        <v>7739.5943290499999</v>
      </c>
      <c r="ER142" s="102">
        <v>7739.5943290499999</v>
      </c>
      <c r="ES142" s="102">
        <v>7739.5943290499999</v>
      </c>
      <c r="EU142" s="102">
        <v>2580.4586551799998</v>
      </c>
      <c r="EV142" s="102">
        <v>7354.0586551800006</v>
      </c>
      <c r="EW142" s="102">
        <v>7782.3261971800002</v>
      </c>
      <c r="EX142" s="102">
        <v>7782.3261971800002</v>
      </c>
      <c r="EY142" s="102">
        <v>8014.3261971800002</v>
      </c>
      <c r="EZ142" s="102">
        <v>7272.8261971800002</v>
      </c>
      <c r="FA142" s="102">
        <v>7272.8261971800002</v>
      </c>
      <c r="FB142" s="102">
        <v>7272.8261971800002</v>
      </c>
      <c r="FC142" s="102">
        <v>7272.8261971800002</v>
      </c>
      <c r="FD142" s="102">
        <v>7272.8261971800002</v>
      </c>
      <c r="FE142" s="102">
        <v>7272.8261971800002</v>
      </c>
      <c r="FF142" s="102">
        <v>7272.8261971800002</v>
      </c>
      <c r="FG142" s="102">
        <v>759.87826300000006</v>
      </c>
      <c r="FH142" s="102">
        <v>759.87826300000006</v>
      </c>
      <c r="FI142" s="102">
        <v>19.878263000000288</v>
      </c>
      <c r="FJ142" s="102">
        <v>19.878263000000288</v>
      </c>
      <c r="FK142" s="102">
        <v>19.878263000000288</v>
      </c>
      <c r="FL142" s="102">
        <v>19.878263000000288</v>
      </c>
      <c r="FM142" s="102">
        <v>19.878263000000288</v>
      </c>
      <c r="FN142" s="102">
        <v>19.878263000000288</v>
      </c>
      <c r="FO142" s="102">
        <v>19.878263000000288</v>
      </c>
      <c r="FP142" s="102">
        <v>19.878263000000288</v>
      </c>
      <c r="FQ142" s="102">
        <v>19.878263000000288</v>
      </c>
      <c r="FR142" s="102">
        <v>19.878263000000288</v>
      </c>
      <c r="FS142" s="102">
        <v>6513.9974936999997</v>
      </c>
      <c r="FT142" s="102">
        <v>6513.9974936999997</v>
      </c>
      <c r="FU142" s="102">
        <v>6513.9974936999997</v>
      </c>
      <c r="FV142" s="102">
        <v>6513.9974936999997</v>
      </c>
      <c r="FW142" s="102">
        <v>6513.9974936999997</v>
      </c>
      <c r="FX142" s="102">
        <v>6513.9974936999997</v>
      </c>
      <c r="FY142" s="102">
        <v>6513.9974936999997</v>
      </c>
      <c r="FZ142" s="102">
        <v>6513.9974936999997</v>
      </c>
      <c r="GA142" s="102">
        <v>6513.9974936999997</v>
      </c>
      <c r="GB142" s="102">
        <v>6513.9974936999997</v>
      </c>
      <c r="GC142" s="102">
        <v>6513.9974936999997</v>
      </c>
      <c r="GD142" s="102">
        <v>6513.9974936999997</v>
      </c>
      <c r="GE142" s="145" t="e">
        <v>#VALUE!</v>
      </c>
      <c r="GF142" s="145" t="e">
        <v>#VALUE!</v>
      </c>
      <c r="GG142" s="145" t="e">
        <v>#VALUE!</v>
      </c>
      <c r="GH142" s="145" t="e">
        <v>#VALUE!</v>
      </c>
      <c r="GI142" s="145" t="e">
        <v>#VALUE!</v>
      </c>
      <c r="GJ142" s="145" t="e">
        <v>#VALUE!</v>
      </c>
      <c r="GK142" s="145" t="e">
        <v>#VALUE!</v>
      </c>
      <c r="GL142" s="145" t="e">
        <v>#VALUE!</v>
      </c>
      <c r="GM142" s="145" t="e">
        <v>#VALUE!</v>
      </c>
      <c r="GN142" s="145" t="e">
        <v>#VALUE!</v>
      </c>
      <c r="GO142" s="145" t="e">
        <v>#VALUE!</v>
      </c>
      <c r="GP142" s="145" t="e">
        <v>#VALUE!</v>
      </c>
      <c r="GQ142" s="145" t="e">
        <v>#VALUE!</v>
      </c>
      <c r="GR142" s="145" t="e">
        <v>#VALUE!</v>
      </c>
      <c r="GS142" s="145" t="e">
        <v>#VALUE!</v>
      </c>
      <c r="GT142" s="145" t="e">
        <v>#VALUE!</v>
      </c>
      <c r="GU142" s="145" t="e">
        <v>#VALUE!</v>
      </c>
      <c r="GV142" s="145" t="e">
        <v>#VALUE!</v>
      </c>
      <c r="GW142" s="145" t="e">
        <v>#VALUE!</v>
      </c>
      <c r="GX142" s="145" t="e">
        <v>#VALUE!</v>
      </c>
      <c r="GY142" s="145" t="e">
        <v>#VALUE!</v>
      </c>
      <c r="GZ142" s="145" t="e">
        <v>#VALUE!</v>
      </c>
      <c r="HA142" s="145" t="e">
        <v>#VALUE!</v>
      </c>
      <c r="HB142" s="145" t="e">
        <v>#VALUE!</v>
      </c>
      <c r="HD142" s="102">
        <f t="shared" si="776"/>
        <v>741.493112</v>
      </c>
      <c r="HE142" s="102">
        <f t="shared" si="776"/>
        <v>741.493112</v>
      </c>
      <c r="HF142" s="102">
        <f t="shared" si="776"/>
        <v>770.14197799999999</v>
      </c>
      <c r="HG142" s="102">
        <f t="shared" si="776"/>
        <v>7785.8249999999998</v>
      </c>
      <c r="HH142" s="102">
        <f t="shared" si="777"/>
        <v>4473.9039169999996</v>
      </c>
      <c r="HI142" s="102">
        <f t="shared" si="778"/>
        <v>4473.9039169999996</v>
      </c>
      <c r="HJ142" s="102">
        <f t="shared" si="696"/>
        <v>4525.0032920000003</v>
      </c>
      <c r="HK142" s="102">
        <f t="shared" si="697"/>
        <v>4534.4488300000003</v>
      </c>
      <c r="HL142" s="940">
        <f>+SUMIFS($E142:SEW142,$E$6:SEW$6,HL$7,$E$5:SEW$5,12)</f>
        <v>4534.4488300000003</v>
      </c>
      <c r="HM142" s="940">
        <f>+SUMIFS($E142:SEX142,$E$6:SEX$6,HM$7,$E$5:SEX$5,12)</f>
        <v>4534.4488300000003</v>
      </c>
      <c r="HN142" s="940">
        <f>+SUMIFS($E142:SEY142,$E$6:SEY$6,HN$7,$E$5:SEY$5,12)</f>
        <v>4540.128557</v>
      </c>
      <c r="HO142" s="102"/>
      <c r="HP142" s="102"/>
      <c r="HR142" s="929">
        <f t="shared" si="779"/>
        <v>3.8636725731310717E-2</v>
      </c>
      <c r="HS142" s="929">
        <f t="shared" si="780"/>
        <v>9.1095969605749758</v>
      </c>
      <c r="HT142" s="929">
        <f t="shared" si="781"/>
        <v>-0.42537831032677975</v>
      </c>
      <c r="HU142" s="929">
        <f t="shared" si="738"/>
        <v>0</v>
      </c>
      <c r="HV142" s="929">
        <f t="shared" si="739"/>
        <v>1.1421652308140295E-2</v>
      </c>
      <c r="HW142" s="929">
        <f t="shared" si="740"/>
        <v>2.0874101940873135E-3</v>
      </c>
      <c r="HX142" s="929">
        <f t="shared" si="741"/>
        <v>0</v>
      </c>
      <c r="HY142" s="929">
        <f t="shared" si="741"/>
        <v>0</v>
      </c>
      <c r="HZ142" s="929">
        <f t="shared" si="741"/>
        <v>1.2525727410181986E-3</v>
      </c>
      <c r="IA142" s="929">
        <f t="shared" si="762"/>
        <v>-1</v>
      </c>
      <c r="IB142" s="929" t="str">
        <f t="shared" si="782"/>
        <v/>
      </c>
      <c r="IC142" s="929">
        <f t="shared" si="763"/>
        <v>-1</v>
      </c>
      <c r="IE142" s="102">
        <f t="shared" si="783"/>
        <v>28.648865999999998</v>
      </c>
      <c r="IF142" s="102">
        <f t="shared" si="784"/>
        <v>7015.6830220000002</v>
      </c>
      <c r="IG142" s="102">
        <f t="shared" si="785"/>
        <v>-3311.9210830000002</v>
      </c>
      <c r="IH142" s="102">
        <f t="shared" si="742"/>
        <v>0</v>
      </c>
      <c r="II142" s="102">
        <f t="shared" si="767"/>
        <v>51.099375000000691</v>
      </c>
      <c r="IJ142" s="102">
        <f t="shared" si="768"/>
        <v>9.4455379999999423</v>
      </c>
      <c r="IK142" s="102">
        <f t="shared" si="769"/>
        <v>0</v>
      </c>
      <c r="IL142" s="102">
        <f t="shared" si="764"/>
        <v>-4534.4488300000003</v>
      </c>
      <c r="IM142" s="102">
        <f t="shared" si="786"/>
        <v>0</v>
      </c>
      <c r="IN142" s="102">
        <f t="shared" si="765"/>
        <v>-4534.4488300000003</v>
      </c>
      <c r="IP142" s="973"/>
      <c r="IQ142" s="973"/>
      <c r="IR142" s="973"/>
      <c r="IS142" s="973"/>
      <c r="IT142" s="973"/>
      <c r="IU142" s="973"/>
      <c r="IV142" s="973"/>
      <c r="IW142" s="973"/>
      <c r="IX142" s="973"/>
      <c r="IY142" s="973"/>
      <c r="JA142" s="102">
        <f t="shared" si="727"/>
        <v>741.493112</v>
      </c>
      <c r="JB142" s="102">
        <f t="shared" si="816"/>
        <v>741.493112</v>
      </c>
      <c r="JC142" s="102">
        <f t="shared" si="816"/>
        <v>770.14197799999999</v>
      </c>
      <c r="JD142" s="102">
        <f t="shared" si="816"/>
        <v>7785.8249999999998</v>
      </c>
      <c r="JE142" s="102">
        <f t="shared" si="816"/>
        <v>4473.9039169999996</v>
      </c>
      <c r="JF142" s="102">
        <f t="shared" si="816"/>
        <v>4473.9039169999996</v>
      </c>
      <c r="JG142" s="102">
        <f t="shared" si="816"/>
        <v>4525.0032920000003</v>
      </c>
      <c r="JH142" s="102">
        <f t="shared" si="816"/>
        <v>4534.4488300000003</v>
      </c>
      <c r="JI142" s="102">
        <f t="shared" si="816"/>
        <v>4534.4488300000003</v>
      </c>
      <c r="JJ142" s="102">
        <f t="shared" si="816"/>
        <v>4534.4488300000003</v>
      </c>
      <c r="JK142" s="102">
        <f t="shared" si="816"/>
        <v>4540.128557</v>
      </c>
      <c r="JL142" s="102">
        <f t="shared" si="728"/>
        <v>4540.128557</v>
      </c>
      <c r="JM142" s="102"/>
      <c r="JN142" s="102"/>
      <c r="JP142" s="102">
        <f t="shared" si="787"/>
        <v>0</v>
      </c>
      <c r="JQ142" s="102">
        <f t="shared" si="788"/>
        <v>0</v>
      </c>
      <c r="JR142" s="145"/>
      <c r="JS142" s="929" t="str">
        <f t="shared" si="789"/>
        <v>NA</v>
      </c>
      <c r="JT142" s="930">
        <f t="shared" si="790"/>
        <v>0</v>
      </c>
      <c r="JV142" s="973"/>
      <c r="JW142" s="973"/>
      <c r="JY142" s="929">
        <f t="shared" si="817"/>
        <v>3.8636725731310717E-2</v>
      </c>
      <c r="JZ142" s="929">
        <f t="shared" si="818"/>
        <v>9.1095969605749758</v>
      </c>
      <c r="KA142" s="929">
        <f t="shared" si="819"/>
        <v>-0.42537831032677975</v>
      </c>
      <c r="KB142" s="929">
        <f t="shared" si="820"/>
        <v>0</v>
      </c>
      <c r="KC142" s="929">
        <f t="shared" si="821"/>
        <v>1.1421652308140295E-2</v>
      </c>
      <c r="KD142" s="929">
        <f t="shared" si="822"/>
        <v>2.0874101940873135E-3</v>
      </c>
      <c r="KE142" s="929">
        <f t="shared" si="823"/>
        <v>0</v>
      </c>
      <c r="KF142" s="929">
        <f t="shared" si="824"/>
        <v>-1</v>
      </c>
      <c r="KH142" s="102">
        <f t="shared" si="792"/>
        <v>28.648865999999998</v>
      </c>
      <c r="KI142" s="102">
        <f t="shared" si="793"/>
        <v>7015.6830220000002</v>
      </c>
      <c r="KJ142" s="102">
        <f t="shared" si="794"/>
        <v>-3311.9210830000002</v>
      </c>
      <c r="KK142" s="102">
        <f t="shared" si="795"/>
        <v>0</v>
      </c>
      <c r="KL142" s="102">
        <f t="shared" si="796"/>
        <v>51.099375000000691</v>
      </c>
      <c r="KM142" s="102">
        <f t="shared" si="797"/>
        <v>9.4455379999999423</v>
      </c>
      <c r="KN142" s="102">
        <f t="shared" si="798"/>
        <v>0</v>
      </c>
      <c r="KO142" s="102">
        <f t="shared" si="711"/>
        <v>-4534.4488300000003</v>
      </c>
      <c r="KQ142" s="973"/>
      <c r="KR142" s="973"/>
      <c r="KS142" s="973"/>
      <c r="KT142" s="973"/>
      <c r="KU142" s="973"/>
      <c r="KV142" s="973"/>
      <c r="KW142" s="973"/>
      <c r="KX142" s="973"/>
      <c r="KY142" s="973"/>
      <c r="KZ142" s="973"/>
      <c r="LB142" s="102">
        <f t="shared" si="737"/>
        <v>741.493112</v>
      </c>
      <c r="LC142" s="102">
        <f t="shared" si="825"/>
        <v>741.493112</v>
      </c>
      <c r="LD142" s="102">
        <f t="shared" si="825"/>
        <v>770.14197799999999</v>
      </c>
      <c r="LE142" s="102">
        <f t="shared" si="825"/>
        <v>7785.8249999999998</v>
      </c>
      <c r="LF142" s="102">
        <f t="shared" si="825"/>
        <v>4473.9039169999996</v>
      </c>
      <c r="LG142" s="102">
        <f t="shared" si="825"/>
        <v>4473.9039169999996</v>
      </c>
      <c r="LH142" s="102">
        <f t="shared" si="825"/>
        <v>4525.0032920000003</v>
      </c>
      <c r="LI142" s="102">
        <f t="shared" si="825"/>
        <v>4534.4488300000003</v>
      </c>
      <c r="LJ142" s="102">
        <f t="shared" si="825"/>
        <v>4534.4488300000003</v>
      </c>
      <c r="LK142" s="102">
        <f t="shared" si="825"/>
        <v>4534.4488300000003</v>
      </c>
      <c r="LL142" s="102">
        <f t="shared" si="825"/>
        <v>4540.128557</v>
      </c>
      <c r="LM142" s="102">
        <f t="shared" si="825"/>
        <v>4540.128557</v>
      </c>
      <c r="LN142" s="102"/>
      <c r="LO142" s="102"/>
      <c r="LR142" s="32">
        <f t="shared" si="799"/>
        <v>3.8636725731310717E-2</v>
      </c>
      <c r="LS142" s="32">
        <f t="shared" si="800"/>
        <v>9.1095969605749758</v>
      </c>
      <c r="LT142" s="32">
        <f t="shared" si="801"/>
        <v>-0.42537831032677975</v>
      </c>
      <c r="LU142" s="32">
        <f t="shared" si="802"/>
        <v>0</v>
      </c>
      <c r="LV142" s="32">
        <f t="shared" si="803"/>
        <v>1.1421652308140295E-2</v>
      </c>
      <c r="LW142" s="32">
        <f t="shared" si="804"/>
        <v>2.0874101940873135E-3</v>
      </c>
      <c r="LX142" s="32">
        <f t="shared" si="719"/>
        <v>-1</v>
      </c>
      <c r="LZ142" s="102">
        <f t="shared" si="805"/>
        <v>28.648865999999998</v>
      </c>
      <c r="MA142" s="102">
        <f t="shared" si="806"/>
        <v>7015.6830220000002</v>
      </c>
      <c r="MB142" s="102">
        <f t="shared" si="807"/>
        <v>-3311.9210830000002</v>
      </c>
      <c r="MC142" s="102">
        <f t="shared" si="808"/>
        <v>0</v>
      </c>
      <c r="MD142" s="102">
        <f t="shared" si="809"/>
        <v>51.099375000000691</v>
      </c>
      <c r="ME142" s="102">
        <f t="shared" si="810"/>
        <v>9.4455379999999423</v>
      </c>
      <c r="MF142" s="102">
        <f t="shared" si="726"/>
        <v>-4534.4488300000003</v>
      </c>
      <c r="MH142" s="973"/>
      <c r="MI142" s="973"/>
      <c r="MJ142" s="973"/>
      <c r="MK142" s="973"/>
      <c r="ML142" s="973"/>
      <c r="MM142" s="973"/>
      <c r="MN142" s="973"/>
      <c r="MO142" s="973"/>
      <c r="MP142" s="973"/>
    </row>
    <row r="143" spans="1:354" outlineLevel="4">
      <c r="A143" s="884">
        <v>15169903</v>
      </c>
      <c r="B143" s="70" t="s">
        <v>705</v>
      </c>
      <c r="C143" s="980" t="s">
        <v>705</v>
      </c>
      <c r="D143" s="31"/>
      <c r="E143" s="102">
        <v>21.920866</v>
      </c>
      <c r="F143" s="102">
        <v>21.920866</v>
      </c>
      <c r="G143" s="102">
        <v>21.920866</v>
      </c>
      <c r="H143" s="102">
        <v>21.920866</v>
      </c>
      <c r="I143" s="102">
        <v>21.920866</v>
      </c>
      <c r="J143" s="102">
        <v>21.920866</v>
      </c>
      <c r="K143" s="102">
        <v>21.920866</v>
      </c>
      <c r="L143" s="102">
        <v>21.920866</v>
      </c>
      <c r="M143" s="102">
        <v>21.920866</v>
      </c>
      <c r="N143" s="102">
        <v>21.920866</v>
      </c>
      <c r="O143" s="102">
        <v>21.920866</v>
      </c>
      <c r="P143" s="102">
        <v>21.920866</v>
      </c>
      <c r="Q143" s="102">
        <v>0</v>
      </c>
      <c r="R143" s="102">
        <v>0</v>
      </c>
      <c r="S143" s="102">
        <v>0</v>
      </c>
      <c r="T143" s="102">
        <v>0</v>
      </c>
      <c r="U143" s="102">
        <v>0</v>
      </c>
      <c r="V143" s="102">
        <v>0</v>
      </c>
      <c r="W143" s="102">
        <v>0</v>
      </c>
      <c r="X143" s="102">
        <v>0</v>
      </c>
      <c r="Y143" s="102">
        <v>0</v>
      </c>
      <c r="Z143" s="102">
        <v>0</v>
      </c>
      <c r="AA143" s="102">
        <v>0</v>
      </c>
      <c r="AB143" s="102">
        <v>0</v>
      </c>
      <c r="AC143" s="102">
        <v>0</v>
      </c>
      <c r="AD143" s="102">
        <v>0</v>
      </c>
      <c r="AE143" s="102">
        <v>0</v>
      </c>
      <c r="AF143" s="102">
        <v>0</v>
      </c>
      <c r="AG143" s="102">
        <v>0</v>
      </c>
      <c r="AH143" s="102">
        <v>0</v>
      </c>
      <c r="AI143" s="102">
        <v>0</v>
      </c>
      <c r="AJ143" s="102">
        <v>0</v>
      </c>
      <c r="AK143" s="102">
        <v>0</v>
      </c>
      <c r="AL143" s="102">
        <v>0</v>
      </c>
      <c r="AM143" s="102">
        <v>0</v>
      </c>
      <c r="AN143" s="102">
        <v>0</v>
      </c>
      <c r="AO143" s="102">
        <v>0</v>
      </c>
      <c r="AP143" s="145">
        <v>0</v>
      </c>
      <c r="AQ143" s="220">
        <v>0</v>
      </c>
      <c r="AR143" s="220">
        <v>0</v>
      </c>
      <c r="AS143" s="102">
        <v>0</v>
      </c>
      <c r="AT143" s="102">
        <v>0</v>
      </c>
      <c r="AU143" s="102">
        <v>0</v>
      </c>
      <c r="AV143" s="102">
        <v>0</v>
      </c>
      <c r="AW143" s="102">
        <v>0</v>
      </c>
      <c r="AX143" s="102">
        <v>0</v>
      </c>
      <c r="AY143" s="102">
        <v>0</v>
      </c>
      <c r="AZ143" s="102">
        <v>0</v>
      </c>
      <c r="BA143" s="102">
        <v>0</v>
      </c>
      <c r="BB143" s="102">
        <v>0</v>
      </c>
      <c r="BC143" s="102">
        <v>0</v>
      </c>
      <c r="BD143" s="102">
        <v>0</v>
      </c>
      <c r="BE143" s="102">
        <v>0</v>
      </c>
      <c r="BF143" s="102">
        <v>0</v>
      </c>
      <c r="BG143" s="102">
        <v>0</v>
      </c>
      <c r="BH143" s="102">
        <v>0</v>
      </c>
      <c r="BI143" s="102">
        <v>0</v>
      </c>
      <c r="BJ143" s="102">
        <v>0</v>
      </c>
      <c r="BK143" s="102">
        <v>0</v>
      </c>
      <c r="BL143" s="102">
        <v>0</v>
      </c>
      <c r="BM143" s="102">
        <v>0</v>
      </c>
      <c r="BN143" s="102">
        <v>0</v>
      </c>
      <c r="BO143" s="102">
        <v>0</v>
      </c>
      <c r="BP143" s="102">
        <v>0</v>
      </c>
      <c r="BQ143" s="102">
        <v>0</v>
      </c>
      <c r="BR143" s="102">
        <v>0</v>
      </c>
      <c r="BS143" s="102">
        <v>0</v>
      </c>
      <c r="BT143" s="102">
        <v>0</v>
      </c>
      <c r="BU143" s="102">
        <v>0</v>
      </c>
      <c r="BV143" s="102">
        <v>0</v>
      </c>
      <c r="BW143" s="102">
        <v>0</v>
      </c>
      <c r="BX143" s="102">
        <v>0</v>
      </c>
      <c r="BY143" s="102">
        <v>0</v>
      </c>
      <c r="BZ143" s="102">
        <v>0</v>
      </c>
      <c r="CA143" s="102">
        <v>0</v>
      </c>
      <c r="CB143" s="102">
        <v>0</v>
      </c>
      <c r="CC143" s="102">
        <v>0</v>
      </c>
      <c r="CD143" s="102">
        <v>0</v>
      </c>
      <c r="CE143" s="102">
        <v>0</v>
      </c>
      <c r="CF143" s="102">
        <v>0</v>
      </c>
      <c r="CG143" s="102">
        <v>0</v>
      </c>
      <c r="CH143" s="102">
        <v>0</v>
      </c>
      <c r="CI143" s="102">
        <v>0</v>
      </c>
      <c r="CJ143" s="102">
        <v>0</v>
      </c>
      <c r="CK143" s="102">
        <v>0</v>
      </c>
      <c r="CL143" s="102">
        <v>0</v>
      </c>
      <c r="CM143" s="102">
        <v>0</v>
      </c>
      <c r="CN143" s="102">
        <v>0</v>
      </c>
      <c r="CO143" s="102">
        <v>0</v>
      </c>
      <c r="CP143" s="102">
        <v>0</v>
      </c>
      <c r="CQ143" s="102">
        <v>0</v>
      </c>
      <c r="CR143" s="102">
        <v>0</v>
      </c>
      <c r="CS143" s="102">
        <v>0</v>
      </c>
      <c r="CT143" s="102">
        <v>0</v>
      </c>
      <c r="CU143" s="102">
        <v>0</v>
      </c>
      <c r="CV143" s="102">
        <v>0</v>
      </c>
      <c r="CW143" s="102">
        <v>0</v>
      </c>
      <c r="CX143" s="102">
        <v>0</v>
      </c>
      <c r="CY143" s="102">
        <v>0</v>
      </c>
      <c r="CZ143" s="102">
        <v>0</v>
      </c>
      <c r="DA143" s="102">
        <v>0</v>
      </c>
      <c r="DB143" s="102">
        <v>0</v>
      </c>
      <c r="DC143" s="102">
        <v>0</v>
      </c>
      <c r="DD143" s="102">
        <v>0</v>
      </c>
      <c r="DE143" s="102">
        <v>0</v>
      </c>
      <c r="DF143" s="102">
        <v>0</v>
      </c>
      <c r="DG143" s="102">
        <v>0</v>
      </c>
      <c r="DH143" s="102">
        <v>0</v>
      </c>
      <c r="DI143" s="102">
        <v>0</v>
      </c>
      <c r="DJ143" s="102">
        <v>0</v>
      </c>
      <c r="DK143" s="102">
        <v>0</v>
      </c>
      <c r="DL143" s="102">
        <v>0</v>
      </c>
      <c r="DM143" s="102">
        <v>0</v>
      </c>
      <c r="DN143" s="102">
        <v>0</v>
      </c>
      <c r="DO143" s="102">
        <v>0</v>
      </c>
      <c r="DP143" s="102">
        <v>0</v>
      </c>
      <c r="DQ143" s="940">
        <v>0</v>
      </c>
      <c r="DR143" s="940">
        <v>0</v>
      </c>
      <c r="DS143" s="940">
        <v>0</v>
      </c>
      <c r="DT143" s="940">
        <v>0</v>
      </c>
      <c r="DU143" s="940">
        <v>0</v>
      </c>
      <c r="DV143" s="940">
        <v>0</v>
      </c>
      <c r="DW143" s="940">
        <v>0</v>
      </c>
      <c r="DX143" s="940">
        <v>0</v>
      </c>
      <c r="DY143" s="940">
        <v>0</v>
      </c>
      <c r="DZ143" s="940">
        <v>0</v>
      </c>
      <c r="EA143" s="940">
        <v>0</v>
      </c>
      <c r="EB143" s="940">
        <v>0</v>
      </c>
      <c r="EC143" s="940">
        <v>0</v>
      </c>
      <c r="ED143" s="940">
        <v>0</v>
      </c>
      <c r="EE143" s="940">
        <v>0</v>
      </c>
      <c r="EF143" s="940">
        <v>0</v>
      </c>
      <c r="EH143" s="102"/>
      <c r="EI143" s="102"/>
      <c r="EJ143" s="102"/>
      <c r="EK143" s="102"/>
      <c r="EL143" s="102"/>
      <c r="EM143" s="102"/>
      <c r="EN143" s="102"/>
      <c r="EO143" s="102"/>
      <c r="EP143" s="102"/>
      <c r="EQ143" s="102"/>
      <c r="ER143" s="102"/>
      <c r="ES143" s="102"/>
      <c r="EU143" s="102"/>
      <c r="EV143" s="102"/>
      <c r="EW143" s="102"/>
      <c r="EX143" s="102"/>
      <c r="EY143" s="102"/>
      <c r="EZ143" s="102"/>
      <c r="FA143" s="102"/>
      <c r="FB143" s="102"/>
      <c r="FC143" s="102"/>
      <c r="FD143" s="102"/>
      <c r="FE143" s="102"/>
      <c r="FF143" s="102"/>
      <c r="FG143" s="102">
        <v>0</v>
      </c>
      <c r="FH143" s="102">
        <v>0</v>
      </c>
      <c r="FI143" s="102">
        <v>0</v>
      </c>
      <c r="FJ143" s="102">
        <v>0</v>
      </c>
      <c r="FK143" s="102">
        <v>0</v>
      </c>
      <c r="FL143" s="102">
        <v>0</v>
      </c>
      <c r="FM143" s="102">
        <v>0</v>
      </c>
      <c r="FN143" s="102">
        <v>0</v>
      </c>
      <c r="FO143" s="102">
        <v>0</v>
      </c>
      <c r="FP143" s="102">
        <v>0</v>
      </c>
      <c r="FQ143" s="102">
        <v>0</v>
      </c>
      <c r="FR143" s="102">
        <v>0</v>
      </c>
      <c r="FS143" s="102"/>
      <c r="FT143" s="102"/>
      <c r="FU143" s="102"/>
      <c r="FV143" s="102"/>
      <c r="FW143" s="102"/>
      <c r="FX143" s="102"/>
      <c r="FY143" s="102"/>
      <c r="FZ143" s="102"/>
      <c r="GA143" s="102"/>
      <c r="GB143" s="102"/>
      <c r="GC143" s="102"/>
      <c r="GD143" s="102"/>
      <c r="GE143" s="102"/>
      <c r="GF143" s="102"/>
      <c r="GG143" s="102"/>
      <c r="GH143" s="102"/>
      <c r="GI143" s="102"/>
      <c r="GJ143" s="102"/>
      <c r="GK143" s="102"/>
      <c r="GL143" s="102"/>
      <c r="GM143" s="102"/>
      <c r="GN143" s="102"/>
      <c r="GO143" s="102"/>
      <c r="GP143" s="102"/>
      <c r="GQ143" s="102"/>
      <c r="GR143" s="102"/>
      <c r="GS143" s="102"/>
      <c r="GT143" s="102"/>
      <c r="GU143" s="102"/>
      <c r="GV143" s="102"/>
      <c r="GW143" s="102"/>
      <c r="GX143" s="102"/>
      <c r="GY143" s="102"/>
      <c r="GZ143" s="102"/>
      <c r="HA143" s="102"/>
      <c r="HB143" s="102"/>
      <c r="HD143" s="102">
        <f t="shared" si="776"/>
        <v>21.920866</v>
      </c>
      <c r="HE143" s="102">
        <f t="shared" si="776"/>
        <v>0</v>
      </c>
      <c r="HF143" s="102">
        <f t="shared" si="776"/>
        <v>0</v>
      </c>
      <c r="HG143" s="102">
        <f t="shared" si="776"/>
        <v>0</v>
      </c>
      <c r="HH143" s="102">
        <f t="shared" si="777"/>
        <v>0</v>
      </c>
      <c r="HI143" s="102">
        <f t="shared" si="778"/>
        <v>0</v>
      </c>
      <c r="HJ143" s="102">
        <f t="shared" si="696"/>
        <v>0</v>
      </c>
      <c r="HK143" s="102">
        <f t="shared" si="697"/>
        <v>0</v>
      </c>
      <c r="HL143" s="940">
        <f>+SUMIFS($E143:SEW143,$E$6:SEW$6,HL$7,$E$5:SEW$5,12)</f>
        <v>0</v>
      </c>
      <c r="HM143" s="940">
        <f>+SUMIFS($E143:SEX143,$E$6:SEX$6,HM$7,$E$5:SEX$5,12)</f>
        <v>0</v>
      </c>
      <c r="HN143" s="940">
        <f>+SUMIFS($E143:SEY143,$E$6:SEY$6,HN$7,$E$5:SEY$5,12)</f>
        <v>0</v>
      </c>
      <c r="HO143" s="102"/>
      <c r="HP143" s="102"/>
      <c r="HR143" s="929" t="str">
        <f t="shared" si="779"/>
        <v/>
      </c>
      <c r="HS143" s="929" t="str">
        <f t="shared" si="780"/>
        <v/>
      </c>
      <c r="HT143" s="929" t="str">
        <f t="shared" si="781"/>
        <v/>
      </c>
      <c r="HU143" s="929" t="str">
        <f t="shared" si="738"/>
        <v/>
      </c>
      <c r="HV143" s="929" t="str">
        <f t="shared" si="739"/>
        <v/>
      </c>
      <c r="HW143" s="929" t="str">
        <f t="shared" si="740"/>
        <v/>
      </c>
      <c r="HX143" s="929" t="str">
        <f t="shared" si="741"/>
        <v/>
      </c>
      <c r="HY143" s="929" t="str">
        <f t="shared" si="741"/>
        <v/>
      </c>
      <c r="HZ143" s="929" t="str">
        <f t="shared" si="741"/>
        <v/>
      </c>
      <c r="IA143" s="929" t="str">
        <f t="shared" si="762"/>
        <v/>
      </c>
      <c r="IB143" s="929" t="str">
        <f t="shared" si="782"/>
        <v/>
      </c>
      <c r="IC143" s="929" t="str">
        <f t="shared" si="763"/>
        <v/>
      </c>
      <c r="IE143" s="102">
        <f t="shared" si="783"/>
        <v>0</v>
      </c>
      <c r="IF143" s="102">
        <f t="shared" si="784"/>
        <v>0</v>
      </c>
      <c r="IG143" s="102">
        <f t="shared" si="785"/>
        <v>0</v>
      </c>
      <c r="IH143" s="102">
        <f t="shared" si="742"/>
        <v>0</v>
      </c>
      <c r="II143" s="102">
        <f t="shared" si="767"/>
        <v>0</v>
      </c>
      <c r="IJ143" s="102">
        <f t="shared" si="768"/>
        <v>0</v>
      </c>
      <c r="IK143" s="102">
        <f t="shared" si="769"/>
        <v>0</v>
      </c>
      <c r="IL143" s="102">
        <f t="shared" si="764"/>
        <v>0</v>
      </c>
      <c r="IM143" s="102">
        <f t="shared" si="786"/>
        <v>0</v>
      </c>
      <c r="IN143" s="102">
        <f t="shared" si="765"/>
        <v>0</v>
      </c>
      <c r="IP143" s="973"/>
      <c r="IQ143" s="973"/>
      <c r="IR143" s="973"/>
      <c r="IS143" s="973"/>
      <c r="IT143" s="973"/>
      <c r="IU143" s="973"/>
      <c r="IV143" s="973"/>
      <c r="IW143" s="973"/>
      <c r="IX143" s="973"/>
      <c r="IY143" s="973"/>
      <c r="JA143" s="102">
        <f t="shared" si="727"/>
        <v>21.920866</v>
      </c>
      <c r="JB143" s="102">
        <f t="shared" si="816"/>
        <v>0</v>
      </c>
      <c r="JC143" s="102">
        <f t="shared" si="816"/>
        <v>0</v>
      </c>
      <c r="JD143" s="102">
        <f t="shared" si="816"/>
        <v>0</v>
      </c>
      <c r="JE143" s="102">
        <f t="shared" si="816"/>
        <v>0</v>
      </c>
      <c r="JF143" s="102">
        <f t="shared" si="816"/>
        <v>0</v>
      </c>
      <c r="JG143" s="102">
        <f t="shared" si="816"/>
        <v>0</v>
      </c>
      <c r="JH143" s="102">
        <f t="shared" si="816"/>
        <v>0</v>
      </c>
      <c r="JI143" s="102">
        <f t="shared" si="816"/>
        <v>0</v>
      </c>
      <c r="JJ143" s="102">
        <f t="shared" si="816"/>
        <v>0</v>
      </c>
      <c r="JK143" s="102">
        <f t="shared" si="816"/>
        <v>0</v>
      </c>
      <c r="JL143" s="102">
        <f t="shared" si="728"/>
        <v>0</v>
      </c>
      <c r="JM143" s="102"/>
      <c r="JN143" s="102"/>
      <c r="JP143" s="102">
        <f t="shared" si="787"/>
        <v>0</v>
      </c>
      <c r="JQ143" s="102">
        <f t="shared" si="788"/>
        <v>0</v>
      </c>
      <c r="JR143" s="145"/>
      <c r="JS143" s="929" t="str">
        <f t="shared" si="789"/>
        <v>NA</v>
      </c>
      <c r="JT143" s="930">
        <f t="shared" si="790"/>
        <v>0</v>
      </c>
      <c r="JV143" s="973"/>
      <c r="JW143" s="973"/>
      <c r="JY143" s="929" t="str">
        <f t="shared" si="817"/>
        <v/>
      </c>
      <c r="JZ143" s="929" t="str">
        <f t="shared" si="818"/>
        <v/>
      </c>
      <c r="KA143" s="929" t="str">
        <f t="shared" si="819"/>
        <v/>
      </c>
      <c r="KB143" s="929" t="str">
        <f t="shared" si="820"/>
        <v/>
      </c>
      <c r="KC143" s="929" t="str">
        <f t="shared" si="821"/>
        <v/>
      </c>
      <c r="KD143" s="929" t="str">
        <f t="shared" si="822"/>
        <v/>
      </c>
      <c r="KE143" s="929" t="str">
        <f t="shared" si="823"/>
        <v/>
      </c>
      <c r="KF143" s="929" t="str">
        <f t="shared" si="824"/>
        <v/>
      </c>
      <c r="KH143" s="102">
        <f t="shared" si="792"/>
        <v>0</v>
      </c>
      <c r="KI143" s="102">
        <f t="shared" si="793"/>
        <v>0</v>
      </c>
      <c r="KJ143" s="102">
        <f t="shared" si="794"/>
        <v>0</v>
      </c>
      <c r="KK143" s="102">
        <f t="shared" si="795"/>
        <v>0</v>
      </c>
      <c r="KL143" s="102">
        <f t="shared" si="796"/>
        <v>0</v>
      </c>
      <c r="KM143" s="102">
        <f t="shared" si="797"/>
        <v>0</v>
      </c>
      <c r="KN143" s="102">
        <f t="shared" si="798"/>
        <v>0</v>
      </c>
      <c r="KO143" s="102">
        <f t="shared" si="711"/>
        <v>0</v>
      </c>
      <c r="KQ143" s="973"/>
      <c r="KR143" s="973"/>
      <c r="KS143" s="973"/>
      <c r="KT143" s="973"/>
      <c r="KU143" s="973"/>
      <c r="KV143" s="973"/>
      <c r="KW143" s="973"/>
      <c r="KX143" s="973"/>
      <c r="KY143" s="973"/>
      <c r="KZ143" s="973"/>
      <c r="LB143" s="102">
        <f t="shared" si="737"/>
        <v>21.920866</v>
      </c>
      <c r="LC143" s="102">
        <f t="shared" si="825"/>
        <v>0</v>
      </c>
      <c r="LD143" s="102">
        <f t="shared" si="825"/>
        <v>0</v>
      </c>
      <c r="LE143" s="102">
        <f t="shared" si="825"/>
        <v>0</v>
      </c>
      <c r="LF143" s="102">
        <f t="shared" si="825"/>
        <v>0</v>
      </c>
      <c r="LG143" s="102">
        <f t="shared" si="825"/>
        <v>0</v>
      </c>
      <c r="LH143" s="102">
        <f t="shared" si="825"/>
        <v>0</v>
      </c>
      <c r="LI143" s="102">
        <f t="shared" si="825"/>
        <v>0</v>
      </c>
      <c r="LJ143" s="102">
        <f t="shared" si="825"/>
        <v>0</v>
      </c>
      <c r="LK143" s="102">
        <f t="shared" si="825"/>
        <v>0</v>
      </c>
      <c r="LL143" s="102">
        <f t="shared" si="825"/>
        <v>0</v>
      </c>
      <c r="LM143" s="102">
        <f t="shared" si="825"/>
        <v>0</v>
      </c>
      <c r="LN143" s="102"/>
      <c r="LO143" s="102"/>
      <c r="LR143" s="32" t="str">
        <f t="shared" si="799"/>
        <v xml:space="preserve"> </v>
      </c>
      <c r="LS143" s="32" t="str">
        <f t="shared" si="800"/>
        <v xml:space="preserve"> </v>
      </c>
      <c r="LT143" s="32" t="str">
        <f t="shared" si="801"/>
        <v xml:space="preserve"> </v>
      </c>
      <c r="LU143" s="32" t="str">
        <f t="shared" si="802"/>
        <v xml:space="preserve"> </v>
      </c>
      <c r="LV143" s="32" t="str">
        <f t="shared" si="803"/>
        <v xml:space="preserve"> </v>
      </c>
      <c r="LW143" s="32" t="str">
        <f t="shared" si="804"/>
        <v xml:space="preserve"> </v>
      </c>
      <c r="LX143" s="32" t="str">
        <f t="shared" si="719"/>
        <v xml:space="preserve"> </v>
      </c>
      <c r="LZ143" s="102">
        <f t="shared" si="805"/>
        <v>0</v>
      </c>
      <c r="MA143" s="102">
        <f t="shared" si="806"/>
        <v>0</v>
      </c>
      <c r="MB143" s="102">
        <f t="shared" si="807"/>
        <v>0</v>
      </c>
      <c r="MC143" s="102">
        <f t="shared" si="808"/>
        <v>0</v>
      </c>
      <c r="MD143" s="102">
        <f t="shared" si="809"/>
        <v>0</v>
      </c>
      <c r="ME143" s="102">
        <f t="shared" si="810"/>
        <v>0</v>
      </c>
      <c r="MF143" s="102">
        <f t="shared" si="726"/>
        <v>0</v>
      </c>
      <c r="MH143" s="973"/>
      <c r="MI143" s="973"/>
      <c r="MJ143" s="973"/>
      <c r="MK143" s="973"/>
      <c r="ML143" s="973"/>
      <c r="MM143" s="973"/>
      <c r="MN143" s="973"/>
      <c r="MO143" s="973"/>
      <c r="MP143" s="973"/>
    </row>
    <row r="144" spans="1:354" outlineLevel="4">
      <c r="A144" s="884">
        <v>15169902</v>
      </c>
      <c r="B144" s="70" t="s">
        <v>706</v>
      </c>
      <c r="C144" s="980" t="s">
        <v>706</v>
      </c>
      <c r="D144" s="31"/>
      <c r="E144" s="102">
        <v>0</v>
      </c>
      <c r="F144" s="102">
        <v>0</v>
      </c>
      <c r="G144" s="102">
        <v>0</v>
      </c>
      <c r="H144" s="102">
        <v>0</v>
      </c>
      <c r="I144" s="102">
        <v>0</v>
      </c>
      <c r="J144" s="102">
        <v>0</v>
      </c>
      <c r="K144" s="102">
        <v>0</v>
      </c>
      <c r="L144" s="102">
        <v>0</v>
      </c>
      <c r="M144" s="102">
        <v>0</v>
      </c>
      <c r="N144" s="102">
        <v>0</v>
      </c>
      <c r="O144" s="102">
        <v>0</v>
      </c>
      <c r="P144" s="102">
        <v>0</v>
      </c>
      <c r="Q144" s="102">
        <v>21.920866</v>
      </c>
      <c r="R144" s="102">
        <v>21.920866</v>
      </c>
      <c r="S144" s="102">
        <v>21.920866</v>
      </c>
      <c r="T144" s="102">
        <v>21.920866</v>
      </c>
      <c r="U144" s="102">
        <v>21.920866</v>
      </c>
      <c r="V144" s="102">
        <v>21.920866</v>
      </c>
      <c r="W144" s="102">
        <v>21.920866</v>
      </c>
      <c r="X144" s="102">
        <v>21.920866</v>
      </c>
      <c r="Y144" s="102">
        <v>21.920866</v>
      </c>
      <c r="Z144" s="102">
        <v>21.920866</v>
      </c>
      <c r="AA144" s="102">
        <v>21.920866</v>
      </c>
      <c r="AB144" s="102">
        <v>21.920866</v>
      </c>
      <c r="AC144" s="102">
        <v>21.920866</v>
      </c>
      <c r="AD144" s="102">
        <v>21.920866</v>
      </c>
      <c r="AE144" s="102">
        <v>21.920866</v>
      </c>
      <c r="AF144" s="102">
        <v>21.920866</v>
      </c>
      <c r="AG144" s="102">
        <v>21.920866</v>
      </c>
      <c r="AH144" s="102">
        <v>21.920866</v>
      </c>
      <c r="AI144" s="102">
        <v>21.920866</v>
      </c>
      <c r="AJ144" s="102">
        <v>21.920866</v>
      </c>
      <c r="AK144" s="102">
        <v>21.920866</v>
      </c>
      <c r="AL144" s="102">
        <v>21.920866</v>
      </c>
      <c r="AM144" s="102">
        <v>21.920866</v>
      </c>
      <c r="AN144" s="102">
        <v>0</v>
      </c>
      <c r="AO144" s="102">
        <v>0</v>
      </c>
      <c r="AP144" s="145">
        <v>0</v>
      </c>
      <c r="AQ144" s="220">
        <v>0</v>
      </c>
      <c r="AR144" s="220">
        <v>0</v>
      </c>
      <c r="AS144" s="102">
        <v>0</v>
      </c>
      <c r="AT144" s="102">
        <v>0</v>
      </c>
      <c r="AU144" s="102">
        <v>0</v>
      </c>
      <c r="AV144" s="102">
        <v>0</v>
      </c>
      <c r="AW144" s="102">
        <v>0</v>
      </c>
      <c r="AX144" s="102">
        <v>0</v>
      </c>
      <c r="AY144" s="102">
        <v>0</v>
      </c>
      <c r="AZ144" s="102">
        <v>0</v>
      </c>
      <c r="BA144" s="102">
        <v>0</v>
      </c>
      <c r="BB144" s="102">
        <v>0</v>
      </c>
      <c r="BC144" s="102">
        <v>0</v>
      </c>
      <c r="BD144" s="102">
        <v>0</v>
      </c>
      <c r="BE144" s="102">
        <v>0</v>
      </c>
      <c r="BF144" s="102">
        <v>0</v>
      </c>
      <c r="BG144" s="102">
        <v>0</v>
      </c>
      <c r="BH144" s="102">
        <v>0</v>
      </c>
      <c r="BI144" s="102">
        <v>0</v>
      </c>
      <c r="BJ144" s="102">
        <v>0</v>
      </c>
      <c r="BK144" s="102">
        <v>0</v>
      </c>
      <c r="BL144" s="102">
        <v>0</v>
      </c>
      <c r="BM144" s="102">
        <v>0</v>
      </c>
      <c r="BN144" s="102">
        <v>0</v>
      </c>
      <c r="BO144" s="102">
        <v>0</v>
      </c>
      <c r="BP144" s="102">
        <v>0</v>
      </c>
      <c r="BQ144" s="102">
        <v>0</v>
      </c>
      <c r="BR144" s="102">
        <v>0</v>
      </c>
      <c r="BS144" s="102">
        <v>0</v>
      </c>
      <c r="BT144" s="102">
        <v>0</v>
      </c>
      <c r="BU144" s="102">
        <v>0</v>
      </c>
      <c r="BV144" s="102">
        <v>0</v>
      </c>
      <c r="BW144" s="102">
        <v>0</v>
      </c>
      <c r="BX144" s="102">
        <v>0</v>
      </c>
      <c r="BY144" s="102">
        <v>0</v>
      </c>
      <c r="BZ144" s="102">
        <v>0</v>
      </c>
      <c r="CA144" s="102">
        <v>0</v>
      </c>
      <c r="CB144" s="102">
        <v>0</v>
      </c>
      <c r="CC144" s="102">
        <v>0</v>
      </c>
      <c r="CD144" s="102">
        <v>0</v>
      </c>
      <c r="CE144" s="102">
        <v>0</v>
      </c>
      <c r="CF144" s="102">
        <v>0</v>
      </c>
      <c r="CG144" s="102">
        <v>0</v>
      </c>
      <c r="CH144" s="102">
        <v>0</v>
      </c>
      <c r="CI144" s="102">
        <v>0</v>
      </c>
      <c r="CJ144" s="102">
        <v>0</v>
      </c>
      <c r="CK144" s="102">
        <v>0</v>
      </c>
      <c r="CL144" s="102">
        <v>0</v>
      </c>
      <c r="CM144" s="102">
        <v>0</v>
      </c>
      <c r="CN144" s="102">
        <v>0</v>
      </c>
      <c r="CO144" s="102">
        <v>0</v>
      </c>
      <c r="CP144" s="102">
        <v>0</v>
      </c>
      <c r="CQ144" s="102">
        <v>0</v>
      </c>
      <c r="CR144" s="102">
        <v>0</v>
      </c>
      <c r="CS144" s="102">
        <v>0</v>
      </c>
      <c r="CT144" s="102">
        <v>0</v>
      </c>
      <c r="CU144" s="102">
        <v>0</v>
      </c>
      <c r="CV144" s="102">
        <v>0</v>
      </c>
      <c r="CW144" s="102">
        <v>0</v>
      </c>
      <c r="CX144" s="102">
        <v>0</v>
      </c>
      <c r="CY144" s="102">
        <v>0</v>
      </c>
      <c r="CZ144" s="102">
        <v>0</v>
      </c>
      <c r="DA144" s="102">
        <v>0</v>
      </c>
      <c r="DB144" s="102">
        <v>0</v>
      </c>
      <c r="DC144" s="102">
        <v>0</v>
      </c>
      <c r="DD144" s="102">
        <v>0</v>
      </c>
      <c r="DE144" s="102">
        <v>0</v>
      </c>
      <c r="DF144" s="102">
        <v>0</v>
      </c>
      <c r="DG144" s="102">
        <v>0</v>
      </c>
      <c r="DH144" s="102">
        <v>0</v>
      </c>
      <c r="DI144" s="102">
        <v>0</v>
      </c>
      <c r="DJ144" s="102">
        <v>0</v>
      </c>
      <c r="DK144" s="102">
        <v>0</v>
      </c>
      <c r="DL144" s="102">
        <v>0</v>
      </c>
      <c r="DM144" s="102">
        <v>0</v>
      </c>
      <c r="DN144" s="102">
        <v>0</v>
      </c>
      <c r="DO144" s="102">
        <v>0</v>
      </c>
      <c r="DP144" s="102">
        <v>0</v>
      </c>
      <c r="DQ144" s="940">
        <v>0</v>
      </c>
      <c r="DR144" s="940">
        <v>0</v>
      </c>
      <c r="DS144" s="940">
        <v>0</v>
      </c>
      <c r="DT144" s="940">
        <v>0</v>
      </c>
      <c r="DU144" s="940">
        <v>0</v>
      </c>
      <c r="DV144" s="940">
        <v>0</v>
      </c>
      <c r="DW144" s="940">
        <v>0</v>
      </c>
      <c r="DX144" s="940">
        <v>0</v>
      </c>
      <c r="DY144" s="940">
        <v>0</v>
      </c>
      <c r="DZ144" s="940">
        <v>0</v>
      </c>
      <c r="EA144" s="940">
        <v>0</v>
      </c>
      <c r="EB144" s="940">
        <v>0</v>
      </c>
      <c r="EC144" s="940">
        <v>0</v>
      </c>
      <c r="ED144" s="940">
        <v>0</v>
      </c>
      <c r="EE144" s="940">
        <v>0</v>
      </c>
      <c r="EF144" s="940">
        <v>0</v>
      </c>
      <c r="EH144" s="102"/>
      <c r="EI144" s="102"/>
      <c r="EJ144" s="102"/>
      <c r="EK144" s="102"/>
      <c r="EL144" s="102"/>
      <c r="EM144" s="102"/>
      <c r="EN144" s="102"/>
      <c r="EO144" s="102"/>
      <c r="EP144" s="102"/>
      <c r="EQ144" s="102"/>
      <c r="ER144" s="102"/>
      <c r="ES144" s="102"/>
      <c r="EU144" s="102"/>
      <c r="EV144" s="102"/>
      <c r="EW144" s="102"/>
      <c r="EX144" s="102"/>
      <c r="EY144" s="102"/>
      <c r="EZ144" s="102"/>
      <c r="FA144" s="102"/>
      <c r="FB144" s="102"/>
      <c r="FC144" s="102"/>
      <c r="FD144" s="102"/>
      <c r="FE144" s="102"/>
      <c r="FF144" s="102"/>
      <c r="FG144" s="102">
        <v>0</v>
      </c>
      <c r="FH144" s="102">
        <v>0</v>
      </c>
      <c r="FI144" s="102">
        <v>0</v>
      </c>
      <c r="FJ144" s="102">
        <v>0</v>
      </c>
      <c r="FK144" s="102">
        <v>0</v>
      </c>
      <c r="FL144" s="102">
        <v>0</v>
      </c>
      <c r="FM144" s="102">
        <v>0</v>
      </c>
      <c r="FN144" s="102">
        <v>0</v>
      </c>
      <c r="FO144" s="102">
        <v>0</v>
      </c>
      <c r="FP144" s="102">
        <v>0</v>
      </c>
      <c r="FQ144" s="102">
        <v>0</v>
      </c>
      <c r="FR144" s="102">
        <v>0</v>
      </c>
      <c r="FS144" s="102"/>
      <c r="FT144" s="102"/>
      <c r="FU144" s="102"/>
      <c r="FV144" s="102"/>
      <c r="FW144" s="102"/>
      <c r="FX144" s="102"/>
      <c r="FY144" s="102"/>
      <c r="FZ144" s="102"/>
      <c r="GA144" s="102"/>
      <c r="GB144" s="102"/>
      <c r="GC144" s="102"/>
      <c r="GD144" s="102"/>
      <c r="GE144" s="102"/>
      <c r="GF144" s="102"/>
      <c r="GG144" s="102"/>
      <c r="GH144" s="102"/>
      <c r="GI144" s="102"/>
      <c r="GJ144" s="102"/>
      <c r="GK144" s="102"/>
      <c r="GL144" s="102"/>
      <c r="GM144" s="102"/>
      <c r="GN144" s="102"/>
      <c r="GO144" s="102"/>
      <c r="GP144" s="102"/>
      <c r="GQ144" s="102"/>
      <c r="GR144" s="102"/>
      <c r="GS144" s="102"/>
      <c r="GT144" s="102"/>
      <c r="GU144" s="102"/>
      <c r="GV144" s="102"/>
      <c r="GW144" s="102"/>
      <c r="GX144" s="102"/>
      <c r="GY144" s="102"/>
      <c r="GZ144" s="102"/>
      <c r="HA144" s="102"/>
      <c r="HB144" s="102"/>
      <c r="HD144" s="102">
        <f t="shared" si="776"/>
        <v>0</v>
      </c>
      <c r="HE144" s="102">
        <f t="shared" si="776"/>
        <v>21.920866</v>
      </c>
      <c r="HF144" s="102">
        <f t="shared" si="776"/>
        <v>0</v>
      </c>
      <c r="HG144" s="102">
        <f t="shared" si="776"/>
        <v>0</v>
      </c>
      <c r="HH144" s="102">
        <f t="shared" si="777"/>
        <v>0</v>
      </c>
      <c r="HI144" s="102">
        <f t="shared" si="778"/>
        <v>0</v>
      </c>
      <c r="HJ144" s="102">
        <f t="shared" si="696"/>
        <v>0</v>
      </c>
      <c r="HK144" s="102">
        <f t="shared" si="697"/>
        <v>0</v>
      </c>
      <c r="HL144" s="940">
        <f>+SUMIFS($E144:SEW144,$E$6:SEW$6,HL$7,$E$5:SEW$5,12)</f>
        <v>0</v>
      </c>
      <c r="HM144" s="940">
        <f>+SUMIFS($E144:SEX144,$E$6:SEX$6,HM$7,$E$5:SEX$5,12)</f>
        <v>0</v>
      </c>
      <c r="HN144" s="940">
        <f>+SUMIFS($E144:SEY144,$E$6:SEY$6,HN$7,$E$5:SEY$5,12)</f>
        <v>0</v>
      </c>
      <c r="HO144" s="102"/>
      <c r="HP144" s="102"/>
      <c r="HR144" s="929">
        <f t="shared" si="779"/>
        <v>-1</v>
      </c>
      <c r="HS144" s="929" t="str">
        <f t="shared" si="780"/>
        <v/>
      </c>
      <c r="HT144" s="929" t="str">
        <f t="shared" si="781"/>
        <v/>
      </c>
      <c r="HU144" s="929" t="str">
        <f t="shared" si="738"/>
        <v/>
      </c>
      <c r="HV144" s="929" t="str">
        <f t="shared" si="739"/>
        <v/>
      </c>
      <c r="HW144" s="929" t="str">
        <f t="shared" si="740"/>
        <v/>
      </c>
      <c r="HX144" s="929" t="str">
        <f t="shared" si="741"/>
        <v/>
      </c>
      <c r="HY144" s="929" t="str">
        <f t="shared" si="741"/>
        <v/>
      </c>
      <c r="HZ144" s="929" t="str">
        <f t="shared" si="741"/>
        <v/>
      </c>
      <c r="IA144" s="929" t="str">
        <f t="shared" si="762"/>
        <v/>
      </c>
      <c r="IB144" s="929" t="str">
        <f t="shared" si="782"/>
        <v/>
      </c>
      <c r="IC144" s="929" t="str">
        <f t="shared" si="763"/>
        <v/>
      </c>
      <c r="IE144" s="102">
        <f t="shared" si="783"/>
        <v>-21.920866</v>
      </c>
      <c r="IF144" s="102">
        <f t="shared" si="784"/>
        <v>0</v>
      </c>
      <c r="IG144" s="102">
        <f t="shared" si="785"/>
        <v>0</v>
      </c>
      <c r="IH144" s="102">
        <f t="shared" si="742"/>
        <v>0</v>
      </c>
      <c r="II144" s="102">
        <f t="shared" si="767"/>
        <v>0</v>
      </c>
      <c r="IJ144" s="102">
        <f t="shared" si="768"/>
        <v>0</v>
      </c>
      <c r="IK144" s="102">
        <f t="shared" si="769"/>
        <v>0</v>
      </c>
      <c r="IL144" s="102">
        <f t="shared" si="764"/>
        <v>0</v>
      </c>
      <c r="IM144" s="102">
        <f t="shared" si="786"/>
        <v>0</v>
      </c>
      <c r="IN144" s="102">
        <f t="shared" si="765"/>
        <v>0</v>
      </c>
      <c r="IP144" s="973"/>
      <c r="IQ144" s="973"/>
      <c r="IR144" s="973"/>
      <c r="IS144" s="973"/>
      <c r="IT144" s="973"/>
      <c r="IU144" s="973"/>
      <c r="IV144" s="973"/>
      <c r="IW144" s="973"/>
      <c r="IX144" s="973"/>
      <c r="IY144" s="973"/>
      <c r="JA144" s="102">
        <f t="shared" si="727"/>
        <v>0</v>
      </c>
      <c r="JB144" s="102">
        <f t="shared" si="816"/>
        <v>21.920866</v>
      </c>
      <c r="JC144" s="102">
        <f t="shared" si="816"/>
        <v>0</v>
      </c>
      <c r="JD144" s="102">
        <f t="shared" si="816"/>
        <v>0</v>
      </c>
      <c r="JE144" s="102">
        <f t="shared" si="816"/>
        <v>0</v>
      </c>
      <c r="JF144" s="102">
        <f t="shared" si="816"/>
        <v>0</v>
      </c>
      <c r="JG144" s="102">
        <f t="shared" si="816"/>
        <v>0</v>
      </c>
      <c r="JH144" s="102">
        <f t="shared" si="816"/>
        <v>0</v>
      </c>
      <c r="JI144" s="102">
        <f t="shared" si="816"/>
        <v>0</v>
      </c>
      <c r="JJ144" s="102">
        <f t="shared" si="816"/>
        <v>0</v>
      </c>
      <c r="JK144" s="102">
        <f t="shared" si="816"/>
        <v>0</v>
      </c>
      <c r="JL144" s="102">
        <f t="shared" si="728"/>
        <v>0</v>
      </c>
      <c r="JM144" s="102"/>
      <c r="JN144" s="102"/>
      <c r="JP144" s="102">
        <f t="shared" si="787"/>
        <v>0</v>
      </c>
      <c r="JQ144" s="102">
        <f t="shared" si="788"/>
        <v>0</v>
      </c>
      <c r="JR144" s="145"/>
      <c r="JS144" s="929" t="str">
        <f t="shared" si="789"/>
        <v>NA</v>
      </c>
      <c r="JT144" s="930">
        <f t="shared" si="790"/>
        <v>0</v>
      </c>
      <c r="JV144" s="973"/>
      <c r="JW144" s="973"/>
      <c r="JY144" s="929">
        <f t="shared" si="817"/>
        <v>-1</v>
      </c>
      <c r="JZ144" s="929" t="str">
        <f t="shared" si="818"/>
        <v/>
      </c>
      <c r="KA144" s="929" t="str">
        <f t="shared" si="819"/>
        <v/>
      </c>
      <c r="KB144" s="929" t="str">
        <f t="shared" si="820"/>
        <v/>
      </c>
      <c r="KC144" s="929" t="str">
        <f t="shared" si="821"/>
        <v/>
      </c>
      <c r="KD144" s="929" t="str">
        <f t="shared" si="822"/>
        <v/>
      </c>
      <c r="KE144" s="929" t="str">
        <f t="shared" si="823"/>
        <v/>
      </c>
      <c r="KF144" s="929" t="str">
        <f t="shared" si="824"/>
        <v/>
      </c>
      <c r="KH144" s="102">
        <f t="shared" si="792"/>
        <v>-21.920866</v>
      </c>
      <c r="KI144" s="102">
        <f t="shared" si="793"/>
        <v>0</v>
      </c>
      <c r="KJ144" s="102">
        <f t="shared" si="794"/>
        <v>0</v>
      </c>
      <c r="KK144" s="102">
        <f t="shared" si="795"/>
        <v>0</v>
      </c>
      <c r="KL144" s="102">
        <f t="shared" si="796"/>
        <v>0</v>
      </c>
      <c r="KM144" s="102">
        <f t="shared" si="797"/>
        <v>0</v>
      </c>
      <c r="KN144" s="102">
        <f t="shared" si="798"/>
        <v>0</v>
      </c>
      <c r="KO144" s="102">
        <f t="shared" si="711"/>
        <v>0</v>
      </c>
      <c r="KQ144" s="973"/>
      <c r="KR144" s="973"/>
      <c r="KS144" s="973"/>
      <c r="KT144" s="973"/>
      <c r="KU144" s="973"/>
      <c r="KV144" s="973"/>
      <c r="KW144" s="973"/>
      <c r="KX144" s="973"/>
      <c r="KY144" s="973"/>
      <c r="KZ144" s="973"/>
      <c r="LB144" s="102">
        <f t="shared" si="737"/>
        <v>0</v>
      </c>
      <c r="LC144" s="102">
        <f t="shared" si="825"/>
        <v>21.920866</v>
      </c>
      <c r="LD144" s="102">
        <f t="shared" si="825"/>
        <v>0</v>
      </c>
      <c r="LE144" s="102">
        <f t="shared" si="825"/>
        <v>0</v>
      </c>
      <c r="LF144" s="102">
        <f t="shared" si="825"/>
        <v>0</v>
      </c>
      <c r="LG144" s="102">
        <f t="shared" si="825"/>
        <v>0</v>
      </c>
      <c r="LH144" s="102">
        <f t="shared" si="825"/>
        <v>0</v>
      </c>
      <c r="LI144" s="102">
        <f t="shared" si="825"/>
        <v>0</v>
      </c>
      <c r="LJ144" s="102">
        <f t="shared" si="825"/>
        <v>0</v>
      </c>
      <c r="LK144" s="102">
        <f t="shared" si="825"/>
        <v>0</v>
      </c>
      <c r="LL144" s="102">
        <f t="shared" si="825"/>
        <v>0</v>
      </c>
      <c r="LM144" s="102">
        <f t="shared" si="825"/>
        <v>0</v>
      </c>
      <c r="LN144" s="102"/>
      <c r="LO144" s="102"/>
      <c r="LR144" s="32">
        <f t="shared" si="799"/>
        <v>-1</v>
      </c>
      <c r="LS144" s="32" t="str">
        <f t="shared" si="800"/>
        <v xml:space="preserve"> </v>
      </c>
      <c r="LT144" s="32" t="str">
        <f t="shared" si="801"/>
        <v xml:space="preserve"> </v>
      </c>
      <c r="LU144" s="32" t="str">
        <f t="shared" si="802"/>
        <v xml:space="preserve"> </v>
      </c>
      <c r="LV144" s="32" t="str">
        <f t="shared" si="803"/>
        <v xml:space="preserve"> </v>
      </c>
      <c r="LW144" s="32" t="str">
        <f t="shared" si="804"/>
        <v xml:space="preserve"> </v>
      </c>
      <c r="LX144" s="32" t="str">
        <f t="shared" si="719"/>
        <v xml:space="preserve"> </v>
      </c>
      <c r="LZ144" s="102">
        <f t="shared" si="805"/>
        <v>-21.920866</v>
      </c>
      <c r="MA144" s="102">
        <f t="shared" si="806"/>
        <v>0</v>
      </c>
      <c r="MB144" s="102">
        <f t="shared" si="807"/>
        <v>0</v>
      </c>
      <c r="MC144" s="102">
        <f t="shared" si="808"/>
        <v>0</v>
      </c>
      <c r="MD144" s="102">
        <f t="shared" si="809"/>
        <v>0</v>
      </c>
      <c r="ME144" s="102">
        <f t="shared" si="810"/>
        <v>0</v>
      </c>
      <c r="MF144" s="102">
        <f t="shared" si="726"/>
        <v>0</v>
      </c>
      <c r="MH144" s="973"/>
      <c r="MI144" s="973"/>
      <c r="MJ144" s="973"/>
      <c r="MK144" s="973"/>
      <c r="ML144" s="973"/>
      <c r="MM144" s="973"/>
      <c r="MN144" s="973"/>
      <c r="MO144" s="973"/>
      <c r="MP144" s="973"/>
    </row>
    <row r="145" spans="1:354" outlineLevel="3">
      <c r="A145" s="884"/>
      <c r="B145" s="70"/>
      <c r="C145" s="40" t="s">
        <v>126</v>
      </c>
      <c r="D145" s="31" t="s">
        <v>59</v>
      </c>
      <c r="E145" s="102">
        <v>1254.4872609299998</v>
      </c>
      <c r="F145" s="102">
        <v>1285.0180112499997</v>
      </c>
      <c r="G145" s="102">
        <v>1434.95781025</v>
      </c>
      <c r="H145" s="102">
        <v>1434.95781025</v>
      </c>
      <c r="I145" s="102">
        <v>1470.1359082699998</v>
      </c>
      <c r="J145" s="102">
        <v>1470.1359082699998</v>
      </c>
      <c r="K145" s="102">
        <v>1470.1359082699998</v>
      </c>
      <c r="L145" s="102">
        <v>1470.1359082699998</v>
      </c>
      <c r="M145" s="102">
        <v>1470.1359082699998</v>
      </c>
      <c r="N145" s="102">
        <v>1470.1359082699998</v>
      </c>
      <c r="O145" s="102">
        <v>1470.1359082699998</v>
      </c>
      <c r="P145" s="102">
        <v>1587.6439082699999</v>
      </c>
      <c r="Q145" s="102">
        <v>1587.6439082699999</v>
      </c>
      <c r="R145" s="102">
        <v>1587.6439082699999</v>
      </c>
      <c r="S145" s="102">
        <v>1692.04390827</v>
      </c>
      <c r="T145" s="102">
        <v>1692.04390827</v>
      </c>
      <c r="U145" s="102">
        <v>1749.1004806400001</v>
      </c>
      <c r="V145" s="102">
        <v>1749.1004806400001</v>
      </c>
      <c r="W145" s="102">
        <v>1749.1004806400001</v>
      </c>
      <c r="X145" s="102">
        <v>1763.5070542399999</v>
      </c>
      <c r="Y145" s="102">
        <v>1763.5070542399999</v>
      </c>
      <c r="Z145" s="102">
        <v>1763.5070542399999</v>
      </c>
      <c r="AA145" s="102">
        <v>1815.0119307799998</v>
      </c>
      <c r="AB145" s="102">
        <v>1815.0119307799998</v>
      </c>
      <c r="AC145" s="102">
        <v>1815.0119307799998</v>
      </c>
      <c r="AD145" s="102">
        <v>1825.6880371799998</v>
      </c>
      <c r="AE145" s="102">
        <v>1825.6880371799998</v>
      </c>
      <c r="AF145" s="102">
        <v>1825.6880371799998</v>
      </c>
      <c r="AG145" s="102">
        <v>1825.6880371799998</v>
      </c>
      <c r="AH145" s="102">
        <v>1825.6880371799998</v>
      </c>
      <c r="AI145" s="102">
        <v>1825.6880371799998</v>
      </c>
      <c r="AJ145" s="102">
        <v>1825.6880371799998</v>
      </c>
      <c r="AK145" s="102">
        <v>1825.6880371799998</v>
      </c>
      <c r="AL145" s="102">
        <v>1825.6880371799998</v>
      </c>
      <c r="AM145" s="102">
        <v>1825.6880371799998</v>
      </c>
      <c r="AN145" s="220">
        <v>1807.63393124</v>
      </c>
      <c r="AO145" s="220">
        <v>1800.59268324</v>
      </c>
      <c r="AP145" s="220">
        <v>1800.59268324</v>
      </c>
      <c r="AQ145" s="220">
        <v>1800.59268324</v>
      </c>
      <c r="AR145" s="220">
        <v>1800.59268324</v>
      </c>
      <c r="AS145" s="220">
        <v>1839.55768324</v>
      </c>
      <c r="AT145" s="220">
        <v>1839.55768324</v>
      </c>
      <c r="AU145" s="220">
        <v>1839.55768324</v>
      </c>
      <c r="AV145" s="220">
        <v>1839.55768324</v>
      </c>
      <c r="AW145" s="220">
        <v>1839.55768324</v>
      </c>
      <c r="AX145" s="220">
        <v>1901.6039952399999</v>
      </c>
      <c r="AY145" s="220">
        <v>1901.6039952399999</v>
      </c>
      <c r="AZ145" s="979">
        <v>0</v>
      </c>
      <c r="BA145" s="220">
        <v>2061.9214566999999</v>
      </c>
      <c r="BB145" s="220">
        <v>2061.9214566999999</v>
      </c>
      <c r="BC145" s="220">
        <v>2061.9214566999999</v>
      </c>
      <c r="BD145" s="220">
        <v>2061.9214566999999</v>
      </c>
      <c r="BE145" s="102">
        <v>2061.9214566999999</v>
      </c>
      <c r="BF145" s="102">
        <v>2061.9214566999999</v>
      </c>
      <c r="BG145" s="102">
        <v>2038.6702567</v>
      </c>
      <c r="BH145" s="102">
        <v>2038.6702567</v>
      </c>
      <c r="BI145" s="102">
        <v>2038.6702567</v>
      </c>
      <c r="BJ145" s="102">
        <v>2038.6702567</v>
      </c>
      <c r="BK145" s="102">
        <v>2038.6702567</v>
      </c>
      <c r="BL145" s="102">
        <v>2040.0935767000001</v>
      </c>
      <c r="BM145" s="220">
        <f t="shared" ref="BM145:DX145" si="836">SUM(BM146:BM148)</f>
        <v>2781.8883946999999</v>
      </c>
      <c r="BN145" s="220">
        <f t="shared" si="836"/>
        <v>2781.8883946999999</v>
      </c>
      <c r="BO145" s="220">
        <f t="shared" si="836"/>
        <v>2781.8883946999999</v>
      </c>
      <c r="BP145" s="220">
        <f t="shared" si="836"/>
        <v>2781.8883946999999</v>
      </c>
      <c r="BQ145" s="102">
        <f t="shared" si="836"/>
        <v>2781.8883946999999</v>
      </c>
      <c r="BR145" s="102">
        <f t="shared" si="836"/>
        <v>2781.8883946999999</v>
      </c>
      <c r="BS145" s="102">
        <f t="shared" si="836"/>
        <v>2781.8883946999999</v>
      </c>
      <c r="BT145" s="102">
        <f t="shared" si="836"/>
        <v>2781.8883946999999</v>
      </c>
      <c r="BU145" s="102">
        <f t="shared" si="836"/>
        <v>2781.8883946999999</v>
      </c>
      <c r="BV145" s="102">
        <f t="shared" si="836"/>
        <v>2781.8883946999999</v>
      </c>
      <c r="BW145" s="102">
        <f t="shared" si="836"/>
        <v>2781.8883946999999</v>
      </c>
      <c r="BX145" s="102">
        <f t="shared" si="836"/>
        <v>2781.8883946999999</v>
      </c>
      <c r="BY145" s="102">
        <f t="shared" si="836"/>
        <v>2832.1136900000001</v>
      </c>
      <c r="BZ145" s="102">
        <f t="shared" si="836"/>
        <v>2866.3852900000002</v>
      </c>
      <c r="CA145" s="102">
        <f t="shared" si="836"/>
        <v>2886.2949520000002</v>
      </c>
      <c r="CB145" s="102">
        <f t="shared" si="836"/>
        <v>2891.077702</v>
      </c>
      <c r="CC145" s="102">
        <f t="shared" si="836"/>
        <v>2901.243712</v>
      </c>
      <c r="CD145" s="102">
        <f t="shared" si="836"/>
        <v>2912.6799729999998</v>
      </c>
      <c r="CE145" s="102">
        <f t="shared" si="836"/>
        <v>2913.2135760000001</v>
      </c>
      <c r="CF145" s="102">
        <f t="shared" si="836"/>
        <v>2927.900588</v>
      </c>
      <c r="CG145" s="102">
        <f t="shared" si="836"/>
        <v>2948.8963819999999</v>
      </c>
      <c r="CH145" s="102">
        <f t="shared" si="836"/>
        <v>3004.540254</v>
      </c>
      <c r="CI145" s="102">
        <f t="shared" si="836"/>
        <v>3014.706666</v>
      </c>
      <c r="CJ145" s="102">
        <f t="shared" si="836"/>
        <v>3015.0041660000002</v>
      </c>
      <c r="CK145" s="102">
        <f t="shared" si="836"/>
        <v>3024.2187479999998</v>
      </c>
      <c r="CL145" s="102">
        <f t="shared" si="836"/>
        <v>3025.4444480000002</v>
      </c>
      <c r="CM145" s="102">
        <f t="shared" si="836"/>
        <v>3032.5771890000001</v>
      </c>
      <c r="CN145" s="102">
        <f t="shared" si="836"/>
        <v>3032.5771890000001</v>
      </c>
      <c r="CO145" s="102">
        <f t="shared" si="836"/>
        <v>3034.594239</v>
      </c>
      <c r="CP145" s="102">
        <f t="shared" si="836"/>
        <v>3046.9779930199998</v>
      </c>
      <c r="CQ145" s="102">
        <f t="shared" si="836"/>
        <v>3060.1870406200001</v>
      </c>
      <c r="CR145" s="102">
        <f t="shared" si="836"/>
        <v>3067.1485406199999</v>
      </c>
      <c r="CS145" s="102">
        <f t="shared" si="836"/>
        <v>3100.7150729200002</v>
      </c>
      <c r="CT145" s="102">
        <f t="shared" si="836"/>
        <v>3118.2678585200001</v>
      </c>
      <c r="CU145" s="102">
        <f t="shared" si="836"/>
        <v>3123.9798585200001</v>
      </c>
      <c r="CV145" s="102">
        <f t="shared" si="836"/>
        <v>3143.6621655200001</v>
      </c>
      <c r="CW145" s="102">
        <f t="shared" si="836"/>
        <v>3144.3471140500001</v>
      </c>
      <c r="CX145" s="102">
        <f t="shared" si="836"/>
        <v>3144.3471140500001</v>
      </c>
      <c r="CY145" s="102">
        <f t="shared" si="836"/>
        <v>3188.41005305</v>
      </c>
      <c r="CZ145" s="102">
        <f t="shared" si="836"/>
        <v>3188.41005305</v>
      </c>
      <c r="DA145" s="102">
        <f t="shared" si="836"/>
        <v>3188.41005305</v>
      </c>
      <c r="DB145" s="102">
        <f t="shared" si="836"/>
        <v>3205.1454990500001</v>
      </c>
      <c r="DC145" s="102">
        <f t="shared" si="836"/>
        <v>3205.1454990500001</v>
      </c>
      <c r="DD145" s="102">
        <f t="shared" si="836"/>
        <v>3205.1454990500001</v>
      </c>
      <c r="DE145" s="102">
        <f t="shared" si="836"/>
        <v>3033.76389905</v>
      </c>
      <c r="DF145" s="102">
        <f t="shared" si="836"/>
        <v>3033.76389905</v>
      </c>
      <c r="DG145" s="102">
        <f t="shared" si="836"/>
        <v>3037.1060140500003</v>
      </c>
      <c r="DH145" s="102">
        <f t="shared" si="836"/>
        <v>3037.1060140500003</v>
      </c>
      <c r="DI145" s="102">
        <f t="shared" si="836"/>
        <v>3037.6410140500002</v>
      </c>
      <c r="DJ145" s="102">
        <f t="shared" si="836"/>
        <v>3037.6410140500002</v>
      </c>
      <c r="DK145" s="102">
        <f t="shared" si="836"/>
        <v>3041.35381405</v>
      </c>
      <c r="DL145" s="102">
        <f t="shared" si="836"/>
        <v>3047.1110340500004</v>
      </c>
      <c r="DM145" s="102">
        <f t="shared" si="836"/>
        <v>3047.1110340500004</v>
      </c>
      <c r="DN145" s="102">
        <f t="shared" si="836"/>
        <v>3053.7988340500001</v>
      </c>
      <c r="DO145" s="102">
        <f t="shared" si="836"/>
        <v>3053.7988340500001</v>
      </c>
      <c r="DP145" s="102">
        <f t="shared" si="836"/>
        <v>3056.2026340500001</v>
      </c>
      <c r="DQ145" s="940">
        <f t="shared" si="836"/>
        <v>3056.2026340500001</v>
      </c>
      <c r="DR145" s="940">
        <f t="shared" si="836"/>
        <v>3079.5022650400001</v>
      </c>
      <c r="DS145" s="940">
        <f t="shared" si="836"/>
        <v>3115.70206504</v>
      </c>
      <c r="DT145" s="940">
        <f t="shared" si="836"/>
        <v>3123.0562650399997</v>
      </c>
      <c r="DU145" s="940">
        <f t="shared" si="836"/>
        <v>3132.2668650400001</v>
      </c>
      <c r="DV145" s="940">
        <f t="shared" si="836"/>
        <v>3132.2668650400001</v>
      </c>
      <c r="DW145" s="940">
        <f t="shared" si="836"/>
        <v>3184.9481650399998</v>
      </c>
      <c r="DX145" s="940">
        <f t="shared" si="836"/>
        <v>3189.10329804</v>
      </c>
      <c r="DY145" s="940">
        <f t="shared" ref="DY145:EF145" si="837">SUM(DY146:DY148)</f>
        <v>3189.4012980399998</v>
      </c>
      <c r="DZ145" s="940">
        <f t="shared" si="837"/>
        <v>3189.4012980399998</v>
      </c>
      <c r="EA145" s="940">
        <f t="shared" si="837"/>
        <v>3189.4012980399998</v>
      </c>
      <c r="EB145" s="940">
        <f t="shared" si="837"/>
        <v>3253.9841326799997</v>
      </c>
      <c r="EC145" s="940">
        <f t="shared" si="837"/>
        <v>3327.18103268</v>
      </c>
      <c r="ED145" s="940">
        <f t="shared" si="837"/>
        <v>3359.8465326799997</v>
      </c>
      <c r="EE145" s="940">
        <f t="shared" si="837"/>
        <v>3383.3992911400001</v>
      </c>
      <c r="EF145" s="940">
        <f t="shared" si="837"/>
        <v>3459.5826411399999</v>
      </c>
      <c r="EH145" s="145">
        <f t="shared" ref="EH145:ES145" si="838">+SUM(EH146:EH148)</f>
        <v>0</v>
      </c>
      <c r="EI145" s="145">
        <f t="shared" si="838"/>
        <v>0</v>
      </c>
      <c r="EJ145" s="145">
        <f t="shared" si="838"/>
        <v>0</v>
      </c>
      <c r="EK145" s="145">
        <f t="shared" si="838"/>
        <v>0</v>
      </c>
      <c r="EL145" s="145">
        <f t="shared" si="838"/>
        <v>0</v>
      </c>
      <c r="EM145" s="145">
        <f t="shared" si="838"/>
        <v>0</v>
      </c>
      <c r="EN145" s="145">
        <f t="shared" si="838"/>
        <v>0</v>
      </c>
      <c r="EO145" s="145">
        <f t="shared" si="838"/>
        <v>0</v>
      </c>
      <c r="EP145" s="145">
        <f t="shared" si="838"/>
        <v>0</v>
      </c>
      <c r="EQ145" s="145">
        <f t="shared" si="838"/>
        <v>0</v>
      </c>
      <c r="ER145" s="145">
        <f t="shared" si="838"/>
        <v>0</v>
      </c>
      <c r="ES145" s="145">
        <f t="shared" si="838"/>
        <v>0</v>
      </c>
      <c r="ET145" s="279"/>
      <c r="EU145" s="102">
        <f t="shared" ref="EU145:FZ145" si="839">+SUM(EU146:EU148)</f>
        <v>0</v>
      </c>
      <c r="EV145" s="102">
        <f t="shared" si="839"/>
        <v>0</v>
      </c>
      <c r="EW145" s="102">
        <f t="shared" si="839"/>
        <v>0</v>
      </c>
      <c r="EX145" s="102">
        <f t="shared" si="839"/>
        <v>0</v>
      </c>
      <c r="EY145" s="102">
        <f t="shared" si="839"/>
        <v>0</v>
      </c>
      <c r="EZ145" s="102">
        <f t="shared" si="839"/>
        <v>0</v>
      </c>
      <c r="FA145" s="102">
        <f t="shared" si="839"/>
        <v>0</v>
      </c>
      <c r="FB145" s="102">
        <f t="shared" si="839"/>
        <v>0</v>
      </c>
      <c r="FC145" s="102">
        <f t="shared" si="839"/>
        <v>0</v>
      </c>
      <c r="FD145" s="102">
        <f t="shared" si="839"/>
        <v>0</v>
      </c>
      <c r="FE145" s="102">
        <f t="shared" si="839"/>
        <v>0</v>
      </c>
      <c r="FF145" s="102">
        <f t="shared" si="839"/>
        <v>0</v>
      </c>
      <c r="FG145" s="102">
        <f t="shared" si="839"/>
        <v>1908.33198326</v>
      </c>
      <c r="FH145" s="102">
        <f t="shared" si="839"/>
        <v>1908.33198326</v>
      </c>
      <c r="FI145" s="102">
        <f t="shared" si="839"/>
        <v>1908.33198326</v>
      </c>
      <c r="FJ145" s="102">
        <f t="shared" si="839"/>
        <v>1908.33198326</v>
      </c>
      <c r="FK145" s="102">
        <f t="shared" si="839"/>
        <v>1908.33198326</v>
      </c>
      <c r="FL145" s="102">
        <f t="shared" si="839"/>
        <v>1908.33198326</v>
      </c>
      <c r="FM145" s="102">
        <f t="shared" si="839"/>
        <v>1908.33198326</v>
      </c>
      <c r="FN145" s="102">
        <f t="shared" si="839"/>
        <v>1908.33198326</v>
      </c>
      <c r="FO145" s="102">
        <f t="shared" si="839"/>
        <v>1908.33198326</v>
      </c>
      <c r="FP145" s="102">
        <f t="shared" si="839"/>
        <v>1908.33198326</v>
      </c>
      <c r="FQ145" s="102">
        <f t="shared" si="839"/>
        <v>1908.33198326</v>
      </c>
      <c r="FR145" s="102">
        <f t="shared" si="839"/>
        <v>1908.33198326</v>
      </c>
      <c r="FS145" s="102">
        <f t="shared" si="839"/>
        <v>0</v>
      </c>
      <c r="FT145" s="102">
        <f t="shared" si="839"/>
        <v>0</v>
      </c>
      <c r="FU145" s="102">
        <f t="shared" si="839"/>
        <v>0</v>
      </c>
      <c r="FV145" s="102">
        <f t="shared" si="839"/>
        <v>0</v>
      </c>
      <c r="FW145" s="102">
        <f t="shared" si="839"/>
        <v>0</v>
      </c>
      <c r="FX145" s="102">
        <f t="shared" si="839"/>
        <v>0</v>
      </c>
      <c r="FY145" s="102">
        <f t="shared" si="839"/>
        <v>0</v>
      </c>
      <c r="FZ145" s="102">
        <f t="shared" si="839"/>
        <v>0</v>
      </c>
      <c r="GA145" s="102">
        <f t="shared" ref="GA145:HB145" si="840">+SUM(GA146:GA148)</f>
        <v>0</v>
      </c>
      <c r="GB145" s="102">
        <f t="shared" si="840"/>
        <v>0</v>
      </c>
      <c r="GC145" s="102">
        <f t="shared" si="840"/>
        <v>0</v>
      </c>
      <c r="GD145" s="102">
        <f t="shared" si="840"/>
        <v>0</v>
      </c>
      <c r="GE145" s="102">
        <f t="shared" si="840"/>
        <v>0</v>
      </c>
      <c r="GF145" s="102">
        <f t="shared" si="840"/>
        <v>0</v>
      </c>
      <c r="GG145" s="102">
        <f t="shared" si="840"/>
        <v>0</v>
      </c>
      <c r="GH145" s="102">
        <f t="shared" si="840"/>
        <v>0</v>
      </c>
      <c r="GI145" s="102">
        <f t="shared" si="840"/>
        <v>0</v>
      </c>
      <c r="GJ145" s="102">
        <f t="shared" si="840"/>
        <v>0</v>
      </c>
      <c r="GK145" s="102">
        <f t="shared" si="840"/>
        <v>0</v>
      </c>
      <c r="GL145" s="102">
        <f t="shared" si="840"/>
        <v>0</v>
      </c>
      <c r="GM145" s="102">
        <f t="shared" si="840"/>
        <v>0</v>
      </c>
      <c r="GN145" s="102">
        <f t="shared" si="840"/>
        <v>0</v>
      </c>
      <c r="GO145" s="102">
        <f t="shared" si="840"/>
        <v>0</v>
      </c>
      <c r="GP145" s="102">
        <f t="shared" si="840"/>
        <v>0</v>
      </c>
      <c r="GQ145" s="102">
        <f t="shared" si="840"/>
        <v>0</v>
      </c>
      <c r="GR145" s="102">
        <f t="shared" si="840"/>
        <v>0</v>
      </c>
      <c r="GS145" s="102">
        <f t="shared" si="840"/>
        <v>0</v>
      </c>
      <c r="GT145" s="102">
        <f t="shared" si="840"/>
        <v>0</v>
      </c>
      <c r="GU145" s="102">
        <f t="shared" si="840"/>
        <v>0</v>
      </c>
      <c r="GV145" s="102">
        <f t="shared" si="840"/>
        <v>0</v>
      </c>
      <c r="GW145" s="102">
        <f t="shared" si="840"/>
        <v>0</v>
      </c>
      <c r="GX145" s="102">
        <f t="shared" si="840"/>
        <v>0</v>
      </c>
      <c r="GY145" s="102">
        <f t="shared" si="840"/>
        <v>0</v>
      </c>
      <c r="GZ145" s="102">
        <f t="shared" si="840"/>
        <v>0</v>
      </c>
      <c r="HA145" s="102">
        <f t="shared" si="840"/>
        <v>0</v>
      </c>
      <c r="HB145" s="102">
        <f t="shared" si="840"/>
        <v>0</v>
      </c>
      <c r="HD145" s="102">
        <f t="shared" si="776"/>
        <v>1587.6439082699999</v>
      </c>
      <c r="HE145" s="102">
        <f t="shared" si="776"/>
        <v>1815.0119307799998</v>
      </c>
      <c r="HF145" s="102">
        <f t="shared" si="776"/>
        <v>1807.63393124</v>
      </c>
      <c r="HG145" s="102">
        <f t="shared" si="776"/>
        <v>0</v>
      </c>
      <c r="HH145" s="102">
        <f t="shared" si="777"/>
        <v>2040.0935767000001</v>
      </c>
      <c r="HI145" s="102">
        <f t="shared" si="778"/>
        <v>2781.8883946999999</v>
      </c>
      <c r="HJ145" s="102">
        <f t="shared" si="696"/>
        <v>3015.0041660000002</v>
      </c>
      <c r="HK145" s="102">
        <f t="shared" si="697"/>
        <v>3143.6621655200001</v>
      </c>
      <c r="HL145" s="940">
        <f>+SUMIFS($E145:SEW145,$E$6:SEW$6,HL$7,$E$5:SEW$5,12)</f>
        <v>3037.1060140500003</v>
      </c>
      <c r="HM145" s="940">
        <f>+SUMIFS($E145:SEX145,$E$6:SEX$6,HM$7,$E$5:SEX$5,12)</f>
        <v>3123.0562650399997</v>
      </c>
      <c r="HN145" s="940">
        <f>+SUMIFS($E145:SEY145,$E$6:SEY$6,HN$7,$E$5:SEY$5,12)</f>
        <v>3459.5826411399999</v>
      </c>
      <c r="HO145" s="102"/>
      <c r="HP145" s="102"/>
      <c r="HR145" s="929">
        <f t="shared" si="779"/>
        <v>-4.064986799744652E-3</v>
      </c>
      <c r="HS145" s="929">
        <f t="shared" si="780"/>
        <v>-1</v>
      </c>
      <c r="HT145" s="929" t="str">
        <f t="shared" si="781"/>
        <v/>
      </c>
      <c r="HU145" s="929">
        <f t="shared" si="738"/>
        <v>0.36360823173606915</v>
      </c>
      <c r="HV145" s="929">
        <f t="shared" si="739"/>
        <v>8.37976720216842E-2</v>
      </c>
      <c r="HW145" s="929">
        <f t="shared" si="740"/>
        <v>4.2672577693545932E-2</v>
      </c>
      <c r="HX145" s="929">
        <f t="shared" si="741"/>
        <v>-3.3895547886384936E-2</v>
      </c>
      <c r="HY145" s="929">
        <f t="shared" si="741"/>
        <v>2.8300049650023418E-2</v>
      </c>
      <c r="HZ145" s="929">
        <f t="shared" si="741"/>
        <v>0.10775546373183564</v>
      </c>
      <c r="IA145" s="929">
        <f t="shared" si="762"/>
        <v>-1</v>
      </c>
      <c r="IB145" s="929" t="str">
        <f t="shared" si="782"/>
        <v/>
      </c>
      <c r="IC145" s="929">
        <f t="shared" si="763"/>
        <v>-1</v>
      </c>
      <c r="IE145" s="102">
        <f t="shared" si="783"/>
        <v>-7.3779995399997915</v>
      </c>
      <c r="IF145" s="102">
        <f t="shared" si="784"/>
        <v>-1807.63393124</v>
      </c>
      <c r="IG145" s="102">
        <f t="shared" si="785"/>
        <v>2040.0935767000001</v>
      </c>
      <c r="IH145" s="102">
        <f t="shared" si="742"/>
        <v>741.79481799999985</v>
      </c>
      <c r="II145" s="102">
        <f t="shared" si="767"/>
        <v>233.11577130000023</v>
      </c>
      <c r="IJ145" s="102">
        <f t="shared" si="768"/>
        <v>128.65799951999998</v>
      </c>
      <c r="IK145" s="102">
        <f t="shared" si="769"/>
        <v>-106.5561514699998</v>
      </c>
      <c r="IL145" s="102">
        <f t="shared" si="764"/>
        <v>-3037.1060140500003</v>
      </c>
      <c r="IM145" s="102">
        <f t="shared" si="786"/>
        <v>0</v>
      </c>
      <c r="IN145" s="102">
        <f t="shared" si="765"/>
        <v>-3037.1060140500003</v>
      </c>
      <c r="IP145" s="973"/>
      <c r="IQ145" s="973"/>
      <c r="IR145" s="973"/>
      <c r="IS145" s="973"/>
      <c r="IT145" s="973"/>
      <c r="IU145" s="973"/>
      <c r="IV145" s="973"/>
      <c r="IW145" s="973"/>
      <c r="IX145" s="973"/>
      <c r="IY145" s="973"/>
      <c r="JA145" s="102">
        <f t="shared" si="727"/>
        <v>1587.6439082699999</v>
      </c>
      <c r="JB145" s="102">
        <f t="shared" si="816"/>
        <v>1815.0119307799998</v>
      </c>
      <c r="JC145" s="102">
        <f t="shared" si="816"/>
        <v>1807.63393124</v>
      </c>
      <c r="JD145" s="102">
        <f t="shared" si="816"/>
        <v>0</v>
      </c>
      <c r="JE145" s="102">
        <f t="shared" si="816"/>
        <v>2040.0935767000001</v>
      </c>
      <c r="JF145" s="102">
        <f t="shared" si="816"/>
        <v>2781.8883946999999</v>
      </c>
      <c r="JG145" s="102">
        <f t="shared" si="816"/>
        <v>3015.0041660000002</v>
      </c>
      <c r="JH145" s="102">
        <f t="shared" si="816"/>
        <v>3143.6621655200001</v>
      </c>
      <c r="JI145" s="102">
        <f t="shared" si="816"/>
        <v>3037.1060140500003</v>
      </c>
      <c r="JJ145" s="102">
        <f t="shared" si="816"/>
        <v>3123.0562650399997</v>
      </c>
      <c r="JK145" s="102">
        <f t="shared" si="816"/>
        <v>3459.5826411399999</v>
      </c>
      <c r="JL145" s="102">
        <f t="shared" si="728"/>
        <v>3459.5826411399999</v>
      </c>
      <c r="JM145" s="102"/>
      <c r="JN145" s="102"/>
      <c r="JP145" s="102">
        <f t="shared" si="787"/>
        <v>0</v>
      </c>
      <c r="JQ145" s="102">
        <f t="shared" si="788"/>
        <v>0</v>
      </c>
      <c r="JR145" s="145"/>
      <c r="JS145" s="929" t="str">
        <f t="shared" si="789"/>
        <v>NA</v>
      </c>
      <c r="JT145" s="930">
        <f t="shared" si="790"/>
        <v>0</v>
      </c>
      <c r="JV145" s="973"/>
      <c r="JW145" s="973"/>
      <c r="JY145" s="929">
        <f t="shared" si="817"/>
        <v>-4.064986799744652E-3</v>
      </c>
      <c r="JZ145" s="929">
        <f t="shared" si="818"/>
        <v>-1</v>
      </c>
      <c r="KA145" s="929" t="str">
        <f t="shared" si="819"/>
        <v/>
      </c>
      <c r="KB145" s="929">
        <f t="shared" si="820"/>
        <v>0.36360823173606915</v>
      </c>
      <c r="KC145" s="929">
        <f t="shared" si="821"/>
        <v>8.37976720216842E-2</v>
      </c>
      <c r="KD145" s="929">
        <f t="shared" si="822"/>
        <v>4.2672577693545932E-2</v>
      </c>
      <c r="KE145" s="929">
        <f t="shared" si="823"/>
        <v>-3.3895547886384936E-2</v>
      </c>
      <c r="KF145" s="929">
        <f t="shared" si="824"/>
        <v>-1</v>
      </c>
      <c r="KH145" s="102">
        <f t="shared" si="792"/>
        <v>-7.3779995399997915</v>
      </c>
      <c r="KI145" s="102">
        <f t="shared" si="793"/>
        <v>-1807.63393124</v>
      </c>
      <c r="KJ145" s="102">
        <f t="shared" si="794"/>
        <v>2040.0935767000001</v>
      </c>
      <c r="KK145" s="102">
        <f t="shared" si="795"/>
        <v>741.79481799999985</v>
      </c>
      <c r="KL145" s="102">
        <f t="shared" si="796"/>
        <v>233.11577130000023</v>
      </c>
      <c r="KM145" s="102">
        <f t="shared" si="797"/>
        <v>128.65799951999998</v>
      </c>
      <c r="KN145" s="102">
        <f t="shared" si="798"/>
        <v>-106.5561514699998</v>
      </c>
      <c r="KO145" s="102">
        <f t="shared" si="711"/>
        <v>-3037.1060140500003</v>
      </c>
      <c r="KQ145" s="973"/>
      <c r="KR145" s="973"/>
      <c r="KS145" s="973"/>
      <c r="KT145" s="973"/>
      <c r="KU145" s="973"/>
      <c r="KV145" s="973"/>
      <c r="KW145" s="973"/>
      <c r="KX145" s="973"/>
      <c r="KY145" s="973"/>
      <c r="KZ145" s="973"/>
      <c r="LB145" s="102">
        <f t="shared" si="737"/>
        <v>1587.6439082699999</v>
      </c>
      <c r="LC145" s="102">
        <f t="shared" si="825"/>
        <v>1815.0119307799998</v>
      </c>
      <c r="LD145" s="102">
        <f t="shared" si="825"/>
        <v>1807.63393124</v>
      </c>
      <c r="LE145" s="102">
        <f t="shared" si="825"/>
        <v>0</v>
      </c>
      <c r="LF145" s="102">
        <f t="shared" si="825"/>
        <v>2040.0935767000001</v>
      </c>
      <c r="LG145" s="102">
        <f t="shared" si="825"/>
        <v>2781.8883946999999</v>
      </c>
      <c r="LH145" s="102">
        <f t="shared" si="825"/>
        <v>3015.0041660000002</v>
      </c>
      <c r="LI145" s="102">
        <f t="shared" si="825"/>
        <v>3143.6621655200001</v>
      </c>
      <c r="LJ145" s="102">
        <f t="shared" si="825"/>
        <v>3037.1060140500003</v>
      </c>
      <c r="LK145" s="102">
        <f t="shared" si="825"/>
        <v>3123.0562650399997</v>
      </c>
      <c r="LL145" s="102">
        <f t="shared" si="825"/>
        <v>3459.5826411399999</v>
      </c>
      <c r="LM145" s="102">
        <f t="shared" si="825"/>
        <v>3459.5826411399999</v>
      </c>
      <c r="LN145" s="102"/>
      <c r="LO145" s="102"/>
      <c r="LR145" s="32">
        <f t="shared" si="799"/>
        <v>-4.064986799744652E-3</v>
      </c>
      <c r="LS145" s="32">
        <f t="shared" si="800"/>
        <v>-1</v>
      </c>
      <c r="LT145" s="32" t="str">
        <f t="shared" si="801"/>
        <v xml:space="preserve"> </v>
      </c>
      <c r="LU145" s="32">
        <f t="shared" si="802"/>
        <v>0.36360823173606915</v>
      </c>
      <c r="LV145" s="32">
        <f t="shared" si="803"/>
        <v>8.37976720216842E-2</v>
      </c>
      <c r="LW145" s="32">
        <f t="shared" si="804"/>
        <v>4.2672577693545932E-2</v>
      </c>
      <c r="LX145" s="32">
        <f t="shared" si="719"/>
        <v>-1</v>
      </c>
      <c r="LZ145" s="102">
        <f t="shared" si="805"/>
        <v>-7.3779995399997915</v>
      </c>
      <c r="MA145" s="102">
        <f t="shared" si="806"/>
        <v>-1807.63393124</v>
      </c>
      <c r="MB145" s="102">
        <f t="shared" si="807"/>
        <v>2040.0935767000001</v>
      </c>
      <c r="MC145" s="102">
        <f t="shared" si="808"/>
        <v>741.79481799999985</v>
      </c>
      <c r="MD145" s="102">
        <f t="shared" si="809"/>
        <v>233.11577130000023</v>
      </c>
      <c r="ME145" s="102">
        <f t="shared" si="810"/>
        <v>128.65799951999998</v>
      </c>
      <c r="MF145" s="102">
        <f t="shared" si="726"/>
        <v>-3143.6621655200001</v>
      </c>
      <c r="MH145" s="973"/>
      <c r="MI145" s="973"/>
      <c r="MJ145" s="973"/>
      <c r="MK145" s="973"/>
      <c r="ML145" s="973"/>
      <c r="MM145" s="973"/>
      <c r="MN145" s="973"/>
      <c r="MO145" s="973"/>
      <c r="MP145" s="973"/>
    </row>
    <row r="146" spans="1:354" outlineLevel="4">
      <c r="A146" s="884">
        <v>151645</v>
      </c>
      <c r="B146" s="70" t="s">
        <v>707</v>
      </c>
      <c r="C146" s="980" t="s">
        <v>126</v>
      </c>
      <c r="D146" s="40"/>
      <c r="E146" s="102">
        <v>1196.9712669999999</v>
      </c>
      <c r="F146" s="102">
        <v>1227.5020173199998</v>
      </c>
      <c r="G146" s="102">
        <v>1377.44181632</v>
      </c>
      <c r="H146" s="102">
        <v>1377.44181632</v>
      </c>
      <c r="I146" s="102">
        <v>1412.6199143399999</v>
      </c>
      <c r="J146" s="102">
        <v>1412.6199143399999</v>
      </c>
      <c r="K146" s="102">
        <v>1412.6199143399999</v>
      </c>
      <c r="L146" s="102">
        <v>1412.6199143399999</v>
      </c>
      <c r="M146" s="102">
        <v>1412.6199143399999</v>
      </c>
      <c r="N146" s="102">
        <v>1412.6199143399999</v>
      </c>
      <c r="O146" s="102">
        <v>1412.6199143399999</v>
      </c>
      <c r="P146" s="102">
        <v>1530.12791434</v>
      </c>
      <c r="Q146" s="102">
        <v>1530.12791434</v>
      </c>
      <c r="R146" s="102">
        <v>1530.12791434</v>
      </c>
      <c r="S146" s="102">
        <v>1634.5279143400001</v>
      </c>
      <c r="T146" s="102">
        <v>1634.5279143400001</v>
      </c>
      <c r="U146" s="102">
        <v>1691.5844867100002</v>
      </c>
      <c r="V146" s="102">
        <v>1691.5844867100002</v>
      </c>
      <c r="W146" s="102">
        <v>1691.5844867100002</v>
      </c>
      <c r="X146" s="102">
        <v>1705.99106031</v>
      </c>
      <c r="Y146" s="102">
        <v>1705.99106031</v>
      </c>
      <c r="Z146" s="102">
        <v>1705.99106031</v>
      </c>
      <c r="AA146" s="102">
        <v>1757.4959368499999</v>
      </c>
      <c r="AB146" s="102">
        <v>1757.4959368499999</v>
      </c>
      <c r="AC146" s="102">
        <v>1757.4959368499999</v>
      </c>
      <c r="AD146" s="102">
        <v>1768.1720432499999</v>
      </c>
      <c r="AE146" s="102">
        <v>1768.1720432499999</v>
      </c>
      <c r="AF146" s="102">
        <v>1768.1720432499999</v>
      </c>
      <c r="AG146" s="102">
        <v>1768.1720432499999</v>
      </c>
      <c r="AH146" s="102">
        <v>1768.1720432499999</v>
      </c>
      <c r="AI146" s="102">
        <v>1768.1720432499999</v>
      </c>
      <c r="AJ146" s="102">
        <v>1768.1720432499999</v>
      </c>
      <c r="AK146" s="102">
        <v>1768.1720432499999</v>
      </c>
      <c r="AL146" s="102">
        <v>1768.1720432499999</v>
      </c>
      <c r="AM146" s="102">
        <v>1768.1720432499999</v>
      </c>
      <c r="AN146" s="102">
        <v>1807.63393124</v>
      </c>
      <c r="AO146" s="102">
        <v>1800.59268324</v>
      </c>
      <c r="AP146" s="145">
        <v>1800.59268324</v>
      </c>
      <c r="AQ146" s="220">
        <v>1800.59268324</v>
      </c>
      <c r="AR146" s="220">
        <v>1800.59268324</v>
      </c>
      <c r="AS146" s="102">
        <v>1839.55768324</v>
      </c>
      <c r="AT146" s="102">
        <v>1839.55768324</v>
      </c>
      <c r="AU146" s="102">
        <v>1839.55768324</v>
      </c>
      <c r="AV146" s="102">
        <v>1839.55768324</v>
      </c>
      <c r="AW146" s="102">
        <v>1839.55768324</v>
      </c>
      <c r="AX146" s="102">
        <v>1901.6039952399999</v>
      </c>
      <c r="AY146" s="102">
        <v>1901.6039952399999</v>
      </c>
      <c r="AZ146" s="102">
        <v>0</v>
      </c>
      <c r="BA146" s="102">
        <v>2061.9214566999999</v>
      </c>
      <c r="BB146" s="102">
        <v>2061.9214566999999</v>
      </c>
      <c r="BC146" s="102">
        <v>2061.9214566999999</v>
      </c>
      <c r="BD146" s="102">
        <v>2061.9214566999999</v>
      </c>
      <c r="BE146" s="102">
        <v>2061.9214566999999</v>
      </c>
      <c r="BF146" s="102">
        <v>2061.9214566999999</v>
      </c>
      <c r="BG146" s="102">
        <v>2038.6702567</v>
      </c>
      <c r="BH146" s="102">
        <v>2038.6702567</v>
      </c>
      <c r="BI146" s="102">
        <v>2038.6702567</v>
      </c>
      <c r="BJ146" s="102">
        <v>2038.6702567</v>
      </c>
      <c r="BK146" s="102">
        <v>2038.6702567</v>
      </c>
      <c r="BL146" s="102">
        <v>2040.0935767000001</v>
      </c>
      <c r="BM146" s="102">
        <v>2781.8883946999999</v>
      </c>
      <c r="BN146" s="102">
        <v>2781.8883946999999</v>
      </c>
      <c r="BO146" s="102">
        <v>2781.8883946999999</v>
      </c>
      <c r="BP146" s="102">
        <v>2781.8883946999999</v>
      </c>
      <c r="BQ146" s="102">
        <v>2781.8883946999999</v>
      </c>
      <c r="BR146" s="102">
        <v>2781.8883946999999</v>
      </c>
      <c r="BS146" s="102">
        <v>2781.8883946999999</v>
      </c>
      <c r="BT146" s="102">
        <v>2781.8883946999999</v>
      </c>
      <c r="BU146" s="102">
        <v>2781.8883946999999</v>
      </c>
      <c r="BV146" s="102">
        <v>2781.8883946999999</v>
      </c>
      <c r="BW146" s="102">
        <v>2781.8883946999999</v>
      </c>
      <c r="BX146" s="102">
        <v>2781.8883946999999</v>
      </c>
      <c r="BY146" s="102">
        <v>2832.1136900000001</v>
      </c>
      <c r="BZ146" s="102">
        <v>2866.3852900000002</v>
      </c>
      <c r="CA146" s="102">
        <v>2886.2949520000002</v>
      </c>
      <c r="CB146" s="102">
        <v>2891.077702</v>
      </c>
      <c r="CC146" s="102">
        <v>2901.243712</v>
      </c>
      <c r="CD146" s="102">
        <v>2912.6799729999998</v>
      </c>
      <c r="CE146" s="102">
        <v>2913.2135760000001</v>
      </c>
      <c r="CF146" s="102">
        <v>2927.900588</v>
      </c>
      <c r="CG146" s="102">
        <v>2948.8963819999999</v>
      </c>
      <c r="CH146" s="102">
        <v>3004.540254</v>
      </c>
      <c r="CI146" s="102">
        <v>3014.706666</v>
      </c>
      <c r="CJ146" s="102">
        <v>3015.0041660000002</v>
      </c>
      <c r="CK146" s="102">
        <v>3024.2187479999998</v>
      </c>
      <c r="CL146" s="102">
        <v>3025.4444480000002</v>
      </c>
      <c r="CM146" s="102">
        <v>3032.5771890000001</v>
      </c>
      <c r="CN146" s="102">
        <v>3032.5771890000001</v>
      </c>
      <c r="CO146" s="102">
        <v>3034.594239</v>
      </c>
      <c r="CP146" s="102">
        <v>3046.9779930199998</v>
      </c>
      <c r="CQ146" s="102">
        <v>3060.1870406200001</v>
      </c>
      <c r="CR146" s="102">
        <v>3067.1485406199999</v>
      </c>
      <c r="CS146" s="102">
        <v>3100.7150729200002</v>
      </c>
      <c r="CT146" s="102">
        <v>3118.2678585200001</v>
      </c>
      <c r="CU146" s="102">
        <v>3123.9798585200001</v>
      </c>
      <c r="CV146" s="102">
        <v>3143.6621655200001</v>
      </c>
      <c r="CW146" s="102">
        <v>3144.3471140500001</v>
      </c>
      <c r="CX146" s="102">
        <v>3144.3471140500001</v>
      </c>
      <c r="CY146" s="102">
        <v>3188.41005305</v>
      </c>
      <c r="CZ146" s="102">
        <v>3188.41005305</v>
      </c>
      <c r="DA146" s="102">
        <v>3188.41005305</v>
      </c>
      <c r="DB146" s="102">
        <v>3205.1454990500001</v>
      </c>
      <c r="DC146" s="102">
        <v>3205.1454990500001</v>
      </c>
      <c r="DD146" s="102">
        <v>3205.1454990500001</v>
      </c>
      <c r="DE146" s="102">
        <v>3033.76389905</v>
      </c>
      <c r="DF146" s="102">
        <v>3033.76389905</v>
      </c>
      <c r="DG146" s="102">
        <v>3037.1060140500003</v>
      </c>
      <c r="DH146" s="102">
        <v>3037.1060140500003</v>
      </c>
      <c r="DI146" s="102">
        <v>3037.6410140500002</v>
      </c>
      <c r="DJ146" s="102">
        <v>3037.6410140500002</v>
      </c>
      <c r="DK146" s="102">
        <v>3041.35381405</v>
      </c>
      <c r="DL146" s="102">
        <v>3047.1110340500004</v>
      </c>
      <c r="DM146" s="102">
        <v>3047.1110340500004</v>
      </c>
      <c r="DN146" s="102">
        <v>3053.7988340500001</v>
      </c>
      <c r="DO146" s="102">
        <v>3053.7988340500001</v>
      </c>
      <c r="DP146" s="102">
        <v>3056.2026340500001</v>
      </c>
      <c r="DQ146" s="940">
        <v>3056.2026340500001</v>
      </c>
      <c r="DR146" s="940">
        <v>3079.5022650400001</v>
      </c>
      <c r="DS146" s="940">
        <v>3115.70206504</v>
      </c>
      <c r="DT146" s="940">
        <v>3123.0562650399997</v>
      </c>
      <c r="DU146" s="940">
        <v>3132.2668650400001</v>
      </c>
      <c r="DV146" s="940">
        <v>3132.2668650400001</v>
      </c>
      <c r="DW146" s="940">
        <v>3184.9481650399998</v>
      </c>
      <c r="DX146" s="940">
        <v>3189.10329804</v>
      </c>
      <c r="DY146" s="940">
        <v>3189.4012980399998</v>
      </c>
      <c r="DZ146" s="940">
        <v>3189.4012980399998</v>
      </c>
      <c r="EA146" s="940">
        <v>3189.4012980399998</v>
      </c>
      <c r="EB146" s="940">
        <v>3253.9841326799997</v>
      </c>
      <c r="EC146" s="940">
        <v>3327.18103268</v>
      </c>
      <c r="ED146" s="940">
        <v>3359.8465326799997</v>
      </c>
      <c r="EE146" s="940">
        <v>3383.3992911400001</v>
      </c>
      <c r="EF146" s="940">
        <v>3459.5826411399999</v>
      </c>
      <c r="EH146" s="102"/>
      <c r="EI146" s="102"/>
      <c r="EJ146" s="102"/>
      <c r="EK146" s="102"/>
      <c r="EL146" s="102"/>
      <c r="EM146" s="102"/>
      <c r="EN146" s="102"/>
      <c r="EO146" s="102"/>
      <c r="EP146" s="102"/>
      <c r="EQ146" s="102"/>
      <c r="ER146" s="102"/>
      <c r="ES146" s="102"/>
      <c r="EU146" s="102"/>
      <c r="EV146" s="102"/>
      <c r="EW146" s="102"/>
      <c r="EX146" s="102"/>
      <c r="EY146" s="102"/>
      <c r="EZ146" s="102"/>
      <c r="FA146" s="102"/>
      <c r="FB146" s="102"/>
      <c r="FC146" s="102"/>
      <c r="FD146" s="102"/>
      <c r="FE146" s="102"/>
      <c r="FF146" s="102"/>
      <c r="FG146" s="102">
        <v>1908.33198326</v>
      </c>
      <c r="FH146" s="102">
        <v>1908.33198326</v>
      </c>
      <c r="FI146" s="102">
        <v>1908.33198326</v>
      </c>
      <c r="FJ146" s="102">
        <v>1908.33198326</v>
      </c>
      <c r="FK146" s="102">
        <v>1908.33198326</v>
      </c>
      <c r="FL146" s="102">
        <v>1908.33198326</v>
      </c>
      <c r="FM146" s="102">
        <v>1908.33198326</v>
      </c>
      <c r="FN146" s="102">
        <v>1908.33198326</v>
      </c>
      <c r="FO146" s="102">
        <v>1908.33198326</v>
      </c>
      <c r="FP146" s="102">
        <v>1908.33198326</v>
      </c>
      <c r="FQ146" s="102">
        <v>1908.33198326</v>
      </c>
      <c r="FR146" s="102">
        <v>1908.33198326</v>
      </c>
      <c r="FS146" s="102"/>
      <c r="FT146" s="102"/>
      <c r="FU146" s="102"/>
      <c r="FV146" s="102"/>
      <c r="FW146" s="102"/>
      <c r="FX146" s="102"/>
      <c r="FY146" s="102"/>
      <c r="FZ146" s="102"/>
      <c r="GA146" s="102"/>
      <c r="GB146" s="102"/>
      <c r="GC146" s="102"/>
      <c r="GD146" s="102"/>
      <c r="GE146" s="102"/>
      <c r="GF146" s="102"/>
      <c r="GG146" s="102"/>
      <c r="GH146" s="102"/>
      <c r="GI146" s="102"/>
      <c r="GJ146" s="102"/>
      <c r="GK146" s="102"/>
      <c r="GL146" s="102"/>
      <c r="GM146" s="102"/>
      <c r="GN146" s="102"/>
      <c r="GO146" s="102"/>
      <c r="GP146" s="102"/>
      <c r="GQ146" s="102"/>
      <c r="GR146" s="102"/>
      <c r="GS146" s="102"/>
      <c r="GT146" s="102"/>
      <c r="GU146" s="102"/>
      <c r="GV146" s="102"/>
      <c r="GW146" s="102"/>
      <c r="GX146" s="102"/>
      <c r="GY146" s="102"/>
      <c r="GZ146" s="102"/>
      <c r="HA146" s="102"/>
      <c r="HB146" s="102"/>
      <c r="HD146" s="102">
        <f t="shared" si="776"/>
        <v>1530.12791434</v>
      </c>
      <c r="HE146" s="102">
        <f t="shared" si="776"/>
        <v>1757.4959368499999</v>
      </c>
      <c r="HF146" s="102">
        <f t="shared" si="776"/>
        <v>1807.63393124</v>
      </c>
      <c r="HG146" s="102">
        <f t="shared" si="776"/>
        <v>0</v>
      </c>
      <c r="HH146" s="102">
        <f t="shared" si="777"/>
        <v>2040.0935767000001</v>
      </c>
      <c r="HI146" s="102">
        <f t="shared" si="778"/>
        <v>2781.8883946999999</v>
      </c>
      <c r="HJ146" s="102">
        <f t="shared" si="696"/>
        <v>3015.0041660000002</v>
      </c>
      <c r="HK146" s="102">
        <f t="shared" si="697"/>
        <v>3143.6621655200001</v>
      </c>
      <c r="HL146" s="940">
        <f>+SUMIFS($E146:SEW146,$E$6:SEW$6,HL$7,$E$5:SEW$5,12)</f>
        <v>3037.1060140500003</v>
      </c>
      <c r="HM146" s="940">
        <f>+SUMIFS($E146:SEX146,$E$6:SEX$6,HM$7,$E$5:SEX$5,12)</f>
        <v>3123.0562650399997</v>
      </c>
      <c r="HN146" s="940">
        <f>+SUMIFS($E146:SEY146,$E$6:SEY$6,HN$7,$E$5:SEY$5,12)</f>
        <v>3459.5826411399999</v>
      </c>
      <c r="HO146" s="102"/>
      <c r="HP146" s="102"/>
      <c r="HR146" s="929">
        <f t="shared" si="779"/>
        <v>2.8528085521417168E-2</v>
      </c>
      <c r="HS146" s="929">
        <f t="shared" si="780"/>
        <v>-1</v>
      </c>
      <c r="HT146" s="929" t="str">
        <f t="shared" si="781"/>
        <v/>
      </c>
      <c r="HU146" s="929">
        <f t="shared" si="738"/>
        <v>0.36360823173606915</v>
      </c>
      <c r="HV146" s="929">
        <f t="shared" si="739"/>
        <v>8.37976720216842E-2</v>
      </c>
      <c r="HW146" s="929">
        <f t="shared" si="740"/>
        <v>4.2672577693545932E-2</v>
      </c>
      <c r="HX146" s="929">
        <f t="shared" si="741"/>
        <v>-3.3895547886384936E-2</v>
      </c>
      <c r="HY146" s="929">
        <f t="shared" si="741"/>
        <v>2.8300049650023418E-2</v>
      </c>
      <c r="HZ146" s="929">
        <f t="shared" si="741"/>
        <v>0.10775546373183564</v>
      </c>
      <c r="IA146" s="929">
        <f t="shared" si="762"/>
        <v>-1</v>
      </c>
      <c r="IB146" s="929" t="str">
        <f t="shared" si="782"/>
        <v/>
      </c>
      <c r="IC146" s="929">
        <f t="shared" si="763"/>
        <v>-1</v>
      </c>
      <c r="IE146" s="102">
        <f t="shared" si="783"/>
        <v>50.137994390000131</v>
      </c>
      <c r="IF146" s="102">
        <f t="shared" si="784"/>
        <v>-1807.63393124</v>
      </c>
      <c r="IG146" s="102">
        <f t="shared" si="785"/>
        <v>2040.0935767000001</v>
      </c>
      <c r="IH146" s="102">
        <f t="shared" si="742"/>
        <v>741.79481799999985</v>
      </c>
      <c r="II146" s="102">
        <f t="shared" si="767"/>
        <v>233.11577130000023</v>
      </c>
      <c r="IJ146" s="102">
        <f t="shared" si="768"/>
        <v>128.65799951999998</v>
      </c>
      <c r="IK146" s="102">
        <f t="shared" si="769"/>
        <v>-106.5561514699998</v>
      </c>
      <c r="IL146" s="102">
        <f t="shared" si="764"/>
        <v>-3037.1060140500003</v>
      </c>
      <c r="IM146" s="102">
        <f t="shared" si="786"/>
        <v>0</v>
      </c>
      <c r="IN146" s="102">
        <f t="shared" si="765"/>
        <v>-3037.1060140500003</v>
      </c>
      <c r="IP146" s="973"/>
      <c r="IQ146" s="973"/>
      <c r="IR146" s="973"/>
      <c r="IS146" s="973"/>
      <c r="IT146" s="973"/>
      <c r="IU146" s="973"/>
      <c r="IV146" s="973"/>
      <c r="IW146" s="973"/>
      <c r="IX146" s="973"/>
      <c r="IY146" s="973"/>
      <c r="JA146" s="102">
        <f t="shared" si="727"/>
        <v>1530.12791434</v>
      </c>
      <c r="JB146" s="102">
        <f t="shared" si="816"/>
        <v>1757.4959368499999</v>
      </c>
      <c r="JC146" s="102">
        <f t="shared" si="816"/>
        <v>1807.63393124</v>
      </c>
      <c r="JD146" s="102">
        <f t="shared" si="816"/>
        <v>0</v>
      </c>
      <c r="JE146" s="102">
        <f t="shared" si="816"/>
        <v>2040.0935767000001</v>
      </c>
      <c r="JF146" s="102">
        <f t="shared" si="816"/>
        <v>2781.8883946999999</v>
      </c>
      <c r="JG146" s="102">
        <f t="shared" si="816"/>
        <v>3015.0041660000002</v>
      </c>
      <c r="JH146" s="102">
        <f t="shared" si="816"/>
        <v>3143.6621655200001</v>
      </c>
      <c r="JI146" s="102">
        <f t="shared" si="816"/>
        <v>3037.1060140500003</v>
      </c>
      <c r="JJ146" s="102">
        <f t="shared" si="816"/>
        <v>3123.0562650399997</v>
      </c>
      <c r="JK146" s="102">
        <f t="shared" si="816"/>
        <v>3459.5826411399999</v>
      </c>
      <c r="JL146" s="102">
        <f t="shared" si="728"/>
        <v>3459.5826411399999</v>
      </c>
      <c r="JM146" s="102"/>
      <c r="JN146" s="102"/>
      <c r="JP146" s="102">
        <f t="shared" si="787"/>
        <v>0</v>
      </c>
      <c r="JQ146" s="102">
        <f t="shared" si="788"/>
        <v>0</v>
      </c>
      <c r="JR146" s="145"/>
      <c r="JS146" s="929" t="str">
        <f t="shared" si="789"/>
        <v>NA</v>
      </c>
      <c r="JT146" s="930">
        <f t="shared" si="790"/>
        <v>0</v>
      </c>
      <c r="JV146" s="973"/>
      <c r="JW146" s="973"/>
      <c r="JY146" s="929">
        <f t="shared" si="817"/>
        <v>2.8528085521417168E-2</v>
      </c>
      <c r="JZ146" s="929">
        <f t="shared" si="818"/>
        <v>-1</v>
      </c>
      <c r="KA146" s="929" t="str">
        <f t="shared" si="819"/>
        <v/>
      </c>
      <c r="KB146" s="929">
        <f t="shared" si="820"/>
        <v>0.36360823173606915</v>
      </c>
      <c r="KC146" s="929">
        <f t="shared" si="821"/>
        <v>8.37976720216842E-2</v>
      </c>
      <c r="KD146" s="929">
        <f t="shared" si="822"/>
        <v>4.2672577693545932E-2</v>
      </c>
      <c r="KE146" s="929">
        <f t="shared" si="823"/>
        <v>-3.3895547886384936E-2</v>
      </c>
      <c r="KF146" s="929">
        <f t="shared" si="824"/>
        <v>-1</v>
      </c>
      <c r="KH146" s="102">
        <f t="shared" si="792"/>
        <v>50.137994390000131</v>
      </c>
      <c r="KI146" s="102">
        <f t="shared" si="793"/>
        <v>-1807.63393124</v>
      </c>
      <c r="KJ146" s="102">
        <f t="shared" si="794"/>
        <v>2040.0935767000001</v>
      </c>
      <c r="KK146" s="102">
        <f t="shared" si="795"/>
        <v>741.79481799999985</v>
      </c>
      <c r="KL146" s="102">
        <f t="shared" si="796"/>
        <v>233.11577130000023</v>
      </c>
      <c r="KM146" s="102">
        <f t="shared" si="797"/>
        <v>128.65799951999998</v>
      </c>
      <c r="KN146" s="102">
        <f t="shared" si="798"/>
        <v>-106.5561514699998</v>
      </c>
      <c r="KO146" s="102">
        <f t="shared" si="711"/>
        <v>-3037.1060140500003</v>
      </c>
      <c r="KQ146" s="973"/>
      <c r="KR146" s="973"/>
      <c r="KS146" s="973"/>
      <c r="KT146" s="973"/>
      <c r="KU146" s="973"/>
      <c r="KV146" s="973"/>
      <c r="KW146" s="973"/>
      <c r="KX146" s="973"/>
      <c r="KY146" s="973"/>
      <c r="KZ146" s="973"/>
      <c r="LB146" s="102">
        <f t="shared" si="737"/>
        <v>1530.12791434</v>
      </c>
      <c r="LC146" s="102">
        <f t="shared" si="825"/>
        <v>1757.4959368499999</v>
      </c>
      <c r="LD146" s="102">
        <f t="shared" si="825"/>
        <v>1807.63393124</v>
      </c>
      <c r="LE146" s="102">
        <f t="shared" si="825"/>
        <v>0</v>
      </c>
      <c r="LF146" s="102">
        <f t="shared" si="825"/>
        <v>2040.0935767000001</v>
      </c>
      <c r="LG146" s="102">
        <f t="shared" si="825"/>
        <v>2781.8883946999999</v>
      </c>
      <c r="LH146" s="102">
        <f t="shared" si="825"/>
        <v>3015.0041660000002</v>
      </c>
      <c r="LI146" s="102">
        <f t="shared" si="825"/>
        <v>3143.6621655200001</v>
      </c>
      <c r="LJ146" s="102">
        <f t="shared" si="825"/>
        <v>3037.1060140500003</v>
      </c>
      <c r="LK146" s="102">
        <f t="shared" si="825"/>
        <v>3123.0562650399997</v>
      </c>
      <c r="LL146" s="102">
        <f t="shared" si="825"/>
        <v>3459.5826411399999</v>
      </c>
      <c r="LM146" s="102">
        <f t="shared" si="825"/>
        <v>3459.5826411399999</v>
      </c>
      <c r="LN146" s="102"/>
      <c r="LO146" s="102"/>
      <c r="LR146" s="32">
        <f t="shared" si="799"/>
        <v>2.8528085521417168E-2</v>
      </c>
      <c r="LS146" s="32">
        <f t="shared" si="800"/>
        <v>-1</v>
      </c>
      <c r="LT146" s="32" t="str">
        <f t="shared" si="801"/>
        <v xml:space="preserve"> </v>
      </c>
      <c r="LU146" s="32">
        <f t="shared" si="802"/>
        <v>0.36360823173606915</v>
      </c>
      <c r="LV146" s="32">
        <f t="shared" si="803"/>
        <v>8.37976720216842E-2</v>
      </c>
      <c r="LW146" s="32">
        <f t="shared" si="804"/>
        <v>4.2672577693545932E-2</v>
      </c>
      <c r="LX146" s="32">
        <f t="shared" si="719"/>
        <v>-1</v>
      </c>
      <c r="LZ146" s="102">
        <f t="shared" si="805"/>
        <v>50.137994390000131</v>
      </c>
      <c r="MA146" s="102">
        <f t="shared" si="806"/>
        <v>-1807.63393124</v>
      </c>
      <c r="MB146" s="102">
        <f t="shared" si="807"/>
        <v>2040.0935767000001</v>
      </c>
      <c r="MC146" s="102">
        <f t="shared" si="808"/>
        <v>741.79481799999985</v>
      </c>
      <c r="MD146" s="102">
        <f t="shared" si="809"/>
        <v>233.11577130000023</v>
      </c>
      <c r="ME146" s="102">
        <f t="shared" si="810"/>
        <v>128.65799951999998</v>
      </c>
      <c r="MF146" s="102">
        <f t="shared" si="726"/>
        <v>-3143.6621655200001</v>
      </c>
      <c r="MH146" s="973"/>
      <c r="MI146" s="973"/>
      <c r="MJ146" s="973"/>
      <c r="MK146" s="973"/>
      <c r="ML146" s="973"/>
      <c r="MM146" s="973"/>
      <c r="MN146" s="973"/>
      <c r="MO146" s="973"/>
      <c r="MP146" s="973"/>
    </row>
    <row r="147" spans="1:354" outlineLevel="4">
      <c r="A147" s="884"/>
      <c r="B147" s="70" t="s">
        <v>708</v>
      </c>
      <c r="C147" s="980" t="s">
        <v>708</v>
      </c>
      <c r="D147" s="40"/>
      <c r="E147" s="102">
        <v>57.51599393</v>
      </c>
      <c r="F147" s="102">
        <v>57.51599393</v>
      </c>
      <c r="G147" s="102">
        <v>57.51599393</v>
      </c>
      <c r="H147" s="102">
        <v>57.51599393</v>
      </c>
      <c r="I147" s="102">
        <v>57.51599393</v>
      </c>
      <c r="J147" s="102">
        <v>57.51599393</v>
      </c>
      <c r="K147" s="102">
        <v>57.51599393</v>
      </c>
      <c r="L147" s="102">
        <v>57.51599393</v>
      </c>
      <c r="M147" s="102">
        <v>57.51599393</v>
      </c>
      <c r="N147" s="102">
        <v>57.51599393</v>
      </c>
      <c r="O147" s="102">
        <v>57.51599393</v>
      </c>
      <c r="P147" s="102">
        <v>57.51599393</v>
      </c>
      <c r="Q147" s="102">
        <v>0</v>
      </c>
      <c r="R147" s="102">
        <v>0</v>
      </c>
      <c r="S147" s="102">
        <v>0</v>
      </c>
      <c r="T147" s="102">
        <v>0</v>
      </c>
      <c r="U147" s="102">
        <v>0</v>
      </c>
      <c r="V147" s="102">
        <v>0</v>
      </c>
      <c r="W147" s="102">
        <v>0</v>
      </c>
      <c r="X147" s="102">
        <v>0</v>
      </c>
      <c r="Y147" s="102">
        <v>0</v>
      </c>
      <c r="Z147" s="102">
        <v>0</v>
      </c>
      <c r="AA147" s="102">
        <v>0</v>
      </c>
      <c r="AB147" s="102">
        <v>0</v>
      </c>
      <c r="AC147" s="102">
        <v>0</v>
      </c>
      <c r="AD147" s="102">
        <v>0</v>
      </c>
      <c r="AE147" s="102">
        <v>0</v>
      </c>
      <c r="AF147" s="102">
        <v>0</v>
      </c>
      <c r="AG147" s="102">
        <v>0</v>
      </c>
      <c r="AH147" s="102">
        <v>0</v>
      </c>
      <c r="AI147" s="102">
        <v>0</v>
      </c>
      <c r="AJ147" s="102">
        <v>0</v>
      </c>
      <c r="AK147" s="102">
        <v>0</v>
      </c>
      <c r="AL147" s="102">
        <v>0</v>
      </c>
      <c r="AM147" s="102">
        <v>0</v>
      </c>
      <c r="AN147" s="102">
        <v>0</v>
      </c>
      <c r="AO147" s="102">
        <v>0</v>
      </c>
      <c r="AP147" s="145">
        <v>0</v>
      </c>
      <c r="AQ147" s="220">
        <v>0</v>
      </c>
      <c r="AR147" s="220">
        <v>0</v>
      </c>
      <c r="AS147" s="102">
        <v>0</v>
      </c>
      <c r="AT147" s="102">
        <v>0</v>
      </c>
      <c r="AU147" s="102">
        <v>0</v>
      </c>
      <c r="AV147" s="102">
        <v>0</v>
      </c>
      <c r="AW147" s="102">
        <v>0</v>
      </c>
      <c r="AX147" s="102">
        <v>0</v>
      </c>
      <c r="AY147" s="102">
        <v>0</v>
      </c>
      <c r="AZ147" s="102">
        <v>0</v>
      </c>
      <c r="BA147" s="102">
        <v>0</v>
      </c>
      <c r="BB147" s="102">
        <v>0</v>
      </c>
      <c r="BC147" s="102">
        <v>0</v>
      </c>
      <c r="BD147" s="102">
        <v>0</v>
      </c>
      <c r="BE147" s="102">
        <v>0</v>
      </c>
      <c r="BF147" s="102">
        <v>0</v>
      </c>
      <c r="BG147" s="102">
        <v>0</v>
      </c>
      <c r="BH147" s="102">
        <v>0</v>
      </c>
      <c r="BI147" s="102">
        <v>0</v>
      </c>
      <c r="BJ147" s="102">
        <v>0</v>
      </c>
      <c r="BK147" s="102">
        <v>0</v>
      </c>
      <c r="BL147" s="102">
        <v>0</v>
      </c>
      <c r="BM147" s="102">
        <v>0</v>
      </c>
      <c r="BN147" s="102">
        <v>0</v>
      </c>
      <c r="BO147" s="102">
        <v>0</v>
      </c>
      <c r="BP147" s="102">
        <v>0</v>
      </c>
      <c r="BQ147" s="102">
        <v>0</v>
      </c>
      <c r="BR147" s="102">
        <v>0</v>
      </c>
      <c r="BS147" s="102">
        <v>0</v>
      </c>
      <c r="BT147" s="102">
        <v>0</v>
      </c>
      <c r="BU147" s="102">
        <v>0</v>
      </c>
      <c r="BV147" s="102">
        <v>0</v>
      </c>
      <c r="BW147" s="102">
        <v>0</v>
      </c>
      <c r="BX147" s="102">
        <v>0</v>
      </c>
      <c r="BY147" s="102">
        <v>0</v>
      </c>
      <c r="BZ147" s="102">
        <v>0</v>
      </c>
      <c r="CA147" s="102">
        <v>0</v>
      </c>
      <c r="CB147" s="102">
        <v>0</v>
      </c>
      <c r="CC147" s="102">
        <v>0</v>
      </c>
      <c r="CD147" s="102">
        <v>0</v>
      </c>
      <c r="CE147" s="102">
        <v>0</v>
      </c>
      <c r="CF147" s="102">
        <v>0</v>
      </c>
      <c r="CG147" s="102">
        <v>0</v>
      </c>
      <c r="CH147" s="102">
        <v>0</v>
      </c>
      <c r="CI147" s="102">
        <v>0</v>
      </c>
      <c r="CJ147" s="102">
        <v>0</v>
      </c>
      <c r="CK147" s="102">
        <v>0</v>
      </c>
      <c r="CL147" s="102">
        <v>0</v>
      </c>
      <c r="CM147" s="102">
        <v>0</v>
      </c>
      <c r="CN147" s="102">
        <v>0</v>
      </c>
      <c r="CO147" s="102">
        <v>0</v>
      </c>
      <c r="CP147" s="102">
        <v>0</v>
      </c>
      <c r="CQ147" s="102">
        <v>0</v>
      </c>
      <c r="CR147" s="102">
        <v>0</v>
      </c>
      <c r="CS147" s="102">
        <v>0</v>
      </c>
      <c r="CT147" s="102">
        <v>0</v>
      </c>
      <c r="CU147" s="102">
        <v>0</v>
      </c>
      <c r="CV147" s="102">
        <v>0</v>
      </c>
      <c r="CW147" s="102">
        <v>0</v>
      </c>
      <c r="CX147" s="102">
        <v>0</v>
      </c>
      <c r="CY147" s="102">
        <v>0</v>
      </c>
      <c r="CZ147" s="102">
        <v>0</v>
      </c>
      <c r="DA147" s="102">
        <v>0</v>
      </c>
      <c r="DB147" s="102">
        <v>0</v>
      </c>
      <c r="DC147" s="102">
        <v>0</v>
      </c>
      <c r="DD147" s="102">
        <v>0</v>
      </c>
      <c r="DE147" s="102">
        <v>0</v>
      </c>
      <c r="DF147" s="102">
        <v>0</v>
      </c>
      <c r="DG147" s="102">
        <v>0</v>
      </c>
      <c r="DH147" s="102">
        <v>0</v>
      </c>
      <c r="DI147" s="102">
        <v>0</v>
      </c>
      <c r="DJ147" s="102">
        <v>0</v>
      </c>
      <c r="DK147" s="102">
        <v>0</v>
      </c>
      <c r="DL147" s="102">
        <v>0</v>
      </c>
      <c r="DM147" s="102">
        <v>0</v>
      </c>
      <c r="DN147" s="102">
        <v>0</v>
      </c>
      <c r="DO147" s="102">
        <v>0</v>
      </c>
      <c r="DP147" s="102">
        <v>0</v>
      </c>
      <c r="DQ147" s="940">
        <v>0</v>
      </c>
      <c r="DR147" s="940">
        <v>0</v>
      </c>
      <c r="DS147" s="940">
        <v>0</v>
      </c>
      <c r="DT147" s="940">
        <v>0</v>
      </c>
      <c r="DU147" s="940">
        <v>0</v>
      </c>
      <c r="DV147" s="940">
        <v>0</v>
      </c>
      <c r="DW147" s="940">
        <v>0</v>
      </c>
      <c r="DX147" s="940">
        <v>0</v>
      </c>
      <c r="DY147" s="940">
        <v>0</v>
      </c>
      <c r="DZ147" s="940">
        <v>0</v>
      </c>
      <c r="EA147" s="940">
        <v>0</v>
      </c>
      <c r="EB147" s="940">
        <v>0</v>
      </c>
      <c r="EC147" s="940">
        <v>0</v>
      </c>
      <c r="ED147" s="940">
        <v>0</v>
      </c>
      <c r="EE147" s="940">
        <v>0</v>
      </c>
      <c r="EF147" s="940">
        <v>0</v>
      </c>
      <c r="EH147" s="102"/>
      <c r="EI147" s="102"/>
      <c r="EJ147" s="102"/>
      <c r="EK147" s="102"/>
      <c r="EL147" s="102"/>
      <c r="EM147" s="102"/>
      <c r="EN147" s="102"/>
      <c r="EO147" s="102"/>
      <c r="EP147" s="102"/>
      <c r="EQ147" s="102"/>
      <c r="ER147" s="102"/>
      <c r="ES147" s="102"/>
      <c r="EU147" s="102"/>
      <c r="EV147" s="102"/>
      <c r="EW147" s="102"/>
      <c r="EX147" s="102"/>
      <c r="EY147" s="102"/>
      <c r="EZ147" s="102"/>
      <c r="FA147" s="102"/>
      <c r="FB147" s="102"/>
      <c r="FC147" s="102"/>
      <c r="FD147" s="102"/>
      <c r="FE147" s="102"/>
      <c r="FF147" s="102"/>
      <c r="FG147" s="102">
        <v>0</v>
      </c>
      <c r="FH147" s="102">
        <v>0</v>
      </c>
      <c r="FI147" s="102">
        <v>0</v>
      </c>
      <c r="FJ147" s="102">
        <v>0</v>
      </c>
      <c r="FK147" s="102">
        <v>0</v>
      </c>
      <c r="FL147" s="102">
        <v>0</v>
      </c>
      <c r="FM147" s="102">
        <v>0</v>
      </c>
      <c r="FN147" s="102">
        <v>0</v>
      </c>
      <c r="FO147" s="102">
        <v>0</v>
      </c>
      <c r="FP147" s="102">
        <v>0</v>
      </c>
      <c r="FQ147" s="102">
        <v>0</v>
      </c>
      <c r="FR147" s="102">
        <v>0</v>
      </c>
      <c r="FS147" s="102"/>
      <c r="FT147" s="102"/>
      <c r="FU147" s="102"/>
      <c r="FV147" s="102"/>
      <c r="FW147" s="102"/>
      <c r="FX147" s="102"/>
      <c r="FY147" s="102"/>
      <c r="FZ147" s="102"/>
      <c r="GA147" s="102"/>
      <c r="GB147" s="102"/>
      <c r="GC147" s="102"/>
      <c r="GD147" s="102"/>
      <c r="GE147" s="102"/>
      <c r="GF147" s="102"/>
      <c r="GG147" s="102"/>
      <c r="GH147" s="102"/>
      <c r="GI147" s="102"/>
      <c r="GJ147" s="102"/>
      <c r="GK147" s="102"/>
      <c r="GL147" s="102"/>
      <c r="GM147" s="102"/>
      <c r="GN147" s="102"/>
      <c r="GO147" s="102"/>
      <c r="GP147" s="102"/>
      <c r="GQ147" s="102"/>
      <c r="GR147" s="102"/>
      <c r="GS147" s="102"/>
      <c r="GT147" s="102"/>
      <c r="GU147" s="102"/>
      <c r="GV147" s="102"/>
      <c r="GW147" s="102"/>
      <c r="GX147" s="102"/>
      <c r="GY147" s="102"/>
      <c r="GZ147" s="102"/>
      <c r="HA147" s="102"/>
      <c r="HB147" s="102"/>
      <c r="HD147" s="102">
        <f t="shared" si="776"/>
        <v>57.51599393</v>
      </c>
      <c r="HE147" s="102">
        <f t="shared" si="776"/>
        <v>0</v>
      </c>
      <c r="HF147" s="102">
        <f t="shared" si="776"/>
        <v>0</v>
      </c>
      <c r="HG147" s="102">
        <f t="shared" si="776"/>
        <v>0</v>
      </c>
      <c r="HH147" s="102">
        <f t="shared" si="777"/>
        <v>0</v>
      </c>
      <c r="HI147" s="102">
        <f t="shared" si="778"/>
        <v>0</v>
      </c>
      <c r="HJ147" s="102">
        <f t="shared" si="696"/>
        <v>0</v>
      </c>
      <c r="HK147" s="102">
        <f t="shared" si="697"/>
        <v>0</v>
      </c>
      <c r="HL147" s="940">
        <f>+SUMIFS($E147:SEW147,$E$6:SEW$6,HL$7,$E$5:SEW$5,12)</f>
        <v>0</v>
      </c>
      <c r="HM147" s="940">
        <f>+SUMIFS($E147:SEX147,$E$6:SEX$6,HM$7,$E$5:SEX$5,12)</f>
        <v>0</v>
      </c>
      <c r="HN147" s="940">
        <f>+SUMIFS($E147:SEY147,$E$6:SEY$6,HN$7,$E$5:SEY$5,12)</f>
        <v>0</v>
      </c>
      <c r="HO147" s="102"/>
      <c r="HP147" s="102"/>
      <c r="HR147" s="929" t="str">
        <f t="shared" si="779"/>
        <v/>
      </c>
      <c r="HS147" s="929" t="str">
        <f t="shared" si="780"/>
        <v/>
      </c>
      <c r="HT147" s="929" t="str">
        <f t="shared" si="781"/>
        <v/>
      </c>
      <c r="HU147" s="929" t="str">
        <f t="shared" si="738"/>
        <v/>
      </c>
      <c r="HV147" s="929" t="str">
        <f t="shared" si="739"/>
        <v/>
      </c>
      <c r="HW147" s="929" t="str">
        <f t="shared" si="740"/>
        <v/>
      </c>
      <c r="HX147" s="929" t="str">
        <f t="shared" si="741"/>
        <v/>
      </c>
      <c r="HY147" s="929" t="str">
        <f t="shared" si="741"/>
        <v/>
      </c>
      <c r="HZ147" s="929" t="str">
        <f t="shared" si="741"/>
        <v/>
      </c>
      <c r="IA147" s="929" t="str">
        <f t="shared" si="762"/>
        <v/>
      </c>
      <c r="IB147" s="929" t="str">
        <f t="shared" si="782"/>
        <v/>
      </c>
      <c r="IC147" s="929" t="str">
        <f t="shared" si="763"/>
        <v/>
      </c>
      <c r="IE147" s="102">
        <f t="shared" si="783"/>
        <v>0</v>
      </c>
      <c r="IF147" s="102">
        <f t="shared" si="784"/>
        <v>0</v>
      </c>
      <c r="IG147" s="102">
        <f t="shared" si="785"/>
        <v>0</v>
      </c>
      <c r="IH147" s="102">
        <f t="shared" si="742"/>
        <v>0</v>
      </c>
      <c r="II147" s="102">
        <f t="shared" si="767"/>
        <v>0</v>
      </c>
      <c r="IJ147" s="102">
        <f t="shared" si="768"/>
        <v>0</v>
      </c>
      <c r="IK147" s="102">
        <f t="shared" si="769"/>
        <v>0</v>
      </c>
      <c r="IL147" s="102">
        <f t="shared" si="764"/>
        <v>0</v>
      </c>
      <c r="IM147" s="102">
        <f t="shared" si="786"/>
        <v>0</v>
      </c>
      <c r="IN147" s="102">
        <f t="shared" si="765"/>
        <v>0</v>
      </c>
      <c r="IP147" s="973"/>
      <c r="IQ147" s="973"/>
      <c r="IR147" s="973"/>
      <c r="IS147" s="973"/>
      <c r="IT147" s="973"/>
      <c r="IU147" s="973"/>
      <c r="IV147" s="973"/>
      <c r="IW147" s="973"/>
      <c r="IX147" s="973"/>
      <c r="IY147" s="973"/>
      <c r="JA147" s="102">
        <f t="shared" si="727"/>
        <v>57.51599393</v>
      </c>
      <c r="JB147" s="102">
        <f t="shared" si="816"/>
        <v>0</v>
      </c>
      <c r="JC147" s="102">
        <f t="shared" si="816"/>
        <v>0</v>
      </c>
      <c r="JD147" s="102">
        <f t="shared" si="816"/>
        <v>0</v>
      </c>
      <c r="JE147" s="102">
        <f t="shared" si="816"/>
        <v>0</v>
      </c>
      <c r="JF147" s="102">
        <f t="shared" si="816"/>
        <v>0</v>
      </c>
      <c r="JG147" s="102">
        <f t="shared" si="816"/>
        <v>0</v>
      </c>
      <c r="JH147" s="102">
        <f t="shared" si="816"/>
        <v>0</v>
      </c>
      <c r="JI147" s="102">
        <f t="shared" si="816"/>
        <v>0</v>
      </c>
      <c r="JJ147" s="102">
        <f t="shared" si="816"/>
        <v>0</v>
      </c>
      <c r="JK147" s="102">
        <f t="shared" si="816"/>
        <v>0</v>
      </c>
      <c r="JL147" s="102">
        <f t="shared" si="728"/>
        <v>0</v>
      </c>
      <c r="JM147" s="102"/>
      <c r="JN147" s="102"/>
      <c r="JP147" s="102">
        <f t="shared" si="787"/>
        <v>0</v>
      </c>
      <c r="JQ147" s="102">
        <f t="shared" si="788"/>
        <v>0</v>
      </c>
      <c r="JR147" s="145"/>
      <c r="JS147" s="929" t="str">
        <f t="shared" si="789"/>
        <v>NA</v>
      </c>
      <c r="JT147" s="930">
        <f t="shared" si="790"/>
        <v>0</v>
      </c>
      <c r="JV147" s="973"/>
      <c r="JW147" s="973"/>
      <c r="JY147" s="929" t="str">
        <f t="shared" si="817"/>
        <v/>
      </c>
      <c r="JZ147" s="929" t="str">
        <f t="shared" si="818"/>
        <v/>
      </c>
      <c r="KA147" s="929" t="str">
        <f t="shared" si="819"/>
        <v/>
      </c>
      <c r="KB147" s="929" t="str">
        <f t="shared" si="820"/>
        <v/>
      </c>
      <c r="KC147" s="929" t="str">
        <f t="shared" si="821"/>
        <v/>
      </c>
      <c r="KD147" s="929" t="str">
        <f t="shared" si="822"/>
        <v/>
      </c>
      <c r="KE147" s="929" t="str">
        <f t="shared" si="823"/>
        <v/>
      </c>
      <c r="KF147" s="929" t="str">
        <f t="shared" si="824"/>
        <v/>
      </c>
      <c r="KH147" s="102">
        <f t="shared" si="792"/>
        <v>0</v>
      </c>
      <c r="KI147" s="102">
        <f t="shared" si="793"/>
        <v>0</v>
      </c>
      <c r="KJ147" s="102">
        <f t="shared" si="794"/>
        <v>0</v>
      </c>
      <c r="KK147" s="102">
        <f t="shared" si="795"/>
        <v>0</v>
      </c>
      <c r="KL147" s="102">
        <f t="shared" si="796"/>
        <v>0</v>
      </c>
      <c r="KM147" s="102">
        <f t="shared" si="797"/>
        <v>0</v>
      </c>
      <c r="KN147" s="102">
        <f t="shared" si="798"/>
        <v>0</v>
      </c>
      <c r="KO147" s="102">
        <f t="shared" si="711"/>
        <v>0</v>
      </c>
      <c r="KQ147" s="973"/>
      <c r="KR147" s="973"/>
      <c r="KS147" s="973"/>
      <c r="KT147" s="973"/>
      <c r="KU147" s="973"/>
      <c r="KV147" s="973"/>
      <c r="KW147" s="973"/>
      <c r="KX147" s="973"/>
      <c r="KY147" s="973"/>
      <c r="KZ147" s="973"/>
      <c r="LB147" s="102">
        <f t="shared" si="737"/>
        <v>57.51599393</v>
      </c>
      <c r="LC147" s="102">
        <f t="shared" si="825"/>
        <v>0</v>
      </c>
      <c r="LD147" s="102">
        <f t="shared" si="825"/>
        <v>0</v>
      </c>
      <c r="LE147" s="102">
        <f t="shared" si="825"/>
        <v>0</v>
      </c>
      <c r="LF147" s="102">
        <f t="shared" si="825"/>
        <v>0</v>
      </c>
      <c r="LG147" s="102">
        <f t="shared" si="825"/>
        <v>0</v>
      </c>
      <c r="LH147" s="102">
        <f t="shared" si="825"/>
        <v>0</v>
      </c>
      <c r="LI147" s="102">
        <f t="shared" si="825"/>
        <v>0</v>
      </c>
      <c r="LJ147" s="102">
        <f t="shared" si="825"/>
        <v>0</v>
      </c>
      <c r="LK147" s="102">
        <f t="shared" si="825"/>
        <v>0</v>
      </c>
      <c r="LL147" s="102">
        <f t="shared" si="825"/>
        <v>0</v>
      </c>
      <c r="LM147" s="102">
        <f t="shared" si="825"/>
        <v>0</v>
      </c>
      <c r="LN147" s="102"/>
      <c r="LO147" s="102"/>
      <c r="LR147" s="32" t="str">
        <f t="shared" si="799"/>
        <v xml:space="preserve"> </v>
      </c>
      <c r="LS147" s="32" t="str">
        <f t="shared" si="800"/>
        <v xml:space="preserve"> </v>
      </c>
      <c r="LT147" s="32" t="str">
        <f t="shared" si="801"/>
        <v xml:space="preserve"> </v>
      </c>
      <c r="LU147" s="32" t="str">
        <f t="shared" si="802"/>
        <v xml:space="preserve"> </v>
      </c>
      <c r="LV147" s="32" t="str">
        <f t="shared" si="803"/>
        <v xml:space="preserve"> </v>
      </c>
      <c r="LW147" s="32" t="str">
        <f t="shared" si="804"/>
        <v xml:space="preserve"> </v>
      </c>
      <c r="LX147" s="32" t="str">
        <f t="shared" si="719"/>
        <v xml:space="preserve"> </v>
      </c>
      <c r="LZ147" s="102">
        <f t="shared" si="805"/>
        <v>0</v>
      </c>
      <c r="MA147" s="102">
        <f t="shared" si="806"/>
        <v>0</v>
      </c>
      <c r="MB147" s="102">
        <f t="shared" si="807"/>
        <v>0</v>
      </c>
      <c r="MC147" s="102">
        <f t="shared" si="808"/>
        <v>0</v>
      </c>
      <c r="MD147" s="102">
        <f t="shared" si="809"/>
        <v>0</v>
      </c>
      <c r="ME147" s="102">
        <f t="shared" si="810"/>
        <v>0</v>
      </c>
      <c r="MF147" s="102">
        <f t="shared" si="726"/>
        <v>0</v>
      </c>
      <c r="MH147" s="973"/>
      <c r="MI147" s="973"/>
      <c r="MJ147" s="973"/>
      <c r="MK147" s="973"/>
      <c r="ML147" s="973"/>
      <c r="MM147" s="973"/>
      <c r="MN147" s="973"/>
      <c r="MO147" s="973"/>
      <c r="MP147" s="973"/>
    </row>
    <row r="148" spans="1:354" outlineLevel="4">
      <c r="A148" s="884">
        <v>15169901</v>
      </c>
      <c r="B148" s="70" t="s">
        <v>709</v>
      </c>
      <c r="C148" s="980" t="s">
        <v>709</v>
      </c>
      <c r="D148" s="40"/>
      <c r="E148" s="102">
        <v>0</v>
      </c>
      <c r="F148" s="102">
        <v>0</v>
      </c>
      <c r="G148" s="102">
        <v>0</v>
      </c>
      <c r="H148" s="102">
        <v>0</v>
      </c>
      <c r="I148" s="102">
        <v>0</v>
      </c>
      <c r="J148" s="102">
        <v>0</v>
      </c>
      <c r="K148" s="102">
        <v>0</v>
      </c>
      <c r="L148" s="102">
        <v>0</v>
      </c>
      <c r="M148" s="102">
        <v>0</v>
      </c>
      <c r="N148" s="102">
        <v>0</v>
      </c>
      <c r="O148" s="102">
        <v>0</v>
      </c>
      <c r="P148" s="102">
        <v>0</v>
      </c>
      <c r="Q148" s="102">
        <v>57.51599393</v>
      </c>
      <c r="R148" s="102">
        <v>57.51599393</v>
      </c>
      <c r="S148" s="102">
        <v>57.51599393</v>
      </c>
      <c r="T148" s="102">
        <v>57.51599393</v>
      </c>
      <c r="U148" s="102">
        <v>57.51599393</v>
      </c>
      <c r="V148" s="102">
        <v>57.51599393</v>
      </c>
      <c r="W148" s="102">
        <v>57.51599393</v>
      </c>
      <c r="X148" s="102">
        <v>57.51599393</v>
      </c>
      <c r="Y148" s="102">
        <v>57.51599393</v>
      </c>
      <c r="Z148" s="102">
        <v>57.51599393</v>
      </c>
      <c r="AA148" s="102">
        <v>57.51599393</v>
      </c>
      <c r="AB148" s="102">
        <v>57.51599393</v>
      </c>
      <c r="AC148" s="102">
        <v>57.51599393</v>
      </c>
      <c r="AD148" s="102">
        <v>57.51599393</v>
      </c>
      <c r="AE148" s="102">
        <v>57.51599393</v>
      </c>
      <c r="AF148" s="102">
        <v>57.51599393</v>
      </c>
      <c r="AG148" s="102">
        <v>57.51599393</v>
      </c>
      <c r="AH148" s="102">
        <v>57.51599393</v>
      </c>
      <c r="AI148" s="102">
        <v>57.51599393</v>
      </c>
      <c r="AJ148" s="102">
        <v>57.51599393</v>
      </c>
      <c r="AK148" s="102">
        <v>57.51599393</v>
      </c>
      <c r="AL148" s="102">
        <v>57.51599393</v>
      </c>
      <c r="AM148" s="102">
        <v>57.51599393</v>
      </c>
      <c r="AN148" s="102">
        <v>0</v>
      </c>
      <c r="AO148" s="102">
        <v>0</v>
      </c>
      <c r="AP148" s="145">
        <v>0</v>
      </c>
      <c r="AQ148" s="220">
        <v>0</v>
      </c>
      <c r="AR148" s="220">
        <v>0</v>
      </c>
      <c r="AS148" s="102">
        <v>0</v>
      </c>
      <c r="AT148" s="102">
        <v>0</v>
      </c>
      <c r="AU148" s="102">
        <v>0</v>
      </c>
      <c r="AV148" s="102">
        <v>0</v>
      </c>
      <c r="AW148" s="102">
        <v>0</v>
      </c>
      <c r="AX148" s="102">
        <v>0</v>
      </c>
      <c r="AY148" s="102">
        <v>0</v>
      </c>
      <c r="AZ148" s="102">
        <v>0</v>
      </c>
      <c r="BA148" s="102">
        <v>0</v>
      </c>
      <c r="BB148" s="102">
        <v>0</v>
      </c>
      <c r="BC148" s="102">
        <v>0</v>
      </c>
      <c r="BD148" s="102">
        <v>0</v>
      </c>
      <c r="BE148" s="102">
        <v>0</v>
      </c>
      <c r="BF148" s="102">
        <v>0</v>
      </c>
      <c r="BG148" s="102">
        <v>0</v>
      </c>
      <c r="BH148" s="102">
        <v>0</v>
      </c>
      <c r="BI148" s="102">
        <v>0</v>
      </c>
      <c r="BJ148" s="102">
        <v>0</v>
      </c>
      <c r="BK148" s="102">
        <v>0</v>
      </c>
      <c r="BL148" s="102">
        <v>0</v>
      </c>
      <c r="BM148" s="102">
        <v>0</v>
      </c>
      <c r="BN148" s="102">
        <v>0</v>
      </c>
      <c r="BO148" s="102">
        <v>0</v>
      </c>
      <c r="BP148" s="102">
        <v>0</v>
      </c>
      <c r="BQ148" s="102">
        <v>0</v>
      </c>
      <c r="BR148" s="102">
        <v>0</v>
      </c>
      <c r="BS148" s="102">
        <v>0</v>
      </c>
      <c r="BT148" s="102">
        <v>0</v>
      </c>
      <c r="BU148" s="102">
        <v>0</v>
      </c>
      <c r="BV148" s="102">
        <v>0</v>
      </c>
      <c r="BW148" s="102">
        <v>0</v>
      </c>
      <c r="BX148" s="102">
        <v>0</v>
      </c>
      <c r="BY148" s="102">
        <v>0</v>
      </c>
      <c r="BZ148" s="102">
        <v>0</v>
      </c>
      <c r="CA148" s="102">
        <v>0</v>
      </c>
      <c r="CB148" s="102">
        <v>0</v>
      </c>
      <c r="CC148" s="102">
        <v>0</v>
      </c>
      <c r="CD148" s="102">
        <v>0</v>
      </c>
      <c r="CE148" s="102">
        <v>0</v>
      </c>
      <c r="CF148" s="102">
        <v>0</v>
      </c>
      <c r="CG148" s="102">
        <v>0</v>
      </c>
      <c r="CH148" s="102">
        <v>0</v>
      </c>
      <c r="CI148" s="102">
        <v>0</v>
      </c>
      <c r="CJ148" s="102">
        <v>0</v>
      </c>
      <c r="CK148" s="102">
        <v>0</v>
      </c>
      <c r="CL148" s="102">
        <v>0</v>
      </c>
      <c r="CM148" s="102">
        <v>0</v>
      </c>
      <c r="CN148" s="102">
        <v>0</v>
      </c>
      <c r="CO148" s="102">
        <v>0</v>
      </c>
      <c r="CP148" s="102">
        <v>0</v>
      </c>
      <c r="CQ148" s="102">
        <v>0</v>
      </c>
      <c r="CR148" s="102">
        <v>0</v>
      </c>
      <c r="CS148" s="102">
        <v>0</v>
      </c>
      <c r="CT148" s="102">
        <v>0</v>
      </c>
      <c r="CU148" s="102">
        <v>0</v>
      </c>
      <c r="CV148" s="102">
        <v>0</v>
      </c>
      <c r="CW148" s="102">
        <v>0</v>
      </c>
      <c r="CX148" s="102">
        <v>0</v>
      </c>
      <c r="CY148" s="102">
        <v>0</v>
      </c>
      <c r="CZ148" s="102">
        <v>0</v>
      </c>
      <c r="DA148" s="102">
        <v>0</v>
      </c>
      <c r="DB148" s="102">
        <v>0</v>
      </c>
      <c r="DC148" s="102">
        <v>0</v>
      </c>
      <c r="DD148" s="102">
        <v>0</v>
      </c>
      <c r="DE148" s="102">
        <v>0</v>
      </c>
      <c r="DF148" s="102">
        <v>0</v>
      </c>
      <c r="DG148" s="102">
        <v>0</v>
      </c>
      <c r="DH148" s="102">
        <v>0</v>
      </c>
      <c r="DI148" s="102">
        <v>0</v>
      </c>
      <c r="DJ148" s="102">
        <v>0</v>
      </c>
      <c r="DK148" s="102">
        <v>0</v>
      </c>
      <c r="DL148" s="102">
        <v>0</v>
      </c>
      <c r="DM148" s="102">
        <v>0</v>
      </c>
      <c r="DN148" s="102">
        <v>0</v>
      </c>
      <c r="DO148" s="102">
        <v>0</v>
      </c>
      <c r="DP148" s="102">
        <v>0</v>
      </c>
      <c r="DQ148" s="940">
        <v>0</v>
      </c>
      <c r="DR148" s="940">
        <v>0</v>
      </c>
      <c r="DS148" s="940">
        <v>0</v>
      </c>
      <c r="DT148" s="940">
        <v>0</v>
      </c>
      <c r="DU148" s="940">
        <v>0</v>
      </c>
      <c r="DV148" s="940">
        <v>0</v>
      </c>
      <c r="DW148" s="940">
        <v>0</v>
      </c>
      <c r="DX148" s="940">
        <v>0</v>
      </c>
      <c r="DY148" s="940">
        <v>0</v>
      </c>
      <c r="DZ148" s="940">
        <v>0</v>
      </c>
      <c r="EA148" s="940">
        <v>0</v>
      </c>
      <c r="EB148" s="940">
        <v>0</v>
      </c>
      <c r="EC148" s="940">
        <v>0</v>
      </c>
      <c r="ED148" s="940">
        <v>0</v>
      </c>
      <c r="EE148" s="940">
        <v>0</v>
      </c>
      <c r="EF148" s="940">
        <v>0</v>
      </c>
      <c r="EH148" s="102"/>
      <c r="EI148" s="102"/>
      <c r="EJ148" s="102"/>
      <c r="EK148" s="102"/>
      <c r="EL148" s="102"/>
      <c r="EM148" s="102"/>
      <c r="EN148" s="102"/>
      <c r="EO148" s="102"/>
      <c r="EP148" s="102"/>
      <c r="EQ148" s="102"/>
      <c r="ER148" s="102"/>
      <c r="ES148" s="102"/>
      <c r="EU148" s="102"/>
      <c r="EV148" s="102"/>
      <c r="EW148" s="102"/>
      <c r="EX148" s="102"/>
      <c r="EY148" s="102"/>
      <c r="EZ148" s="102"/>
      <c r="FA148" s="102"/>
      <c r="FB148" s="102"/>
      <c r="FC148" s="102"/>
      <c r="FD148" s="102"/>
      <c r="FE148" s="102"/>
      <c r="FF148" s="102"/>
      <c r="FG148" s="102">
        <v>0</v>
      </c>
      <c r="FH148" s="102">
        <v>0</v>
      </c>
      <c r="FI148" s="102">
        <v>0</v>
      </c>
      <c r="FJ148" s="102">
        <v>0</v>
      </c>
      <c r="FK148" s="102">
        <v>0</v>
      </c>
      <c r="FL148" s="102">
        <v>0</v>
      </c>
      <c r="FM148" s="102">
        <v>0</v>
      </c>
      <c r="FN148" s="102">
        <v>0</v>
      </c>
      <c r="FO148" s="102">
        <v>0</v>
      </c>
      <c r="FP148" s="102">
        <v>0</v>
      </c>
      <c r="FQ148" s="102">
        <v>0</v>
      </c>
      <c r="FR148" s="102">
        <v>0</v>
      </c>
      <c r="FS148" s="102"/>
      <c r="FT148" s="102"/>
      <c r="FU148" s="102"/>
      <c r="FV148" s="102"/>
      <c r="FW148" s="102"/>
      <c r="FX148" s="102"/>
      <c r="FY148" s="102"/>
      <c r="FZ148" s="102"/>
      <c r="GA148" s="102"/>
      <c r="GB148" s="102"/>
      <c r="GC148" s="102"/>
      <c r="GD148" s="102"/>
      <c r="GE148" s="102"/>
      <c r="GF148" s="102"/>
      <c r="GG148" s="102"/>
      <c r="GH148" s="102"/>
      <c r="GI148" s="102"/>
      <c r="GJ148" s="102"/>
      <c r="GK148" s="102"/>
      <c r="GL148" s="102"/>
      <c r="GM148" s="102"/>
      <c r="GN148" s="102"/>
      <c r="GO148" s="102"/>
      <c r="GP148" s="102"/>
      <c r="GQ148" s="102"/>
      <c r="GR148" s="102"/>
      <c r="GS148" s="102"/>
      <c r="GT148" s="102"/>
      <c r="GU148" s="102"/>
      <c r="GV148" s="102"/>
      <c r="GW148" s="102"/>
      <c r="GX148" s="102"/>
      <c r="GY148" s="102"/>
      <c r="GZ148" s="102"/>
      <c r="HA148" s="102"/>
      <c r="HB148" s="102"/>
      <c r="HD148" s="102">
        <f t="shared" si="776"/>
        <v>0</v>
      </c>
      <c r="HE148" s="102">
        <f t="shared" si="776"/>
        <v>57.51599393</v>
      </c>
      <c r="HF148" s="102">
        <f t="shared" si="776"/>
        <v>0</v>
      </c>
      <c r="HG148" s="102">
        <f t="shared" si="776"/>
        <v>0</v>
      </c>
      <c r="HH148" s="102">
        <f t="shared" si="777"/>
        <v>0</v>
      </c>
      <c r="HI148" s="102">
        <f t="shared" si="778"/>
        <v>0</v>
      </c>
      <c r="HJ148" s="102">
        <f t="shared" si="696"/>
        <v>0</v>
      </c>
      <c r="HK148" s="102">
        <f t="shared" si="697"/>
        <v>0</v>
      </c>
      <c r="HL148" s="940">
        <f>+SUMIFS($E148:SEW148,$E$6:SEW$6,HL$7,$E$5:SEW$5,12)</f>
        <v>0</v>
      </c>
      <c r="HM148" s="940">
        <f>+SUMIFS($E148:SEX148,$E$6:SEX$6,HM$7,$E$5:SEX$5,12)</f>
        <v>0</v>
      </c>
      <c r="HN148" s="940">
        <f>+SUMIFS($E148:SEY148,$E$6:SEY$6,HN$7,$E$5:SEY$5,12)</f>
        <v>0</v>
      </c>
      <c r="HO148" s="102"/>
      <c r="HP148" s="102"/>
      <c r="HR148" s="929">
        <f t="shared" si="779"/>
        <v>-1</v>
      </c>
      <c r="HS148" s="929" t="str">
        <f t="shared" si="780"/>
        <v/>
      </c>
      <c r="HT148" s="929" t="str">
        <f t="shared" si="781"/>
        <v/>
      </c>
      <c r="HU148" s="929" t="str">
        <f t="shared" si="738"/>
        <v/>
      </c>
      <c r="HV148" s="929" t="str">
        <f t="shared" si="739"/>
        <v/>
      </c>
      <c r="HW148" s="929" t="str">
        <f t="shared" si="740"/>
        <v/>
      </c>
      <c r="HX148" s="929" t="str">
        <f t="shared" si="741"/>
        <v/>
      </c>
      <c r="HY148" s="929" t="str">
        <f t="shared" si="741"/>
        <v/>
      </c>
      <c r="HZ148" s="929" t="str">
        <f t="shared" si="741"/>
        <v/>
      </c>
      <c r="IA148" s="929" t="str">
        <f t="shared" si="762"/>
        <v/>
      </c>
      <c r="IB148" s="929" t="str">
        <f t="shared" si="782"/>
        <v/>
      </c>
      <c r="IC148" s="929" t="str">
        <f t="shared" si="763"/>
        <v/>
      </c>
      <c r="IE148" s="102">
        <f t="shared" si="783"/>
        <v>-57.51599393</v>
      </c>
      <c r="IF148" s="102">
        <f t="shared" si="784"/>
        <v>0</v>
      </c>
      <c r="IG148" s="102">
        <f t="shared" si="785"/>
        <v>0</v>
      </c>
      <c r="IH148" s="102">
        <f t="shared" si="742"/>
        <v>0</v>
      </c>
      <c r="II148" s="102">
        <f t="shared" si="767"/>
        <v>0</v>
      </c>
      <c r="IJ148" s="102">
        <f t="shared" si="768"/>
        <v>0</v>
      </c>
      <c r="IK148" s="102">
        <f t="shared" si="769"/>
        <v>0</v>
      </c>
      <c r="IL148" s="102">
        <f t="shared" si="764"/>
        <v>0</v>
      </c>
      <c r="IM148" s="102">
        <f t="shared" si="786"/>
        <v>0</v>
      </c>
      <c r="IN148" s="102">
        <f t="shared" si="765"/>
        <v>0</v>
      </c>
      <c r="IP148" s="973"/>
      <c r="IQ148" s="973"/>
      <c r="IR148" s="973"/>
      <c r="IS148" s="973"/>
      <c r="IT148" s="973"/>
      <c r="IU148" s="973"/>
      <c r="IV148" s="973"/>
      <c r="IW148" s="973"/>
      <c r="IX148" s="973"/>
      <c r="IY148" s="973"/>
      <c r="JA148" s="102">
        <f t="shared" si="727"/>
        <v>0</v>
      </c>
      <c r="JB148" s="102">
        <f t="shared" si="816"/>
        <v>57.51599393</v>
      </c>
      <c r="JC148" s="102">
        <f t="shared" si="816"/>
        <v>0</v>
      </c>
      <c r="JD148" s="102">
        <f t="shared" si="816"/>
        <v>0</v>
      </c>
      <c r="JE148" s="102">
        <f t="shared" si="816"/>
        <v>0</v>
      </c>
      <c r="JF148" s="102">
        <f t="shared" si="816"/>
        <v>0</v>
      </c>
      <c r="JG148" s="102">
        <f t="shared" si="816"/>
        <v>0</v>
      </c>
      <c r="JH148" s="102">
        <f t="shared" si="816"/>
        <v>0</v>
      </c>
      <c r="JI148" s="102">
        <f t="shared" si="816"/>
        <v>0</v>
      </c>
      <c r="JJ148" s="102">
        <f t="shared" si="816"/>
        <v>0</v>
      </c>
      <c r="JK148" s="102">
        <f t="shared" si="816"/>
        <v>0</v>
      </c>
      <c r="JL148" s="102">
        <f t="shared" si="728"/>
        <v>0</v>
      </c>
      <c r="JM148" s="102"/>
      <c r="JN148" s="102"/>
      <c r="JP148" s="102">
        <f t="shared" si="787"/>
        <v>0</v>
      </c>
      <c r="JQ148" s="102">
        <f t="shared" si="788"/>
        <v>0</v>
      </c>
      <c r="JR148" s="145"/>
      <c r="JS148" s="929" t="str">
        <f t="shared" si="789"/>
        <v>NA</v>
      </c>
      <c r="JT148" s="930">
        <f t="shared" si="790"/>
        <v>0</v>
      </c>
      <c r="JV148" s="973"/>
      <c r="JW148" s="973"/>
      <c r="JY148" s="929">
        <f t="shared" si="817"/>
        <v>-1</v>
      </c>
      <c r="JZ148" s="929" t="str">
        <f t="shared" si="818"/>
        <v/>
      </c>
      <c r="KA148" s="929" t="str">
        <f t="shared" si="819"/>
        <v/>
      </c>
      <c r="KB148" s="929" t="str">
        <f t="shared" si="820"/>
        <v/>
      </c>
      <c r="KC148" s="929" t="str">
        <f t="shared" si="821"/>
        <v/>
      </c>
      <c r="KD148" s="929" t="str">
        <f t="shared" si="822"/>
        <v/>
      </c>
      <c r="KE148" s="929" t="str">
        <f t="shared" si="823"/>
        <v/>
      </c>
      <c r="KF148" s="929" t="str">
        <f t="shared" si="824"/>
        <v/>
      </c>
      <c r="KH148" s="102">
        <f t="shared" si="792"/>
        <v>-57.51599393</v>
      </c>
      <c r="KI148" s="102">
        <f t="shared" si="793"/>
        <v>0</v>
      </c>
      <c r="KJ148" s="102">
        <f t="shared" si="794"/>
        <v>0</v>
      </c>
      <c r="KK148" s="102">
        <f t="shared" si="795"/>
        <v>0</v>
      </c>
      <c r="KL148" s="102">
        <f t="shared" si="796"/>
        <v>0</v>
      </c>
      <c r="KM148" s="102">
        <f t="shared" si="797"/>
        <v>0</v>
      </c>
      <c r="KN148" s="102">
        <f t="shared" si="798"/>
        <v>0</v>
      </c>
      <c r="KO148" s="102">
        <f t="shared" si="711"/>
        <v>0</v>
      </c>
      <c r="KQ148" s="973"/>
      <c r="KR148" s="973"/>
      <c r="KS148" s="973"/>
      <c r="KT148" s="973"/>
      <c r="KU148" s="973"/>
      <c r="KV148" s="973"/>
      <c r="KW148" s="973"/>
      <c r="KX148" s="973"/>
      <c r="KY148" s="973"/>
      <c r="KZ148" s="973"/>
      <c r="LB148" s="102">
        <f t="shared" si="737"/>
        <v>0</v>
      </c>
      <c r="LC148" s="102">
        <f t="shared" si="825"/>
        <v>57.51599393</v>
      </c>
      <c r="LD148" s="102">
        <f t="shared" si="825"/>
        <v>0</v>
      </c>
      <c r="LE148" s="102">
        <f t="shared" si="825"/>
        <v>0</v>
      </c>
      <c r="LF148" s="102">
        <f t="shared" si="825"/>
        <v>0</v>
      </c>
      <c r="LG148" s="102">
        <f t="shared" si="825"/>
        <v>0</v>
      </c>
      <c r="LH148" s="102">
        <f t="shared" si="825"/>
        <v>0</v>
      </c>
      <c r="LI148" s="102">
        <f t="shared" si="825"/>
        <v>0</v>
      </c>
      <c r="LJ148" s="102">
        <f t="shared" si="825"/>
        <v>0</v>
      </c>
      <c r="LK148" s="102">
        <f t="shared" si="825"/>
        <v>0</v>
      </c>
      <c r="LL148" s="102">
        <f t="shared" si="825"/>
        <v>0</v>
      </c>
      <c r="LM148" s="102">
        <f t="shared" si="825"/>
        <v>0</v>
      </c>
      <c r="LN148" s="102"/>
      <c r="LO148" s="102"/>
      <c r="LR148" s="32">
        <f t="shared" si="799"/>
        <v>-1</v>
      </c>
      <c r="LS148" s="32" t="str">
        <f t="shared" si="800"/>
        <v xml:space="preserve"> </v>
      </c>
      <c r="LT148" s="32" t="str">
        <f t="shared" si="801"/>
        <v xml:space="preserve"> </v>
      </c>
      <c r="LU148" s="32" t="str">
        <f t="shared" si="802"/>
        <v xml:space="preserve"> </v>
      </c>
      <c r="LV148" s="32" t="str">
        <f t="shared" si="803"/>
        <v xml:space="preserve"> </v>
      </c>
      <c r="LW148" s="32" t="str">
        <f t="shared" si="804"/>
        <v xml:space="preserve"> </v>
      </c>
      <c r="LX148" s="32" t="str">
        <f t="shared" si="719"/>
        <v xml:space="preserve"> </v>
      </c>
      <c r="LZ148" s="102">
        <f t="shared" si="805"/>
        <v>-57.51599393</v>
      </c>
      <c r="MA148" s="102">
        <f t="shared" si="806"/>
        <v>0</v>
      </c>
      <c r="MB148" s="102">
        <f t="shared" si="807"/>
        <v>0</v>
      </c>
      <c r="MC148" s="102">
        <f t="shared" si="808"/>
        <v>0</v>
      </c>
      <c r="MD148" s="102">
        <f t="shared" si="809"/>
        <v>0</v>
      </c>
      <c r="ME148" s="102">
        <f t="shared" si="810"/>
        <v>0</v>
      </c>
      <c r="MF148" s="102">
        <f t="shared" si="726"/>
        <v>0</v>
      </c>
      <c r="MH148" s="973"/>
      <c r="MI148" s="973"/>
      <c r="MJ148" s="973"/>
      <c r="MK148" s="973"/>
      <c r="ML148" s="973"/>
      <c r="MM148" s="973"/>
      <c r="MN148" s="973"/>
      <c r="MO148" s="973"/>
      <c r="MP148" s="973"/>
    </row>
    <row r="149" spans="1:354" outlineLevel="3">
      <c r="A149" s="867"/>
      <c r="B149" s="71"/>
      <c r="C149" s="40" t="s">
        <v>127</v>
      </c>
      <c r="D149" s="31" t="s">
        <v>59</v>
      </c>
      <c r="E149" s="102">
        <v>2227.46467562</v>
      </c>
      <c r="F149" s="102">
        <v>2249.3041363000002</v>
      </c>
      <c r="G149" s="102">
        <v>2343.8146323000001</v>
      </c>
      <c r="H149" s="102">
        <v>2421.7769143000005</v>
      </c>
      <c r="I149" s="102">
        <v>2406.1822112800005</v>
      </c>
      <c r="J149" s="102">
        <v>2444.3065947199998</v>
      </c>
      <c r="K149" s="102">
        <v>2451.1692907199999</v>
      </c>
      <c r="L149" s="102">
        <v>2484.0475037199999</v>
      </c>
      <c r="M149" s="102">
        <v>2487.6959637199998</v>
      </c>
      <c r="N149" s="102">
        <v>2515.1221077199998</v>
      </c>
      <c r="O149" s="102">
        <v>2501.4122377200001</v>
      </c>
      <c r="P149" s="102">
        <v>2564.0631227200001</v>
      </c>
      <c r="Q149" s="102">
        <v>2588.6472077200001</v>
      </c>
      <c r="R149" s="102">
        <v>2646.0235664900006</v>
      </c>
      <c r="S149" s="102">
        <v>2668.1709184900005</v>
      </c>
      <c r="T149" s="102">
        <v>2737.6506277800004</v>
      </c>
      <c r="U149" s="102">
        <v>2712.7939429000003</v>
      </c>
      <c r="V149" s="102">
        <v>2729.67428591</v>
      </c>
      <c r="W149" s="102">
        <v>2779.8030886200004</v>
      </c>
      <c r="X149" s="102">
        <v>2805.5595545400001</v>
      </c>
      <c r="Y149" s="102">
        <v>2955.7352048400003</v>
      </c>
      <c r="Z149" s="102">
        <v>2960.5880648400002</v>
      </c>
      <c r="AA149" s="102">
        <v>2732.4115043799998</v>
      </c>
      <c r="AB149" s="102">
        <v>2608.2257146100001</v>
      </c>
      <c r="AC149" s="102">
        <v>2611.8757126199998</v>
      </c>
      <c r="AD149" s="102">
        <v>2618.70229522</v>
      </c>
      <c r="AE149" s="102">
        <v>2628.9886158599998</v>
      </c>
      <c r="AF149" s="102">
        <v>2505.1704288599999</v>
      </c>
      <c r="AG149" s="102">
        <v>2528.1912088600002</v>
      </c>
      <c r="AH149" s="102">
        <v>2689.68151786</v>
      </c>
      <c r="AI149" s="102">
        <v>2724.72064026</v>
      </c>
      <c r="AJ149" s="102">
        <v>2783.22432454</v>
      </c>
      <c r="AK149" s="102">
        <v>2822.8586313400001</v>
      </c>
      <c r="AL149" s="102">
        <v>2905.4445663400002</v>
      </c>
      <c r="AM149" s="102">
        <v>2912.5888643400003</v>
      </c>
      <c r="AN149" s="102">
        <v>3805.7907611999995</v>
      </c>
      <c r="AO149" s="220">
        <v>3802.0896895199999</v>
      </c>
      <c r="AP149" s="220">
        <v>3802.0896895199999</v>
      </c>
      <c r="AQ149" s="220">
        <v>3801.1613495199999</v>
      </c>
      <c r="AR149" s="220">
        <v>3824.2674849999999</v>
      </c>
      <c r="AS149" s="220">
        <v>4039.70255606</v>
      </c>
      <c r="AT149" s="220">
        <v>4079.8462810599999</v>
      </c>
      <c r="AU149" s="220">
        <v>4087.5627959799999</v>
      </c>
      <c r="AV149" s="220">
        <v>4147.0827485299997</v>
      </c>
      <c r="AW149" s="220">
        <v>4364.2688407700007</v>
      </c>
      <c r="AX149" s="220">
        <v>4366.3046407700003</v>
      </c>
      <c r="AY149" s="220">
        <v>4616.4048437700003</v>
      </c>
      <c r="AZ149" s="979">
        <f>SUM(AZ150:AZ151)</f>
        <v>5045.6728000000003</v>
      </c>
      <c r="BA149" s="220">
        <v>5045.6732319799994</v>
      </c>
      <c r="BB149" s="220">
        <v>5055.9004319799997</v>
      </c>
      <c r="BC149" s="220">
        <v>5055.9004319799997</v>
      </c>
      <c r="BD149" s="220">
        <v>5055.9004319799997</v>
      </c>
      <c r="BE149" s="102">
        <v>5208.071034229999</v>
      </c>
      <c r="BF149" s="102">
        <v>5226.7393959799992</v>
      </c>
      <c r="BG149" s="102">
        <v>5233.6323799799993</v>
      </c>
      <c r="BH149" s="102">
        <v>5233.6323799799993</v>
      </c>
      <c r="BI149" s="102">
        <v>5233.6323799799993</v>
      </c>
      <c r="BJ149" s="102">
        <v>5234.6304439799997</v>
      </c>
      <c r="BK149" s="102">
        <v>5234.6304439799997</v>
      </c>
      <c r="BL149" s="102">
        <v>5259.4811199799997</v>
      </c>
      <c r="BM149" s="220">
        <f t="shared" ref="BM149:DX149" si="841">SUM(BM150:BM151)</f>
        <v>5161.3361309799993</v>
      </c>
      <c r="BN149" s="220">
        <f t="shared" si="841"/>
        <v>5168.0215509799991</v>
      </c>
      <c r="BO149" s="220">
        <f t="shared" si="841"/>
        <v>5205.5493779499993</v>
      </c>
      <c r="BP149" s="220">
        <f t="shared" si="841"/>
        <v>5239.56060695</v>
      </c>
      <c r="BQ149" s="102">
        <f t="shared" si="841"/>
        <v>5267.0081940099999</v>
      </c>
      <c r="BR149" s="102">
        <f t="shared" si="841"/>
        <v>5303.3764790099995</v>
      </c>
      <c r="BS149" s="102">
        <f t="shared" si="841"/>
        <v>5337.4879290099998</v>
      </c>
      <c r="BT149" s="102">
        <f t="shared" si="841"/>
        <v>5350.0044567899995</v>
      </c>
      <c r="BU149" s="102">
        <f t="shared" si="841"/>
        <v>5373.6378567899992</v>
      </c>
      <c r="BV149" s="102">
        <f t="shared" si="841"/>
        <v>5399.3639080199991</v>
      </c>
      <c r="BW149" s="102">
        <f t="shared" si="841"/>
        <v>5470.4451557499997</v>
      </c>
      <c r="BX149" s="102">
        <f t="shared" si="841"/>
        <v>5548.4404298099998</v>
      </c>
      <c r="BY149" s="102">
        <f t="shared" si="841"/>
        <v>5780.3931545999994</v>
      </c>
      <c r="BZ149" s="102">
        <f t="shared" si="841"/>
        <v>5918.6899631799997</v>
      </c>
      <c r="CA149" s="102">
        <f t="shared" si="841"/>
        <v>6105.0509011799995</v>
      </c>
      <c r="CB149" s="102">
        <f t="shared" si="841"/>
        <v>6131.6261201799998</v>
      </c>
      <c r="CC149" s="102">
        <f t="shared" si="841"/>
        <v>6154.3133509300005</v>
      </c>
      <c r="CD149" s="102">
        <f t="shared" si="841"/>
        <v>6151.8585029400001</v>
      </c>
      <c r="CE149" s="102">
        <f t="shared" si="841"/>
        <v>6197.1888576300007</v>
      </c>
      <c r="CF149" s="102">
        <f t="shared" si="841"/>
        <v>6244.8811163199998</v>
      </c>
      <c r="CG149" s="102">
        <f t="shared" si="841"/>
        <v>6327.4337132499995</v>
      </c>
      <c r="CH149" s="102">
        <f t="shared" si="841"/>
        <v>6466.0767323499995</v>
      </c>
      <c r="CI149" s="102">
        <f t="shared" si="841"/>
        <v>6706.0736757100003</v>
      </c>
      <c r="CJ149" s="102">
        <f t="shared" si="841"/>
        <v>6765.5618421199997</v>
      </c>
      <c r="CK149" s="102">
        <f t="shared" si="841"/>
        <v>6776.7795953599998</v>
      </c>
      <c r="CL149" s="102">
        <f t="shared" si="841"/>
        <v>6853.5660194399998</v>
      </c>
      <c r="CM149" s="102">
        <f t="shared" si="841"/>
        <v>6849.6337534600007</v>
      </c>
      <c r="CN149" s="102">
        <f t="shared" si="841"/>
        <v>6884.4286317100004</v>
      </c>
      <c r="CO149" s="102">
        <f t="shared" si="841"/>
        <v>6955.2119282599997</v>
      </c>
      <c r="CP149" s="102">
        <f t="shared" si="841"/>
        <v>7087.5878395300006</v>
      </c>
      <c r="CQ149" s="102">
        <f t="shared" si="841"/>
        <v>7154.32086299</v>
      </c>
      <c r="CR149" s="102">
        <f t="shared" si="841"/>
        <v>7202.5505959600005</v>
      </c>
      <c r="CS149" s="102">
        <f t="shared" si="841"/>
        <v>7133.4194227199996</v>
      </c>
      <c r="CT149" s="102">
        <f t="shared" si="841"/>
        <v>7233.7610344599998</v>
      </c>
      <c r="CU149" s="102">
        <f t="shared" si="841"/>
        <v>7315.3100066899997</v>
      </c>
      <c r="CV149" s="102">
        <f t="shared" si="841"/>
        <v>7399.905850789999</v>
      </c>
      <c r="CW149" s="102">
        <f t="shared" si="841"/>
        <v>7410.4416507899996</v>
      </c>
      <c r="CX149" s="102">
        <f t="shared" si="841"/>
        <v>7479.9109217899995</v>
      </c>
      <c r="CY149" s="102">
        <f t="shared" si="841"/>
        <v>7511.1301187899999</v>
      </c>
      <c r="CZ149" s="102">
        <f t="shared" si="841"/>
        <v>7512.02392779</v>
      </c>
      <c r="DA149" s="102">
        <f t="shared" si="841"/>
        <v>7531.4755329899999</v>
      </c>
      <c r="DB149" s="102">
        <f t="shared" si="841"/>
        <v>7443.7680591599992</v>
      </c>
      <c r="DC149" s="102">
        <f t="shared" si="841"/>
        <v>7407.2353831599994</v>
      </c>
      <c r="DD149" s="102">
        <f t="shared" si="841"/>
        <v>7414.9120751599994</v>
      </c>
      <c r="DE149" s="102">
        <f t="shared" si="841"/>
        <v>7447.1765661600002</v>
      </c>
      <c r="DF149" s="102">
        <f t="shared" si="841"/>
        <v>7441.1808461599994</v>
      </c>
      <c r="DG149" s="102">
        <f t="shared" si="841"/>
        <v>7472.3881361599997</v>
      </c>
      <c r="DH149" s="102">
        <f t="shared" si="841"/>
        <v>7490.76076216</v>
      </c>
      <c r="DI149" s="102">
        <f t="shared" si="841"/>
        <v>7512.3069791599992</v>
      </c>
      <c r="DJ149" s="102">
        <f t="shared" si="841"/>
        <v>7519.3017635899996</v>
      </c>
      <c r="DK149" s="102">
        <f t="shared" si="841"/>
        <v>7544.2357540499997</v>
      </c>
      <c r="DL149" s="102">
        <f t="shared" si="841"/>
        <v>7568.29372005</v>
      </c>
      <c r="DM149" s="102">
        <f t="shared" si="841"/>
        <v>7612.7745282300002</v>
      </c>
      <c r="DN149" s="102">
        <f t="shared" si="841"/>
        <v>7581.1990252300002</v>
      </c>
      <c r="DO149" s="102">
        <f t="shared" si="841"/>
        <v>7596.4152382299999</v>
      </c>
      <c r="DP149" s="102">
        <f t="shared" si="841"/>
        <v>7584.1225574700002</v>
      </c>
      <c r="DQ149" s="940">
        <f t="shared" si="841"/>
        <v>7623.2366364700001</v>
      </c>
      <c r="DR149" s="940">
        <f t="shared" si="841"/>
        <v>7813.3246697199993</v>
      </c>
      <c r="DS149" s="940">
        <f t="shared" si="841"/>
        <v>7905.2810954000006</v>
      </c>
      <c r="DT149" s="940">
        <f t="shared" si="841"/>
        <v>7964.0023809999993</v>
      </c>
      <c r="DU149" s="940">
        <f t="shared" si="841"/>
        <v>7999.4903309999991</v>
      </c>
      <c r="DV149" s="940">
        <f t="shared" si="841"/>
        <v>8090.1300206899996</v>
      </c>
      <c r="DW149" s="940">
        <f t="shared" si="841"/>
        <v>8238.6492334699997</v>
      </c>
      <c r="DX149" s="940">
        <f t="shared" si="841"/>
        <v>8440.9622326299996</v>
      </c>
      <c r="DY149" s="940">
        <f t="shared" ref="DY149:EF149" si="842">SUM(DY150:DY151)</f>
        <v>8472.2514792999991</v>
      </c>
      <c r="DZ149" s="940">
        <f t="shared" si="842"/>
        <v>8735.4883778399999</v>
      </c>
      <c r="EA149" s="940">
        <f t="shared" si="842"/>
        <v>9052.54495666</v>
      </c>
      <c r="EB149" s="940">
        <f t="shared" si="842"/>
        <v>9403.9255563900006</v>
      </c>
      <c r="EC149" s="940">
        <f t="shared" si="842"/>
        <v>9643.0044835299996</v>
      </c>
      <c r="ED149" s="940">
        <f t="shared" si="842"/>
        <v>9976.4486824899996</v>
      </c>
      <c r="EE149" s="940">
        <f t="shared" si="842"/>
        <v>10119.378385810001</v>
      </c>
      <c r="EF149" s="940">
        <f t="shared" si="842"/>
        <v>9601.3787597499995</v>
      </c>
      <c r="EH149" s="1083">
        <f t="shared" ref="EH149:ES149" si="843">+SUM(EH150:EH151)</f>
        <v>7410.4416507899996</v>
      </c>
      <c r="EI149" s="145">
        <f t="shared" si="843"/>
        <v>7479.9109217899995</v>
      </c>
      <c r="EJ149" s="145">
        <f t="shared" si="843"/>
        <v>7511.1301187899999</v>
      </c>
      <c r="EK149" s="145">
        <f t="shared" si="843"/>
        <v>7512.02392779</v>
      </c>
      <c r="EL149" s="145">
        <f t="shared" si="843"/>
        <v>7531.4755329899999</v>
      </c>
      <c r="EM149" s="145">
        <f t="shared" si="843"/>
        <v>7422.7816276799995</v>
      </c>
      <c r="EN149" s="145">
        <f t="shared" si="843"/>
        <v>7422.7816276799995</v>
      </c>
      <c r="EO149" s="145">
        <f t="shared" si="843"/>
        <v>7422.7816276799995</v>
      </c>
      <c r="EP149" s="145">
        <f t="shared" si="843"/>
        <v>7422.7816276799995</v>
      </c>
      <c r="EQ149" s="145">
        <f t="shared" si="843"/>
        <v>7422.7816276799995</v>
      </c>
      <c r="ER149" s="145">
        <f t="shared" si="843"/>
        <v>7422.7816276799995</v>
      </c>
      <c r="ES149" s="145">
        <f t="shared" si="843"/>
        <v>7422.7816276799995</v>
      </c>
      <c r="ET149" s="279"/>
      <c r="EU149" s="102">
        <f t="shared" ref="EU149:FZ149" si="844">+SUM(EU150:EU151)</f>
        <v>2881.5391406999997</v>
      </c>
      <c r="EV149" s="102">
        <f t="shared" si="844"/>
        <v>3309.7193066999998</v>
      </c>
      <c r="EW149" s="102">
        <f t="shared" si="844"/>
        <v>3656.4945283666661</v>
      </c>
      <c r="EX149" s="102">
        <f t="shared" si="844"/>
        <v>3731.4111950333327</v>
      </c>
      <c r="EY149" s="102">
        <f t="shared" si="844"/>
        <v>3802.6778616999991</v>
      </c>
      <c r="EZ149" s="102">
        <f t="shared" si="844"/>
        <v>3858.6445283666658</v>
      </c>
      <c r="FA149" s="102">
        <f t="shared" si="844"/>
        <v>3957.4111950333322</v>
      </c>
      <c r="FB149" s="102">
        <f t="shared" si="844"/>
        <v>4022.7778616999985</v>
      </c>
      <c r="FC149" s="102">
        <f t="shared" si="844"/>
        <v>4089.1445283666653</v>
      </c>
      <c r="FD149" s="102">
        <f t="shared" si="844"/>
        <v>4186.5111950333321</v>
      </c>
      <c r="FE149" s="102">
        <f t="shared" si="844"/>
        <v>4262.2778616999985</v>
      </c>
      <c r="FF149" s="102">
        <f t="shared" si="844"/>
        <v>4322.7445283666648</v>
      </c>
      <c r="FG149" s="102">
        <f t="shared" si="844"/>
        <v>4479.4026391999996</v>
      </c>
      <c r="FH149" s="102">
        <f t="shared" si="844"/>
        <v>4485.2118092000001</v>
      </c>
      <c r="FI149" s="102">
        <f t="shared" si="844"/>
        <v>4497.4209792000001</v>
      </c>
      <c r="FJ149" s="102">
        <f t="shared" si="844"/>
        <v>4503.2301491999997</v>
      </c>
      <c r="FK149" s="102">
        <f t="shared" si="844"/>
        <v>4509.0393192000001</v>
      </c>
      <c r="FL149" s="102">
        <f t="shared" si="844"/>
        <v>4553.3484891999997</v>
      </c>
      <c r="FM149" s="102">
        <f t="shared" si="844"/>
        <v>4590.1576592000001</v>
      </c>
      <c r="FN149" s="102">
        <f t="shared" si="844"/>
        <v>4616.9668291999997</v>
      </c>
      <c r="FO149" s="102">
        <f t="shared" si="844"/>
        <v>4643.7759992000001</v>
      </c>
      <c r="FP149" s="102">
        <f t="shared" si="844"/>
        <v>4655.5851691999997</v>
      </c>
      <c r="FQ149" s="102">
        <f t="shared" si="844"/>
        <v>4667.3943392000001</v>
      </c>
      <c r="FR149" s="102">
        <f t="shared" si="844"/>
        <v>4679.2035091999996</v>
      </c>
      <c r="FS149" s="102">
        <f t="shared" si="844"/>
        <v>5290.6742899800001</v>
      </c>
      <c r="FT149" s="102">
        <f t="shared" si="844"/>
        <v>5290.1266179799995</v>
      </c>
      <c r="FU149" s="102">
        <f t="shared" si="844"/>
        <v>5295.9357879799991</v>
      </c>
      <c r="FV149" s="102">
        <f t="shared" si="844"/>
        <v>5301.7449579799995</v>
      </c>
      <c r="FW149" s="102">
        <f t="shared" si="844"/>
        <v>5307.5541279799991</v>
      </c>
      <c r="FX149" s="102">
        <f t="shared" si="844"/>
        <v>5313.3632979799995</v>
      </c>
      <c r="FY149" s="102">
        <f t="shared" si="844"/>
        <v>5319.1724679799991</v>
      </c>
      <c r="FZ149" s="102">
        <f t="shared" si="844"/>
        <v>5324.9816379799995</v>
      </c>
      <c r="GA149" s="102">
        <f t="shared" ref="GA149:HB149" si="845">+SUM(GA150:GA151)</f>
        <v>5330.790807979999</v>
      </c>
      <c r="GB149" s="102">
        <f t="shared" si="845"/>
        <v>5336.5999779799995</v>
      </c>
      <c r="GC149" s="102">
        <f t="shared" si="845"/>
        <v>5342.409147979999</v>
      </c>
      <c r="GD149" s="102">
        <f t="shared" si="845"/>
        <v>5348.2183179799995</v>
      </c>
      <c r="GE149" s="102">
        <f t="shared" si="845"/>
        <v>0</v>
      </c>
      <c r="GF149" s="102">
        <f t="shared" si="845"/>
        <v>0</v>
      </c>
      <c r="GG149" s="102">
        <f t="shared" si="845"/>
        <v>0</v>
      </c>
      <c r="GH149" s="102">
        <f t="shared" si="845"/>
        <v>0</v>
      </c>
      <c r="GI149" s="102">
        <f t="shared" si="845"/>
        <v>0</v>
      </c>
      <c r="GJ149" s="102">
        <f t="shared" si="845"/>
        <v>0</v>
      </c>
      <c r="GK149" s="102">
        <f t="shared" si="845"/>
        <v>0</v>
      </c>
      <c r="GL149" s="102">
        <f t="shared" si="845"/>
        <v>0</v>
      </c>
      <c r="GM149" s="102">
        <f t="shared" si="845"/>
        <v>0</v>
      </c>
      <c r="GN149" s="102">
        <f t="shared" si="845"/>
        <v>0</v>
      </c>
      <c r="GO149" s="102">
        <f t="shared" si="845"/>
        <v>0</v>
      </c>
      <c r="GP149" s="102">
        <f t="shared" si="845"/>
        <v>0</v>
      </c>
      <c r="GQ149" s="102">
        <f t="shared" si="845"/>
        <v>0</v>
      </c>
      <c r="GR149" s="102">
        <f t="shared" si="845"/>
        <v>0</v>
      </c>
      <c r="GS149" s="102">
        <f t="shared" si="845"/>
        <v>0</v>
      </c>
      <c r="GT149" s="102">
        <f t="shared" si="845"/>
        <v>0</v>
      </c>
      <c r="GU149" s="102">
        <f t="shared" si="845"/>
        <v>0</v>
      </c>
      <c r="GV149" s="102">
        <f t="shared" si="845"/>
        <v>0</v>
      </c>
      <c r="GW149" s="102">
        <f t="shared" si="845"/>
        <v>0</v>
      </c>
      <c r="GX149" s="102">
        <f t="shared" si="845"/>
        <v>0</v>
      </c>
      <c r="GY149" s="102">
        <f t="shared" si="845"/>
        <v>0</v>
      </c>
      <c r="GZ149" s="102">
        <f t="shared" si="845"/>
        <v>0</v>
      </c>
      <c r="HA149" s="102">
        <f t="shared" si="845"/>
        <v>0</v>
      </c>
      <c r="HB149" s="102">
        <f t="shared" si="845"/>
        <v>0</v>
      </c>
      <c r="HD149" s="102">
        <f t="shared" si="776"/>
        <v>2564.0631227200001</v>
      </c>
      <c r="HE149" s="102">
        <f t="shared" si="776"/>
        <v>2608.2257146100001</v>
      </c>
      <c r="HF149" s="102">
        <f t="shared" si="776"/>
        <v>3805.7907611999995</v>
      </c>
      <c r="HG149" s="102">
        <f t="shared" si="776"/>
        <v>5045.6728000000003</v>
      </c>
      <c r="HH149" s="102">
        <f t="shared" si="777"/>
        <v>5259.4811199799997</v>
      </c>
      <c r="HI149" s="102">
        <f t="shared" si="778"/>
        <v>5548.4404298099998</v>
      </c>
      <c r="HJ149" s="102">
        <f t="shared" ref="HJ149:HJ180" si="846">+SUMIFS($E149:$CJ149,$E$6:$CJ$6,HJ$7,$E$5:$CJ$5,12)</f>
        <v>6765.5618421199997</v>
      </c>
      <c r="HK149" s="102">
        <f t="shared" ref="HK149:HK180" si="847">+SUMIFS($E149:$CV149,$E$6:$CV$6,HK$7,$E$5:$CV$5,12)</f>
        <v>7399.905850789999</v>
      </c>
      <c r="HL149" s="940">
        <f>+SUMIFS($E149:SEW149,$E$6:SEW$6,HL$7,$E$5:SEW$5,12)</f>
        <v>7490.76076216</v>
      </c>
      <c r="HM149" s="940">
        <f>+SUMIFS($E149:SEX149,$E$6:SEX$6,HM$7,$E$5:SEX$5,12)</f>
        <v>7964.0023809999993</v>
      </c>
      <c r="HN149" s="940">
        <f>+SUMIFS($E149:SEY149,$E$6:SEY$6,HN$7,$E$5:SEY$5,12)</f>
        <v>9601.3787597499995</v>
      </c>
      <c r="HO149" s="102"/>
      <c r="HP149" s="102"/>
      <c r="HR149" s="929">
        <f t="shared" si="779"/>
        <v>0.45914931360496447</v>
      </c>
      <c r="HS149" s="929">
        <f t="shared" si="780"/>
        <v>0.32578828332881216</v>
      </c>
      <c r="HT149" s="929">
        <f t="shared" si="781"/>
        <v>4.2374590754279406E-2</v>
      </c>
      <c r="HU149" s="929">
        <f t="shared" si="738"/>
        <v>5.4940649702550637E-2</v>
      </c>
      <c r="HV149" s="929">
        <f t="shared" si="739"/>
        <v>0.21936279711516682</v>
      </c>
      <c r="HW149" s="929">
        <f t="shared" si="740"/>
        <v>9.3760728742555699E-2</v>
      </c>
      <c r="HX149" s="929">
        <f t="shared" si="741"/>
        <v>1.2277846935079717E-2</v>
      </c>
      <c r="HY149" s="929">
        <f t="shared" si="741"/>
        <v>6.3176709798369979E-2</v>
      </c>
      <c r="HZ149" s="929">
        <f t="shared" si="741"/>
        <v>0.20559717343334127</v>
      </c>
      <c r="IA149" s="929">
        <f t="shared" si="762"/>
        <v>-1</v>
      </c>
      <c r="IB149" s="929" t="str">
        <f t="shared" si="782"/>
        <v/>
      </c>
      <c r="IC149" s="929">
        <f t="shared" si="763"/>
        <v>-1</v>
      </c>
      <c r="IE149" s="102">
        <f t="shared" si="783"/>
        <v>1197.5650465899994</v>
      </c>
      <c r="IF149" s="102">
        <f t="shared" si="784"/>
        <v>1239.8820388000008</v>
      </c>
      <c r="IG149" s="102">
        <f t="shared" si="785"/>
        <v>213.8083199799994</v>
      </c>
      <c r="IH149" s="102">
        <f t="shared" si="742"/>
        <v>288.95930983000017</v>
      </c>
      <c r="II149" s="102">
        <f t="shared" si="767"/>
        <v>1217.1214123099999</v>
      </c>
      <c r="IJ149" s="102">
        <f t="shared" si="768"/>
        <v>634.34400866999931</v>
      </c>
      <c r="IK149" s="102">
        <f t="shared" si="769"/>
        <v>90.854911370000991</v>
      </c>
      <c r="IL149" s="102">
        <f t="shared" si="764"/>
        <v>-7490.76076216</v>
      </c>
      <c r="IM149" s="102">
        <f t="shared" si="786"/>
        <v>0</v>
      </c>
      <c r="IN149" s="102">
        <f t="shared" si="765"/>
        <v>-7490.76076216</v>
      </c>
      <c r="IP149" s="973"/>
      <c r="IQ149" s="973"/>
      <c r="IR149" s="973"/>
      <c r="IS149" s="973"/>
      <c r="IT149" s="973"/>
      <c r="IU149" s="973"/>
      <c r="IV149" s="973"/>
      <c r="IW149" s="973"/>
      <c r="IX149" s="973"/>
      <c r="IY149" s="973"/>
      <c r="JA149" s="102">
        <f t="shared" si="727"/>
        <v>2564.0631227200001</v>
      </c>
      <c r="JB149" s="102">
        <f t="shared" si="816"/>
        <v>2608.2257146100001</v>
      </c>
      <c r="JC149" s="102">
        <f t="shared" si="816"/>
        <v>3805.7907611999995</v>
      </c>
      <c r="JD149" s="102">
        <f t="shared" si="816"/>
        <v>5045.6728000000003</v>
      </c>
      <c r="JE149" s="102">
        <f t="shared" si="816"/>
        <v>5259.4811199799997</v>
      </c>
      <c r="JF149" s="102">
        <f t="shared" si="816"/>
        <v>5548.4404298099998</v>
      </c>
      <c r="JG149" s="102">
        <f t="shared" si="816"/>
        <v>6765.5618421199997</v>
      </c>
      <c r="JH149" s="102">
        <f t="shared" si="816"/>
        <v>7399.905850789999</v>
      </c>
      <c r="JI149" s="102">
        <f t="shared" si="816"/>
        <v>7490.76076216</v>
      </c>
      <c r="JJ149" s="102">
        <f t="shared" si="816"/>
        <v>7964.0023809999993</v>
      </c>
      <c r="JK149" s="102">
        <f t="shared" si="816"/>
        <v>9601.3787597499995</v>
      </c>
      <c r="JL149" s="102">
        <f t="shared" si="728"/>
        <v>9601.3787597499995</v>
      </c>
      <c r="JM149" s="102"/>
      <c r="JN149" s="102"/>
      <c r="JP149" s="102">
        <f t="shared" si="787"/>
        <v>0</v>
      </c>
      <c r="JQ149" s="102">
        <f t="shared" si="788"/>
        <v>0</v>
      </c>
      <c r="JR149" s="145"/>
      <c r="JS149" s="929" t="str">
        <f t="shared" si="789"/>
        <v>NA</v>
      </c>
      <c r="JT149" s="930">
        <f t="shared" si="790"/>
        <v>0</v>
      </c>
      <c r="JV149" s="973"/>
      <c r="JW149" s="973"/>
      <c r="JY149" s="929">
        <f t="shared" si="817"/>
        <v>0.45914931360496447</v>
      </c>
      <c r="JZ149" s="929">
        <f t="shared" si="818"/>
        <v>0.32578828332881216</v>
      </c>
      <c r="KA149" s="929">
        <f t="shared" si="819"/>
        <v>4.2374590754279406E-2</v>
      </c>
      <c r="KB149" s="929">
        <f t="shared" si="820"/>
        <v>5.4940649702550637E-2</v>
      </c>
      <c r="KC149" s="929">
        <f t="shared" si="821"/>
        <v>0.21936279711516682</v>
      </c>
      <c r="KD149" s="929">
        <f t="shared" si="822"/>
        <v>9.3760728742555699E-2</v>
      </c>
      <c r="KE149" s="929">
        <f t="shared" si="823"/>
        <v>1.2277846935079717E-2</v>
      </c>
      <c r="KF149" s="929">
        <f t="shared" si="824"/>
        <v>-1</v>
      </c>
      <c r="KH149" s="102">
        <f t="shared" si="792"/>
        <v>1197.5650465899994</v>
      </c>
      <c r="KI149" s="102">
        <f t="shared" si="793"/>
        <v>1239.8820388000008</v>
      </c>
      <c r="KJ149" s="102">
        <f t="shared" si="794"/>
        <v>213.8083199799994</v>
      </c>
      <c r="KK149" s="102">
        <f t="shared" si="795"/>
        <v>288.95930983000017</v>
      </c>
      <c r="KL149" s="102">
        <f t="shared" si="796"/>
        <v>1217.1214123099999</v>
      </c>
      <c r="KM149" s="102">
        <f t="shared" si="797"/>
        <v>634.34400866999931</v>
      </c>
      <c r="KN149" s="102">
        <f t="shared" si="798"/>
        <v>90.854911370000991</v>
      </c>
      <c r="KO149" s="102">
        <f t="shared" si="711"/>
        <v>-7490.76076216</v>
      </c>
      <c r="KQ149" s="973"/>
      <c r="KR149" s="973"/>
      <c r="KS149" s="973"/>
      <c r="KT149" s="973"/>
      <c r="KU149" s="973"/>
      <c r="KV149" s="973"/>
      <c r="KW149" s="973"/>
      <c r="KX149" s="973"/>
      <c r="KY149" s="973"/>
      <c r="KZ149" s="973"/>
      <c r="LB149" s="102">
        <f t="shared" si="737"/>
        <v>2564.0631227200001</v>
      </c>
      <c r="LC149" s="102">
        <f t="shared" si="825"/>
        <v>2608.2257146100001</v>
      </c>
      <c r="LD149" s="102">
        <f t="shared" si="825"/>
        <v>3805.7907611999995</v>
      </c>
      <c r="LE149" s="102">
        <f t="shared" si="825"/>
        <v>5045.6728000000003</v>
      </c>
      <c r="LF149" s="102">
        <f t="shared" si="825"/>
        <v>5259.4811199799997</v>
      </c>
      <c r="LG149" s="102">
        <f t="shared" si="825"/>
        <v>5548.4404298099998</v>
      </c>
      <c r="LH149" s="102">
        <f t="shared" si="825"/>
        <v>6765.5618421199997</v>
      </c>
      <c r="LI149" s="102">
        <f t="shared" si="825"/>
        <v>7399.905850789999</v>
      </c>
      <c r="LJ149" s="102">
        <f t="shared" si="825"/>
        <v>7490.76076216</v>
      </c>
      <c r="LK149" s="102">
        <f t="shared" si="825"/>
        <v>7964.0023809999993</v>
      </c>
      <c r="LL149" s="102">
        <f t="shared" si="825"/>
        <v>9601.3787597499995</v>
      </c>
      <c r="LM149" s="102">
        <f t="shared" si="825"/>
        <v>9601.3787597499995</v>
      </c>
      <c r="LN149" s="102"/>
      <c r="LO149" s="102"/>
      <c r="LR149" s="32">
        <f t="shared" si="799"/>
        <v>0.45914931360496447</v>
      </c>
      <c r="LS149" s="32">
        <f t="shared" si="800"/>
        <v>0.32578828332881216</v>
      </c>
      <c r="LT149" s="32">
        <f t="shared" si="801"/>
        <v>4.2374590754279406E-2</v>
      </c>
      <c r="LU149" s="32">
        <f t="shared" si="802"/>
        <v>5.4940649702550637E-2</v>
      </c>
      <c r="LV149" s="32">
        <f t="shared" si="803"/>
        <v>0.21936279711516682</v>
      </c>
      <c r="LW149" s="32">
        <f t="shared" si="804"/>
        <v>9.3760728742555699E-2</v>
      </c>
      <c r="LX149" s="32">
        <f t="shared" ref="LX149:LX180" si="848">+IFERROR(LO149/LI149-1," ")</f>
        <v>-1</v>
      </c>
      <c r="LZ149" s="102">
        <f t="shared" si="805"/>
        <v>1197.5650465899994</v>
      </c>
      <c r="MA149" s="102">
        <f t="shared" si="806"/>
        <v>1239.8820388000008</v>
      </c>
      <c r="MB149" s="102">
        <f t="shared" si="807"/>
        <v>213.8083199799994</v>
      </c>
      <c r="MC149" s="102">
        <f t="shared" si="808"/>
        <v>288.95930983000017</v>
      </c>
      <c r="MD149" s="102">
        <f t="shared" si="809"/>
        <v>1217.1214123099999</v>
      </c>
      <c r="ME149" s="102">
        <f t="shared" si="810"/>
        <v>634.34400866999931</v>
      </c>
      <c r="MF149" s="102">
        <f t="shared" ref="MF149:MF180" si="849">+LO149-LI149</f>
        <v>-7399.905850789999</v>
      </c>
      <c r="MH149" s="973"/>
      <c r="MI149" s="973"/>
      <c r="MJ149" s="973"/>
      <c r="MK149" s="973"/>
      <c r="ML149" s="973"/>
      <c r="MM149" s="973"/>
      <c r="MN149" s="973"/>
      <c r="MO149" s="973"/>
      <c r="MP149" s="973"/>
    </row>
    <row r="150" spans="1:354" outlineLevel="4">
      <c r="A150" s="884">
        <v>1512</v>
      </c>
      <c r="B150" s="70" t="s">
        <v>710</v>
      </c>
      <c r="C150" s="980" t="s">
        <v>710</v>
      </c>
      <c r="D150" s="31"/>
      <c r="E150" s="102">
        <v>66.510222339999999</v>
      </c>
      <c r="F150" s="102">
        <v>36.393472020000004</v>
      </c>
      <c r="G150" s="102">
        <v>45.757386020000006</v>
      </c>
      <c r="H150" s="102">
        <v>48.221498020000006</v>
      </c>
      <c r="I150" s="102">
        <v>14.452400000000001</v>
      </c>
      <c r="J150" s="102">
        <v>15.2224</v>
      </c>
      <c r="K150" s="102">
        <v>15.4724</v>
      </c>
      <c r="L150" s="102">
        <v>17.465236000000001</v>
      </c>
      <c r="M150" s="102">
        <v>18.561696000000001</v>
      </c>
      <c r="N150" s="102">
        <v>55.097169000000001</v>
      </c>
      <c r="O150" s="102">
        <v>38.267189000000002</v>
      </c>
      <c r="P150" s="102">
        <v>51.636429</v>
      </c>
      <c r="Q150" s="102">
        <v>71.018700999999993</v>
      </c>
      <c r="R150" s="102">
        <v>72.840373</v>
      </c>
      <c r="S150" s="102">
        <v>74.970372999999995</v>
      </c>
      <c r="T150" s="102">
        <v>75.146372999999997</v>
      </c>
      <c r="U150" s="102">
        <v>36.811498</v>
      </c>
      <c r="V150" s="102">
        <v>37.249432609999999</v>
      </c>
      <c r="W150" s="102">
        <v>37.509432619999998</v>
      </c>
      <c r="X150" s="102">
        <v>53.201476539999994</v>
      </c>
      <c r="Y150" s="102">
        <v>53.233276540000006</v>
      </c>
      <c r="Z150" s="102">
        <v>53.233276540000006</v>
      </c>
      <c r="AA150" s="102">
        <v>8.1199999999999992</v>
      </c>
      <c r="AB150" s="102">
        <v>8.1199999999999992</v>
      </c>
      <c r="AC150" s="102">
        <v>8.1199999999999992</v>
      </c>
      <c r="AD150" s="102">
        <v>8.1199999999999992</v>
      </c>
      <c r="AE150" s="102">
        <v>8.1199999999999992</v>
      </c>
      <c r="AF150" s="102">
        <v>8.1199999999999992</v>
      </c>
      <c r="AG150" s="102">
        <v>8.1199999999999992</v>
      </c>
      <c r="AH150" s="102">
        <v>8.1199999999999992</v>
      </c>
      <c r="AI150" s="102">
        <v>8.1199999999999992</v>
      </c>
      <c r="AJ150" s="102">
        <v>8.1199999999999992</v>
      </c>
      <c r="AK150" s="102">
        <v>8.1199999999999992</v>
      </c>
      <c r="AL150" s="102">
        <v>13.054271999999999</v>
      </c>
      <c r="AM150" s="102">
        <v>13.689471999999999</v>
      </c>
      <c r="AN150" s="102">
        <v>14.292748</v>
      </c>
      <c r="AO150" s="102">
        <v>14.292748</v>
      </c>
      <c r="AP150" s="145">
        <v>14.292748</v>
      </c>
      <c r="AQ150" s="220">
        <v>14.292748</v>
      </c>
      <c r="AR150" s="220">
        <v>14.292748</v>
      </c>
      <c r="AS150" s="102">
        <v>14.292748</v>
      </c>
      <c r="AT150" s="102">
        <v>14.292748</v>
      </c>
      <c r="AU150" s="102">
        <v>14.292748</v>
      </c>
      <c r="AV150" s="102">
        <v>14.292748</v>
      </c>
      <c r="AW150" s="102">
        <v>14.292748</v>
      </c>
      <c r="AX150" s="102">
        <v>36.918548000000001</v>
      </c>
      <c r="AY150" s="102">
        <v>36.918548000000001</v>
      </c>
      <c r="AZ150" s="102">
        <v>15.2828</v>
      </c>
      <c r="BA150" s="102">
        <v>15.2828</v>
      </c>
      <c r="BB150" s="102">
        <v>15.2828</v>
      </c>
      <c r="BC150" s="102">
        <v>15.2828</v>
      </c>
      <c r="BD150" s="102">
        <v>15.2828</v>
      </c>
      <c r="BE150" s="102">
        <v>208.47597825</v>
      </c>
      <c r="BF150" s="102">
        <v>208.47597825</v>
      </c>
      <c r="BG150" s="102">
        <v>208.47597825</v>
      </c>
      <c r="BH150" s="102">
        <v>208.47597825</v>
      </c>
      <c r="BI150" s="102">
        <v>15.2828</v>
      </c>
      <c r="BJ150" s="102">
        <v>15.2828</v>
      </c>
      <c r="BK150" s="102">
        <v>15.2828</v>
      </c>
      <c r="BL150" s="102">
        <v>38.687075999999998</v>
      </c>
      <c r="BM150" s="102">
        <v>374.70846799999998</v>
      </c>
      <c r="BN150" s="146">
        <v>381.393888</v>
      </c>
      <c r="BO150" s="102">
        <v>418.92171497000004</v>
      </c>
      <c r="BP150" s="102">
        <v>452.93294397000005</v>
      </c>
      <c r="BQ150" s="102">
        <v>480.38053102999999</v>
      </c>
      <c r="BR150" s="102">
        <v>516.74881602999994</v>
      </c>
      <c r="BS150" s="102">
        <v>550.86026602999993</v>
      </c>
      <c r="BT150" s="102">
        <v>563.37679380999998</v>
      </c>
      <c r="BU150" s="102">
        <v>587.01019380999992</v>
      </c>
      <c r="BV150" s="102">
        <v>612.73624503999997</v>
      </c>
      <c r="BW150" s="102">
        <v>683.81749276999994</v>
      </c>
      <c r="BX150" s="102">
        <v>761.81276682999999</v>
      </c>
      <c r="BY150" s="102">
        <v>-4.0000000000000003E-7</v>
      </c>
      <c r="BZ150" s="102">
        <v>1.8E-7</v>
      </c>
      <c r="CA150" s="102">
        <v>1.8E-7</v>
      </c>
      <c r="CB150" s="102">
        <v>8.97656718</v>
      </c>
      <c r="CC150" s="102">
        <v>12.76400093</v>
      </c>
      <c r="CD150" s="102">
        <v>9.3999999999999989E-7</v>
      </c>
      <c r="CE150" s="102">
        <v>1.5322386299999999</v>
      </c>
      <c r="CF150" s="102">
        <v>10.41223832</v>
      </c>
      <c r="CG150" s="102">
        <v>16.208736250000001</v>
      </c>
      <c r="CH150" s="102">
        <v>11.96105835</v>
      </c>
      <c r="CI150" s="102">
        <v>88.063358709999989</v>
      </c>
      <c r="CJ150" s="102">
        <v>50.710720119999998</v>
      </c>
      <c r="CK150" s="102">
        <v>44.620721359999997</v>
      </c>
      <c r="CL150" s="102">
        <v>65.170916359999993</v>
      </c>
      <c r="CM150" s="102">
        <v>34.540645359999999</v>
      </c>
      <c r="CN150" s="102">
        <v>38.475645360000001</v>
      </c>
      <c r="CO150" s="102">
        <v>88.476646360000004</v>
      </c>
      <c r="CP150" s="102">
        <v>35.307845360000002</v>
      </c>
      <c r="CQ150" s="102">
        <v>59.132776360000001</v>
      </c>
      <c r="CR150" s="102">
        <v>55.422294360000002</v>
      </c>
      <c r="CS150" s="102">
        <v>37.099024360000001</v>
      </c>
      <c r="CT150" s="102">
        <v>31.448856360000001</v>
      </c>
      <c r="CU150" s="102">
        <v>30.790208360000001</v>
      </c>
      <c r="CV150" s="102">
        <v>4.2750379299999999</v>
      </c>
      <c r="CW150" s="102">
        <v>7.80239993</v>
      </c>
      <c r="CX150" s="102">
        <v>19.900399929999999</v>
      </c>
      <c r="CY150" s="102">
        <v>7.1409379299999998</v>
      </c>
      <c r="CZ150" s="102">
        <v>7.1409379299999998</v>
      </c>
      <c r="DA150" s="102">
        <v>20.45323793</v>
      </c>
      <c r="DB150" s="102">
        <v>23.23823793</v>
      </c>
      <c r="DC150" s="102">
        <v>-18.987160070000002</v>
      </c>
      <c r="DD150" s="102">
        <v>42.077971929999997</v>
      </c>
      <c r="DE150" s="102">
        <v>44.04783793</v>
      </c>
      <c r="DF150" s="102">
        <v>24.943111930000001</v>
      </c>
      <c r="DG150" s="102">
        <v>20.378436929999999</v>
      </c>
      <c r="DH150" s="102">
        <v>30.52483793</v>
      </c>
      <c r="DI150" s="102">
        <v>7.5198379299999996</v>
      </c>
      <c r="DJ150" s="102">
        <v>9.1047943599999996</v>
      </c>
      <c r="DK150" s="102">
        <v>25.412244359999999</v>
      </c>
      <c r="DL150" s="102">
        <v>29.795226360000001</v>
      </c>
      <c r="DM150" s="102">
        <v>38.706541360000003</v>
      </c>
      <c r="DN150" s="102">
        <v>4.9082093600000007</v>
      </c>
      <c r="DO150" s="102">
        <v>19.010022360000001</v>
      </c>
      <c r="DP150" s="102">
        <v>5.3252843600000004</v>
      </c>
      <c r="DQ150" s="940">
        <v>7.9920893600000005</v>
      </c>
      <c r="DR150" s="940">
        <v>7.3283933600000006</v>
      </c>
      <c r="DS150" s="940">
        <v>11.621474019999999</v>
      </c>
      <c r="DT150" s="940">
        <v>5.2047000199999998</v>
      </c>
      <c r="DU150" s="940">
        <v>8.372725019999999</v>
      </c>
      <c r="DV150" s="940">
        <v>32.83792502</v>
      </c>
      <c r="DW150" s="940">
        <v>16.493225020000001</v>
      </c>
      <c r="DX150" s="940">
        <v>81.764136019999995</v>
      </c>
      <c r="DY150" s="940">
        <v>24.292884019999999</v>
      </c>
      <c r="DZ150" s="940">
        <v>46.68037202</v>
      </c>
      <c r="EA150" s="940">
        <v>70.977688020000002</v>
      </c>
      <c r="EB150" s="940">
        <v>146.15954402</v>
      </c>
      <c r="EC150" s="940">
        <v>77.287890819999987</v>
      </c>
      <c r="ED150" s="940">
        <v>142.67267002</v>
      </c>
      <c r="EE150" s="940">
        <v>120.38369401999999</v>
      </c>
      <c r="EF150" s="940">
        <v>59.872470020000002</v>
      </c>
      <c r="EH150" s="102">
        <v>7.80239993</v>
      </c>
      <c r="EI150" s="102">
        <v>19.900399929999999</v>
      </c>
      <c r="EJ150" s="102">
        <v>7.1409379299999998</v>
      </c>
      <c r="EK150" s="102">
        <v>7.1409379299999998</v>
      </c>
      <c r="EL150" s="102">
        <v>20.45323793</v>
      </c>
      <c r="EM150" s="102">
        <v>98.795430280000005</v>
      </c>
      <c r="EN150" s="102">
        <v>98.795430280000005</v>
      </c>
      <c r="EO150" s="102">
        <v>98.795430280000005</v>
      </c>
      <c r="EP150" s="102">
        <v>98.795430280000005</v>
      </c>
      <c r="EQ150" s="102">
        <v>98.795430280000005</v>
      </c>
      <c r="ER150" s="102">
        <v>98.795430280000005</v>
      </c>
      <c r="ES150" s="102">
        <v>98.795430280000005</v>
      </c>
      <c r="EU150" s="102">
        <v>14.292748</v>
      </c>
      <c r="EV150" s="102">
        <v>14.292748</v>
      </c>
      <c r="EW150" s="102">
        <v>14.292748</v>
      </c>
      <c r="EX150" s="102">
        <v>14.292748</v>
      </c>
      <c r="EY150" s="102">
        <v>14.292748</v>
      </c>
      <c r="EZ150" s="102">
        <v>14.292748</v>
      </c>
      <c r="FA150" s="102">
        <v>14.292748</v>
      </c>
      <c r="FB150" s="102">
        <v>14.292748</v>
      </c>
      <c r="FC150" s="102">
        <v>14.292748</v>
      </c>
      <c r="FD150" s="102">
        <v>14.292748</v>
      </c>
      <c r="FE150" s="102">
        <v>14.292748</v>
      </c>
      <c r="FF150" s="102">
        <v>14.292748</v>
      </c>
      <c r="FG150" s="102">
        <v>21.455548</v>
      </c>
      <c r="FH150" s="102">
        <v>21.455548</v>
      </c>
      <c r="FI150" s="102">
        <v>21.455548</v>
      </c>
      <c r="FJ150" s="102">
        <v>21.455548</v>
      </c>
      <c r="FK150" s="102">
        <v>21.455548</v>
      </c>
      <c r="FL150" s="102">
        <v>21.455548</v>
      </c>
      <c r="FM150" s="102">
        <v>21.455548</v>
      </c>
      <c r="FN150" s="102">
        <v>21.455548</v>
      </c>
      <c r="FO150" s="102">
        <v>21.455548</v>
      </c>
      <c r="FP150" s="102">
        <v>21.455548</v>
      </c>
      <c r="FQ150" s="102">
        <v>21.455548</v>
      </c>
      <c r="FR150" s="102">
        <v>21.455548</v>
      </c>
      <c r="FS150" s="102">
        <v>38.687075999999998</v>
      </c>
      <c r="FT150" s="102">
        <v>63.523403999999999</v>
      </c>
      <c r="FU150" s="102">
        <v>63.523403999999999</v>
      </c>
      <c r="FV150" s="102">
        <v>63.523403999999999</v>
      </c>
      <c r="FW150" s="102">
        <v>63.523403999999999</v>
      </c>
      <c r="FX150" s="102">
        <v>63.523403999999999</v>
      </c>
      <c r="FY150" s="102">
        <v>63.523403999999999</v>
      </c>
      <c r="FZ150" s="102">
        <v>63.523403999999999</v>
      </c>
      <c r="GA150" s="102">
        <v>63.523403999999999</v>
      </c>
      <c r="GB150" s="102">
        <v>63.523403999999999</v>
      </c>
      <c r="GC150" s="102">
        <v>63.523403999999999</v>
      </c>
      <c r="GD150" s="102">
        <v>63.523403999999999</v>
      </c>
      <c r="GE150" s="102">
        <v>0</v>
      </c>
      <c r="GF150" s="102">
        <v>0</v>
      </c>
      <c r="GG150" s="102">
        <v>0</v>
      </c>
      <c r="GH150" s="102">
        <v>0</v>
      </c>
      <c r="GI150" s="102">
        <v>0</v>
      </c>
      <c r="GJ150" s="102">
        <v>0</v>
      </c>
      <c r="GK150" s="102">
        <v>0</v>
      </c>
      <c r="GL150" s="102">
        <v>0</v>
      </c>
      <c r="GM150" s="102">
        <v>0</v>
      </c>
      <c r="GN150" s="102">
        <v>0</v>
      </c>
      <c r="GO150" s="102">
        <v>0</v>
      </c>
      <c r="GP150" s="102">
        <v>0</v>
      </c>
      <c r="GQ150" s="102">
        <v>0</v>
      </c>
      <c r="GR150" s="102">
        <v>0</v>
      </c>
      <c r="GS150" s="102">
        <v>0</v>
      </c>
      <c r="GT150" s="102">
        <v>0</v>
      </c>
      <c r="GU150" s="102">
        <v>0</v>
      </c>
      <c r="GV150" s="102">
        <v>0</v>
      </c>
      <c r="GW150" s="102">
        <v>0</v>
      </c>
      <c r="GX150" s="102">
        <v>0</v>
      </c>
      <c r="GY150" s="102">
        <v>0</v>
      </c>
      <c r="GZ150" s="102">
        <v>0</v>
      </c>
      <c r="HA150" s="102">
        <v>0</v>
      </c>
      <c r="HB150" s="102">
        <v>0</v>
      </c>
      <c r="HD150" s="102">
        <f t="shared" si="776"/>
        <v>51.636429</v>
      </c>
      <c r="HE150" s="102">
        <f t="shared" si="776"/>
        <v>8.1199999999999992</v>
      </c>
      <c r="HF150" s="102">
        <f t="shared" si="776"/>
        <v>14.292748</v>
      </c>
      <c r="HG150" s="102">
        <f t="shared" si="776"/>
        <v>15.2828</v>
      </c>
      <c r="HH150" s="102">
        <f t="shared" si="777"/>
        <v>38.687075999999998</v>
      </c>
      <c r="HI150" s="102">
        <f t="shared" si="778"/>
        <v>761.81276682999999</v>
      </c>
      <c r="HJ150" s="102">
        <f t="shared" si="846"/>
        <v>50.710720119999998</v>
      </c>
      <c r="HK150" s="102">
        <f t="shared" si="847"/>
        <v>4.2750379299999999</v>
      </c>
      <c r="HL150" s="940">
        <f>+SUMIFS($E150:SEW150,$E$6:SEW$6,HL$7,$E$5:SEW$5,12)</f>
        <v>30.52483793</v>
      </c>
      <c r="HM150" s="940">
        <f>+SUMIFS($E150:SEX150,$E$6:SEX$6,HM$7,$E$5:SEX$5,12)</f>
        <v>5.2047000199999998</v>
      </c>
      <c r="HN150" s="940">
        <f>+SUMIFS($E150:SEY150,$E$6:SEY$6,HN$7,$E$5:SEY$5,12)</f>
        <v>59.872470020000002</v>
      </c>
      <c r="HO150" s="102"/>
      <c r="HP150" s="102"/>
      <c r="HR150" s="929">
        <f t="shared" si="779"/>
        <v>0.76019064039408879</v>
      </c>
      <c r="HS150" s="929">
        <f t="shared" si="780"/>
        <v>6.9269534452017334E-2</v>
      </c>
      <c r="HT150" s="929">
        <f t="shared" si="781"/>
        <v>1.5314128301096654</v>
      </c>
      <c r="HU150" s="929">
        <f t="shared" si="738"/>
        <v>18.691660512932021</v>
      </c>
      <c r="HV150" s="929">
        <f t="shared" si="739"/>
        <v>-0.93343414244550693</v>
      </c>
      <c r="HW150" s="929">
        <f t="shared" si="740"/>
        <v>-0.91569755034273415</v>
      </c>
      <c r="HX150" s="929">
        <f t="shared" si="741"/>
        <v>6.1402496141127809</v>
      </c>
      <c r="HY150" s="929">
        <f t="shared" si="741"/>
        <v>-0.82949295154537783</v>
      </c>
      <c r="HZ150" s="929">
        <f t="shared" si="741"/>
        <v>10.503539068520611</v>
      </c>
      <c r="IA150" s="929">
        <f t="shared" si="762"/>
        <v>-1</v>
      </c>
      <c r="IB150" s="929" t="str">
        <f t="shared" si="782"/>
        <v/>
      </c>
      <c r="IC150" s="929">
        <f t="shared" si="763"/>
        <v>-1</v>
      </c>
      <c r="IE150" s="102">
        <f t="shared" si="783"/>
        <v>6.1727480000000003</v>
      </c>
      <c r="IF150" s="102">
        <f t="shared" si="784"/>
        <v>0.99005200000000038</v>
      </c>
      <c r="IG150" s="102">
        <f t="shared" si="785"/>
        <v>23.404275999999996</v>
      </c>
      <c r="IH150" s="102">
        <f t="shared" si="742"/>
        <v>723.12569082999994</v>
      </c>
      <c r="II150" s="102">
        <f t="shared" si="767"/>
        <v>-711.10204670999997</v>
      </c>
      <c r="IJ150" s="102">
        <f t="shared" si="768"/>
        <v>-46.435682189999994</v>
      </c>
      <c r="IK150" s="102">
        <f t="shared" si="769"/>
        <v>26.2498</v>
      </c>
      <c r="IL150" s="102">
        <f t="shared" si="764"/>
        <v>-30.52483793</v>
      </c>
      <c r="IM150" s="102">
        <f t="shared" si="786"/>
        <v>0</v>
      </c>
      <c r="IN150" s="102">
        <f t="shared" si="765"/>
        <v>-30.52483793</v>
      </c>
      <c r="IP150" s="973"/>
      <c r="IQ150" s="973"/>
      <c r="IR150" s="973"/>
      <c r="IS150" s="973"/>
      <c r="IT150" s="973"/>
      <c r="IU150" s="973"/>
      <c r="IV150" s="973"/>
      <c r="IW150" s="973"/>
      <c r="IX150" s="973"/>
      <c r="IY150" s="973"/>
      <c r="JA150" s="102">
        <f t="shared" si="727"/>
        <v>51.636429</v>
      </c>
      <c r="JB150" s="102">
        <f t="shared" si="816"/>
        <v>8.1199999999999992</v>
      </c>
      <c r="JC150" s="102">
        <f t="shared" si="816"/>
        <v>14.292748</v>
      </c>
      <c r="JD150" s="102">
        <f t="shared" si="816"/>
        <v>15.2828</v>
      </c>
      <c r="JE150" s="102">
        <f t="shared" si="816"/>
        <v>38.687075999999998</v>
      </c>
      <c r="JF150" s="102">
        <f t="shared" si="816"/>
        <v>761.81276682999999</v>
      </c>
      <c r="JG150" s="102">
        <f t="shared" si="816"/>
        <v>50.710720119999998</v>
      </c>
      <c r="JH150" s="102">
        <f t="shared" si="816"/>
        <v>4.2750379299999999</v>
      </c>
      <c r="JI150" s="102">
        <f t="shared" si="816"/>
        <v>30.52483793</v>
      </c>
      <c r="JJ150" s="102">
        <f t="shared" si="816"/>
        <v>5.2047000199999998</v>
      </c>
      <c r="JK150" s="102">
        <f t="shared" si="816"/>
        <v>59.872470020000002</v>
      </c>
      <c r="JL150" s="102">
        <f t="shared" si="728"/>
        <v>59.872470020000002</v>
      </c>
      <c r="JM150" s="102"/>
      <c r="JN150" s="102"/>
      <c r="JP150" s="102">
        <f t="shared" si="787"/>
        <v>0</v>
      </c>
      <c r="JQ150" s="102">
        <f t="shared" si="788"/>
        <v>0</v>
      </c>
      <c r="JR150" s="145"/>
      <c r="JS150" s="929" t="str">
        <f t="shared" si="789"/>
        <v>NA</v>
      </c>
      <c r="JT150" s="930">
        <f t="shared" si="790"/>
        <v>0</v>
      </c>
      <c r="JV150" s="973"/>
      <c r="JW150" s="973"/>
      <c r="JY150" s="929">
        <f t="shared" si="817"/>
        <v>0.76019064039408879</v>
      </c>
      <c r="JZ150" s="929">
        <f t="shared" si="818"/>
        <v>6.9269534452017334E-2</v>
      </c>
      <c r="KA150" s="929">
        <f t="shared" si="819"/>
        <v>1.5314128301096654</v>
      </c>
      <c r="KB150" s="929">
        <f t="shared" si="820"/>
        <v>18.691660512932021</v>
      </c>
      <c r="KC150" s="929">
        <f t="shared" si="821"/>
        <v>-0.93343414244550693</v>
      </c>
      <c r="KD150" s="929">
        <f t="shared" si="822"/>
        <v>-0.91569755034273415</v>
      </c>
      <c r="KE150" s="929">
        <f t="shared" si="823"/>
        <v>6.1402496141127809</v>
      </c>
      <c r="KF150" s="929">
        <f t="shared" si="824"/>
        <v>-1</v>
      </c>
      <c r="KH150" s="102">
        <f t="shared" si="792"/>
        <v>6.1727480000000003</v>
      </c>
      <c r="KI150" s="102">
        <f t="shared" si="793"/>
        <v>0.99005200000000038</v>
      </c>
      <c r="KJ150" s="102">
        <f t="shared" si="794"/>
        <v>23.404275999999996</v>
      </c>
      <c r="KK150" s="102">
        <f t="shared" si="795"/>
        <v>723.12569082999994</v>
      </c>
      <c r="KL150" s="102">
        <f t="shared" si="796"/>
        <v>-711.10204670999997</v>
      </c>
      <c r="KM150" s="102">
        <f t="shared" si="797"/>
        <v>-46.435682189999994</v>
      </c>
      <c r="KN150" s="102">
        <f t="shared" si="798"/>
        <v>26.2498</v>
      </c>
      <c r="KO150" s="102">
        <f t="shared" si="711"/>
        <v>-30.52483793</v>
      </c>
      <c r="KQ150" s="973"/>
      <c r="KR150" s="973"/>
      <c r="KS150" s="973"/>
      <c r="KT150" s="973"/>
      <c r="KU150" s="973"/>
      <c r="KV150" s="973"/>
      <c r="KW150" s="973"/>
      <c r="KX150" s="973"/>
      <c r="KY150" s="973"/>
      <c r="KZ150" s="973"/>
      <c r="LB150" s="102">
        <f t="shared" si="737"/>
        <v>51.636429</v>
      </c>
      <c r="LC150" s="102">
        <f t="shared" si="825"/>
        <v>8.1199999999999992</v>
      </c>
      <c r="LD150" s="102">
        <f t="shared" si="825"/>
        <v>14.292748</v>
      </c>
      <c r="LE150" s="102">
        <f t="shared" si="825"/>
        <v>15.2828</v>
      </c>
      <c r="LF150" s="102">
        <f t="shared" si="825"/>
        <v>38.687075999999998</v>
      </c>
      <c r="LG150" s="102">
        <f t="shared" si="825"/>
        <v>761.81276682999999</v>
      </c>
      <c r="LH150" s="102">
        <f t="shared" si="825"/>
        <v>50.710720119999998</v>
      </c>
      <c r="LI150" s="102">
        <f t="shared" si="825"/>
        <v>4.2750379299999999</v>
      </c>
      <c r="LJ150" s="102">
        <f t="shared" si="825"/>
        <v>30.52483793</v>
      </c>
      <c r="LK150" s="102">
        <f t="shared" si="825"/>
        <v>5.2047000199999998</v>
      </c>
      <c r="LL150" s="102">
        <f t="shared" si="825"/>
        <v>59.872470020000002</v>
      </c>
      <c r="LM150" s="102">
        <f t="shared" si="825"/>
        <v>59.872470020000002</v>
      </c>
      <c r="LN150" s="102"/>
      <c r="LO150" s="102"/>
      <c r="LR150" s="32">
        <f t="shared" si="799"/>
        <v>0.76019064039408879</v>
      </c>
      <c r="LS150" s="32">
        <f t="shared" si="800"/>
        <v>6.9269534452017334E-2</v>
      </c>
      <c r="LT150" s="32">
        <f t="shared" si="801"/>
        <v>1.5314128301096654</v>
      </c>
      <c r="LU150" s="32">
        <f t="shared" si="802"/>
        <v>18.691660512932021</v>
      </c>
      <c r="LV150" s="32">
        <f t="shared" si="803"/>
        <v>-0.93343414244550693</v>
      </c>
      <c r="LW150" s="32">
        <f t="shared" si="804"/>
        <v>-0.91569755034273415</v>
      </c>
      <c r="LX150" s="32">
        <f t="shared" si="848"/>
        <v>-1</v>
      </c>
      <c r="LZ150" s="102">
        <f t="shared" si="805"/>
        <v>6.1727480000000003</v>
      </c>
      <c r="MA150" s="102">
        <f t="shared" si="806"/>
        <v>0.99005200000000038</v>
      </c>
      <c r="MB150" s="102">
        <f t="shared" si="807"/>
        <v>23.404275999999996</v>
      </c>
      <c r="MC150" s="102">
        <f t="shared" si="808"/>
        <v>723.12569082999994</v>
      </c>
      <c r="MD150" s="102">
        <f t="shared" si="809"/>
        <v>-711.10204670999997</v>
      </c>
      <c r="ME150" s="102">
        <f t="shared" si="810"/>
        <v>-46.435682189999994</v>
      </c>
      <c r="MF150" s="102">
        <f t="shared" si="849"/>
        <v>-4.2750379299999999</v>
      </c>
      <c r="MH150" s="973"/>
      <c r="MI150" s="973"/>
      <c r="MJ150" s="973"/>
      <c r="MK150" s="973"/>
      <c r="ML150" s="973"/>
      <c r="MM150" s="973"/>
      <c r="MN150" s="973"/>
      <c r="MO150" s="973"/>
      <c r="MP150" s="973"/>
    </row>
    <row r="151" spans="1:354" outlineLevel="4">
      <c r="A151" s="884">
        <v>1520</v>
      </c>
      <c r="B151" s="70" t="s">
        <v>711</v>
      </c>
      <c r="C151" s="980" t="s">
        <v>711</v>
      </c>
      <c r="D151" s="31"/>
      <c r="E151" s="102">
        <v>2160.9544532800001</v>
      </c>
      <c r="F151" s="102">
        <v>2212.9106642800002</v>
      </c>
      <c r="G151" s="102">
        <v>2298.0572462800001</v>
      </c>
      <c r="H151" s="102">
        <v>2373.5554162800004</v>
      </c>
      <c r="I151" s="102">
        <v>2391.7298112800004</v>
      </c>
      <c r="J151" s="102">
        <v>2429.0841947199997</v>
      </c>
      <c r="K151" s="102">
        <v>2435.6968907199998</v>
      </c>
      <c r="L151" s="102">
        <v>2466.5822677199999</v>
      </c>
      <c r="M151" s="102">
        <v>2469.1342677199996</v>
      </c>
      <c r="N151" s="102">
        <v>2460.0249387199997</v>
      </c>
      <c r="O151" s="102">
        <v>2463.14504872</v>
      </c>
      <c r="P151" s="102">
        <v>2512.42669372</v>
      </c>
      <c r="Q151" s="102">
        <v>2517.6285067200001</v>
      </c>
      <c r="R151" s="102">
        <v>2573.1831934900006</v>
      </c>
      <c r="S151" s="102">
        <v>2593.2005454900004</v>
      </c>
      <c r="T151" s="102">
        <v>2662.5042547800003</v>
      </c>
      <c r="U151" s="102">
        <v>2675.9824449000002</v>
      </c>
      <c r="V151" s="102">
        <v>2692.4248533</v>
      </c>
      <c r="W151" s="102">
        <v>2742.2936560000003</v>
      </c>
      <c r="X151" s="102">
        <v>2752.3580780000002</v>
      </c>
      <c r="Y151" s="102">
        <v>2902.5019283000001</v>
      </c>
      <c r="Z151" s="102">
        <v>2907.3547883000001</v>
      </c>
      <c r="AA151" s="102">
        <v>2724.2915043799999</v>
      </c>
      <c r="AB151" s="102">
        <v>2600.1057146100002</v>
      </c>
      <c r="AC151" s="102">
        <v>2603.7557126199999</v>
      </c>
      <c r="AD151" s="102">
        <v>2610.5822952200001</v>
      </c>
      <c r="AE151" s="102">
        <v>2620.8686158599999</v>
      </c>
      <c r="AF151" s="102">
        <v>2497.05042886</v>
      </c>
      <c r="AG151" s="102">
        <v>2520.0712088600003</v>
      </c>
      <c r="AH151" s="102">
        <v>2681.5615178600001</v>
      </c>
      <c r="AI151" s="102">
        <v>2716.6006402600001</v>
      </c>
      <c r="AJ151" s="102">
        <v>2775.1043245400001</v>
      </c>
      <c r="AK151" s="102">
        <v>2814.7386313400002</v>
      </c>
      <c r="AL151" s="102">
        <v>2892.3902943400003</v>
      </c>
      <c r="AM151" s="102">
        <v>2898.8993923400003</v>
      </c>
      <c r="AN151" s="102">
        <v>3791.4980131999996</v>
      </c>
      <c r="AO151" s="102">
        <v>3787.79694152</v>
      </c>
      <c r="AP151" s="145">
        <v>3787.79694152</v>
      </c>
      <c r="AQ151" s="220">
        <v>3786.8686015200001</v>
      </c>
      <c r="AR151" s="220">
        <v>3809.974737</v>
      </c>
      <c r="AS151" s="102">
        <v>4025.4098080600002</v>
      </c>
      <c r="AT151" s="102">
        <v>4065.5535330600001</v>
      </c>
      <c r="AU151" s="102">
        <v>4073.2700479800001</v>
      </c>
      <c r="AV151" s="102">
        <v>4132.7900005299998</v>
      </c>
      <c r="AW151" s="102">
        <v>4349.9760927700008</v>
      </c>
      <c r="AX151" s="102">
        <v>4329.3860927700007</v>
      </c>
      <c r="AY151" s="102">
        <v>4579.4862957700007</v>
      </c>
      <c r="AZ151" s="102">
        <v>5030.3900000000003</v>
      </c>
      <c r="BA151" s="102">
        <v>5030.3904319799994</v>
      </c>
      <c r="BB151" s="102">
        <v>5040.6176319799997</v>
      </c>
      <c r="BC151" s="102">
        <v>5040.6176319799997</v>
      </c>
      <c r="BD151" s="102">
        <v>5040.6176319799997</v>
      </c>
      <c r="BE151" s="102">
        <v>4999.5950559799994</v>
      </c>
      <c r="BF151" s="102">
        <v>5018.2634177299997</v>
      </c>
      <c r="BG151" s="102">
        <v>5025.1564017299997</v>
      </c>
      <c r="BH151" s="102">
        <v>5025.1564017299997</v>
      </c>
      <c r="BI151" s="102">
        <v>5218.3495799799994</v>
      </c>
      <c r="BJ151" s="102">
        <v>5219.3476439799997</v>
      </c>
      <c r="BK151" s="102">
        <v>5219.3476439799997</v>
      </c>
      <c r="BL151" s="102">
        <v>5220.7940439799995</v>
      </c>
      <c r="BM151" s="102">
        <v>4786.6276629799995</v>
      </c>
      <c r="BN151" s="102">
        <v>4786.6276629799995</v>
      </c>
      <c r="BO151" s="102">
        <v>4786.6276629799995</v>
      </c>
      <c r="BP151" s="102">
        <v>4786.6276629799995</v>
      </c>
      <c r="BQ151" s="102">
        <v>4786.6276629799995</v>
      </c>
      <c r="BR151" s="102">
        <v>4786.6276629799995</v>
      </c>
      <c r="BS151" s="102">
        <v>4786.6276629799995</v>
      </c>
      <c r="BT151" s="102">
        <v>4786.6276629799995</v>
      </c>
      <c r="BU151" s="102">
        <v>4786.6276629799995</v>
      </c>
      <c r="BV151" s="102">
        <v>4786.6276629799995</v>
      </c>
      <c r="BW151" s="102">
        <v>4786.6276629799995</v>
      </c>
      <c r="BX151" s="102">
        <v>4786.6276629799995</v>
      </c>
      <c r="BY151" s="102">
        <v>5780.3931549999998</v>
      </c>
      <c r="BZ151" s="102">
        <v>5918.6899629999998</v>
      </c>
      <c r="CA151" s="102">
        <v>6105.0509009999996</v>
      </c>
      <c r="CB151" s="102">
        <v>6122.6495530000002</v>
      </c>
      <c r="CC151" s="102">
        <v>6141.5493500000002</v>
      </c>
      <c r="CD151" s="102">
        <v>6151.858502</v>
      </c>
      <c r="CE151" s="102">
        <v>6195.6566190000003</v>
      </c>
      <c r="CF151" s="102">
        <v>6234.4688779999997</v>
      </c>
      <c r="CG151" s="102">
        <v>6311.2249769999999</v>
      </c>
      <c r="CH151" s="102">
        <v>6454.1156739999997</v>
      </c>
      <c r="CI151" s="102">
        <v>6618.0103170000002</v>
      </c>
      <c r="CJ151" s="102">
        <v>6714.851122</v>
      </c>
      <c r="CK151" s="102">
        <v>6732.1588739999997</v>
      </c>
      <c r="CL151" s="102">
        <v>6788.3951030799999</v>
      </c>
      <c r="CM151" s="102">
        <v>6815.0931081000008</v>
      </c>
      <c r="CN151" s="102">
        <v>6845.9529863500002</v>
      </c>
      <c r="CO151" s="102">
        <v>6866.7352818999998</v>
      </c>
      <c r="CP151" s="102">
        <v>7052.2799941700005</v>
      </c>
      <c r="CQ151" s="102">
        <v>7095.1880866299998</v>
      </c>
      <c r="CR151" s="102">
        <v>7147.1283016000007</v>
      </c>
      <c r="CS151" s="102">
        <v>7096.3203983599997</v>
      </c>
      <c r="CT151" s="102">
        <v>7202.3121781</v>
      </c>
      <c r="CU151" s="102">
        <v>7284.5197983299995</v>
      </c>
      <c r="CV151" s="102">
        <v>7395.6308128599994</v>
      </c>
      <c r="CW151" s="102">
        <v>7402.6392508599993</v>
      </c>
      <c r="CX151" s="102">
        <v>7460.0105218599992</v>
      </c>
      <c r="CY151" s="102">
        <v>7503.9891808599996</v>
      </c>
      <c r="CZ151" s="102">
        <v>7504.8829898599997</v>
      </c>
      <c r="DA151" s="102">
        <v>7511.02229506</v>
      </c>
      <c r="DB151" s="102">
        <v>7420.5298212299995</v>
      </c>
      <c r="DC151" s="102">
        <v>7426.2225432299992</v>
      </c>
      <c r="DD151" s="102">
        <v>7372.8341032299995</v>
      </c>
      <c r="DE151" s="102">
        <v>7403.12872823</v>
      </c>
      <c r="DF151" s="102">
        <v>7416.2377342299997</v>
      </c>
      <c r="DG151" s="102">
        <v>7452.0096992299996</v>
      </c>
      <c r="DH151" s="102">
        <v>7460.2359242299999</v>
      </c>
      <c r="DI151" s="102">
        <v>7504.7871412299992</v>
      </c>
      <c r="DJ151" s="102">
        <v>7510.1969692299999</v>
      </c>
      <c r="DK151" s="102">
        <v>7518.8235096899998</v>
      </c>
      <c r="DL151" s="102">
        <v>7538.49849369</v>
      </c>
      <c r="DM151" s="102">
        <v>7574.0679868699999</v>
      </c>
      <c r="DN151" s="102">
        <v>7576.2908158700002</v>
      </c>
      <c r="DO151" s="102">
        <v>7577.4052158699997</v>
      </c>
      <c r="DP151" s="102">
        <v>7578.7972731099999</v>
      </c>
      <c r="DQ151" s="940">
        <v>7615.24454711</v>
      </c>
      <c r="DR151" s="940">
        <v>7805.9962763599997</v>
      </c>
      <c r="DS151" s="940">
        <v>7893.6596213800003</v>
      </c>
      <c r="DT151" s="940">
        <v>7958.7976809799993</v>
      </c>
      <c r="DU151" s="940">
        <v>7991.1176059799991</v>
      </c>
      <c r="DV151" s="940">
        <v>8057.29209567</v>
      </c>
      <c r="DW151" s="940">
        <v>8222.1560084499997</v>
      </c>
      <c r="DX151" s="940">
        <v>8359.19809661</v>
      </c>
      <c r="DY151" s="940">
        <v>8447.9585952799989</v>
      </c>
      <c r="DZ151" s="940">
        <v>8688.8080058199994</v>
      </c>
      <c r="EA151" s="940">
        <v>8981.5672686399994</v>
      </c>
      <c r="EB151" s="940">
        <v>9257.7660123700007</v>
      </c>
      <c r="EC151" s="940">
        <v>9565.7165927099995</v>
      </c>
      <c r="ED151" s="940">
        <v>9833.7760124699998</v>
      </c>
      <c r="EE151" s="940">
        <v>9998.9946917900015</v>
      </c>
      <c r="EF151" s="940">
        <v>9541.5062897299995</v>
      </c>
      <c r="EH151" s="102">
        <v>7402.6392508599993</v>
      </c>
      <c r="EI151" s="102">
        <v>7460.0105218599992</v>
      </c>
      <c r="EJ151" s="102">
        <v>7503.9891808599996</v>
      </c>
      <c r="EK151" s="102">
        <v>7504.8829898599997</v>
      </c>
      <c r="EL151" s="102">
        <v>7511.02229506</v>
      </c>
      <c r="EM151" s="102">
        <v>7323.9861973999996</v>
      </c>
      <c r="EN151" s="102">
        <v>7323.9861973999996</v>
      </c>
      <c r="EO151" s="102">
        <v>7323.9861973999996</v>
      </c>
      <c r="EP151" s="102">
        <v>7323.9861973999996</v>
      </c>
      <c r="EQ151" s="102">
        <v>7323.9861973999996</v>
      </c>
      <c r="ER151" s="102">
        <v>7323.9861973999996</v>
      </c>
      <c r="ES151" s="102">
        <v>7323.9861973999996</v>
      </c>
      <c r="EU151" s="102">
        <v>2867.2463926999999</v>
      </c>
      <c r="EV151" s="102">
        <v>3295.4265587</v>
      </c>
      <c r="EW151" s="102">
        <v>3642.2017803666663</v>
      </c>
      <c r="EX151" s="102">
        <v>3717.1184470333328</v>
      </c>
      <c r="EY151" s="102">
        <v>3788.3851136999992</v>
      </c>
      <c r="EZ151" s="102">
        <v>3844.3517803666659</v>
      </c>
      <c r="FA151" s="102">
        <v>3943.1184470333324</v>
      </c>
      <c r="FB151" s="102">
        <v>4008.4851136999987</v>
      </c>
      <c r="FC151" s="102">
        <v>4074.8517803666655</v>
      </c>
      <c r="FD151" s="102">
        <v>4172.2184470333323</v>
      </c>
      <c r="FE151" s="102">
        <v>4247.9851136999987</v>
      </c>
      <c r="FF151" s="102">
        <v>4308.4517803666649</v>
      </c>
      <c r="FG151" s="102">
        <v>4457.9470911999997</v>
      </c>
      <c r="FH151" s="102">
        <v>4463.7562612000002</v>
      </c>
      <c r="FI151" s="102">
        <v>4475.9654312000002</v>
      </c>
      <c r="FJ151" s="102">
        <v>4481.7746011999998</v>
      </c>
      <c r="FK151" s="102">
        <v>4487.5837712000002</v>
      </c>
      <c r="FL151" s="102">
        <v>4531.8929411999998</v>
      </c>
      <c r="FM151" s="102">
        <v>4568.7021112000002</v>
      </c>
      <c r="FN151" s="102">
        <v>4595.5112811999998</v>
      </c>
      <c r="FO151" s="102">
        <v>4622.3204512000002</v>
      </c>
      <c r="FP151" s="102">
        <v>4634.1296211999997</v>
      </c>
      <c r="FQ151" s="102">
        <v>4645.9387912000002</v>
      </c>
      <c r="FR151" s="102">
        <v>4657.7479611999997</v>
      </c>
      <c r="FS151" s="102">
        <v>5251.98721398</v>
      </c>
      <c r="FT151" s="102">
        <v>5226.60321398</v>
      </c>
      <c r="FU151" s="102">
        <v>5232.4123839799995</v>
      </c>
      <c r="FV151" s="102">
        <v>5238.22155398</v>
      </c>
      <c r="FW151" s="102">
        <v>5244.0307239799995</v>
      </c>
      <c r="FX151" s="102">
        <v>5249.8398939799999</v>
      </c>
      <c r="FY151" s="102">
        <v>5255.6490639799995</v>
      </c>
      <c r="FZ151" s="102">
        <v>5261.4582339799999</v>
      </c>
      <c r="GA151" s="102">
        <v>5267.2674039799995</v>
      </c>
      <c r="GB151" s="102">
        <v>5273.0765739799999</v>
      </c>
      <c r="GC151" s="102">
        <v>5278.8857439799995</v>
      </c>
      <c r="GD151" s="102">
        <v>5284.6949139799999</v>
      </c>
      <c r="GE151" s="102">
        <v>0</v>
      </c>
      <c r="GF151" s="102">
        <v>0</v>
      </c>
      <c r="GG151" s="102">
        <v>0</v>
      </c>
      <c r="GH151" s="102">
        <v>0</v>
      </c>
      <c r="GI151" s="102">
        <v>0</v>
      </c>
      <c r="GJ151" s="102">
        <v>0</v>
      </c>
      <c r="GK151" s="102">
        <v>0</v>
      </c>
      <c r="GL151" s="102">
        <v>0</v>
      </c>
      <c r="GM151" s="102">
        <v>0</v>
      </c>
      <c r="GN151" s="102">
        <v>0</v>
      </c>
      <c r="GO151" s="102">
        <v>0</v>
      </c>
      <c r="GP151" s="102">
        <v>0</v>
      </c>
      <c r="GQ151" s="102">
        <v>0</v>
      </c>
      <c r="GR151" s="102">
        <v>0</v>
      </c>
      <c r="GS151" s="102">
        <v>0</v>
      </c>
      <c r="GT151" s="102">
        <v>0</v>
      </c>
      <c r="GU151" s="102">
        <v>0</v>
      </c>
      <c r="GV151" s="102">
        <v>0</v>
      </c>
      <c r="GW151" s="102">
        <v>0</v>
      </c>
      <c r="GX151" s="102">
        <v>0</v>
      </c>
      <c r="GY151" s="102">
        <v>0</v>
      </c>
      <c r="GZ151" s="102">
        <v>0</v>
      </c>
      <c r="HA151" s="102">
        <v>0</v>
      </c>
      <c r="HB151" s="102">
        <v>0</v>
      </c>
      <c r="HD151" s="102">
        <f t="shared" si="776"/>
        <v>2512.42669372</v>
      </c>
      <c r="HE151" s="102">
        <f t="shared" si="776"/>
        <v>2600.1057146100002</v>
      </c>
      <c r="HF151" s="102">
        <f t="shared" si="776"/>
        <v>3791.4980131999996</v>
      </c>
      <c r="HG151" s="102">
        <f t="shared" si="776"/>
        <v>5030.3900000000003</v>
      </c>
      <c r="HH151" s="102">
        <f t="shared" si="777"/>
        <v>5220.7940439799995</v>
      </c>
      <c r="HI151" s="102">
        <f t="shared" si="778"/>
        <v>4786.6276629799995</v>
      </c>
      <c r="HJ151" s="102">
        <f t="shared" si="846"/>
        <v>6714.851122</v>
      </c>
      <c r="HK151" s="102">
        <f t="shared" si="847"/>
        <v>7395.6308128599994</v>
      </c>
      <c r="HL151" s="940">
        <f>+SUMIFS($E151:SEW151,$E$6:SEW$6,HL$7,$E$5:SEW$5,12)</f>
        <v>7460.2359242299999</v>
      </c>
      <c r="HM151" s="940">
        <f>+SUMIFS($E151:SEX151,$E$6:SEX$6,HM$7,$E$5:SEX$5,12)</f>
        <v>7958.7976809799993</v>
      </c>
      <c r="HN151" s="940">
        <f>+SUMIFS($E151:SEY151,$E$6:SEY$6,HN$7,$E$5:SEY$5,12)</f>
        <v>9541.5062897299995</v>
      </c>
      <c r="HO151" s="102"/>
      <c r="HP151" s="102"/>
      <c r="HR151" s="929">
        <f t="shared" si="779"/>
        <v>0.45820917660984439</v>
      </c>
      <c r="HS151" s="929">
        <f t="shared" si="780"/>
        <v>0.32675527785767811</v>
      </c>
      <c r="HT151" s="929">
        <f t="shared" si="781"/>
        <v>3.7850751925794901E-2</v>
      </c>
      <c r="HU151" s="929">
        <f t="shared" si="738"/>
        <v>-8.3160986114866775E-2</v>
      </c>
      <c r="HV151" s="929">
        <f t="shared" si="739"/>
        <v>0.40283548142525683</v>
      </c>
      <c r="HW151" s="929">
        <f t="shared" si="740"/>
        <v>0.10138418238783387</v>
      </c>
      <c r="HX151" s="929">
        <f t="shared" si="741"/>
        <v>8.735578208915129E-3</v>
      </c>
      <c r="HY151" s="929">
        <f t="shared" si="741"/>
        <v>6.6829221195368271E-2</v>
      </c>
      <c r="HZ151" s="929">
        <f t="shared" si="741"/>
        <v>0.19886277704135757</v>
      </c>
      <c r="IA151" s="929">
        <f t="shared" si="762"/>
        <v>-1</v>
      </c>
      <c r="IB151" s="929" t="str">
        <f t="shared" si="782"/>
        <v/>
      </c>
      <c r="IC151" s="929">
        <f t="shared" si="763"/>
        <v>-1</v>
      </c>
      <c r="IE151" s="102">
        <f t="shared" si="783"/>
        <v>1191.3922985899994</v>
      </c>
      <c r="IF151" s="102">
        <f t="shared" si="784"/>
        <v>1238.8919868000007</v>
      </c>
      <c r="IG151" s="102">
        <f t="shared" si="785"/>
        <v>190.40404397999919</v>
      </c>
      <c r="IH151" s="102">
        <f t="shared" si="742"/>
        <v>-434.166381</v>
      </c>
      <c r="II151" s="102">
        <f t="shared" si="767"/>
        <v>1928.2234590200005</v>
      </c>
      <c r="IJ151" s="102">
        <f t="shared" si="768"/>
        <v>680.77969085999939</v>
      </c>
      <c r="IK151" s="102">
        <f t="shared" si="769"/>
        <v>64.605111370000486</v>
      </c>
      <c r="IL151" s="102">
        <f t="shared" si="764"/>
        <v>-7460.2359242299999</v>
      </c>
      <c r="IM151" s="102">
        <f t="shared" si="786"/>
        <v>0</v>
      </c>
      <c r="IN151" s="102">
        <f t="shared" si="765"/>
        <v>-7460.2359242299999</v>
      </c>
      <c r="IP151" s="973"/>
      <c r="IQ151" s="973"/>
      <c r="IR151" s="973"/>
      <c r="IS151" s="973"/>
      <c r="IT151" s="973"/>
      <c r="IU151" s="973"/>
      <c r="IV151" s="973"/>
      <c r="IW151" s="973"/>
      <c r="IX151" s="973"/>
      <c r="IY151" s="973"/>
      <c r="JA151" s="102">
        <f t="shared" si="727"/>
        <v>2512.42669372</v>
      </c>
      <c r="JB151" s="102">
        <f t="shared" si="816"/>
        <v>2600.1057146100002</v>
      </c>
      <c r="JC151" s="102">
        <f t="shared" si="816"/>
        <v>3791.4980131999996</v>
      </c>
      <c r="JD151" s="102">
        <f t="shared" si="816"/>
        <v>5030.3900000000003</v>
      </c>
      <c r="JE151" s="102">
        <f t="shared" si="816"/>
        <v>5220.7940439799995</v>
      </c>
      <c r="JF151" s="102">
        <f t="shared" si="816"/>
        <v>4786.6276629799995</v>
      </c>
      <c r="JG151" s="102">
        <f t="shared" si="816"/>
        <v>6714.851122</v>
      </c>
      <c r="JH151" s="102">
        <f t="shared" si="816"/>
        <v>7395.6308128599994</v>
      </c>
      <c r="JI151" s="102">
        <f t="shared" si="816"/>
        <v>7460.2359242299999</v>
      </c>
      <c r="JJ151" s="102">
        <f t="shared" si="816"/>
        <v>7958.7976809799993</v>
      </c>
      <c r="JK151" s="102">
        <f t="shared" si="816"/>
        <v>9541.5062897299995</v>
      </c>
      <c r="JL151" s="102">
        <f t="shared" si="728"/>
        <v>9541.5062897299995</v>
      </c>
      <c r="JM151" s="102"/>
      <c r="JN151" s="102"/>
      <c r="JP151" s="102">
        <f t="shared" si="787"/>
        <v>0</v>
      </c>
      <c r="JQ151" s="102">
        <f t="shared" si="788"/>
        <v>0</v>
      </c>
      <c r="JR151" s="145"/>
      <c r="JS151" s="929" t="str">
        <f t="shared" si="789"/>
        <v>NA</v>
      </c>
      <c r="JT151" s="930">
        <f t="shared" si="790"/>
        <v>0</v>
      </c>
      <c r="JV151" s="973"/>
      <c r="JW151" s="973"/>
      <c r="JY151" s="929">
        <f t="shared" si="817"/>
        <v>0.45820917660984439</v>
      </c>
      <c r="JZ151" s="929">
        <f t="shared" si="818"/>
        <v>0.32675527785767811</v>
      </c>
      <c r="KA151" s="929">
        <f t="shared" si="819"/>
        <v>3.7850751925794901E-2</v>
      </c>
      <c r="KB151" s="929">
        <f t="shared" si="820"/>
        <v>-8.3160986114866775E-2</v>
      </c>
      <c r="KC151" s="929">
        <f t="shared" si="821"/>
        <v>0.40283548142525683</v>
      </c>
      <c r="KD151" s="929">
        <f t="shared" si="822"/>
        <v>0.10138418238783387</v>
      </c>
      <c r="KE151" s="929">
        <f t="shared" si="823"/>
        <v>8.735578208915129E-3</v>
      </c>
      <c r="KF151" s="929">
        <f t="shared" si="824"/>
        <v>-1</v>
      </c>
      <c r="KH151" s="102">
        <f t="shared" si="792"/>
        <v>1191.3922985899994</v>
      </c>
      <c r="KI151" s="102">
        <f t="shared" si="793"/>
        <v>1238.8919868000007</v>
      </c>
      <c r="KJ151" s="102">
        <f t="shared" si="794"/>
        <v>190.40404397999919</v>
      </c>
      <c r="KK151" s="102">
        <f t="shared" si="795"/>
        <v>-434.166381</v>
      </c>
      <c r="KL151" s="102">
        <f t="shared" si="796"/>
        <v>1928.2234590200005</v>
      </c>
      <c r="KM151" s="102">
        <f t="shared" si="797"/>
        <v>680.77969085999939</v>
      </c>
      <c r="KN151" s="102">
        <f t="shared" si="798"/>
        <v>64.605111370000486</v>
      </c>
      <c r="KO151" s="102">
        <f t="shared" si="711"/>
        <v>-7460.2359242299999</v>
      </c>
      <c r="KQ151" s="973"/>
      <c r="KR151" s="973"/>
      <c r="KS151" s="973"/>
      <c r="KT151" s="973"/>
      <c r="KU151" s="973"/>
      <c r="KV151" s="973"/>
      <c r="KW151" s="973"/>
      <c r="KX151" s="973"/>
      <c r="KY151" s="973"/>
      <c r="KZ151" s="973"/>
      <c r="LB151" s="102">
        <f t="shared" si="737"/>
        <v>2512.42669372</v>
      </c>
      <c r="LC151" s="102">
        <f t="shared" si="825"/>
        <v>2600.1057146100002</v>
      </c>
      <c r="LD151" s="102">
        <f t="shared" si="825"/>
        <v>3791.4980131999996</v>
      </c>
      <c r="LE151" s="102">
        <f t="shared" si="825"/>
        <v>5030.3900000000003</v>
      </c>
      <c r="LF151" s="102">
        <f t="shared" si="825"/>
        <v>5220.7940439799995</v>
      </c>
      <c r="LG151" s="102">
        <f t="shared" si="825"/>
        <v>4786.6276629799995</v>
      </c>
      <c r="LH151" s="102">
        <f t="shared" si="825"/>
        <v>6714.851122</v>
      </c>
      <c r="LI151" s="102">
        <f t="shared" si="825"/>
        <v>7395.6308128599994</v>
      </c>
      <c r="LJ151" s="102">
        <f t="shared" si="825"/>
        <v>7460.2359242299999</v>
      </c>
      <c r="LK151" s="102">
        <f t="shared" si="825"/>
        <v>7958.7976809799993</v>
      </c>
      <c r="LL151" s="102">
        <f t="shared" si="825"/>
        <v>9541.5062897299995</v>
      </c>
      <c r="LM151" s="102">
        <f t="shared" si="825"/>
        <v>9541.5062897299995</v>
      </c>
      <c r="LN151" s="102"/>
      <c r="LO151" s="102"/>
      <c r="LR151" s="32">
        <f t="shared" si="799"/>
        <v>0.45820917660984439</v>
      </c>
      <c r="LS151" s="32">
        <f t="shared" si="800"/>
        <v>0.32675527785767811</v>
      </c>
      <c r="LT151" s="32">
        <f t="shared" si="801"/>
        <v>3.7850751925794901E-2</v>
      </c>
      <c r="LU151" s="32">
        <f t="shared" si="802"/>
        <v>-8.3160986114866775E-2</v>
      </c>
      <c r="LV151" s="32">
        <f t="shared" si="803"/>
        <v>0.40283548142525683</v>
      </c>
      <c r="LW151" s="32">
        <f t="shared" si="804"/>
        <v>0.10138418238783387</v>
      </c>
      <c r="LX151" s="32">
        <f t="shared" si="848"/>
        <v>-1</v>
      </c>
      <c r="LZ151" s="102">
        <f t="shared" si="805"/>
        <v>1191.3922985899994</v>
      </c>
      <c r="MA151" s="102">
        <f t="shared" si="806"/>
        <v>1238.8919868000007</v>
      </c>
      <c r="MB151" s="102">
        <f t="shared" si="807"/>
        <v>190.40404397999919</v>
      </c>
      <c r="MC151" s="102">
        <f t="shared" si="808"/>
        <v>-434.166381</v>
      </c>
      <c r="MD151" s="102">
        <f t="shared" si="809"/>
        <v>1928.2234590200005</v>
      </c>
      <c r="ME151" s="102">
        <f t="shared" si="810"/>
        <v>680.77969085999939</v>
      </c>
      <c r="MF151" s="102">
        <f t="shared" si="849"/>
        <v>-7395.6308128599994</v>
      </c>
      <c r="MH151" s="973"/>
      <c r="MI151" s="973"/>
      <c r="MJ151" s="973"/>
      <c r="MK151" s="973"/>
      <c r="ML151" s="973"/>
      <c r="MM151" s="973"/>
      <c r="MN151" s="973"/>
      <c r="MO151" s="973"/>
      <c r="MP151" s="973"/>
    </row>
    <row r="152" spans="1:354" outlineLevel="3">
      <c r="A152" s="884">
        <v>1524</v>
      </c>
      <c r="B152" s="70" t="s">
        <v>712</v>
      </c>
      <c r="C152" s="40" t="s">
        <v>128</v>
      </c>
      <c r="D152" s="31" t="s">
        <v>59</v>
      </c>
      <c r="E152" s="102">
        <v>330.08941417</v>
      </c>
      <c r="F152" s="102">
        <v>335.49965417000004</v>
      </c>
      <c r="G152" s="102">
        <v>352.51361417000004</v>
      </c>
      <c r="H152" s="102">
        <v>352.51361417000004</v>
      </c>
      <c r="I152" s="102">
        <v>357.51041416999999</v>
      </c>
      <c r="J152" s="102">
        <v>358.13681417000004</v>
      </c>
      <c r="K152" s="102">
        <v>357.51041416999999</v>
      </c>
      <c r="L152" s="102">
        <v>357.51041416999999</v>
      </c>
      <c r="M152" s="102">
        <v>359.49769717000004</v>
      </c>
      <c r="N152" s="102">
        <v>372.36589473000004</v>
      </c>
      <c r="O152" s="102">
        <v>371.97685473000001</v>
      </c>
      <c r="P152" s="102">
        <v>373.62071473000003</v>
      </c>
      <c r="Q152" s="102">
        <v>376.20003423000003</v>
      </c>
      <c r="R152" s="102">
        <v>381.64623423</v>
      </c>
      <c r="S152" s="102">
        <v>384.30880022999997</v>
      </c>
      <c r="T152" s="102">
        <v>389.29676023000002</v>
      </c>
      <c r="U152" s="102">
        <v>408.57345703000004</v>
      </c>
      <c r="V152" s="102">
        <v>408.57345703000004</v>
      </c>
      <c r="W152" s="102">
        <v>409.44603702999996</v>
      </c>
      <c r="X152" s="102">
        <v>410.39643703000002</v>
      </c>
      <c r="Y152" s="102">
        <v>410.39643703000002</v>
      </c>
      <c r="Z152" s="102">
        <v>410.39643703000002</v>
      </c>
      <c r="AA152" s="102">
        <v>397.38944930999997</v>
      </c>
      <c r="AB152" s="102">
        <v>399.82855530999996</v>
      </c>
      <c r="AC152" s="102">
        <v>403.60421610999998</v>
      </c>
      <c r="AD152" s="102">
        <v>404.53944054999999</v>
      </c>
      <c r="AE152" s="102">
        <v>404.17841611</v>
      </c>
      <c r="AF152" s="102">
        <v>308.20563811</v>
      </c>
      <c r="AG152" s="102">
        <v>314.16743766999997</v>
      </c>
      <c r="AH152" s="102">
        <v>314.16743766999997</v>
      </c>
      <c r="AI152" s="102">
        <v>319.41946062999995</v>
      </c>
      <c r="AJ152" s="102">
        <v>320.34445971000002</v>
      </c>
      <c r="AK152" s="102">
        <v>320.34445971000002</v>
      </c>
      <c r="AL152" s="102">
        <v>320.34445971000002</v>
      </c>
      <c r="AM152" s="102">
        <v>321.65525971</v>
      </c>
      <c r="AN152" s="102">
        <v>322.73364975999993</v>
      </c>
      <c r="AO152" s="102">
        <v>320.88082276</v>
      </c>
      <c r="AP152" s="145">
        <v>320.88082276</v>
      </c>
      <c r="AQ152" s="220">
        <v>319.17082275999996</v>
      </c>
      <c r="AR152" s="220">
        <v>319.38582276</v>
      </c>
      <c r="AS152" s="102">
        <v>319.38582276</v>
      </c>
      <c r="AT152" s="102">
        <v>441.79968176</v>
      </c>
      <c r="AU152" s="102">
        <v>441.79968176</v>
      </c>
      <c r="AV152" s="102">
        <v>444.94721648000001</v>
      </c>
      <c r="AW152" s="102">
        <v>461.27421648000001</v>
      </c>
      <c r="AX152" s="102">
        <v>461.27421648000001</v>
      </c>
      <c r="AY152" s="102">
        <v>461.27421648000001</v>
      </c>
      <c r="AZ152" s="981">
        <v>749.88099999999997</v>
      </c>
      <c r="BA152" s="102">
        <v>749.43297728999994</v>
      </c>
      <c r="BB152" s="102">
        <v>749.43297728999994</v>
      </c>
      <c r="BC152" s="102">
        <v>749.43297728999994</v>
      </c>
      <c r="BD152" s="102">
        <v>749.43297728999994</v>
      </c>
      <c r="BE152" s="102">
        <v>745.86833928999999</v>
      </c>
      <c r="BF152" s="102">
        <v>744.58305928999994</v>
      </c>
      <c r="BG152" s="102">
        <v>744.58305928999994</v>
      </c>
      <c r="BH152" s="102">
        <v>744.58305928999994</v>
      </c>
      <c r="BI152" s="102">
        <v>744.58305928999994</v>
      </c>
      <c r="BJ152" s="102">
        <v>744.58305928999994</v>
      </c>
      <c r="BK152" s="102">
        <v>744.42210755999997</v>
      </c>
      <c r="BL152" s="102">
        <v>749.58758755999997</v>
      </c>
      <c r="BM152" s="102">
        <v>828.73170355999991</v>
      </c>
      <c r="BN152" s="102">
        <v>828.73170355999991</v>
      </c>
      <c r="BO152" s="102">
        <v>828.73170355999991</v>
      </c>
      <c r="BP152" s="102">
        <v>828.73170355999991</v>
      </c>
      <c r="BQ152" s="102">
        <v>828.73170355999991</v>
      </c>
      <c r="BR152" s="102">
        <v>828.73170355999991</v>
      </c>
      <c r="BS152" s="102">
        <v>828.73170355999991</v>
      </c>
      <c r="BT152" s="102">
        <v>828.73170355999991</v>
      </c>
      <c r="BU152" s="102">
        <v>828.73170355999991</v>
      </c>
      <c r="BV152" s="102">
        <v>828.73170355999991</v>
      </c>
      <c r="BW152" s="102">
        <v>828.73170355999991</v>
      </c>
      <c r="BX152" s="102">
        <v>828.73170355999991</v>
      </c>
      <c r="BY152" s="102">
        <v>232.91767899999999</v>
      </c>
      <c r="BZ152" s="102">
        <v>234.70267899999999</v>
      </c>
      <c r="CA152" s="102">
        <v>235.595179</v>
      </c>
      <c r="CB152" s="102">
        <v>235.595179</v>
      </c>
      <c r="CC152" s="102">
        <v>235.595179</v>
      </c>
      <c r="CD152" s="102">
        <v>235.595179</v>
      </c>
      <c r="CE152" s="102">
        <v>236.989859</v>
      </c>
      <c r="CF152" s="102">
        <v>238.02965900000001</v>
      </c>
      <c r="CG152" s="102">
        <v>239.556659</v>
      </c>
      <c r="CH152" s="102">
        <v>240.49487099999999</v>
      </c>
      <c r="CI152" s="102">
        <v>240.49487099999999</v>
      </c>
      <c r="CJ152" s="102">
        <v>242.434471</v>
      </c>
      <c r="CK152" s="102">
        <v>245.913881</v>
      </c>
      <c r="CL152" s="102">
        <v>245.913881</v>
      </c>
      <c r="CM152" s="102">
        <v>245.913881</v>
      </c>
      <c r="CN152" s="102">
        <v>245.913881</v>
      </c>
      <c r="CO152" s="102">
        <v>247.06596597999999</v>
      </c>
      <c r="CP152" s="102">
        <v>247.06596597999999</v>
      </c>
      <c r="CQ152" s="102">
        <v>248.06576828000001</v>
      </c>
      <c r="CR152" s="102">
        <v>248.06576828000001</v>
      </c>
      <c r="CS152" s="102">
        <v>248.06576828000001</v>
      </c>
      <c r="CT152" s="102">
        <v>250.09897609999999</v>
      </c>
      <c r="CU152" s="102">
        <v>250.09897609999999</v>
      </c>
      <c r="CV152" s="102">
        <v>250.09897609999999</v>
      </c>
      <c r="CW152" s="102">
        <v>250.09897609999999</v>
      </c>
      <c r="CX152" s="102">
        <v>250.09897609999999</v>
      </c>
      <c r="CY152" s="102">
        <v>250.09897609999999</v>
      </c>
      <c r="CZ152" s="102">
        <v>250.09897609999999</v>
      </c>
      <c r="DA152" s="102">
        <v>250.09897609999999</v>
      </c>
      <c r="DB152" s="102">
        <v>250.09897609999999</v>
      </c>
      <c r="DC152" s="102">
        <v>251.7054761</v>
      </c>
      <c r="DD152" s="102">
        <v>249.80179609999999</v>
      </c>
      <c r="DE152" s="102">
        <v>249.80179609999999</v>
      </c>
      <c r="DF152" s="102">
        <v>249.80179609999999</v>
      </c>
      <c r="DG152" s="102">
        <v>249.80179609999999</v>
      </c>
      <c r="DH152" s="102">
        <v>249.80179609999999</v>
      </c>
      <c r="DI152" s="102">
        <v>249.94459609999998</v>
      </c>
      <c r="DJ152" s="102">
        <v>249.94459609999998</v>
      </c>
      <c r="DK152" s="102">
        <v>252.47531609999999</v>
      </c>
      <c r="DL152" s="102">
        <v>252.47531609999999</v>
      </c>
      <c r="DM152" s="102">
        <v>252.47531609999999</v>
      </c>
      <c r="DN152" s="102">
        <v>252.42731609999998</v>
      </c>
      <c r="DO152" s="102">
        <v>249.82731609999999</v>
      </c>
      <c r="DP152" s="102">
        <v>249.82731609999999</v>
      </c>
      <c r="DQ152" s="940">
        <v>249.82731609999999</v>
      </c>
      <c r="DR152" s="940">
        <v>261.76173433000002</v>
      </c>
      <c r="DS152" s="940">
        <v>262.51795282</v>
      </c>
      <c r="DT152" s="940">
        <v>263.02038881999999</v>
      </c>
      <c r="DU152" s="940">
        <v>263.02038881999999</v>
      </c>
      <c r="DV152" s="940">
        <v>264.27018781999999</v>
      </c>
      <c r="DW152" s="940">
        <v>265.07197768999998</v>
      </c>
      <c r="DX152" s="940">
        <v>266.32177768000003</v>
      </c>
      <c r="DY152" s="940">
        <v>266.32177768000003</v>
      </c>
      <c r="DZ152" s="940">
        <v>268.48147710000001</v>
      </c>
      <c r="EA152" s="940">
        <v>275.00475805000002</v>
      </c>
      <c r="EB152" s="940">
        <v>285.86206576999996</v>
      </c>
      <c r="EC152" s="940">
        <v>287.27186575999997</v>
      </c>
      <c r="ED152" s="940">
        <v>287.27186575999997</v>
      </c>
      <c r="EE152" s="940">
        <v>288.11176575999997</v>
      </c>
      <c r="EF152" s="940">
        <v>286.23288375999999</v>
      </c>
      <c r="EH152" s="1083" t="e">
        <v>#VALUE!</v>
      </c>
      <c r="EI152" s="102" t="e">
        <v>#VALUE!</v>
      </c>
      <c r="EJ152" s="102" t="e">
        <v>#VALUE!</v>
      </c>
      <c r="EK152" s="102" t="e">
        <v>#VALUE!</v>
      </c>
      <c r="EL152" s="102" t="e">
        <v>#VALUE!</v>
      </c>
      <c r="EM152" s="102" t="e">
        <v>#VALUE!</v>
      </c>
      <c r="EN152" s="102" t="e">
        <v>#VALUE!</v>
      </c>
      <c r="EO152" s="102" t="e">
        <v>#VALUE!</v>
      </c>
      <c r="EP152" s="102" t="e">
        <v>#VALUE!</v>
      </c>
      <c r="EQ152" s="102" t="e">
        <v>#VALUE!</v>
      </c>
      <c r="ER152" s="102" t="e">
        <v>#VALUE!</v>
      </c>
      <c r="ES152" s="102" t="e">
        <v>#VALUE!</v>
      </c>
      <c r="EU152" s="102">
        <v>346.44545970999997</v>
      </c>
      <c r="EV152" s="102">
        <v>346.44545970999997</v>
      </c>
      <c r="EW152" s="102">
        <v>346.44545970999997</v>
      </c>
      <c r="EX152" s="102">
        <v>346.44545970999997</v>
      </c>
      <c r="EY152" s="102">
        <v>604.86377871000002</v>
      </c>
      <c r="EZ152" s="102">
        <v>404.86377871000002</v>
      </c>
      <c r="FA152" s="102">
        <v>404.86377871000002</v>
      </c>
      <c r="FB152" s="102">
        <v>404.86377871000002</v>
      </c>
      <c r="FC152" s="102">
        <v>404.86377871000002</v>
      </c>
      <c r="FD152" s="102">
        <v>404.86377871000002</v>
      </c>
      <c r="FE152" s="102">
        <v>404.86377871000002</v>
      </c>
      <c r="FF152" s="102">
        <v>404.86377871000002</v>
      </c>
      <c r="FG152" s="102">
        <v>249.307264</v>
      </c>
      <c r="FH152" s="102">
        <v>249.307264</v>
      </c>
      <c r="FI152" s="102">
        <v>249.307264</v>
      </c>
      <c r="FJ152" s="102">
        <v>249.307264</v>
      </c>
      <c r="FK152" s="102">
        <v>249.307264</v>
      </c>
      <c r="FL152" s="102">
        <v>249.307264</v>
      </c>
      <c r="FM152" s="102">
        <v>249.307264</v>
      </c>
      <c r="FN152" s="102">
        <v>249.307264</v>
      </c>
      <c r="FO152" s="102">
        <v>249.307264</v>
      </c>
      <c r="FP152" s="102">
        <v>249.307264</v>
      </c>
      <c r="FQ152" s="102">
        <v>249.307264</v>
      </c>
      <c r="FR152" s="102">
        <v>249.307264</v>
      </c>
      <c r="FS152" s="102">
        <v>749.58758755999997</v>
      </c>
      <c r="FT152" s="102">
        <v>749.58758755999997</v>
      </c>
      <c r="FU152" s="102">
        <v>749.58758755999997</v>
      </c>
      <c r="FV152" s="102">
        <v>749.58758755999997</v>
      </c>
      <c r="FW152" s="102">
        <v>749.58758755999997</v>
      </c>
      <c r="FX152" s="102">
        <v>749.58758755999997</v>
      </c>
      <c r="FY152" s="102">
        <v>749.58758755999997</v>
      </c>
      <c r="FZ152" s="102">
        <v>749.58758755999997</v>
      </c>
      <c r="GA152" s="102">
        <v>749.58758755999997</v>
      </c>
      <c r="GB152" s="102">
        <v>749.58758755999997</v>
      </c>
      <c r="GC152" s="102">
        <v>749.58758755999997</v>
      </c>
      <c r="GD152" s="102">
        <v>749.58758755999997</v>
      </c>
      <c r="GE152" s="102" t="e">
        <v>#VALUE!</v>
      </c>
      <c r="GF152" s="102" t="e">
        <v>#VALUE!</v>
      </c>
      <c r="GG152" s="102" t="e">
        <v>#VALUE!</v>
      </c>
      <c r="GH152" s="102" t="e">
        <v>#VALUE!</v>
      </c>
      <c r="GI152" s="102" t="e">
        <v>#VALUE!</v>
      </c>
      <c r="GJ152" s="102" t="e">
        <v>#VALUE!</v>
      </c>
      <c r="GK152" s="102" t="e">
        <v>#VALUE!</v>
      </c>
      <c r="GL152" s="102" t="e">
        <v>#VALUE!</v>
      </c>
      <c r="GM152" s="102" t="e">
        <v>#VALUE!</v>
      </c>
      <c r="GN152" s="102" t="e">
        <v>#VALUE!</v>
      </c>
      <c r="GO152" s="102" t="e">
        <v>#VALUE!</v>
      </c>
      <c r="GP152" s="102" t="e">
        <v>#VALUE!</v>
      </c>
      <c r="GQ152" s="102" t="e">
        <v>#VALUE!</v>
      </c>
      <c r="GR152" s="102" t="e">
        <v>#VALUE!</v>
      </c>
      <c r="GS152" s="102" t="e">
        <v>#VALUE!</v>
      </c>
      <c r="GT152" s="102" t="e">
        <v>#VALUE!</v>
      </c>
      <c r="GU152" s="102" t="e">
        <v>#VALUE!</v>
      </c>
      <c r="GV152" s="102" t="e">
        <v>#VALUE!</v>
      </c>
      <c r="GW152" s="102" t="e">
        <v>#VALUE!</v>
      </c>
      <c r="GX152" s="102" t="e">
        <v>#VALUE!</v>
      </c>
      <c r="GY152" s="102" t="e">
        <v>#VALUE!</v>
      </c>
      <c r="GZ152" s="102" t="e">
        <v>#VALUE!</v>
      </c>
      <c r="HA152" s="102" t="e">
        <v>#VALUE!</v>
      </c>
      <c r="HB152" s="102" t="e">
        <v>#VALUE!</v>
      </c>
      <c r="HD152" s="102">
        <f t="shared" si="776"/>
        <v>373.62071473000003</v>
      </c>
      <c r="HE152" s="102">
        <f t="shared" si="776"/>
        <v>399.82855530999996</v>
      </c>
      <c r="HF152" s="102">
        <f t="shared" si="776"/>
        <v>322.73364975999993</v>
      </c>
      <c r="HG152" s="102">
        <f t="shared" si="776"/>
        <v>749.88099999999997</v>
      </c>
      <c r="HH152" s="102">
        <f t="shared" si="777"/>
        <v>749.58758755999997</v>
      </c>
      <c r="HI152" s="102">
        <f t="shared" si="778"/>
        <v>828.73170355999991</v>
      </c>
      <c r="HJ152" s="102">
        <f t="shared" si="846"/>
        <v>242.434471</v>
      </c>
      <c r="HK152" s="102">
        <f t="shared" si="847"/>
        <v>250.09897609999999</v>
      </c>
      <c r="HL152" s="940">
        <f>+SUMIFS($E152:SEW152,$E$6:SEW$6,HL$7,$E$5:SEW$5,12)</f>
        <v>249.80179609999999</v>
      </c>
      <c r="HM152" s="940">
        <f>+SUMIFS($E152:SEX152,$E$6:SEX$6,HM$7,$E$5:SEX$5,12)</f>
        <v>263.02038881999999</v>
      </c>
      <c r="HN152" s="940">
        <f>+SUMIFS($E152:SEY152,$E$6:SEY$6,HN$7,$E$5:SEY$5,12)</f>
        <v>286.23288375999999</v>
      </c>
      <c r="HO152" s="102"/>
      <c r="HP152" s="102"/>
      <c r="HR152" s="929">
        <f t="shared" si="779"/>
        <v>-0.19281990874870325</v>
      </c>
      <c r="HS152" s="929">
        <f t="shared" si="780"/>
        <v>1.3235290170629779</v>
      </c>
      <c r="HT152" s="929">
        <f t="shared" si="781"/>
        <v>-3.9127866954891122E-4</v>
      </c>
      <c r="HU152" s="929">
        <f t="shared" si="738"/>
        <v>0.10558354662411595</v>
      </c>
      <c r="HV152" s="929">
        <f t="shared" si="739"/>
        <v>-0.70746325987220082</v>
      </c>
      <c r="HW152" s="929">
        <f t="shared" si="740"/>
        <v>3.1614749620320959E-2</v>
      </c>
      <c r="HX152" s="929">
        <f t="shared" si="741"/>
        <v>-1.188249566768218E-3</v>
      </c>
      <c r="HY152" s="929">
        <f t="shared" si="741"/>
        <v>5.2916323766977191E-2</v>
      </c>
      <c r="HZ152" s="929">
        <f t="shared" si="741"/>
        <v>8.825359525981713E-2</v>
      </c>
      <c r="IA152" s="929">
        <f t="shared" si="762"/>
        <v>-1</v>
      </c>
      <c r="IB152" s="929" t="str">
        <f t="shared" si="782"/>
        <v/>
      </c>
      <c r="IC152" s="929">
        <f t="shared" si="763"/>
        <v>-1</v>
      </c>
      <c r="IE152" s="102">
        <f t="shared" si="783"/>
        <v>-77.094905550000021</v>
      </c>
      <c r="IF152" s="102">
        <f t="shared" si="784"/>
        <v>427.14735024000004</v>
      </c>
      <c r="IG152" s="102">
        <f t="shared" si="785"/>
        <v>-0.29341243999999733</v>
      </c>
      <c r="IH152" s="102">
        <f t="shared" si="742"/>
        <v>79.14411599999994</v>
      </c>
      <c r="II152" s="102">
        <f t="shared" si="767"/>
        <v>-586.29723255999988</v>
      </c>
      <c r="IJ152" s="102">
        <f t="shared" si="768"/>
        <v>7.6645050999999853</v>
      </c>
      <c r="IK152" s="102">
        <f t="shared" si="769"/>
        <v>-0.29717999999999734</v>
      </c>
      <c r="IL152" s="102">
        <f t="shared" si="764"/>
        <v>-249.80179609999999</v>
      </c>
      <c r="IM152" s="102">
        <f t="shared" si="786"/>
        <v>0</v>
      </c>
      <c r="IN152" s="102">
        <f t="shared" si="765"/>
        <v>-249.80179609999999</v>
      </c>
      <c r="IP152" s="973"/>
      <c r="IQ152" s="973"/>
      <c r="IR152" s="973"/>
      <c r="IS152" s="973"/>
      <c r="IT152" s="973"/>
      <c r="IU152" s="973"/>
      <c r="IV152" s="973"/>
      <c r="IW152" s="973"/>
      <c r="IX152" s="973"/>
      <c r="IY152" s="973"/>
      <c r="JA152" s="102">
        <f t="shared" si="727"/>
        <v>373.62071473000003</v>
      </c>
      <c r="JB152" s="102">
        <f t="shared" si="816"/>
        <v>399.82855530999996</v>
      </c>
      <c r="JC152" s="102">
        <f t="shared" si="816"/>
        <v>322.73364975999993</v>
      </c>
      <c r="JD152" s="102">
        <f t="shared" si="816"/>
        <v>749.88099999999997</v>
      </c>
      <c r="JE152" s="102">
        <f t="shared" si="816"/>
        <v>749.58758755999997</v>
      </c>
      <c r="JF152" s="102">
        <f t="shared" si="816"/>
        <v>828.73170355999991</v>
      </c>
      <c r="JG152" s="102">
        <f t="shared" si="816"/>
        <v>242.434471</v>
      </c>
      <c r="JH152" s="102">
        <f t="shared" si="816"/>
        <v>250.09897609999999</v>
      </c>
      <c r="JI152" s="102">
        <f t="shared" si="816"/>
        <v>249.80179609999999</v>
      </c>
      <c r="JJ152" s="102">
        <f t="shared" si="816"/>
        <v>263.02038881999999</v>
      </c>
      <c r="JK152" s="102">
        <f t="shared" si="816"/>
        <v>286.23288375999999</v>
      </c>
      <c r="JL152" s="102">
        <f t="shared" si="728"/>
        <v>286.23288375999999</v>
      </c>
      <c r="JM152" s="102"/>
      <c r="JN152" s="102"/>
      <c r="JP152" s="102">
        <f t="shared" si="787"/>
        <v>0</v>
      </c>
      <c r="JQ152" s="102">
        <f t="shared" si="788"/>
        <v>0</v>
      </c>
      <c r="JR152" s="145"/>
      <c r="JS152" s="929" t="str">
        <f t="shared" si="789"/>
        <v>NA</v>
      </c>
      <c r="JT152" s="930">
        <f t="shared" si="790"/>
        <v>0</v>
      </c>
      <c r="JV152" s="973"/>
      <c r="JW152" s="973"/>
      <c r="JY152" s="929">
        <f t="shared" si="817"/>
        <v>-0.19281990874870325</v>
      </c>
      <c r="JZ152" s="929">
        <f t="shared" si="818"/>
        <v>1.3235290170629779</v>
      </c>
      <c r="KA152" s="929">
        <f t="shared" si="819"/>
        <v>-3.9127866954891122E-4</v>
      </c>
      <c r="KB152" s="929">
        <f t="shared" si="820"/>
        <v>0.10558354662411595</v>
      </c>
      <c r="KC152" s="929">
        <f t="shared" si="821"/>
        <v>-0.70746325987220082</v>
      </c>
      <c r="KD152" s="929">
        <f t="shared" si="822"/>
        <v>3.1614749620320959E-2</v>
      </c>
      <c r="KE152" s="929">
        <f t="shared" si="823"/>
        <v>-1.188249566768218E-3</v>
      </c>
      <c r="KF152" s="929">
        <f t="shared" si="824"/>
        <v>-1</v>
      </c>
      <c r="KH152" s="102">
        <f t="shared" si="792"/>
        <v>-77.094905550000021</v>
      </c>
      <c r="KI152" s="102">
        <f t="shared" si="793"/>
        <v>427.14735024000004</v>
      </c>
      <c r="KJ152" s="102">
        <f t="shared" si="794"/>
        <v>-0.29341243999999733</v>
      </c>
      <c r="KK152" s="102">
        <f t="shared" si="795"/>
        <v>79.14411599999994</v>
      </c>
      <c r="KL152" s="102">
        <f t="shared" si="796"/>
        <v>-586.29723255999988</v>
      </c>
      <c r="KM152" s="102">
        <f t="shared" si="797"/>
        <v>7.6645050999999853</v>
      </c>
      <c r="KN152" s="102">
        <f t="shared" si="798"/>
        <v>-0.29717999999999734</v>
      </c>
      <c r="KO152" s="102">
        <f t="shared" si="711"/>
        <v>-249.80179609999999</v>
      </c>
      <c r="KQ152" s="973"/>
      <c r="KR152" s="973"/>
      <c r="KS152" s="973"/>
      <c r="KT152" s="973"/>
      <c r="KU152" s="973"/>
      <c r="KV152" s="973"/>
      <c r="KW152" s="973"/>
      <c r="KX152" s="973"/>
      <c r="KY152" s="973"/>
      <c r="KZ152" s="973"/>
      <c r="LB152" s="102">
        <f t="shared" si="737"/>
        <v>373.62071473000003</v>
      </c>
      <c r="LC152" s="102">
        <f t="shared" si="825"/>
        <v>399.82855530999996</v>
      </c>
      <c r="LD152" s="102">
        <f t="shared" si="825"/>
        <v>322.73364975999993</v>
      </c>
      <c r="LE152" s="102">
        <f t="shared" si="825"/>
        <v>749.88099999999997</v>
      </c>
      <c r="LF152" s="102">
        <f t="shared" si="825"/>
        <v>749.58758755999997</v>
      </c>
      <c r="LG152" s="102">
        <f t="shared" si="825"/>
        <v>828.73170355999991</v>
      </c>
      <c r="LH152" s="102">
        <f t="shared" si="825"/>
        <v>242.434471</v>
      </c>
      <c r="LI152" s="102">
        <f t="shared" si="825"/>
        <v>250.09897609999999</v>
      </c>
      <c r="LJ152" s="102">
        <f t="shared" si="825"/>
        <v>249.80179609999999</v>
      </c>
      <c r="LK152" s="102">
        <f t="shared" si="825"/>
        <v>263.02038881999999</v>
      </c>
      <c r="LL152" s="102">
        <f t="shared" si="825"/>
        <v>286.23288375999999</v>
      </c>
      <c r="LM152" s="102">
        <f t="shared" si="825"/>
        <v>286.23288375999999</v>
      </c>
      <c r="LN152" s="102"/>
      <c r="LO152" s="102"/>
      <c r="LR152" s="32">
        <f t="shared" si="799"/>
        <v>-0.19281990874870325</v>
      </c>
      <c r="LS152" s="32">
        <f t="shared" si="800"/>
        <v>1.3235290170629779</v>
      </c>
      <c r="LT152" s="32">
        <f t="shared" si="801"/>
        <v>-3.9127866954891122E-4</v>
      </c>
      <c r="LU152" s="32">
        <f t="shared" si="802"/>
        <v>0.10558354662411595</v>
      </c>
      <c r="LV152" s="32">
        <f t="shared" si="803"/>
        <v>-0.70746325987220082</v>
      </c>
      <c r="LW152" s="32">
        <f t="shared" si="804"/>
        <v>3.1614749620320959E-2</v>
      </c>
      <c r="LX152" s="32">
        <f t="shared" si="848"/>
        <v>-1</v>
      </c>
      <c r="LZ152" s="102">
        <f t="shared" si="805"/>
        <v>-77.094905550000021</v>
      </c>
      <c r="MA152" s="102">
        <f t="shared" si="806"/>
        <v>427.14735024000004</v>
      </c>
      <c r="MB152" s="102">
        <f t="shared" si="807"/>
        <v>-0.29341243999999733</v>
      </c>
      <c r="MC152" s="102">
        <f t="shared" si="808"/>
        <v>79.14411599999994</v>
      </c>
      <c r="MD152" s="102">
        <f t="shared" si="809"/>
        <v>-586.29723255999988</v>
      </c>
      <c r="ME152" s="102">
        <f t="shared" si="810"/>
        <v>7.6645050999999853</v>
      </c>
      <c r="MF152" s="102">
        <f t="shared" si="849"/>
        <v>-250.09897609999999</v>
      </c>
      <c r="MH152" s="973"/>
      <c r="MI152" s="973"/>
      <c r="MJ152" s="973"/>
      <c r="MK152" s="973"/>
      <c r="ML152" s="973"/>
      <c r="MM152" s="973"/>
      <c r="MN152" s="973"/>
      <c r="MO152" s="973"/>
      <c r="MP152" s="973"/>
    </row>
    <row r="153" spans="1:354" outlineLevel="3">
      <c r="A153" s="884">
        <v>1528</v>
      </c>
      <c r="B153" s="70" t="s">
        <v>713</v>
      </c>
      <c r="C153" s="40" t="s">
        <v>129</v>
      </c>
      <c r="D153" s="31" t="s">
        <v>59</v>
      </c>
      <c r="E153" s="102">
        <v>1332.6259563499998</v>
      </c>
      <c r="F153" s="102">
        <v>1415.8722155599999</v>
      </c>
      <c r="G153" s="102">
        <v>1503.8442545599999</v>
      </c>
      <c r="H153" s="102">
        <v>1545.4413065599999</v>
      </c>
      <c r="I153" s="102">
        <v>1584.8196955599999</v>
      </c>
      <c r="J153" s="102">
        <v>1642.21538356</v>
      </c>
      <c r="K153" s="102">
        <v>1662.18700156</v>
      </c>
      <c r="L153" s="102">
        <v>1606.59188156</v>
      </c>
      <c r="M153" s="102">
        <v>1608.00708156</v>
      </c>
      <c r="N153" s="102">
        <v>1600.08830756</v>
      </c>
      <c r="O153" s="102">
        <v>1608.57177856</v>
      </c>
      <c r="P153" s="102">
        <v>1608.55427577</v>
      </c>
      <c r="Q153" s="102">
        <v>1696.2416277700002</v>
      </c>
      <c r="R153" s="102">
        <v>1710.7941663800002</v>
      </c>
      <c r="S153" s="102">
        <v>1711.8265663800003</v>
      </c>
      <c r="T153" s="102">
        <v>1733.4531423800001</v>
      </c>
      <c r="U153" s="102">
        <v>1742.18113838</v>
      </c>
      <c r="V153" s="102">
        <v>1778.5624026999999</v>
      </c>
      <c r="W153" s="102">
        <v>1780.5448426999999</v>
      </c>
      <c r="X153" s="102">
        <v>1787.06408446</v>
      </c>
      <c r="Y153" s="102">
        <v>1787.06408446</v>
      </c>
      <c r="Z153" s="102">
        <v>1787.06408446</v>
      </c>
      <c r="AA153" s="102">
        <v>1735.9084694600001</v>
      </c>
      <c r="AB153" s="102">
        <v>1544.7759429399998</v>
      </c>
      <c r="AC153" s="102">
        <v>1544.7759429399998</v>
      </c>
      <c r="AD153" s="102">
        <v>1548.8069011799998</v>
      </c>
      <c r="AE153" s="102">
        <v>1557.84904622</v>
      </c>
      <c r="AF153" s="102">
        <v>1506.8725182200001</v>
      </c>
      <c r="AG153" s="102">
        <v>1510.4599918000001</v>
      </c>
      <c r="AH153" s="102">
        <v>1537.3464857200001</v>
      </c>
      <c r="AI153" s="102">
        <v>1542.7760057200001</v>
      </c>
      <c r="AJ153" s="102">
        <v>1564.8682057200001</v>
      </c>
      <c r="AK153" s="102">
        <v>1616.57785053</v>
      </c>
      <c r="AL153" s="102">
        <v>1635.7412705300001</v>
      </c>
      <c r="AM153" s="102">
        <v>1688.93688905</v>
      </c>
      <c r="AN153" s="102">
        <v>1717.1877929299999</v>
      </c>
      <c r="AO153" s="102">
        <v>1719.9903322499999</v>
      </c>
      <c r="AP153" s="145">
        <v>1725.79386329</v>
      </c>
      <c r="AQ153" s="220">
        <v>1725.79386329</v>
      </c>
      <c r="AR153" s="220">
        <v>1731.5808472900001</v>
      </c>
      <c r="AS153" s="102">
        <v>1766.7583622899999</v>
      </c>
      <c r="AT153" s="102">
        <v>1779.3960898299999</v>
      </c>
      <c r="AU153" s="102">
        <v>1787.53608983</v>
      </c>
      <c r="AV153" s="102">
        <v>1799.1287400000001</v>
      </c>
      <c r="AW153" s="102">
        <v>1771.016061</v>
      </c>
      <c r="AX153" s="102">
        <v>1799.2129872</v>
      </c>
      <c r="AY153" s="102">
        <v>1799.9629872</v>
      </c>
      <c r="AZ153" s="981">
        <v>1407.41</v>
      </c>
      <c r="BA153" s="102">
        <v>1407.0640163099999</v>
      </c>
      <c r="BB153" s="102">
        <v>1407.6872099899999</v>
      </c>
      <c r="BC153" s="102">
        <v>1407.6688593199999</v>
      </c>
      <c r="BD153" s="102">
        <v>1407.6688593199999</v>
      </c>
      <c r="BE153" s="102">
        <v>1334.2150793199999</v>
      </c>
      <c r="BF153" s="102">
        <v>1309.84757132</v>
      </c>
      <c r="BG153" s="102">
        <v>1309.7830197599999</v>
      </c>
      <c r="BH153" s="102">
        <v>1309.7665041600001</v>
      </c>
      <c r="BI153" s="102">
        <v>1309.7665041600001</v>
      </c>
      <c r="BJ153" s="102">
        <v>1316.0762041600001</v>
      </c>
      <c r="BK153" s="102">
        <v>1317.03488616</v>
      </c>
      <c r="BL153" s="102">
        <v>1317.46053646</v>
      </c>
      <c r="BM153" s="102">
        <v>919.67847746000007</v>
      </c>
      <c r="BN153" s="102">
        <v>919.67847746000007</v>
      </c>
      <c r="BO153" s="102">
        <v>919.67847746000007</v>
      </c>
      <c r="BP153" s="102">
        <v>919.67847746000007</v>
      </c>
      <c r="BQ153" s="102">
        <v>919.67847746000007</v>
      </c>
      <c r="BR153" s="102">
        <v>919.67847746000007</v>
      </c>
      <c r="BS153" s="102">
        <v>919.67847746000007</v>
      </c>
      <c r="BT153" s="102">
        <v>919.67847746000007</v>
      </c>
      <c r="BU153" s="102">
        <v>919.67847746000007</v>
      </c>
      <c r="BV153" s="102">
        <v>919.67847746000007</v>
      </c>
      <c r="BW153" s="102">
        <v>919.67847746000007</v>
      </c>
      <c r="BX153" s="102">
        <v>917.77147746000003</v>
      </c>
      <c r="BY153" s="102">
        <v>1375.74773953</v>
      </c>
      <c r="BZ153" s="102">
        <v>1401.37418553</v>
      </c>
      <c r="CA153" s="102">
        <v>1410.2171635299999</v>
      </c>
      <c r="CB153" s="102">
        <v>1411.54510353</v>
      </c>
      <c r="CC153" s="102">
        <v>1414.1417635299999</v>
      </c>
      <c r="CD153" s="102">
        <v>1425.57344053</v>
      </c>
      <c r="CE153" s="102">
        <v>1464.86896553</v>
      </c>
      <c r="CF153" s="102">
        <v>1466.6365375299999</v>
      </c>
      <c r="CG153" s="102">
        <v>1480.4420175299999</v>
      </c>
      <c r="CH153" s="102">
        <v>1482.7622425299999</v>
      </c>
      <c r="CI153" s="102">
        <v>1501.0493835299999</v>
      </c>
      <c r="CJ153" s="102">
        <v>1580.4543125299999</v>
      </c>
      <c r="CK153" s="102">
        <v>1590.3491625300001</v>
      </c>
      <c r="CL153" s="102">
        <v>1590.3491625300001</v>
      </c>
      <c r="CM153" s="102">
        <v>1595.91676244</v>
      </c>
      <c r="CN153" s="102">
        <v>1600.38134494</v>
      </c>
      <c r="CO153" s="102">
        <v>1607.73474975</v>
      </c>
      <c r="CP153" s="102">
        <v>1661.4875350899999</v>
      </c>
      <c r="CQ153" s="102">
        <v>1667.8298887999999</v>
      </c>
      <c r="CR153" s="102">
        <v>1687.3391501600001</v>
      </c>
      <c r="CS153" s="102">
        <v>1696.2470141600002</v>
      </c>
      <c r="CT153" s="102">
        <v>1703.83818096</v>
      </c>
      <c r="CU153" s="102">
        <v>1719.21652954</v>
      </c>
      <c r="CV153" s="102">
        <v>1721.8683255399999</v>
      </c>
      <c r="CW153" s="102">
        <v>1726.5664455399999</v>
      </c>
      <c r="CX153" s="102">
        <v>1763.65084254</v>
      </c>
      <c r="CY153" s="102">
        <v>1791.43374554</v>
      </c>
      <c r="CZ153" s="102">
        <v>1814.4687335399999</v>
      </c>
      <c r="DA153" s="102">
        <v>1814.7251547400001</v>
      </c>
      <c r="DB153" s="102">
        <v>1812.7157737</v>
      </c>
      <c r="DC153" s="102">
        <v>1820.9581144400001</v>
      </c>
      <c r="DD153" s="102">
        <v>1736.2190064400002</v>
      </c>
      <c r="DE153" s="102">
        <v>1737.10115344</v>
      </c>
      <c r="DF153" s="102">
        <v>1739.83932744</v>
      </c>
      <c r="DG153" s="102">
        <v>1762.1391644400001</v>
      </c>
      <c r="DH153" s="102">
        <v>1763.86429234</v>
      </c>
      <c r="DI153" s="102">
        <v>1764.49499234</v>
      </c>
      <c r="DJ153" s="102">
        <v>1768.2106483399998</v>
      </c>
      <c r="DK153" s="102">
        <v>1781.7026207399999</v>
      </c>
      <c r="DL153" s="102">
        <v>1811.78411824</v>
      </c>
      <c r="DM153" s="102">
        <v>1842.2808195099999</v>
      </c>
      <c r="DN153" s="102">
        <v>1879.78305151</v>
      </c>
      <c r="DO153" s="102">
        <v>1881.6320295099999</v>
      </c>
      <c r="DP153" s="102">
        <v>1911.2833765099999</v>
      </c>
      <c r="DQ153" s="940">
        <v>1913.4110965099999</v>
      </c>
      <c r="DR153" s="940">
        <v>1918.8375429100001</v>
      </c>
      <c r="DS153" s="940">
        <v>1938.5846541300002</v>
      </c>
      <c r="DT153" s="940">
        <v>1957.6635447599999</v>
      </c>
      <c r="DU153" s="940">
        <v>1957.6635447599999</v>
      </c>
      <c r="DV153" s="940">
        <v>1974.0024110699999</v>
      </c>
      <c r="DW153" s="940">
        <v>2001.01245208</v>
      </c>
      <c r="DX153" s="940">
        <v>2020.9291552</v>
      </c>
      <c r="DY153" s="940">
        <v>2033.2101552000001</v>
      </c>
      <c r="DZ153" s="940">
        <v>2100.5743340499998</v>
      </c>
      <c r="EA153" s="940">
        <v>2215.0642152800001</v>
      </c>
      <c r="EB153" s="940">
        <v>2287.38932406</v>
      </c>
      <c r="EC153" s="940">
        <v>2404.2430499099996</v>
      </c>
      <c r="ED153" s="940">
        <v>2471.6963401999997</v>
      </c>
      <c r="EE153" s="940">
        <v>2503.9030699099999</v>
      </c>
      <c r="EF153" s="940">
        <v>2401.8048977100002</v>
      </c>
      <c r="EH153" s="1083" t="e">
        <v>#VALUE!</v>
      </c>
      <c r="EI153" s="102" t="e">
        <v>#VALUE!</v>
      </c>
      <c r="EJ153" s="102" t="e">
        <v>#VALUE!</v>
      </c>
      <c r="EK153" s="102" t="e">
        <v>#VALUE!</v>
      </c>
      <c r="EL153" s="102" t="e">
        <v>#VALUE!</v>
      </c>
      <c r="EM153" s="102" t="e">
        <v>#VALUE!</v>
      </c>
      <c r="EN153" s="102" t="e">
        <v>#VALUE!</v>
      </c>
      <c r="EO153" s="102" t="e">
        <v>#VALUE!</v>
      </c>
      <c r="EP153" s="102" t="e">
        <v>#VALUE!</v>
      </c>
      <c r="EQ153" s="102" t="e">
        <v>#VALUE!</v>
      </c>
      <c r="ER153" s="102" t="e">
        <v>#VALUE!</v>
      </c>
      <c r="ES153" s="102" t="e">
        <v>#VALUE!</v>
      </c>
      <c r="EU153" s="102">
        <v>1701.3998153800001</v>
      </c>
      <c r="EV153" s="102">
        <v>1826.4730363800002</v>
      </c>
      <c r="EW153" s="102">
        <v>1853.8910363800001</v>
      </c>
      <c r="EX153" s="102">
        <v>1919.1090363800001</v>
      </c>
      <c r="EY153" s="102">
        <v>1982.3270363800002</v>
      </c>
      <c r="EZ153" s="102">
        <v>2022.0450363800001</v>
      </c>
      <c r="FA153" s="102">
        <v>2090.7630363799999</v>
      </c>
      <c r="FB153" s="102">
        <v>2130.4810363800002</v>
      </c>
      <c r="FC153" s="102">
        <v>2171.1990363800001</v>
      </c>
      <c r="FD153" s="102">
        <v>2238.9170363799999</v>
      </c>
      <c r="FE153" s="102">
        <v>2279.6350363800002</v>
      </c>
      <c r="FF153" s="102">
        <v>2319.35303638</v>
      </c>
      <c r="FG153" s="102">
        <v>1280.438813</v>
      </c>
      <c r="FH153" s="102">
        <v>1301.638813</v>
      </c>
      <c r="FI153" s="102">
        <v>1332.8388130000001</v>
      </c>
      <c r="FJ153" s="102">
        <v>1334.0388129999999</v>
      </c>
      <c r="FK153" s="102">
        <v>1335.2388129999999</v>
      </c>
      <c r="FL153" s="102">
        <v>1336.438813</v>
      </c>
      <c r="FM153" s="102">
        <v>1339.7388129999999</v>
      </c>
      <c r="FN153" s="102">
        <v>1340.938813</v>
      </c>
      <c r="FO153" s="102">
        <v>1342.138813</v>
      </c>
      <c r="FP153" s="102">
        <v>1343.3388130000001</v>
      </c>
      <c r="FQ153" s="102">
        <v>1343.3388130000001</v>
      </c>
      <c r="FR153" s="102">
        <v>1343.3388130000001</v>
      </c>
      <c r="FS153" s="102">
        <v>1317.03488616</v>
      </c>
      <c r="FT153" s="102">
        <v>1318.2348861600001</v>
      </c>
      <c r="FU153" s="102">
        <v>1319.4348861600001</v>
      </c>
      <c r="FV153" s="102">
        <v>1320.6348861600002</v>
      </c>
      <c r="FW153" s="102">
        <v>1321.83488616</v>
      </c>
      <c r="FX153" s="102">
        <v>1323.03488616</v>
      </c>
      <c r="FY153" s="102">
        <v>1324.2348861600001</v>
      </c>
      <c r="FZ153" s="102">
        <v>1325.4348861600001</v>
      </c>
      <c r="GA153" s="102">
        <v>1326.6348861600002</v>
      </c>
      <c r="GB153" s="102">
        <v>1327.83488616</v>
      </c>
      <c r="GC153" s="102">
        <v>1329.03488616</v>
      </c>
      <c r="GD153" s="102">
        <v>1329.03488616</v>
      </c>
      <c r="GE153" s="102" t="e">
        <v>#VALUE!</v>
      </c>
      <c r="GF153" s="102" t="e">
        <v>#VALUE!</v>
      </c>
      <c r="GG153" s="102" t="e">
        <v>#VALUE!</v>
      </c>
      <c r="GH153" s="102" t="e">
        <v>#VALUE!</v>
      </c>
      <c r="GI153" s="102" t="e">
        <v>#VALUE!</v>
      </c>
      <c r="GJ153" s="102" t="e">
        <v>#VALUE!</v>
      </c>
      <c r="GK153" s="102" t="e">
        <v>#VALUE!</v>
      </c>
      <c r="GL153" s="102" t="e">
        <v>#VALUE!</v>
      </c>
      <c r="GM153" s="102" t="e">
        <v>#VALUE!</v>
      </c>
      <c r="GN153" s="102" t="e">
        <v>#VALUE!</v>
      </c>
      <c r="GO153" s="102" t="e">
        <v>#VALUE!</v>
      </c>
      <c r="GP153" s="102" t="e">
        <v>#VALUE!</v>
      </c>
      <c r="GQ153" s="102" t="e">
        <v>#VALUE!</v>
      </c>
      <c r="GR153" s="102" t="e">
        <v>#VALUE!</v>
      </c>
      <c r="GS153" s="102" t="e">
        <v>#VALUE!</v>
      </c>
      <c r="GT153" s="102" t="e">
        <v>#VALUE!</v>
      </c>
      <c r="GU153" s="102" t="e">
        <v>#VALUE!</v>
      </c>
      <c r="GV153" s="102" t="e">
        <v>#VALUE!</v>
      </c>
      <c r="GW153" s="102" t="e">
        <v>#VALUE!</v>
      </c>
      <c r="GX153" s="102" t="e">
        <v>#VALUE!</v>
      </c>
      <c r="GY153" s="102" t="e">
        <v>#VALUE!</v>
      </c>
      <c r="GZ153" s="102" t="e">
        <v>#VALUE!</v>
      </c>
      <c r="HA153" s="102" t="e">
        <v>#VALUE!</v>
      </c>
      <c r="HB153" s="102" t="e">
        <v>#VALUE!</v>
      </c>
      <c r="HD153" s="102">
        <f t="shared" si="776"/>
        <v>1608.55427577</v>
      </c>
      <c r="HE153" s="102">
        <f t="shared" si="776"/>
        <v>1544.7759429399998</v>
      </c>
      <c r="HF153" s="102">
        <f t="shared" si="776"/>
        <v>1717.1877929299999</v>
      </c>
      <c r="HG153" s="102">
        <f t="shared" si="776"/>
        <v>1407.41</v>
      </c>
      <c r="HH153" s="102">
        <f t="shared" si="777"/>
        <v>1317.46053646</v>
      </c>
      <c r="HI153" s="102">
        <f t="shared" si="778"/>
        <v>917.77147746000003</v>
      </c>
      <c r="HJ153" s="102">
        <f t="shared" si="846"/>
        <v>1580.4543125299999</v>
      </c>
      <c r="HK153" s="102">
        <f t="shared" si="847"/>
        <v>1721.8683255399999</v>
      </c>
      <c r="HL153" s="940">
        <f>+SUMIFS($E153:SEW153,$E$6:SEW$6,HL$7,$E$5:SEW$5,12)</f>
        <v>1763.86429234</v>
      </c>
      <c r="HM153" s="940">
        <f>+SUMIFS($E153:SEX153,$E$6:SEX$6,HM$7,$E$5:SEX$5,12)</f>
        <v>1957.6635447599999</v>
      </c>
      <c r="HN153" s="940">
        <f>+SUMIFS($E153:SEY153,$E$6:SEY$6,HN$7,$E$5:SEY$5,12)</f>
        <v>2401.8048977100002</v>
      </c>
      <c r="HO153" s="102"/>
      <c r="HP153" s="102"/>
      <c r="HR153" s="929">
        <f t="shared" si="779"/>
        <v>0.11160961612456743</v>
      </c>
      <c r="HS153" s="929">
        <f t="shared" si="780"/>
        <v>-0.18039831997724187</v>
      </c>
      <c r="HT153" s="929">
        <f t="shared" si="781"/>
        <v>-6.3911343204894222E-2</v>
      </c>
      <c r="HU153" s="929">
        <f t="shared" si="738"/>
        <v>-0.30337839194330596</v>
      </c>
      <c r="HV153" s="929">
        <f t="shared" si="739"/>
        <v>0.72205647194879408</v>
      </c>
      <c r="HW153" s="929">
        <f t="shared" si="740"/>
        <v>8.9476811755237362E-2</v>
      </c>
      <c r="HX153" s="929">
        <f t="shared" si="741"/>
        <v>2.4389766730176454E-2</v>
      </c>
      <c r="HY153" s="929">
        <f t="shared" si="741"/>
        <v>0.109871974426615</v>
      </c>
      <c r="HZ153" s="929">
        <f t="shared" si="741"/>
        <v>0.22687317958124908</v>
      </c>
      <c r="IA153" s="929">
        <f t="shared" si="762"/>
        <v>-1</v>
      </c>
      <c r="IB153" s="929" t="str">
        <f t="shared" si="782"/>
        <v/>
      </c>
      <c r="IC153" s="929">
        <f t="shared" si="763"/>
        <v>-1</v>
      </c>
      <c r="IE153" s="102">
        <f t="shared" si="783"/>
        <v>172.41184999000006</v>
      </c>
      <c r="IF153" s="102">
        <f t="shared" si="784"/>
        <v>-309.7777929299998</v>
      </c>
      <c r="IG153" s="102">
        <f t="shared" si="785"/>
        <v>-89.949463540000124</v>
      </c>
      <c r="IH153" s="102">
        <f t="shared" si="742"/>
        <v>-399.68905899999993</v>
      </c>
      <c r="II153" s="102">
        <f t="shared" si="767"/>
        <v>662.6828350699999</v>
      </c>
      <c r="IJ153" s="102">
        <f t="shared" si="768"/>
        <v>141.41401300999996</v>
      </c>
      <c r="IK153" s="102">
        <f t="shared" si="769"/>
        <v>41.995966800000133</v>
      </c>
      <c r="IL153" s="102">
        <f t="shared" si="764"/>
        <v>-1763.86429234</v>
      </c>
      <c r="IM153" s="102">
        <f t="shared" si="786"/>
        <v>0</v>
      </c>
      <c r="IN153" s="102">
        <f t="shared" si="765"/>
        <v>-1763.86429234</v>
      </c>
      <c r="IP153" s="973"/>
      <c r="IQ153" s="973"/>
      <c r="IR153" s="973"/>
      <c r="IS153" s="973"/>
      <c r="IT153" s="973"/>
      <c r="IU153" s="973"/>
      <c r="IV153" s="973"/>
      <c r="IW153" s="973"/>
      <c r="IX153" s="973"/>
      <c r="IY153" s="973"/>
      <c r="JA153" s="102">
        <f t="shared" si="727"/>
        <v>1608.55427577</v>
      </c>
      <c r="JB153" s="102">
        <f t="shared" si="816"/>
        <v>1544.7759429399998</v>
      </c>
      <c r="JC153" s="102">
        <f t="shared" si="816"/>
        <v>1717.1877929299999</v>
      </c>
      <c r="JD153" s="102">
        <f t="shared" si="816"/>
        <v>1407.41</v>
      </c>
      <c r="JE153" s="102">
        <f t="shared" si="816"/>
        <v>1317.46053646</v>
      </c>
      <c r="JF153" s="102">
        <f t="shared" si="816"/>
        <v>917.77147746000003</v>
      </c>
      <c r="JG153" s="102">
        <f t="shared" si="816"/>
        <v>1580.4543125299999</v>
      </c>
      <c r="JH153" s="102">
        <f t="shared" si="816"/>
        <v>1721.8683255399999</v>
      </c>
      <c r="JI153" s="102">
        <f t="shared" si="816"/>
        <v>1763.86429234</v>
      </c>
      <c r="JJ153" s="102">
        <f t="shared" si="816"/>
        <v>1957.6635447599999</v>
      </c>
      <c r="JK153" s="102">
        <f t="shared" si="816"/>
        <v>2401.8048977100002</v>
      </c>
      <c r="JL153" s="102">
        <f t="shared" si="728"/>
        <v>2401.8048977100002</v>
      </c>
      <c r="JM153" s="102"/>
      <c r="JN153" s="102"/>
      <c r="JP153" s="102">
        <f t="shared" si="787"/>
        <v>0</v>
      </c>
      <c r="JQ153" s="102">
        <f t="shared" si="788"/>
        <v>0</v>
      </c>
      <c r="JR153" s="145"/>
      <c r="JS153" s="929" t="str">
        <f t="shared" si="789"/>
        <v>NA</v>
      </c>
      <c r="JT153" s="930">
        <f t="shared" si="790"/>
        <v>0</v>
      </c>
      <c r="JV153" s="973"/>
      <c r="JW153" s="973"/>
      <c r="JY153" s="929">
        <f t="shared" si="817"/>
        <v>0.11160961612456743</v>
      </c>
      <c r="JZ153" s="929">
        <f t="shared" si="818"/>
        <v>-0.18039831997724187</v>
      </c>
      <c r="KA153" s="929">
        <f t="shared" si="819"/>
        <v>-6.3911343204894222E-2</v>
      </c>
      <c r="KB153" s="929">
        <f t="shared" si="820"/>
        <v>-0.30337839194330596</v>
      </c>
      <c r="KC153" s="929">
        <f t="shared" si="821"/>
        <v>0.72205647194879408</v>
      </c>
      <c r="KD153" s="929">
        <f t="shared" si="822"/>
        <v>8.9476811755237362E-2</v>
      </c>
      <c r="KE153" s="929">
        <f t="shared" si="823"/>
        <v>2.4389766730176454E-2</v>
      </c>
      <c r="KF153" s="929">
        <f t="shared" si="824"/>
        <v>-1</v>
      </c>
      <c r="KH153" s="102">
        <f t="shared" si="792"/>
        <v>172.41184999000006</v>
      </c>
      <c r="KI153" s="102">
        <f t="shared" si="793"/>
        <v>-309.7777929299998</v>
      </c>
      <c r="KJ153" s="102">
        <f t="shared" si="794"/>
        <v>-89.949463540000124</v>
      </c>
      <c r="KK153" s="102">
        <f t="shared" si="795"/>
        <v>-399.68905899999993</v>
      </c>
      <c r="KL153" s="102">
        <f t="shared" si="796"/>
        <v>662.6828350699999</v>
      </c>
      <c r="KM153" s="102">
        <f t="shared" si="797"/>
        <v>141.41401300999996</v>
      </c>
      <c r="KN153" s="102">
        <f t="shared" si="798"/>
        <v>41.995966800000133</v>
      </c>
      <c r="KO153" s="102">
        <f t="shared" si="711"/>
        <v>-1763.86429234</v>
      </c>
      <c r="KQ153" s="973"/>
      <c r="KR153" s="973"/>
      <c r="KS153" s="973"/>
      <c r="KT153" s="973"/>
      <c r="KU153" s="973"/>
      <c r="KV153" s="973"/>
      <c r="KW153" s="973"/>
      <c r="KX153" s="973"/>
      <c r="KY153" s="973"/>
      <c r="KZ153" s="973"/>
      <c r="LB153" s="102">
        <f t="shared" si="737"/>
        <v>1608.55427577</v>
      </c>
      <c r="LC153" s="102">
        <f t="shared" si="825"/>
        <v>1544.7759429399998</v>
      </c>
      <c r="LD153" s="102">
        <f t="shared" si="825"/>
        <v>1717.1877929299999</v>
      </c>
      <c r="LE153" s="102">
        <f t="shared" si="825"/>
        <v>1407.41</v>
      </c>
      <c r="LF153" s="102">
        <f t="shared" si="825"/>
        <v>1317.46053646</v>
      </c>
      <c r="LG153" s="102">
        <f t="shared" si="825"/>
        <v>917.77147746000003</v>
      </c>
      <c r="LH153" s="102">
        <f t="shared" si="825"/>
        <v>1580.4543125299999</v>
      </c>
      <c r="LI153" s="102">
        <f t="shared" si="825"/>
        <v>1721.8683255399999</v>
      </c>
      <c r="LJ153" s="102">
        <f t="shared" si="825"/>
        <v>1763.86429234</v>
      </c>
      <c r="LK153" s="102">
        <f t="shared" si="825"/>
        <v>1957.6635447599999</v>
      </c>
      <c r="LL153" s="102">
        <f t="shared" si="825"/>
        <v>2401.8048977100002</v>
      </c>
      <c r="LM153" s="102">
        <f t="shared" si="825"/>
        <v>2401.8048977100002</v>
      </c>
      <c r="LN153" s="102"/>
      <c r="LO153" s="102"/>
      <c r="LR153" s="32">
        <f t="shared" si="799"/>
        <v>0.11160961612456743</v>
      </c>
      <c r="LS153" s="32">
        <f t="shared" si="800"/>
        <v>-0.18039831997724187</v>
      </c>
      <c r="LT153" s="32">
        <f t="shared" si="801"/>
        <v>-6.3911343204894222E-2</v>
      </c>
      <c r="LU153" s="32">
        <f t="shared" si="802"/>
        <v>-0.30337839194330596</v>
      </c>
      <c r="LV153" s="32">
        <f t="shared" si="803"/>
        <v>0.72205647194879408</v>
      </c>
      <c r="LW153" s="32">
        <f t="shared" si="804"/>
        <v>8.9476811755237362E-2</v>
      </c>
      <c r="LX153" s="32">
        <f t="shared" si="848"/>
        <v>-1</v>
      </c>
      <c r="LZ153" s="102">
        <f t="shared" si="805"/>
        <v>172.41184999000006</v>
      </c>
      <c r="MA153" s="102">
        <f t="shared" si="806"/>
        <v>-309.7777929299998</v>
      </c>
      <c r="MB153" s="102">
        <f t="shared" si="807"/>
        <v>-89.949463540000124</v>
      </c>
      <c r="MC153" s="102">
        <f t="shared" si="808"/>
        <v>-399.68905899999993</v>
      </c>
      <c r="MD153" s="102">
        <f t="shared" si="809"/>
        <v>662.6828350699999</v>
      </c>
      <c r="ME153" s="102">
        <f t="shared" si="810"/>
        <v>141.41401300999996</v>
      </c>
      <c r="MF153" s="102">
        <f t="shared" si="849"/>
        <v>-1721.8683255399999</v>
      </c>
      <c r="MH153" s="973"/>
      <c r="MI153" s="973"/>
      <c r="MJ153" s="973"/>
      <c r="MK153" s="973"/>
      <c r="ML153" s="973"/>
      <c r="MM153" s="973"/>
      <c r="MN153" s="973"/>
      <c r="MO153" s="973"/>
      <c r="MP153" s="973"/>
    </row>
    <row r="154" spans="1:354" outlineLevel="3">
      <c r="A154" s="884">
        <v>1540</v>
      </c>
      <c r="B154" s="70"/>
      <c r="C154" s="40" t="s">
        <v>714</v>
      </c>
      <c r="D154" s="31" t="s">
        <v>59</v>
      </c>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45"/>
      <c r="AQ154" s="220"/>
      <c r="AR154" s="220"/>
      <c r="AS154" s="102"/>
      <c r="AT154" s="102"/>
      <c r="AU154" s="102"/>
      <c r="AV154" s="102"/>
      <c r="AW154" s="102"/>
      <c r="AX154" s="102"/>
      <c r="AY154" s="102"/>
      <c r="AZ154" s="102">
        <v>89.108000000000004</v>
      </c>
      <c r="BA154" s="102">
        <v>89.108435999999998</v>
      </c>
      <c r="BB154" s="102">
        <v>89.108435999999998</v>
      </c>
      <c r="BC154" s="102">
        <v>89.108435999999998</v>
      </c>
      <c r="BD154" s="102">
        <v>89.108435999999998</v>
      </c>
      <c r="BE154" s="102">
        <v>89.108435999999998</v>
      </c>
      <c r="BF154" s="102">
        <v>89.108435999999998</v>
      </c>
      <c r="BG154" s="102">
        <v>89.108435999999998</v>
      </c>
      <c r="BH154" s="102">
        <v>89.108435999999998</v>
      </c>
      <c r="BI154" s="102">
        <v>0</v>
      </c>
      <c r="BJ154" s="102">
        <v>0</v>
      </c>
      <c r="BK154" s="102">
        <v>0</v>
      </c>
      <c r="BL154" s="102">
        <v>0</v>
      </c>
      <c r="BM154" s="102">
        <v>0</v>
      </c>
      <c r="BN154" s="102">
        <v>0</v>
      </c>
      <c r="BO154" s="102">
        <v>0</v>
      </c>
      <c r="BP154" s="102">
        <v>0</v>
      </c>
      <c r="BQ154" s="102">
        <v>0</v>
      </c>
      <c r="BR154" s="102">
        <v>0</v>
      </c>
      <c r="BS154" s="102">
        <v>0</v>
      </c>
      <c r="BT154" s="102">
        <v>0</v>
      </c>
      <c r="BU154" s="102">
        <v>0</v>
      </c>
      <c r="BV154" s="102">
        <v>0</v>
      </c>
      <c r="BW154" s="102">
        <v>0</v>
      </c>
      <c r="BX154" s="102">
        <v>0</v>
      </c>
      <c r="BY154" s="102">
        <v>0</v>
      </c>
      <c r="BZ154" s="102">
        <v>0</v>
      </c>
      <c r="CA154" s="102">
        <v>0</v>
      </c>
      <c r="CB154" s="102">
        <v>0</v>
      </c>
      <c r="CC154" s="102">
        <v>0</v>
      </c>
      <c r="CD154" s="102">
        <v>0</v>
      </c>
      <c r="CE154" s="102">
        <v>0</v>
      </c>
      <c r="CF154" s="102">
        <v>0</v>
      </c>
      <c r="CG154" s="102">
        <v>0</v>
      </c>
      <c r="CH154" s="102">
        <v>0</v>
      </c>
      <c r="CI154" s="102">
        <v>0</v>
      </c>
      <c r="CJ154" s="102">
        <v>0</v>
      </c>
      <c r="CK154" s="102">
        <v>0</v>
      </c>
      <c r="CL154" s="102">
        <v>0</v>
      </c>
      <c r="CM154" s="102">
        <v>0</v>
      </c>
      <c r="CN154" s="102">
        <v>0</v>
      </c>
      <c r="CO154" s="102">
        <v>0</v>
      </c>
      <c r="CP154" s="102">
        <v>0</v>
      </c>
      <c r="CQ154" s="102">
        <v>0</v>
      </c>
      <c r="CR154" s="102">
        <v>0</v>
      </c>
      <c r="CS154" s="102">
        <v>0</v>
      </c>
      <c r="CT154" s="102">
        <v>0</v>
      </c>
      <c r="CU154" s="102">
        <v>0</v>
      </c>
      <c r="CV154" s="102">
        <v>0</v>
      </c>
      <c r="CW154" s="102">
        <v>0</v>
      </c>
      <c r="CX154" s="102">
        <v>0</v>
      </c>
      <c r="CY154" s="102">
        <v>0</v>
      </c>
      <c r="CZ154" s="102">
        <v>0</v>
      </c>
      <c r="DA154" s="102">
        <v>0</v>
      </c>
      <c r="DB154" s="102">
        <v>0</v>
      </c>
      <c r="DC154" s="102">
        <v>0</v>
      </c>
      <c r="DD154" s="102">
        <v>0</v>
      </c>
      <c r="DE154" s="102">
        <v>0</v>
      </c>
      <c r="DF154" s="102">
        <v>0</v>
      </c>
      <c r="DG154" s="102">
        <v>0</v>
      </c>
      <c r="DH154" s="102">
        <v>0</v>
      </c>
      <c r="DI154" s="102">
        <v>0</v>
      </c>
      <c r="DJ154" s="102">
        <v>0</v>
      </c>
      <c r="DK154" s="102">
        <v>0</v>
      </c>
      <c r="DL154" s="102">
        <v>0</v>
      </c>
      <c r="DM154" s="102">
        <v>0</v>
      </c>
      <c r="DN154" s="102">
        <v>0</v>
      </c>
      <c r="DO154" s="102">
        <v>0</v>
      </c>
      <c r="DP154" s="102">
        <v>0</v>
      </c>
      <c r="DQ154" s="940">
        <v>0</v>
      </c>
      <c r="DR154" s="940">
        <v>0</v>
      </c>
      <c r="DS154" s="940">
        <v>0</v>
      </c>
      <c r="DT154" s="940">
        <v>0</v>
      </c>
      <c r="DU154" s="940">
        <v>0</v>
      </c>
      <c r="DV154" s="940">
        <v>0</v>
      </c>
      <c r="DW154" s="940">
        <v>0</v>
      </c>
      <c r="DX154" s="940">
        <v>0</v>
      </c>
      <c r="DY154" s="940">
        <v>0</v>
      </c>
      <c r="DZ154" s="940">
        <v>0</v>
      </c>
      <c r="EA154" s="940">
        <v>0</v>
      </c>
      <c r="EB154" s="940">
        <v>0</v>
      </c>
      <c r="EC154" s="940">
        <v>0</v>
      </c>
      <c r="ED154" s="940">
        <v>0</v>
      </c>
      <c r="EE154" s="940">
        <v>0</v>
      </c>
      <c r="EF154" s="940">
        <v>0</v>
      </c>
      <c r="EH154" s="102" t="e">
        <v>#VALUE!</v>
      </c>
      <c r="EI154" s="102" t="e">
        <v>#VALUE!</v>
      </c>
      <c r="EJ154" s="102" t="e">
        <v>#VALUE!</v>
      </c>
      <c r="EK154" s="102" t="e">
        <v>#VALUE!</v>
      </c>
      <c r="EL154" s="102" t="e">
        <v>#VALUE!</v>
      </c>
      <c r="EM154" s="102" t="e">
        <v>#VALUE!</v>
      </c>
      <c r="EN154" s="102" t="e">
        <v>#VALUE!</v>
      </c>
      <c r="EO154" s="102" t="e">
        <v>#VALUE!</v>
      </c>
      <c r="EP154" s="102" t="e">
        <v>#VALUE!</v>
      </c>
      <c r="EQ154" s="102" t="e">
        <v>#VALUE!</v>
      </c>
      <c r="ER154" s="102" t="e">
        <v>#VALUE!</v>
      </c>
      <c r="ES154" s="102" t="e">
        <v>#VALUE!</v>
      </c>
      <c r="EU154" s="102"/>
      <c r="EV154" s="102"/>
      <c r="EW154" s="102"/>
      <c r="EX154" s="102"/>
      <c r="EY154" s="102"/>
      <c r="EZ154" s="102"/>
      <c r="FA154" s="102"/>
      <c r="FB154" s="102"/>
      <c r="FC154" s="102"/>
      <c r="FD154" s="102"/>
      <c r="FE154" s="102"/>
      <c r="FF154" s="102"/>
      <c r="FG154" s="102"/>
      <c r="FH154" s="102"/>
      <c r="FI154" s="102"/>
      <c r="FJ154" s="102"/>
      <c r="FK154" s="102"/>
      <c r="FL154" s="102"/>
      <c r="FM154" s="102"/>
      <c r="FN154" s="102"/>
      <c r="FO154" s="102"/>
      <c r="FP154" s="102"/>
      <c r="FQ154" s="102"/>
      <c r="FR154" s="102"/>
      <c r="FS154" s="102"/>
      <c r="FT154" s="102"/>
      <c r="FU154" s="102"/>
      <c r="FV154" s="102"/>
      <c r="FW154" s="102"/>
      <c r="FX154" s="102"/>
      <c r="FY154" s="102"/>
      <c r="FZ154" s="102"/>
      <c r="GA154" s="102"/>
      <c r="GB154" s="102"/>
      <c r="GC154" s="102"/>
      <c r="GD154" s="102"/>
      <c r="GE154" s="102" t="e">
        <v>#VALUE!</v>
      </c>
      <c r="GF154" s="102" t="e">
        <v>#VALUE!</v>
      </c>
      <c r="GG154" s="102" t="e">
        <v>#VALUE!</v>
      </c>
      <c r="GH154" s="102" t="e">
        <v>#VALUE!</v>
      </c>
      <c r="GI154" s="102" t="e">
        <v>#VALUE!</v>
      </c>
      <c r="GJ154" s="102" t="e">
        <v>#VALUE!</v>
      </c>
      <c r="GK154" s="102" t="e">
        <v>#VALUE!</v>
      </c>
      <c r="GL154" s="102" t="e">
        <v>#VALUE!</v>
      </c>
      <c r="GM154" s="102" t="e">
        <v>#VALUE!</v>
      </c>
      <c r="GN154" s="102" t="e">
        <v>#VALUE!</v>
      </c>
      <c r="GO154" s="102" t="e">
        <v>#VALUE!</v>
      </c>
      <c r="GP154" s="102" t="e">
        <v>#VALUE!</v>
      </c>
      <c r="GQ154" s="102" t="e">
        <v>#VALUE!</v>
      </c>
      <c r="GR154" s="102" t="e">
        <v>#VALUE!</v>
      </c>
      <c r="GS154" s="102" t="e">
        <v>#VALUE!</v>
      </c>
      <c r="GT154" s="102" t="e">
        <v>#VALUE!</v>
      </c>
      <c r="GU154" s="102" t="e">
        <v>#VALUE!</v>
      </c>
      <c r="GV154" s="102" t="e">
        <v>#VALUE!</v>
      </c>
      <c r="GW154" s="102" t="e">
        <v>#VALUE!</v>
      </c>
      <c r="GX154" s="102" t="e">
        <v>#VALUE!</v>
      </c>
      <c r="GY154" s="102" t="e">
        <v>#VALUE!</v>
      </c>
      <c r="GZ154" s="102" t="e">
        <v>#VALUE!</v>
      </c>
      <c r="HA154" s="102" t="e">
        <v>#VALUE!</v>
      </c>
      <c r="HB154" s="102" t="e">
        <v>#VALUE!</v>
      </c>
      <c r="HD154" s="102"/>
      <c r="HE154" s="102"/>
      <c r="HF154" s="102"/>
      <c r="HG154" s="102"/>
      <c r="HH154" s="102">
        <f t="shared" si="777"/>
        <v>0</v>
      </c>
      <c r="HI154" s="102">
        <f t="shared" si="778"/>
        <v>0</v>
      </c>
      <c r="HJ154" s="102">
        <f t="shared" si="846"/>
        <v>0</v>
      </c>
      <c r="HK154" s="102">
        <f t="shared" si="847"/>
        <v>0</v>
      </c>
      <c r="HL154" s="940">
        <f>+SUMIFS($E154:SEW154,$E$6:SEW$6,HL$7,$E$5:SEW$5,12)</f>
        <v>0</v>
      </c>
      <c r="HM154" s="940">
        <f>+SUMIFS($E154:SEX154,$E$6:SEX$6,HM$7,$E$5:SEX$5,12)</f>
        <v>0</v>
      </c>
      <c r="HN154" s="940">
        <f>+SUMIFS($E154:SEY154,$E$6:SEY$6,HN$7,$E$5:SEY$5,12)</f>
        <v>0</v>
      </c>
      <c r="HO154" s="102"/>
      <c r="HP154" s="102"/>
      <c r="HR154" s="32"/>
      <c r="HS154" s="32"/>
      <c r="HT154" s="32"/>
      <c r="HU154" s="929" t="str">
        <f t="shared" si="738"/>
        <v/>
      </c>
      <c r="HV154" s="929" t="str">
        <f t="shared" si="739"/>
        <v/>
      </c>
      <c r="HW154" s="929" t="str">
        <f t="shared" si="740"/>
        <v/>
      </c>
      <c r="HX154" s="929" t="str">
        <f t="shared" si="741"/>
        <v/>
      </c>
      <c r="HY154" s="929" t="str">
        <f t="shared" si="741"/>
        <v/>
      </c>
      <c r="HZ154" s="929" t="str">
        <f t="shared" si="741"/>
        <v/>
      </c>
      <c r="IA154" s="929" t="str">
        <f t="shared" si="762"/>
        <v/>
      </c>
      <c r="IB154" s="32"/>
      <c r="IC154" s="929" t="str">
        <f t="shared" si="763"/>
        <v/>
      </c>
      <c r="IE154" s="102"/>
      <c r="IF154" s="102"/>
      <c r="IG154" s="102"/>
      <c r="IH154" s="102">
        <f t="shared" si="742"/>
        <v>0</v>
      </c>
      <c r="II154" s="102">
        <f t="shared" si="767"/>
        <v>0</v>
      </c>
      <c r="IJ154" s="102">
        <f t="shared" si="768"/>
        <v>0</v>
      </c>
      <c r="IK154" s="102">
        <f t="shared" si="769"/>
        <v>0</v>
      </c>
      <c r="IL154" s="102">
        <f t="shared" si="764"/>
        <v>0</v>
      </c>
      <c r="IM154" s="102"/>
      <c r="IN154" s="102">
        <f t="shared" si="765"/>
        <v>0</v>
      </c>
      <c r="IP154" s="973"/>
      <c r="IQ154" s="973"/>
      <c r="IR154" s="973"/>
      <c r="IS154" s="973"/>
      <c r="IT154" s="973"/>
      <c r="IU154" s="973"/>
      <c r="IV154" s="973"/>
      <c r="IW154" s="973"/>
      <c r="IX154" s="973"/>
      <c r="IY154" s="973"/>
      <c r="JA154" s="102">
        <f t="shared" si="727"/>
        <v>0</v>
      </c>
      <c r="JB154" s="102">
        <f t="shared" ref="JB154:JK169" si="850">+IFERROR(SUMIFS($E154:$EG154,$E$6:$EG$6,JB$7,$E$5:$EG$5,$JC$5),"NA")</f>
        <v>0</v>
      </c>
      <c r="JC154" s="102">
        <f t="shared" si="850"/>
        <v>0</v>
      </c>
      <c r="JD154" s="102">
        <f t="shared" si="850"/>
        <v>89.108000000000004</v>
      </c>
      <c r="JE154" s="102">
        <f t="shared" si="850"/>
        <v>0</v>
      </c>
      <c r="JF154" s="102">
        <f t="shared" si="850"/>
        <v>0</v>
      </c>
      <c r="JG154" s="102">
        <f t="shared" si="850"/>
        <v>0</v>
      </c>
      <c r="JH154" s="102">
        <f t="shared" si="850"/>
        <v>0</v>
      </c>
      <c r="JI154" s="102">
        <f t="shared" si="850"/>
        <v>0</v>
      </c>
      <c r="JJ154" s="102">
        <f t="shared" si="850"/>
        <v>0</v>
      </c>
      <c r="JK154" s="102">
        <f t="shared" si="850"/>
        <v>0</v>
      </c>
      <c r="JL154" s="102">
        <f t="shared" si="728"/>
        <v>0</v>
      </c>
      <c r="JM154" s="102"/>
      <c r="JN154" s="102"/>
      <c r="JP154" s="102">
        <f t="shared" si="787"/>
        <v>0</v>
      </c>
      <c r="JQ154" s="102">
        <f t="shared" si="788"/>
        <v>0</v>
      </c>
      <c r="JR154" s="145"/>
      <c r="JS154" s="929"/>
      <c r="JT154" s="930"/>
      <c r="JV154" s="973"/>
      <c r="JW154" s="973"/>
      <c r="JY154" s="929" t="str">
        <f t="shared" si="817"/>
        <v/>
      </c>
      <c r="JZ154" s="929" t="str">
        <f t="shared" si="818"/>
        <v/>
      </c>
      <c r="KA154" s="929">
        <f t="shared" si="819"/>
        <v>-1</v>
      </c>
      <c r="KB154" s="929" t="str">
        <f t="shared" si="820"/>
        <v/>
      </c>
      <c r="KC154" s="929" t="str">
        <f t="shared" si="821"/>
        <v/>
      </c>
      <c r="KD154" s="929" t="str">
        <f t="shared" si="822"/>
        <v/>
      </c>
      <c r="KE154" s="929" t="str">
        <f t="shared" si="823"/>
        <v/>
      </c>
      <c r="KF154" s="929" t="str">
        <f t="shared" si="824"/>
        <v/>
      </c>
      <c r="KH154" s="102">
        <f t="shared" si="792"/>
        <v>0</v>
      </c>
      <c r="KI154" s="102">
        <f t="shared" si="793"/>
        <v>89.108000000000004</v>
      </c>
      <c r="KJ154" s="102">
        <f t="shared" si="794"/>
        <v>-89.108000000000004</v>
      </c>
      <c r="KK154" s="102">
        <f t="shared" si="795"/>
        <v>0</v>
      </c>
      <c r="KL154" s="102">
        <f t="shared" si="796"/>
        <v>0</v>
      </c>
      <c r="KM154" s="102">
        <f t="shared" si="797"/>
        <v>0</v>
      </c>
      <c r="KN154" s="102">
        <f t="shared" si="798"/>
        <v>0</v>
      </c>
      <c r="KO154" s="102">
        <f t="shared" si="711"/>
        <v>0</v>
      </c>
      <c r="KQ154" s="973"/>
      <c r="KR154" s="973"/>
      <c r="KS154" s="973"/>
      <c r="KT154" s="973"/>
      <c r="KU154" s="973"/>
      <c r="KV154" s="973"/>
      <c r="KW154" s="973"/>
      <c r="KX154" s="973"/>
      <c r="KY154" s="973"/>
      <c r="KZ154" s="973"/>
      <c r="LB154" s="102">
        <f t="shared" si="737"/>
        <v>0</v>
      </c>
      <c r="LC154" s="102">
        <f t="shared" ref="LC154:LM169" si="851">+SUMIFS($E154:$EG154,$E$6:$EG$6,LC$7,$E$5:$EG$5,$LD$5)</f>
        <v>0</v>
      </c>
      <c r="LD154" s="102">
        <f t="shared" si="851"/>
        <v>0</v>
      </c>
      <c r="LE154" s="102">
        <f t="shared" si="851"/>
        <v>89.108000000000004</v>
      </c>
      <c r="LF154" s="102">
        <f t="shared" si="851"/>
        <v>0</v>
      </c>
      <c r="LG154" s="102">
        <f t="shared" si="851"/>
        <v>0</v>
      </c>
      <c r="LH154" s="102">
        <f t="shared" si="851"/>
        <v>0</v>
      </c>
      <c r="LI154" s="102">
        <f t="shared" si="851"/>
        <v>0</v>
      </c>
      <c r="LJ154" s="102">
        <f t="shared" si="851"/>
        <v>0</v>
      </c>
      <c r="LK154" s="102">
        <f t="shared" si="851"/>
        <v>0</v>
      </c>
      <c r="LL154" s="102">
        <f t="shared" si="851"/>
        <v>0</v>
      </c>
      <c r="LM154" s="102">
        <f t="shared" si="851"/>
        <v>0</v>
      </c>
      <c r="LN154" s="102"/>
      <c r="LO154" s="102"/>
      <c r="LR154" s="32" t="str">
        <f t="shared" si="799"/>
        <v xml:space="preserve"> </v>
      </c>
      <c r="LS154" s="32" t="str">
        <f t="shared" si="800"/>
        <v xml:space="preserve"> </v>
      </c>
      <c r="LT154" s="32">
        <f t="shared" si="801"/>
        <v>-1</v>
      </c>
      <c r="LU154" s="32" t="str">
        <f t="shared" si="802"/>
        <v xml:space="preserve"> </v>
      </c>
      <c r="LV154" s="32" t="str">
        <f t="shared" si="803"/>
        <v xml:space="preserve"> </v>
      </c>
      <c r="LW154" s="32" t="str">
        <f t="shared" si="804"/>
        <v xml:space="preserve"> </v>
      </c>
      <c r="LX154" s="32" t="str">
        <f t="shared" si="848"/>
        <v xml:space="preserve"> </v>
      </c>
      <c r="LZ154" s="102">
        <f t="shared" si="805"/>
        <v>0</v>
      </c>
      <c r="MA154" s="102">
        <f t="shared" si="806"/>
        <v>89.108000000000004</v>
      </c>
      <c r="MB154" s="102">
        <f t="shared" si="807"/>
        <v>-89.108000000000004</v>
      </c>
      <c r="MC154" s="102">
        <f t="shared" si="808"/>
        <v>0</v>
      </c>
      <c r="MD154" s="102">
        <f t="shared" si="809"/>
        <v>0</v>
      </c>
      <c r="ME154" s="102">
        <f t="shared" si="810"/>
        <v>0</v>
      </c>
      <c r="MF154" s="102">
        <f t="shared" si="849"/>
        <v>0</v>
      </c>
      <c r="MH154" s="973"/>
      <c r="MI154" s="973"/>
      <c r="MJ154" s="973"/>
      <c r="MK154" s="973"/>
      <c r="ML154" s="973"/>
      <c r="MM154" s="973"/>
      <c r="MN154" s="973"/>
      <c r="MO154" s="973"/>
      <c r="MP154" s="973"/>
    </row>
    <row r="155" spans="1:354" outlineLevel="2">
      <c r="A155" s="884">
        <v>1599</v>
      </c>
      <c r="B155" s="70" t="s">
        <v>641</v>
      </c>
      <c r="C155" s="29" t="s">
        <v>93</v>
      </c>
      <c r="D155" s="31" t="s">
        <v>59</v>
      </c>
      <c r="E155" s="102">
        <v>0</v>
      </c>
      <c r="F155" s="102">
        <v>0</v>
      </c>
      <c r="G155" s="102">
        <v>0</v>
      </c>
      <c r="H155" s="102">
        <v>0</v>
      </c>
      <c r="I155" s="102">
        <v>0</v>
      </c>
      <c r="J155" s="102">
        <v>0</v>
      </c>
      <c r="K155" s="102">
        <v>0</v>
      </c>
      <c r="L155" s="102">
        <v>0</v>
      </c>
      <c r="M155" s="102">
        <v>0</v>
      </c>
      <c r="N155" s="102">
        <v>0</v>
      </c>
      <c r="O155" s="102">
        <v>-31.394378</v>
      </c>
      <c r="P155" s="102">
        <v>0</v>
      </c>
      <c r="Q155" s="102">
        <v>0</v>
      </c>
      <c r="R155" s="102">
        <v>0</v>
      </c>
      <c r="S155" s="102">
        <v>0</v>
      </c>
      <c r="T155" s="102">
        <v>0</v>
      </c>
      <c r="U155" s="102">
        <v>0</v>
      </c>
      <c r="V155" s="102">
        <v>0</v>
      </c>
      <c r="W155" s="102">
        <v>0</v>
      </c>
      <c r="X155" s="102">
        <v>0</v>
      </c>
      <c r="Y155" s="102">
        <v>0</v>
      </c>
      <c r="Z155" s="102">
        <v>0</v>
      </c>
      <c r="AA155" s="102">
        <v>0</v>
      </c>
      <c r="AB155" s="102">
        <v>0</v>
      </c>
      <c r="AC155" s="102">
        <v>0</v>
      </c>
      <c r="AD155" s="102">
        <v>0</v>
      </c>
      <c r="AE155" s="102">
        <v>0</v>
      </c>
      <c r="AF155" s="102">
        <v>0</v>
      </c>
      <c r="AG155" s="102">
        <v>0</v>
      </c>
      <c r="AH155" s="102">
        <v>0</v>
      </c>
      <c r="AI155" s="102">
        <v>0</v>
      </c>
      <c r="AJ155" s="102">
        <v>0</v>
      </c>
      <c r="AK155" s="102">
        <v>0</v>
      </c>
      <c r="AL155" s="102">
        <v>0</v>
      </c>
      <c r="AM155" s="102">
        <v>0</v>
      </c>
      <c r="AN155" s="102">
        <v>0</v>
      </c>
      <c r="AO155" s="102">
        <v>0</v>
      </c>
      <c r="AP155" s="145">
        <v>0</v>
      </c>
      <c r="AQ155" s="220">
        <v>0</v>
      </c>
      <c r="AR155" s="220">
        <v>0</v>
      </c>
      <c r="AS155" s="102">
        <v>0</v>
      </c>
      <c r="AT155" s="102">
        <v>0</v>
      </c>
      <c r="AU155" s="102">
        <v>0</v>
      </c>
      <c r="AV155" s="102">
        <v>0</v>
      </c>
      <c r="AW155" s="102">
        <v>0</v>
      </c>
      <c r="AX155" s="102">
        <v>0</v>
      </c>
      <c r="AY155" s="102">
        <v>0</v>
      </c>
      <c r="AZ155" s="102">
        <v>0</v>
      </c>
      <c r="BA155" s="102">
        <v>0</v>
      </c>
      <c r="BB155" s="102">
        <v>0</v>
      </c>
      <c r="BC155" s="102">
        <v>0</v>
      </c>
      <c r="BD155" s="102">
        <v>0</v>
      </c>
      <c r="BE155" s="102">
        <v>0</v>
      </c>
      <c r="BF155" s="102">
        <v>0</v>
      </c>
      <c r="BG155" s="102">
        <v>0</v>
      </c>
      <c r="BH155" s="102">
        <v>0</v>
      </c>
      <c r="BI155" s="102">
        <v>0</v>
      </c>
      <c r="BJ155" s="102">
        <v>0</v>
      </c>
      <c r="BK155" s="102">
        <v>0</v>
      </c>
      <c r="BL155" s="102">
        <v>0</v>
      </c>
      <c r="BM155" s="102">
        <v>0</v>
      </c>
      <c r="BN155" s="102">
        <v>0</v>
      </c>
      <c r="BO155" s="102">
        <v>0</v>
      </c>
      <c r="BP155" s="102">
        <v>0</v>
      </c>
      <c r="BQ155" s="102">
        <v>0</v>
      </c>
      <c r="BR155" s="102">
        <v>0</v>
      </c>
      <c r="BS155" s="102">
        <v>0</v>
      </c>
      <c r="BT155" s="102">
        <v>0</v>
      </c>
      <c r="BU155" s="102">
        <v>0</v>
      </c>
      <c r="BV155" s="102">
        <v>0</v>
      </c>
      <c r="BW155" s="102">
        <v>0</v>
      </c>
      <c r="BX155" s="102">
        <v>0</v>
      </c>
      <c r="BY155" s="102">
        <v>0</v>
      </c>
      <c r="BZ155" s="102">
        <v>0</v>
      </c>
      <c r="CA155" s="102">
        <v>0</v>
      </c>
      <c r="CB155" s="102">
        <v>0</v>
      </c>
      <c r="CC155" s="102">
        <v>0</v>
      </c>
      <c r="CD155" s="102">
        <v>0</v>
      </c>
      <c r="CE155" s="102">
        <v>0</v>
      </c>
      <c r="CF155" s="102">
        <v>0</v>
      </c>
      <c r="CG155" s="102">
        <v>0</v>
      </c>
      <c r="CH155" s="102">
        <v>0</v>
      </c>
      <c r="CI155" s="102">
        <v>0</v>
      </c>
      <c r="CJ155" s="102">
        <v>0</v>
      </c>
      <c r="CK155" s="102">
        <v>0</v>
      </c>
      <c r="CL155" s="102">
        <v>0</v>
      </c>
      <c r="CM155" s="102">
        <v>0</v>
      </c>
      <c r="CN155" s="102">
        <v>0</v>
      </c>
      <c r="CO155" s="102">
        <v>0</v>
      </c>
      <c r="CP155" s="102">
        <v>0</v>
      </c>
      <c r="CQ155" s="102">
        <v>0</v>
      </c>
      <c r="CR155" s="102">
        <v>0</v>
      </c>
      <c r="CS155" s="102">
        <v>0</v>
      </c>
      <c r="CT155" s="102">
        <v>0</v>
      </c>
      <c r="CU155" s="102">
        <v>0</v>
      </c>
      <c r="CV155" s="102">
        <v>0</v>
      </c>
      <c r="CW155" s="102">
        <v>0</v>
      </c>
      <c r="CX155" s="102">
        <v>0</v>
      </c>
      <c r="CY155" s="102">
        <v>0</v>
      </c>
      <c r="CZ155" s="102">
        <v>0</v>
      </c>
      <c r="DA155" s="102">
        <v>0</v>
      </c>
      <c r="DB155" s="102">
        <v>0</v>
      </c>
      <c r="DC155" s="102">
        <v>0</v>
      </c>
      <c r="DD155" s="102">
        <v>0</v>
      </c>
      <c r="DE155" s="102">
        <v>0</v>
      </c>
      <c r="DF155" s="102">
        <v>0</v>
      </c>
      <c r="DG155" s="102">
        <v>0</v>
      </c>
      <c r="DH155" s="102">
        <v>0</v>
      </c>
      <c r="DI155" s="102">
        <v>0</v>
      </c>
      <c r="DJ155" s="102">
        <v>0</v>
      </c>
      <c r="DK155" s="102">
        <v>0</v>
      </c>
      <c r="DL155" s="102">
        <v>0</v>
      </c>
      <c r="DM155" s="102">
        <v>0</v>
      </c>
      <c r="DN155" s="102">
        <v>0</v>
      </c>
      <c r="DO155" s="102">
        <v>0</v>
      </c>
      <c r="DP155" s="102">
        <v>0</v>
      </c>
      <c r="DQ155" s="940">
        <v>0</v>
      </c>
      <c r="DR155" s="940">
        <v>0</v>
      </c>
      <c r="DS155" s="940">
        <v>0</v>
      </c>
      <c r="DT155" s="940">
        <v>0</v>
      </c>
      <c r="DU155" s="940">
        <v>0</v>
      </c>
      <c r="DV155" s="940">
        <v>0</v>
      </c>
      <c r="DW155" s="940">
        <v>0</v>
      </c>
      <c r="DX155" s="940">
        <v>0</v>
      </c>
      <c r="DY155" s="940">
        <v>0</v>
      </c>
      <c r="DZ155" s="940">
        <v>0</v>
      </c>
      <c r="EA155" s="940">
        <v>0</v>
      </c>
      <c r="EB155" s="940">
        <v>0</v>
      </c>
      <c r="EC155" s="940">
        <v>0</v>
      </c>
      <c r="ED155" s="940">
        <v>0</v>
      </c>
      <c r="EE155" s="940">
        <v>0</v>
      </c>
      <c r="EF155" s="940">
        <v>0</v>
      </c>
      <c r="EH155" s="102" t="e">
        <v>#VALUE!</v>
      </c>
      <c r="EI155" s="102" t="e">
        <v>#VALUE!</v>
      </c>
      <c r="EJ155" s="102" t="e">
        <v>#VALUE!</v>
      </c>
      <c r="EK155" s="102" t="e">
        <v>#VALUE!</v>
      </c>
      <c r="EL155" s="102" t="e">
        <v>#VALUE!</v>
      </c>
      <c r="EM155" s="102" t="e">
        <v>#VALUE!</v>
      </c>
      <c r="EN155" s="102" t="e">
        <v>#VALUE!</v>
      </c>
      <c r="EO155" s="102" t="e">
        <v>#VALUE!</v>
      </c>
      <c r="EP155" s="102" t="e">
        <v>#VALUE!</v>
      </c>
      <c r="EQ155" s="102" t="e">
        <v>#VALUE!</v>
      </c>
      <c r="ER155" s="102" t="e">
        <v>#VALUE!</v>
      </c>
      <c r="ES155" s="102" t="e">
        <v>#VALUE!</v>
      </c>
      <c r="EU155" s="102"/>
      <c r="EV155" s="102"/>
      <c r="EW155" s="102"/>
      <c r="EX155" s="102"/>
      <c r="EY155" s="102"/>
      <c r="EZ155" s="102"/>
      <c r="FA155" s="102"/>
      <c r="FB155" s="102"/>
      <c r="FC155" s="102"/>
      <c r="FD155" s="102"/>
      <c r="FE155" s="102"/>
      <c r="FF155" s="102"/>
      <c r="FG155" s="102">
        <v>0</v>
      </c>
      <c r="FH155" s="102">
        <v>0</v>
      </c>
      <c r="FI155" s="102">
        <v>0</v>
      </c>
      <c r="FJ155" s="102">
        <v>0</v>
      </c>
      <c r="FK155" s="102">
        <v>0</v>
      </c>
      <c r="FL155" s="102">
        <v>0</v>
      </c>
      <c r="FM155" s="102">
        <v>0</v>
      </c>
      <c r="FN155" s="102">
        <v>0</v>
      </c>
      <c r="FO155" s="102">
        <v>0</v>
      </c>
      <c r="FP155" s="102">
        <v>0</v>
      </c>
      <c r="FQ155" s="102">
        <v>0</v>
      </c>
      <c r="FR155" s="102">
        <v>0</v>
      </c>
      <c r="FS155" s="102"/>
      <c r="FT155" s="102"/>
      <c r="FU155" s="102"/>
      <c r="FV155" s="102"/>
      <c r="FW155" s="102"/>
      <c r="FX155" s="102"/>
      <c r="FY155" s="102"/>
      <c r="FZ155" s="102"/>
      <c r="GA155" s="102"/>
      <c r="GB155" s="102"/>
      <c r="GC155" s="102"/>
      <c r="GD155" s="102"/>
      <c r="GE155" s="102" t="e">
        <v>#VALUE!</v>
      </c>
      <c r="GF155" s="102" t="e">
        <v>#VALUE!</v>
      </c>
      <c r="GG155" s="102" t="e">
        <v>#VALUE!</v>
      </c>
      <c r="GH155" s="102" t="e">
        <v>#VALUE!</v>
      </c>
      <c r="GI155" s="102" t="e">
        <v>#VALUE!</v>
      </c>
      <c r="GJ155" s="102" t="e">
        <v>#VALUE!</v>
      </c>
      <c r="GK155" s="102" t="e">
        <v>#VALUE!</v>
      </c>
      <c r="GL155" s="102" t="e">
        <v>#VALUE!</v>
      </c>
      <c r="GM155" s="102" t="e">
        <v>#VALUE!</v>
      </c>
      <c r="GN155" s="102" t="e">
        <v>#VALUE!</v>
      </c>
      <c r="GO155" s="102" t="e">
        <v>#VALUE!</v>
      </c>
      <c r="GP155" s="102" t="e">
        <v>#VALUE!</v>
      </c>
      <c r="GQ155" s="102" t="e">
        <v>#VALUE!</v>
      </c>
      <c r="GR155" s="102" t="e">
        <v>#VALUE!</v>
      </c>
      <c r="GS155" s="102" t="e">
        <v>#VALUE!</v>
      </c>
      <c r="GT155" s="102" t="e">
        <v>#VALUE!</v>
      </c>
      <c r="GU155" s="102" t="e">
        <v>#VALUE!</v>
      </c>
      <c r="GV155" s="102" t="e">
        <v>#VALUE!</v>
      </c>
      <c r="GW155" s="102" t="e">
        <v>#VALUE!</v>
      </c>
      <c r="GX155" s="102" t="e">
        <v>#VALUE!</v>
      </c>
      <c r="GY155" s="102" t="e">
        <v>#VALUE!</v>
      </c>
      <c r="GZ155" s="102" t="e">
        <v>#VALUE!</v>
      </c>
      <c r="HA155" s="102" t="e">
        <v>#VALUE!</v>
      </c>
      <c r="HB155" s="102" t="e">
        <v>#VALUE!</v>
      </c>
      <c r="HD155" s="102">
        <f t="shared" ref="HD155:HG164" si="852">+SUMIFS($E155:$AZ155,$E$6:$AZ$6,HD$7,$E$5:$AZ$5,12)</f>
        <v>0</v>
      </c>
      <c r="HE155" s="102">
        <f t="shared" si="852"/>
        <v>0</v>
      </c>
      <c r="HF155" s="102">
        <f t="shared" si="852"/>
        <v>0</v>
      </c>
      <c r="HG155" s="102">
        <f t="shared" si="852"/>
        <v>0</v>
      </c>
      <c r="HH155" s="102">
        <f t="shared" si="777"/>
        <v>0</v>
      </c>
      <c r="HI155" s="102">
        <f t="shared" si="778"/>
        <v>0</v>
      </c>
      <c r="HJ155" s="102">
        <f t="shared" si="846"/>
        <v>0</v>
      </c>
      <c r="HK155" s="102">
        <f t="shared" si="847"/>
        <v>0</v>
      </c>
      <c r="HL155" s="940">
        <f>+SUMIFS($E155:SEW155,$E$6:SEW$6,HL$7,$E$5:SEW$5,12)</f>
        <v>0</v>
      </c>
      <c r="HM155" s="940">
        <f>+SUMIFS($E155:SEX155,$E$6:SEX$6,HM$7,$E$5:SEX$5,12)</f>
        <v>0</v>
      </c>
      <c r="HN155" s="940">
        <f>+SUMIFS($E155:SEY155,$E$6:SEY$6,HN$7,$E$5:SEY$5,12)</f>
        <v>0</v>
      </c>
      <c r="HO155" s="102"/>
      <c r="HP155" s="102"/>
      <c r="HR155" s="929" t="str">
        <f t="shared" ref="HR155:HR164" si="853">+IFERROR(HF155/HE155-1,"")</f>
        <v/>
      </c>
      <c r="HS155" s="929" t="str">
        <f t="shared" ref="HS155:HS164" si="854">+IFERROR(HG155/HF155-1,"")</f>
        <v/>
      </c>
      <c r="HT155" s="929" t="str">
        <f t="shared" ref="HT155:HT164" si="855">+IFERROR(HH155/HG155-1,"")</f>
        <v/>
      </c>
      <c r="HU155" s="929" t="str">
        <f t="shared" si="738"/>
        <v/>
      </c>
      <c r="HV155" s="929" t="str">
        <f t="shared" si="739"/>
        <v/>
      </c>
      <c r="HW155" s="929" t="str">
        <f t="shared" si="740"/>
        <v/>
      </c>
      <c r="HX155" s="929" t="str">
        <f t="shared" si="741"/>
        <v/>
      </c>
      <c r="HY155" s="929" t="str">
        <f t="shared" si="741"/>
        <v/>
      </c>
      <c r="HZ155" s="929" t="str">
        <f t="shared" si="741"/>
        <v/>
      </c>
      <c r="IA155" s="929" t="str">
        <f t="shared" si="762"/>
        <v/>
      </c>
      <c r="IB155" s="929" t="str">
        <f t="shared" ref="IB155:IB164" si="856">+IFERROR(HP155/HO155-1,"")</f>
        <v/>
      </c>
      <c r="IC155" s="929" t="str">
        <f t="shared" si="763"/>
        <v/>
      </c>
      <c r="IE155" s="102">
        <f t="shared" ref="IE155:IE164" si="857">+HF155-HE155</f>
        <v>0</v>
      </c>
      <c r="IF155" s="102">
        <f t="shared" ref="IF155:IF164" si="858">+HG155-HF155</f>
        <v>0</v>
      </c>
      <c r="IG155" s="102">
        <f t="shared" ref="IG155:IG164" si="859">+HH155-HG155</f>
        <v>0</v>
      </c>
      <c r="IH155" s="102">
        <f t="shared" si="742"/>
        <v>0</v>
      </c>
      <c r="II155" s="102">
        <f t="shared" si="767"/>
        <v>0</v>
      </c>
      <c r="IJ155" s="102">
        <f t="shared" si="768"/>
        <v>0</v>
      </c>
      <c r="IK155" s="102">
        <f t="shared" si="769"/>
        <v>0</v>
      </c>
      <c r="IL155" s="102">
        <f t="shared" si="764"/>
        <v>0</v>
      </c>
      <c r="IM155" s="102">
        <f t="shared" ref="IM155:IM164" si="860">+HP155-HO155</f>
        <v>0</v>
      </c>
      <c r="IN155" s="102">
        <f t="shared" si="765"/>
        <v>0</v>
      </c>
      <c r="IP155" s="973"/>
      <c r="IQ155" s="973"/>
      <c r="IR155" s="973"/>
      <c r="IS155" s="973"/>
      <c r="IT155" s="973"/>
      <c r="IU155" s="973"/>
      <c r="IV155" s="973"/>
      <c r="IW155" s="973"/>
      <c r="IX155" s="973"/>
      <c r="IY155" s="973"/>
      <c r="JA155" s="102">
        <f t="shared" si="727"/>
        <v>0</v>
      </c>
      <c r="JB155" s="102">
        <f t="shared" si="850"/>
        <v>0</v>
      </c>
      <c r="JC155" s="102">
        <f t="shared" si="850"/>
        <v>0</v>
      </c>
      <c r="JD155" s="102">
        <f t="shared" si="850"/>
        <v>0</v>
      </c>
      <c r="JE155" s="102">
        <f t="shared" si="850"/>
        <v>0</v>
      </c>
      <c r="JF155" s="102">
        <f t="shared" si="850"/>
        <v>0</v>
      </c>
      <c r="JG155" s="102">
        <f t="shared" si="850"/>
        <v>0</v>
      </c>
      <c r="JH155" s="102">
        <f t="shared" si="850"/>
        <v>0</v>
      </c>
      <c r="JI155" s="102">
        <f t="shared" si="850"/>
        <v>0</v>
      </c>
      <c r="JJ155" s="102">
        <f t="shared" si="850"/>
        <v>0</v>
      </c>
      <c r="JK155" s="102">
        <f t="shared" si="850"/>
        <v>0</v>
      </c>
      <c r="JL155" s="102">
        <f t="shared" si="728"/>
        <v>0</v>
      </c>
      <c r="JM155" s="102"/>
      <c r="JN155" s="102"/>
      <c r="JP155" s="102">
        <f t="shared" si="787"/>
        <v>0</v>
      </c>
      <c r="JQ155" s="102">
        <f t="shared" si="788"/>
        <v>0</v>
      </c>
      <c r="JR155" s="145"/>
      <c r="JS155" s="929" t="str">
        <f t="shared" ref="JS155:JS164" si="861">+IFERROR(JP155/JQ155,"NA")</f>
        <v>NA</v>
      </c>
      <c r="JT155" s="930">
        <f t="shared" ref="JT155:JT164" si="862">+IFERROR(JP155-JQ155,"NA")</f>
        <v>0</v>
      </c>
      <c r="JV155" s="973"/>
      <c r="JW155" s="973"/>
      <c r="JY155" s="929" t="str">
        <f t="shared" si="817"/>
        <v/>
      </c>
      <c r="JZ155" s="929" t="str">
        <f t="shared" si="818"/>
        <v/>
      </c>
      <c r="KA155" s="929" t="str">
        <f t="shared" si="819"/>
        <v/>
      </c>
      <c r="KB155" s="929" t="str">
        <f t="shared" si="820"/>
        <v/>
      </c>
      <c r="KC155" s="929" t="str">
        <f t="shared" si="821"/>
        <v/>
      </c>
      <c r="KD155" s="929" t="str">
        <f t="shared" si="822"/>
        <v/>
      </c>
      <c r="KE155" s="929" t="str">
        <f t="shared" si="823"/>
        <v/>
      </c>
      <c r="KF155" s="929" t="str">
        <f t="shared" si="824"/>
        <v/>
      </c>
      <c r="KH155" s="102">
        <f t="shared" si="792"/>
        <v>0</v>
      </c>
      <c r="KI155" s="102">
        <f t="shared" si="793"/>
        <v>0</v>
      </c>
      <c r="KJ155" s="102">
        <f t="shared" si="794"/>
        <v>0</v>
      </c>
      <c r="KK155" s="102">
        <f t="shared" si="795"/>
        <v>0</v>
      </c>
      <c r="KL155" s="102">
        <f t="shared" si="796"/>
        <v>0</v>
      </c>
      <c r="KM155" s="102">
        <f t="shared" si="797"/>
        <v>0</v>
      </c>
      <c r="KN155" s="102">
        <f t="shared" si="798"/>
        <v>0</v>
      </c>
      <c r="KO155" s="102">
        <f t="shared" si="711"/>
        <v>0</v>
      </c>
      <c r="KQ155" s="973"/>
      <c r="KR155" s="973"/>
      <c r="KS155" s="973"/>
      <c r="KT155" s="973"/>
      <c r="KU155" s="973"/>
      <c r="KV155" s="973"/>
      <c r="KW155" s="973"/>
      <c r="KX155" s="973"/>
      <c r="KY155" s="973"/>
      <c r="KZ155" s="973"/>
      <c r="LB155" s="102">
        <f t="shared" si="737"/>
        <v>0</v>
      </c>
      <c r="LC155" s="102">
        <f t="shared" si="851"/>
        <v>0</v>
      </c>
      <c r="LD155" s="102">
        <f t="shared" si="851"/>
        <v>0</v>
      </c>
      <c r="LE155" s="102">
        <f t="shared" si="851"/>
        <v>0</v>
      </c>
      <c r="LF155" s="102">
        <f t="shared" si="851"/>
        <v>0</v>
      </c>
      <c r="LG155" s="102">
        <f t="shared" si="851"/>
        <v>0</v>
      </c>
      <c r="LH155" s="102">
        <f t="shared" si="851"/>
        <v>0</v>
      </c>
      <c r="LI155" s="102">
        <f t="shared" si="851"/>
        <v>0</v>
      </c>
      <c r="LJ155" s="102">
        <f t="shared" si="851"/>
        <v>0</v>
      </c>
      <c r="LK155" s="102">
        <f t="shared" si="851"/>
        <v>0</v>
      </c>
      <c r="LL155" s="102">
        <f t="shared" si="851"/>
        <v>0</v>
      </c>
      <c r="LM155" s="102">
        <f t="shared" si="851"/>
        <v>0</v>
      </c>
      <c r="LN155" s="102"/>
      <c r="LO155" s="102"/>
      <c r="LR155" s="32" t="str">
        <f t="shared" si="799"/>
        <v xml:space="preserve"> </v>
      </c>
      <c r="LS155" s="32" t="str">
        <f t="shared" si="800"/>
        <v xml:space="preserve"> </v>
      </c>
      <c r="LT155" s="32" t="str">
        <f t="shared" si="801"/>
        <v xml:space="preserve"> </v>
      </c>
      <c r="LU155" s="32" t="str">
        <f t="shared" si="802"/>
        <v xml:space="preserve"> </v>
      </c>
      <c r="LV155" s="32" t="str">
        <f t="shared" si="803"/>
        <v xml:space="preserve"> </v>
      </c>
      <c r="LW155" s="32" t="str">
        <f t="shared" si="804"/>
        <v xml:space="preserve"> </v>
      </c>
      <c r="LX155" s="32" t="str">
        <f t="shared" si="848"/>
        <v xml:space="preserve"> </v>
      </c>
      <c r="LZ155" s="102">
        <f t="shared" si="805"/>
        <v>0</v>
      </c>
      <c r="MA155" s="102">
        <f t="shared" si="806"/>
        <v>0</v>
      </c>
      <c r="MB155" s="102">
        <f t="shared" si="807"/>
        <v>0</v>
      </c>
      <c r="MC155" s="102">
        <f t="shared" si="808"/>
        <v>0</v>
      </c>
      <c r="MD155" s="102">
        <f t="shared" si="809"/>
        <v>0</v>
      </c>
      <c r="ME155" s="102">
        <f t="shared" si="810"/>
        <v>0</v>
      </c>
      <c r="MF155" s="102">
        <f t="shared" si="849"/>
        <v>0</v>
      </c>
      <c r="MH155" s="973"/>
      <c r="MI155" s="973"/>
      <c r="MJ155" s="973"/>
      <c r="MK155" s="973"/>
      <c r="ML155" s="973"/>
      <c r="MM155" s="973"/>
      <c r="MN155" s="973"/>
      <c r="MO155" s="973"/>
      <c r="MP155" s="973"/>
    </row>
    <row r="156" spans="1:354" outlineLevel="2">
      <c r="A156" s="884">
        <v>1592</v>
      </c>
      <c r="B156" s="70" t="s">
        <v>715</v>
      </c>
      <c r="C156" s="29" t="s">
        <v>130</v>
      </c>
      <c r="D156" s="31" t="s">
        <v>59</v>
      </c>
      <c r="E156" s="102">
        <v>-2184.08651474</v>
      </c>
      <c r="F156" s="102">
        <v>-2245.1994871699999</v>
      </c>
      <c r="G156" s="102">
        <v>-2325.3205311699999</v>
      </c>
      <c r="H156" s="102">
        <v>-2388.1961801699999</v>
      </c>
      <c r="I156" s="102">
        <v>-2445.3577341300002</v>
      </c>
      <c r="J156" s="102">
        <v>-2508.54253113</v>
      </c>
      <c r="K156" s="102">
        <v>-2556.90031813</v>
      </c>
      <c r="L156" s="102">
        <v>-2606.13401613</v>
      </c>
      <c r="M156" s="102">
        <v>-2606.0749221300002</v>
      </c>
      <c r="N156" s="102">
        <v>-2649.7040531299999</v>
      </c>
      <c r="O156" s="102">
        <v>-2674.8575254499997</v>
      </c>
      <c r="P156" s="102">
        <v>-2702.9848535799997</v>
      </c>
      <c r="Q156" s="102">
        <v>-2783.9172538600005</v>
      </c>
      <c r="R156" s="102">
        <v>-2846.43523852</v>
      </c>
      <c r="S156" s="102">
        <v>-2905.56732018</v>
      </c>
      <c r="T156" s="102">
        <v>-2963.1578714200004</v>
      </c>
      <c r="U156" s="102">
        <v>-3025.2792606900002</v>
      </c>
      <c r="V156" s="102">
        <v>-3078.2601932999996</v>
      </c>
      <c r="W156" s="102">
        <v>-3131.1472305300003</v>
      </c>
      <c r="X156" s="102">
        <v>-3183.8800334500002</v>
      </c>
      <c r="Y156" s="102">
        <v>-3308.1322564100005</v>
      </c>
      <c r="Z156" s="102">
        <v>-3362.1354844900006</v>
      </c>
      <c r="AA156" s="102">
        <v>-3305.5899290399998</v>
      </c>
      <c r="AB156" s="102">
        <v>-3124.4312170499998</v>
      </c>
      <c r="AC156" s="102">
        <v>-3175.1585300499996</v>
      </c>
      <c r="AD156" s="102">
        <v>-3226.1290940499998</v>
      </c>
      <c r="AE156" s="102">
        <v>-3276.7786840100002</v>
      </c>
      <c r="AF156" s="102">
        <v>-3066.0207422099998</v>
      </c>
      <c r="AG156" s="102">
        <v>-3110.0863152099996</v>
      </c>
      <c r="AH156" s="102">
        <v>-3210.2831842100004</v>
      </c>
      <c r="AI156" s="102">
        <v>-3261.9722072099994</v>
      </c>
      <c r="AJ156" s="102">
        <v>-3313.3255252099998</v>
      </c>
      <c r="AK156" s="102">
        <v>-3369.7189822099999</v>
      </c>
      <c r="AL156" s="102">
        <v>-3415.0353992099999</v>
      </c>
      <c r="AM156" s="102">
        <v>-3465.7312632499998</v>
      </c>
      <c r="AN156" s="102">
        <v>-3288.0335372899999</v>
      </c>
      <c r="AO156" s="102">
        <v>-3288.0335372899999</v>
      </c>
      <c r="AP156" s="145">
        <v>-3358.7590414299998</v>
      </c>
      <c r="AQ156" s="220">
        <v>-3325.8874835700003</v>
      </c>
      <c r="AR156" s="220">
        <v>-3508.5001188699998</v>
      </c>
      <c r="AS156" s="102">
        <v>-3674.9940188200003</v>
      </c>
      <c r="AT156" s="102">
        <v>-3704.4421827800002</v>
      </c>
      <c r="AU156" s="102">
        <v>-3790.1776882099998</v>
      </c>
      <c r="AV156" s="102">
        <v>-3849.3367754599999</v>
      </c>
      <c r="AW156" s="102">
        <v>-3866.7933992100002</v>
      </c>
      <c r="AX156" s="102">
        <v>-3937.4038450799999</v>
      </c>
      <c r="AY156" s="102">
        <v>-4017.8090443000001</v>
      </c>
      <c r="AZ156" s="102">
        <v>-3320.607</v>
      </c>
      <c r="BA156" s="102">
        <v>-3406.40736479</v>
      </c>
      <c r="BB156" s="102">
        <v>-3492.2066943300001</v>
      </c>
      <c r="BC156" s="102">
        <v>-3578.0068033000002</v>
      </c>
      <c r="BD156" s="102">
        <v>-3659.1950445900002</v>
      </c>
      <c r="BE156" s="102">
        <v>-3638.4818958999999</v>
      </c>
      <c r="BF156" s="102">
        <v>-3689.3374993499997</v>
      </c>
      <c r="BG156" s="102">
        <v>-3750.3773606</v>
      </c>
      <c r="BH156" s="102">
        <v>-3832.64104086</v>
      </c>
      <c r="BI156" s="102">
        <v>-3875.4281376500003</v>
      </c>
      <c r="BJ156" s="102">
        <v>-3958.6664106100002</v>
      </c>
      <c r="BK156" s="102">
        <v>-4040.90632022</v>
      </c>
      <c r="BL156" s="102">
        <f>-4123.68552633-33</f>
        <v>-4156.6855263300004</v>
      </c>
      <c r="BM156" s="102">
        <v>-4207.3545690399997</v>
      </c>
      <c r="BN156" s="102">
        <v>-4253.6555553899998</v>
      </c>
      <c r="BO156" s="102">
        <v>-4299.4427025100003</v>
      </c>
      <c r="BP156" s="102">
        <v>-4345.1419523999994</v>
      </c>
      <c r="BQ156" s="102">
        <v>-4390.9630573300001</v>
      </c>
      <c r="BR156" s="102">
        <v>-4436.7589587799994</v>
      </c>
      <c r="BS156" s="102">
        <v>-4481.9202683699996</v>
      </c>
      <c r="BT156" s="102">
        <v>-4526.4886106499998</v>
      </c>
      <c r="BU156" s="102">
        <v>-4570.4312018100009</v>
      </c>
      <c r="BV156" s="102">
        <v>-4610.8942711700001</v>
      </c>
      <c r="BW156" s="102">
        <v>-4648.5773919200001</v>
      </c>
      <c r="BX156" s="102">
        <v>-4682.1916530200006</v>
      </c>
      <c r="BY156" s="102">
        <v>-4716.8552712000001</v>
      </c>
      <c r="BZ156" s="102">
        <v>-4753.0313928100004</v>
      </c>
      <c r="CA156" s="102">
        <v>-4789.1555145399998</v>
      </c>
      <c r="CB156" s="102">
        <v>-4823.1564724899999</v>
      </c>
      <c r="CC156" s="102">
        <v>-4857.2924813100008</v>
      </c>
      <c r="CD156" s="102">
        <v>-4891.6215013500005</v>
      </c>
      <c r="CE156" s="102">
        <v>-4925.60886424</v>
      </c>
      <c r="CF156" s="102">
        <v>-4960.9175118200001</v>
      </c>
      <c r="CG156" s="102">
        <v>-4996.5214071999999</v>
      </c>
      <c r="CH156" s="102">
        <v>-5032.9499518100001</v>
      </c>
      <c r="CI156" s="102">
        <v>-5070.2836639999996</v>
      </c>
      <c r="CJ156" s="102">
        <v>-5108.8409856600001</v>
      </c>
      <c r="CK156" s="102">
        <v>-5150.0669657399994</v>
      </c>
      <c r="CL156" s="102">
        <v>-5191.7264001800004</v>
      </c>
      <c r="CM156" s="102">
        <v>-5233.6364738900002</v>
      </c>
      <c r="CN156" s="102">
        <v>-5275.9232839200004</v>
      </c>
      <c r="CO156" s="102">
        <v>-5318.3759333299995</v>
      </c>
      <c r="CP156" s="102">
        <v>-5361.3374911299998</v>
      </c>
      <c r="CQ156" s="102">
        <v>-5406.5644968799998</v>
      </c>
      <c r="CR156" s="102">
        <v>-5452.2411164499999</v>
      </c>
      <c r="CS156" s="102">
        <v>-5454.2410245200008</v>
      </c>
      <c r="CT156" s="102">
        <v>-5501.0138986499996</v>
      </c>
      <c r="CU156" s="102">
        <v>-5548.57520062</v>
      </c>
      <c r="CV156" s="102">
        <v>-5596.9615016400003</v>
      </c>
      <c r="CW156" s="102">
        <v>-5646.0264798999997</v>
      </c>
      <c r="CX156" s="102">
        <v>-5695.2997337299994</v>
      </c>
      <c r="CY156" s="102">
        <v>-5745.90760314</v>
      </c>
      <c r="CZ156" s="102">
        <v>-5797.8428442299992</v>
      </c>
      <c r="DA156" s="102">
        <v>-5850.4221056999995</v>
      </c>
      <c r="DB156" s="102">
        <v>-5870.81237478</v>
      </c>
      <c r="DC156" s="102">
        <v>-5923.0422553500002</v>
      </c>
      <c r="DD156" s="102">
        <v>-5838.3653298500003</v>
      </c>
      <c r="DE156" s="102">
        <v>-5743.30495436</v>
      </c>
      <c r="DF156" s="102">
        <v>-5795.4137626700003</v>
      </c>
      <c r="DG156" s="102">
        <v>-5847.8559978999992</v>
      </c>
      <c r="DH156" s="102">
        <v>-5903.2058341599995</v>
      </c>
      <c r="DI156" s="102">
        <v>-5955.0555399200002</v>
      </c>
      <c r="DJ156" s="102">
        <v>-6004.3031487799999</v>
      </c>
      <c r="DK156" s="102">
        <v>-6053.1159771599996</v>
      </c>
      <c r="DL156" s="102">
        <v>-6101.6333048400002</v>
      </c>
      <c r="DM156" s="102">
        <v>-6151.0121441599995</v>
      </c>
      <c r="DN156" s="102">
        <v>-6192.9119002399993</v>
      </c>
      <c r="DO156" s="102">
        <v>-6238.41146931</v>
      </c>
      <c r="DP156" s="102">
        <v>-6288.5627172299992</v>
      </c>
      <c r="DQ156" s="940">
        <v>-6339.6673746800006</v>
      </c>
      <c r="DR156" s="940">
        <v>-6390.33693778</v>
      </c>
      <c r="DS156" s="940">
        <v>-6442.61095785</v>
      </c>
      <c r="DT156" s="940">
        <v>-6495.7291034399996</v>
      </c>
      <c r="DU156" s="940">
        <v>-6553.4738184799999</v>
      </c>
      <c r="DV156" s="940">
        <v>-6605.7049570899999</v>
      </c>
      <c r="DW156" s="940">
        <v>-6664.80232772</v>
      </c>
      <c r="DX156" s="940">
        <v>-6721.8156237799994</v>
      </c>
      <c r="DY156" s="940">
        <v>-6762.5465362700006</v>
      </c>
      <c r="DZ156" s="940">
        <v>-6818.6853730600005</v>
      </c>
      <c r="EA156" s="940">
        <v>-6873.5358906199999</v>
      </c>
      <c r="EB156" s="940">
        <v>-6935.6495880399998</v>
      </c>
      <c r="EC156" s="940">
        <v>-7001.2265737200005</v>
      </c>
      <c r="ED156" s="940">
        <v>-7070.8645740000002</v>
      </c>
      <c r="EE156" s="940">
        <v>-7143.6872866899994</v>
      </c>
      <c r="EF156" s="940">
        <v>-6914.25610667</v>
      </c>
      <c r="EH156" s="1083" t="e">
        <v>#VALUE!</v>
      </c>
      <c r="EI156" s="102" t="e">
        <v>#VALUE!</v>
      </c>
      <c r="EJ156" s="102" t="e">
        <v>#VALUE!</v>
      </c>
      <c r="EK156" s="102" t="e">
        <v>#VALUE!</v>
      </c>
      <c r="EL156" s="102" t="e">
        <v>#VALUE!</v>
      </c>
      <c r="EM156" s="102" t="e">
        <v>#VALUE!</v>
      </c>
      <c r="EN156" s="102" t="e">
        <v>#VALUE!</v>
      </c>
      <c r="EO156" s="102" t="e">
        <v>#VALUE!</v>
      </c>
      <c r="EP156" s="102" t="e">
        <v>#VALUE!</v>
      </c>
      <c r="EQ156" s="102" t="e">
        <v>#VALUE!</v>
      </c>
      <c r="ER156" s="102" t="e">
        <v>#VALUE!</v>
      </c>
      <c r="ES156" s="102" t="e">
        <v>#VALUE!</v>
      </c>
      <c r="EU156" s="102">
        <v>-3324.7355944795831</v>
      </c>
      <c r="EV156" s="102">
        <v>-3409.5944408906948</v>
      </c>
      <c r="EW156" s="102">
        <v>-3477.9565685218058</v>
      </c>
      <c r="EX156" s="102">
        <v>-3556.8303288606949</v>
      </c>
      <c r="EY156" s="102">
        <v>-3620.915946689167</v>
      </c>
      <c r="EZ156" s="102">
        <v>-3681.0772070280564</v>
      </c>
      <c r="FA156" s="102">
        <v>-3742.8815229225006</v>
      </c>
      <c r="FB156" s="102">
        <v>-3803.3038943725005</v>
      </c>
      <c r="FC156" s="102">
        <v>-3863.7582102669448</v>
      </c>
      <c r="FD156" s="102">
        <v>-3925.5194706058342</v>
      </c>
      <c r="FE156" s="102">
        <v>-3986.2348976113894</v>
      </c>
      <c r="FF156" s="102">
        <v>-4046.5211579502784</v>
      </c>
      <c r="FG156" s="102">
        <v>-3410.0146948299998</v>
      </c>
      <c r="FH156" s="102">
        <v>-3518.6413737031999</v>
      </c>
      <c r="FI156" s="102">
        <v>-3623.3247285048051</v>
      </c>
      <c r="FJ156" s="102">
        <v>-3724.4424921976797</v>
      </c>
      <c r="FK156" s="102">
        <v>-3821.5839550928386</v>
      </c>
      <c r="FL156" s="102">
        <v>-3914.9081692221916</v>
      </c>
      <c r="FM156" s="102">
        <v>-4004.8886578697043</v>
      </c>
      <c r="FN156" s="102">
        <v>-4091.6316700546495</v>
      </c>
      <c r="FO156" s="102">
        <v>-4175.1483715021968</v>
      </c>
      <c r="FP156" s="102">
        <v>-4255.5678146418422</v>
      </c>
      <c r="FQ156" s="102">
        <v>-4332.8888898059013</v>
      </c>
      <c r="FR156" s="102">
        <v>-4407.2155317133993</v>
      </c>
      <c r="FS156" s="102">
        <v>-4176.605990998909</v>
      </c>
      <c r="FT156" s="102">
        <v>-4239.070203480318</v>
      </c>
      <c r="FU156" s="102">
        <v>-4301.2537909096445</v>
      </c>
      <c r="FV156" s="102">
        <v>-4362.8297970899621</v>
      </c>
      <c r="FW156" s="102">
        <v>-4423.6583267464703</v>
      </c>
      <c r="FX156" s="102">
        <v>-4483.476841911659</v>
      </c>
      <c r="FY156" s="102">
        <v>-4540.2214829815312</v>
      </c>
      <c r="FZ156" s="102">
        <v>-4594.5959006924768</v>
      </c>
      <c r="GA156" s="102">
        <v>-4648.8371033240583</v>
      </c>
      <c r="GB156" s="102">
        <v>-4703.0091284556402</v>
      </c>
      <c r="GC156" s="102">
        <v>-4757.1689965559708</v>
      </c>
      <c r="GD156" s="102">
        <v>-4811.1098662221084</v>
      </c>
      <c r="GE156" s="102" t="e">
        <v>#VALUE!</v>
      </c>
      <c r="GF156" s="102" t="e">
        <v>#VALUE!</v>
      </c>
      <c r="GG156" s="102" t="e">
        <v>#VALUE!</v>
      </c>
      <c r="GH156" s="102" t="e">
        <v>#VALUE!</v>
      </c>
      <c r="GI156" s="102" t="e">
        <v>#VALUE!</v>
      </c>
      <c r="GJ156" s="102" t="e">
        <v>#VALUE!</v>
      </c>
      <c r="GK156" s="102" t="e">
        <v>#VALUE!</v>
      </c>
      <c r="GL156" s="102" t="e">
        <v>#VALUE!</v>
      </c>
      <c r="GM156" s="102" t="e">
        <v>#VALUE!</v>
      </c>
      <c r="GN156" s="102" t="e">
        <v>#VALUE!</v>
      </c>
      <c r="GO156" s="102" t="e">
        <v>#VALUE!</v>
      </c>
      <c r="GP156" s="102" t="e">
        <v>#VALUE!</v>
      </c>
      <c r="GQ156" s="102" t="e">
        <v>#VALUE!</v>
      </c>
      <c r="GR156" s="102" t="e">
        <v>#VALUE!</v>
      </c>
      <c r="GS156" s="102" t="e">
        <v>#VALUE!</v>
      </c>
      <c r="GT156" s="102" t="e">
        <v>#VALUE!</v>
      </c>
      <c r="GU156" s="102" t="e">
        <v>#VALUE!</v>
      </c>
      <c r="GV156" s="102" t="e">
        <v>#VALUE!</v>
      </c>
      <c r="GW156" s="102" t="e">
        <v>#VALUE!</v>
      </c>
      <c r="GX156" s="102" t="e">
        <v>#VALUE!</v>
      </c>
      <c r="GY156" s="102" t="e">
        <v>#VALUE!</v>
      </c>
      <c r="GZ156" s="102" t="e">
        <v>#VALUE!</v>
      </c>
      <c r="HA156" s="102" t="e">
        <v>#VALUE!</v>
      </c>
      <c r="HB156" s="102" t="e">
        <v>#VALUE!</v>
      </c>
      <c r="HC156" s="77"/>
      <c r="HD156" s="102">
        <f t="shared" si="852"/>
        <v>-2702.9848535799997</v>
      </c>
      <c r="HE156" s="102">
        <f t="shared" si="852"/>
        <v>-3124.4312170499998</v>
      </c>
      <c r="HF156" s="102">
        <f t="shared" si="852"/>
        <v>-3288.0335372899999</v>
      </c>
      <c r="HG156" s="102">
        <f t="shared" si="852"/>
        <v>-3320.607</v>
      </c>
      <c r="HH156" s="102">
        <f t="shared" si="777"/>
        <v>-4156.6855263300004</v>
      </c>
      <c r="HI156" s="102">
        <f t="shared" si="778"/>
        <v>-4682.1916530200006</v>
      </c>
      <c r="HJ156" s="102">
        <f t="shared" si="846"/>
        <v>-5108.8409856600001</v>
      </c>
      <c r="HK156" s="102">
        <f t="shared" si="847"/>
        <v>-5596.9615016400003</v>
      </c>
      <c r="HL156" s="940">
        <f>+SUMIFS($E156:SEW156,$E$6:SEW$6,HL$7,$E$5:SEW$5,12)</f>
        <v>-5903.2058341599995</v>
      </c>
      <c r="HM156" s="940">
        <f>+SUMIFS($E156:SEX156,$E$6:SEX$6,HM$7,$E$5:SEX$5,12)</f>
        <v>-6495.7291034399996</v>
      </c>
      <c r="HN156" s="940">
        <f>+SUMIFS($E156:SEY156,$E$6:SEY$6,HN$7,$E$5:SEY$5,12)</f>
        <v>-6914.25610667</v>
      </c>
      <c r="HO156" s="102"/>
      <c r="HP156" s="102"/>
      <c r="HR156" s="929">
        <f t="shared" si="853"/>
        <v>5.2362272962586998E-2</v>
      </c>
      <c r="HS156" s="929">
        <f t="shared" si="854"/>
        <v>9.9066698501035777E-3</v>
      </c>
      <c r="HT156" s="929">
        <f t="shared" si="855"/>
        <v>0.25178484726738226</v>
      </c>
      <c r="HU156" s="929">
        <f t="shared" si="738"/>
        <v>0.12642431652845709</v>
      </c>
      <c r="HV156" s="929">
        <f t="shared" si="739"/>
        <v>9.1121714841555512E-2</v>
      </c>
      <c r="HW156" s="929">
        <f t="shared" si="740"/>
        <v>9.5544276549241802E-2</v>
      </c>
      <c r="HX156" s="929">
        <f t="shared" si="741"/>
        <v>5.471617634501591E-2</v>
      </c>
      <c r="HY156" s="929">
        <f t="shared" si="741"/>
        <v>0.10037313384047253</v>
      </c>
      <c r="HZ156" s="929">
        <f t="shared" si="741"/>
        <v>6.4431104894500324E-2</v>
      </c>
      <c r="IA156" s="929">
        <f t="shared" si="762"/>
        <v>-1</v>
      </c>
      <c r="IB156" s="929" t="str">
        <f t="shared" si="856"/>
        <v/>
      </c>
      <c r="IC156" s="929">
        <f t="shared" si="763"/>
        <v>-1</v>
      </c>
      <c r="IE156" s="102">
        <f t="shared" si="857"/>
        <v>-163.60232024000015</v>
      </c>
      <c r="IF156" s="102">
        <f t="shared" si="858"/>
        <v>-32.573462710000058</v>
      </c>
      <c r="IG156" s="102">
        <f t="shared" si="859"/>
        <v>-836.07852633000039</v>
      </c>
      <c r="IH156" s="102">
        <f t="shared" si="742"/>
        <v>-525.5061266900002</v>
      </c>
      <c r="II156" s="102">
        <f t="shared" si="767"/>
        <v>-426.64933263999956</v>
      </c>
      <c r="IJ156" s="102">
        <f t="shared" si="768"/>
        <v>-488.12051598000016</v>
      </c>
      <c r="IK156" s="102">
        <f t="shared" si="769"/>
        <v>-306.24433251999926</v>
      </c>
      <c r="IL156" s="102">
        <f t="shared" si="764"/>
        <v>5903.2058341599995</v>
      </c>
      <c r="IM156" s="102">
        <f t="shared" si="860"/>
        <v>0</v>
      </c>
      <c r="IN156" s="102">
        <f t="shared" si="765"/>
        <v>5903.2058341599995</v>
      </c>
      <c r="IP156" s="973"/>
      <c r="IQ156" s="973"/>
      <c r="IR156" s="973"/>
      <c r="IS156" s="973"/>
      <c r="IT156" s="973"/>
      <c r="IU156" s="973"/>
      <c r="IV156" s="973"/>
      <c r="IW156" s="973"/>
      <c r="IX156" s="973"/>
      <c r="IY156" s="973"/>
      <c r="JA156" s="102">
        <f t="shared" si="727"/>
        <v>-2702.9848535799997</v>
      </c>
      <c r="JB156" s="102">
        <f t="shared" si="850"/>
        <v>-3124.4312170499998</v>
      </c>
      <c r="JC156" s="102">
        <f t="shared" si="850"/>
        <v>-3288.0335372899999</v>
      </c>
      <c r="JD156" s="102">
        <f t="shared" si="850"/>
        <v>-3320.607</v>
      </c>
      <c r="JE156" s="102">
        <f t="shared" si="850"/>
        <v>-4156.6855263300004</v>
      </c>
      <c r="JF156" s="102">
        <f t="shared" si="850"/>
        <v>-4682.1916530200006</v>
      </c>
      <c r="JG156" s="102">
        <f t="shared" si="850"/>
        <v>-5108.8409856600001</v>
      </c>
      <c r="JH156" s="102">
        <f t="shared" si="850"/>
        <v>-5596.9615016400003</v>
      </c>
      <c r="JI156" s="102">
        <f t="shared" si="850"/>
        <v>-5903.2058341599995</v>
      </c>
      <c r="JJ156" s="102">
        <f t="shared" si="850"/>
        <v>-6495.7291034399996</v>
      </c>
      <c r="JK156" s="102">
        <f t="shared" si="850"/>
        <v>-6914.25610667</v>
      </c>
      <c r="JL156" s="102">
        <f t="shared" si="728"/>
        <v>-6914.25610667</v>
      </c>
      <c r="JM156" s="102"/>
      <c r="JN156" s="102"/>
      <c r="JP156" s="102">
        <f t="shared" si="787"/>
        <v>0</v>
      </c>
      <c r="JQ156" s="102">
        <f t="shared" si="788"/>
        <v>0</v>
      </c>
      <c r="JR156" s="145"/>
      <c r="JS156" s="929" t="str">
        <f t="shared" si="861"/>
        <v>NA</v>
      </c>
      <c r="JT156" s="930">
        <f t="shared" si="862"/>
        <v>0</v>
      </c>
      <c r="JV156" s="973"/>
      <c r="JW156" s="973"/>
      <c r="JY156" s="929">
        <f t="shared" si="817"/>
        <v>5.2362272962586998E-2</v>
      </c>
      <c r="JZ156" s="929">
        <f t="shared" si="818"/>
        <v>9.9066698501035777E-3</v>
      </c>
      <c r="KA156" s="929">
        <f t="shared" si="819"/>
        <v>0.25178484726738226</v>
      </c>
      <c r="KB156" s="929">
        <f t="shared" si="820"/>
        <v>0.12642431652845709</v>
      </c>
      <c r="KC156" s="929">
        <f t="shared" si="821"/>
        <v>9.1121714841555512E-2</v>
      </c>
      <c r="KD156" s="929">
        <f t="shared" si="822"/>
        <v>9.5544276549241802E-2</v>
      </c>
      <c r="KE156" s="929">
        <f t="shared" si="823"/>
        <v>5.471617634501591E-2</v>
      </c>
      <c r="KF156" s="929">
        <f t="shared" si="824"/>
        <v>-1</v>
      </c>
      <c r="KH156" s="102">
        <f t="shared" si="792"/>
        <v>-163.60232024000015</v>
      </c>
      <c r="KI156" s="102">
        <f t="shared" si="793"/>
        <v>-32.573462710000058</v>
      </c>
      <c r="KJ156" s="102">
        <f t="shared" si="794"/>
        <v>-836.07852633000039</v>
      </c>
      <c r="KK156" s="102">
        <f t="shared" si="795"/>
        <v>-525.5061266900002</v>
      </c>
      <c r="KL156" s="102">
        <f t="shared" si="796"/>
        <v>-426.64933263999956</v>
      </c>
      <c r="KM156" s="102">
        <f t="shared" si="797"/>
        <v>-488.12051598000016</v>
      </c>
      <c r="KN156" s="102">
        <f t="shared" si="798"/>
        <v>-306.24433251999926</v>
      </c>
      <c r="KO156" s="102">
        <f t="shared" si="711"/>
        <v>5903.2058341599995</v>
      </c>
      <c r="KQ156" s="973"/>
      <c r="KR156" s="973"/>
      <c r="KS156" s="973"/>
      <c r="KT156" s="973"/>
      <c r="KU156" s="973"/>
      <c r="KV156" s="973"/>
      <c r="KW156" s="973"/>
      <c r="KX156" s="973"/>
      <c r="KY156" s="973"/>
      <c r="KZ156" s="973"/>
      <c r="LB156" s="102">
        <f t="shared" si="737"/>
        <v>-2702.9848535799997</v>
      </c>
      <c r="LC156" s="102">
        <f t="shared" si="851"/>
        <v>-3124.4312170499998</v>
      </c>
      <c r="LD156" s="102">
        <f t="shared" si="851"/>
        <v>-3288.0335372899999</v>
      </c>
      <c r="LE156" s="102">
        <f t="shared" si="851"/>
        <v>-3320.607</v>
      </c>
      <c r="LF156" s="102">
        <f t="shared" si="851"/>
        <v>-4156.6855263300004</v>
      </c>
      <c r="LG156" s="102">
        <f t="shared" si="851"/>
        <v>-4682.1916530200006</v>
      </c>
      <c r="LH156" s="102">
        <f t="shared" si="851"/>
        <v>-5108.8409856600001</v>
      </c>
      <c r="LI156" s="102">
        <f t="shared" si="851"/>
        <v>-5596.9615016400003</v>
      </c>
      <c r="LJ156" s="102">
        <f t="shared" si="851"/>
        <v>-5903.2058341599995</v>
      </c>
      <c r="LK156" s="102">
        <f t="shared" si="851"/>
        <v>-6495.7291034399996</v>
      </c>
      <c r="LL156" s="102">
        <f t="shared" si="851"/>
        <v>-6914.25610667</v>
      </c>
      <c r="LM156" s="102">
        <f t="shared" si="851"/>
        <v>-6914.25610667</v>
      </c>
      <c r="LN156" s="102"/>
      <c r="LO156" s="102"/>
      <c r="LR156" s="32">
        <f t="shared" si="799"/>
        <v>5.2362272962586998E-2</v>
      </c>
      <c r="LS156" s="32">
        <f t="shared" si="800"/>
        <v>9.9066698501035777E-3</v>
      </c>
      <c r="LT156" s="32">
        <f t="shared" si="801"/>
        <v>0.25178484726738226</v>
      </c>
      <c r="LU156" s="32">
        <f t="shared" si="802"/>
        <v>0.12642431652845709</v>
      </c>
      <c r="LV156" s="32">
        <f t="shared" si="803"/>
        <v>9.1121714841555512E-2</v>
      </c>
      <c r="LW156" s="32">
        <f t="shared" si="804"/>
        <v>9.5544276549241802E-2</v>
      </c>
      <c r="LX156" s="32">
        <f t="shared" si="848"/>
        <v>-1</v>
      </c>
      <c r="LZ156" s="102">
        <f t="shared" si="805"/>
        <v>-163.60232024000015</v>
      </c>
      <c r="MA156" s="102">
        <f t="shared" si="806"/>
        <v>-32.573462710000058</v>
      </c>
      <c r="MB156" s="102">
        <f t="shared" si="807"/>
        <v>-836.07852633000039</v>
      </c>
      <c r="MC156" s="102">
        <f t="shared" si="808"/>
        <v>-525.5061266900002</v>
      </c>
      <c r="MD156" s="102">
        <f t="shared" si="809"/>
        <v>-426.64933263999956</v>
      </c>
      <c r="ME156" s="102">
        <f t="shared" si="810"/>
        <v>-488.12051598000016</v>
      </c>
      <c r="MF156" s="102">
        <f t="shared" si="849"/>
        <v>5596.9615016400003</v>
      </c>
      <c r="MH156" s="973"/>
      <c r="MI156" s="973"/>
      <c r="MJ156" s="973"/>
      <c r="MK156" s="973"/>
      <c r="ML156" s="973"/>
      <c r="MM156" s="973"/>
      <c r="MN156" s="973"/>
      <c r="MO156" s="973"/>
      <c r="MP156" s="973"/>
    </row>
    <row r="157" spans="1:354">
      <c r="A157" s="884">
        <v>12</v>
      </c>
      <c r="B157" s="70">
        <v>1245</v>
      </c>
      <c r="C157" s="17" t="s">
        <v>131</v>
      </c>
      <c r="D157" s="31" t="s">
        <v>59</v>
      </c>
      <c r="E157" s="102">
        <v>284.36164810000002</v>
      </c>
      <c r="F157" s="102">
        <v>285.92607423000004</v>
      </c>
      <c r="G157" s="102">
        <v>288.47852711000002</v>
      </c>
      <c r="H157" s="102">
        <v>286.35503545</v>
      </c>
      <c r="I157" s="102">
        <v>290.29528058</v>
      </c>
      <c r="J157" s="102">
        <v>291.09453861000003</v>
      </c>
      <c r="K157" s="102">
        <v>288.89178681999999</v>
      </c>
      <c r="L157" s="102">
        <v>293.40328036</v>
      </c>
      <c r="M157" s="102">
        <v>15250.1689217</v>
      </c>
      <c r="N157" s="102">
        <v>293.99285276000001</v>
      </c>
      <c r="O157" s="102">
        <v>294.27017958000005</v>
      </c>
      <c r="P157" s="102">
        <v>206.72865598999999</v>
      </c>
      <c r="Q157" s="102">
        <v>207.03874762000001</v>
      </c>
      <c r="R157" s="102">
        <v>208.70579877</v>
      </c>
      <c r="S157" s="102">
        <v>208.78937300999999</v>
      </c>
      <c r="T157" s="102">
        <v>207.84240222000003</v>
      </c>
      <c r="U157" s="102">
        <v>209.28274551000001</v>
      </c>
      <c r="V157" s="102">
        <v>206.45250272000001</v>
      </c>
      <c r="W157" s="102">
        <v>206.53305517000001</v>
      </c>
      <c r="X157" s="102">
        <v>207.12462524</v>
      </c>
      <c r="Y157" s="102">
        <v>207.12462524</v>
      </c>
      <c r="Z157" s="102">
        <v>206.02351662999999</v>
      </c>
      <c r="AA157" s="102">
        <v>206.56755569000001</v>
      </c>
      <c r="AB157" s="102">
        <v>604.69869375000007</v>
      </c>
      <c r="AC157" s="102">
        <v>626.07164426999998</v>
      </c>
      <c r="AD157" s="102">
        <v>637.92347560999997</v>
      </c>
      <c r="AE157" s="102">
        <v>613.38298670999995</v>
      </c>
      <c r="AF157" s="102">
        <v>609.43161251000004</v>
      </c>
      <c r="AG157" s="102">
        <v>606.95571102999997</v>
      </c>
      <c r="AH157" s="102">
        <v>602.22788954999999</v>
      </c>
      <c r="AI157" s="102">
        <v>594.58754157999999</v>
      </c>
      <c r="AJ157" s="102">
        <v>592.17090758999984</v>
      </c>
      <c r="AK157" s="102">
        <v>615.16437662999999</v>
      </c>
      <c r="AL157" s="102">
        <v>626.48825520999992</v>
      </c>
      <c r="AM157" s="102">
        <v>667.26321930999984</v>
      </c>
      <c r="AN157" s="102">
        <v>972.32163301000037</v>
      </c>
      <c r="AO157" s="102">
        <v>979.3529950100002</v>
      </c>
      <c r="AP157" s="145">
        <v>979.35299501000009</v>
      </c>
      <c r="AQ157" s="220">
        <v>979.35299501000009</v>
      </c>
      <c r="AR157" s="220">
        <v>979.35299501000009</v>
      </c>
      <c r="AS157" s="102">
        <v>979.35299500999997</v>
      </c>
      <c r="AT157" s="102">
        <v>979.35299501000009</v>
      </c>
      <c r="AU157" s="102">
        <v>972.32163300999991</v>
      </c>
      <c r="AV157" s="102">
        <v>972.32163300999991</v>
      </c>
      <c r="AW157" s="102">
        <v>972.32163301000003</v>
      </c>
      <c r="AX157" s="102">
        <v>668.41231213000003</v>
      </c>
      <c r="AY157" s="102">
        <v>668.41231213000003</v>
      </c>
      <c r="AZ157" s="102">
        <v>309.62942621000002</v>
      </c>
      <c r="BA157" s="102">
        <v>309.62942613999996</v>
      </c>
      <c r="BB157" s="102">
        <v>309.62942613999996</v>
      </c>
      <c r="BC157" s="102">
        <v>309.62942613999996</v>
      </c>
      <c r="BD157" s="102">
        <v>309.62942613999996</v>
      </c>
      <c r="BE157" s="102">
        <v>578.34742614000004</v>
      </c>
      <c r="BF157" s="102">
        <v>309.62942613999996</v>
      </c>
      <c r="BG157" s="102">
        <v>309.62942613999996</v>
      </c>
      <c r="BH157" s="102">
        <v>309.62942613999996</v>
      </c>
      <c r="BI157" s="102">
        <v>309.62942613999996</v>
      </c>
      <c r="BJ157" s="102">
        <v>309.62942614000002</v>
      </c>
      <c r="BK157" s="102">
        <v>0</v>
      </c>
      <c r="BL157" s="102">
        <v>0</v>
      </c>
      <c r="BM157" s="102">
        <v>0</v>
      </c>
      <c r="BN157" s="102">
        <v>0</v>
      </c>
      <c r="BO157" s="102">
        <v>0</v>
      </c>
      <c r="BP157" s="102">
        <v>0</v>
      </c>
      <c r="BQ157" s="102">
        <v>0</v>
      </c>
      <c r="BR157" s="102">
        <v>0</v>
      </c>
      <c r="BS157" s="102">
        <v>0</v>
      </c>
      <c r="BT157" s="102">
        <v>0</v>
      </c>
      <c r="BU157" s="102">
        <v>0</v>
      </c>
      <c r="BV157" s="102">
        <v>0</v>
      </c>
      <c r="BW157" s="102">
        <v>0</v>
      </c>
      <c r="BX157" s="102">
        <v>0</v>
      </c>
      <c r="BY157" s="102">
        <v>0</v>
      </c>
      <c r="BZ157" s="102">
        <v>0</v>
      </c>
      <c r="CA157" s="102">
        <v>0</v>
      </c>
      <c r="CB157" s="102">
        <v>0</v>
      </c>
      <c r="CC157" s="102">
        <v>0</v>
      </c>
      <c r="CD157" s="102">
        <v>0</v>
      </c>
      <c r="CE157" s="102">
        <v>0</v>
      </c>
      <c r="CF157" s="102">
        <v>0</v>
      </c>
      <c r="CG157" s="102">
        <v>0</v>
      </c>
      <c r="CH157" s="102">
        <v>0</v>
      </c>
      <c r="CI157" s="102">
        <v>0</v>
      </c>
      <c r="CJ157" s="102">
        <v>0</v>
      </c>
      <c r="CK157" s="102">
        <v>0</v>
      </c>
      <c r="CL157" s="102">
        <v>0</v>
      </c>
      <c r="CM157" s="102">
        <v>0</v>
      </c>
      <c r="CN157" s="102">
        <v>0</v>
      </c>
      <c r="CO157" s="102">
        <v>0</v>
      </c>
      <c r="CP157" s="102">
        <v>0</v>
      </c>
      <c r="CQ157" s="102">
        <v>0</v>
      </c>
      <c r="CR157" s="102">
        <v>0</v>
      </c>
      <c r="CS157" s="102">
        <v>0</v>
      </c>
      <c r="CT157" s="102">
        <v>0</v>
      </c>
      <c r="CU157" s="102">
        <v>0</v>
      </c>
      <c r="CV157" s="102">
        <v>0</v>
      </c>
      <c r="CW157" s="102">
        <v>0</v>
      </c>
      <c r="CX157" s="102">
        <v>0</v>
      </c>
      <c r="CY157" s="102">
        <v>0</v>
      </c>
      <c r="CZ157" s="102">
        <v>0</v>
      </c>
      <c r="DA157" s="102">
        <v>0</v>
      </c>
      <c r="DB157" s="102">
        <v>1698.31</v>
      </c>
      <c r="DC157" s="102">
        <v>1698.31</v>
      </c>
      <c r="DD157" s="102">
        <v>1698.31</v>
      </c>
      <c r="DE157" s="102">
        <v>1698.31</v>
      </c>
      <c r="DF157" s="102">
        <v>1698.31</v>
      </c>
      <c r="DG157" s="102">
        <v>1398.31</v>
      </c>
      <c r="DH157" s="102">
        <v>798.31</v>
      </c>
      <c r="DI157" s="102">
        <v>798.31</v>
      </c>
      <c r="DJ157" s="102">
        <v>648.30999999999995</v>
      </c>
      <c r="DK157" s="102">
        <v>648.30999999999995</v>
      </c>
      <c r="DL157" s="102">
        <v>0</v>
      </c>
      <c r="DM157" s="102">
        <v>0</v>
      </c>
      <c r="DN157" s="102">
        <v>0</v>
      </c>
      <c r="DO157" s="102">
        <v>0</v>
      </c>
      <c r="DP157" s="102">
        <v>0</v>
      </c>
      <c r="DQ157" s="940">
        <v>638.96500000000003</v>
      </c>
      <c r="DR157" s="940">
        <v>638.96500000000003</v>
      </c>
      <c r="DS157" s="940">
        <v>638.96500000000003</v>
      </c>
      <c r="DT157" s="940">
        <v>638.96500000000003</v>
      </c>
      <c r="DU157" s="940">
        <v>138.965</v>
      </c>
      <c r="DV157" s="940">
        <v>0</v>
      </c>
      <c r="DW157" s="940">
        <v>0</v>
      </c>
      <c r="DX157" s="940">
        <v>0</v>
      </c>
      <c r="DY157" s="940">
        <v>0</v>
      </c>
      <c r="DZ157" s="940">
        <v>0</v>
      </c>
      <c r="EA157" s="940">
        <v>0</v>
      </c>
      <c r="EB157" s="940">
        <v>0</v>
      </c>
      <c r="EC157" s="940">
        <v>0</v>
      </c>
      <c r="ED157" s="940">
        <v>0</v>
      </c>
      <c r="EE157" s="940">
        <v>0</v>
      </c>
      <c r="EF157" s="940">
        <v>0</v>
      </c>
      <c r="EH157" s="102">
        <v>0</v>
      </c>
      <c r="EI157" s="102">
        <v>0</v>
      </c>
      <c r="EJ157" s="102">
        <v>0</v>
      </c>
      <c r="EK157" s="102">
        <v>0</v>
      </c>
      <c r="EL157" s="102">
        <v>0</v>
      </c>
      <c r="EM157" s="102">
        <v>1698.31</v>
      </c>
      <c r="EN157" s="102">
        <v>0</v>
      </c>
      <c r="EO157" s="102">
        <v>0</v>
      </c>
      <c r="EP157" s="102">
        <v>0</v>
      </c>
      <c r="EQ157" s="102">
        <v>0</v>
      </c>
      <c r="ER157" s="102">
        <v>0</v>
      </c>
      <c r="ES157" s="102">
        <v>0</v>
      </c>
      <c r="EU157" s="102">
        <v>667.26321930999995</v>
      </c>
      <c r="EV157" s="102">
        <v>667.26321930999995</v>
      </c>
      <c r="EW157" s="102">
        <v>667.26321930999995</v>
      </c>
      <c r="EX157" s="102">
        <v>667.26321930999995</v>
      </c>
      <c r="EY157" s="102">
        <v>667.26321930999995</v>
      </c>
      <c r="EZ157" s="102">
        <v>667.26321930999995</v>
      </c>
      <c r="FA157" s="102">
        <v>667.26321930999995</v>
      </c>
      <c r="FB157" s="102">
        <v>667.26321930999995</v>
      </c>
      <c r="FC157" s="102">
        <v>667.26321930999995</v>
      </c>
      <c r="FD157" s="102">
        <v>667.26321930999995</v>
      </c>
      <c r="FE157" s="102">
        <v>667.26321930999995</v>
      </c>
      <c r="FF157" s="102">
        <v>667.26321930999995</v>
      </c>
      <c r="FG157" s="102">
        <v>578.23681611999996</v>
      </c>
      <c r="FH157" s="102">
        <v>578.23681611999996</v>
      </c>
      <c r="FI157" s="102">
        <v>578.23681611999996</v>
      </c>
      <c r="FJ157" s="102">
        <v>578.23681611999996</v>
      </c>
      <c r="FK157" s="102">
        <v>578.23681611999996</v>
      </c>
      <c r="FL157" s="102">
        <v>578.23681611999996</v>
      </c>
      <c r="FM157" s="102">
        <v>578.23681611999996</v>
      </c>
      <c r="FN157" s="102">
        <v>578.23681611999996</v>
      </c>
      <c r="FO157" s="102">
        <v>578.23681611999996</v>
      </c>
      <c r="FP157" s="102">
        <v>578.23681611999996</v>
      </c>
      <c r="FQ157" s="102">
        <v>578.23681611999996</v>
      </c>
      <c r="FR157" s="102">
        <v>578.23681611999996</v>
      </c>
      <c r="FS157" s="102"/>
      <c r="FT157" s="102"/>
      <c r="FU157" s="102"/>
      <c r="FV157" s="102"/>
      <c r="FW157" s="102"/>
      <c r="FX157" s="102"/>
      <c r="FY157" s="102"/>
      <c r="FZ157" s="102"/>
      <c r="GA157" s="102"/>
      <c r="GB157" s="102"/>
      <c r="GC157" s="102"/>
      <c r="GD157" s="102"/>
      <c r="GE157" s="102">
        <v>0</v>
      </c>
      <c r="GF157" s="102">
        <v>0</v>
      </c>
      <c r="GG157" s="102">
        <v>0</v>
      </c>
      <c r="GH157" s="102">
        <v>0</v>
      </c>
      <c r="GI157" s="102">
        <v>0</v>
      </c>
      <c r="GJ157" s="102">
        <v>0</v>
      </c>
      <c r="GK157" s="102">
        <v>0</v>
      </c>
      <c r="GL157" s="102">
        <v>0</v>
      </c>
      <c r="GM157" s="102">
        <v>0</v>
      </c>
      <c r="GN157" s="102">
        <v>0</v>
      </c>
      <c r="GO157" s="102">
        <v>0</v>
      </c>
      <c r="GP157" s="102">
        <v>0</v>
      </c>
      <c r="GQ157" s="102">
        <v>0</v>
      </c>
      <c r="GR157" s="102">
        <v>0</v>
      </c>
      <c r="GS157" s="102">
        <v>0</v>
      </c>
      <c r="GT157" s="102">
        <v>0</v>
      </c>
      <c r="GU157" s="102">
        <v>0</v>
      </c>
      <c r="GV157" s="102">
        <v>0</v>
      </c>
      <c r="GW157" s="102">
        <v>0</v>
      </c>
      <c r="GX157" s="102">
        <v>0</v>
      </c>
      <c r="GY157" s="102">
        <v>0</v>
      </c>
      <c r="GZ157" s="102">
        <v>0</v>
      </c>
      <c r="HA157" s="102">
        <v>0</v>
      </c>
      <c r="HB157" s="102">
        <v>0</v>
      </c>
      <c r="HD157" s="102">
        <f t="shared" si="852"/>
        <v>206.72865598999999</v>
      </c>
      <c r="HE157" s="102">
        <f t="shared" si="852"/>
        <v>604.69869375000007</v>
      </c>
      <c r="HF157" s="102">
        <f t="shared" si="852"/>
        <v>972.32163301000037</v>
      </c>
      <c r="HG157" s="102">
        <f t="shared" si="852"/>
        <v>309.62942621000002</v>
      </c>
      <c r="HH157" s="102">
        <f t="shared" si="777"/>
        <v>0</v>
      </c>
      <c r="HI157" s="102">
        <f t="shared" si="778"/>
        <v>0</v>
      </c>
      <c r="HJ157" s="102">
        <f t="shared" si="846"/>
        <v>0</v>
      </c>
      <c r="HK157" s="102">
        <f t="shared" si="847"/>
        <v>0</v>
      </c>
      <c r="HL157" s="940">
        <f>+SUMIFS($E157:SEW157,$E$6:SEW$6,HL$7,$E$5:SEW$5,12)</f>
        <v>798.31</v>
      </c>
      <c r="HM157" s="940">
        <f>+SUMIFS($E157:SEX157,$E$6:SEX$6,HM$7,$E$5:SEX$5,12)</f>
        <v>638.96500000000003</v>
      </c>
      <c r="HN157" s="940">
        <f>+SUMIFS($E157:SEY157,$E$6:SEY$6,HN$7,$E$5:SEY$5,12)</f>
        <v>0</v>
      </c>
      <c r="HO157" s="102"/>
      <c r="HP157" s="102"/>
      <c r="HR157" s="929">
        <f t="shared" si="853"/>
        <v>0.60794399435561908</v>
      </c>
      <c r="HS157" s="929">
        <f t="shared" si="854"/>
        <v>-0.68155657994414343</v>
      </c>
      <c r="HT157" s="929">
        <f t="shared" si="855"/>
        <v>-1</v>
      </c>
      <c r="HU157" s="929" t="str">
        <f t="shared" si="738"/>
        <v/>
      </c>
      <c r="HV157" s="929" t="str">
        <f t="shared" si="739"/>
        <v/>
      </c>
      <c r="HW157" s="929" t="str">
        <f t="shared" si="740"/>
        <v/>
      </c>
      <c r="HX157" s="929" t="str">
        <f t="shared" si="741"/>
        <v/>
      </c>
      <c r="HY157" s="929">
        <f t="shared" si="741"/>
        <v>-0.19960291114980389</v>
      </c>
      <c r="HZ157" s="929">
        <f t="shared" si="741"/>
        <v>-1</v>
      </c>
      <c r="IA157" s="929">
        <f t="shared" si="762"/>
        <v>-1</v>
      </c>
      <c r="IB157" s="929" t="str">
        <f t="shared" si="856"/>
        <v/>
      </c>
      <c r="IC157" s="929">
        <f t="shared" si="763"/>
        <v>-1</v>
      </c>
      <c r="IE157" s="102">
        <f t="shared" si="857"/>
        <v>367.62293926000029</v>
      </c>
      <c r="IF157" s="102">
        <f t="shared" si="858"/>
        <v>-662.69220680000035</v>
      </c>
      <c r="IG157" s="102">
        <f t="shared" si="859"/>
        <v>-309.62942621000002</v>
      </c>
      <c r="IH157" s="102">
        <f t="shared" si="742"/>
        <v>0</v>
      </c>
      <c r="II157" s="102">
        <f t="shared" si="767"/>
        <v>0</v>
      </c>
      <c r="IJ157" s="102">
        <f t="shared" si="768"/>
        <v>0</v>
      </c>
      <c r="IK157" s="102">
        <f t="shared" si="769"/>
        <v>798.31</v>
      </c>
      <c r="IL157" s="102">
        <f t="shared" si="764"/>
        <v>-798.31</v>
      </c>
      <c r="IM157" s="102">
        <f t="shared" si="860"/>
        <v>0</v>
      </c>
      <c r="IN157" s="102">
        <f t="shared" si="765"/>
        <v>-798.31</v>
      </c>
      <c r="IP157" s="973"/>
      <c r="IQ157" s="973"/>
      <c r="IR157" s="973"/>
      <c r="IS157" s="973"/>
      <c r="IT157" s="973"/>
      <c r="IU157" s="973"/>
      <c r="IV157" s="973"/>
      <c r="IW157" s="973"/>
      <c r="IX157" s="973"/>
      <c r="IY157" s="973"/>
      <c r="JA157" s="102">
        <f t="shared" si="727"/>
        <v>206.72865598999999</v>
      </c>
      <c r="JB157" s="102">
        <f t="shared" si="850"/>
        <v>604.69869375000007</v>
      </c>
      <c r="JC157" s="102">
        <f t="shared" si="850"/>
        <v>972.32163301000037</v>
      </c>
      <c r="JD157" s="102">
        <f t="shared" si="850"/>
        <v>309.62942621000002</v>
      </c>
      <c r="JE157" s="102">
        <f t="shared" si="850"/>
        <v>0</v>
      </c>
      <c r="JF157" s="102">
        <f t="shared" si="850"/>
        <v>0</v>
      </c>
      <c r="JG157" s="102">
        <f t="shared" si="850"/>
        <v>0</v>
      </c>
      <c r="JH157" s="102">
        <f t="shared" si="850"/>
        <v>0</v>
      </c>
      <c r="JI157" s="102">
        <f t="shared" si="850"/>
        <v>798.31</v>
      </c>
      <c r="JJ157" s="102">
        <f t="shared" si="850"/>
        <v>638.96500000000003</v>
      </c>
      <c r="JK157" s="102">
        <f t="shared" si="850"/>
        <v>0</v>
      </c>
      <c r="JL157" s="102">
        <f t="shared" si="728"/>
        <v>0</v>
      </c>
      <c r="JM157" s="102"/>
      <c r="JN157" s="102"/>
      <c r="JP157" s="102">
        <f t="shared" si="787"/>
        <v>0</v>
      </c>
      <c r="JQ157" s="102">
        <f t="shared" si="788"/>
        <v>0</v>
      </c>
      <c r="JR157" s="145"/>
      <c r="JS157" s="929" t="str">
        <f t="shared" si="861"/>
        <v>NA</v>
      </c>
      <c r="JT157" s="930">
        <f t="shared" si="862"/>
        <v>0</v>
      </c>
      <c r="JV157" s="973"/>
      <c r="JW157" s="973"/>
      <c r="JY157" s="929">
        <f t="shared" si="817"/>
        <v>0.60794399435561908</v>
      </c>
      <c r="JZ157" s="929">
        <f t="shared" si="818"/>
        <v>-0.68155657994414343</v>
      </c>
      <c r="KA157" s="929">
        <f t="shared" si="819"/>
        <v>-1</v>
      </c>
      <c r="KB157" s="929" t="str">
        <f t="shared" si="820"/>
        <v/>
      </c>
      <c r="KC157" s="929" t="str">
        <f t="shared" si="821"/>
        <v/>
      </c>
      <c r="KD157" s="929" t="str">
        <f t="shared" si="822"/>
        <v/>
      </c>
      <c r="KE157" s="929" t="str">
        <f t="shared" si="823"/>
        <v/>
      </c>
      <c r="KF157" s="929">
        <f t="shared" si="824"/>
        <v>-1</v>
      </c>
      <c r="KH157" s="102">
        <f t="shared" si="792"/>
        <v>367.62293926000029</v>
      </c>
      <c r="KI157" s="102">
        <f t="shared" si="793"/>
        <v>-662.69220680000035</v>
      </c>
      <c r="KJ157" s="102">
        <f t="shared" si="794"/>
        <v>-309.62942621000002</v>
      </c>
      <c r="KK157" s="102">
        <f t="shared" si="795"/>
        <v>0</v>
      </c>
      <c r="KL157" s="102">
        <f t="shared" si="796"/>
        <v>0</v>
      </c>
      <c r="KM157" s="102">
        <f t="shared" si="797"/>
        <v>0</v>
      </c>
      <c r="KN157" s="102">
        <f t="shared" si="798"/>
        <v>798.31</v>
      </c>
      <c r="KO157" s="102">
        <f t="shared" si="711"/>
        <v>-798.31</v>
      </c>
      <c r="KQ157" s="973"/>
      <c r="KR157" s="973"/>
      <c r="KS157" s="973"/>
      <c r="KT157" s="973"/>
      <c r="KU157" s="973"/>
      <c r="KV157" s="973"/>
      <c r="KW157" s="973"/>
      <c r="KX157" s="973"/>
      <c r="KY157" s="973"/>
      <c r="KZ157" s="973"/>
      <c r="LB157" s="102">
        <f t="shared" si="737"/>
        <v>206.72865598999999</v>
      </c>
      <c r="LC157" s="102">
        <f t="shared" si="851"/>
        <v>604.69869375000007</v>
      </c>
      <c r="LD157" s="102">
        <f t="shared" si="851"/>
        <v>972.32163301000037</v>
      </c>
      <c r="LE157" s="102">
        <f t="shared" si="851"/>
        <v>309.62942621000002</v>
      </c>
      <c r="LF157" s="102">
        <f t="shared" si="851"/>
        <v>0</v>
      </c>
      <c r="LG157" s="102">
        <f t="shared" si="851"/>
        <v>0</v>
      </c>
      <c r="LH157" s="102">
        <f t="shared" si="851"/>
        <v>0</v>
      </c>
      <c r="LI157" s="102">
        <f t="shared" si="851"/>
        <v>0</v>
      </c>
      <c r="LJ157" s="102">
        <f t="shared" si="851"/>
        <v>798.31</v>
      </c>
      <c r="LK157" s="102">
        <f t="shared" si="851"/>
        <v>638.96500000000003</v>
      </c>
      <c r="LL157" s="102">
        <f t="shared" si="851"/>
        <v>0</v>
      </c>
      <c r="LM157" s="102">
        <f t="shared" si="851"/>
        <v>0</v>
      </c>
      <c r="LN157" s="102"/>
      <c r="LO157" s="102"/>
      <c r="LR157" s="32">
        <f t="shared" si="799"/>
        <v>0.60794399435561908</v>
      </c>
      <c r="LS157" s="32">
        <f t="shared" si="800"/>
        <v>-0.68155657994414343</v>
      </c>
      <c r="LT157" s="32">
        <f t="shared" si="801"/>
        <v>-1</v>
      </c>
      <c r="LU157" s="32" t="str">
        <f t="shared" si="802"/>
        <v xml:space="preserve"> </v>
      </c>
      <c r="LV157" s="32" t="str">
        <f t="shared" si="803"/>
        <v xml:space="preserve"> </v>
      </c>
      <c r="LW157" s="32" t="str">
        <f t="shared" si="804"/>
        <v xml:space="preserve"> </v>
      </c>
      <c r="LX157" s="32" t="str">
        <f t="shared" si="848"/>
        <v xml:space="preserve"> </v>
      </c>
      <c r="LZ157" s="102">
        <f t="shared" si="805"/>
        <v>367.62293926000029</v>
      </c>
      <c r="MA157" s="102">
        <f t="shared" si="806"/>
        <v>-662.69220680000035</v>
      </c>
      <c r="MB157" s="102">
        <f t="shared" si="807"/>
        <v>-309.62942621000002</v>
      </c>
      <c r="MC157" s="102">
        <f t="shared" si="808"/>
        <v>0</v>
      </c>
      <c r="MD157" s="102">
        <f t="shared" si="809"/>
        <v>0</v>
      </c>
      <c r="ME157" s="102">
        <f t="shared" si="810"/>
        <v>0</v>
      </c>
      <c r="MF157" s="102">
        <f t="shared" si="849"/>
        <v>0</v>
      </c>
      <c r="MH157" s="973"/>
      <c r="MI157" s="973"/>
      <c r="MJ157" s="973"/>
      <c r="MK157" s="973"/>
      <c r="ML157" s="973"/>
      <c r="MM157" s="973"/>
      <c r="MN157" s="973"/>
      <c r="MO157" s="973"/>
      <c r="MP157" s="973"/>
    </row>
    <row r="158" spans="1:354">
      <c r="A158" s="884"/>
      <c r="B158" s="70"/>
      <c r="C158" s="17" t="s">
        <v>132</v>
      </c>
      <c r="D158" s="31" t="s">
        <v>59</v>
      </c>
      <c r="E158" s="102">
        <v>310.899745</v>
      </c>
      <c r="F158" s="102">
        <v>307.97609499999999</v>
      </c>
      <c r="G158" s="102">
        <v>305.05244500000003</v>
      </c>
      <c r="H158" s="102">
        <v>302.12879500000003</v>
      </c>
      <c r="I158" s="102">
        <v>299.20514500000002</v>
      </c>
      <c r="J158" s="102">
        <v>668.47162287000003</v>
      </c>
      <c r="K158" s="102">
        <v>662.42032474000007</v>
      </c>
      <c r="L158" s="102">
        <v>656.36902660999999</v>
      </c>
      <c r="M158" s="102">
        <v>650.31772848000003</v>
      </c>
      <c r="N158" s="102">
        <v>644.26643035000006</v>
      </c>
      <c r="O158" s="102">
        <v>865.09181521999994</v>
      </c>
      <c r="P158" s="102">
        <v>859.04051708999998</v>
      </c>
      <c r="Q158" s="102">
        <v>846.68708888000003</v>
      </c>
      <c r="R158" s="102">
        <v>851.51782466999998</v>
      </c>
      <c r="S158" s="102">
        <v>847.82626245999995</v>
      </c>
      <c r="T158" s="102">
        <v>809.62680425000008</v>
      </c>
      <c r="U158" s="102">
        <v>797.27337604000002</v>
      </c>
      <c r="V158" s="102">
        <v>784.91994782999996</v>
      </c>
      <c r="W158" s="102">
        <v>772.56651962000001</v>
      </c>
      <c r="X158" s="102">
        <v>760.21309141000006</v>
      </c>
      <c r="Y158" s="102">
        <v>612.10828919999994</v>
      </c>
      <c r="Z158" s="102">
        <v>599.75486099</v>
      </c>
      <c r="AA158" s="102">
        <v>590.88223677999997</v>
      </c>
      <c r="AB158" s="102">
        <v>580.26921057000004</v>
      </c>
      <c r="AC158" s="102">
        <v>569.28458256999988</v>
      </c>
      <c r="AD158" s="102">
        <v>558.29995456999995</v>
      </c>
      <c r="AE158" s="102">
        <v>547.31532657000002</v>
      </c>
      <c r="AF158" s="102">
        <v>536.33069856999998</v>
      </c>
      <c r="AG158" s="102">
        <v>525.34607056999994</v>
      </c>
      <c r="AH158" s="102">
        <v>417.33530357000006</v>
      </c>
      <c r="AI158" s="102">
        <v>407.53392357000007</v>
      </c>
      <c r="AJ158" s="102">
        <v>896.05829560999996</v>
      </c>
      <c r="AK158" s="102">
        <v>882.0693056099999</v>
      </c>
      <c r="AL158" s="102">
        <v>868.08031560999996</v>
      </c>
      <c r="AM158" s="102">
        <v>854.09132561000001</v>
      </c>
      <c r="AN158" s="220">
        <v>84.625561000000005</v>
      </c>
      <c r="AO158" s="220">
        <v>107.46498501999997</v>
      </c>
      <c r="AP158" s="220">
        <v>151.37296296</v>
      </c>
      <c r="AQ158" s="220">
        <v>217.38490894</v>
      </c>
      <c r="AR158" s="220">
        <v>217.38490894</v>
      </c>
      <c r="AS158" s="220">
        <v>335.02293492999996</v>
      </c>
      <c r="AT158" s="220">
        <v>3732.1816451099999</v>
      </c>
      <c r="AU158" s="220">
        <v>3627.5549191499999</v>
      </c>
      <c r="AV158" s="220">
        <v>3591.15705961</v>
      </c>
      <c r="AW158" s="220">
        <v>3582.7693216100001</v>
      </c>
      <c r="AX158" s="220">
        <v>3536.2781986100003</v>
      </c>
      <c r="AY158" s="220">
        <v>3496.0892056100001</v>
      </c>
      <c r="AZ158" s="220">
        <f>SUM(AZ159:AZ161)</f>
        <v>341.86000000000007</v>
      </c>
      <c r="BA158" s="220">
        <v>378.98136895000005</v>
      </c>
      <c r="BB158" s="220">
        <v>366.35405792000006</v>
      </c>
      <c r="BC158" s="220">
        <v>376.31982989000011</v>
      </c>
      <c r="BD158" s="220">
        <v>363.19680435000009</v>
      </c>
      <c r="BE158" s="102">
        <v>354.39921664999997</v>
      </c>
      <c r="BF158" s="102">
        <v>342.44496190999996</v>
      </c>
      <c r="BG158" s="102">
        <v>330.31086494999994</v>
      </c>
      <c r="BH158" s="102">
        <v>436.04017098999998</v>
      </c>
      <c r="BI158" s="102">
        <v>421.83829502999998</v>
      </c>
      <c r="BJ158" s="102">
        <v>407.42237803</v>
      </c>
      <c r="BK158" s="102">
        <v>393.31015329000002</v>
      </c>
      <c r="BL158" s="102">
        <v>225.39206973000012</v>
      </c>
      <c r="BM158" s="220">
        <f t="shared" ref="BM158:DX158" si="863">SUM(BM159:BM161)</f>
        <v>257.84322932999999</v>
      </c>
      <c r="BN158" s="220">
        <f t="shared" si="863"/>
        <v>268.67377633000001</v>
      </c>
      <c r="BO158" s="220">
        <f t="shared" si="863"/>
        <v>337.49387582000003</v>
      </c>
      <c r="BP158" s="220">
        <f t="shared" si="863"/>
        <v>325.67979382000004</v>
      </c>
      <c r="BQ158" s="102">
        <f t="shared" si="863"/>
        <v>314.08798882000002</v>
      </c>
      <c r="BR158" s="102">
        <f t="shared" si="863"/>
        <v>310.26716866000004</v>
      </c>
      <c r="BS158" s="102">
        <f t="shared" si="863"/>
        <v>297.66325308</v>
      </c>
      <c r="BT158" s="102">
        <f t="shared" si="863"/>
        <v>285.27122508000002</v>
      </c>
      <c r="BU158" s="102">
        <f t="shared" si="863"/>
        <v>274.34080424000001</v>
      </c>
      <c r="BV158" s="102">
        <f t="shared" si="863"/>
        <v>267.55905624000002</v>
      </c>
      <c r="BW158" s="102">
        <f t="shared" si="863"/>
        <v>256.18910923999999</v>
      </c>
      <c r="BX158" s="102">
        <f t="shared" si="863"/>
        <v>247.47654420000001</v>
      </c>
      <c r="BY158" s="102">
        <f t="shared" si="863"/>
        <v>289.82160289000001</v>
      </c>
      <c r="BZ158" s="102">
        <f t="shared" si="863"/>
        <v>278.74183089000002</v>
      </c>
      <c r="CA158" s="102">
        <f t="shared" si="863"/>
        <v>264.87293889</v>
      </c>
      <c r="CB158" s="102">
        <f t="shared" si="863"/>
        <v>252.06910689</v>
      </c>
      <c r="CC158" s="102">
        <f t="shared" si="863"/>
        <v>263.24008589000005</v>
      </c>
      <c r="CD158" s="102">
        <f t="shared" si="863"/>
        <v>254.52428689000004</v>
      </c>
      <c r="CE158" s="102">
        <f t="shared" si="863"/>
        <v>240.74428789000001</v>
      </c>
      <c r="CF158" s="102">
        <f t="shared" si="863"/>
        <v>231.90744089000003</v>
      </c>
      <c r="CG158" s="102">
        <f t="shared" si="863"/>
        <v>219.22648288999994</v>
      </c>
      <c r="CH158" s="102">
        <f t="shared" si="863"/>
        <v>206.00483688999986</v>
      </c>
      <c r="CI158" s="102">
        <f t="shared" si="863"/>
        <v>194.81103948999993</v>
      </c>
      <c r="CJ158" s="102">
        <f t="shared" si="863"/>
        <v>174.41584913999998</v>
      </c>
      <c r="CK158" s="102">
        <f t="shared" si="863"/>
        <v>202.62054413999999</v>
      </c>
      <c r="CL158" s="102">
        <f t="shared" si="863"/>
        <v>219.66867414000001</v>
      </c>
      <c r="CM158" s="102">
        <f t="shared" si="863"/>
        <v>204.64069413999999</v>
      </c>
      <c r="CN158" s="102">
        <f t="shared" si="863"/>
        <v>189.65276114</v>
      </c>
      <c r="CO158" s="102">
        <f t="shared" si="863"/>
        <v>190.79042153999995</v>
      </c>
      <c r="CP158" s="102">
        <f t="shared" si="863"/>
        <v>180.05907053999994</v>
      </c>
      <c r="CQ158" s="102">
        <f t="shared" si="863"/>
        <v>171.24843853999994</v>
      </c>
      <c r="CR158" s="102">
        <f t="shared" si="863"/>
        <v>157.47944153999993</v>
      </c>
      <c r="CS158" s="102">
        <f t="shared" si="863"/>
        <v>143.52777953999993</v>
      </c>
      <c r="CT158" s="102">
        <f t="shared" si="863"/>
        <v>131.02077553999999</v>
      </c>
      <c r="CU158" s="102">
        <f t="shared" si="863"/>
        <v>116.84299953999999</v>
      </c>
      <c r="CV158" s="102">
        <f t="shared" si="863"/>
        <v>104.27844770000002</v>
      </c>
      <c r="CW158" s="102">
        <f t="shared" si="863"/>
        <v>132.85033270000002</v>
      </c>
      <c r="CX158" s="102">
        <f t="shared" si="863"/>
        <v>123.08349170000002</v>
      </c>
      <c r="CY158" s="102">
        <f t="shared" si="863"/>
        <v>157.81324721999999</v>
      </c>
      <c r="CZ158" s="102">
        <f t="shared" si="863"/>
        <v>144.38030321999997</v>
      </c>
      <c r="DA158" s="102">
        <f t="shared" si="863"/>
        <v>150.75422592000001</v>
      </c>
      <c r="DB158" s="102">
        <f t="shared" si="863"/>
        <v>142.40554692000001</v>
      </c>
      <c r="DC158" s="102">
        <f t="shared" si="863"/>
        <v>129.91803218000001</v>
      </c>
      <c r="DD158" s="102">
        <f t="shared" si="863"/>
        <v>137.18496819999996</v>
      </c>
      <c r="DE158" s="102">
        <f t="shared" si="863"/>
        <v>151.81933020000002</v>
      </c>
      <c r="DF158" s="102">
        <f t="shared" si="863"/>
        <v>137.11207753999997</v>
      </c>
      <c r="DG158" s="102">
        <f t="shared" si="863"/>
        <v>118.91652353999996</v>
      </c>
      <c r="DH158" s="102">
        <f t="shared" si="863"/>
        <v>100.90566253999995</v>
      </c>
      <c r="DI158" s="102">
        <f t="shared" si="863"/>
        <v>125.83450402999995</v>
      </c>
      <c r="DJ158" s="102">
        <f t="shared" si="863"/>
        <v>155.41329361999999</v>
      </c>
      <c r="DK158" s="102">
        <f t="shared" si="863"/>
        <v>136.78464420999995</v>
      </c>
      <c r="DL158" s="102">
        <f t="shared" si="863"/>
        <v>118.21010820999999</v>
      </c>
      <c r="DM158" s="102">
        <f t="shared" si="863"/>
        <v>118.41932340999995</v>
      </c>
      <c r="DN158" s="102">
        <f t="shared" si="863"/>
        <v>108.40917940999992</v>
      </c>
      <c r="DO158" s="102">
        <f t="shared" si="863"/>
        <v>89.636242409999966</v>
      </c>
      <c r="DP158" s="102">
        <f t="shared" si="863"/>
        <v>83.887291409999989</v>
      </c>
      <c r="DQ158" s="940">
        <f t="shared" si="863"/>
        <v>70.957671410000017</v>
      </c>
      <c r="DR158" s="940">
        <f t="shared" si="863"/>
        <v>58.613244469999984</v>
      </c>
      <c r="DS158" s="940">
        <f t="shared" si="863"/>
        <v>52.473357469999996</v>
      </c>
      <c r="DT158" s="940">
        <f t="shared" si="863"/>
        <v>49.747753100000011</v>
      </c>
      <c r="DU158" s="940">
        <f t="shared" si="863"/>
        <v>87.245182819999968</v>
      </c>
      <c r="DV158" s="940">
        <f t="shared" si="863"/>
        <v>130.00589902000002</v>
      </c>
      <c r="DW158" s="940">
        <f t="shared" si="863"/>
        <v>115.85801802</v>
      </c>
      <c r="DX158" s="940">
        <f t="shared" si="863"/>
        <v>101.71013702</v>
      </c>
      <c r="DY158" s="940">
        <f t="shared" ref="DY158:EF158" si="864">SUM(DY159:DY161)</f>
        <v>107.95966842</v>
      </c>
      <c r="DZ158" s="940">
        <f t="shared" si="864"/>
        <v>110.78401777000001</v>
      </c>
      <c r="EA158" s="940">
        <f t="shared" si="864"/>
        <v>106.91920433999998</v>
      </c>
      <c r="EB158" s="940">
        <f t="shared" si="864"/>
        <v>107.64394833999998</v>
      </c>
      <c r="EC158" s="940">
        <f t="shared" si="864"/>
        <v>92.802063940000025</v>
      </c>
      <c r="ED158" s="940">
        <f t="shared" si="864"/>
        <v>79.411388359999989</v>
      </c>
      <c r="EE158" s="940">
        <f t="shared" si="864"/>
        <v>63.451083359999984</v>
      </c>
      <c r="EF158" s="940">
        <f t="shared" si="864"/>
        <v>59.391383980000001</v>
      </c>
      <c r="EH158" s="102" t="e">
        <f t="shared" ref="EH158:ES158" si="865">+SUM(EH159:EH161)</f>
        <v>#VALUE!</v>
      </c>
      <c r="EI158" s="102" t="e">
        <f t="shared" si="865"/>
        <v>#VALUE!</v>
      </c>
      <c r="EJ158" s="102" t="e">
        <f t="shared" si="865"/>
        <v>#VALUE!</v>
      </c>
      <c r="EK158" s="102" t="e">
        <f t="shared" si="865"/>
        <v>#VALUE!</v>
      </c>
      <c r="EL158" s="102" t="e">
        <f t="shared" si="865"/>
        <v>#VALUE!</v>
      </c>
      <c r="EM158" s="102" t="e">
        <f t="shared" si="865"/>
        <v>#VALUE!</v>
      </c>
      <c r="EN158" s="102" t="e">
        <f t="shared" si="865"/>
        <v>#VALUE!</v>
      </c>
      <c r="EO158" s="102" t="e">
        <f t="shared" si="865"/>
        <v>#VALUE!</v>
      </c>
      <c r="EP158" s="102" t="e">
        <f t="shared" si="865"/>
        <v>#VALUE!</v>
      </c>
      <c r="EQ158" s="102" t="e">
        <f t="shared" si="865"/>
        <v>#VALUE!</v>
      </c>
      <c r="ER158" s="102" t="e">
        <f t="shared" si="865"/>
        <v>#VALUE!</v>
      </c>
      <c r="ES158" s="102" t="e">
        <f t="shared" si="865"/>
        <v>#VALUE!</v>
      </c>
      <c r="ET158" s="279"/>
      <c r="EU158" s="102">
        <f t="shared" ref="EU158:FZ158" si="866">+SUM(EU159:EU161)</f>
        <v>815.11849367083323</v>
      </c>
      <c r="EV158" s="102">
        <f t="shared" si="866"/>
        <v>890.13465173166662</v>
      </c>
      <c r="EW158" s="102">
        <f t="shared" si="866"/>
        <v>860.15080979250001</v>
      </c>
      <c r="EX158" s="102">
        <f t="shared" si="866"/>
        <v>830.16696785333329</v>
      </c>
      <c r="EY158" s="102">
        <f t="shared" si="866"/>
        <v>800.18312591416657</v>
      </c>
      <c r="EZ158" s="102">
        <f t="shared" si="866"/>
        <v>770.19928397499996</v>
      </c>
      <c r="FA158" s="102">
        <f t="shared" si="866"/>
        <v>740.21544203583335</v>
      </c>
      <c r="FB158" s="102">
        <f t="shared" si="866"/>
        <v>710.23160009666663</v>
      </c>
      <c r="FC158" s="102">
        <f t="shared" si="866"/>
        <v>680.24775815750002</v>
      </c>
      <c r="FD158" s="102">
        <f t="shared" si="866"/>
        <v>650.26391621833329</v>
      </c>
      <c r="FE158" s="102">
        <f t="shared" si="866"/>
        <v>620.28007427916668</v>
      </c>
      <c r="FF158" s="102">
        <f t="shared" si="866"/>
        <v>590.29623233999996</v>
      </c>
      <c r="FG158" s="102">
        <f t="shared" si="866"/>
        <v>3451.8687632526667</v>
      </c>
      <c r="FH158" s="102">
        <f t="shared" si="866"/>
        <v>3408.0625718696269</v>
      </c>
      <c r="FI158" s="102">
        <f t="shared" si="866"/>
        <v>3366.0086281419085</v>
      </c>
      <c r="FJ158" s="102">
        <f t="shared" si="866"/>
        <v>3327.5115088299654</v>
      </c>
      <c r="FK158" s="102">
        <f t="shared" si="866"/>
        <v>3290.6902742905004</v>
      </c>
      <c r="FL158" s="102">
        <f t="shared" si="866"/>
        <v>3255.2858891326132</v>
      </c>
      <c r="FM158" s="102">
        <f t="shared" si="866"/>
        <v>3221.5216793810423</v>
      </c>
      <c r="FN158" s="102">
        <f t="shared" si="866"/>
        <v>3186.8040380195339</v>
      </c>
      <c r="FO158" s="102">
        <f t="shared" si="866"/>
        <v>3153.4751023124859</v>
      </c>
      <c r="FP158" s="102">
        <f t="shared" si="866"/>
        <v>3121.4793240337199</v>
      </c>
      <c r="FQ158" s="102">
        <f t="shared" si="866"/>
        <v>3090.7633768861042</v>
      </c>
      <c r="FR158" s="102">
        <f t="shared" si="866"/>
        <v>3061.2760676243938</v>
      </c>
      <c r="FS158" s="102">
        <f t="shared" si="866"/>
        <v>504.54086121</v>
      </c>
      <c r="FT158" s="102">
        <f t="shared" si="866"/>
        <v>513.28581921</v>
      </c>
      <c r="FU158" s="102">
        <f t="shared" si="866"/>
        <v>534.18077721000009</v>
      </c>
      <c r="FV158" s="102">
        <f t="shared" si="866"/>
        <v>542.92573521000008</v>
      </c>
      <c r="FW158" s="102">
        <f t="shared" si="866"/>
        <v>551.67069321000008</v>
      </c>
      <c r="FX158" s="102">
        <f t="shared" si="866"/>
        <v>560.41565121000008</v>
      </c>
      <c r="FY158" s="102">
        <f t="shared" si="866"/>
        <v>569.16060921000008</v>
      </c>
      <c r="FZ158" s="102">
        <f t="shared" si="866"/>
        <v>577.90556721000007</v>
      </c>
      <c r="GA158" s="102">
        <f t="shared" ref="GA158:HB158" si="867">+SUM(GA159:GA161)</f>
        <v>586.65052521000007</v>
      </c>
      <c r="GB158" s="102">
        <f t="shared" si="867"/>
        <v>595.39548321000007</v>
      </c>
      <c r="GC158" s="102">
        <f t="shared" si="867"/>
        <v>604.14044121000006</v>
      </c>
      <c r="GD158" s="102">
        <f t="shared" si="867"/>
        <v>608.26074601000005</v>
      </c>
      <c r="GE158" s="102" t="e">
        <f t="shared" si="867"/>
        <v>#VALUE!</v>
      </c>
      <c r="GF158" s="102" t="e">
        <f t="shared" si="867"/>
        <v>#VALUE!</v>
      </c>
      <c r="GG158" s="102" t="e">
        <f t="shared" si="867"/>
        <v>#VALUE!</v>
      </c>
      <c r="GH158" s="102" t="e">
        <f t="shared" si="867"/>
        <v>#VALUE!</v>
      </c>
      <c r="GI158" s="102" t="e">
        <f t="shared" si="867"/>
        <v>#VALUE!</v>
      </c>
      <c r="GJ158" s="102" t="e">
        <f t="shared" si="867"/>
        <v>#VALUE!</v>
      </c>
      <c r="GK158" s="102" t="e">
        <f t="shared" si="867"/>
        <v>#VALUE!</v>
      </c>
      <c r="GL158" s="102" t="e">
        <f t="shared" si="867"/>
        <v>#VALUE!</v>
      </c>
      <c r="GM158" s="102" t="e">
        <f t="shared" si="867"/>
        <v>#VALUE!</v>
      </c>
      <c r="GN158" s="102" t="e">
        <f t="shared" si="867"/>
        <v>#VALUE!</v>
      </c>
      <c r="GO158" s="102" t="e">
        <f t="shared" si="867"/>
        <v>#VALUE!</v>
      </c>
      <c r="GP158" s="102" t="e">
        <f t="shared" si="867"/>
        <v>#VALUE!</v>
      </c>
      <c r="GQ158" s="102" t="e">
        <f t="shared" si="867"/>
        <v>#VALUE!</v>
      </c>
      <c r="GR158" s="102" t="e">
        <f t="shared" si="867"/>
        <v>#VALUE!</v>
      </c>
      <c r="GS158" s="102" t="e">
        <f t="shared" si="867"/>
        <v>#VALUE!</v>
      </c>
      <c r="GT158" s="102" t="e">
        <f t="shared" si="867"/>
        <v>#VALUE!</v>
      </c>
      <c r="GU158" s="102" t="e">
        <f t="shared" si="867"/>
        <v>#VALUE!</v>
      </c>
      <c r="GV158" s="102" t="e">
        <f t="shared" si="867"/>
        <v>#VALUE!</v>
      </c>
      <c r="GW158" s="102" t="e">
        <f t="shared" si="867"/>
        <v>#VALUE!</v>
      </c>
      <c r="GX158" s="102" t="e">
        <f t="shared" si="867"/>
        <v>#VALUE!</v>
      </c>
      <c r="GY158" s="102" t="e">
        <f t="shared" si="867"/>
        <v>#VALUE!</v>
      </c>
      <c r="GZ158" s="102" t="e">
        <f t="shared" si="867"/>
        <v>#VALUE!</v>
      </c>
      <c r="HA158" s="102" t="e">
        <f t="shared" si="867"/>
        <v>#VALUE!</v>
      </c>
      <c r="HB158" s="102" t="e">
        <f t="shared" si="867"/>
        <v>#VALUE!</v>
      </c>
      <c r="HD158" s="102">
        <f t="shared" si="852"/>
        <v>859.04051708999998</v>
      </c>
      <c r="HE158" s="102">
        <f t="shared" si="852"/>
        <v>580.26921057000004</v>
      </c>
      <c r="HF158" s="102">
        <f t="shared" si="852"/>
        <v>84.625561000000005</v>
      </c>
      <c r="HG158" s="102">
        <f t="shared" si="852"/>
        <v>341.86000000000007</v>
      </c>
      <c r="HH158" s="102">
        <f t="shared" si="777"/>
        <v>225.39206973000012</v>
      </c>
      <c r="HI158" s="102">
        <f t="shared" si="778"/>
        <v>247.47654420000001</v>
      </c>
      <c r="HJ158" s="102">
        <f t="shared" si="846"/>
        <v>174.41584913999998</v>
      </c>
      <c r="HK158" s="102">
        <f t="shared" si="847"/>
        <v>104.27844770000002</v>
      </c>
      <c r="HL158" s="940">
        <f>+SUMIFS($E158:SEW158,$E$6:SEW$6,HL$7,$E$5:SEW$5,12)</f>
        <v>100.90566253999995</v>
      </c>
      <c r="HM158" s="940">
        <f>+SUMIFS($E158:SEX158,$E$6:SEX$6,HM$7,$E$5:SEX$5,12)</f>
        <v>49.747753100000011</v>
      </c>
      <c r="HN158" s="940">
        <f>+SUMIFS($E158:SEY158,$E$6:SEY$6,HN$7,$E$5:SEY$5,12)</f>
        <v>59.391383980000001</v>
      </c>
      <c r="HO158" s="102"/>
      <c r="HP158" s="102"/>
      <c r="HR158" s="929">
        <f t="shared" si="853"/>
        <v>-0.85416155215805423</v>
      </c>
      <c r="HS158" s="929">
        <f t="shared" si="854"/>
        <v>3.0396777990044885</v>
      </c>
      <c r="HT158" s="929">
        <f t="shared" si="855"/>
        <v>-0.34068896703328833</v>
      </c>
      <c r="HU158" s="929">
        <f t="shared" si="738"/>
        <v>9.7982482242854108E-2</v>
      </c>
      <c r="HV158" s="929">
        <f t="shared" si="739"/>
        <v>-0.29522270603938727</v>
      </c>
      <c r="HW158" s="929">
        <f t="shared" si="740"/>
        <v>-0.40212745450502108</v>
      </c>
      <c r="HX158" s="929">
        <f t="shared" si="741"/>
        <v>-3.234402922551427E-2</v>
      </c>
      <c r="HY158" s="929">
        <f t="shared" si="741"/>
        <v>-0.50698749854321079</v>
      </c>
      <c r="HZ158" s="929">
        <f t="shared" si="741"/>
        <v>0.19385058176627457</v>
      </c>
      <c r="IA158" s="929">
        <f t="shared" si="762"/>
        <v>-1</v>
      </c>
      <c r="IB158" s="929" t="str">
        <f t="shared" si="856"/>
        <v/>
      </c>
      <c r="IC158" s="929">
        <f t="shared" si="763"/>
        <v>-1</v>
      </c>
      <c r="IE158" s="102">
        <f t="shared" si="857"/>
        <v>-495.64364957000004</v>
      </c>
      <c r="IF158" s="102">
        <f t="shared" si="858"/>
        <v>257.23443900000007</v>
      </c>
      <c r="IG158" s="102">
        <f t="shared" si="859"/>
        <v>-116.46793026999995</v>
      </c>
      <c r="IH158" s="102">
        <f t="shared" si="742"/>
        <v>22.08447446999989</v>
      </c>
      <c r="II158" s="102">
        <f t="shared" si="767"/>
        <v>-73.060695060000029</v>
      </c>
      <c r="IJ158" s="102">
        <f t="shared" si="768"/>
        <v>-70.137401439999962</v>
      </c>
      <c r="IK158" s="102">
        <f t="shared" si="769"/>
        <v>-3.3727851600000633</v>
      </c>
      <c r="IL158" s="102">
        <f t="shared" si="764"/>
        <v>-100.90566253999995</v>
      </c>
      <c r="IM158" s="102">
        <f t="shared" si="860"/>
        <v>0</v>
      </c>
      <c r="IN158" s="102">
        <f t="shared" si="765"/>
        <v>-100.90566253999995</v>
      </c>
      <c r="IP158" s="973"/>
      <c r="IQ158" s="973"/>
      <c r="IR158" s="973"/>
      <c r="IS158" s="973"/>
      <c r="IT158" s="973"/>
      <c r="IU158" s="973"/>
      <c r="IV158" s="973"/>
      <c r="IW158" s="973"/>
      <c r="IX158" s="973"/>
      <c r="IY158" s="973"/>
      <c r="JA158" s="102">
        <f t="shared" si="727"/>
        <v>859.04051708999998</v>
      </c>
      <c r="JB158" s="102">
        <f t="shared" si="850"/>
        <v>580.26921057000004</v>
      </c>
      <c r="JC158" s="102">
        <f t="shared" si="850"/>
        <v>84.625561000000005</v>
      </c>
      <c r="JD158" s="102">
        <f t="shared" si="850"/>
        <v>341.86000000000007</v>
      </c>
      <c r="JE158" s="102">
        <f t="shared" si="850"/>
        <v>225.39206973000012</v>
      </c>
      <c r="JF158" s="102">
        <f t="shared" si="850"/>
        <v>247.47654420000001</v>
      </c>
      <c r="JG158" s="102">
        <f t="shared" si="850"/>
        <v>174.41584913999998</v>
      </c>
      <c r="JH158" s="102">
        <f t="shared" si="850"/>
        <v>104.27844770000002</v>
      </c>
      <c r="JI158" s="102">
        <f t="shared" si="850"/>
        <v>100.90566253999995</v>
      </c>
      <c r="JJ158" s="102">
        <f t="shared" si="850"/>
        <v>49.747753100000011</v>
      </c>
      <c r="JK158" s="102">
        <f t="shared" si="850"/>
        <v>59.391383980000001</v>
      </c>
      <c r="JL158" s="102">
        <f t="shared" si="728"/>
        <v>59.391383980000001</v>
      </c>
      <c r="JM158" s="102"/>
      <c r="JN158" s="102"/>
      <c r="JP158" s="102">
        <f t="shared" si="787"/>
        <v>0</v>
      </c>
      <c r="JQ158" s="102">
        <f t="shared" si="788"/>
        <v>0</v>
      </c>
      <c r="JR158" s="145"/>
      <c r="JS158" s="929" t="str">
        <f t="shared" si="861"/>
        <v>NA</v>
      </c>
      <c r="JT158" s="930">
        <f t="shared" si="862"/>
        <v>0</v>
      </c>
      <c r="JV158" s="973"/>
      <c r="JW158" s="973"/>
      <c r="JY158" s="929">
        <f t="shared" si="817"/>
        <v>-0.85416155215805423</v>
      </c>
      <c r="JZ158" s="929">
        <f t="shared" si="818"/>
        <v>3.0396777990044885</v>
      </c>
      <c r="KA158" s="929">
        <f t="shared" si="819"/>
        <v>-0.34068896703328833</v>
      </c>
      <c r="KB158" s="929">
        <f t="shared" si="820"/>
        <v>9.7982482242854108E-2</v>
      </c>
      <c r="KC158" s="929">
        <f t="shared" si="821"/>
        <v>-0.29522270603938727</v>
      </c>
      <c r="KD158" s="929">
        <f t="shared" si="822"/>
        <v>-0.40212745450502108</v>
      </c>
      <c r="KE158" s="929">
        <f t="shared" si="823"/>
        <v>-3.234402922551427E-2</v>
      </c>
      <c r="KF158" s="929">
        <f t="shared" si="824"/>
        <v>-1</v>
      </c>
      <c r="KH158" s="102">
        <f t="shared" si="792"/>
        <v>-495.64364957000004</v>
      </c>
      <c r="KI158" s="102">
        <f t="shared" si="793"/>
        <v>257.23443900000007</v>
      </c>
      <c r="KJ158" s="102">
        <f t="shared" si="794"/>
        <v>-116.46793026999995</v>
      </c>
      <c r="KK158" s="102">
        <f t="shared" si="795"/>
        <v>22.08447446999989</v>
      </c>
      <c r="KL158" s="102">
        <f t="shared" si="796"/>
        <v>-73.060695060000029</v>
      </c>
      <c r="KM158" s="102">
        <f t="shared" si="797"/>
        <v>-70.137401439999962</v>
      </c>
      <c r="KN158" s="102">
        <f t="shared" si="798"/>
        <v>-3.3727851600000633</v>
      </c>
      <c r="KO158" s="102">
        <f t="shared" si="711"/>
        <v>-100.90566253999995</v>
      </c>
      <c r="KQ158" s="973"/>
      <c r="KR158" s="973"/>
      <c r="KS158" s="973"/>
      <c r="KT158" s="973"/>
      <c r="KU158" s="973"/>
      <c r="KV158" s="973"/>
      <c r="KW158" s="973"/>
      <c r="KX158" s="973"/>
      <c r="KY158" s="973"/>
      <c r="KZ158" s="973"/>
      <c r="LB158" s="102">
        <f t="shared" si="737"/>
        <v>859.04051708999998</v>
      </c>
      <c r="LC158" s="102">
        <f t="shared" si="851"/>
        <v>580.26921057000004</v>
      </c>
      <c r="LD158" s="102">
        <f t="shared" si="851"/>
        <v>84.625561000000005</v>
      </c>
      <c r="LE158" s="102">
        <f t="shared" si="851"/>
        <v>341.86000000000007</v>
      </c>
      <c r="LF158" s="102">
        <f t="shared" si="851"/>
        <v>225.39206973000012</v>
      </c>
      <c r="LG158" s="102">
        <f t="shared" si="851"/>
        <v>247.47654420000001</v>
      </c>
      <c r="LH158" s="102">
        <f t="shared" si="851"/>
        <v>174.41584913999998</v>
      </c>
      <c r="LI158" s="102">
        <f t="shared" si="851"/>
        <v>104.27844770000002</v>
      </c>
      <c r="LJ158" s="102">
        <f t="shared" si="851"/>
        <v>100.90566253999995</v>
      </c>
      <c r="LK158" s="102">
        <f t="shared" si="851"/>
        <v>49.747753100000011</v>
      </c>
      <c r="LL158" s="102">
        <f t="shared" si="851"/>
        <v>59.391383980000001</v>
      </c>
      <c r="LM158" s="102">
        <f t="shared" si="851"/>
        <v>59.391383980000001</v>
      </c>
      <c r="LN158" s="102"/>
      <c r="LO158" s="102"/>
      <c r="LR158" s="32">
        <f t="shared" si="799"/>
        <v>-0.85416155215805423</v>
      </c>
      <c r="LS158" s="32">
        <f t="shared" si="800"/>
        <v>3.0396777990044885</v>
      </c>
      <c r="LT158" s="32">
        <f t="shared" si="801"/>
        <v>-0.34068896703328833</v>
      </c>
      <c r="LU158" s="32">
        <f t="shared" si="802"/>
        <v>9.7982482242854108E-2</v>
      </c>
      <c r="LV158" s="32">
        <f t="shared" si="803"/>
        <v>-0.29522270603938727</v>
      </c>
      <c r="LW158" s="32">
        <f t="shared" si="804"/>
        <v>-0.40212745450502108</v>
      </c>
      <c r="LX158" s="32">
        <f t="shared" si="848"/>
        <v>-1</v>
      </c>
      <c r="LZ158" s="102">
        <f t="shared" si="805"/>
        <v>-495.64364957000004</v>
      </c>
      <c r="MA158" s="102">
        <f t="shared" si="806"/>
        <v>257.23443900000007</v>
      </c>
      <c r="MB158" s="102">
        <f t="shared" si="807"/>
        <v>-116.46793026999995</v>
      </c>
      <c r="MC158" s="102">
        <f t="shared" si="808"/>
        <v>22.08447446999989</v>
      </c>
      <c r="MD158" s="102">
        <f t="shared" si="809"/>
        <v>-73.060695060000029</v>
      </c>
      <c r="ME158" s="102">
        <f t="shared" si="810"/>
        <v>-70.137401439999962</v>
      </c>
      <c r="MF158" s="102">
        <f t="shared" si="849"/>
        <v>-104.27844770000002</v>
      </c>
      <c r="MH158" s="973"/>
      <c r="MI158" s="973"/>
      <c r="MJ158" s="973"/>
      <c r="MK158" s="973"/>
      <c r="ML158" s="973"/>
      <c r="MM158" s="973"/>
      <c r="MN158" s="973"/>
      <c r="MO158" s="973"/>
      <c r="MP158" s="973"/>
    </row>
    <row r="159" spans="1:354" outlineLevel="1">
      <c r="A159" s="884">
        <v>1625</v>
      </c>
      <c r="B159" s="70" t="s">
        <v>716</v>
      </c>
      <c r="C159" s="29" t="s">
        <v>133</v>
      </c>
      <c r="D159" s="31"/>
      <c r="E159" s="102">
        <v>359.83782400000001</v>
      </c>
      <c r="F159" s="102">
        <v>359.83782400000001</v>
      </c>
      <c r="G159" s="102">
        <v>359.83782400000001</v>
      </c>
      <c r="H159" s="102">
        <v>359.83782400000001</v>
      </c>
      <c r="I159" s="102">
        <v>359.83782400000001</v>
      </c>
      <c r="J159" s="102">
        <v>735.15560000000005</v>
      </c>
      <c r="K159" s="102">
        <v>735.15560000000005</v>
      </c>
      <c r="L159" s="102">
        <v>735.15560000000005</v>
      </c>
      <c r="M159" s="102">
        <v>735.15560000000005</v>
      </c>
      <c r="N159" s="102">
        <v>735.15560000000005</v>
      </c>
      <c r="O159" s="102">
        <v>962.03228300000001</v>
      </c>
      <c r="P159" s="102">
        <v>962.03228300000001</v>
      </c>
      <c r="Q159" s="102">
        <v>962.03228300000001</v>
      </c>
      <c r="R159" s="102">
        <v>979.21644700000002</v>
      </c>
      <c r="S159" s="102">
        <v>987.87831299999993</v>
      </c>
      <c r="T159" s="102">
        <v>962.03228300000001</v>
      </c>
      <c r="U159" s="102">
        <v>962.03228300000001</v>
      </c>
      <c r="V159" s="102">
        <v>962.03228300000001</v>
      </c>
      <c r="W159" s="102">
        <v>962.03228300000001</v>
      </c>
      <c r="X159" s="102">
        <v>962.03228300000001</v>
      </c>
      <c r="Y159" s="102">
        <v>753.18400799999995</v>
      </c>
      <c r="Z159" s="102">
        <v>753.18400799999995</v>
      </c>
      <c r="AA159" s="102">
        <v>753.18400799999995</v>
      </c>
      <c r="AB159" s="102">
        <v>753.18400799999995</v>
      </c>
      <c r="AC159" s="102">
        <v>753.18400799999995</v>
      </c>
      <c r="AD159" s="102">
        <v>753.18400799999995</v>
      </c>
      <c r="AE159" s="102">
        <v>753.18400799999995</v>
      </c>
      <c r="AF159" s="102">
        <v>753.18400799999995</v>
      </c>
      <c r="AG159" s="102">
        <v>753.18400799999995</v>
      </c>
      <c r="AH159" s="102">
        <v>611.19445900000005</v>
      </c>
      <c r="AI159" s="102">
        <v>611.19445900000005</v>
      </c>
      <c r="AJ159" s="102">
        <v>1113.707825</v>
      </c>
      <c r="AK159" s="102">
        <v>1113.707825</v>
      </c>
      <c r="AL159" s="102">
        <v>1113.707825</v>
      </c>
      <c r="AM159" s="102">
        <v>1113.707825</v>
      </c>
      <c r="AN159" s="102">
        <v>9</v>
      </c>
      <c r="AO159" s="102">
        <v>9</v>
      </c>
      <c r="AP159" s="145">
        <v>9</v>
      </c>
      <c r="AQ159" s="220">
        <v>9</v>
      </c>
      <c r="AR159" s="220">
        <v>9</v>
      </c>
      <c r="AS159" s="102">
        <v>98.108435999999998</v>
      </c>
      <c r="AT159" s="102">
        <v>3448.108436</v>
      </c>
      <c r="AU159" s="102">
        <v>3448.108436</v>
      </c>
      <c r="AV159" s="102">
        <v>3448.108436</v>
      </c>
      <c r="AW159" s="102">
        <v>3448.108436</v>
      </c>
      <c r="AX159" s="102">
        <v>3448.108436</v>
      </c>
      <c r="AY159" s="102">
        <v>3448.108436</v>
      </c>
      <c r="AZ159" s="102">
        <v>9</v>
      </c>
      <c r="BA159" s="102">
        <v>9</v>
      </c>
      <c r="BB159" s="102">
        <v>9</v>
      </c>
      <c r="BC159" s="102">
        <v>9</v>
      </c>
      <c r="BD159" s="102">
        <v>9</v>
      </c>
      <c r="BE159" s="102">
        <v>9</v>
      </c>
      <c r="BF159" s="102">
        <v>9</v>
      </c>
      <c r="BG159" s="102">
        <v>9</v>
      </c>
      <c r="BH159" s="102">
        <v>9</v>
      </c>
      <c r="BI159" s="102">
        <v>9</v>
      </c>
      <c r="BJ159" s="102">
        <v>9</v>
      </c>
      <c r="BK159" s="102">
        <v>9</v>
      </c>
      <c r="BL159" s="102">
        <v>9</v>
      </c>
      <c r="BM159" s="102">
        <v>9</v>
      </c>
      <c r="BN159" s="102">
        <v>9</v>
      </c>
      <c r="BO159" s="102">
        <v>9</v>
      </c>
      <c r="BP159" s="102">
        <v>9</v>
      </c>
      <c r="BQ159" s="102">
        <v>9</v>
      </c>
      <c r="BR159" s="102">
        <v>9</v>
      </c>
      <c r="BS159" s="102">
        <v>9</v>
      </c>
      <c r="BT159" s="102">
        <v>9</v>
      </c>
      <c r="BU159" s="102">
        <v>9</v>
      </c>
      <c r="BV159" s="102">
        <v>9</v>
      </c>
      <c r="BW159" s="102">
        <v>9</v>
      </c>
      <c r="BX159" s="102">
        <v>9</v>
      </c>
      <c r="BY159" s="102">
        <v>9</v>
      </c>
      <c r="BZ159" s="102">
        <v>9</v>
      </c>
      <c r="CA159" s="102">
        <v>9</v>
      </c>
      <c r="CB159" s="102">
        <v>9</v>
      </c>
      <c r="CC159" s="102">
        <v>9</v>
      </c>
      <c r="CD159" s="102">
        <v>9</v>
      </c>
      <c r="CE159" s="102">
        <v>9</v>
      </c>
      <c r="CF159" s="102">
        <v>9</v>
      </c>
      <c r="CG159" s="102">
        <v>9</v>
      </c>
      <c r="CH159" s="102">
        <v>9</v>
      </c>
      <c r="CI159" s="102">
        <v>9</v>
      </c>
      <c r="CJ159" s="102">
        <v>9</v>
      </c>
      <c r="CK159" s="102">
        <v>9</v>
      </c>
      <c r="CL159" s="102">
        <v>9</v>
      </c>
      <c r="CM159" s="102">
        <v>9</v>
      </c>
      <c r="CN159" s="102">
        <v>9</v>
      </c>
      <c r="CO159" s="102">
        <v>9</v>
      </c>
      <c r="CP159" s="102">
        <v>9</v>
      </c>
      <c r="CQ159" s="102">
        <v>9</v>
      </c>
      <c r="CR159" s="102">
        <v>9</v>
      </c>
      <c r="CS159" s="102">
        <v>9</v>
      </c>
      <c r="CT159" s="102">
        <v>9</v>
      </c>
      <c r="CU159" s="102">
        <v>9</v>
      </c>
      <c r="CV159" s="102">
        <v>9</v>
      </c>
      <c r="CW159" s="102">
        <v>9</v>
      </c>
      <c r="CX159" s="102">
        <v>9</v>
      </c>
      <c r="CY159" s="102">
        <v>9</v>
      </c>
      <c r="CZ159" s="102">
        <v>9</v>
      </c>
      <c r="DA159" s="102">
        <v>9</v>
      </c>
      <c r="DB159" s="102">
        <v>9</v>
      </c>
      <c r="DC159" s="102">
        <v>9</v>
      </c>
      <c r="DD159" s="102">
        <v>9</v>
      </c>
      <c r="DE159" s="102">
        <v>9</v>
      </c>
      <c r="DF159" s="102">
        <v>9</v>
      </c>
      <c r="DG159" s="102">
        <v>9</v>
      </c>
      <c r="DH159" s="102">
        <v>9</v>
      </c>
      <c r="DI159" s="102">
        <v>9</v>
      </c>
      <c r="DJ159" s="102">
        <v>9</v>
      </c>
      <c r="DK159" s="102">
        <v>9</v>
      </c>
      <c r="DL159" s="102">
        <v>9</v>
      </c>
      <c r="DM159" s="102">
        <v>9</v>
      </c>
      <c r="DN159" s="102">
        <v>9</v>
      </c>
      <c r="DO159" s="102">
        <v>9</v>
      </c>
      <c r="DP159" s="102">
        <v>9</v>
      </c>
      <c r="DQ159" s="940">
        <v>9</v>
      </c>
      <c r="DR159" s="940">
        <v>9</v>
      </c>
      <c r="DS159" s="940">
        <v>9</v>
      </c>
      <c r="DT159" s="940">
        <v>9</v>
      </c>
      <c r="DU159" s="940">
        <v>9</v>
      </c>
      <c r="DV159" s="940">
        <v>9</v>
      </c>
      <c r="DW159" s="940">
        <v>9</v>
      </c>
      <c r="DX159" s="940">
        <v>9</v>
      </c>
      <c r="DY159" s="940">
        <v>9</v>
      </c>
      <c r="DZ159" s="940">
        <v>9</v>
      </c>
      <c r="EA159" s="940">
        <v>9</v>
      </c>
      <c r="EB159" s="940">
        <v>9</v>
      </c>
      <c r="EC159" s="940">
        <v>9</v>
      </c>
      <c r="ED159" s="940">
        <v>9</v>
      </c>
      <c r="EE159" s="940">
        <v>9</v>
      </c>
      <c r="EF159" s="940">
        <v>9</v>
      </c>
      <c r="EH159" s="102" t="e">
        <v>#VALUE!</v>
      </c>
      <c r="EI159" s="102" t="e">
        <v>#VALUE!</v>
      </c>
      <c r="EJ159" s="102" t="e">
        <v>#VALUE!</v>
      </c>
      <c r="EK159" s="102" t="e">
        <v>#VALUE!</v>
      </c>
      <c r="EL159" s="102" t="e">
        <v>#VALUE!</v>
      </c>
      <c r="EM159" s="102" t="e">
        <v>#VALUE!</v>
      </c>
      <c r="EN159" s="102" t="e">
        <v>#VALUE!</v>
      </c>
      <c r="EO159" s="102" t="e">
        <v>#VALUE!</v>
      </c>
      <c r="EP159" s="102" t="e">
        <v>#VALUE!</v>
      </c>
      <c r="EQ159" s="102" t="e">
        <v>#VALUE!</v>
      </c>
      <c r="ER159" s="102" t="e">
        <v>#VALUE!</v>
      </c>
      <c r="ES159" s="102" t="e">
        <v>#VALUE!</v>
      </c>
      <c r="EU159" s="102">
        <v>1113.707825</v>
      </c>
      <c r="EV159" s="102">
        <v>1213.707825</v>
      </c>
      <c r="EW159" s="102">
        <v>1213.707825</v>
      </c>
      <c r="EX159" s="102">
        <v>1213.707825</v>
      </c>
      <c r="EY159" s="102">
        <v>1213.707825</v>
      </c>
      <c r="EZ159" s="102">
        <v>1213.707825</v>
      </c>
      <c r="FA159" s="102">
        <v>1213.707825</v>
      </c>
      <c r="FB159" s="102">
        <v>1213.707825</v>
      </c>
      <c r="FC159" s="102">
        <v>1213.707825</v>
      </c>
      <c r="FD159" s="102">
        <v>1213.707825</v>
      </c>
      <c r="FE159" s="102">
        <v>1213.707825</v>
      </c>
      <c r="FF159" s="102">
        <v>1213.707825</v>
      </c>
      <c r="FG159" s="102">
        <v>3448.108436</v>
      </c>
      <c r="FH159" s="102">
        <v>3448.108436</v>
      </c>
      <c r="FI159" s="102">
        <v>3448.108436</v>
      </c>
      <c r="FJ159" s="102">
        <v>3448.108436</v>
      </c>
      <c r="FK159" s="102">
        <v>3448.108436</v>
      </c>
      <c r="FL159" s="102">
        <v>3448.108436</v>
      </c>
      <c r="FM159" s="102">
        <v>3448.108436</v>
      </c>
      <c r="FN159" s="102">
        <v>3448.108436</v>
      </c>
      <c r="FO159" s="102">
        <v>3448.108436</v>
      </c>
      <c r="FP159" s="102">
        <v>3448.108436</v>
      </c>
      <c r="FQ159" s="102">
        <v>3448.108436</v>
      </c>
      <c r="FR159" s="102">
        <v>3448.108436</v>
      </c>
      <c r="FS159" s="102">
        <v>9</v>
      </c>
      <c r="FT159" s="102">
        <v>9</v>
      </c>
      <c r="FU159" s="102">
        <v>9</v>
      </c>
      <c r="FV159" s="102">
        <v>9</v>
      </c>
      <c r="FW159" s="102">
        <v>9</v>
      </c>
      <c r="FX159" s="102">
        <v>9</v>
      </c>
      <c r="FY159" s="102">
        <v>9</v>
      </c>
      <c r="FZ159" s="102">
        <v>9</v>
      </c>
      <c r="GA159" s="102">
        <v>9</v>
      </c>
      <c r="GB159" s="102">
        <v>9</v>
      </c>
      <c r="GC159" s="102">
        <v>9</v>
      </c>
      <c r="GD159" s="102">
        <v>9</v>
      </c>
      <c r="GE159" s="102" t="e">
        <v>#VALUE!</v>
      </c>
      <c r="GF159" s="102" t="e">
        <v>#VALUE!</v>
      </c>
      <c r="GG159" s="102" t="e">
        <v>#VALUE!</v>
      </c>
      <c r="GH159" s="102" t="e">
        <v>#VALUE!</v>
      </c>
      <c r="GI159" s="102" t="e">
        <v>#VALUE!</v>
      </c>
      <c r="GJ159" s="102" t="e">
        <v>#VALUE!</v>
      </c>
      <c r="GK159" s="102" t="e">
        <v>#VALUE!</v>
      </c>
      <c r="GL159" s="102" t="e">
        <v>#VALUE!</v>
      </c>
      <c r="GM159" s="102" t="e">
        <v>#VALUE!</v>
      </c>
      <c r="GN159" s="102" t="e">
        <v>#VALUE!</v>
      </c>
      <c r="GO159" s="102" t="e">
        <v>#VALUE!</v>
      </c>
      <c r="GP159" s="102" t="e">
        <v>#VALUE!</v>
      </c>
      <c r="GQ159" s="102" t="e">
        <v>#VALUE!</v>
      </c>
      <c r="GR159" s="102" t="e">
        <v>#VALUE!</v>
      </c>
      <c r="GS159" s="102" t="e">
        <v>#VALUE!</v>
      </c>
      <c r="GT159" s="102" t="e">
        <v>#VALUE!</v>
      </c>
      <c r="GU159" s="102" t="e">
        <v>#VALUE!</v>
      </c>
      <c r="GV159" s="102" t="e">
        <v>#VALUE!</v>
      </c>
      <c r="GW159" s="102" t="e">
        <v>#VALUE!</v>
      </c>
      <c r="GX159" s="102" t="e">
        <v>#VALUE!</v>
      </c>
      <c r="GY159" s="102" t="e">
        <v>#VALUE!</v>
      </c>
      <c r="GZ159" s="102" t="e">
        <v>#VALUE!</v>
      </c>
      <c r="HA159" s="102" t="e">
        <v>#VALUE!</v>
      </c>
      <c r="HB159" s="102" t="e">
        <v>#VALUE!</v>
      </c>
      <c r="HD159" s="102">
        <f t="shared" si="852"/>
        <v>962.03228300000001</v>
      </c>
      <c r="HE159" s="102">
        <f t="shared" si="852"/>
        <v>753.18400799999995</v>
      </c>
      <c r="HF159" s="102">
        <f t="shared" si="852"/>
        <v>9</v>
      </c>
      <c r="HG159" s="102">
        <f t="shared" si="852"/>
        <v>9</v>
      </c>
      <c r="HH159" s="102">
        <f t="shared" si="777"/>
        <v>9</v>
      </c>
      <c r="HI159" s="102">
        <f t="shared" si="778"/>
        <v>9</v>
      </c>
      <c r="HJ159" s="102">
        <f t="shared" si="846"/>
        <v>9</v>
      </c>
      <c r="HK159" s="102">
        <f t="shared" si="847"/>
        <v>9</v>
      </c>
      <c r="HL159" s="940">
        <f>+SUMIFS($E159:SEW159,$E$6:SEW$6,HL$7,$E$5:SEW$5,12)</f>
        <v>9</v>
      </c>
      <c r="HM159" s="940">
        <f>+SUMIFS($E159:SEX159,$E$6:SEX$6,HM$7,$E$5:SEX$5,12)</f>
        <v>9</v>
      </c>
      <c r="HN159" s="940">
        <f>+SUMIFS($E159:SEY159,$E$6:SEY$6,HN$7,$E$5:SEY$5,12)</f>
        <v>9</v>
      </c>
      <c r="HO159" s="102"/>
      <c r="HP159" s="102"/>
      <c r="HR159" s="929">
        <f t="shared" si="853"/>
        <v>-0.98805072876693367</v>
      </c>
      <c r="HS159" s="929">
        <f t="shared" si="854"/>
        <v>0</v>
      </c>
      <c r="HT159" s="929">
        <f t="shared" si="855"/>
        <v>0</v>
      </c>
      <c r="HU159" s="929">
        <f t="shared" si="738"/>
        <v>0</v>
      </c>
      <c r="HV159" s="929">
        <f t="shared" si="739"/>
        <v>0</v>
      </c>
      <c r="HW159" s="929">
        <f t="shared" si="740"/>
        <v>0</v>
      </c>
      <c r="HX159" s="929">
        <f t="shared" si="741"/>
        <v>0</v>
      </c>
      <c r="HY159" s="929">
        <f t="shared" si="741"/>
        <v>0</v>
      </c>
      <c r="HZ159" s="929">
        <f t="shared" si="741"/>
        <v>0</v>
      </c>
      <c r="IA159" s="929">
        <f t="shared" si="762"/>
        <v>-1</v>
      </c>
      <c r="IB159" s="929" t="str">
        <f t="shared" si="856"/>
        <v/>
      </c>
      <c r="IC159" s="929">
        <f t="shared" si="763"/>
        <v>-1</v>
      </c>
      <c r="IE159" s="102">
        <f t="shared" si="857"/>
        <v>-744.18400799999995</v>
      </c>
      <c r="IF159" s="102">
        <f t="shared" si="858"/>
        <v>0</v>
      </c>
      <c r="IG159" s="102">
        <f t="shared" si="859"/>
        <v>0</v>
      </c>
      <c r="IH159" s="102">
        <f t="shared" si="742"/>
        <v>0</v>
      </c>
      <c r="II159" s="102">
        <f t="shared" si="767"/>
        <v>0</v>
      </c>
      <c r="IJ159" s="102">
        <f t="shared" si="768"/>
        <v>0</v>
      </c>
      <c r="IK159" s="102">
        <f t="shared" si="769"/>
        <v>0</v>
      </c>
      <c r="IL159" s="102">
        <f t="shared" si="764"/>
        <v>-9</v>
      </c>
      <c r="IM159" s="102">
        <f t="shared" si="860"/>
        <v>0</v>
      </c>
      <c r="IN159" s="102">
        <f t="shared" si="765"/>
        <v>-9</v>
      </c>
      <c r="IP159" s="973"/>
      <c r="IQ159" s="973"/>
      <c r="IR159" s="973"/>
      <c r="IS159" s="973"/>
      <c r="IT159" s="973"/>
      <c r="IU159" s="973"/>
      <c r="IV159" s="973"/>
      <c r="IW159" s="973"/>
      <c r="IX159" s="973"/>
      <c r="IY159" s="973"/>
      <c r="JA159" s="102">
        <f t="shared" si="727"/>
        <v>962.03228300000001</v>
      </c>
      <c r="JB159" s="102">
        <f t="shared" si="850"/>
        <v>753.18400799999995</v>
      </c>
      <c r="JC159" s="102">
        <f t="shared" si="850"/>
        <v>9</v>
      </c>
      <c r="JD159" s="102">
        <f t="shared" si="850"/>
        <v>9</v>
      </c>
      <c r="JE159" s="102">
        <f t="shared" si="850"/>
        <v>9</v>
      </c>
      <c r="JF159" s="102">
        <f t="shared" si="850"/>
        <v>9</v>
      </c>
      <c r="JG159" s="102">
        <f t="shared" si="850"/>
        <v>9</v>
      </c>
      <c r="JH159" s="102">
        <f t="shared" si="850"/>
        <v>9</v>
      </c>
      <c r="JI159" s="102">
        <f t="shared" si="850"/>
        <v>9</v>
      </c>
      <c r="JJ159" s="102">
        <f t="shared" si="850"/>
        <v>9</v>
      </c>
      <c r="JK159" s="102">
        <f t="shared" si="850"/>
        <v>9</v>
      </c>
      <c r="JL159" s="102">
        <f t="shared" si="728"/>
        <v>9</v>
      </c>
      <c r="JM159" s="102"/>
      <c r="JN159" s="102"/>
      <c r="JP159" s="102">
        <f t="shared" si="787"/>
        <v>0</v>
      </c>
      <c r="JQ159" s="102">
        <f t="shared" si="788"/>
        <v>0</v>
      </c>
      <c r="JR159" s="145"/>
      <c r="JS159" s="929" t="str">
        <f t="shared" si="861"/>
        <v>NA</v>
      </c>
      <c r="JT159" s="930">
        <f t="shared" si="862"/>
        <v>0</v>
      </c>
      <c r="JV159" s="973"/>
      <c r="JW159" s="973"/>
      <c r="JY159" s="929">
        <f t="shared" si="817"/>
        <v>-0.98805072876693367</v>
      </c>
      <c r="JZ159" s="929">
        <f t="shared" si="818"/>
        <v>0</v>
      </c>
      <c r="KA159" s="929">
        <f t="shared" si="819"/>
        <v>0</v>
      </c>
      <c r="KB159" s="929">
        <f t="shared" si="820"/>
        <v>0</v>
      </c>
      <c r="KC159" s="929">
        <f t="shared" si="821"/>
        <v>0</v>
      </c>
      <c r="KD159" s="929">
        <f t="shared" si="822"/>
        <v>0</v>
      </c>
      <c r="KE159" s="929">
        <f t="shared" si="823"/>
        <v>0</v>
      </c>
      <c r="KF159" s="929">
        <f t="shared" si="824"/>
        <v>-1</v>
      </c>
      <c r="KH159" s="102">
        <f t="shared" si="792"/>
        <v>-744.18400799999995</v>
      </c>
      <c r="KI159" s="102">
        <f t="shared" si="793"/>
        <v>0</v>
      </c>
      <c r="KJ159" s="102">
        <f t="shared" si="794"/>
        <v>0</v>
      </c>
      <c r="KK159" s="102">
        <f t="shared" si="795"/>
        <v>0</v>
      </c>
      <c r="KL159" s="102">
        <f t="shared" si="796"/>
        <v>0</v>
      </c>
      <c r="KM159" s="102">
        <f t="shared" si="797"/>
        <v>0</v>
      </c>
      <c r="KN159" s="102">
        <f t="shared" si="798"/>
        <v>0</v>
      </c>
      <c r="KO159" s="102">
        <f t="shared" si="711"/>
        <v>-9</v>
      </c>
      <c r="KQ159" s="973"/>
      <c r="KR159" s="973"/>
      <c r="KS159" s="973"/>
      <c r="KT159" s="973"/>
      <c r="KU159" s="973"/>
      <c r="KV159" s="973"/>
      <c r="KW159" s="973"/>
      <c r="KX159" s="973"/>
      <c r="KY159" s="973"/>
      <c r="KZ159" s="973"/>
      <c r="LB159" s="102">
        <f t="shared" si="737"/>
        <v>962.03228300000001</v>
      </c>
      <c r="LC159" s="102">
        <f t="shared" si="851"/>
        <v>753.18400799999995</v>
      </c>
      <c r="LD159" s="102">
        <f t="shared" si="851"/>
        <v>9</v>
      </c>
      <c r="LE159" s="102">
        <f t="shared" si="851"/>
        <v>9</v>
      </c>
      <c r="LF159" s="102">
        <f t="shared" si="851"/>
        <v>9</v>
      </c>
      <c r="LG159" s="102">
        <f t="shared" si="851"/>
        <v>9</v>
      </c>
      <c r="LH159" s="102">
        <f t="shared" si="851"/>
        <v>9</v>
      </c>
      <c r="LI159" s="102">
        <f t="shared" si="851"/>
        <v>9</v>
      </c>
      <c r="LJ159" s="102">
        <f t="shared" si="851"/>
        <v>9</v>
      </c>
      <c r="LK159" s="102">
        <f t="shared" si="851"/>
        <v>9</v>
      </c>
      <c r="LL159" s="102">
        <f t="shared" si="851"/>
        <v>9</v>
      </c>
      <c r="LM159" s="102">
        <f t="shared" si="851"/>
        <v>9</v>
      </c>
      <c r="LN159" s="102"/>
      <c r="LO159" s="102"/>
      <c r="LR159" s="32">
        <f t="shared" si="799"/>
        <v>-0.98805072876693367</v>
      </c>
      <c r="LS159" s="32">
        <f t="shared" si="800"/>
        <v>0</v>
      </c>
      <c r="LT159" s="32">
        <f t="shared" si="801"/>
        <v>0</v>
      </c>
      <c r="LU159" s="32">
        <f t="shared" si="802"/>
        <v>0</v>
      </c>
      <c r="LV159" s="32">
        <f t="shared" si="803"/>
        <v>0</v>
      </c>
      <c r="LW159" s="32">
        <f t="shared" si="804"/>
        <v>0</v>
      </c>
      <c r="LX159" s="32">
        <f t="shared" si="848"/>
        <v>-1</v>
      </c>
      <c r="LZ159" s="102">
        <f t="shared" si="805"/>
        <v>-744.18400799999995</v>
      </c>
      <c r="MA159" s="102">
        <f t="shared" si="806"/>
        <v>0</v>
      </c>
      <c r="MB159" s="102">
        <f t="shared" si="807"/>
        <v>0</v>
      </c>
      <c r="MC159" s="102">
        <f t="shared" si="808"/>
        <v>0</v>
      </c>
      <c r="MD159" s="102">
        <f t="shared" si="809"/>
        <v>0</v>
      </c>
      <c r="ME159" s="102">
        <f t="shared" si="810"/>
        <v>0</v>
      </c>
      <c r="MF159" s="102">
        <f t="shared" si="849"/>
        <v>-9</v>
      </c>
      <c r="MH159" s="973"/>
      <c r="MI159" s="973"/>
      <c r="MJ159" s="973"/>
      <c r="MK159" s="973"/>
      <c r="ML159" s="973"/>
      <c r="MM159" s="973"/>
      <c r="MN159" s="973"/>
      <c r="MO159" s="973"/>
      <c r="MP159" s="973"/>
    </row>
    <row r="160" spans="1:354" outlineLevel="1">
      <c r="A160" s="884">
        <v>1635</v>
      </c>
      <c r="B160" s="70"/>
      <c r="C160" s="29" t="s">
        <v>717</v>
      </c>
      <c r="D160" s="31"/>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v>226.87668300000001</v>
      </c>
      <c r="AO160" s="102">
        <v>249.71610702000001</v>
      </c>
      <c r="AP160" s="145">
        <v>293.62408496</v>
      </c>
      <c r="AQ160" s="220">
        <v>359.63603094000001</v>
      </c>
      <c r="AR160" s="220">
        <v>359.63603094000001</v>
      </c>
      <c r="AS160" s="102">
        <v>388.16562092999999</v>
      </c>
      <c r="AT160" s="102">
        <v>435.32433111</v>
      </c>
      <c r="AU160" s="102">
        <v>380.36436914999996</v>
      </c>
      <c r="AV160" s="102">
        <v>383.19142361000002</v>
      </c>
      <c r="AW160" s="102">
        <v>415.07120861000004</v>
      </c>
      <c r="AX160" s="102">
        <v>415.07120861000004</v>
      </c>
      <c r="AY160" s="102">
        <v>415.07120861000004</v>
      </c>
      <c r="AZ160" s="102">
        <v>717.61800000000005</v>
      </c>
      <c r="BA160" s="102">
        <v>767.36678859000006</v>
      </c>
      <c r="BB160" s="102">
        <v>767.36678859000006</v>
      </c>
      <c r="BC160" s="102">
        <v>790.60538859000008</v>
      </c>
      <c r="BD160" s="102">
        <v>790.60538859000008</v>
      </c>
      <c r="BE160" s="102">
        <v>793.85224702999994</v>
      </c>
      <c r="BF160" s="102">
        <v>793.85224702999994</v>
      </c>
      <c r="BG160" s="102">
        <v>793.85224702999994</v>
      </c>
      <c r="BH160" s="102">
        <v>913.78342902999998</v>
      </c>
      <c r="BI160" s="102">
        <v>913.78342902999998</v>
      </c>
      <c r="BJ160" s="102">
        <v>913.78342902999998</v>
      </c>
      <c r="BK160" s="102">
        <v>913.78342902999998</v>
      </c>
      <c r="BL160" s="102">
        <v>789.7621352000001</v>
      </c>
      <c r="BM160" s="102">
        <v>381.53629380000001</v>
      </c>
      <c r="BN160" s="102">
        <v>404.74129379999999</v>
      </c>
      <c r="BO160" s="102">
        <v>435.96074629000003</v>
      </c>
      <c r="BP160" s="102">
        <v>435.96074629000003</v>
      </c>
      <c r="BQ160" s="102">
        <v>436.20323029000002</v>
      </c>
      <c r="BR160" s="102">
        <v>444.73610513</v>
      </c>
      <c r="BS160" s="102">
        <v>444.73610513</v>
      </c>
      <c r="BT160" s="102">
        <v>444.73610513</v>
      </c>
      <c r="BU160" s="102">
        <v>445.91010512999998</v>
      </c>
      <c r="BV160" s="102">
        <v>451.71496712999999</v>
      </c>
      <c r="BW160" s="102">
        <v>451.71496712999999</v>
      </c>
      <c r="BX160" s="102">
        <v>419.83991549000001</v>
      </c>
      <c r="BY160" s="102">
        <v>476.86763918000003</v>
      </c>
      <c r="BZ160" s="102">
        <v>478.68852318</v>
      </c>
      <c r="CA160" s="102">
        <v>477.62346317999999</v>
      </c>
      <c r="CB160" s="102">
        <v>479.81005518000001</v>
      </c>
      <c r="CC160" s="102">
        <v>507.11631918</v>
      </c>
      <c r="CD160" s="102">
        <v>514.47509518000004</v>
      </c>
      <c r="CE160" s="102">
        <v>516.76445518000003</v>
      </c>
      <c r="CF160" s="102">
        <v>526.34599118000006</v>
      </c>
      <c r="CG160" s="102">
        <v>537.43639117999999</v>
      </c>
      <c r="CH160" s="102">
        <v>544.07385117999991</v>
      </c>
      <c r="CI160" s="102">
        <v>551.76162277999993</v>
      </c>
      <c r="CJ160" s="102">
        <v>429.84172494000001</v>
      </c>
      <c r="CK160" s="102">
        <v>470.45630793999999</v>
      </c>
      <c r="CL160" s="102">
        <v>502.53241794000002</v>
      </c>
      <c r="CM160" s="102">
        <v>502.53241794000002</v>
      </c>
      <c r="CN160" s="102">
        <v>486.79895074000001</v>
      </c>
      <c r="CO160" s="102">
        <v>462.02817733999996</v>
      </c>
      <c r="CP160" s="102">
        <v>437.69858733999996</v>
      </c>
      <c r="CQ160" s="102">
        <v>442.83961733999996</v>
      </c>
      <c r="CR160" s="102">
        <v>443.02228233999995</v>
      </c>
      <c r="CS160" s="102">
        <v>443.02228233999995</v>
      </c>
      <c r="CT160" s="102">
        <v>444.59827233999999</v>
      </c>
      <c r="CU160" s="102">
        <v>443.36101434</v>
      </c>
      <c r="CV160" s="102">
        <v>402.87904350000002</v>
      </c>
      <c r="CW160" s="102">
        <v>384.68407350000001</v>
      </c>
      <c r="CX160" s="102">
        <v>384.68407350000001</v>
      </c>
      <c r="CY160" s="102">
        <v>412.30250702000001</v>
      </c>
      <c r="CZ160" s="102">
        <v>412.30250702000001</v>
      </c>
      <c r="DA160" s="102">
        <v>432.15989072000002</v>
      </c>
      <c r="DB160" s="102">
        <v>437.25789072000003</v>
      </c>
      <c r="DC160" s="102">
        <v>438.26234098000003</v>
      </c>
      <c r="DD160" s="102">
        <v>460.90841499999999</v>
      </c>
      <c r="DE160" s="102">
        <v>493.68841500000002</v>
      </c>
      <c r="DF160" s="102">
        <v>497.43938033999996</v>
      </c>
      <c r="DG160" s="102">
        <v>497.43938033999996</v>
      </c>
      <c r="DH160" s="102">
        <v>347.34909733999996</v>
      </c>
      <c r="DI160" s="102">
        <v>390.56839631999998</v>
      </c>
      <c r="DJ160" s="102">
        <v>442.78939331999999</v>
      </c>
      <c r="DK160" s="102">
        <v>442.78939331999999</v>
      </c>
      <c r="DL160" s="102">
        <v>442.78939331999999</v>
      </c>
      <c r="DM160" s="102">
        <v>461.47554151999998</v>
      </c>
      <c r="DN160" s="102">
        <v>470.71203951999996</v>
      </c>
      <c r="DO160" s="102">
        <v>470.71203951999996</v>
      </c>
      <c r="DP160" s="102">
        <v>480.42254151999998</v>
      </c>
      <c r="DQ160" s="940">
        <v>223.94492852000002</v>
      </c>
      <c r="DR160" s="940">
        <v>224.24232458</v>
      </c>
      <c r="DS160" s="940">
        <v>231.33534658000002</v>
      </c>
      <c r="DT160" s="940">
        <v>199.34611521000002</v>
      </c>
      <c r="DU160" s="940">
        <v>247.03960793000002</v>
      </c>
      <c r="DV160" s="940">
        <v>180.71230413000001</v>
      </c>
      <c r="DW160" s="940">
        <v>180.71230413000001</v>
      </c>
      <c r="DX160" s="940">
        <v>162.02615613</v>
      </c>
      <c r="DY160" s="940">
        <v>182.57913852999999</v>
      </c>
      <c r="DZ160" s="940">
        <v>176.88213088000001</v>
      </c>
      <c r="EA160" s="940">
        <v>181.23212544999998</v>
      </c>
      <c r="EB160" s="940">
        <v>195.57440044999998</v>
      </c>
      <c r="EC160" s="940">
        <v>196.66598405000002</v>
      </c>
      <c r="ED160" s="940">
        <v>192.84367746999999</v>
      </c>
      <c r="EE160" s="940">
        <v>181.93981546999998</v>
      </c>
      <c r="EF160" s="940">
        <v>141.64031978</v>
      </c>
      <c r="EH160" s="102" t="e">
        <v>#VALUE!</v>
      </c>
      <c r="EI160" s="102" t="e">
        <v>#VALUE!</v>
      </c>
      <c r="EJ160" s="102" t="e">
        <v>#VALUE!</v>
      </c>
      <c r="EK160" s="102" t="e">
        <v>#VALUE!</v>
      </c>
      <c r="EL160" s="102" t="e">
        <v>#VALUE!</v>
      </c>
      <c r="EM160" s="102" t="e">
        <v>#VALUE!</v>
      </c>
      <c r="EN160" s="102" t="e">
        <v>#VALUE!</v>
      </c>
      <c r="EO160" s="102" t="e">
        <v>#VALUE!</v>
      </c>
      <c r="EP160" s="102" t="e">
        <v>#VALUE!</v>
      </c>
      <c r="EQ160" s="102" t="e">
        <v>#VALUE!</v>
      </c>
      <c r="ER160" s="102" t="e">
        <v>#VALUE!</v>
      </c>
      <c r="ES160" s="102" t="e">
        <v>#VALUE!</v>
      </c>
      <c r="EU160" s="102"/>
      <c r="EV160" s="102"/>
      <c r="EW160" s="102"/>
      <c r="EX160" s="102"/>
      <c r="EY160" s="102"/>
      <c r="EZ160" s="102"/>
      <c r="FA160" s="102"/>
      <c r="FB160" s="102"/>
      <c r="FC160" s="102"/>
      <c r="FD160" s="102"/>
      <c r="FE160" s="102"/>
      <c r="FF160" s="102"/>
      <c r="FG160" s="102">
        <v>456.67120861000001</v>
      </c>
      <c r="FH160" s="102">
        <v>456.67120861000001</v>
      </c>
      <c r="FI160" s="102">
        <v>456.67120861000001</v>
      </c>
      <c r="FJ160" s="102">
        <v>458.57120861000004</v>
      </c>
      <c r="FK160" s="102">
        <v>460.67120861000001</v>
      </c>
      <c r="FL160" s="102">
        <v>462.77120861000003</v>
      </c>
      <c r="FM160" s="102">
        <v>465.17120861000001</v>
      </c>
      <c r="FN160" s="102">
        <v>465.17120861000001</v>
      </c>
      <c r="FO160" s="102">
        <v>465.17120861000001</v>
      </c>
      <c r="FP160" s="102">
        <v>465.17120861000001</v>
      </c>
      <c r="FQ160" s="102">
        <v>465.17120861000001</v>
      </c>
      <c r="FR160" s="102">
        <v>465.17120861000001</v>
      </c>
      <c r="FS160" s="102">
        <v>918.0261352</v>
      </c>
      <c r="FT160" s="102">
        <v>934.0261352</v>
      </c>
      <c r="FU160" s="102">
        <v>962.17613520000009</v>
      </c>
      <c r="FV160" s="102">
        <v>978.17613520000009</v>
      </c>
      <c r="FW160" s="102">
        <v>994.17613520000009</v>
      </c>
      <c r="FX160" s="102">
        <v>1010.1761352000001</v>
      </c>
      <c r="FY160" s="102">
        <v>1026.1761352000001</v>
      </c>
      <c r="FZ160" s="102">
        <v>1042.1761352000001</v>
      </c>
      <c r="GA160" s="102">
        <v>1058.1761352000001</v>
      </c>
      <c r="GB160" s="102">
        <v>1074.1761352000001</v>
      </c>
      <c r="GC160" s="102">
        <v>1090.1761352000001</v>
      </c>
      <c r="GD160" s="102">
        <v>1106.1761352000001</v>
      </c>
      <c r="GE160" s="102" t="e">
        <v>#VALUE!</v>
      </c>
      <c r="GF160" s="102" t="e">
        <v>#VALUE!</v>
      </c>
      <c r="GG160" s="102" t="e">
        <v>#VALUE!</v>
      </c>
      <c r="GH160" s="102" t="e">
        <v>#VALUE!</v>
      </c>
      <c r="GI160" s="102" t="e">
        <v>#VALUE!</v>
      </c>
      <c r="GJ160" s="102" t="e">
        <v>#VALUE!</v>
      </c>
      <c r="GK160" s="102" t="e">
        <v>#VALUE!</v>
      </c>
      <c r="GL160" s="102" t="e">
        <v>#VALUE!</v>
      </c>
      <c r="GM160" s="102" t="e">
        <v>#VALUE!</v>
      </c>
      <c r="GN160" s="102" t="e">
        <v>#VALUE!</v>
      </c>
      <c r="GO160" s="102" t="e">
        <v>#VALUE!</v>
      </c>
      <c r="GP160" s="102" t="e">
        <v>#VALUE!</v>
      </c>
      <c r="GQ160" s="102" t="e">
        <v>#VALUE!</v>
      </c>
      <c r="GR160" s="102" t="e">
        <v>#VALUE!</v>
      </c>
      <c r="GS160" s="102" t="e">
        <v>#VALUE!</v>
      </c>
      <c r="GT160" s="102" t="e">
        <v>#VALUE!</v>
      </c>
      <c r="GU160" s="102" t="e">
        <v>#VALUE!</v>
      </c>
      <c r="GV160" s="102" t="e">
        <v>#VALUE!</v>
      </c>
      <c r="GW160" s="102" t="e">
        <v>#VALUE!</v>
      </c>
      <c r="GX160" s="102" t="e">
        <v>#VALUE!</v>
      </c>
      <c r="GY160" s="102" t="e">
        <v>#VALUE!</v>
      </c>
      <c r="GZ160" s="102" t="e">
        <v>#VALUE!</v>
      </c>
      <c r="HA160" s="102" t="e">
        <v>#VALUE!</v>
      </c>
      <c r="HB160" s="102" t="e">
        <v>#VALUE!</v>
      </c>
      <c r="HD160" s="102">
        <f t="shared" si="852"/>
        <v>0</v>
      </c>
      <c r="HE160" s="102">
        <f t="shared" si="852"/>
        <v>0</v>
      </c>
      <c r="HF160" s="102">
        <f t="shared" si="852"/>
        <v>226.87668300000001</v>
      </c>
      <c r="HG160" s="102">
        <f t="shared" si="852"/>
        <v>717.61800000000005</v>
      </c>
      <c r="HH160" s="102">
        <f t="shared" si="777"/>
        <v>789.7621352000001</v>
      </c>
      <c r="HI160" s="102">
        <f t="shared" si="778"/>
        <v>419.83991549000001</v>
      </c>
      <c r="HJ160" s="102">
        <f t="shared" si="846"/>
        <v>429.84172494000001</v>
      </c>
      <c r="HK160" s="102">
        <f t="shared" si="847"/>
        <v>402.87904350000002</v>
      </c>
      <c r="HL160" s="940">
        <f>+SUMIFS($E160:SEW160,$E$6:SEW$6,HL$7,$E$5:SEW$5,12)</f>
        <v>347.34909733999996</v>
      </c>
      <c r="HM160" s="940">
        <f>+SUMIFS($E160:SEX160,$E$6:SEX$6,HM$7,$E$5:SEX$5,12)</f>
        <v>199.34611521000002</v>
      </c>
      <c r="HN160" s="940">
        <f>+SUMIFS($E160:SEY160,$E$6:SEY$6,HN$7,$E$5:SEY$5,12)</f>
        <v>141.64031978</v>
      </c>
      <c r="HO160" s="102"/>
      <c r="HP160" s="102"/>
      <c r="HR160" s="929" t="str">
        <f t="shared" si="853"/>
        <v/>
      </c>
      <c r="HS160" s="929">
        <f t="shared" si="854"/>
        <v>2.1630310815148861</v>
      </c>
      <c r="HT160" s="929">
        <f t="shared" si="855"/>
        <v>0.10053278373730867</v>
      </c>
      <c r="HU160" s="929">
        <f t="shared" si="738"/>
        <v>-0.46839700616480007</v>
      </c>
      <c r="HV160" s="929">
        <f t="shared" si="739"/>
        <v>2.3822912212448255E-2</v>
      </c>
      <c r="HW160" s="929">
        <f t="shared" si="740"/>
        <v>-6.2726998975642934E-2</v>
      </c>
      <c r="HX160" s="929">
        <f t="shared" si="741"/>
        <v>-0.13783279884102495</v>
      </c>
      <c r="HY160" s="929">
        <f t="shared" si="741"/>
        <v>-0.42609289404638462</v>
      </c>
      <c r="HZ160" s="929">
        <f t="shared" si="741"/>
        <v>-0.28947539493914987</v>
      </c>
      <c r="IA160" s="929">
        <f t="shared" si="762"/>
        <v>-1</v>
      </c>
      <c r="IB160" s="929" t="str">
        <f t="shared" si="856"/>
        <v/>
      </c>
      <c r="IC160" s="929">
        <f t="shared" si="763"/>
        <v>-1</v>
      </c>
      <c r="IE160" s="102">
        <f t="shared" si="857"/>
        <v>226.87668300000001</v>
      </c>
      <c r="IF160" s="102">
        <f t="shared" si="858"/>
        <v>490.74131700000004</v>
      </c>
      <c r="IG160" s="102">
        <f t="shared" si="859"/>
        <v>72.144135200000051</v>
      </c>
      <c r="IH160" s="102">
        <f t="shared" si="742"/>
        <v>-369.92221971000009</v>
      </c>
      <c r="II160" s="102">
        <f t="shared" si="767"/>
        <v>10.001809449999996</v>
      </c>
      <c r="IJ160" s="102">
        <f t="shared" si="768"/>
        <v>-26.962681439999983</v>
      </c>
      <c r="IK160" s="102">
        <f t="shared" si="769"/>
        <v>-55.529946160000065</v>
      </c>
      <c r="IL160" s="102">
        <f t="shared" si="764"/>
        <v>-347.34909733999996</v>
      </c>
      <c r="IM160" s="102">
        <f t="shared" si="860"/>
        <v>0</v>
      </c>
      <c r="IN160" s="102">
        <f t="shared" si="765"/>
        <v>-347.34909733999996</v>
      </c>
      <c r="IP160" s="973"/>
      <c r="IQ160" s="973"/>
      <c r="IR160" s="973"/>
      <c r="IS160" s="973"/>
      <c r="IT160" s="973"/>
      <c r="IU160" s="973"/>
      <c r="IV160" s="973"/>
      <c r="IW160" s="973"/>
      <c r="IX160" s="973"/>
      <c r="IY160" s="973"/>
      <c r="JA160" s="102">
        <f t="shared" si="727"/>
        <v>0</v>
      </c>
      <c r="JB160" s="102">
        <f t="shared" si="850"/>
        <v>0</v>
      </c>
      <c r="JC160" s="102">
        <f t="shared" si="850"/>
        <v>226.87668300000001</v>
      </c>
      <c r="JD160" s="102">
        <f t="shared" si="850"/>
        <v>717.61800000000005</v>
      </c>
      <c r="JE160" s="102">
        <f t="shared" si="850"/>
        <v>789.7621352000001</v>
      </c>
      <c r="JF160" s="102">
        <f t="shared" si="850"/>
        <v>419.83991549000001</v>
      </c>
      <c r="JG160" s="102">
        <f t="shared" si="850"/>
        <v>429.84172494000001</v>
      </c>
      <c r="JH160" s="102">
        <f t="shared" si="850"/>
        <v>402.87904350000002</v>
      </c>
      <c r="JI160" s="102">
        <f t="shared" si="850"/>
        <v>347.34909733999996</v>
      </c>
      <c r="JJ160" s="102">
        <f t="shared" si="850"/>
        <v>199.34611521000002</v>
      </c>
      <c r="JK160" s="102">
        <f t="shared" si="850"/>
        <v>141.64031978</v>
      </c>
      <c r="JL160" s="102">
        <f t="shared" si="728"/>
        <v>141.64031978</v>
      </c>
      <c r="JM160" s="102"/>
      <c r="JN160" s="102"/>
      <c r="JP160" s="102">
        <f t="shared" si="787"/>
        <v>0</v>
      </c>
      <c r="JQ160" s="102">
        <f t="shared" si="788"/>
        <v>0</v>
      </c>
      <c r="JR160" s="145"/>
      <c r="JS160" s="929" t="str">
        <f t="shared" si="861"/>
        <v>NA</v>
      </c>
      <c r="JT160" s="930">
        <f t="shared" si="862"/>
        <v>0</v>
      </c>
      <c r="JV160" s="973"/>
      <c r="JW160" s="973"/>
      <c r="JY160" s="929" t="str">
        <f t="shared" si="817"/>
        <v/>
      </c>
      <c r="JZ160" s="929">
        <f t="shared" si="818"/>
        <v>2.1630310815148861</v>
      </c>
      <c r="KA160" s="929">
        <f t="shared" si="819"/>
        <v>0.10053278373730867</v>
      </c>
      <c r="KB160" s="929">
        <f t="shared" si="820"/>
        <v>-0.46839700616480007</v>
      </c>
      <c r="KC160" s="929">
        <f t="shared" si="821"/>
        <v>2.3822912212448255E-2</v>
      </c>
      <c r="KD160" s="929">
        <f t="shared" si="822"/>
        <v>-6.2726998975642934E-2</v>
      </c>
      <c r="KE160" s="929">
        <f t="shared" si="823"/>
        <v>-0.13783279884102495</v>
      </c>
      <c r="KF160" s="929">
        <f t="shared" si="824"/>
        <v>-1</v>
      </c>
      <c r="KH160" s="102">
        <f t="shared" si="792"/>
        <v>226.87668300000001</v>
      </c>
      <c r="KI160" s="102">
        <f t="shared" si="793"/>
        <v>490.74131700000004</v>
      </c>
      <c r="KJ160" s="102">
        <f t="shared" si="794"/>
        <v>72.144135200000051</v>
      </c>
      <c r="KK160" s="102">
        <f t="shared" si="795"/>
        <v>-369.92221971000009</v>
      </c>
      <c r="KL160" s="102">
        <f t="shared" si="796"/>
        <v>10.001809449999996</v>
      </c>
      <c r="KM160" s="102">
        <f t="shared" si="797"/>
        <v>-26.962681439999983</v>
      </c>
      <c r="KN160" s="102">
        <f t="shared" si="798"/>
        <v>-55.529946160000065</v>
      </c>
      <c r="KO160" s="102">
        <f t="shared" si="711"/>
        <v>-347.34909733999996</v>
      </c>
      <c r="KQ160" s="973"/>
      <c r="KR160" s="973"/>
      <c r="KS160" s="973"/>
      <c r="KT160" s="973"/>
      <c r="KU160" s="973"/>
      <c r="KV160" s="973"/>
      <c r="KW160" s="973"/>
      <c r="KX160" s="973"/>
      <c r="KY160" s="973"/>
      <c r="KZ160" s="973"/>
      <c r="LB160" s="102">
        <f t="shared" si="737"/>
        <v>0</v>
      </c>
      <c r="LC160" s="102">
        <f t="shared" si="851"/>
        <v>0</v>
      </c>
      <c r="LD160" s="102">
        <f t="shared" si="851"/>
        <v>226.87668300000001</v>
      </c>
      <c r="LE160" s="102">
        <f t="shared" si="851"/>
        <v>717.61800000000005</v>
      </c>
      <c r="LF160" s="102">
        <f t="shared" si="851"/>
        <v>789.7621352000001</v>
      </c>
      <c r="LG160" s="102">
        <f t="shared" si="851"/>
        <v>419.83991549000001</v>
      </c>
      <c r="LH160" s="102">
        <f t="shared" si="851"/>
        <v>429.84172494000001</v>
      </c>
      <c r="LI160" s="102">
        <f t="shared" si="851"/>
        <v>402.87904350000002</v>
      </c>
      <c r="LJ160" s="102">
        <f t="shared" si="851"/>
        <v>347.34909733999996</v>
      </c>
      <c r="LK160" s="102">
        <f t="shared" si="851"/>
        <v>199.34611521000002</v>
      </c>
      <c r="LL160" s="102">
        <f t="shared" si="851"/>
        <v>141.64031978</v>
      </c>
      <c r="LM160" s="102">
        <f t="shared" si="851"/>
        <v>141.64031978</v>
      </c>
      <c r="LN160" s="102"/>
      <c r="LO160" s="102"/>
      <c r="LR160" s="32" t="str">
        <f t="shared" si="799"/>
        <v xml:space="preserve"> </v>
      </c>
      <c r="LS160" s="32">
        <f t="shared" si="800"/>
        <v>2.1630310815148861</v>
      </c>
      <c r="LT160" s="32">
        <f t="shared" si="801"/>
        <v>0.10053278373730867</v>
      </c>
      <c r="LU160" s="32">
        <f t="shared" si="802"/>
        <v>-0.46839700616480007</v>
      </c>
      <c r="LV160" s="32">
        <f t="shared" si="803"/>
        <v>2.3822912212448255E-2</v>
      </c>
      <c r="LW160" s="32">
        <f t="shared" si="804"/>
        <v>-6.2726998975642934E-2</v>
      </c>
      <c r="LX160" s="32">
        <f t="shared" si="848"/>
        <v>-1</v>
      </c>
      <c r="LZ160" s="102">
        <f t="shared" si="805"/>
        <v>226.87668300000001</v>
      </c>
      <c r="MA160" s="102">
        <f t="shared" si="806"/>
        <v>490.74131700000004</v>
      </c>
      <c r="MB160" s="102">
        <f t="shared" si="807"/>
        <v>72.144135200000051</v>
      </c>
      <c r="MC160" s="102">
        <f t="shared" si="808"/>
        <v>-369.92221971000009</v>
      </c>
      <c r="MD160" s="102">
        <f t="shared" si="809"/>
        <v>10.001809449999996</v>
      </c>
      <c r="ME160" s="102">
        <f t="shared" si="810"/>
        <v>-26.962681439999983</v>
      </c>
      <c r="MF160" s="102">
        <f t="shared" si="849"/>
        <v>-402.87904350000002</v>
      </c>
      <c r="MH160" s="973"/>
      <c r="MI160" s="973"/>
      <c r="MJ160" s="973"/>
      <c r="MK160" s="973"/>
      <c r="ML160" s="973"/>
      <c r="MM160" s="973"/>
      <c r="MN160" s="973"/>
      <c r="MO160" s="973"/>
      <c r="MP160" s="973"/>
    </row>
    <row r="161" spans="1:354" outlineLevel="1">
      <c r="A161" s="884">
        <v>1698</v>
      </c>
      <c r="B161" s="70" t="s">
        <v>718</v>
      </c>
      <c r="C161" s="29" t="s">
        <v>135</v>
      </c>
      <c r="D161" s="31"/>
      <c r="E161" s="102">
        <v>-48.938079000000002</v>
      </c>
      <c r="F161" s="102">
        <v>-51.861728999999997</v>
      </c>
      <c r="G161" s="102">
        <v>-54.785378999999999</v>
      </c>
      <c r="H161" s="102">
        <v>-57.709029000000001</v>
      </c>
      <c r="I161" s="102">
        <v>-60.632679000000003</v>
      </c>
      <c r="J161" s="102">
        <v>-66.683977130000002</v>
      </c>
      <c r="K161" s="102">
        <v>-72.735275260000009</v>
      </c>
      <c r="L161" s="102">
        <v>-78.786573390000001</v>
      </c>
      <c r="M161" s="102">
        <v>-84.837871519999993</v>
      </c>
      <c r="N161" s="102">
        <v>-90.889169649999999</v>
      </c>
      <c r="O161" s="102">
        <v>-96.940467780000006</v>
      </c>
      <c r="P161" s="102">
        <v>-102.99176591</v>
      </c>
      <c r="Q161" s="102">
        <v>-115.34519411999999</v>
      </c>
      <c r="R161" s="102">
        <v>-127.69862232999999</v>
      </c>
      <c r="S161" s="102">
        <v>-140.05205054000001</v>
      </c>
      <c r="T161" s="102">
        <v>-152.40547874999999</v>
      </c>
      <c r="U161" s="102">
        <v>-164.75890696000002</v>
      </c>
      <c r="V161" s="102">
        <v>-177.11233516999999</v>
      </c>
      <c r="W161" s="102">
        <v>-189.46576338</v>
      </c>
      <c r="X161" s="102">
        <v>-201.81919159</v>
      </c>
      <c r="Y161" s="102">
        <v>-141.0757188</v>
      </c>
      <c r="Z161" s="102">
        <v>-153.42914701000001</v>
      </c>
      <c r="AA161" s="102">
        <v>-162.30177122000001</v>
      </c>
      <c r="AB161" s="102">
        <v>-172.91479742999996</v>
      </c>
      <c r="AC161" s="102">
        <v>-183.89942543000001</v>
      </c>
      <c r="AD161" s="102">
        <v>-194.88405342999999</v>
      </c>
      <c r="AE161" s="102">
        <v>-205.86868142999998</v>
      </c>
      <c r="AF161" s="102">
        <v>-216.85330943</v>
      </c>
      <c r="AG161" s="102">
        <v>-227.83793742999998</v>
      </c>
      <c r="AH161" s="102">
        <v>-193.85915542999999</v>
      </c>
      <c r="AI161" s="102">
        <v>-203.66053542999998</v>
      </c>
      <c r="AJ161" s="102">
        <v>-217.64952939</v>
      </c>
      <c r="AK161" s="102">
        <v>-231.63851939</v>
      </c>
      <c r="AL161" s="102">
        <v>-245.62750939</v>
      </c>
      <c r="AM161" s="102">
        <v>-259.61649939</v>
      </c>
      <c r="AN161" s="102">
        <v>-151.25112200000001</v>
      </c>
      <c r="AO161" s="102">
        <v>-151.25112200000001</v>
      </c>
      <c r="AP161" s="145">
        <v>-151.25112200000001</v>
      </c>
      <c r="AQ161" s="220">
        <v>-151.25112200000001</v>
      </c>
      <c r="AR161" s="220">
        <v>-151.25112200000001</v>
      </c>
      <c r="AS161" s="102">
        <v>-151.25112200000001</v>
      </c>
      <c r="AT161" s="102">
        <v>-151.25112200000001</v>
      </c>
      <c r="AU161" s="102">
        <v>-200.91788600000001</v>
      </c>
      <c r="AV161" s="102">
        <v>-240.14279999999999</v>
      </c>
      <c r="AW161" s="102">
        <v>-280.41032300000001</v>
      </c>
      <c r="AX161" s="102">
        <v>-326.90144600000002</v>
      </c>
      <c r="AY161" s="102">
        <v>-367.090439</v>
      </c>
      <c r="AZ161" s="102">
        <v>-384.75799999999998</v>
      </c>
      <c r="BA161" s="102">
        <v>-397.38541964000001</v>
      </c>
      <c r="BB161" s="102">
        <v>-410.01273067</v>
      </c>
      <c r="BC161" s="102">
        <v>-423.28555869999997</v>
      </c>
      <c r="BD161" s="102">
        <v>-436.40858423999998</v>
      </c>
      <c r="BE161" s="102">
        <v>-448.45303037999997</v>
      </c>
      <c r="BF161" s="102">
        <v>-460.40728511999998</v>
      </c>
      <c r="BG161" s="102">
        <v>-472.54138208000001</v>
      </c>
      <c r="BH161" s="102">
        <v>-486.74325804</v>
      </c>
      <c r="BI161" s="102">
        <v>-500.945134</v>
      </c>
      <c r="BJ161" s="102">
        <v>-515.36105099999997</v>
      </c>
      <c r="BK161" s="102">
        <v>-529.47327573999996</v>
      </c>
      <c r="BL161" s="102">
        <v>-573.37006546999999</v>
      </c>
      <c r="BM161" s="102">
        <v>-132.69306447</v>
      </c>
      <c r="BN161" s="102">
        <v>-145.06751747000001</v>
      </c>
      <c r="BO161" s="102">
        <v>-107.46687047</v>
      </c>
      <c r="BP161" s="102">
        <v>-119.28095247</v>
      </c>
      <c r="BQ161" s="102">
        <v>-131.11524147</v>
      </c>
      <c r="BR161" s="102">
        <v>-143.46893646999999</v>
      </c>
      <c r="BS161" s="102">
        <v>-156.07285205000002</v>
      </c>
      <c r="BT161" s="102">
        <v>-168.46488005</v>
      </c>
      <c r="BU161" s="102">
        <v>-180.56930088999999</v>
      </c>
      <c r="BV161" s="102">
        <v>-193.15591088999997</v>
      </c>
      <c r="BW161" s="102">
        <v>-204.52585789</v>
      </c>
      <c r="BX161" s="102">
        <v>-181.36337129</v>
      </c>
      <c r="BY161" s="102">
        <v>-196.04603628999999</v>
      </c>
      <c r="BZ161" s="102">
        <v>-208.94669228999999</v>
      </c>
      <c r="CA161" s="102">
        <v>-221.75052428999999</v>
      </c>
      <c r="CB161" s="102">
        <v>-236.74094829000001</v>
      </c>
      <c r="CC161" s="102">
        <v>-252.87623328999999</v>
      </c>
      <c r="CD161" s="102">
        <v>-268.95080829</v>
      </c>
      <c r="CE161" s="102">
        <v>-285.02016729000002</v>
      </c>
      <c r="CF161" s="102">
        <v>-303.43855029000002</v>
      </c>
      <c r="CG161" s="102">
        <v>-327.20990829000004</v>
      </c>
      <c r="CH161" s="102">
        <v>-347.06901429000004</v>
      </c>
      <c r="CI161" s="102">
        <v>-365.95058329</v>
      </c>
      <c r="CJ161" s="102">
        <v>-264.42587580000003</v>
      </c>
      <c r="CK161" s="102">
        <v>-276.8357638</v>
      </c>
      <c r="CL161" s="102">
        <v>-291.86374380000001</v>
      </c>
      <c r="CM161" s="102">
        <v>-306.89172380000002</v>
      </c>
      <c r="CN161" s="102">
        <v>-306.14618960000001</v>
      </c>
      <c r="CO161" s="102">
        <v>-280.2377558</v>
      </c>
      <c r="CP161" s="102">
        <v>-266.63951680000002</v>
      </c>
      <c r="CQ161" s="102">
        <v>-280.59117880000002</v>
      </c>
      <c r="CR161" s="102">
        <v>-294.54284080000002</v>
      </c>
      <c r="CS161" s="102">
        <v>-308.49450280000002</v>
      </c>
      <c r="CT161" s="102">
        <v>-322.57749680000001</v>
      </c>
      <c r="CU161" s="102">
        <v>-335.5180148</v>
      </c>
      <c r="CV161" s="102">
        <v>-307.60059580000001</v>
      </c>
      <c r="CW161" s="102">
        <v>-260.83374079999999</v>
      </c>
      <c r="CX161" s="102">
        <v>-270.60058179999999</v>
      </c>
      <c r="CY161" s="102">
        <v>-263.48925980000001</v>
      </c>
      <c r="CZ161" s="102">
        <v>-276.92220380000003</v>
      </c>
      <c r="DA161" s="102">
        <v>-290.40566480000001</v>
      </c>
      <c r="DB161" s="102">
        <v>-303.85234380000003</v>
      </c>
      <c r="DC161" s="102">
        <v>-317.34430880000002</v>
      </c>
      <c r="DD161" s="102">
        <v>-332.72344680000003</v>
      </c>
      <c r="DE161" s="102">
        <v>-350.8690848</v>
      </c>
      <c r="DF161" s="102">
        <v>-369.32730279999998</v>
      </c>
      <c r="DG161" s="102">
        <v>-387.5228568</v>
      </c>
      <c r="DH161" s="102">
        <v>-255.44343480000001</v>
      </c>
      <c r="DI161" s="102">
        <v>-273.73389229000003</v>
      </c>
      <c r="DJ161" s="102">
        <v>-296.3760997</v>
      </c>
      <c r="DK161" s="102">
        <v>-315.00474911000003</v>
      </c>
      <c r="DL161" s="102">
        <v>-333.57928511</v>
      </c>
      <c r="DM161" s="102">
        <v>-352.05621811000003</v>
      </c>
      <c r="DN161" s="102">
        <v>-371.30286011000004</v>
      </c>
      <c r="DO161" s="102">
        <v>-390.07579711</v>
      </c>
      <c r="DP161" s="102">
        <v>-405.53525010999999</v>
      </c>
      <c r="DQ161" s="940">
        <v>-161.98725711</v>
      </c>
      <c r="DR161" s="940">
        <v>-174.62908011000002</v>
      </c>
      <c r="DS161" s="940">
        <v>-187.86198911000002</v>
      </c>
      <c r="DT161" s="940">
        <v>-158.59836211000001</v>
      </c>
      <c r="DU161" s="940">
        <v>-168.79442511000002</v>
      </c>
      <c r="DV161" s="940">
        <v>-59.706405109999999</v>
      </c>
      <c r="DW161" s="940">
        <v>-73.854286110000004</v>
      </c>
      <c r="DX161" s="940">
        <v>-69.316019109999999</v>
      </c>
      <c r="DY161" s="940">
        <v>-83.619470109999995</v>
      </c>
      <c r="DZ161" s="940">
        <v>-75.09811311</v>
      </c>
      <c r="EA161" s="940">
        <v>-83.312921110000005</v>
      </c>
      <c r="EB161" s="940">
        <v>-96.930452110000004</v>
      </c>
      <c r="EC161" s="940">
        <v>-112.86392011</v>
      </c>
      <c r="ED161" s="940">
        <v>-122.43228911</v>
      </c>
      <c r="EE161" s="940">
        <v>-127.48873211</v>
      </c>
      <c r="EF161" s="940">
        <v>-91.248935799999998</v>
      </c>
      <c r="EH161" s="102" t="e">
        <v>#VALUE!</v>
      </c>
      <c r="EI161" s="102" t="e">
        <v>#VALUE!</v>
      </c>
      <c r="EJ161" s="102" t="e">
        <v>#VALUE!</v>
      </c>
      <c r="EK161" s="102" t="e">
        <v>#VALUE!</v>
      </c>
      <c r="EL161" s="102" t="e">
        <v>#VALUE!</v>
      </c>
      <c r="EM161" s="102" t="e">
        <v>#VALUE!</v>
      </c>
      <c r="EN161" s="102" t="e">
        <v>#VALUE!</v>
      </c>
      <c r="EO161" s="102" t="e">
        <v>#VALUE!</v>
      </c>
      <c r="EP161" s="102" t="e">
        <v>#VALUE!</v>
      </c>
      <c r="EQ161" s="102" t="e">
        <v>#VALUE!</v>
      </c>
      <c r="ER161" s="102" t="e">
        <v>#VALUE!</v>
      </c>
      <c r="ES161" s="102" t="e">
        <v>#VALUE!</v>
      </c>
      <c r="EU161" s="102">
        <v>-298.58933132916667</v>
      </c>
      <c r="EV161" s="102">
        <v>-323.57317326833333</v>
      </c>
      <c r="EW161" s="102">
        <v>-353.5570152075</v>
      </c>
      <c r="EX161" s="102">
        <v>-383.54085714666667</v>
      </c>
      <c r="EY161" s="102">
        <v>-413.52469908583333</v>
      </c>
      <c r="EZ161" s="102">
        <v>-443.508541025</v>
      </c>
      <c r="FA161" s="102">
        <v>-473.49238296416667</v>
      </c>
      <c r="FB161" s="102">
        <v>-503.47622490333333</v>
      </c>
      <c r="FC161" s="102">
        <v>-533.46006684249994</v>
      </c>
      <c r="FD161" s="102">
        <v>-563.44390878166666</v>
      </c>
      <c r="FE161" s="102">
        <v>-593.42775072083327</v>
      </c>
      <c r="FF161" s="102">
        <v>-623.41159266</v>
      </c>
      <c r="FG161" s="102">
        <v>-452.91088135733332</v>
      </c>
      <c r="FH161" s="102">
        <v>-496.71707274037334</v>
      </c>
      <c r="FI161" s="102">
        <v>-538.77101646809172</v>
      </c>
      <c r="FJ161" s="102">
        <v>-579.16813578003462</v>
      </c>
      <c r="FK161" s="102">
        <v>-618.08937031949995</v>
      </c>
      <c r="FL161" s="102">
        <v>-655.59375547738659</v>
      </c>
      <c r="FM161" s="102">
        <v>-691.7579652289578</v>
      </c>
      <c r="FN161" s="102">
        <v>-726.4756065904661</v>
      </c>
      <c r="FO161" s="102">
        <v>-759.80454229751422</v>
      </c>
      <c r="FP161" s="102">
        <v>-791.80032057628023</v>
      </c>
      <c r="FQ161" s="102">
        <v>-822.51626772389568</v>
      </c>
      <c r="FR161" s="102">
        <v>-852.0035769856064</v>
      </c>
      <c r="FS161" s="102">
        <v>-422.48527399</v>
      </c>
      <c r="FT161" s="102">
        <v>-429.74031599</v>
      </c>
      <c r="FU161" s="102">
        <v>-436.99535799</v>
      </c>
      <c r="FV161" s="102">
        <v>-444.25039999000001</v>
      </c>
      <c r="FW161" s="102">
        <v>-451.50544199000001</v>
      </c>
      <c r="FX161" s="102">
        <v>-458.76048399000001</v>
      </c>
      <c r="FY161" s="102">
        <v>-466.01552599000001</v>
      </c>
      <c r="FZ161" s="102">
        <v>-473.27056799000002</v>
      </c>
      <c r="GA161" s="102">
        <v>-480.52560999000002</v>
      </c>
      <c r="GB161" s="102">
        <v>-487.78065199000002</v>
      </c>
      <c r="GC161" s="102">
        <v>-495.03569399000003</v>
      </c>
      <c r="GD161" s="102">
        <v>-506.91538918999998</v>
      </c>
      <c r="GE161" s="102" t="e">
        <v>#VALUE!</v>
      </c>
      <c r="GF161" s="102" t="e">
        <v>#VALUE!</v>
      </c>
      <c r="GG161" s="102" t="e">
        <v>#VALUE!</v>
      </c>
      <c r="GH161" s="102" t="e">
        <v>#VALUE!</v>
      </c>
      <c r="GI161" s="102" t="e">
        <v>#VALUE!</v>
      </c>
      <c r="GJ161" s="102" t="e">
        <v>#VALUE!</v>
      </c>
      <c r="GK161" s="102" t="e">
        <v>#VALUE!</v>
      </c>
      <c r="GL161" s="102" t="e">
        <v>#VALUE!</v>
      </c>
      <c r="GM161" s="102" t="e">
        <v>#VALUE!</v>
      </c>
      <c r="GN161" s="102" t="e">
        <v>#VALUE!</v>
      </c>
      <c r="GO161" s="102" t="e">
        <v>#VALUE!</v>
      </c>
      <c r="GP161" s="102" t="e">
        <v>#VALUE!</v>
      </c>
      <c r="GQ161" s="102" t="e">
        <v>#VALUE!</v>
      </c>
      <c r="GR161" s="102" t="e">
        <v>#VALUE!</v>
      </c>
      <c r="GS161" s="102" t="e">
        <v>#VALUE!</v>
      </c>
      <c r="GT161" s="102" t="e">
        <v>#VALUE!</v>
      </c>
      <c r="GU161" s="102" t="e">
        <v>#VALUE!</v>
      </c>
      <c r="GV161" s="102" t="e">
        <v>#VALUE!</v>
      </c>
      <c r="GW161" s="102" t="e">
        <v>#VALUE!</v>
      </c>
      <c r="GX161" s="102" t="e">
        <v>#VALUE!</v>
      </c>
      <c r="GY161" s="102" t="e">
        <v>#VALUE!</v>
      </c>
      <c r="GZ161" s="102" t="e">
        <v>#VALUE!</v>
      </c>
      <c r="HA161" s="102" t="e">
        <v>#VALUE!</v>
      </c>
      <c r="HB161" s="102" t="e">
        <v>#VALUE!</v>
      </c>
      <c r="HD161" s="102">
        <f t="shared" si="852"/>
        <v>-102.99176591</v>
      </c>
      <c r="HE161" s="102">
        <f t="shared" si="852"/>
        <v>-172.91479742999996</v>
      </c>
      <c r="HF161" s="102">
        <f t="shared" si="852"/>
        <v>-151.25112200000001</v>
      </c>
      <c r="HG161" s="102">
        <f t="shared" si="852"/>
        <v>-384.75799999999998</v>
      </c>
      <c r="HH161" s="102">
        <f t="shared" si="777"/>
        <v>-573.37006546999999</v>
      </c>
      <c r="HI161" s="102">
        <f t="shared" si="778"/>
        <v>-181.36337129</v>
      </c>
      <c r="HJ161" s="102">
        <f t="shared" si="846"/>
        <v>-264.42587580000003</v>
      </c>
      <c r="HK161" s="102">
        <f t="shared" si="847"/>
        <v>-307.60059580000001</v>
      </c>
      <c r="HL161" s="940">
        <f>+SUMIFS($E161:SEW161,$E$6:SEW$6,HL$7,$E$5:SEW$5,12)</f>
        <v>-255.44343480000001</v>
      </c>
      <c r="HM161" s="940">
        <f>+SUMIFS($E161:SEX161,$E$6:SEX$6,HM$7,$E$5:SEX$5,12)</f>
        <v>-158.59836211000001</v>
      </c>
      <c r="HN161" s="940">
        <f>+SUMIFS($E161:SEY161,$E$6:SEY$6,HN$7,$E$5:SEY$5,12)</f>
        <v>-91.248935799999998</v>
      </c>
      <c r="HO161" s="102"/>
      <c r="HP161" s="102"/>
      <c r="HR161" s="929">
        <f t="shared" si="853"/>
        <v>-0.12528526044030397</v>
      </c>
      <c r="HS161" s="929">
        <f t="shared" si="854"/>
        <v>1.5438356748189936</v>
      </c>
      <c r="HT161" s="929">
        <f t="shared" si="855"/>
        <v>0.49020960050213391</v>
      </c>
      <c r="HU161" s="929">
        <f t="shared" si="738"/>
        <v>-0.68368880377224828</v>
      </c>
      <c r="HV161" s="929">
        <f t="shared" si="739"/>
        <v>0.45798941605018517</v>
      </c>
      <c r="HW161" s="929">
        <f t="shared" si="740"/>
        <v>0.1632772128271418</v>
      </c>
      <c r="HX161" s="929">
        <f t="shared" si="741"/>
        <v>-0.16956131331394519</v>
      </c>
      <c r="HY161" s="929">
        <f t="shared" si="741"/>
        <v>-0.37912531502649527</v>
      </c>
      <c r="HZ161" s="929">
        <f t="shared" si="741"/>
        <v>-0.42465398389983411</v>
      </c>
      <c r="IA161" s="929">
        <f t="shared" si="762"/>
        <v>-1</v>
      </c>
      <c r="IB161" s="929" t="str">
        <f t="shared" si="856"/>
        <v/>
      </c>
      <c r="IC161" s="929">
        <f t="shared" si="763"/>
        <v>-1</v>
      </c>
      <c r="IE161" s="102">
        <f t="shared" si="857"/>
        <v>21.663675429999955</v>
      </c>
      <c r="IF161" s="102">
        <f t="shared" si="858"/>
        <v>-233.50687799999997</v>
      </c>
      <c r="IG161" s="102">
        <f t="shared" si="859"/>
        <v>-188.61206547</v>
      </c>
      <c r="IH161" s="102">
        <f t="shared" si="742"/>
        <v>392.00669417999995</v>
      </c>
      <c r="II161" s="102">
        <f t="shared" si="767"/>
        <v>-83.062504510000025</v>
      </c>
      <c r="IJ161" s="102">
        <f t="shared" si="768"/>
        <v>-43.174719999999979</v>
      </c>
      <c r="IK161" s="102">
        <f t="shared" si="769"/>
        <v>52.157161000000002</v>
      </c>
      <c r="IL161" s="102">
        <f t="shared" si="764"/>
        <v>255.44343480000001</v>
      </c>
      <c r="IM161" s="102">
        <f t="shared" si="860"/>
        <v>0</v>
      </c>
      <c r="IN161" s="102">
        <f t="shared" si="765"/>
        <v>255.44343480000001</v>
      </c>
      <c r="IP161" s="973"/>
      <c r="IQ161" s="973"/>
      <c r="IR161" s="973"/>
      <c r="IS161" s="973"/>
      <c r="IT161" s="973"/>
      <c r="IU161" s="973"/>
      <c r="IV161" s="973"/>
      <c r="IW161" s="973"/>
      <c r="IX161" s="973"/>
      <c r="IY161" s="973"/>
      <c r="JA161" s="102">
        <f t="shared" si="727"/>
        <v>-102.99176591</v>
      </c>
      <c r="JB161" s="102">
        <f t="shared" si="850"/>
        <v>-172.91479742999996</v>
      </c>
      <c r="JC161" s="102">
        <f t="shared" si="850"/>
        <v>-151.25112200000001</v>
      </c>
      <c r="JD161" s="102">
        <f t="shared" si="850"/>
        <v>-384.75799999999998</v>
      </c>
      <c r="JE161" s="102">
        <f t="shared" si="850"/>
        <v>-573.37006546999999</v>
      </c>
      <c r="JF161" s="102">
        <f t="shared" si="850"/>
        <v>-181.36337129</v>
      </c>
      <c r="JG161" s="102">
        <f t="shared" si="850"/>
        <v>-264.42587580000003</v>
      </c>
      <c r="JH161" s="102">
        <f t="shared" si="850"/>
        <v>-307.60059580000001</v>
      </c>
      <c r="JI161" s="102">
        <f t="shared" si="850"/>
        <v>-255.44343480000001</v>
      </c>
      <c r="JJ161" s="102">
        <f t="shared" si="850"/>
        <v>-158.59836211000001</v>
      </c>
      <c r="JK161" s="102">
        <f t="shared" si="850"/>
        <v>-91.248935799999998</v>
      </c>
      <c r="JL161" s="102">
        <f t="shared" si="728"/>
        <v>-91.248935799999998</v>
      </c>
      <c r="JM161" s="102"/>
      <c r="JN161" s="102"/>
      <c r="JP161" s="102">
        <f t="shared" si="787"/>
        <v>0</v>
      </c>
      <c r="JQ161" s="102">
        <f t="shared" si="788"/>
        <v>0</v>
      </c>
      <c r="JR161" s="145"/>
      <c r="JS161" s="929" t="str">
        <f t="shared" si="861"/>
        <v>NA</v>
      </c>
      <c r="JT161" s="930">
        <f t="shared" si="862"/>
        <v>0</v>
      </c>
      <c r="JV161" s="973"/>
      <c r="JW161" s="973"/>
      <c r="JY161" s="929">
        <f t="shared" si="817"/>
        <v>-0.12528526044030397</v>
      </c>
      <c r="JZ161" s="929">
        <f t="shared" si="818"/>
        <v>1.5438356748189936</v>
      </c>
      <c r="KA161" s="929">
        <f t="shared" si="819"/>
        <v>0.49020960050213391</v>
      </c>
      <c r="KB161" s="929">
        <f t="shared" si="820"/>
        <v>-0.68368880377224828</v>
      </c>
      <c r="KC161" s="929">
        <f t="shared" si="821"/>
        <v>0.45798941605018517</v>
      </c>
      <c r="KD161" s="929">
        <f t="shared" si="822"/>
        <v>0.1632772128271418</v>
      </c>
      <c r="KE161" s="929">
        <f t="shared" si="823"/>
        <v>-0.16956131331394519</v>
      </c>
      <c r="KF161" s="929">
        <f t="shared" si="824"/>
        <v>-1</v>
      </c>
      <c r="KH161" s="102">
        <f t="shared" si="792"/>
        <v>21.663675429999955</v>
      </c>
      <c r="KI161" s="102">
        <f t="shared" si="793"/>
        <v>-233.50687799999997</v>
      </c>
      <c r="KJ161" s="102">
        <f t="shared" si="794"/>
        <v>-188.61206547</v>
      </c>
      <c r="KK161" s="102">
        <f t="shared" si="795"/>
        <v>392.00669417999995</v>
      </c>
      <c r="KL161" s="102">
        <f t="shared" si="796"/>
        <v>-83.062504510000025</v>
      </c>
      <c r="KM161" s="102">
        <f t="shared" si="797"/>
        <v>-43.174719999999979</v>
      </c>
      <c r="KN161" s="102">
        <f t="shared" si="798"/>
        <v>52.157161000000002</v>
      </c>
      <c r="KO161" s="102">
        <f t="shared" si="711"/>
        <v>255.44343480000001</v>
      </c>
      <c r="KQ161" s="973"/>
      <c r="KR161" s="973"/>
      <c r="KS161" s="973"/>
      <c r="KT161" s="973"/>
      <c r="KU161" s="973"/>
      <c r="KV161" s="973"/>
      <c r="KW161" s="973"/>
      <c r="KX161" s="973"/>
      <c r="KY161" s="973"/>
      <c r="KZ161" s="973"/>
      <c r="LB161" s="102">
        <f t="shared" si="737"/>
        <v>-102.99176591</v>
      </c>
      <c r="LC161" s="102">
        <f t="shared" si="851"/>
        <v>-172.91479742999996</v>
      </c>
      <c r="LD161" s="102">
        <f t="shared" si="851"/>
        <v>-151.25112200000001</v>
      </c>
      <c r="LE161" s="102">
        <f t="shared" si="851"/>
        <v>-384.75799999999998</v>
      </c>
      <c r="LF161" s="102">
        <f t="shared" si="851"/>
        <v>-573.37006546999999</v>
      </c>
      <c r="LG161" s="102">
        <f t="shared" si="851"/>
        <v>-181.36337129</v>
      </c>
      <c r="LH161" s="102">
        <f t="shared" si="851"/>
        <v>-264.42587580000003</v>
      </c>
      <c r="LI161" s="102">
        <f t="shared" si="851"/>
        <v>-307.60059580000001</v>
      </c>
      <c r="LJ161" s="102">
        <f t="shared" si="851"/>
        <v>-255.44343480000001</v>
      </c>
      <c r="LK161" s="102">
        <f t="shared" si="851"/>
        <v>-158.59836211000001</v>
      </c>
      <c r="LL161" s="102">
        <f t="shared" si="851"/>
        <v>-91.248935799999998</v>
      </c>
      <c r="LM161" s="102">
        <f t="shared" si="851"/>
        <v>-91.248935799999998</v>
      </c>
      <c r="LN161" s="102"/>
      <c r="LO161" s="102"/>
      <c r="LR161" s="32">
        <f t="shared" si="799"/>
        <v>-0.12528526044030397</v>
      </c>
      <c r="LS161" s="32">
        <f t="shared" si="800"/>
        <v>1.5438356748189936</v>
      </c>
      <c r="LT161" s="32">
        <f t="shared" si="801"/>
        <v>0.49020960050213391</v>
      </c>
      <c r="LU161" s="32">
        <f t="shared" si="802"/>
        <v>-0.68368880377224828</v>
      </c>
      <c r="LV161" s="32">
        <f t="shared" si="803"/>
        <v>0.45798941605018517</v>
      </c>
      <c r="LW161" s="32">
        <f t="shared" si="804"/>
        <v>0.1632772128271418</v>
      </c>
      <c r="LX161" s="32">
        <f t="shared" si="848"/>
        <v>-1</v>
      </c>
      <c r="LZ161" s="102">
        <f t="shared" si="805"/>
        <v>21.663675429999955</v>
      </c>
      <c r="MA161" s="102">
        <f t="shared" si="806"/>
        <v>-233.50687799999997</v>
      </c>
      <c r="MB161" s="102">
        <f t="shared" si="807"/>
        <v>-188.61206547</v>
      </c>
      <c r="MC161" s="102">
        <f t="shared" si="808"/>
        <v>392.00669417999995</v>
      </c>
      <c r="MD161" s="102">
        <f t="shared" si="809"/>
        <v>-83.062504510000025</v>
      </c>
      <c r="ME161" s="102">
        <f t="shared" si="810"/>
        <v>-43.174719999999979</v>
      </c>
      <c r="MF161" s="102">
        <f t="shared" si="849"/>
        <v>307.60059580000001</v>
      </c>
      <c r="MH161" s="973"/>
      <c r="MI161" s="973"/>
      <c r="MJ161" s="973"/>
      <c r="MK161" s="973"/>
      <c r="ML161" s="973"/>
      <c r="MM161" s="973"/>
      <c r="MN161" s="973"/>
      <c r="MO161" s="973"/>
      <c r="MP161" s="973"/>
    </row>
    <row r="162" spans="1:354">
      <c r="A162" s="884">
        <v>17</v>
      </c>
      <c r="B162" s="70" t="s">
        <v>719</v>
      </c>
      <c r="C162" s="17" t="s">
        <v>720</v>
      </c>
      <c r="D162" s="31" t="s">
        <v>59</v>
      </c>
      <c r="E162" s="102">
        <v>142.43018852</v>
      </c>
      <c r="F162" s="102">
        <v>137.70739674999999</v>
      </c>
      <c r="G162" s="102">
        <v>130.24830523</v>
      </c>
      <c r="H162" s="102">
        <v>124.21670568</v>
      </c>
      <c r="I162" s="102">
        <v>117.73433838</v>
      </c>
      <c r="J162" s="102">
        <v>116.22263208</v>
      </c>
      <c r="K162" s="102">
        <v>113.75201878</v>
      </c>
      <c r="L162" s="102">
        <v>108.30383248000001</v>
      </c>
      <c r="M162" s="102">
        <v>104.37695918</v>
      </c>
      <c r="N162" s="102">
        <v>100.45453388</v>
      </c>
      <c r="O162" s="102">
        <v>280.86051189</v>
      </c>
      <c r="P162" s="102">
        <v>273.31431781999999</v>
      </c>
      <c r="Q162" s="102">
        <v>264.51944214000002</v>
      </c>
      <c r="R162" s="102">
        <v>243.93247746</v>
      </c>
      <c r="S162" s="102">
        <v>244.18819478</v>
      </c>
      <c r="T162" s="102">
        <v>258.07629096000005</v>
      </c>
      <c r="U162" s="102">
        <v>301.01656982999998</v>
      </c>
      <c r="V162" s="102">
        <v>310.80241723</v>
      </c>
      <c r="W162" s="102">
        <v>298.23979863</v>
      </c>
      <c r="X162" s="102">
        <v>280.53569226000002</v>
      </c>
      <c r="Y162" s="102">
        <v>267.17237866000005</v>
      </c>
      <c r="Z162" s="102">
        <v>254.64163406</v>
      </c>
      <c r="AA162" s="102">
        <v>281.06159403000004</v>
      </c>
      <c r="AB162" s="102">
        <v>231.64966146</v>
      </c>
      <c r="AC162" s="102">
        <v>236.07274107999999</v>
      </c>
      <c r="AD162" s="102">
        <v>228.39553014999998</v>
      </c>
      <c r="AE162" s="102">
        <v>241.40331922000001</v>
      </c>
      <c r="AF162" s="102">
        <v>222.52015928999998</v>
      </c>
      <c r="AG162" s="102">
        <v>197.92594836000001</v>
      </c>
      <c r="AH162" s="102">
        <v>182.33173743</v>
      </c>
      <c r="AI162" s="102">
        <v>307.05069852999998</v>
      </c>
      <c r="AJ162" s="102">
        <v>289.73132264999998</v>
      </c>
      <c r="AK162" s="102">
        <v>272.41194976999998</v>
      </c>
      <c r="AL162" s="102">
        <v>274.85157406000002</v>
      </c>
      <c r="AM162" s="102">
        <v>261.92119934999999</v>
      </c>
      <c r="AN162" s="102">
        <v>1094.20397299</v>
      </c>
      <c r="AO162" s="102">
        <v>1158.1205723800001</v>
      </c>
      <c r="AP162" s="145">
        <v>1183.9698230199999</v>
      </c>
      <c r="AQ162" s="220">
        <v>1173.37965366</v>
      </c>
      <c r="AR162" s="220">
        <v>1163.21293062</v>
      </c>
      <c r="AS162" s="102">
        <v>1148.4689412600001</v>
      </c>
      <c r="AT162" s="102">
        <v>1129.4370149000001</v>
      </c>
      <c r="AU162" s="102">
        <v>1111.0054875399999</v>
      </c>
      <c r="AV162" s="102">
        <v>1092.5739601800001</v>
      </c>
      <c r="AW162" s="102">
        <v>2151.2170200400001</v>
      </c>
      <c r="AX162" s="102">
        <v>2126.7990226800002</v>
      </c>
      <c r="AY162" s="102">
        <v>2105.9796996999999</v>
      </c>
      <c r="AZ162" s="102">
        <v>3400.556</v>
      </c>
      <c r="BA162" s="102">
        <v>3427.4979358999999</v>
      </c>
      <c r="BB162" s="102">
        <v>3423.1667209499997</v>
      </c>
      <c r="BC162" s="102">
        <v>3418.8355059999999</v>
      </c>
      <c r="BD162" s="102">
        <v>3417.7512686100004</v>
      </c>
      <c r="BE162" s="102">
        <v>3410.17307613</v>
      </c>
      <c r="BF162" s="102">
        <v>3527.84082218</v>
      </c>
      <c r="BG162" s="102">
        <v>3521.4423684499998</v>
      </c>
      <c r="BH162" s="102">
        <v>3397.3592737199997</v>
      </c>
      <c r="BI162" s="102">
        <v>3393.0280589200001</v>
      </c>
      <c r="BJ162" s="102">
        <v>3389.0005362299999</v>
      </c>
      <c r="BK162" s="102">
        <v>3384.6693212800001</v>
      </c>
      <c r="BL162" s="102">
        <f>3407.93803741-226</f>
        <v>3181.9380374100001</v>
      </c>
      <c r="BM162" s="102">
        <v>3295.03087246</v>
      </c>
      <c r="BN162" s="102">
        <v>3290.7907735100002</v>
      </c>
      <c r="BO162" s="102">
        <v>3286.5506745600001</v>
      </c>
      <c r="BP162" s="102">
        <v>3282.3105756100003</v>
      </c>
      <c r="BQ162" s="102">
        <v>3278.0704766599997</v>
      </c>
      <c r="BR162" s="102">
        <v>3273.83037771</v>
      </c>
      <c r="BS162" s="102">
        <v>3269.5902787600003</v>
      </c>
      <c r="BT162" s="102">
        <v>3265.3501798100001</v>
      </c>
      <c r="BU162" s="102">
        <v>3261.1100808599999</v>
      </c>
      <c r="BV162" s="102">
        <v>3256.8699819099998</v>
      </c>
      <c r="BW162" s="102">
        <v>3252.62988296</v>
      </c>
      <c r="BX162" s="102">
        <v>2811.0045920100001</v>
      </c>
      <c r="BY162" s="102">
        <v>2782.4459718600001</v>
      </c>
      <c r="BZ162" s="102">
        <v>2778.04387486</v>
      </c>
      <c r="CA162" s="102">
        <v>2773.6417778600003</v>
      </c>
      <c r="CB162" s="102">
        <v>2769.29468086</v>
      </c>
      <c r="CC162" s="102">
        <v>2764.8875848600001</v>
      </c>
      <c r="CD162" s="102">
        <v>2772.8362781399996</v>
      </c>
      <c r="CE162" s="102">
        <v>2767.8919731399997</v>
      </c>
      <c r="CF162" s="102">
        <v>2762.9915401399999</v>
      </c>
      <c r="CG162" s="102">
        <v>2758.0432471399999</v>
      </c>
      <c r="CH162" s="102">
        <v>2753.09495414</v>
      </c>
      <c r="CI162" s="102">
        <v>2748.1466611399997</v>
      </c>
      <c r="CJ162" s="102">
        <v>2596.3167651399999</v>
      </c>
      <c r="CK162" s="102">
        <v>2590.2980891399998</v>
      </c>
      <c r="CL162" s="102">
        <v>2584.2794131400001</v>
      </c>
      <c r="CM162" s="102">
        <v>2578.2607371399999</v>
      </c>
      <c r="CN162" s="102">
        <v>2585.4539471399999</v>
      </c>
      <c r="CO162" s="102">
        <v>2578.23419014</v>
      </c>
      <c r="CP162" s="102">
        <v>2571.0144331399997</v>
      </c>
      <c r="CQ162" s="102">
        <v>2563.7946761399999</v>
      </c>
      <c r="CR162" s="102">
        <v>2556.57491914</v>
      </c>
      <c r="CS162" s="102">
        <v>2550.1487611399998</v>
      </c>
      <c r="CT162" s="102">
        <v>2544.1374285399997</v>
      </c>
      <c r="CU162" s="102">
        <v>2572.8125785399998</v>
      </c>
      <c r="CV162" s="102">
        <v>2050.61077054</v>
      </c>
      <c r="CW162" s="102">
        <v>2045.20243054</v>
      </c>
      <c r="CX162" s="102">
        <v>2039.7940905400001</v>
      </c>
      <c r="CY162" s="102">
        <v>2034.3857505399999</v>
      </c>
      <c r="CZ162" s="102">
        <v>2028.9774105399999</v>
      </c>
      <c r="DA162" s="102">
        <v>2023.56907054</v>
      </c>
      <c r="DB162" s="102">
        <v>2018.16073054</v>
      </c>
      <c r="DC162" s="102">
        <v>2012.7523905399999</v>
      </c>
      <c r="DD162" s="102">
        <v>2007.3440505399999</v>
      </c>
      <c r="DE162" s="102">
        <v>2011.29102754</v>
      </c>
      <c r="DF162" s="102">
        <v>2007.6209765399999</v>
      </c>
      <c r="DG162" s="102">
        <v>2007.10424154</v>
      </c>
      <c r="DH162" s="102">
        <v>1896.5639934799999</v>
      </c>
      <c r="DI162" s="102">
        <v>1894.34769048</v>
      </c>
      <c r="DJ162" s="102">
        <v>1892.1313874800001</v>
      </c>
      <c r="DK162" s="102">
        <v>1905.3739654799999</v>
      </c>
      <c r="DL162" s="102">
        <v>1901.44000848</v>
      </c>
      <c r="DM162" s="102">
        <v>1897.8505444800001</v>
      </c>
      <c r="DN162" s="102">
        <v>1894.6218054799999</v>
      </c>
      <c r="DO162" s="102">
        <v>1891.15317848</v>
      </c>
      <c r="DP162" s="102">
        <v>1887.70168648</v>
      </c>
      <c r="DQ162" s="940">
        <v>1884.2501944800001</v>
      </c>
      <c r="DR162" s="940">
        <v>1886.0680984800001</v>
      </c>
      <c r="DS162" s="940">
        <v>1918.81611011</v>
      </c>
      <c r="DT162" s="940">
        <v>1557.0669560199999</v>
      </c>
      <c r="DU162" s="940">
        <v>1552.8233190599999</v>
      </c>
      <c r="DV162" s="940">
        <v>1548.5796820999999</v>
      </c>
      <c r="DW162" s="940">
        <v>1544.3360451400001</v>
      </c>
      <c r="DX162" s="940">
        <v>1540.0924081800001</v>
      </c>
      <c r="DY162" s="940">
        <v>1535.8487712200001</v>
      </c>
      <c r="DZ162" s="940">
        <v>1531.6051342599999</v>
      </c>
      <c r="EA162" s="940">
        <v>1527.3614972999999</v>
      </c>
      <c r="EB162" s="940">
        <v>1523.1178543399999</v>
      </c>
      <c r="EC162" s="940">
        <v>1525.7413773800001</v>
      </c>
      <c r="ED162" s="940">
        <v>1521.44829542</v>
      </c>
      <c r="EE162" s="940">
        <v>1563.0893555499999</v>
      </c>
      <c r="EF162" s="940">
        <v>1561.3435060499999</v>
      </c>
      <c r="EH162" s="102">
        <v>2045.2024305400003</v>
      </c>
      <c r="EI162" s="102">
        <v>2039.7940905400003</v>
      </c>
      <c r="EJ162" s="102">
        <v>2034.3857505400001</v>
      </c>
      <c r="EK162" s="102">
        <v>2028.9774105400002</v>
      </c>
      <c r="EL162" s="102">
        <v>2023.5690705400002</v>
      </c>
      <c r="EM162" s="102">
        <v>2018.1607305400003</v>
      </c>
      <c r="EN162" s="102">
        <v>2014.7562215283335</v>
      </c>
      <c r="EO162" s="102">
        <v>2011.3517125166666</v>
      </c>
      <c r="EP162" s="102">
        <v>2007.9472035050001</v>
      </c>
      <c r="EQ162" s="102">
        <v>2004.5426944933333</v>
      </c>
      <c r="ER162" s="102">
        <v>2001.1381854816668</v>
      </c>
      <c r="ES162" s="102">
        <v>1997.7336764700001</v>
      </c>
      <c r="EU162" s="102">
        <v>288.86351898999999</v>
      </c>
      <c r="EV162" s="102">
        <v>264.79155907416663</v>
      </c>
      <c r="EW162" s="102">
        <v>220.65963256180558</v>
      </c>
      <c r="EX162" s="102">
        <v>165.49472442135416</v>
      </c>
      <c r="EY162" s="102">
        <v>110.32981628090278</v>
      </c>
      <c r="EZ162" s="102">
        <v>64.359059497193286</v>
      </c>
      <c r="FA162" s="102">
        <v>32.179529748596643</v>
      </c>
      <c r="FB162" s="102">
        <v>13.408137395248602</v>
      </c>
      <c r="FC162" s="102">
        <v>4.4693791317495331</v>
      </c>
      <c r="FD162" s="102">
        <v>1.1173447829373833</v>
      </c>
      <c r="FE162" s="102">
        <v>0.18622413048956388</v>
      </c>
      <c r="FF162" s="102">
        <v>0</v>
      </c>
      <c r="FG162" s="102">
        <v>2077.4630238506666</v>
      </c>
      <c r="FH162" s="102">
        <v>2063.2260116511784</v>
      </c>
      <c r="FI162" s="102">
        <v>2059.5584799396702</v>
      </c>
      <c r="FJ162" s="102">
        <v>2046.4294161632886</v>
      </c>
      <c r="FK162" s="102">
        <v>2043.7800149379623</v>
      </c>
      <c r="FL162" s="102">
        <v>2031.5910897616491</v>
      </c>
      <c r="FM162" s="102">
        <v>2029.8377215923883</v>
      </c>
      <c r="FN162" s="102">
        <v>2018.5544881498984</v>
      </c>
      <c r="FO162" s="102">
        <v>2017.7225840451074</v>
      </c>
      <c r="FP162" s="102">
        <v>2007.3239561045086</v>
      </c>
      <c r="FQ162" s="102">
        <v>2042.3412732815336</v>
      </c>
      <c r="FR162" s="102">
        <v>2032.7578977714775</v>
      </c>
      <c r="FS162" s="102">
        <v>3392.28166341</v>
      </c>
      <c r="FT162" s="102">
        <v>3376.1920744099998</v>
      </c>
      <c r="FU162" s="102">
        <v>3360.1024854099996</v>
      </c>
      <c r="FV162" s="102">
        <v>3344.0128964099999</v>
      </c>
      <c r="FW162" s="102">
        <v>3327.9233074099998</v>
      </c>
      <c r="FX162" s="102">
        <v>3311.8337184100001</v>
      </c>
      <c r="FY162" s="102">
        <v>3295.7441294099999</v>
      </c>
      <c r="FZ162" s="102">
        <v>3279.6545404099998</v>
      </c>
      <c r="GA162" s="102">
        <v>3263.56495141</v>
      </c>
      <c r="GB162" s="102">
        <v>3247.4753624099999</v>
      </c>
      <c r="GC162" s="102">
        <v>3231.3857734099997</v>
      </c>
      <c r="GD162" s="102">
        <v>3227.52487247</v>
      </c>
      <c r="GE162" s="102">
        <v>0</v>
      </c>
      <c r="GF162" s="102">
        <v>0</v>
      </c>
      <c r="GG162" s="102">
        <v>0</v>
      </c>
      <c r="GH162" s="102">
        <v>0</v>
      </c>
      <c r="GI162" s="102">
        <v>0</v>
      </c>
      <c r="GJ162" s="102">
        <v>0</v>
      </c>
      <c r="GK162" s="102">
        <v>0</v>
      </c>
      <c r="GL162" s="102">
        <v>0</v>
      </c>
      <c r="GM162" s="102">
        <v>0</v>
      </c>
      <c r="GN162" s="102">
        <v>0</v>
      </c>
      <c r="GO162" s="102">
        <v>0</v>
      </c>
      <c r="GP162" s="102">
        <v>0</v>
      </c>
      <c r="GQ162" s="102">
        <v>0</v>
      </c>
      <c r="GR162" s="102">
        <v>0</v>
      </c>
      <c r="GS162" s="102">
        <v>0</v>
      </c>
      <c r="GT162" s="102">
        <v>0</v>
      </c>
      <c r="GU162" s="102">
        <v>0</v>
      </c>
      <c r="GV162" s="102">
        <v>0</v>
      </c>
      <c r="GW162" s="102">
        <v>0</v>
      </c>
      <c r="GX162" s="102">
        <v>0</v>
      </c>
      <c r="GY162" s="102">
        <v>0</v>
      </c>
      <c r="GZ162" s="102">
        <v>0</v>
      </c>
      <c r="HA162" s="102">
        <v>0</v>
      </c>
      <c r="HB162" s="102">
        <v>0</v>
      </c>
      <c r="HD162" s="102">
        <f t="shared" si="852"/>
        <v>273.31431781999999</v>
      </c>
      <c r="HE162" s="102">
        <f t="shared" si="852"/>
        <v>231.64966146</v>
      </c>
      <c r="HF162" s="102">
        <f t="shared" si="852"/>
        <v>1094.20397299</v>
      </c>
      <c r="HG162" s="102">
        <f t="shared" si="852"/>
        <v>3400.556</v>
      </c>
      <c r="HH162" s="102">
        <f t="shared" si="777"/>
        <v>3181.9380374100001</v>
      </c>
      <c r="HI162" s="102">
        <f t="shared" si="778"/>
        <v>2811.0045920100001</v>
      </c>
      <c r="HJ162" s="102">
        <f t="shared" si="846"/>
        <v>2596.3167651399999</v>
      </c>
      <c r="HK162" s="102">
        <f t="shared" si="847"/>
        <v>2050.61077054</v>
      </c>
      <c r="HL162" s="940">
        <f>+SUMIFS($E162:SEW162,$E$6:SEW$6,HL$7,$E$5:SEW$5,12)</f>
        <v>1896.5639934799999</v>
      </c>
      <c r="HM162" s="940">
        <f>+SUMIFS($E162:SEX162,$E$6:SEX$6,HM$7,$E$5:SEX$5,12)</f>
        <v>1557.0669560199999</v>
      </c>
      <c r="HN162" s="940">
        <f>+SUMIFS($E162:SEY162,$E$6:SEY$6,HN$7,$E$5:SEY$5,12)</f>
        <v>1561.3435060499999</v>
      </c>
      <c r="HO162" s="102"/>
      <c r="HP162" s="102"/>
      <c r="HR162" s="929">
        <f t="shared" si="853"/>
        <v>3.7235293420834168</v>
      </c>
      <c r="HS162" s="929">
        <f t="shared" si="854"/>
        <v>2.1077898490056732</v>
      </c>
      <c r="HT162" s="929">
        <f t="shared" si="855"/>
        <v>-6.4288887637786285E-2</v>
      </c>
      <c r="HU162" s="929">
        <f t="shared" si="738"/>
        <v>-0.11657469159956624</v>
      </c>
      <c r="HV162" s="929">
        <f t="shared" si="739"/>
        <v>-7.6374057687500385E-2</v>
      </c>
      <c r="HW162" s="929">
        <f t="shared" si="740"/>
        <v>-0.21018467466182778</v>
      </c>
      <c r="HX162" s="929">
        <f t="shared" si="741"/>
        <v>-7.5122387570135452E-2</v>
      </c>
      <c r="HY162" s="929">
        <f t="shared" si="741"/>
        <v>-0.17900637079851855</v>
      </c>
      <c r="HZ162" s="929">
        <f t="shared" si="741"/>
        <v>2.7465421531589485E-3</v>
      </c>
      <c r="IA162" s="929">
        <f t="shared" si="762"/>
        <v>-1</v>
      </c>
      <c r="IB162" s="929" t="str">
        <f t="shared" si="856"/>
        <v/>
      </c>
      <c r="IC162" s="929">
        <f t="shared" si="763"/>
        <v>-1</v>
      </c>
      <c r="IE162" s="102">
        <f t="shared" si="857"/>
        <v>862.55431152999995</v>
      </c>
      <c r="IF162" s="102">
        <f t="shared" si="858"/>
        <v>2306.3520270099998</v>
      </c>
      <c r="IG162" s="102">
        <f t="shared" si="859"/>
        <v>-218.61796258999993</v>
      </c>
      <c r="IH162" s="102">
        <f t="shared" si="742"/>
        <v>-370.93344539999998</v>
      </c>
      <c r="II162" s="102">
        <f t="shared" si="767"/>
        <v>-214.68782687000021</v>
      </c>
      <c r="IJ162" s="102">
        <f t="shared" si="768"/>
        <v>-545.70599459999994</v>
      </c>
      <c r="IK162" s="102">
        <f t="shared" si="769"/>
        <v>-154.04677706000007</v>
      </c>
      <c r="IL162" s="102">
        <f t="shared" si="764"/>
        <v>-1896.5639934799999</v>
      </c>
      <c r="IM162" s="102">
        <f t="shared" si="860"/>
        <v>0</v>
      </c>
      <c r="IN162" s="102">
        <f t="shared" si="765"/>
        <v>-1896.5639934799999</v>
      </c>
      <c r="IP162" s="973"/>
      <c r="IQ162" s="973"/>
      <c r="IR162" s="973"/>
      <c r="IS162" s="973"/>
      <c r="IT162" s="973"/>
      <c r="IU162" s="973"/>
      <c r="IV162" s="973"/>
      <c r="IW162" s="973"/>
      <c r="IX162" s="973"/>
      <c r="IY162" s="973"/>
      <c r="JA162" s="102">
        <f t="shared" si="727"/>
        <v>273.31431781999999</v>
      </c>
      <c r="JB162" s="102">
        <f t="shared" si="850"/>
        <v>231.64966146</v>
      </c>
      <c r="JC162" s="102">
        <f t="shared" si="850"/>
        <v>1094.20397299</v>
      </c>
      <c r="JD162" s="102">
        <f t="shared" si="850"/>
        <v>3400.556</v>
      </c>
      <c r="JE162" s="102">
        <f t="shared" si="850"/>
        <v>3181.9380374100001</v>
      </c>
      <c r="JF162" s="102">
        <f t="shared" si="850"/>
        <v>2811.0045920100001</v>
      </c>
      <c r="JG162" s="102">
        <f t="shared" si="850"/>
        <v>2596.3167651399999</v>
      </c>
      <c r="JH162" s="102">
        <f t="shared" si="850"/>
        <v>2050.61077054</v>
      </c>
      <c r="JI162" s="102">
        <f t="shared" si="850"/>
        <v>1896.5639934799999</v>
      </c>
      <c r="JJ162" s="102">
        <f t="shared" si="850"/>
        <v>1557.0669560199999</v>
      </c>
      <c r="JK162" s="102">
        <f t="shared" si="850"/>
        <v>1561.3435060499999</v>
      </c>
      <c r="JL162" s="102">
        <f t="shared" si="728"/>
        <v>1561.3435060499999</v>
      </c>
      <c r="JM162" s="102"/>
      <c r="JN162" s="102"/>
      <c r="JP162" s="102">
        <f t="shared" si="787"/>
        <v>0</v>
      </c>
      <c r="JQ162" s="102">
        <f t="shared" si="788"/>
        <v>0</v>
      </c>
      <c r="JR162" s="145"/>
      <c r="JS162" s="929" t="str">
        <f t="shared" si="861"/>
        <v>NA</v>
      </c>
      <c r="JT162" s="930">
        <f t="shared" si="862"/>
        <v>0</v>
      </c>
      <c r="JV162" s="973"/>
      <c r="JW162" s="973"/>
      <c r="JY162" s="929">
        <f t="shared" si="817"/>
        <v>3.7235293420834168</v>
      </c>
      <c r="JZ162" s="929">
        <f t="shared" si="818"/>
        <v>2.1077898490056732</v>
      </c>
      <c r="KA162" s="929">
        <f t="shared" si="819"/>
        <v>-6.4288887637786285E-2</v>
      </c>
      <c r="KB162" s="929">
        <f t="shared" si="820"/>
        <v>-0.11657469159956624</v>
      </c>
      <c r="KC162" s="929">
        <f t="shared" si="821"/>
        <v>-7.6374057687500385E-2</v>
      </c>
      <c r="KD162" s="929">
        <f t="shared" si="822"/>
        <v>-0.21018467466182778</v>
      </c>
      <c r="KE162" s="929">
        <f t="shared" si="823"/>
        <v>-7.5122387570135452E-2</v>
      </c>
      <c r="KF162" s="929">
        <f t="shared" si="824"/>
        <v>-1</v>
      </c>
      <c r="KH162" s="102">
        <f t="shared" si="792"/>
        <v>862.55431152999995</v>
      </c>
      <c r="KI162" s="102">
        <f t="shared" si="793"/>
        <v>2306.3520270099998</v>
      </c>
      <c r="KJ162" s="102">
        <f t="shared" si="794"/>
        <v>-218.61796258999993</v>
      </c>
      <c r="KK162" s="102">
        <f t="shared" si="795"/>
        <v>-370.93344539999998</v>
      </c>
      <c r="KL162" s="102">
        <f t="shared" si="796"/>
        <v>-214.68782687000021</v>
      </c>
      <c r="KM162" s="102">
        <f t="shared" si="797"/>
        <v>-545.70599459999994</v>
      </c>
      <c r="KN162" s="102">
        <f t="shared" si="798"/>
        <v>-154.04677706000007</v>
      </c>
      <c r="KO162" s="102">
        <f t="shared" si="711"/>
        <v>-1896.5639934799999</v>
      </c>
      <c r="KQ162" s="973"/>
      <c r="KR162" s="973"/>
      <c r="KS162" s="973"/>
      <c r="KT162" s="973"/>
      <c r="KU162" s="973"/>
      <c r="KV162" s="973"/>
      <c r="KW162" s="973"/>
      <c r="KX162" s="973"/>
      <c r="KY162" s="973"/>
      <c r="KZ162" s="973"/>
      <c r="LB162" s="102">
        <f t="shared" si="737"/>
        <v>273.31431781999999</v>
      </c>
      <c r="LC162" s="102">
        <f t="shared" si="851"/>
        <v>231.64966146</v>
      </c>
      <c r="LD162" s="102">
        <f t="shared" si="851"/>
        <v>1094.20397299</v>
      </c>
      <c r="LE162" s="102">
        <f t="shared" si="851"/>
        <v>3400.556</v>
      </c>
      <c r="LF162" s="102">
        <f t="shared" si="851"/>
        <v>3181.9380374100001</v>
      </c>
      <c r="LG162" s="102">
        <f t="shared" si="851"/>
        <v>2811.0045920100001</v>
      </c>
      <c r="LH162" s="102">
        <f t="shared" si="851"/>
        <v>2596.3167651399999</v>
      </c>
      <c r="LI162" s="102">
        <f t="shared" si="851"/>
        <v>2050.61077054</v>
      </c>
      <c r="LJ162" s="102">
        <f t="shared" si="851"/>
        <v>1896.5639934799999</v>
      </c>
      <c r="LK162" s="102">
        <f t="shared" si="851"/>
        <v>1557.0669560199999</v>
      </c>
      <c r="LL162" s="102">
        <f t="shared" si="851"/>
        <v>1561.3435060499999</v>
      </c>
      <c r="LM162" s="102">
        <f t="shared" si="851"/>
        <v>1561.3435060499999</v>
      </c>
      <c r="LN162" s="102"/>
      <c r="LO162" s="102"/>
      <c r="LR162" s="32">
        <f t="shared" si="799"/>
        <v>3.7235293420834168</v>
      </c>
      <c r="LS162" s="32">
        <f t="shared" si="800"/>
        <v>2.1077898490056732</v>
      </c>
      <c r="LT162" s="32">
        <f t="shared" si="801"/>
        <v>-6.4288887637786285E-2</v>
      </c>
      <c r="LU162" s="32">
        <f t="shared" si="802"/>
        <v>-0.11657469159956624</v>
      </c>
      <c r="LV162" s="32">
        <f t="shared" si="803"/>
        <v>-7.6374057687500385E-2</v>
      </c>
      <c r="LW162" s="32">
        <f t="shared" si="804"/>
        <v>-0.21018467466182778</v>
      </c>
      <c r="LX162" s="32">
        <f t="shared" si="848"/>
        <v>-1</v>
      </c>
      <c r="LZ162" s="102">
        <f t="shared" si="805"/>
        <v>862.55431152999995</v>
      </c>
      <c r="MA162" s="102">
        <f t="shared" si="806"/>
        <v>2306.3520270099998</v>
      </c>
      <c r="MB162" s="102">
        <f t="shared" si="807"/>
        <v>-218.61796258999993</v>
      </c>
      <c r="MC162" s="102">
        <f t="shared" si="808"/>
        <v>-370.93344539999998</v>
      </c>
      <c r="MD162" s="102">
        <f t="shared" si="809"/>
        <v>-214.68782687000021</v>
      </c>
      <c r="ME162" s="102">
        <f t="shared" si="810"/>
        <v>-545.70599459999994</v>
      </c>
      <c r="MF162" s="102">
        <f t="shared" si="849"/>
        <v>-2050.61077054</v>
      </c>
      <c r="MH162" s="973"/>
      <c r="MI162" s="973"/>
      <c r="MJ162" s="973"/>
      <c r="MK162" s="973"/>
      <c r="ML162" s="973"/>
      <c r="MM162" s="973"/>
      <c r="MN162" s="973"/>
      <c r="MO162" s="973"/>
      <c r="MP162" s="973"/>
    </row>
    <row r="163" spans="1:354">
      <c r="A163" s="884">
        <v>18</v>
      </c>
      <c r="B163" s="70" t="s">
        <v>721</v>
      </c>
      <c r="C163" s="17" t="s">
        <v>137</v>
      </c>
      <c r="D163" s="31" t="s">
        <v>59</v>
      </c>
      <c r="E163" s="102">
        <v>10.498307</v>
      </c>
      <c r="F163" s="102">
        <v>10.498307</v>
      </c>
      <c r="G163" s="102">
        <v>10.498307</v>
      </c>
      <c r="H163" s="102">
        <v>10.498307</v>
      </c>
      <c r="I163" s="102">
        <v>10.498307</v>
      </c>
      <c r="J163" s="102">
        <v>10.498307</v>
      </c>
      <c r="K163" s="102">
        <v>10.498307</v>
      </c>
      <c r="L163" s="102">
        <v>10.498307</v>
      </c>
      <c r="M163" s="102">
        <v>10.498307</v>
      </c>
      <c r="N163" s="102">
        <v>10.498307</v>
      </c>
      <c r="O163" s="102">
        <v>10.498307</v>
      </c>
      <c r="P163" s="102">
        <v>10.498307</v>
      </c>
      <c r="Q163" s="102">
        <v>10.498307</v>
      </c>
      <c r="R163" s="102">
        <v>10.498307</v>
      </c>
      <c r="S163" s="102">
        <v>10.498307</v>
      </c>
      <c r="T163" s="102">
        <v>10.498307</v>
      </c>
      <c r="U163" s="102">
        <v>10.498307</v>
      </c>
      <c r="V163" s="102">
        <v>10.498307</v>
      </c>
      <c r="W163" s="102">
        <v>10.498307</v>
      </c>
      <c r="X163" s="102">
        <v>10.498307</v>
      </c>
      <c r="Y163" s="102">
        <v>10.498307</v>
      </c>
      <c r="Z163" s="102">
        <v>10.498307</v>
      </c>
      <c r="AA163" s="102">
        <v>0</v>
      </c>
      <c r="AB163" s="102">
        <v>0</v>
      </c>
      <c r="AC163" s="102">
        <v>0</v>
      </c>
      <c r="AD163" s="102">
        <v>0</v>
      </c>
      <c r="AE163" s="102">
        <v>0</v>
      </c>
      <c r="AF163" s="102">
        <v>0</v>
      </c>
      <c r="AG163" s="102">
        <v>0</v>
      </c>
      <c r="AH163" s="102">
        <v>0</v>
      </c>
      <c r="AI163" s="102">
        <v>0</v>
      </c>
      <c r="AJ163" s="102">
        <v>0</v>
      </c>
      <c r="AK163" s="102">
        <v>0</v>
      </c>
      <c r="AL163" s="102">
        <v>0</v>
      </c>
      <c r="AM163" s="102">
        <v>0</v>
      </c>
      <c r="AN163" s="102">
        <v>0</v>
      </c>
      <c r="AO163" s="102">
        <v>0</v>
      </c>
      <c r="AP163" s="145">
        <v>0</v>
      </c>
      <c r="AQ163" s="220">
        <v>0</v>
      </c>
      <c r="AR163" s="220">
        <v>0</v>
      </c>
      <c r="AS163" s="102">
        <v>0</v>
      </c>
      <c r="AT163" s="102">
        <v>0</v>
      </c>
      <c r="AU163" s="102">
        <v>0</v>
      </c>
      <c r="AV163" s="102">
        <v>0</v>
      </c>
      <c r="AW163" s="102">
        <v>0</v>
      </c>
      <c r="AX163" s="102">
        <v>0</v>
      </c>
      <c r="AY163" s="102">
        <v>0</v>
      </c>
      <c r="AZ163" s="102">
        <v>0</v>
      </c>
      <c r="BA163" s="102">
        <v>0</v>
      </c>
      <c r="BB163" s="102">
        <v>0</v>
      </c>
      <c r="BC163" s="102">
        <v>0</v>
      </c>
      <c r="BD163" s="102">
        <v>0</v>
      </c>
      <c r="BE163" s="102">
        <v>0</v>
      </c>
      <c r="BF163" s="102">
        <v>0</v>
      </c>
      <c r="BG163" s="102">
        <v>0</v>
      </c>
      <c r="BH163" s="102">
        <v>0</v>
      </c>
      <c r="BI163" s="102">
        <v>0</v>
      </c>
      <c r="BJ163" s="102">
        <v>0</v>
      </c>
      <c r="BK163" s="102">
        <v>0</v>
      </c>
      <c r="BL163" s="102">
        <v>0</v>
      </c>
      <c r="BM163" s="102">
        <v>0</v>
      </c>
      <c r="BN163" s="102">
        <v>0</v>
      </c>
      <c r="BO163" s="102">
        <v>0</v>
      </c>
      <c r="BP163" s="102">
        <v>0</v>
      </c>
      <c r="BQ163" s="102">
        <v>0</v>
      </c>
      <c r="BR163" s="102">
        <v>0</v>
      </c>
      <c r="BS163" s="102">
        <v>0</v>
      </c>
      <c r="BT163" s="102">
        <v>0</v>
      </c>
      <c r="BU163" s="102">
        <v>0</v>
      </c>
      <c r="BV163" s="102">
        <v>0</v>
      </c>
      <c r="BW163" s="102">
        <v>0</v>
      </c>
      <c r="BX163" s="102">
        <v>0</v>
      </c>
      <c r="BY163" s="102">
        <v>0</v>
      </c>
      <c r="BZ163" s="102">
        <v>0</v>
      </c>
      <c r="CA163" s="102">
        <v>0</v>
      </c>
      <c r="CB163" s="102">
        <v>0</v>
      </c>
      <c r="CC163" s="102">
        <v>0</v>
      </c>
      <c r="CD163" s="102">
        <v>0</v>
      </c>
      <c r="CE163" s="102">
        <v>0</v>
      </c>
      <c r="CF163" s="102">
        <v>0</v>
      </c>
      <c r="CG163" s="102">
        <v>0</v>
      </c>
      <c r="CH163" s="102">
        <v>0</v>
      </c>
      <c r="CI163" s="102">
        <v>0</v>
      </c>
      <c r="CJ163" s="102">
        <v>0</v>
      </c>
      <c r="CK163" s="102">
        <v>0</v>
      </c>
      <c r="CL163" s="102">
        <v>0</v>
      </c>
      <c r="CM163" s="102">
        <v>0</v>
      </c>
      <c r="CN163" s="102">
        <v>0</v>
      </c>
      <c r="CO163" s="102">
        <v>0</v>
      </c>
      <c r="CP163" s="102">
        <v>0</v>
      </c>
      <c r="CQ163" s="102">
        <v>0</v>
      </c>
      <c r="CR163" s="102">
        <v>0</v>
      </c>
      <c r="CS163" s="102">
        <v>0</v>
      </c>
      <c r="CT163" s="102">
        <v>0</v>
      </c>
      <c r="CU163" s="102">
        <v>0</v>
      </c>
      <c r="CV163" s="102">
        <v>0</v>
      </c>
      <c r="CW163" s="102">
        <v>0</v>
      </c>
      <c r="CX163" s="102">
        <v>0</v>
      </c>
      <c r="CY163" s="102">
        <v>0</v>
      </c>
      <c r="CZ163" s="102">
        <v>0</v>
      </c>
      <c r="DA163" s="102">
        <v>0</v>
      </c>
      <c r="DB163" s="102">
        <v>0</v>
      </c>
      <c r="DC163" s="102">
        <v>0</v>
      </c>
      <c r="DD163" s="102">
        <v>0</v>
      </c>
      <c r="DE163" s="102">
        <v>0</v>
      </c>
      <c r="DF163" s="102">
        <v>0</v>
      </c>
      <c r="DG163" s="102">
        <v>0</v>
      </c>
      <c r="DH163" s="102">
        <v>0</v>
      </c>
      <c r="DI163" s="102">
        <v>0</v>
      </c>
      <c r="DJ163" s="102">
        <v>0</v>
      </c>
      <c r="DK163" s="102">
        <v>0</v>
      </c>
      <c r="DL163" s="102">
        <v>0</v>
      </c>
      <c r="DM163" s="102">
        <v>0</v>
      </c>
      <c r="DN163" s="102">
        <v>0</v>
      </c>
      <c r="DO163" s="102">
        <v>0</v>
      </c>
      <c r="DP163" s="102">
        <v>0</v>
      </c>
      <c r="DQ163" s="940">
        <v>0</v>
      </c>
      <c r="DR163" s="940">
        <v>0</v>
      </c>
      <c r="DS163" s="940">
        <v>0</v>
      </c>
      <c r="DT163" s="940">
        <v>0</v>
      </c>
      <c r="DU163" s="940">
        <v>0</v>
      </c>
      <c r="DV163" s="940">
        <v>0</v>
      </c>
      <c r="DW163" s="940">
        <v>0</v>
      </c>
      <c r="DX163" s="940">
        <v>0</v>
      </c>
      <c r="DY163" s="940">
        <v>0</v>
      </c>
      <c r="DZ163" s="940">
        <v>0</v>
      </c>
      <c r="EA163" s="940">
        <v>0</v>
      </c>
      <c r="EB163" s="940">
        <v>0</v>
      </c>
      <c r="EC163" s="940">
        <v>0</v>
      </c>
      <c r="ED163" s="940">
        <v>0</v>
      </c>
      <c r="EE163" s="940">
        <v>0</v>
      </c>
      <c r="EF163" s="940">
        <v>0</v>
      </c>
      <c r="EH163" s="102">
        <v>0</v>
      </c>
      <c r="EI163" s="102">
        <v>0</v>
      </c>
      <c r="EJ163" s="102">
        <v>0</v>
      </c>
      <c r="EK163" s="102">
        <v>0</v>
      </c>
      <c r="EL163" s="102">
        <v>0</v>
      </c>
      <c r="EM163" s="102">
        <v>0</v>
      </c>
      <c r="EN163" s="102">
        <v>0</v>
      </c>
      <c r="EO163" s="102">
        <v>0</v>
      </c>
      <c r="EP163" s="102">
        <v>0</v>
      </c>
      <c r="EQ163" s="102">
        <v>0</v>
      </c>
      <c r="ER163" s="102">
        <v>0</v>
      </c>
      <c r="ES163" s="102">
        <v>0</v>
      </c>
      <c r="EU163" s="102"/>
      <c r="EV163" s="102"/>
      <c r="EW163" s="102"/>
      <c r="EX163" s="102"/>
      <c r="EY163" s="102"/>
      <c r="EZ163" s="102"/>
      <c r="FA163" s="102"/>
      <c r="FB163" s="102"/>
      <c r="FC163" s="102"/>
      <c r="FD163" s="102"/>
      <c r="FE163" s="102"/>
      <c r="FF163" s="102"/>
      <c r="FG163" s="102">
        <v>0</v>
      </c>
      <c r="FH163" s="102">
        <v>0</v>
      </c>
      <c r="FI163" s="102">
        <v>0</v>
      </c>
      <c r="FJ163" s="102">
        <v>0</v>
      </c>
      <c r="FK163" s="102">
        <v>0</v>
      </c>
      <c r="FL163" s="102">
        <v>0</v>
      </c>
      <c r="FM163" s="102">
        <v>0</v>
      </c>
      <c r="FN163" s="102">
        <v>0</v>
      </c>
      <c r="FO163" s="102">
        <v>0</v>
      </c>
      <c r="FP163" s="102">
        <v>0</v>
      </c>
      <c r="FQ163" s="102">
        <v>0</v>
      </c>
      <c r="FR163" s="102">
        <v>0</v>
      </c>
      <c r="FS163" s="102"/>
      <c r="FT163" s="102"/>
      <c r="FU163" s="102"/>
      <c r="FV163" s="102"/>
      <c r="FW163" s="102"/>
      <c r="FX163" s="102"/>
      <c r="FY163" s="102"/>
      <c r="FZ163" s="102"/>
      <c r="GA163" s="102"/>
      <c r="GB163" s="102"/>
      <c r="GC163" s="102"/>
      <c r="GD163" s="102"/>
      <c r="GE163" s="102">
        <v>0</v>
      </c>
      <c r="GF163" s="102">
        <v>0</v>
      </c>
      <c r="GG163" s="102">
        <v>0</v>
      </c>
      <c r="GH163" s="102">
        <v>0</v>
      </c>
      <c r="GI163" s="102">
        <v>0</v>
      </c>
      <c r="GJ163" s="102">
        <v>0</v>
      </c>
      <c r="GK163" s="102">
        <v>0</v>
      </c>
      <c r="GL163" s="102">
        <v>0</v>
      </c>
      <c r="GM163" s="102">
        <v>0</v>
      </c>
      <c r="GN163" s="102">
        <v>0</v>
      </c>
      <c r="GO163" s="102">
        <v>0</v>
      </c>
      <c r="GP163" s="102">
        <v>0</v>
      </c>
      <c r="GQ163" s="102">
        <v>0</v>
      </c>
      <c r="GR163" s="102">
        <v>0</v>
      </c>
      <c r="GS163" s="102">
        <v>0</v>
      </c>
      <c r="GT163" s="102">
        <v>0</v>
      </c>
      <c r="GU163" s="102">
        <v>0</v>
      </c>
      <c r="GV163" s="102">
        <v>0</v>
      </c>
      <c r="GW163" s="102">
        <v>0</v>
      </c>
      <c r="GX163" s="102">
        <v>0</v>
      </c>
      <c r="GY163" s="102">
        <v>0</v>
      </c>
      <c r="GZ163" s="102">
        <v>0</v>
      </c>
      <c r="HA163" s="102">
        <v>0</v>
      </c>
      <c r="HB163" s="102">
        <v>0</v>
      </c>
      <c r="HD163" s="102">
        <f t="shared" si="852"/>
        <v>10.498307</v>
      </c>
      <c r="HE163" s="102">
        <f t="shared" si="852"/>
        <v>0</v>
      </c>
      <c r="HF163" s="102">
        <f t="shared" si="852"/>
        <v>0</v>
      </c>
      <c r="HG163" s="102">
        <f t="shared" si="852"/>
        <v>0</v>
      </c>
      <c r="HH163" s="102">
        <f t="shared" si="777"/>
        <v>0</v>
      </c>
      <c r="HI163" s="102">
        <f t="shared" si="778"/>
        <v>0</v>
      </c>
      <c r="HJ163" s="102">
        <f t="shared" si="846"/>
        <v>0</v>
      </c>
      <c r="HK163" s="102">
        <f t="shared" si="847"/>
        <v>0</v>
      </c>
      <c r="HL163" s="940">
        <f>+SUMIFS($E163:SEW163,$E$6:SEW$6,HL$7,$E$5:SEW$5,12)</f>
        <v>0</v>
      </c>
      <c r="HM163" s="940">
        <f>+SUMIFS($E163:SEX163,$E$6:SEX$6,HM$7,$E$5:SEX$5,12)</f>
        <v>0</v>
      </c>
      <c r="HN163" s="940">
        <f>+SUMIFS($E163:SEY163,$E$6:SEY$6,HN$7,$E$5:SEY$5,12)</f>
        <v>0</v>
      </c>
      <c r="HO163" s="102"/>
      <c r="HP163" s="102"/>
      <c r="HR163" s="929" t="str">
        <f t="shared" si="853"/>
        <v/>
      </c>
      <c r="HS163" s="929" t="str">
        <f t="shared" si="854"/>
        <v/>
      </c>
      <c r="HT163" s="929" t="str">
        <f t="shared" si="855"/>
        <v/>
      </c>
      <c r="HU163" s="929" t="str">
        <f t="shared" si="738"/>
        <v/>
      </c>
      <c r="HV163" s="929" t="str">
        <f t="shared" si="739"/>
        <v/>
      </c>
      <c r="HW163" s="929" t="str">
        <f t="shared" si="740"/>
        <v/>
      </c>
      <c r="HX163" s="929" t="str">
        <f t="shared" si="741"/>
        <v/>
      </c>
      <c r="HY163" s="929" t="str">
        <f t="shared" si="741"/>
        <v/>
      </c>
      <c r="HZ163" s="929" t="str">
        <f t="shared" si="741"/>
        <v/>
      </c>
      <c r="IA163" s="929" t="str">
        <f t="shared" ref="IA163:IA194" si="868">+IFERROR(HO163/HL163-1,"")</f>
        <v/>
      </c>
      <c r="IB163" s="929" t="str">
        <f t="shared" si="856"/>
        <v/>
      </c>
      <c r="IC163" s="929" t="str">
        <f t="shared" ref="IC163:IC194" si="869">+IFERROR(HP163/HL163-1,"")</f>
        <v/>
      </c>
      <c r="IE163" s="102">
        <f t="shared" si="857"/>
        <v>0</v>
      </c>
      <c r="IF163" s="102">
        <f t="shared" si="858"/>
        <v>0</v>
      </c>
      <c r="IG163" s="102">
        <f t="shared" si="859"/>
        <v>0</v>
      </c>
      <c r="IH163" s="102">
        <f t="shared" si="742"/>
        <v>0</v>
      </c>
      <c r="II163" s="102">
        <f t="shared" si="767"/>
        <v>0</v>
      </c>
      <c r="IJ163" s="102">
        <f t="shared" si="768"/>
        <v>0</v>
      </c>
      <c r="IK163" s="102">
        <f t="shared" si="769"/>
        <v>0</v>
      </c>
      <c r="IL163" s="102">
        <f t="shared" ref="IL163:IL194" si="870">+HO163-HL163</f>
        <v>0</v>
      </c>
      <c r="IM163" s="102">
        <f t="shared" si="860"/>
        <v>0</v>
      </c>
      <c r="IN163" s="102">
        <f t="shared" ref="IN163:IN194" si="871">+HP163-HL163</f>
        <v>0</v>
      </c>
      <c r="IP163" s="973"/>
      <c r="IQ163" s="973"/>
      <c r="IR163" s="973"/>
      <c r="IS163" s="973"/>
      <c r="IT163" s="973"/>
      <c r="IU163" s="973"/>
      <c r="IV163" s="973"/>
      <c r="IW163" s="973"/>
      <c r="IX163" s="973"/>
      <c r="IY163" s="973"/>
      <c r="JA163" s="102">
        <f t="shared" si="727"/>
        <v>10.498307</v>
      </c>
      <c r="JB163" s="102">
        <f t="shared" si="850"/>
        <v>0</v>
      </c>
      <c r="JC163" s="102">
        <f t="shared" si="850"/>
        <v>0</v>
      </c>
      <c r="JD163" s="102">
        <f t="shared" si="850"/>
        <v>0</v>
      </c>
      <c r="JE163" s="102">
        <f t="shared" si="850"/>
        <v>0</v>
      </c>
      <c r="JF163" s="102">
        <f t="shared" si="850"/>
        <v>0</v>
      </c>
      <c r="JG163" s="102">
        <f t="shared" si="850"/>
        <v>0</v>
      </c>
      <c r="JH163" s="102">
        <f t="shared" si="850"/>
        <v>0</v>
      </c>
      <c r="JI163" s="102">
        <f t="shared" si="850"/>
        <v>0</v>
      </c>
      <c r="JJ163" s="102">
        <f t="shared" si="850"/>
        <v>0</v>
      </c>
      <c r="JK163" s="102">
        <f t="shared" si="850"/>
        <v>0</v>
      </c>
      <c r="JL163" s="102">
        <f t="shared" si="728"/>
        <v>0</v>
      </c>
      <c r="JM163" s="102"/>
      <c r="JN163" s="102"/>
      <c r="JP163" s="102">
        <f t="shared" si="787"/>
        <v>0</v>
      </c>
      <c r="JQ163" s="102">
        <f t="shared" si="788"/>
        <v>0</v>
      </c>
      <c r="JR163" s="145"/>
      <c r="JS163" s="929" t="str">
        <f t="shared" si="861"/>
        <v>NA</v>
      </c>
      <c r="JT163" s="930">
        <f t="shared" si="862"/>
        <v>0</v>
      </c>
      <c r="JV163" s="973"/>
      <c r="JW163" s="973"/>
      <c r="JY163" s="929" t="str">
        <f t="shared" si="817"/>
        <v/>
      </c>
      <c r="JZ163" s="929" t="str">
        <f t="shared" si="818"/>
        <v/>
      </c>
      <c r="KA163" s="929" t="str">
        <f t="shared" si="819"/>
        <v/>
      </c>
      <c r="KB163" s="929" t="str">
        <f t="shared" si="820"/>
        <v/>
      </c>
      <c r="KC163" s="929" t="str">
        <f t="shared" si="821"/>
        <v/>
      </c>
      <c r="KD163" s="929" t="str">
        <f t="shared" si="822"/>
        <v/>
      </c>
      <c r="KE163" s="929" t="str">
        <f t="shared" si="823"/>
        <v/>
      </c>
      <c r="KF163" s="929" t="str">
        <f t="shared" si="824"/>
        <v/>
      </c>
      <c r="KH163" s="102">
        <f t="shared" si="792"/>
        <v>0</v>
      </c>
      <c r="KI163" s="102">
        <f t="shared" si="793"/>
        <v>0</v>
      </c>
      <c r="KJ163" s="102">
        <f t="shared" si="794"/>
        <v>0</v>
      </c>
      <c r="KK163" s="102">
        <f t="shared" si="795"/>
        <v>0</v>
      </c>
      <c r="KL163" s="102">
        <f t="shared" si="796"/>
        <v>0</v>
      </c>
      <c r="KM163" s="102">
        <f t="shared" si="797"/>
        <v>0</v>
      </c>
      <c r="KN163" s="102">
        <f t="shared" si="798"/>
        <v>0</v>
      </c>
      <c r="KO163" s="102">
        <f t="shared" si="711"/>
        <v>0</v>
      </c>
      <c r="KQ163" s="973"/>
      <c r="KR163" s="973"/>
      <c r="KS163" s="973"/>
      <c r="KT163" s="973"/>
      <c r="KU163" s="973"/>
      <c r="KV163" s="973"/>
      <c r="KW163" s="973"/>
      <c r="KX163" s="973"/>
      <c r="KY163" s="973"/>
      <c r="KZ163" s="973"/>
      <c r="LB163" s="102">
        <f t="shared" si="737"/>
        <v>10.498307</v>
      </c>
      <c r="LC163" s="102">
        <f t="shared" si="851"/>
        <v>0</v>
      </c>
      <c r="LD163" s="102">
        <f t="shared" si="851"/>
        <v>0</v>
      </c>
      <c r="LE163" s="102">
        <f t="shared" si="851"/>
        <v>0</v>
      </c>
      <c r="LF163" s="102">
        <f t="shared" si="851"/>
        <v>0</v>
      </c>
      <c r="LG163" s="102">
        <f t="shared" si="851"/>
        <v>0</v>
      </c>
      <c r="LH163" s="102">
        <f t="shared" si="851"/>
        <v>0</v>
      </c>
      <c r="LI163" s="102">
        <f t="shared" si="851"/>
        <v>0</v>
      </c>
      <c r="LJ163" s="102">
        <f t="shared" si="851"/>
        <v>0</v>
      </c>
      <c r="LK163" s="102">
        <f t="shared" si="851"/>
        <v>0</v>
      </c>
      <c r="LL163" s="102">
        <f t="shared" si="851"/>
        <v>0</v>
      </c>
      <c r="LM163" s="102">
        <f t="shared" si="851"/>
        <v>0</v>
      </c>
      <c r="LN163" s="102"/>
      <c r="LO163" s="102"/>
      <c r="LR163" s="32" t="str">
        <f t="shared" si="799"/>
        <v xml:space="preserve"> </v>
      </c>
      <c r="LS163" s="32" t="str">
        <f t="shared" si="800"/>
        <v xml:space="preserve"> </v>
      </c>
      <c r="LT163" s="32" t="str">
        <f t="shared" si="801"/>
        <v xml:space="preserve"> </v>
      </c>
      <c r="LU163" s="32" t="str">
        <f t="shared" si="802"/>
        <v xml:space="preserve"> </v>
      </c>
      <c r="LV163" s="32" t="str">
        <f t="shared" si="803"/>
        <v xml:space="preserve"> </v>
      </c>
      <c r="LW163" s="32" t="str">
        <f t="shared" si="804"/>
        <v xml:space="preserve"> </v>
      </c>
      <c r="LX163" s="32" t="str">
        <f t="shared" si="848"/>
        <v xml:space="preserve"> </v>
      </c>
      <c r="LZ163" s="102">
        <f t="shared" si="805"/>
        <v>0</v>
      </c>
      <c r="MA163" s="102">
        <f t="shared" si="806"/>
        <v>0</v>
      </c>
      <c r="MB163" s="102">
        <f t="shared" si="807"/>
        <v>0</v>
      </c>
      <c r="MC163" s="102">
        <f t="shared" si="808"/>
        <v>0</v>
      </c>
      <c r="MD163" s="102">
        <f t="shared" si="809"/>
        <v>0</v>
      </c>
      <c r="ME163" s="102">
        <f t="shared" si="810"/>
        <v>0</v>
      </c>
      <c r="MF163" s="102">
        <f t="shared" si="849"/>
        <v>0</v>
      </c>
      <c r="MH163" s="973"/>
      <c r="MI163" s="973"/>
      <c r="MJ163" s="973"/>
      <c r="MK163" s="973"/>
      <c r="ML163" s="973"/>
      <c r="MM163" s="973"/>
      <c r="MN163" s="973"/>
      <c r="MO163" s="973"/>
      <c r="MP163" s="973"/>
    </row>
    <row r="164" spans="1:354">
      <c r="A164" s="884">
        <v>19</v>
      </c>
      <c r="B164" s="70" t="s">
        <v>722</v>
      </c>
      <c r="C164" s="186" t="s">
        <v>138</v>
      </c>
      <c r="D164" s="307" t="s">
        <v>59</v>
      </c>
      <c r="E164" s="931">
        <v>0</v>
      </c>
      <c r="F164" s="931">
        <v>0</v>
      </c>
      <c r="G164" s="931">
        <v>0</v>
      </c>
      <c r="H164" s="931">
        <v>0</v>
      </c>
      <c r="I164" s="931">
        <v>0</v>
      </c>
      <c r="J164" s="931">
        <v>0</v>
      </c>
      <c r="K164" s="931">
        <v>0</v>
      </c>
      <c r="L164" s="931">
        <v>0</v>
      </c>
      <c r="M164" s="931">
        <v>0</v>
      </c>
      <c r="N164" s="931">
        <v>0</v>
      </c>
      <c r="O164" s="931">
        <v>83.296999999999997</v>
      </c>
      <c r="P164" s="931">
        <v>224.59211431999998</v>
      </c>
      <c r="Q164" s="931">
        <v>224.59211431999998</v>
      </c>
      <c r="R164" s="931">
        <v>224.59211431999998</v>
      </c>
      <c r="S164" s="931">
        <v>224.59211431999998</v>
      </c>
      <c r="T164" s="931">
        <v>224.59211431999998</v>
      </c>
      <c r="U164" s="931">
        <v>224.59211431999998</v>
      </c>
      <c r="V164" s="931">
        <v>224.59211431999998</v>
      </c>
      <c r="W164" s="931">
        <v>224.59211431999998</v>
      </c>
      <c r="X164" s="931">
        <v>224.59211431999998</v>
      </c>
      <c r="Y164" s="931">
        <v>224.59211431999998</v>
      </c>
      <c r="Z164" s="931">
        <v>224.59211431999998</v>
      </c>
      <c r="AA164" s="931">
        <v>224.59211431999998</v>
      </c>
      <c r="AB164" s="931">
        <v>228.94920134</v>
      </c>
      <c r="AC164" s="931">
        <v>228.94920134</v>
      </c>
      <c r="AD164" s="931">
        <v>228.94920134</v>
      </c>
      <c r="AE164" s="931">
        <v>228.94920134</v>
      </c>
      <c r="AF164" s="931">
        <v>228.94920134</v>
      </c>
      <c r="AG164" s="931">
        <v>228.94920134</v>
      </c>
      <c r="AH164" s="931">
        <v>228.94920134</v>
      </c>
      <c r="AI164" s="931">
        <v>228.94920134</v>
      </c>
      <c r="AJ164" s="931">
        <v>228.94920134</v>
      </c>
      <c r="AK164" s="931">
        <v>228.94920134</v>
      </c>
      <c r="AL164" s="931">
        <v>228.94920134</v>
      </c>
      <c r="AM164" s="931">
        <v>228.94920134</v>
      </c>
      <c r="AN164" s="931">
        <v>566.71302199999991</v>
      </c>
      <c r="AO164" s="931">
        <v>566.71302200000002</v>
      </c>
      <c r="AP164" s="932">
        <v>566.71302200000002</v>
      </c>
      <c r="AQ164" s="951">
        <v>566.71302200000002</v>
      </c>
      <c r="AR164" s="951">
        <v>566.71302200000002</v>
      </c>
      <c r="AS164" s="931">
        <v>566.71302200000002</v>
      </c>
      <c r="AT164" s="931">
        <v>566.71302200000002</v>
      </c>
      <c r="AU164" s="931">
        <v>566.71302200000002</v>
      </c>
      <c r="AV164" s="931">
        <v>566.71302200000002</v>
      </c>
      <c r="AW164" s="931">
        <v>566.71302200000002</v>
      </c>
      <c r="AX164" s="931">
        <v>566.71302200000002</v>
      </c>
      <c r="AY164" s="931">
        <v>566.71302200000002</v>
      </c>
      <c r="AZ164" s="931">
        <v>0</v>
      </c>
      <c r="BA164" s="931">
        <v>0</v>
      </c>
      <c r="BB164" s="931">
        <v>0</v>
      </c>
      <c r="BC164" s="931">
        <v>0</v>
      </c>
      <c r="BD164" s="931">
        <v>0</v>
      </c>
      <c r="BE164" s="931">
        <v>0</v>
      </c>
      <c r="BF164" s="931">
        <v>0</v>
      </c>
      <c r="BG164" s="931">
        <v>0</v>
      </c>
      <c r="BH164" s="931">
        <v>0</v>
      </c>
      <c r="BI164" s="931">
        <v>0</v>
      </c>
      <c r="BJ164" s="931">
        <v>0</v>
      </c>
      <c r="BK164" s="931">
        <v>0</v>
      </c>
      <c r="BL164" s="931">
        <v>0</v>
      </c>
      <c r="BM164" s="102">
        <v>0</v>
      </c>
      <c r="BN164" s="931">
        <v>0</v>
      </c>
      <c r="BO164" s="931">
        <v>0</v>
      </c>
      <c r="BP164" s="931">
        <v>0</v>
      </c>
      <c r="BQ164" s="931">
        <v>0</v>
      </c>
      <c r="BR164" s="931">
        <v>0</v>
      </c>
      <c r="BS164" s="931">
        <v>0</v>
      </c>
      <c r="BT164" s="931">
        <v>0</v>
      </c>
      <c r="BU164" s="931">
        <v>0</v>
      </c>
      <c r="BV164" s="931">
        <v>0</v>
      </c>
      <c r="BW164" s="931">
        <v>0</v>
      </c>
      <c r="BX164" s="931">
        <v>0</v>
      </c>
      <c r="BY164" s="931">
        <v>0</v>
      </c>
      <c r="BZ164" s="931">
        <v>0</v>
      </c>
      <c r="CA164" s="931">
        <v>0</v>
      </c>
      <c r="CB164" s="931">
        <v>0</v>
      </c>
      <c r="CC164" s="931">
        <v>0</v>
      </c>
      <c r="CD164" s="931">
        <v>0</v>
      </c>
      <c r="CE164" s="931">
        <v>0</v>
      </c>
      <c r="CF164" s="931">
        <v>0</v>
      </c>
      <c r="CG164" s="931">
        <v>0</v>
      </c>
      <c r="CH164" s="931">
        <v>0</v>
      </c>
      <c r="CI164" s="931">
        <v>0</v>
      </c>
      <c r="CJ164" s="931">
        <v>0</v>
      </c>
      <c r="CK164" s="931">
        <v>0</v>
      </c>
      <c r="CL164" s="931">
        <v>0</v>
      </c>
      <c r="CM164" s="931">
        <v>0</v>
      </c>
      <c r="CN164" s="931">
        <v>0</v>
      </c>
      <c r="CO164" s="931">
        <v>0</v>
      </c>
      <c r="CP164" s="931">
        <v>0</v>
      </c>
      <c r="CQ164" s="931">
        <v>0</v>
      </c>
      <c r="CR164" s="931">
        <v>0</v>
      </c>
      <c r="CS164" s="931">
        <v>0</v>
      </c>
      <c r="CT164" s="931">
        <v>0</v>
      </c>
      <c r="CU164" s="931">
        <v>0</v>
      </c>
      <c r="CV164" s="931">
        <v>0</v>
      </c>
      <c r="CW164" s="931">
        <v>0</v>
      </c>
      <c r="CX164" s="931">
        <v>0</v>
      </c>
      <c r="CY164" s="931">
        <v>0</v>
      </c>
      <c r="CZ164" s="931">
        <v>0</v>
      </c>
      <c r="DA164" s="931">
        <v>0</v>
      </c>
      <c r="DB164" s="931">
        <v>0</v>
      </c>
      <c r="DC164" s="931">
        <v>0</v>
      </c>
      <c r="DD164" s="931">
        <v>0</v>
      </c>
      <c r="DE164" s="931">
        <v>0</v>
      </c>
      <c r="DF164" s="931">
        <v>0</v>
      </c>
      <c r="DG164" s="931">
        <v>0</v>
      </c>
      <c r="DH164" s="931">
        <v>0</v>
      </c>
      <c r="DI164" s="931">
        <v>0</v>
      </c>
      <c r="DJ164" s="931">
        <v>0</v>
      </c>
      <c r="DK164" s="931">
        <v>0</v>
      </c>
      <c r="DL164" s="931">
        <v>0</v>
      </c>
      <c r="DM164" s="931">
        <v>0</v>
      </c>
      <c r="DN164" s="931">
        <v>0</v>
      </c>
      <c r="DO164" s="931">
        <v>0</v>
      </c>
      <c r="DP164" s="931">
        <v>0</v>
      </c>
      <c r="DQ164" s="941">
        <v>0</v>
      </c>
      <c r="DR164" s="941">
        <v>0</v>
      </c>
      <c r="DS164" s="941">
        <v>0</v>
      </c>
      <c r="DT164" s="941">
        <v>0</v>
      </c>
      <c r="DU164" s="941">
        <v>0</v>
      </c>
      <c r="DV164" s="941">
        <v>0</v>
      </c>
      <c r="DW164" s="941">
        <v>0</v>
      </c>
      <c r="DX164" s="941">
        <v>0</v>
      </c>
      <c r="DY164" s="941">
        <v>0</v>
      </c>
      <c r="DZ164" s="941">
        <v>0</v>
      </c>
      <c r="EA164" s="941">
        <v>0</v>
      </c>
      <c r="EB164" s="941">
        <v>0</v>
      </c>
      <c r="EC164" s="941">
        <v>0</v>
      </c>
      <c r="ED164" s="941">
        <v>0</v>
      </c>
      <c r="EE164" s="941">
        <v>0</v>
      </c>
      <c r="EF164" s="941">
        <v>0</v>
      </c>
      <c r="EH164" s="931">
        <v>0</v>
      </c>
      <c r="EI164" s="931">
        <v>0</v>
      </c>
      <c r="EJ164" s="931">
        <v>0</v>
      </c>
      <c r="EK164" s="931">
        <v>0</v>
      </c>
      <c r="EL164" s="931">
        <v>0</v>
      </c>
      <c r="EM164" s="931">
        <v>0</v>
      </c>
      <c r="EN164" s="931">
        <v>0</v>
      </c>
      <c r="EO164" s="931">
        <v>0</v>
      </c>
      <c r="EP164" s="931">
        <v>0</v>
      </c>
      <c r="EQ164" s="931">
        <v>0</v>
      </c>
      <c r="ER164" s="931">
        <v>0</v>
      </c>
      <c r="ES164" s="931">
        <v>0</v>
      </c>
      <c r="EU164" s="931">
        <v>228.94920134</v>
      </c>
      <c r="EV164" s="931">
        <v>1805.3492013399998</v>
      </c>
      <c r="EW164" s="931">
        <v>1805.3492013399998</v>
      </c>
      <c r="EX164" s="931">
        <v>1805.3492013399998</v>
      </c>
      <c r="EY164" s="931">
        <v>1805.3492013399998</v>
      </c>
      <c r="EZ164" s="931">
        <v>1805.3492013399998</v>
      </c>
      <c r="FA164" s="931">
        <v>1805.3492013399998</v>
      </c>
      <c r="FB164" s="931">
        <v>1805.3492013399998</v>
      </c>
      <c r="FC164" s="931">
        <v>1805.3492013399998</v>
      </c>
      <c r="FD164" s="931">
        <v>1805.3492013399998</v>
      </c>
      <c r="FE164" s="931">
        <v>1805.3492013399998</v>
      </c>
      <c r="FF164" s="931">
        <v>1805.3492013399998</v>
      </c>
      <c r="FG164" s="931">
        <v>566.71302200000002</v>
      </c>
      <c r="FH164" s="931">
        <v>566.71302200000002</v>
      </c>
      <c r="FI164" s="931">
        <v>566.71302200000002</v>
      </c>
      <c r="FJ164" s="931">
        <v>566.71302200000002</v>
      </c>
      <c r="FK164" s="931">
        <v>566.71302200000002</v>
      </c>
      <c r="FL164" s="931">
        <v>566.71302200000002</v>
      </c>
      <c r="FM164" s="931">
        <v>566.71302200000002</v>
      </c>
      <c r="FN164" s="931">
        <v>566.71302200000002</v>
      </c>
      <c r="FO164" s="931">
        <v>566.71302200000002</v>
      </c>
      <c r="FP164" s="931">
        <v>566.71302200000002</v>
      </c>
      <c r="FQ164" s="931">
        <v>566.71302200000002</v>
      </c>
      <c r="FR164" s="931">
        <v>566.71302200000002</v>
      </c>
      <c r="FS164" s="931"/>
      <c r="FT164" s="931"/>
      <c r="FU164" s="931"/>
      <c r="FV164" s="931"/>
      <c r="FW164" s="931"/>
      <c r="FX164" s="931"/>
      <c r="FY164" s="931"/>
      <c r="FZ164" s="931"/>
      <c r="GA164" s="931"/>
      <c r="GB164" s="931"/>
      <c r="GC164" s="931"/>
      <c r="GD164" s="931"/>
      <c r="GE164" s="931">
        <v>0</v>
      </c>
      <c r="GF164" s="931">
        <v>0</v>
      </c>
      <c r="GG164" s="931">
        <v>0</v>
      </c>
      <c r="GH164" s="931">
        <v>0</v>
      </c>
      <c r="GI164" s="931">
        <v>0</v>
      </c>
      <c r="GJ164" s="931">
        <v>0</v>
      </c>
      <c r="GK164" s="931">
        <v>0</v>
      </c>
      <c r="GL164" s="931">
        <v>0</v>
      </c>
      <c r="GM164" s="931">
        <v>0</v>
      </c>
      <c r="GN164" s="931">
        <v>0</v>
      </c>
      <c r="GO164" s="931">
        <v>0</v>
      </c>
      <c r="GP164" s="931">
        <v>0</v>
      </c>
      <c r="GQ164" s="931">
        <v>0</v>
      </c>
      <c r="GR164" s="931">
        <v>0</v>
      </c>
      <c r="GS164" s="931">
        <v>0</v>
      </c>
      <c r="GT164" s="931">
        <v>0</v>
      </c>
      <c r="GU164" s="931">
        <v>0</v>
      </c>
      <c r="GV164" s="931">
        <v>0</v>
      </c>
      <c r="GW164" s="931">
        <v>0</v>
      </c>
      <c r="GX164" s="931">
        <v>0</v>
      </c>
      <c r="GY164" s="931">
        <v>0</v>
      </c>
      <c r="GZ164" s="931">
        <v>0</v>
      </c>
      <c r="HA164" s="931">
        <v>0</v>
      </c>
      <c r="HB164" s="931">
        <v>0</v>
      </c>
      <c r="HD164" s="931">
        <f t="shared" si="852"/>
        <v>224.59211431999998</v>
      </c>
      <c r="HE164" s="931">
        <f t="shared" si="852"/>
        <v>228.94920134</v>
      </c>
      <c r="HF164" s="931">
        <f t="shared" si="852"/>
        <v>566.71302199999991</v>
      </c>
      <c r="HG164" s="931">
        <f t="shared" si="852"/>
        <v>0</v>
      </c>
      <c r="HH164" s="931">
        <f t="shared" si="777"/>
        <v>0</v>
      </c>
      <c r="HI164" s="931">
        <f t="shared" si="778"/>
        <v>0</v>
      </c>
      <c r="HJ164" s="931">
        <f t="shared" si="846"/>
        <v>0</v>
      </c>
      <c r="HK164" s="931">
        <f t="shared" si="847"/>
        <v>0</v>
      </c>
      <c r="HL164" s="941">
        <f>+SUMIFS($E164:SEW164,$E$6:SEW$6,HL$7,$E$5:SEW$5,12)</f>
        <v>0</v>
      </c>
      <c r="HM164" s="941">
        <f>+SUMIFS($E164:SEX164,$E$6:SEX$6,HM$7,$E$5:SEX$5,12)</f>
        <v>0</v>
      </c>
      <c r="HN164" s="941">
        <f>+SUMIFS($E164:SEY164,$E$6:SEY$6,HN$7,$E$5:SEY$5,12)</f>
        <v>0</v>
      </c>
      <c r="HO164" s="931"/>
      <c r="HP164" s="931"/>
      <c r="HR164" s="934">
        <f t="shared" si="853"/>
        <v>1.4752784402964796</v>
      </c>
      <c r="HS164" s="934">
        <f t="shared" si="854"/>
        <v>-1</v>
      </c>
      <c r="HT164" s="934" t="str">
        <f t="shared" si="855"/>
        <v/>
      </c>
      <c r="HU164" s="934" t="str">
        <f t="shared" si="738"/>
        <v/>
      </c>
      <c r="HV164" s="934" t="str">
        <f t="shared" si="739"/>
        <v/>
      </c>
      <c r="HW164" s="934" t="str">
        <f t="shared" si="740"/>
        <v/>
      </c>
      <c r="HX164" s="934" t="str">
        <f t="shared" si="741"/>
        <v/>
      </c>
      <c r="HY164" s="934" t="str">
        <f t="shared" si="741"/>
        <v/>
      </c>
      <c r="HZ164" s="934" t="str">
        <f t="shared" si="741"/>
        <v/>
      </c>
      <c r="IA164" s="934" t="str">
        <f t="shared" si="868"/>
        <v/>
      </c>
      <c r="IB164" s="934" t="str">
        <f t="shared" si="856"/>
        <v/>
      </c>
      <c r="IC164" s="934" t="str">
        <f t="shared" si="869"/>
        <v/>
      </c>
      <c r="IE164" s="931">
        <f t="shared" si="857"/>
        <v>337.76382065999991</v>
      </c>
      <c r="IF164" s="931">
        <f t="shared" si="858"/>
        <v>-566.71302199999991</v>
      </c>
      <c r="IG164" s="931">
        <f t="shared" si="859"/>
        <v>0</v>
      </c>
      <c r="IH164" s="931">
        <f t="shared" si="742"/>
        <v>0</v>
      </c>
      <c r="II164" s="931">
        <f t="shared" si="767"/>
        <v>0</v>
      </c>
      <c r="IJ164" s="931">
        <f t="shared" si="768"/>
        <v>0</v>
      </c>
      <c r="IK164" s="931">
        <f t="shared" si="769"/>
        <v>0</v>
      </c>
      <c r="IL164" s="931">
        <f t="shared" si="870"/>
        <v>0</v>
      </c>
      <c r="IM164" s="931">
        <f t="shared" si="860"/>
        <v>0</v>
      </c>
      <c r="IN164" s="931">
        <f t="shared" si="871"/>
        <v>0</v>
      </c>
      <c r="IP164" s="978"/>
      <c r="IQ164" s="978"/>
      <c r="IR164" s="978"/>
      <c r="IS164" s="978"/>
      <c r="IT164" s="978"/>
      <c r="IU164" s="978"/>
      <c r="IV164" s="978"/>
      <c r="IW164" s="978"/>
      <c r="IX164" s="978"/>
      <c r="IY164" s="978"/>
      <c r="JA164" s="931">
        <f t="shared" si="727"/>
        <v>224.59211431999998</v>
      </c>
      <c r="JB164" s="931">
        <f t="shared" si="850"/>
        <v>228.94920134</v>
      </c>
      <c r="JC164" s="931">
        <f t="shared" si="850"/>
        <v>566.71302199999991</v>
      </c>
      <c r="JD164" s="931">
        <f t="shared" si="850"/>
        <v>0</v>
      </c>
      <c r="JE164" s="931">
        <f t="shared" si="850"/>
        <v>0</v>
      </c>
      <c r="JF164" s="931">
        <f t="shared" si="850"/>
        <v>0</v>
      </c>
      <c r="JG164" s="931">
        <f t="shared" si="850"/>
        <v>0</v>
      </c>
      <c r="JH164" s="931">
        <f t="shared" si="850"/>
        <v>0</v>
      </c>
      <c r="JI164" s="931">
        <f t="shared" si="850"/>
        <v>0</v>
      </c>
      <c r="JJ164" s="931">
        <f t="shared" si="850"/>
        <v>0</v>
      </c>
      <c r="JK164" s="931">
        <f t="shared" si="850"/>
        <v>0</v>
      </c>
      <c r="JL164" s="931">
        <f t="shared" si="728"/>
        <v>0</v>
      </c>
      <c r="JM164" s="931"/>
      <c r="JN164" s="931"/>
      <c r="JP164" s="931">
        <f t="shared" si="787"/>
        <v>0</v>
      </c>
      <c r="JQ164" s="931">
        <f t="shared" si="788"/>
        <v>0</v>
      </c>
      <c r="JR164" s="145"/>
      <c r="JS164" s="934" t="str">
        <f t="shared" si="861"/>
        <v>NA</v>
      </c>
      <c r="JT164" s="935">
        <f t="shared" si="862"/>
        <v>0</v>
      </c>
      <c r="JV164" s="973"/>
      <c r="JW164" s="973"/>
      <c r="JY164" s="934">
        <f t="shared" si="817"/>
        <v>1.4752784402964796</v>
      </c>
      <c r="JZ164" s="934">
        <f t="shared" si="818"/>
        <v>-1</v>
      </c>
      <c r="KA164" s="934" t="str">
        <f t="shared" si="819"/>
        <v/>
      </c>
      <c r="KB164" s="934" t="str">
        <f t="shared" si="820"/>
        <v/>
      </c>
      <c r="KC164" s="934" t="str">
        <f t="shared" si="821"/>
        <v/>
      </c>
      <c r="KD164" s="934" t="str">
        <f t="shared" si="822"/>
        <v/>
      </c>
      <c r="KE164" s="934" t="str">
        <f t="shared" si="823"/>
        <v/>
      </c>
      <c r="KF164" s="934" t="str">
        <f t="shared" si="824"/>
        <v/>
      </c>
      <c r="KH164" s="931">
        <f t="shared" si="792"/>
        <v>337.76382065999991</v>
      </c>
      <c r="KI164" s="931">
        <f t="shared" si="793"/>
        <v>-566.71302199999991</v>
      </c>
      <c r="KJ164" s="931">
        <f t="shared" si="794"/>
        <v>0</v>
      </c>
      <c r="KK164" s="931">
        <f t="shared" si="795"/>
        <v>0</v>
      </c>
      <c r="KL164" s="931">
        <f t="shared" si="796"/>
        <v>0</v>
      </c>
      <c r="KM164" s="931">
        <f t="shared" si="797"/>
        <v>0</v>
      </c>
      <c r="KN164" s="931">
        <f t="shared" si="798"/>
        <v>0</v>
      </c>
      <c r="KO164" s="931">
        <f t="shared" si="711"/>
        <v>0</v>
      </c>
      <c r="KQ164" s="978"/>
      <c r="KR164" s="978"/>
      <c r="KS164" s="978"/>
      <c r="KT164" s="978"/>
      <c r="KU164" s="978"/>
      <c r="KV164" s="978"/>
      <c r="KW164" s="978"/>
      <c r="KX164" s="978"/>
      <c r="KY164" s="978"/>
      <c r="KZ164" s="978"/>
      <c r="LB164" s="931">
        <f t="shared" si="737"/>
        <v>224.59211431999998</v>
      </c>
      <c r="LC164" s="931">
        <f t="shared" si="851"/>
        <v>228.94920134</v>
      </c>
      <c r="LD164" s="931">
        <f t="shared" si="851"/>
        <v>566.71302199999991</v>
      </c>
      <c r="LE164" s="931">
        <f t="shared" si="851"/>
        <v>0</v>
      </c>
      <c r="LF164" s="931">
        <f t="shared" si="851"/>
        <v>0</v>
      </c>
      <c r="LG164" s="931">
        <f t="shared" si="851"/>
        <v>0</v>
      </c>
      <c r="LH164" s="931">
        <f t="shared" si="851"/>
        <v>0</v>
      </c>
      <c r="LI164" s="931">
        <f t="shared" si="851"/>
        <v>0</v>
      </c>
      <c r="LJ164" s="931">
        <f t="shared" si="851"/>
        <v>0</v>
      </c>
      <c r="LK164" s="931">
        <f t="shared" si="851"/>
        <v>0</v>
      </c>
      <c r="LL164" s="931">
        <f t="shared" si="851"/>
        <v>0</v>
      </c>
      <c r="LM164" s="931">
        <f t="shared" si="851"/>
        <v>0</v>
      </c>
      <c r="LN164" s="931"/>
      <c r="LO164" s="931"/>
      <c r="LR164" s="230">
        <f t="shared" si="799"/>
        <v>1.4752784402964796</v>
      </c>
      <c r="LS164" s="230">
        <f t="shared" si="800"/>
        <v>-1</v>
      </c>
      <c r="LT164" s="230" t="str">
        <f t="shared" si="801"/>
        <v xml:space="preserve"> </v>
      </c>
      <c r="LU164" s="230" t="str">
        <f t="shared" si="802"/>
        <v xml:space="preserve"> </v>
      </c>
      <c r="LV164" s="230" t="str">
        <f t="shared" si="803"/>
        <v xml:space="preserve"> </v>
      </c>
      <c r="LW164" s="230" t="str">
        <f t="shared" si="804"/>
        <v xml:space="preserve"> </v>
      </c>
      <c r="LX164" s="230" t="str">
        <f t="shared" si="848"/>
        <v xml:space="preserve"> </v>
      </c>
      <c r="LZ164" s="931">
        <f t="shared" si="805"/>
        <v>337.76382065999991</v>
      </c>
      <c r="MA164" s="931">
        <f t="shared" si="806"/>
        <v>-566.71302199999991</v>
      </c>
      <c r="MB164" s="931">
        <f t="shared" si="807"/>
        <v>0</v>
      </c>
      <c r="MC164" s="931">
        <f t="shared" si="808"/>
        <v>0</v>
      </c>
      <c r="MD164" s="931">
        <f t="shared" si="809"/>
        <v>0</v>
      </c>
      <c r="ME164" s="931">
        <f t="shared" si="810"/>
        <v>0</v>
      </c>
      <c r="MF164" s="931">
        <f t="shared" si="849"/>
        <v>0</v>
      </c>
      <c r="MH164" s="978"/>
      <c r="MI164" s="978"/>
      <c r="MJ164" s="978"/>
      <c r="MK164" s="978"/>
      <c r="ML164" s="978"/>
      <c r="MM164" s="978"/>
      <c r="MN164" s="978"/>
      <c r="MO164" s="978"/>
      <c r="MP164" s="978"/>
    </row>
    <row r="165" spans="1:354">
      <c r="A165" s="884"/>
      <c r="B165" s="70"/>
      <c r="E165" s="66"/>
      <c r="F165" s="66"/>
      <c r="G165" s="66"/>
      <c r="H165" s="66"/>
      <c r="I165" s="66"/>
      <c r="J165" s="66"/>
      <c r="K165" s="66"/>
      <c r="L165" s="66"/>
      <c r="M165" s="66"/>
      <c r="N165" s="66"/>
      <c r="O165" s="66"/>
      <c r="P165" s="66"/>
      <c r="Q165" s="982"/>
      <c r="R165" s="983"/>
      <c r="S165" s="983"/>
      <c r="T165" s="983"/>
      <c r="U165" s="983"/>
      <c r="V165" s="983"/>
      <c r="W165" s="983"/>
      <c r="X165" s="983"/>
      <c r="Y165" s="983"/>
      <c r="Z165" s="983"/>
      <c r="AA165" s="983"/>
      <c r="AB165" s="983"/>
      <c r="AC165" s="102"/>
      <c r="AD165" s="984"/>
      <c r="AE165" s="102"/>
      <c r="AF165" s="102"/>
      <c r="AG165" s="102"/>
      <c r="AH165" s="102"/>
      <c r="AI165" s="102"/>
      <c r="AJ165" s="102"/>
      <c r="AK165" s="102"/>
      <c r="AL165" s="102"/>
      <c r="AM165" s="102"/>
      <c r="AN165" s="102"/>
      <c r="AO165" s="102"/>
      <c r="AP165" s="145"/>
      <c r="AQ165" s="143"/>
      <c r="AR165" s="143"/>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52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940"/>
      <c r="DR165" s="940"/>
      <c r="DS165" s="940"/>
      <c r="DT165" s="940"/>
      <c r="DU165" s="940"/>
      <c r="DV165" s="940"/>
      <c r="DW165" s="940"/>
      <c r="DX165" s="940"/>
      <c r="DY165" s="940"/>
      <c r="DZ165" s="940"/>
      <c r="EA165" s="940"/>
      <c r="EB165" s="940"/>
      <c r="EC165" s="940"/>
      <c r="ED165" s="940"/>
      <c r="EE165" s="940"/>
      <c r="EF165" s="940"/>
      <c r="EH165" s="102"/>
      <c r="EI165" s="102"/>
      <c r="EJ165" s="102"/>
      <c r="EK165" s="102"/>
      <c r="EL165" s="102"/>
      <c r="EM165" s="102"/>
      <c r="EN165" s="102"/>
      <c r="EO165" s="102"/>
      <c r="EP165" s="102"/>
      <c r="EQ165" s="102"/>
      <c r="ER165" s="102"/>
      <c r="ES165" s="102"/>
      <c r="EU165" s="102"/>
      <c r="EV165" s="102"/>
      <c r="EW165" s="102"/>
      <c r="EX165" s="102"/>
      <c r="EY165" s="102"/>
      <c r="EZ165" s="102"/>
      <c r="FA165" s="102"/>
      <c r="FB165" s="102"/>
      <c r="FC165" s="102"/>
      <c r="FD165" s="102"/>
      <c r="FE165" s="102"/>
      <c r="FF165" s="102"/>
      <c r="FG165" s="102"/>
      <c r="FH165" s="102"/>
      <c r="FI165" s="102"/>
      <c r="FJ165" s="102"/>
      <c r="FK165" s="102"/>
      <c r="FL165" s="102"/>
      <c r="FM165" s="102"/>
      <c r="FN165" s="102"/>
      <c r="FO165" s="102"/>
      <c r="FP165" s="102"/>
      <c r="FQ165" s="102"/>
      <c r="FR165" s="102"/>
      <c r="FS165" s="102"/>
      <c r="FT165" s="102"/>
      <c r="FU165" s="102"/>
      <c r="FV165" s="102"/>
      <c r="FW165" s="102"/>
      <c r="FX165" s="102"/>
      <c r="FY165" s="102"/>
      <c r="FZ165" s="102"/>
      <c r="GA165" s="102"/>
      <c r="GB165" s="102"/>
      <c r="GC165" s="102"/>
      <c r="GD165" s="102"/>
      <c r="GE165" s="102"/>
      <c r="GF165" s="102"/>
      <c r="GG165" s="102"/>
      <c r="GH165" s="102"/>
      <c r="GI165" s="102"/>
      <c r="GJ165" s="102"/>
      <c r="GK165" s="102"/>
      <c r="GL165" s="102"/>
      <c r="GM165" s="102"/>
      <c r="GN165" s="102"/>
      <c r="GO165" s="102"/>
      <c r="GP165" s="102"/>
      <c r="GQ165" s="102"/>
      <c r="GR165" s="102"/>
      <c r="GS165" s="102"/>
      <c r="GT165" s="102"/>
      <c r="GU165" s="102"/>
      <c r="GV165" s="102"/>
      <c r="GW165" s="102"/>
      <c r="GX165" s="102"/>
      <c r="GY165" s="102"/>
      <c r="GZ165" s="102"/>
      <c r="HA165" s="102"/>
      <c r="HB165" s="102"/>
      <c r="HD165" s="102"/>
      <c r="HE165" s="102"/>
      <c r="HF165" s="102"/>
      <c r="HG165" s="102"/>
      <c r="HH165" s="102"/>
      <c r="HI165" s="102"/>
      <c r="HJ165" s="102">
        <f t="shared" si="846"/>
        <v>0</v>
      </c>
      <c r="HK165" s="102">
        <f t="shared" si="847"/>
        <v>0</v>
      </c>
      <c r="HL165" s="940">
        <f>+SUMIFS($E165:SEW165,$E$6:SEW$6,HL$7,$E$5:SEW$5,12)</f>
        <v>0</v>
      </c>
      <c r="HM165" s="940">
        <f>+SUMIFS($E165:SEX165,$E$6:SEX$6,HM$7,$E$5:SEX$5,12)</f>
        <v>0</v>
      </c>
      <c r="HN165" s="940">
        <f>+SUMIFS($E165:SEY165,$E$6:SEY$6,HN$7,$E$5:SEY$5,12)</f>
        <v>0</v>
      </c>
      <c r="HO165" s="102"/>
      <c r="HP165" s="102"/>
      <c r="HR165" s="32"/>
      <c r="HS165" s="32"/>
      <c r="HT165" s="32"/>
      <c r="HU165" s="929"/>
      <c r="HV165" s="929"/>
      <c r="HW165" s="929"/>
      <c r="HX165" s="929"/>
      <c r="HY165" s="929"/>
      <c r="HZ165" s="929"/>
      <c r="IA165" s="929" t="str">
        <f t="shared" si="868"/>
        <v/>
      </c>
      <c r="IB165" s="32"/>
      <c r="IC165" s="929" t="str">
        <f t="shared" si="869"/>
        <v/>
      </c>
      <c r="IE165" s="102"/>
      <c r="IF165" s="102"/>
      <c r="IG165" s="102"/>
      <c r="IH165" s="102"/>
      <c r="II165" s="102">
        <f t="shared" si="767"/>
        <v>0</v>
      </c>
      <c r="IJ165" s="102">
        <f t="shared" si="768"/>
        <v>0</v>
      </c>
      <c r="IK165" s="102">
        <f t="shared" si="769"/>
        <v>0</v>
      </c>
      <c r="IL165" s="102">
        <f t="shared" si="870"/>
        <v>0</v>
      </c>
      <c r="IM165" s="102"/>
      <c r="IN165" s="102">
        <f t="shared" si="871"/>
        <v>0</v>
      </c>
      <c r="JA165" s="102"/>
      <c r="JB165" s="102"/>
      <c r="JC165" s="102"/>
      <c r="JD165" s="102"/>
      <c r="JE165" s="102"/>
      <c r="JF165" s="102"/>
      <c r="JG165" s="102"/>
      <c r="JH165" s="102"/>
      <c r="JI165" s="102"/>
      <c r="JJ165" s="102"/>
      <c r="JK165" s="102"/>
      <c r="JL165" s="102"/>
      <c r="JM165" s="102"/>
      <c r="JN165" s="102"/>
      <c r="JP165" s="102"/>
      <c r="JQ165" s="102"/>
      <c r="JR165" s="145"/>
      <c r="JS165" s="32"/>
      <c r="JT165" s="102"/>
      <c r="JY165" s="32"/>
      <c r="JZ165" s="32"/>
      <c r="KA165" s="32"/>
      <c r="KB165" s="32"/>
      <c r="KC165" s="32"/>
      <c r="KD165" s="32"/>
      <c r="KE165" s="32"/>
      <c r="KF165" s="32"/>
      <c r="KH165" s="102"/>
      <c r="KI165" s="102"/>
      <c r="KJ165" s="102"/>
      <c r="KK165" s="102"/>
      <c r="KL165" s="102"/>
      <c r="KM165" s="102"/>
      <c r="KN165" s="102"/>
      <c r="KO165" s="102"/>
      <c r="LB165" s="102"/>
      <c r="LC165" s="102"/>
      <c r="LD165" s="102"/>
      <c r="LE165" s="102"/>
      <c r="LF165" s="102"/>
      <c r="LG165" s="102"/>
      <c r="LH165" s="102"/>
      <c r="LI165" s="102"/>
      <c r="LJ165" s="102"/>
      <c r="LK165" s="102"/>
      <c r="LL165" s="102"/>
      <c r="LM165" s="102"/>
      <c r="LN165" s="102"/>
      <c r="LO165" s="102"/>
      <c r="LR165" s="32"/>
      <c r="LS165" s="32"/>
      <c r="LT165" s="32"/>
      <c r="LU165" s="32"/>
      <c r="LV165" s="32"/>
      <c r="LW165" s="32"/>
      <c r="LX165" s="32" t="str">
        <f t="shared" si="848"/>
        <v xml:space="preserve"> </v>
      </c>
      <c r="LZ165" s="102"/>
      <c r="MA165" s="102"/>
      <c r="MB165" s="102"/>
      <c r="MC165" s="102"/>
      <c r="MD165" s="102"/>
      <c r="ME165" s="102"/>
      <c r="MF165" s="102">
        <f t="shared" si="849"/>
        <v>0</v>
      </c>
    </row>
    <row r="166" spans="1:354">
      <c r="A166" s="884"/>
      <c r="B166" s="70"/>
      <c r="C166" s="1526" t="s">
        <v>723</v>
      </c>
      <c r="D166" s="1526" t="s">
        <v>59</v>
      </c>
      <c r="E166" s="1526">
        <f t="shared" ref="E166:BP166" si="872">+E137+E117</f>
        <v>11282.16584328</v>
      </c>
      <c r="F166" s="1526">
        <f t="shared" si="872"/>
        <v>11308.428056110002</v>
      </c>
      <c r="G166" s="1526">
        <f t="shared" si="872"/>
        <v>12039.035239270002</v>
      </c>
      <c r="H166" s="1526">
        <f t="shared" si="872"/>
        <v>12305.435433840001</v>
      </c>
      <c r="I166" s="1526">
        <f t="shared" si="872"/>
        <v>13993.93087427</v>
      </c>
      <c r="J166" s="1526">
        <f t="shared" si="872"/>
        <v>14400.456024259998</v>
      </c>
      <c r="K166" s="1526">
        <f t="shared" si="872"/>
        <v>15379.566433020002</v>
      </c>
      <c r="L166" s="1526">
        <f t="shared" si="872"/>
        <v>16535.597538909999</v>
      </c>
      <c r="M166" s="1526">
        <f t="shared" si="872"/>
        <v>32561.255233310003</v>
      </c>
      <c r="N166" s="1526">
        <f t="shared" si="872"/>
        <v>17234.365240970001</v>
      </c>
      <c r="O166" s="1526">
        <f t="shared" si="872"/>
        <v>19128.082631570003</v>
      </c>
      <c r="P166" s="1526">
        <f t="shared" si="872"/>
        <v>19139.088902480002</v>
      </c>
      <c r="Q166" s="1526">
        <f t="shared" si="872"/>
        <v>18447.258584890002</v>
      </c>
      <c r="R166" s="1526">
        <f t="shared" si="872"/>
        <v>19092.793929140003</v>
      </c>
      <c r="S166" s="1526">
        <f t="shared" si="872"/>
        <v>18457.871483940002</v>
      </c>
      <c r="T166" s="1526">
        <f t="shared" si="872"/>
        <v>14103.477512609999</v>
      </c>
      <c r="U166" s="1526">
        <f t="shared" si="872"/>
        <v>15829.090129870001</v>
      </c>
      <c r="V166" s="1526">
        <f t="shared" si="872"/>
        <v>16748.041252229999</v>
      </c>
      <c r="W166" s="1526">
        <f t="shared" si="872"/>
        <v>16290.911898680002</v>
      </c>
      <c r="X166" s="1526">
        <f t="shared" si="872"/>
        <v>17349.769600289997</v>
      </c>
      <c r="Y166" s="1526">
        <f t="shared" si="872"/>
        <v>16021.128897559996</v>
      </c>
      <c r="Z166" s="1526">
        <f t="shared" si="872"/>
        <v>16218.027913420001</v>
      </c>
      <c r="AA166" s="1526">
        <f t="shared" si="872"/>
        <v>19152.999620369999</v>
      </c>
      <c r="AB166" s="1526">
        <f t="shared" si="872"/>
        <v>23012.309137389999</v>
      </c>
      <c r="AC166" s="1526">
        <f t="shared" si="872"/>
        <v>21404.771648230002</v>
      </c>
      <c r="AD166" s="1526">
        <f t="shared" si="872"/>
        <v>22918.135748470002</v>
      </c>
      <c r="AE166" s="1526">
        <f t="shared" si="872"/>
        <v>23035.441716059999</v>
      </c>
      <c r="AF166" s="1526">
        <f t="shared" si="872"/>
        <v>20364.702948099999</v>
      </c>
      <c r="AG166" s="1526">
        <f t="shared" si="872"/>
        <v>21193.516277729999</v>
      </c>
      <c r="AH166" s="1526">
        <f t="shared" si="872"/>
        <v>21210.570443199998</v>
      </c>
      <c r="AI166" s="1526">
        <f t="shared" si="872"/>
        <v>21175.384888470002</v>
      </c>
      <c r="AJ166" s="1526">
        <f t="shared" si="872"/>
        <v>23100.979975540002</v>
      </c>
      <c r="AK166" s="1526">
        <f t="shared" si="872"/>
        <v>23689.081248230003</v>
      </c>
      <c r="AL166" s="1526">
        <f t="shared" si="872"/>
        <v>25632.688091099997</v>
      </c>
      <c r="AM166" s="1526">
        <f t="shared" si="872"/>
        <v>32209.378208079997</v>
      </c>
      <c r="AN166" s="1526">
        <f t="shared" si="872"/>
        <v>32909.200578129996</v>
      </c>
      <c r="AO166" s="1526">
        <f t="shared" si="872"/>
        <v>31428.594288719993</v>
      </c>
      <c r="AP166" s="1526">
        <f t="shared" si="872"/>
        <v>34676.181197129998</v>
      </c>
      <c r="AQ166" s="1526">
        <f t="shared" si="872"/>
        <v>31946.737652859993</v>
      </c>
      <c r="AR166" s="1526">
        <f t="shared" si="872"/>
        <v>27813.250589509993</v>
      </c>
      <c r="AS166" s="1526">
        <f t="shared" si="872"/>
        <v>27768.801303549997</v>
      </c>
      <c r="AT166" s="1526">
        <f t="shared" si="872"/>
        <v>27412.102041989994</v>
      </c>
      <c r="AU166" s="1526">
        <f t="shared" si="872"/>
        <v>27060.258511139997</v>
      </c>
      <c r="AV166" s="1526">
        <f t="shared" si="872"/>
        <v>27041.125118389995</v>
      </c>
      <c r="AW166" s="1526">
        <f t="shared" si="872"/>
        <v>27055.913883489993</v>
      </c>
      <c r="AX166" s="1526">
        <f t="shared" si="872"/>
        <v>27879.30157132999</v>
      </c>
      <c r="AY166" s="1526">
        <f t="shared" si="872"/>
        <v>27097.588466279994</v>
      </c>
      <c r="AZ166" s="1526">
        <f t="shared" si="872"/>
        <v>27423.452831980001</v>
      </c>
      <c r="BA166" s="1526">
        <f t="shared" si="872"/>
        <v>26493.447516010005</v>
      </c>
      <c r="BB166" s="1526">
        <f t="shared" si="872"/>
        <v>25764.225645589999</v>
      </c>
      <c r="BC166" s="1526">
        <f t="shared" si="872"/>
        <v>24443.400215430003</v>
      </c>
      <c r="BD166" s="1526">
        <f t="shared" si="872"/>
        <v>22912.716346239999</v>
      </c>
      <c r="BE166" s="1526">
        <f t="shared" si="872"/>
        <v>22231.975632540001</v>
      </c>
      <c r="BF166" s="1526">
        <f t="shared" si="872"/>
        <v>21730.639982009998</v>
      </c>
      <c r="BG166" s="1526">
        <f t="shared" si="872"/>
        <v>21851.275256769997</v>
      </c>
      <c r="BH166" s="1526">
        <f t="shared" si="872"/>
        <v>20644.782020580002</v>
      </c>
      <c r="BI166" s="1526">
        <f t="shared" si="872"/>
        <v>20350.875589129999</v>
      </c>
      <c r="BJ166" s="1526">
        <f t="shared" si="872"/>
        <v>20312.714882699998</v>
      </c>
      <c r="BK166" s="1526">
        <f t="shared" si="872"/>
        <v>19990.656441229999</v>
      </c>
      <c r="BL166" s="1526">
        <f t="shared" si="872"/>
        <v>20677.78330761</v>
      </c>
      <c r="BM166" s="1526">
        <f t="shared" si="872"/>
        <v>21579.606489719998</v>
      </c>
      <c r="BN166" s="1526">
        <f t="shared" si="872"/>
        <v>21554.204260799997</v>
      </c>
      <c r="BO166" s="1526">
        <f t="shared" si="872"/>
        <v>21773.30828895</v>
      </c>
      <c r="BP166" s="1526">
        <f t="shared" si="872"/>
        <v>22190.068717149999</v>
      </c>
      <c r="BQ166" s="1526">
        <f t="shared" ref="BQ166:EB166" si="873">+BQ137+BQ117</f>
        <v>21762.865880849997</v>
      </c>
      <c r="BR166" s="1526">
        <f t="shared" si="873"/>
        <v>21717.630840339996</v>
      </c>
      <c r="BS166" s="1526">
        <f t="shared" si="873"/>
        <v>21817.45362</v>
      </c>
      <c r="BT166" s="1526">
        <f t="shared" si="873"/>
        <v>21787.420731979997</v>
      </c>
      <c r="BU166" s="1526">
        <f t="shared" si="873"/>
        <v>21494.490447059998</v>
      </c>
      <c r="BV166" s="1526">
        <f t="shared" si="873"/>
        <v>21921.8556131</v>
      </c>
      <c r="BW166" s="1526">
        <f t="shared" si="873"/>
        <v>21897.005102889998</v>
      </c>
      <c r="BX166" s="1526">
        <f t="shared" si="873"/>
        <v>21402.20795231</v>
      </c>
      <c r="BY166" s="1526">
        <f t="shared" si="873"/>
        <v>21313.489603990005</v>
      </c>
      <c r="BZ166" s="1526">
        <f t="shared" si="873"/>
        <v>21208.176234399998</v>
      </c>
      <c r="CA166" s="1526">
        <f t="shared" si="873"/>
        <v>21218.394499580001</v>
      </c>
      <c r="CB166" s="1526">
        <f t="shared" si="873"/>
        <v>20764.634235760001</v>
      </c>
      <c r="CC166" s="1526">
        <f t="shared" si="873"/>
        <v>20152.943336460001</v>
      </c>
      <c r="CD166" s="1526">
        <f t="shared" si="873"/>
        <v>20206.772990999998</v>
      </c>
      <c r="CE166" s="1526">
        <f t="shared" si="873"/>
        <v>20275.618270139999</v>
      </c>
      <c r="CF166" s="1526">
        <f t="shared" si="873"/>
        <v>20454.767868259998</v>
      </c>
      <c r="CG166" s="1526">
        <f t="shared" si="873"/>
        <v>20634.91693318</v>
      </c>
      <c r="CH166" s="1526">
        <f t="shared" si="873"/>
        <v>21320.636160410002</v>
      </c>
      <c r="CI166" s="1526">
        <f t="shared" si="873"/>
        <v>22075.67922382</v>
      </c>
      <c r="CJ166" s="1526">
        <f t="shared" si="873"/>
        <v>22007.51954419</v>
      </c>
      <c r="CK166" s="1526">
        <f t="shared" si="873"/>
        <v>22413.750703940001</v>
      </c>
      <c r="CL166" s="1526">
        <f t="shared" si="873"/>
        <v>22241.758410210001</v>
      </c>
      <c r="CM166" s="1526">
        <f t="shared" si="873"/>
        <v>22632.657754780004</v>
      </c>
      <c r="CN166" s="1526">
        <f t="shared" si="873"/>
        <v>22941.920740150003</v>
      </c>
      <c r="CO166" s="1526">
        <f t="shared" si="873"/>
        <v>23078.638255639999</v>
      </c>
      <c r="CP166" s="1526">
        <f t="shared" si="873"/>
        <v>23065.722959399995</v>
      </c>
      <c r="CQ166" s="1526">
        <f t="shared" si="873"/>
        <v>22871.405886839999</v>
      </c>
      <c r="CR166" s="1526">
        <f t="shared" si="873"/>
        <v>23551.901671279997</v>
      </c>
      <c r="CS166" s="1526">
        <f t="shared" si="873"/>
        <v>23675.449670540002</v>
      </c>
      <c r="CT166" s="1526">
        <f t="shared" si="873"/>
        <v>24988.896851520003</v>
      </c>
      <c r="CU166" s="1526">
        <f t="shared" si="873"/>
        <v>25060.551760049995</v>
      </c>
      <c r="CV166" s="1526">
        <f t="shared" si="873"/>
        <v>24646.05642094</v>
      </c>
      <c r="CW166" s="1526">
        <f t="shared" si="873"/>
        <v>24643.36272402</v>
      </c>
      <c r="CX166" s="1526">
        <f t="shared" si="873"/>
        <v>24811.714675859999</v>
      </c>
      <c r="CY166" s="1526">
        <f t="shared" si="873"/>
        <v>26305.246460679999</v>
      </c>
      <c r="CZ166" s="1526">
        <f t="shared" si="873"/>
        <v>25048.102378719999</v>
      </c>
      <c r="DA166" s="1526">
        <f t="shared" si="873"/>
        <v>23213.224559590002</v>
      </c>
      <c r="DB166" s="1526">
        <f t="shared" si="873"/>
        <v>21439.633312589998</v>
      </c>
      <c r="DC166" s="1526">
        <f t="shared" si="873"/>
        <v>20867.431795690001</v>
      </c>
      <c r="DD166" s="1526">
        <f t="shared" si="873"/>
        <v>21373.293048519998</v>
      </c>
      <c r="DE166" s="1526">
        <f t="shared" si="873"/>
        <v>21981.516187369998</v>
      </c>
      <c r="DF166" s="1551">
        <f t="shared" si="873"/>
        <v>22339.82783079</v>
      </c>
      <c r="DG166" s="1526">
        <f t="shared" si="873"/>
        <v>22192.567928620003</v>
      </c>
      <c r="DH166" s="1526">
        <f t="shared" si="873"/>
        <v>22110.090268870001</v>
      </c>
      <c r="DI166" s="1526">
        <f t="shared" si="873"/>
        <v>21951.34695721</v>
      </c>
      <c r="DJ166" s="1526">
        <f t="shared" si="873"/>
        <v>21474.989507189999</v>
      </c>
      <c r="DK166" s="1526">
        <f t="shared" si="873"/>
        <v>21243.272006899999</v>
      </c>
      <c r="DL166" s="1526">
        <f t="shared" si="873"/>
        <v>21792.62135578</v>
      </c>
      <c r="DM166" s="1526">
        <f t="shared" si="873"/>
        <v>21909.657482440001</v>
      </c>
      <c r="DN166" s="1526">
        <f t="shared" si="873"/>
        <v>21892.060320640001</v>
      </c>
      <c r="DO166" s="1526">
        <f t="shared" si="873"/>
        <v>22084.013069130004</v>
      </c>
      <c r="DP166" s="1526">
        <f t="shared" si="873"/>
        <v>22339.058165640003</v>
      </c>
      <c r="DQ166" s="1527">
        <f t="shared" si="873"/>
        <v>21608.445559120002</v>
      </c>
      <c r="DR166" s="1527">
        <f t="shared" si="873"/>
        <v>22035.653554519999</v>
      </c>
      <c r="DS166" s="1527">
        <f t="shared" si="873"/>
        <v>22300.923541730001</v>
      </c>
      <c r="DT166" s="1527">
        <f t="shared" si="873"/>
        <v>22115.131739789998</v>
      </c>
      <c r="DU166" s="1527">
        <f t="shared" si="873"/>
        <v>22938.157519829998</v>
      </c>
      <c r="DV166" s="1527">
        <f t="shared" si="873"/>
        <v>22506.239610960001</v>
      </c>
      <c r="DW166" s="1527">
        <f t="shared" si="873"/>
        <v>21979.724555000004</v>
      </c>
      <c r="DX166" s="1527">
        <f t="shared" si="873"/>
        <v>22463.113819960003</v>
      </c>
      <c r="DY166" s="1527">
        <f t="shared" si="873"/>
        <v>22464.428410769997</v>
      </c>
      <c r="DZ166" s="1527">
        <f t="shared" si="873"/>
        <v>23482.724635569997</v>
      </c>
      <c r="EA166" s="1527">
        <f t="shared" si="873"/>
        <v>23529.007585429998</v>
      </c>
      <c r="EB166" s="1527">
        <f t="shared" si="873"/>
        <v>24862.153520030002</v>
      </c>
      <c r="EC166" s="1527">
        <f t="shared" ref="EC166:EF166" si="874">+EC137+EC117</f>
        <v>26521.016518740005</v>
      </c>
      <c r="ED166" s="1527">
        <f t="shared" si="874"/>
        <v>28787.289515279997</v>
      </c>
      <c r="EE166" s="1527">
        <f t="shared" si="874"/>
        <v>31083.115760500004</v>
      </c>
      <c r="EF166" s="1527">
        <f t="shared" si="874"/>
        <v>29896.762236959999</v>
      </c>
      <c r="EG166" s="985"/>
      <c r="EH166" s="1526" t="e">
        <f t="shared" ref="EH166:ES166" si="875">+EH137+EH117</f>
        <v>#VALUE!</v>
      </c>
      <c r="EI166" s="1526" t="e">
        <f t="shared" si="875"/>
        <v>#VALUE!</v>
      </c>
      <c r="EJ166" s="1526" t="e">
        <f t="shared" si="875"/>
        <v>#VALUE!</v>
      </c>
      <c r="EK166" s="1526" t="e">
        <f t="shared" si="875"/>
        <v>#VALUE!</v>
      </c>
      <c r="EL166" s="1526" t="e">
        <f t="shared" si="875"/>
        <v>#VALUE!</v>
      </c>
      <c r="EM166" s="1526" t="e">
        <f t="shared" si="875"/>
        <v>#VALUE!</v>
      </c>
      <c r="EN166" s="1526" t="e">
        <f t="shared" si="875"/>
        <v>#VALUE!</v>
      </c>
      <c r="EO166" s="1526" t="e">
        <f t="shared" si="875"/>
        <v>#VALUE!</v>
      </c>
      <c r="EP166" s="1526" t="e">
        <f t="shared" si="875"/>
        <v>#VALUE!</v>
      </c>
      <c r="EQ166" s="1526" t="e">
        <f t="shared" si="875"/>
        <v>#VALUE!</v>
      </c>
      <c r="ER166" s="1526" t="e">
        <f t="shared" si="875"/>
        <v>#VALUE!</v>
      </c>
      <c r="ES166" s="1526" t="e">
        <f t="shared" si="875"/>
        <v>#VALUE!</v>
      </c>
      <c r="ET166" s="279"/>
      <c r="EU166" s="1526">
        <f t="shared" ref="EU166:FZ166" si="876">+EU137+EU117</f>
        <v>29174.377210708553</v>
      </c>
      <c r="EV166" s="1526">
        <f t="shared" si="876"/>
        <v>32993.527724701591</v>
      </c>
      <c r="EW166" s="1526">
        <f t="shared" si="876"/>
        <v>32537.969409555975</v>
      </c>
      <c r="EX166" s="1526">
        <f t="shared" si="876"/>
        <v>28531.213748001101</v>
      </c>
      <c r="EY166" s="1526">
        <f t="shared" si="876"/>
        <v>28484.738744934126</v>
      </c>
      <c r="EZ166" s="1526">
        <f t="shared" si="876"/>
        <v>29046.512594084863</v>
      </c>
      <c r="FA166" s="1526">
        <f t="shared" si="876"/>
        <v>27429.459321026421</v>
      </c>
      <c r="FB166" s="1526">
        <f t="shared" si="876"/>
        <v>29972.727795232451</v>
      </c>
      <c r="FC166" s="1526">
        <f t="shared" si="876"/>
        <v>30907.28031593957</v>
      </c>
      <c r="FD166" s="1526">
        <f t="shared" si="876"/>
        <v>32928.125578556275</v>
      </c>
      <c r="FE166" s="1526">
        <f t="shared" si="876"/>
        <v>31038.224297716697</v>
      </c>
      <c r="FF166" s="1526">
        <f t="shared" si="876"/>
        <v>33081.279135422039</v>
      </c>
      <c r="FG166" s="1526">
        <f t="shared" si="876"/>
        <v>24074.515355902371</v>
      </c>
      <c r="FH166" s="1526">
        <f t="shared" si="876"/>
        <v>23281.855001430347</v>
      </c>
      <c r="FI166" s="1526">
        <f t="shared" si="876"/>
        <v>22823.588487671102</v>
      </c>
      <c r="FJ166" s="1526">
        <f t="shared" si="876"/>
        <v>24130.911735460097</v>
      </c>
      <c r="FK166" s="1526">
        <f t="shared" si="876"/>
        <v>23725.12828175004</v>
      </c>
      <c r="FL166" s="1526">
        <f t="shared" si="876"/>
        <v>23755.442434677665</v>
      </c>
      <c r="FM166" s="1526">
        <f t="shared" si="876"/>
        <v>23693.484180220225</v>
      </c>
      <c r="FN166" s="1526">
        <f t="shared" si="876"/>
        <v>24077.018072080857</v>
      </c>
      <c r="FO166" s="1526">
        <f t="shared" si="876"/>
        <v>24407.024149606696</v>
      </c>
      <c r="FP166" s="1526">
        <f t="shared" si="876"/>
        <v>24750.689583300315</v>
      </c>
      <c r="FQ166" s="1526">
        <f t="shared" si="876"/>
        <v>24828.645238349629</v>
      </c>
      <c r="FR166" s="1526">
        <f t="shared" si="876"/>
        <v>24486.487746734307</v>
      </c>
      <c r="FS166" s="1526">
        <f t="shared" si="876"/>
        <v>20469.198356733454</v>
      </c>
      <c r="FT166" s="1526">
        <f t="shared" si="876"/>
        <v>20703.953034798098</v>
      </c>
      <c r="FU166" s="1526">
        <f t="shared" si="876"/>
        <v>21076.487409149868</v>
      </c>
      <c r="FV166" s="1526">
        <f t="shared" si="876"/>
        <v>21194.900873686373</v>
      </c>
      <c r="FW166" s="1526">
        <f t="shared" si="876"/>
        <v>21529.281899294932</v>
      </c>
      <c r="FX166" s="1526">
        <f t="shared" si="876"/>
        <v>21757.915066483802</v>
      </c>
      <c r="FY166" s="1526">
        <f t="shared" si="876"/>
        <v>22115.82128515737</v>
      </c>
      <c r="FZ166" s="1526">
        <f t="shared" si="876"/>
        <v>21962.845179160584</v>
      </c>
      <c r="GA166" s="1526">
        <f t="shared" ref="GA166:HB166" si="877">+GA137+GA117</f>
        <v>21674.923191638598</v>
      </c>
      <c r="GB166" s="1526">
        <f t="shared" si="877"/>
        <v>21354.099438261994</v>
      </c>
      <c r="GC166" s="1526">
        <f t="shared" si="877"/>
        <v>21172.183268453155</v>
      </c>
      <c r="GD166" s="1526">
        <f t="shared" si="877"/>
        <v>20930.506970366157</v>
      </c>
      <c r="GE166" s="1526" t="e">
        <f t="shared" si="877"/>
        <v>#VALUE!</v>
      </c>
      <c r="GF166" s="1526" t="e">
        <f t="shared" si="877"/>
        <v>#VALUE!</v>
      </c>
      <c r="GG166" s="1526" t="e">
        <f t="shared" si="877"/>
        <v>#VALUE!</v>
      </c>
      <c r="GH166" s="1526" t="e">
        <f t="shared" si="877"/>
        <v>#VALUE!</v>
      </c>
      <c r="GI166" s="1526" t="e">
        <f t="shared" si="877"/>
        <v>#VALUE!</v>
      </c>
      <c r="GJ166" s="1526" t="e">
        <f t="shared" si="877"/>
        <v>#VALUE!</v>
      </c>
      <c r="GK166" s="1526" t="e">
        <f t="shared" si="877"/>
        <v>#VALUE!</v>
      </c>
      <c r="GL166" s="1526" t="e">
        <f t="shared" si="877"/>
        <v>#VALUE!</v>
      </c>
      <c r="GM166" s="1526" t="e">
        <f t="shared" si="877"/>
        <v>#VALUE!</v>
      </c>
      <c r="GN166" s="1526" t="e">
        <f t="shared" si="877"/>
        <v>#VALUE!</v>
      </c>
      <c r="GO166" s="1526" t="e">
        <f t="shared" si="877"/>
        <v>#VALUE!</v>
      </c>
      <c r="GP166" s="1526" t="e">
        <f t="shared" si="877"/>
        <v>#VALUE!</v>
      </c>
      <c r="GQ166" s="1526" t="e">
        <f t="shared" si="877"/>
        <v>#VALUE!</v>
      </c>
      <c r="GR166" s="1526" t="e">
        <f t="shared" si="877"/>
        <v>#VALUE!</v>
      </c>
      <c r="GS166" s="1526" t="e">
        <f t="shared" si="877"/>
        <v>#VALUE!</v>
      </c>
      <c r="GT166" s="1526" t="e">
        <f t="shared" si="877"/>
        <v>#VALUE!</v>
      </c>
      <c r="GU166" s="1526" t="e">
        <f t="shared" si="877"/>
        <v>#VALUE!</v>
      </c>
      <c r="GV166" s="1526" t="e">
        <f t="shared" si="877"/>
        <v>#VALUE!</v>
      </c>
      <c r="GW166" s="1526" t="e">
        <f t="shared" si="877"/>
        <v>#VALUE!</v>
      </c>
      <c r="GX166" s="1526" t="e">
        <f t="shared" si="877"/>
        <v>#VALUE!</v>
      </c>
      <c r="GY166" s="1526" t="e">
        <f t="shared" si="877"/>
        <v>#VALUE!</v>
      </c>
      <c r="GZ166" s="1526" t="e">
        <f t="shared" si="877"/>
        <v>#VALUE!</v>
      </c>
      <c r="HA166" s="1526" t="e">
        <f t="shared" si="877"/>
        <v>#VALUE!</v>
      </c>
      <c r="HB166" s="1526" t="e">
        <f t="shared" si="877"/>
        <v>#VALUE!</v>
      </c>
      <c r="HD166" s="1526">
        <f>+SUMIFS($E166:$AZ166,$E$6:$AZ$6,HD$7,$E$5:$AZ$5,12)</f>
        <v>19139.088902480002</v>
      </c>
      <c r="HE166" s="1526">
        <f>+SUMIFS($E166:$AZ166,$E$6:$AZ$6,HE$7,$E$5:$AZ$5,12)</f>
        <v>23012.309137389999</v>
      </c>
      <c r="HF166" s="1526">
        <f>+SUMIFS($E166:$AZ166,$E$6:$AZ$6,HF$7,$E$5:$AZ$5,12)</f>
        <v>32909.200578129996</v>
      </c>
      <c r="HG166" s="1526">
        <f>+SUMIFS($E166:$AZ166,$E$6:$AZ$6,HG$7,$E$5:$AZ$5,12)</f>
        <v>27423.452831980001</v>
      </c>
      <c r="HH166" s="1526">
        <f>+SUMIFS($E166:$BL166,$E$6:$BL$6,HH$7,$E$5:$BL$5,12)</f>
        <v>20677.78330761</v>
      </c>
      <c r="HI166" s="1526">
        <f>+SUMIFS($E166:$BX166,$E$6:$BX$6,HI$7,$E$5:$BX$5,12)</f>
        <v>21402.20795231</v>
      </c>
      <c r="HJ166" s="1526">
        <f t="shared" si="846"/>
        <v>22007.51954419</v>
      </c>
      <c r="HK166" s="1526">
        <f t="shared" si="847"/>
        <v>24646.05642094</v>
      </c>
      <c r="HL166" s="1527">
        <f>+SUMIFS($E166:SEW166,$E$6:SEW$6,HL$7,$E$5:SEW$5,12)</f>
        <v>22110.090268870001</v>
      </c>
      <c r="HM166" s="1527">
        <f>+SUMIFS($E166:SEX166,$E$6:SEX$6,HM$7,$E$5:SEX$5,12)</f>
        <v>22115.131739789998</v>
      </c>
      <c r="HN166" s="1527">
        <f>+SUMIFS($E166:SEY166,$E$6:SEY$6,HN$7,$E$5:SEY$5,12)</f>
        <v>29896.762236959999</v>
      </c>
      <c r="HO166" s="1526"/>
      <c r="HP166" s="1526"/>
      <c r="HR166" s="1528">
        <f t="shared" ref="HR166:HZ166" si="878">+IFERROR(HF166/HE166-1,"")</f>
        <v>0.43006946333167839</v>
      </c>
      <c r="HS166" s="1528">
        <f t="shared" si="878"/>
        <v>-0.16669343678301263</v>
      </c>
      <c r="HT166" s="1528">
        <f t="shared" si="878"/>
        <v>-0.245981772087558</v>
      </c>
      <c r="HU166" s="1528">
        <f t="shared" si="878"/>
        <v>3.5033960551922094E-2</v>
      </c>
      <c r="HV166" s="1528">
        <f t="shared" si="878"/>
        <v>2.8282670331434945E-2</v>
      </c>
      <c r="HW166" s="1528">
        <f t="shared" si="878"/>
        <v>0.11989251544009538</v>
      </c>
      <c r="HX166" s="1528">
        <f t="shared" si="878"/>
        <v>-0.10289541291138848</v>
      </c>
      <c r="HY166" s="1528">
        <f t="shared" si="878"/>
        <v>2.2801674975947428E-4</v>
      </c>
      <c r="HZ166" s="1528">
        <f t="shared" si="878"/>
        <v>0.35186905457900264</v>
      </c>
      <c r="IA166" s="1528">
        <f t="shared" si="868"/>
        <v>-1</v>
      </c>
      <c r="IB166" s="1528" t="str">
        <f>+IFERROR(HP166/HO166-1,"")</f>
        <v/>
      </c>
      <c r="IC166" s="1528">
        <f t="shared" si="869"/>
        <v>-1</v>
      </c>
      <c r="IE166" s="1526">
        <f>+HF166-HE166</f>
        <v>9896.8914407399971</v>
      </c>
      <c r="IF166" s="1526">
        <f>+HG166-HF166</f>
        <v>-5485.7477461499948</v>
      </c>
      <c r="IG166" s="1526">
        <f>+HH166-HG166</f>
        <v>-6745.6695243700015</v>
      </c>
      <c r="IH166" s="1526">
        <f>+HI166-HH166</f>
        <v>724.4246447000005</v>
      </c>
      <c r="II166" s="1526">
        <f t="shared" si="767"/>
        <v>605.31159187999947</v>
      </c>
      <c r="IJ166" s="1526">
        <f t="shared" si="768"/>
        <v>2638.5368767500004</v>
      </c>
      <c r="IK166" s="1526">
        <f t="shared" si="769"/>
        <v>-2535.9661520699992</v>
      </c>
      <c r="IL166" s="1526">
        <f t="shared" si="870"/>
        <v>-22110.090268870001</v>
      </c>
      <c r="IM166" s="1526">
        <f>+HP166-HO166</f>
        <v>0</v>
      </c>
      <c r="IN166" s="1526">
        <f t="shared" si="871"/>
        <v>-22110.090268870001</v>
      </c>
      <c r="IP166" s="1548"/>
      <c r="IQ166" s="1548"/>
      <c r="IR166" s="1548"/>
      <c r="IS166" s="1548"/>
      <c r="IT166" s="1548"/>
      <c r="IU166" s="1548"/>
      <c r="IV166" s="1548"/>
      <c r="IW166" s="1548"/>
      <c r="IX166" s="1548"/>
      <c r="IY166" s="1548"/>
      <c r="JA166" s="1526">
        <f t="shared" si="727"/>
        <v>19139.088902480002</v>
      </c>
      <c r="JB166" s="1526">
        <f t="shared" si="850"/>
        <v>23012.309137389999</v>
      </c>
      <c r="JC166" s="1526">
        <f t="shared" si="850"/>
        <v>32909.200578129996</v>
      </c>
      <c r="JD166" s="1526">
        <f t="shared" si="850"/>
        <v>27423.452831980001</v>
      </c>
      <c r="JE166" s="1526">
        <f t="shared" si="850"/>
        <v>20677.78330761</v>
      </c>
      <c r="JF166" s="1526">
        <f t="shared" si="850"/>
        <v>21402.20795231</v>
      </c>
      <c r="JG166" s="1526">
        <f t="shared" si="850"/>
        <v>22007.51954419</v>
      </c>
      <c r="JH166" s="1526">
        <f t="shared" si="850"/>
        <v>24646.05642094</v>
      </c>
      <c r="JI166" s="1526">
        <f t="shared" si="850"/>
        <v>22110.090268870001</v>
      </c>
      <c r="JJ166" s="1526">
        <f t="shared" si="850"/>
        <v>22115.131739789998</v>
      </c>
      <c r="JK166" s="1526">
        <f t="shared" si="850"/>
        <v>29896.762236959999</v>
      </c>
      <c r="JL166" s="1526">
        <f t="shared" si="728"/>
        <v>29896.762236959999</v>
      </c>
      <c r="JM166" s="1526"/>
      <c r="JN166" s="1526"/>
      <c r="JP166" s="1526">
        <f>+JN166</f>
        <v>0</v>
      </c>
      <c r="JQ166" s="1526">
        <f>+JM166</f>
        <v>0</v>
      </c>
      <c r="JR166" s="939"/>
      <c r="JS166" s="1528" t="str">
        <f>+IFERROR(JP166/JQ166,"NA")</f>
        <v>NA</v>
      </c>
      <c r="JT166" s="1530">
        <f>+IFERROR(JP166-JQ166,"NA")</f>
        <v>0</v>
      </c>
      <c r="JV166" s="973"/>
      <c r="JW166" s="973"/>
      <c r="JY166" s="1529">
        <f t="shared" ref="JY166:KE166" si="879">+IFERROR(JC166/JB166-1,"NA")</f>
        <v>0.43006946333167839</v>
      </c>
      <c r="JZ166" s="1529">
        <f t="shared" si="879"/>
        <v>-0.16669343678301263</v>
      </c>
      <c r="KA166" s="1529">
        <f t="shared" si="879"/>
        <v>-0.245981772087558</v>
      </c>
      <c r="KB166" s="1529">
        <f t="shared" si="879"/>
        <v>3.5033960551922094E-2</v>
      </c>
      <c r="KC166" s="1529">
        <f t="shared" si="879"/>
        <v>2.8282670331434945E-2</v>
      </c>
      <c r="KD166" s="1529">
        <f t="shared" si="879"/>
        <v>0.11989251544009538</v>
      </c>
      <c r="KE166" s="1529">
        <f t="shared" si="879"/>
        <v>-0.10289541291138848</v>
      </c>
      <c r="KF166" s="1529">
        <f>+IFERROR(JN166/JI166-1,"NA")</f>
        <v>-1</v>
      </c>
      <c r="KH166" s="1526">
        <f t="shared" ref="KH166:KN166" si="880">+JC166-JB166</f>
        <v>9896.8914407399971</v>
      </c>
      <c r="KI166" s="1526">
        <f t="shared" si="880"/>
        <v>-5485.7477461499948</v>
      </c>
      <c r="KJ166" s="1526">
        <f t="shared" si="880"/>
        <v>-6745.6695243700015</v>
      </c>
      <c r="KK166" s="1526">
        <f t="shared" si="880"/>
        <v>724.4246447000005</v>
      </c>
      <c r="KL166" s="1526">
        <f t="shared" si="880"/>
        <v>605.31159187999947</v>
      </c>
      <c r="KM166" s="1526">
        <f t="shared" si="880"/>
        <v>2638.5368767500004</v>
      </c>
      <c r="KN166" s="1526">
        <f t="shared" si="880"/>
        <v>-2535.9661520699992</v>
      </c>
      <c r="KO166" s="1526">
        <f>+JN166-JI166</f>
        <v>-22110.090268870001</v>
      </c>
      <c r="KQ166" s="1548"/>
      <c r="KR166" s="1548"/>
      <c r="KS166" s="1548"/>
      <c r="KT166" s="1548"/>
      <c r="KU166" s="1548"/>
      <c r="KV166" s="1548"/>
      <c r="KW166" s="1548"/>
      <c r="KX166" s="1548"/>
      <c r="KY166" s="1548"/>
      <c r="KZ166" s="1548"/>
      <c r="LB166" s="1526">
        <f t="shared" si="737"/>
        <v>19139.088902480002</v>
      </c>
      <c r="LC166" s="1526">
        <f t="shared" si="851"/>
        <v>23012.309137389999</v>
      </c>
      <c r="LD166" s="1526">
        <f t="shared" si="851"/>
        <v>32909.200578129996</v>
      </c>
      <c r="LE166" s="1526">
        <f t="shared" si="851"/>
        <v>27423.452831980001</v>
      </c>
      <c r="LF166" s="1526">
        <f t="shared" si="851"/>
        <v>20677.78330761</v>
      </c>
      <c r="LG166" s="1526">
        <f t="shared" si="851"/>
        <v>21402.20795231</v>
      </c>
      <c r="LH166" s="1526">
        <f t="shared" si="851"/>
        <v>22007.51954419</v>
      </c>
      <c r="LI166" s="1526">
        <f t="shared" si="851"/>
        <v>24646.05642094</v>
      </c>
      <c r="LJ166" s="1526">
        <f t="shared" si="851"/>
        <v>22110.090268870001</v>
      </c>
      <c r="LK166" s="1526">
        <f t="shared" si="851"/>
        <v>22115.131739789998</v>
      </c>
      <c r="LL166" s="1526">
        <f t="shared" si="851"/>
        <v>29896.762236959999</v>
      </c>
      <c r="LM166" s="1526">
        <f t="shared" si="851"/>
        <v>29896.762236959999</v>
      </c>
      <c r="LN166" s="1526"/>
      <c r="LO166" s="1526"/>
      <c r="LR166" s="1529">
        <f t="shared" ref="LR166:LW166" si="881">+IFERROR(LD166/LC166-1," ")</f>
        <v>0.43006946333167839</v>
      </c>
      <c r="LS166" s="1529">
        <f t="shared" si="881"/>
        <v>-0.16669343678301263</v>
      </c>
      <c r="LT166" s="1529">
        <f t="shared" si="881"/>
        <v>-0.245981772087558</v>
      </c>
      <c r="LU166" s="1529">
        <f t="shared" si="881"/>
        <v>3.5033960551922094E-2</v>
      </c>
      <c r="LV166" s="1529">
        <f t="shared" si="881"/>
        <v>2.8282670331434945E-2</v>
      </c>
      <c r="LW166" s="1529">
        <f t="shared" si="881"/>
        <v>0.11989251544009538</v>
      </c>
      <c r="LX166" s="1529">
        <f t="shared" si="848"/>
        <v>-1</v>
      </c>
      <c r="LZ166" s="1526">
        <f t="shared" ref="LZ166:ME166" si="882">+LD166-LC166</f>
        <v>9896.8914407399971</v>
      </c>
      <c r="MA166" s="1526">
        <f t="shared" si="882"/>
        <v>-5485.7477461499948</v>
      </c>
      <c r="MB166" s="1526">
        <f t="shared" si="882"/>
        <v>-6745.6695243700015</v>
      </c>
      <c r="MC166" s="1526">
        <f t="shared" si="882"/>
        <v>724.4246447000005</v>
      </c>
      <c r="MD166" s="1526">
        <f t="shared" si="882"/>
        <v>605.31159187999947</v>
      </c>
      <c r="ME166" s="1526">
        <f t="shared" si="882"/>
        <v>2638.5368767500004</v>
      </c>
      <c r="MF166" s="1526">
        <f t="shared" si="849"/>
        <v>-24646.05642094</v>
      </c>
      <c r="MH166" s="1548"/>
      <c r="MI166" s="1548"/>
      <c r="MJ166" s="1548"/>
      <c r="MK166" s="1548"/>
      <c r="ML166" s="1548"/>
      <c r="MM166" s="1548"/>
      <c r="MN166" s="1548"/>
      <c r="MO166" s="1548"/>
      <c r="MP166" s="1548"/>
    </row>
    <row r="167" spans="1:354">
      <c r="A167" s="884"/>
      <c r="B167" s="70"/>
      <c r="E167" s="66"/>
      <c r="F167" s="66"/>
      <c r="G167" s="66"/>
      <c r="H167" s="66"/>
      <c r="I167" s="66"/>
      <c r="J167" s="66"/>
      <c r="K167" s="66"/>
      <c r="L167" s="66"/>
      <c r="M167" s="66"/>
      <c r="N167" s="66"/>
      <c r="O167" s="66"/>
      <c r="P167" s="66"/>
      <c r="Q167" s="982"/>
      <c r="R167" s="983"/>
      <c r="S167" s="983"/>
      <c r="T167" s="983"/>
      <c r="U167" s="983"/>
      <c r="V167" s="983"/>
      <c r="W167" s="983"/>
      <c r="X167" s="983"/>
      <c r="Y167" s="983"/>
      <c r="Z167" s="983"/>
      <c r="AA167" s="983"/>
      <c r="AB167" s="983"/>
      <c r="AC167" s="102"/>
      <c r="AD167" s="984"/>
      <c r="AE167" s="102"/>
      <c r="AF167" s="102"/>
      <c r="AG167" s="102"/>
      <c r="AH167" s="102"/>
      <c r="AI167" s="102"/>
      <c r="AJ167" s="102"/>
      <c r="AK167" s="102"/>
      <c r="AL167" s="102"/>
      <c r="AM167" s="102"/>
      <c r="AN167" s="143"/>
      <c r="AO167" s="102"/>
      <c r="AP167" s="145"/>
      <c r="AQ167" s="220"/>
      <c r="AR167" s="143"/>
      <c r="AS167" s="102"/>
      <c r="AT167" s="102"/>
      <c r="AU167" s="102"/>
      <c r="AV167" s="102"/>
      <c r="AW167" s="102"/>
      <c r="AX167" s="102"/>
      <c r="AY167" s="102"/>
      <c r="AZ167" s="66"/>
      <c r="BA167" s="971"/>
      <c r="BB167" s="971"/>
      <c r="BC167" s="971"/>
      <c r="BD167" s="971"/>
      <c r="BE167" s="66"/>
      <c r="BF167" s="66"/>
      <c r="BG167" s="66"/>
      <c r="BH167" s="66"/>
      <c r="BI167" s="66"/>
      <c r="BJ167" s="66"/>
      <c r="BK167" s="66"/>
      <c r="BL167" s="66"/>
      <c r="BM167" s="972"/>
      <c r="BN167" s="66"/>
      <c r="BO167" s="66"/>
      <c r="BP167" s="971"/>
      <c r="BQ167" s="66"/>
      <c r="BR167" s="66"/>
      <c r="BS167" s="66"/>
      <c r="BT167" s="873"/>
      <c r="BU167" s="66"/>
      <c r="BV167" s="66"/>
      <c r="BW167" s="931"/>
      <c r="BX167" s="931"/>
      <c r="BY167" s="931"/>
      <c r="BZ167" s="931"/>
      <c r="CA167" s="931"/>
      <c r="CB167" s="931"/>
      <c r="CC167" s="931"/>
      <c r="CD167" s="931"/>
      <c r="CE167" s="931"/>
      <c r="CF167" s="931"/>
      <c r="CG167" s="931"/>
      <c r="CH167" s="931"/>
      <c r="CI167" s="931"/>
      <c r="CJ167" s="931"/>
      <c r="CK167" s="931"/>
      <c r="CL167" s="931"/>
      <c r="CM167" s="931"/>
      <c r="CN167" s="931"/>
      <c r="CO167" s="931"/>
      <c r="CP167" s="931"/>
      <c r="CQ167" s="931"/>
      <c r="CR167" s="931"/>
      <c r="CS167" s="931"/>
      <c r="CT167" s="931"/>
      <c r="CU167" s="931"/>
      <c r="CV167" s="931"/>
      <c r="CW167" s="931"/>
      <c r="CX167" s="931"/>
      <c r="CY167" s="931"/>
      <c r="CZ167" s="931"/>
      <c r="DA167" s="931"/>
      <c r="DB167" s="931"/>
      <c r="DC167" s="931"/>
      <c r="DD167" s="931"/>
      <c r="DE167" s="931"/>
      <c r="DF167" s="931"/>
      <c r="DG167" s="931"/>
      <c r="DH167" s="931"/>
      <c r="DI167" s="931"/>
      <c r="DJ167" s="931"/>
      <c r="DK167" s="931"/>
      <c r="DL167" s="931"/>
      <c r="DM167" s="931"/>
      <c r="DN167" s="931"/>
      <c r="DO167" s="931"/>
      <c r="DP167" s="931"/>
      <c r="DQ167" s="941"/>
      <c r="DR167" s="941"/>
      <c r="DS167" s="941"/>
      <c r="DT167" s="941"/>
      <c r="DU167" s="941"/>
      <c r="DV167" s="941"/>
      <c r="DW167" s="941"/>
      <c r="DX167" s="941"/>
      <c r="DY167" s="941"/>
      <c r="DZ167" s="941"/>
      <c r="EA167" s="941"/>
      <c r="EB167" s="941"/>
      <c r="EC167" s="941"/>
      <c r="ED167" s="941"/>
      <c r="EE167" s="941"/>
      <c r="EF167" s="941"/>
      <c r="EH167" s="66"/>
      <c r="EI167" s="66"/>
      <c r="EJ167" s="66"/>
      <c r="EK167" s="66"/>
      <c r="EL167" s="66"/>
      <c r="EM167" s="66"/>
      <c r="EN167" s="66"/>
      <c r="EO167" s="66"/>
      <c r="EP167" s="66"/>
      <c r="EQ167" s="66"/>
      <c r="ER167" s="66"/>
      <c r="ES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D167" s="102"/>
      <c r="HE167" s="102"/>
      <c r="HF167" s="102"/>
      <c r="HG167" s="102"/>
      <c r="HH167" s="102"/>
      <c r="HI167" s="102"/>
      <c r="HJ167" s="102">
        <f t="shared" si="846"/>
        <v>0</v>
      </c>
      <c r="HK167" s="102">
        <f t="shared" si="847"/>
        <v>0</v>
      </c>
      <c r="HL167" s="940">
        <f>+SUMIFS($E167:SEW167,$E$6:SEW$6,HL$7,$E$5:SEW$5,12)</f>
        <v>0</v>
      </c>
      <c r="HM167" s="940">
        <f>+SUMIFS($E167:SEX167,$E$6:SEX$6,HM$7,$E$5:SEX$5,12)</f>
        <v>0</v>
      </c>
      <c r="HN167" s="940">
        <f>+SUMIFS($E167:SEY167,$E$6:SEY$6,HN$7,$E$5:SEY$5,12)</f>
        <v>0</v>
      </c>
      <c r="HO167" s="102"/>
      <c r="HP167" s="102"/>
      <c r="HR167" s="32"/>
      <c r="HS167" s="32"/>
      <c r="HT167" s="32"/>
      <c r="HU167" s="929"/>
      <c r="HV167" s="929"/>
      <c r="HW167" s="929"/>
      <c r="HX167" s="929"/>
      <c r="HY167" s="929"/>
      <c r="HZ167" s="929"/>
      <c r="IA167" s="929" t="str">
        <f t="shared" si="868"/>
        <v/>
      </c>
      <c r="IB167" s="32"/>
      <c r="IC167" s="929" t="str">
        <f t="shared" si="869"/>
        <v/>
      </c>
      <c r="IE167" s="102"/>
      <c r="IF167" s="102"/>
      <c r="IG167" s="102"/>
      <c r="IH167" s="102"/>
      <c r="II167" s="102">
        <f t="shared" si="767"/>
        <v>0</v>
      </c>
      <c r="IJ167" s="102">
        <f t="shared" si="768"/>
        <v>0</v>
      </c>
      <c r="IK167" s="102">
        <f t="shared" si="769"/>
        <v>0</v>
      </c>
      <c r="IL167" s="102">
        <f t="shared" si="870"/>
        <v>0</v>
      </c>
      <c r="IM167" s="102"/>
      <c r="IN167" s="102">
        <f t="shared" si="871"/>
        <v>0</v>
      </c>
      <c r="JA167" s="102"/>
      <c r="JB167" s="102"/>
      <c r="JC167" s="102"/>
      <c r="JD167" s="102"/>
      <c r="JE167" s="102"/>
      <c r="JF167" s="102"/>
      <c r="JG167" s="102"/>
      <c r="JH167" s="102"/>
      <c r="JI167" s="102"/>
      <c r="JJ167" s="102"/>
      <c r="JK167" s="102"/>
      <c r="JL167" s="102"/>
      <c r="JM167" s="32"/>
      <c r="JN167" s="102"/>
      <c r="JP167" s="102"/>
      <c r="JQ167" s="102"/>
      <c r="JR167" s="145"/>
      <c r="JS167" s="32"/>
      <c r="JT167" s="102"/>
      <c r="JY167" s="32"/>
      <c r="JZ167" s="32"/>
      <c r="KA167" s="32"/>
      <c r="KB167" s="32"/>
      <c r="KC167" s="32"/>
      <c r="KD167" s="32"/>
      <c r="KE167" s="32"/>
      <c r="KF167" s="32"/>
      <c r="KH167" s="102"/>
      <c r="KI167" s="102"/>
      <c r="KJ167" s="102"/>
      <c r="KK167" s="102"/>
      <c r="KL167" s="102"/>
      <c r="KM167" s="102"/>
      <c r="KN167" s="102"/>
      <c r="KO167" s="102"/>
      <c r="LB167" s="102"/>
      <c r="LC167" s="102"/>
      <c r="LD167" s="102"/>
      <c r="LE167" s="102"/>
      <c r="LF167" s="102"/>
      <c r="LG167" s="102"/>
      <c r="LH167" s="102"/>
      <c r="LI167" s="102"/>
      <c r="LJ167" s="102"/>
      <c r="LK167" s="102"/>
      <c r="LL167" s="102"/>
      <c r="LM167" s="102"/>
      <c r="LN167" s="102"/>
      <c r="LO167" s="102"/>
      <c r="LR167" s="32"/>
      <c r="LS167" s="32"/>
      <c r="LT167" s="32"/>
      <c r="LU167" s="32"/>
      <c r="LV167" s="32"/>
      <c r="LW167" s="32"/>
      <c r="LX167" s="32" t="str">
        <f t="shared" si="848"/>
        <v xml:space="preserve"> </v>
      </c>
      <c r="LZ167" s="102"/>
      <c r="MA167" s="102"/>
      <c r="MB167" s="102"/>
      <c r="MC167" s="102"/>
      <c r="MD167" s="102"/>
      <c r="ME167" s="102"/>
      <c r="MF167" s="102">
        <f t="shared" si="849"/>
        <v>0</v>
      </c>
    </row>
    <row r="168" spans="1:354">
      <c r="A168" s="884"/>
      <c r="B168" s="70"/>
      <c r="C168" s="1549" t="s">
        <v>139</v>
      </c>
      <c r="D168" s="1550" t="s">
        <v>59</v>
      </c>
      <c r="E168" s="1515">
        <f t="shared" ref="E168:BP168" si="883">+SUM(E169,E173,E174,E175,E176,E179,E182,E183)</f>
        <v>4741.1403895100002</v>
      </c>
      <c r="F168" s="1515">
        <f t="shared" si="883"/>
        <v>3718.2582234100005</v>
      </c>
      <c r="G168" s="1515">
        <f t="shared" si="883"/>
        <v>4531.86659203</v>
      </c>
      <c r="H168" s="1515">
        <f t="shared" si="883"/>
        <v>4630.0474871400002</v>
      </c>
      <c r="I168" s="1515">
        <f t="shared" si="883"/>
        <v>5285.8898607300007</v>
      </c>
      <c r="J168" s="1515">
        <f t="shared" si="883"/>
        <v>5148.3074737100005</v>
      </c>
      <c r="K168" s="1515">
        <f t="shared" si="883"/>
        <v>5382.3753616900003</v>
      </c>
      <c r="L168" s="1515">
        <f t="shared" si="883"/>
        <v>5067.4033840699994</v>
      </c>
      <c r="M168" s="1515">
        <f t="shared" si="883"/>
        <v>4658.2565241900002</v>
      </c>
      <c r="N168" s="1515">
        <f t="shared" si="883"/>
        <v>3504.5624037399998</v>
      </c>
      <c r="O168" s="1515">
        <f t="shared" si="883"/>
        <v>3358.5512602700001</v>
      </c>
      <c r="P168" s="1515">
        <f t="shared" si="883"/>
        <v>3202.5419650700001</v>
      </c>
      <c r="Q168" s="1515">
        <f t="shared" si="883"/>
        <v>4068.1785639</v>
      </c>
      <c r="R168" s="1515">
        <f t="shared" si="883"/>
        <v>3889.2666998100003</v>
      </c>
      <c r="S168" s="1515">
        <f t="shared" si="883"/>
        <v>3602.8427849899999</v>
      </c>
      <c r="T168" s="1515">
        <f t="shared" si="883"/>
        <v>5219.24791878</v>
      </c>
      <c r="U168" s="1515">
        <f t="shared" si="883"/>
        <v>5442.5854579300003</v>
      </c>
      <c r="V168" s="1515">
        <f t="shared" si="883"/>
        <v>5185.2716472100001</v>
      </c>
      <c r="W168" s="1515">
        <f t="shared" si="883"/>
        <v>4293.1809855499996</v>
      </c>
      <c r="X168" s="1515">
        <f t="shared" si="883"/>
        <v>4394.1434863800005</v>
      </c>
      <c r="Y168" s="1515">
        <f t="shared" si="883"/>
        <v>3828.7876733500002</v>
      </c>
      <c r="Z168" s="1515">
        <f t="shared" si="883"/>
        <v>4113.7035271799996</v>
      </c>
      <c r="AA168" s="1515">
        <f t="shared" si="883"/>
        <v>4615.57333948</v>
      </c>
      <c r="AB168" s="1515">
        <f t="shared" si="883"/>
        <v>5319.4332962400003</v>
      </c>
      <c r="AC168" s="1515">
        <f t="shared" si="883"/>
        <v>4253.7288140400005</v>
      </c>
      <c r="AD168" s="1515">
        <f t="shared" si="883"/>
        <v>4168.57104291</v>
      </c>
      <c r="AE168" s="1515">
        <f t="shared" si="883"/>
        <v>3808.3516597899998</v>
      </c>
      <c r="AF168" s="1515">
        <f t="shared" si="883"/>
        <v>7507.6388624899992</v>
      </c>
      <c r="AG168" s="1515">
        <f t="shared" si="883"/>
        <v>7702.4470589700004</v>
      </c>
      <c r="AH168" s="1515">
        <f t="shared" si="883"/>
        <v>7181.5698791599998</v>
      </c>
      <c r="AI168" s="1515">
        <f t="shared" si="883"/>
        <v>6865.5748451300005</v>
      </c>
      <c r="AJ168" s="1515">
        <f t="shared" si="883"/>
        <v>8016.02663321</v>
      </c>
      <c r="AK168" s="1515">
        <f t="shared" si="883"/>
        <v>7656.2300555700003</v>
      </c>
      <c r="AL168" s="1515">
        <f t="shared" si="883"/>
        <v>8243.32757623</v>
      </c>
      <c r="AM168" s="1515">
        <f t="shared" si="883"/>
        <v>11575.536556100002</v>
      </c>
      <c r="AN168" s="1515">
        <f t="shared" si="883"/>
        <v>9567.1712247700016</v>
      </c>
      <c r="AO168" s="1515">
        <f t="shared" si="883"/>
        <v>7442.7422226500012</v>
      </c>
      <c r="AP168" s="1515">
        <f t="shared" si="883"/>
        <v>11402.734654559998</v>
      </c>
      <c r="AQ168" s="1515">
        <f t="shared" si="883"/>
        <v>8899.3434797399987</v>
      </c>
      <c r="AR168" s="1515">
        <f t="shared" si="883"/>
        <v>9829.8284765499993</v>
      </c>
      <c r="AS168" s="1515">
        <f t="shared" si="883"/>
        <v>11099.897719439998</v>
      </c>
      <c r="AT168" s="1515">
        <f t="shared" si="883"/>
        <v>12489.279319209998</v>
      </c>
      <c r="AU168" s="1515">
        <f t="shared" si="883"/>
        <v>12016.87937311</v>
      </c>
      <c r="AV168" s="1515">
        <f t="shared" si="883"/>
        <v>11957.59898615</v>
      </c>
      <c r="AW168" s="1515">
        <f t="shared" si="883"/>
        <v>12393.377959950001</v>
      </c>
      <c r="AX168" s="1515">
        <f t="shared" si="883"/>
        <v>13318.107572649998</v>
      </c>
      <c r="AY168" s="1515">
        <f t="shared" si="883"/>
        <v>13191.382814789999</v>
      </c>
      <c r="AZ168" s="1515">
        <f t="shared" si="883"/>
        <v>11927.19334666</v>
      </c>
      <c r="BA168" s="1515">
        <f t="shared" si="883"/>
        <v>11149.21963057</v>
      </c>
      <c r="BB168" s="1515">
        <f t="shared" si="883"/>
        <v>11043.647465079997</v>
      </c>
      <c r="BC168" s="1515">
        <f t="shared" si="883"/>
        <v>10518.097481680001</v>
      </c>
      <c r="BD168" s="1515">
        <f t="shared" si="883"/>
        <v>9778.8667301600017</v>
      </c>
      <c r="BE168" s="1515">
        <f t="shared" si="883"/>
        <v>9543.9676087499993</v>
      </c>
      <c r="BF168" s="1515">
        <f t="shared" si="883"/>
        <v>9967.2525761999987</v>
      </c>
      <c r="BG168" s="1515">
        <f t="shared" si="883"/>
        <v>10130.84885595</v>
      </c>
      <c r="BH168" s="1515">
        <f t="shared" si="883"/>
        <v>9952.6143386199983</v>
      </c>
      <c r="BI168" s="1515">
        <f t="shared" si="883"/>
        <v>9894.90958503</v>
      </c>
      <c r="BJ168" s="1515">
        <f t="shared" si="883"/>
        <v>10074.914432910002</v>
      </c>
      <c r="BK168" s="1515">
        <f t="shared" si="883"/>
        <v>9792.4610771499993</v>
      </c>
      <c r="BL168" s="1515">
        <f t="shared" si="883"/>
        <v>9861.0725830200008</v>
      </c>
      <c r="BM168" s="1515">
        <f t="shared" si="883"/>
        <v>11329.728185240001</v>
      </c>
      <c r="BN168" s="1515">
        <f t="shared" si="883"/>
        <v>11177.22228202</v>
      </c>
      <c r="BO168" s="1515">
        <f t="shared" si="883"/>
        <v>11270.941245439999</v>
      </c>
      <c r="BP168" s="1515">
        <f t="shared" si="883"/>
        <v>11327.670431569999</v>
      </c>
      <c r="BQ168" s="1515">
        <f t="shared" ref="BQ168:EB168" si="884">+SUM(BQ169,BQ173,BQ174,BQ175,BQ176,BQ179,BQ182,BQ183)</f>
        <v>10939.19890806</v>
      </c>
      <c r="BR168" s="1515">
        <f t="shared" si="884"/>
        <v>10777.802698529998</v>
      </c>
      <c r="BS168" s="1515">
        <f t="shared" si="884"/>
        <v>10814.68476994</v>
      </c>
      <c r="BT168" s="1515">
        <f t="shared" si="884"/>
        <v>10698.52083281</v>
      </c>
      <c r="BU168" s="1515">
        <f t="shared" si="884"/>
        <v>10457.15538097</v>
      </c>
      <c r="BV168" s="1515">
        <f t="shared" si="884"/>
        <v>10598.513204319999</v>
      </c>
      <c r="BW168" s="1515">
        <f t="shared" si="884"/>
        <v>10247.486629930001</v>
      </c>
      <c r="BX168" s="1515">
        <f t="shared" si="884"/>
        <v>10898.69398624</v>
      </c>
      <c r="BY168" s="1515">
        <f t="shared" si="884"/>
        <v>10486.878237450001</v>
      </c>
      <c r="BZ168" s="1515">
        <f t="shared" si="884"/>
        <v>10395.67207825</v>
      </c>
      <c r="CA168" s="1515">
        <f t="shared" si="884"/>
        <v>10466.2156454</v>
      </c>
      <c r="CB168" s="1515">
        <f t="shared" si="884"/>
        <v>10098.47730948</v>
      </c>
      <c r="CC168" s="1515">
        <f t="shared" si="884"/>
        <v>9617.005682320003</v>
      </c>
      <c r="CD168" s="1515">
        <f t="shared" si="884"/>
        <v>9686.6942061400005</v>
      </c>
      <c r="CE168" s="1515">
        <f t="shared" si="884"/>
        <v>9476.8669930699998</v>
      </c>
      <c r="CF168" s="1515">
        <f t="shared" si="884"/>
        <v>9165.9648215399993</v>
      </c>
      <c r="CG168" s="1515">
        <f t="shared" si="884"/>
        <v>9311.287622580001</v>
      </c>
      <c r="CH168" s="1515">
        <f t="shared" si="884"/>
        <v>9825.4378421599977</v>
      </c>
      <c r="CI168" s="1515">
        <f t="shared" si="884"/>
        <v>9941.2516223000002</v>
      </c>
      <c r="CJ168" s="1515">
        <f t="shared" si="884"/>
        <v>10538.597224109999</v>
      </c>
      <c r="CK168" s="1515">
        <f t="shared" si="884"/>
        <v>10351.221468540001</v>
      </c>
      <c r="CL168" s="1515">
        <f t="shared" si="884"/>
        <v>10308.46487645</v>
      </c>
      <c r="CM168" s="1515">
        <f t="shared" si="884"/>
        <v>10362.227155010001</v>
      </c>
      <c r="CN168" s="1515">
        <f t="shared" si="884"/>
        <v>10494.938529340001</v>
      </c>
      <c r="CO168" s="1515">
        <f t="shared" si="884"/>
        <v>10096.454777390001</v>
      </c>
      <c r="CP168" s="1515">
        <f t="shared" si="884"/>
        <v>10158.794386130001</v>
      </c>
      <c r="CQ168" s="1515">
        <f t="shared" si="884"/>
        <v>9820.7248716200011</v>
      </c>
      <c r="CR168" s="1515">
        <f t="shared" si="884"/>
        <v>10109.92331785</v>
      </c>
      <c r="CS168" s="1515">
        <f t="shared" si="884"/>
        <v>10128.131826600002</v>
      </c>
      <c r="CT168" s="1515">
        <f t="shared" si="884"/>
        <v>10696.074240679998</v>
      </c>
      <c r="CU168" s="1515">
        <f t="shared" si="884"/>
        <v>10421.610677159999</v>
      </c>
      <c r="CV168" s="1515">
        <f t="shared" si="884"/>
        <v>11468.787165809999</v>
      </c>
      <c r="CW168" s="1515">
        <f t="shared" si="884"/>
        <v>10490.71887533</v>
      </c>
      <c r="CX168" s="1515">
        <f t="shared" si="884"/>
        <v>10693.250307599999</v>
      </c>
      <c r="CY168" s="1515">
        <f t="shared" si="884"/>
        <v>11188.172406079999</v>
      </c>
      <c r="CZ168" s="1515">
        <f t="shared" si="884"/>
        <v>10530.09462399</v>
      </c>
      <c r="DA168" s="1515">
        <f t="shared" si="884"/>
        <v>9198.6109390799993</v>
      </c>
      <c r="DB168" s="1515">
        <f t="shared" si="884"/>
        <v>7673.4832054699991</v>
      </c>
      <c r="DC168" s="1515">
        <f t="shared" si="884"/>
        <v>7445.1883180600007</v>
      </c>
      <c r="DD168" s="1515">
        <f t="shared" si="884"/>
        <v>7660.8580241299996</v>
      </c>
      <c r="DE168" s="1515">
        <f t="shared" si="884"/>
        <v>8040.3452872800008</v>
      </c>
      <c r="DF168" s="1515">
        <f t="shared" si="884"/>
        <v>8202.9491358300002</v>
      </c>
      <c r="DG168" s="1515">
        <f t="shared" si="884"/>
        <v>8352.4347080399984</v>
      </c>
      <c r="DH168" s="1515">
        <f t="shared" si="884"/>
        <v>8916.292709299998</v>
      </c>
      <c r="DI168" s="1515">
        <f t="shared" si="884"/>
        <v>8154.3143176799995</v>
      </c>
      <c r="DJ168" s="1515">
        <f t="shared" si="884"/>
        <v>7912.0869163200005</v>
      </c>
      <c r="DK168" s="1515">
        <f t="shared" si="884"/>
        <v>7617.217946480001</v>
      </c>
      <c r="DL168" s="1515">
        <f t="shared" si="884"/>
        <v>7964.5717422000007</v>
      </c>
      <c r="DM168" s="1515">
        <f t="shared" si="884"/>
        <v>7951.9849914700008</v>
      </c>
      <c r="DN168" s="1515">
        <f t="shared" si="884"/>
        <v>7960.8139949500001</v>
      </c>
      <c r="DO168" s="1515">
        <f t="shared" si="884"/>
        <v>7927.7798761799995</v>
      </c>
      <c r="DP168" s="1515">
        <f t="shared" si="884"/>
        <v>8016.4295929400005</v>
      </c>
      <c r="DQ168" s="1516">
        <f t="shared" si="884"/>
        <v>7631.5979853199988</v>
      </c>
      <c r="DR168" s="1516">
        <f t="shared" si="884"/>
        <v>7831.6262514700002</v>
      </c>
      <c r="DS168" s="1516">
        <f t="shared" si="884"/>
        <v>7813.4898293899996</v>
      </c>
      <c r="DT168" s="1516">
        <f t="shared" si="884"/>
        <v>8421.9772054100013</v>
      </c>
      <c r="DU168" s="1516">
        <f t="shared" si="884"/>
        <v>8432.5660950999991</v>
      </c>
      <c r="DV168" s="1516">
        <f t="shared" si="884"/>
        <v>8586.9396048399994</v>
      </c>
      <c r="DW168" s="1516">
        <f t="shared" si="884"/>
        <v>8276.9777382700013</v>
      </c>
      <c r="DX168" s="1516">
        <f t="shared" si="884"/>
        <v>8627.8437262400003</v>
      </c>
      <c r="DY168" s="1516">
        <f t="shared" si="884"/>
        <v>8655.64236618</v>
      </c>
      <c r="DZ168" s="1516">
        <f t="shared" si="884"/>
        <v>9006.7591778500009</v>
      </c>
      <c r="EA168" s="1516">
        <f t="shared" si="884"/>
        <v>8606.3721948599996</v>
      </c>
      <c r="EB168" s="1516">
        <f t="shared" si="884"/>
        <v>9293.8460061000005</v>
      </c>
      <c r="EC168" s="1516">
        <f t="shared" ref="EC168:EF168" si="885">+SUM(EC169,EC173,EC174,EC175,EC176,EC179,EC182,EC183)</f>
        <v>10332.820063270001</v>
      </c>
      <c r="ED168" s="1516">
        <f t="shared" si="885"/>
        <v>10804.460209860001</v>
      </c>
      <c r="EE168" s="1516">
        <f t="shared" si="885"/>
        <v>11976.90102951</v>
      </c>
      <c r="EF168" s="1516">
        <f t="shared" si="885"/>
        <v>14174.616445979998</v>
      </c>
      <c r="EG168" s="985"/>
      <c r="EH168" s="1515" t="e">
        <f t="shared" ref="EH168:ES168" si="886">+SUM(EH169,EH173,EH174,EH175,EH176,EH179,EH182,EH183)</f>
        <v>#VALUE!</v>
      </c>
      <c r="EI168" s="1515" t="e">
        <f t="shared" si="886"/>
        <v>#VALUE!</v>
      </c>
      <c r="EJ168" s="1515" t="e">
        <f t="shared" si="886"/>
        <v>#VALUE!</v>
      </c>
      <c r="EK168" s="1515" t="e">
        <f t="shared" si="886"/>
        <v>#VALUE!</v>
      </c>
      <c r="EL168" s="1515" t="e">
        <f t="shared" si="886"/>
        <v>#VALUE!</v>
      </c>
      <c r="EM168" s="1515" t="e">
        <f t="shared" si="886"/>
        <v>#VALUE!</v>
      </c>
      <c r="EN168" s="1515" t="e">
        <f t="shared" si="886"/>
        <v>#VALUE!</v>
      </c>
      <c r="EO168" s="1515" t="e">
        <f t="shared" si="886"/>
        <v>#VALUE!</v>
      </c>
      <c r="EP168" s="1515" t="e">
        <f t="shared" si="886"/>
        <v>#VALUE!</v>
      </c>
      <c r="EQ168" s="1515" t="e">
        <f t="shared" si="886"/>
        <v>#VALUE!</v>
      </c>
      <c r="ER168" s="1515" t="e">
        <f t="shared" si="886"/>
        <v>#VALUE!</v>
      </c>
      <c r="ES168" s="1515" t="e">
        <f t="shared" si="886"/>
        <v>#VALUE!</v>
      </c>
      <c r="ET168" s="279"/>
      <c r="EU168" s="1515">
        <f t="shared" ref="EU168:FZ168" si="887">+SUM(EU169,EU173,EU174,EU175,EU176,EU179,EU182,EU183)</f>
        <v>4171.6251833097867</v>
      </c>
      <c r="EV168" s="1515">
        <f t="shared" si="887"/>
        <v>3838.5615076788677</v>
      </c>
      <c r="EW168" s="1515">
        <f t="shared" si="887"/>
        <v>3925.9775027626929</v>
      </c>
      <c r="EX168" s="1515">
        <f t="shared" si="887"/>
        <v>3527.1527964282441</v>
      </c>
      <c r="EY168" s="1515">
        <f t="shared" si="887"/>
        <v>3537.8793284713388</v>
      </c>
      <c r="EZ168" s="1515">
        <f t="shared" si="887"/>
        <v>3950.3552286183458</v>
      </c>
      <c r="FA168" s="1515">
        <f t="shared" si="887"/>
        <v>3837.5373378078989</v>
      </c>
      <c r="FB168" s="1515">
        <f t="shared" si="887"/>
        <v>4564.0460795183153</v>
      </c>
      <c r="FC168" s="1515">
        <f t="shared" si="887"/>
        <v>4494.834471685479</v>
      </c>
      <c r="FD168" s="1515">
        <f t="shared" si="887"/>
        <v>5271.9153540178722</v>
      </c>
      <c r="FE168" s="1515">
        <f t="shared" si="887"/>
        <v>4802.6010804760726</v>
      </c>
      <c r="FF168" s="1515">
        <f t="shared" si="887"/>
        <v>6169.4050739320528</v>
      </c>
      <c r="FG168" s="1515">
        <f t="shared" si="887"/>
        <v>4876.0674476302602</v>
      </c>
      <c r="FH168" s="1515">
        <f t="shared" si="887"/>
        <v>4551.3897727406365</v>
      </c>
      <c r="FI168" s="1515">
        <f t="shared" si="887"/>
        <v>4052.2836594777009</v>
      </c>
      <c r="FJ168" s="1515">
        <f t="shared" si="887"/>
        <v>5947.959979032159</v>
      </c>
      <c r="FK168" s="1515">
        <f t="shared" si="887"/>
        <v>5860.5427022637814</v>
      </c>
      <c r="FL168" s="1515">
        <f t="shared" si="887"/>
        <v>5990.9507426148248</v>
      </c>
      <c r="FM168" s="1515">
        <f t="shared" si="887"/>
        <v>5958.389643796877</v>
      </c>
      <c r="FN168" s="1515">
        <f t="shared" si="887"/>
        <v>6293.4161301999193</v>
      </c>
      <c r="FO168" s="1515">
        <f t="shared" si="887"/>
        <v>6590.9168045130918</v>
      </c>
      <c r="FP168" s="1515">
        <f t="shared" si="887"/>
        <v>6862.0607503276888</v>
      </c>
      <c r="FQ168" s="1515">
        <f t="shared" si="887"/>
        <v>6775.1706170399739</v>
      </c>
      <c r="FR168" s="1515">
        <f t="shared" si="887"/>
        <v>6459.9590854723729</v>
      </c>
      <c r="FS168" s="1515">
        <f t="shared" si="887"/>
        <v>9809.5161911444902</v>
      </c>
      <c r="FT168" s="1515">
        <f t="shared" si="887"/>
        <v>9907.4583141757921</v>
      </c>
      <c r="FU168" s="1515">
        <f t="shared" si="887"/>
        <v>10109.640799230163</v>
      </c>
      <c r="FV168" s="1515">
        <f t="shared" si="887"/>
        <v>10076.32149997659</v>
      </c>
      <c r="FW168" s="1515">
        <f t="shared" si="887"/>
        <v>10269.420013737979</v>
      </c>
      <c r="FX168" s="1515">
        <f t="shared" si="887"/>
        <v>10353.53465567099</v>
      </c>
      <c r="FY168" s="1515">
        <f t="shared" si="887"/>
        <v>10549.509749939876</v>
      </c>
      <c r="FZ168" s="1515">
        <f t="shared" si="887"/>
        <v>10483.958919292234</v>
      </c>
      <c r="GA168" s="1515">
        <f t="shared" ref="GA168:HB168" si="888">+SUM(GA169,GA173,GA174,GA175,GA176,GA179,GA182,GA183)</f>
        <v>10342.94142000057</v>
      </c>
      <c r="GB168" s="1515">
        <f t="shared" si="888"/>
        <v>10229.448355514289</v>
      </c>
      <c r="GC168" s="1515">
        <f t="shared" si="888"/>
        <v>10196.814249925557</v>
      </c>
      <c r="GD168" s="1515">
        <f t="shared" si="888"/>
        <v>10160.573537624474</v>
      </c>
      <c r="GE168" s="1515" t="e">
        <f t="shared" si="888"/>
        <v>#VALUE!</v>
      </c>
      <c r="GF168" s="1515" t="e">
        <f t="shared" si="888"/>
        <v>#VALUE!</v>
      </c>
      <c r="GG168" s="1515" t="e">
        <f t="shared" si="888"/>
        <v>#VALUE!</v>
      </c>
      <c r="GH168" s="1515" t="e">
        <f t="shared" si="888"/>
        <v>#VALUE!</v>
      </c>
      <c r="GI168" s="1515" t="e">
        <f t="shared" si="888"/>
        <v>#VALUE!</v>
      </c>
      <c r="GJ168" s="1515" t="e">
        <f t="shared" si="888"/>
        <v>#VALUE!</v>
      </c>
      <c r="GK168" s="1515" t="e">
        <f t="shared" si="888"/>
        <v>#VALUE!</v>
      </c>
      <c r="GL168" s="1515" t="e">
        <f t="shared" si="888"/>
        <v>#VALUE!</v>
      </c>
      <c r="GM168" s="1515" t="e">
        <f t="shared" si="888"/>
        <v>#VALUE!</v>
      </c>
      <c r="GN168" s="1515" t="e">
        <f t="shared" si="888"/>
        <v>#VALUE!</v>
      </c>
      <c r="GO168" s="1515" t="e">
        <f t="shared" si="888"/>
        <v>#VALUE!</v>
      </c>
      <c r="GP168" s="1515" t="e">
        <f t="shared" si="888"/>
        <v>#VALUE!</v>
      </c>
      <c r="GQ168" s="1515" t="e">
        <f t="shared" si="888"/>
        <v>#VALUE!</v>
      </c>
      <c r="GR168" s="1515" t="e">
        <f t="shared" si="888"/>
        <v>#VALUE!</v>
      </c>
      <c r="GS168" s="1515" t="e">
        <f t="shared" si="888"/>
        <v>#VALUE!</v>
      </c>
      <c r="GT168" s="1515" t="e">
        <f t="shared" si="888"/>
        <v>#VALUE!</v>
      </c>
      <c r="GU168" s="1515" t="e">
        <f t="shared" si="888"/>
        <v>#VALUE!</v>
      </c>
      <c r="GV168" s="1515" t="e">
        <f t="shared" si="888"/>
        <v>#VALUE!</v>
      </c>
      <c r="GW168" s="1515" t="e">
        <f t="shared" si="888"/>
        <v>#VALUE!</v>
      </c>
      <c r="GX168" s="1515" t="e">
        <f t="shared" si="888"/>
        <v>#VALUE!</v>
      </c>
      <c r="GY168" s="1515" t="e">
        <f t="shared" si="888"/>
        <v>#VALUE!</v>
      </c>
      <c r="GZ168" s="1515" t="e">
        <f t="shared" si="888"/>
        <v>#VALUE!</v>
      </c>
      <c r="HA168" s="1515" t="e">
        <f t="shared" si="888"/>
        <v>#VALUE!</v>
      </c>
      <c r="HB168" s="1515" t="e">
        <f t="shared" si="888"/>
        <v>#VALUE!</v>
      </c>
      <c r="HD168" s="1515">
        <f t="shared" ref="HD168:HG171" si="889">+SUMIFS($E168:$AZ168,$E$6:$AZ$6,HD$7,$E$5:$AZ$5,12)</f>
        <v>3202.5419650700001</v>
      </c>
      <c r="HE168" s="1515">
        <f t="shared" si="889"/>
        <v>5319.4332962400003</v>
      </c>
      <c r="HF168" s="1515">
        <f t="shared" si="889"/>
        <v>9567.1712247700016</v>
      </c>
      <c r="HG168" s="1515">
        <f t="shared" si="889"/>
        <v>11927.19334666</v>
      </c>
      <c r="HH168" s="1515">
        <f t="shared" ref="HH168:HH188" si="890">+SUMIFS($E168:$BL168,$E$6:$BL$6,HH$7,$E$5:$BL$5,12)</f>
        <v>9861.0725830200008</v>
      </c>
      <c r="HI168" s="1515">
        <f t="shared" ref="HI168:HI188" si="891">+SUMIFS($E168:$BX168,$E$6:$BX$6,HI$7,$E$5:$BX$5,12)</f>
        <v>10898.69398624</v>
      </c>
      <c r="HJ168" s="1515">
        <f t="shared" si="846"/>
        <v>10538.597224109999</v>
      </c>
      <c r="HK168" s="1515">
        <f t="shared" si="847"/>
        <v>11468.787165809999</v>
      </c>
      <c r="HL168" s="1516">
        <f>+SUMIFS($E168:SEW168,$E$6:SEW$6,HL$7,$E$5:SEW$5,12)</f>
        <v>8916.292709299998</v>
      </c>
      <c r="HM168" s="1516">
        <f>+SUMIFS($E168:SEX168,$E$6:SEX$6,HM$7,$E$5:SEX$5,12)</f>
        <v>8421.9772054100013</v>
      </c>
      <c r="HN168" s="1516">
        <f>+SUMIFS($E168:SEY168,$E$6:SEY$6,HN$7,$E$5:SEY$5,12)</f>
        <v>14174.616445979998</v>
      </c>
      <c r="HO168" s="1515"/>
      <c r="HP168" s="1515"/>
      <c r="HR168" s="1519">
        <f t="shared" ref="HR168:HZ171" si="892">+IFERROR(HF168/HE168-1,"")</f>
        <v>0.7985320412857666</v>
      </c>
      <c r="HS168" s="1519">
        <f t="shared" si="892"/>
        <v>0.24667919769009194</v>
      </c>
      <c r="HT168" s="1519">
        <f t="shared" si="892"/>
        <v>-0.17322774131255114</v>
      </c>
      <c r="HU168" s="1519">
        <f t="shared" si="892"/>
        <v>0.10522399003600302</v>
      </c>
      <c r="HV168" s="1519">
        <f t="shared" si="892"/>
        <v>-3.3040359017753484E-2</v>
      </c>
      <c r="HW168" s="1519">
        <f t="shared" si="892"/>
        <v>8.8265062410007422E-2</v>
      </c>
      <c r="HX168" s="1519">
        <f t="shared" si="892"/>
        <v>-0.2225601033140916</v>
      </c>
      <c r="HY168" s="1519">
        <f t="shared" si="892"/>
        <v>-5.5439577861144951E-2</v>
      </c>
      <c r="HZ168" s="1519">
        <f t="shared" si="892"/>
        <v>0.68305091551122832</v>
      </c>
      <c r="IA168" s="1519">
        <f t="shared" si="868"/>
        <v>-1</v>
      </c>
      <c r="IB168" s="1519" t="str">
        <f>+IFERROR(HP168/HO168-1,"")</f>
        <v/>
      </c>
      <c r="IC168" s="1519">
        <f t="shared" si="869"/>
        <v>-1</v>
      </c>
      <c r="IE168" s="1515">
        <f t="shared" ref="IE168:IH171" si="893">+HF168-HE168</f>
        <v>4247.7379285300012</v>
      </c>
      <c r="IF168" s="1515">
        <f t="shared" si="893"/>
        <v>2360.0221218899987</v>
      </c>
      <c r="IG168" s="1515">
        <f t="shared" si="893"/>
        <v>-2066.1207636399995</v>
      </c>
      <c r="IH168" s="1515">
        <f t="shared" si="893"/>
        <v>1037.6214032199987</v>
      </c>
      <c r="II168" s="1515">
        <f t="shared" ref="II168:II199" si="894">+HJ168-HI168</f>
        <v>-360.09676213000057</v>
      </c>
      <c r="IJ168" s="1515">
        <f t="shared" ref="IJ168:IJ199" si="895">+HK168-HJ168</f>
        <v>930.18994170000042</v>
      </c>
      <c r="IK168" s="1515">
        <f t="shared" ref="IK168:IK199" si="896">+HL168-HK168</f>
        <v>-2552.4944565100013</v>
      </c>
      <c r="IL168" s="1515">
        <f t="shared" si="870"/>
        <v>-8916.292709299998</v>
      </c>
      <c r="IM168" s="1515">
        <f>+HP168-HO168</f>
        <v>0</v>
      </c>
      <c r="IN168" s="1515">
        <f t="shared" si="871"/>
        <v>-8916.292709299998</v>
      </c>
      <c r="IP168" s="986"/>
      <c r="IQ168" s="986"/>
      <c r="IR168" s="986"/>
      <c r="IS168" s="986"/>
      <c r="IT168" s="986"/>
      <c r="IU168" s="986"/>
      <c r="IV168" s="986"/>
      <c r="IW168" s="986"/>
      <c r="IX168" s="986"/>
      <c r="IY168" s="986"/>
      <c r="JA168" s="1515">
        <f t="shared" si="727"/>
        <v>3202.5419650700001</v>
      </c>
      <c r="JB168" s="1515">
        <f t="shared" si="850"/>
        <v>5319.4332962400003</v>
      </c>
      <c r="JC168" s="1515">
        <f t="shared" si="850"/>
        <v>9567.1712247700016</v>
      </c>
      <c r="JD168" s="1515">
        <f t="shared" si="850"/>
        <v>11927.19334666</v>
      </c>
      <c r="JE168" s="1515">
        <f t="shared" si="850"/>
        <v>9861.0725830200008</v>
      </c>
      <c r="JF168" s="1515">
        <f t="shared" si="850"/>
        <v>10898.69398624</v>
      </c>
      <c r="JG168" s="1515">
        <f t="shared" si="850"/>
        <v>10538.597224109999</v>
      </c>
      <c r="JH168" s="1515">
        <f t="shared" si="850"/>
        <v>11468.787165809999</v>
      </c>
      <c r="JI168" s="1515">
        <f t="shared" si="850"/>
        <v>8916.292709299998</v>
      </c>
      <c r="JJ168" s="1515">
        <f t="shared" si="850"/>
        <v>8421.9772054100013</v>
      </c>
      <c r="JK168" s="1515">
        <f t="shared" si="850"/>
        <v>14174.616445979998</v>
      </c>
      <c r="JL168" s="1515">
        <f t="shared" si="728"/>
        <v>14174.616445979998</v>
      </c>
      <c r="JM168" s="1515"/>
      <c r="JN168" s="1515"/>
      <c r="JP168" s="1515">
        <f t="shared" ref="JP168:JP188" si="897">+JN168</f>
        <v>0</v>
      </c>
      <c r="JQ168" s="1515">
        <f t="shared" ref="JQ168:JQ188" si="898">+JM168</f>
        <v>0</v>
      </c>
      <c r="JR168" s="939"/>
      <c r="JS168" s="1519" t="str">
        <f>+IFERROR(JP168/JQ168,"NA")</f>
        <v>NA</v>
      </c>
      <c r="JT168" s="1523">
        <f>+IFERROR(JP168-JQ168,"NA")</f>
        <v>0</v>
      </c>
      <c r="JV168" s="973"/>
      <c r="JW168" s="973"/>
      <c r="JY168" s="1520">
        <f t="shared" ref="JY168:KE168" si="899">+IFERROR(JC168/JB168-1,"NA")</f>
        <v>0.7985320412857666</v>
      </c>
      <c r="JZ168" s="1520">
        <f t="shared" si="899"/>
        <v>0.24667919769009194</v>
      </c>
      <c r="KA168" s="1520">
        <f t="shared" si="899"/>
        <v>-0.17322774131255114</v>
      </c>
      <c r="KB168" s="1520">
        <f t="shared" si="899"/>
        <v>0.10522399003600302</v>
      </c>
      <c r="KC168" s="1520">
        <f t="shared" si="899"/>
        <v>-3.3040359017753484E-2</v>
      </c>
      <c r="KD168" s="1520">
        <f t="shared" si="899"/>
        <v>8.8265062410007422E-2</v>
      </c>
      <c r="KE168" s="1520">
        <f t="shared" si="899"/>
        <v>-0.2225601033140916</v>
      </c>
      <c r="KF168" s="1520">
        <f>+IFERROR(JN168/JI168-1,"NA")</f>
        <v>-1</v>
      </c>
      <c r="KH168" s="1515">
        <f t="shared" ref="KH168:KH188" si="900">+JC168-JB168</f>
        <v>4247.7379285300012</v>
      </c>
      <c r="KI168" s="1515">
        <f t="shared" ref="KI168:KI188" si="901">+JD168-JC168</f>
        <v>2360.0221218899987</v>
      </c>
      <c r="KJ168" s="1515">
        <f t="shared" ref="KJ168:KJ188" si="902">+JE168-JD168</f>
        <v>-2066.1207636399995</v>
      </c>
      <c r="KK168" s="1515">
        <f t="shared" ref="KK168:KK188" si="903">+JF168-JE168</f>
        <v>1037.6214032199987</v>
      </c>
      <c r="KL168" s="1515">
        <f t="shared" ref="KL168:KL188" si="904">+JG168-JF168</f>
        <v>-360.09676213000057</v>
      </c>
      <c r="KM168" s="1515">
        <f t="shared" ref="KM168:KM188" si="905">+JH168-JG168</f>
        <v>930.18994170000042</v>
      </c>
      <c r="KN168" s="1515">
        <f t="shared" ref="KN168:KN188" si="906">+JI168-JH168</f>
        <v>-2552.4944565100013</v>
      </c>
      <c r="KO168" s="1515">
        <f t="shared" ref="KO168:KO188" si="907">+JN168-JI168</f>
        <v>-8916.292709299998</v>
      </c>
      <c r="KQ168" s="986"/>
      <c r="KR168" s="986"/>
      <c r="KS168" s="986"/>
      <c r="KT168" s="986"/>
      <c r="KU168" s="986"/>
      <c r="KV168" s="986"/>
      <c r="KW168" s="986"/>
      <c r="KX168" s="986"/>
      <c r="KY168" s="986"/>
      <c r="KZ168" s="986"/>
      <c r="LB168" s="1515">
        <f t="shared" si="737"/>
        <v>3202.5419650700001</v>
      </c>
      <c r="LC168" s="1515">
        <f t="shared" si="851"/>
        <v>5319.4332962400003</v>
      </c>
      <c r="LD168" s="1515">
        <f t="shared" si="851"/>
        <v>9567.1712247700016</v>
      </c>
      <c r="LE168" s="1515">
        <f t="shared" si="851"/>
        <v>11927.19334666</v>
      </c>
      <c r="LF168" s="1515">
        <f t="shared" si="851"/>
        <v>9861.0725830200008</v>
      </c>
      <c r="LG168" s="1515">
        <f t="shared" si="851"/>
        <v>10898.69398624</v>
      </c>
      <c r="LH168" s="1515">
        <f t="shared" si="851"/>
        <v>10538.597224109999</v>
      </c>
      <c r="LI168" s="1515">
        <f t="shared" si="851"/>
        <v>11468.787165809999</v>
      </c>
      <c r="LJ168" s="1515">
        <f t="shared" si="851"/>
        <v>8916.292709299998</v>
      </c>
      <c r="LK168" s="1515">
        <f t="shared" si="851"/>
        <v>8421.9772054100013</v>
      </c>
      <c r="LL168" s="1515">
        <f t="shared" si="851"/>
        <v>14174.616445979998</v>
      </c>
      <c r="LM168" s="1515">
        <f t="shared" si="851"/>
        <v>14174.616445979998</v>
      </c>
      <c r="LN168" s="1515"/>
      <c r="LO168" s="1515"/>
      <c r="LR168" s="1520">
        <f t="shared" ref="LR168:LR188" si="908">+IFERROR(LD168/LC168-1," ")</f>
        <v>0.7985320412857666</v>
      </c>
      <c r="LS168" s="1520">
        <f t="shared" ref="LS168:LS188" si="909">+IFERROR(LE168/LD168-1," ")</f>
        <v>0.24667919769009194</v>
      </c>
      <c r="LT168" s="1520">
        <f t="shared" ref="LT168:LT188" si="910">+IFERROR(LF168/LE168-1," ")</f>
        <v>-0.17322774131255114</v>
      </c>
      <c r="LU168" s="1520">
        <f t="shared" ref="LU168:LU188" si="911">+IFERROR(LG168/LF168-1," ")</f>
        <v>0.10522399003600302</v>
      </c>
      <c r="LV168" s="1520">
        <f t="shared" ref="LV168:LV188" si="912">+IFERROR(LH168/LG168-1," ")</f>
        <v>-3.3040359017753484E-2</v>
      </c>
      <c r="LW168" s="1520">
        <f t="shared" ref="LW168:LW188" si="913">+IFERROR(LI168/LH168-1," ")</f>
        <v>8.8265062410007422E-2</v>
      </c>
      <c r="LX168" s="1520">
        <f t="shared" si="848"/>
        <v>-1</v>
      </c>
      <c r="LZ168" s="1515">
        <f t="shared" ref="LZ168:LZ188" si="914">+LD168-LC168</f>
        <v>4247.7379285300012</v>
      </c>
      <c r="MA168" s="1515">
        <f t="shared" ref="MA168:MA188" si="915">+LE168-LD168</f>
        <v>2360.0221218899987</v>
      </c>
      <c r="MB168" s="1515">
        <f t="shared" ref="MB168:MB188" si="916">+LF168-LE168</f>
        <v>-2066.1207636399995</v>
      </c>
      <c r="MC168" s="1515">
        <f t="shared" ref="MC168:MC188" si="917">+LG168-LF168</f>
        <v>1037.6214032199987</v>
      </c>
      <c r="MD168" s="1515">
        <f t="shared" ref="MD168:MD188" si="918">+LH168-LG168</f>
        <v>-360.09676213000057</v>
      </c>
      <c r="ME168" s="1515">
        <f t="shared" ref="ME168:ME188" si="919">+LI168-LH168</f>
        <v>930.18994170000042</v>
      </c>
      <c r="MF168" s="1515">
        <f t="shared" si="849"/>
        <v>-11468.787165809999</v>
      </c>
      <c r="MH168" s="986"/>
      <c r="MI168" s="986"/>
      <c r="MJ168" s="986"/>
      <c r="MK168" s="986"/>
      <c r="ML168" s="986"/>
      <c r="MM168" s="986"/>
      <c r="MN168" s="986"/>
      <c r="MO168" s="986"/>
      <c r="MP168" s="986"/>
    </row>
    <row r="169" spans="1:354" outlineLevel="1">
      <c r="A169" s="867"/>
      <c r="B169" s="71"/>
      <c r="C169" s="47" t="s">
        <v>140</v>
      </c>
      <c r="D169" s="923" t="s">
        <v>59</v>
      </c>
      <c r="E169" s="924">
        <v>625.37146294000001</v>
      </c>
      <c r="F169" s="924">
        <v>690.46797734000006</v>
      </c>
      <c r="G169" s="924">
        <v>631.50815316000001</v>
      </c>
      <c r="H169" s="924">
        <v>572.47179884000002</v>
      </c>
      <c r="I169" s="924">
        <v>914.17255710000006</v>
      </c>
      <c r="J169" s="924">
        <v>654.98900787000002</v>
      </c>
      <c r="K169" s="924">
        <v>597.27738599999998</v>
      </c>
      <c r="L169" s="924">
        <v>566.52908471000001</v>
      </c>
      <c r="M169" s="924">
        <v>139.29577646000001</v>
      </c>
      <c r="N169" s="924">
        <v>115.23789112</v>
      </c>
      <c r="O169" s="924">
        <v>86.296822980000002</v>
      </c>
      <c r="P169" s="924">
        <v>57.998131560000004</v>
      </c>
      <c r="Q169" s="924">
        <v>652.89602625999999</v>
      </c>
      <c r="R169" s="924">
        <v>1000.76350726</v>
      </c>
      <c r="S169" s="924">
        <v>951.67090725999992</v>
      </c>
      <c r="T169" s="924">
        <v>1874.8927732599998</v>
      </c>
      <c r="U169" s="924">
        <v>1818.8307774999998</v>
      </c>
      <c r="V169" s="924">
        <v>1772.08634046</v>
      </c>
      <c r="W169" s="924">
        <v>1421.3758053000001</v>
      </c>
      <c r="X169" s="924">
        <v>1068.4944425100002</v>
      </c>
      <c r="Y169" s="924">
        <v>1019.3815107299999</v>
      </c>
      <c r="Z169" s="924">
        <v>954.60379601</v>
      </c>
      <c r="AA169" s="924">
        <v>967.24021183000002</v>
      </c>
      <c r="AB169" s="924">
        <v>915.99257815999999</v>
      </c>
      <c r="AC169" s="924">
        <v>449.85835551000002</v>
      </c>
      <c r="AD169" s="924">
        <v>942.21520134000002</v>
      </c>
      <c r="AE169" s="924">
        <v>885.44172481999999</v>
      </c>
      <c r="AF169" s="924">
        <v>3812.5488008599996</v>
      </c>
      <c r="AG169" s="924">
        <v>3612.58173683</v>
      </c>
      <c r="AH169" s="924">
        <v>3413.1654506100003</v>
      </c>
      <c r="AI169" s="924">
        <v>3222.1560262100002</v>
      </c>
      <c r="AJ169" s="924">
        <v>3556.6218415400003</v>
      </c>
      <c r="AK169" s="924">
        <v>3574.27026467</v>
      </c>
      <c r="AL169" s="924">
        <v>3366.6684340000002</v>
      </c>
      <c r="AM169" s="924">
        <v>6264.6603370000003</v>
      </c>
      <c r="AN169" s="926">
        <v>3641.6666666700003</v>
      </c>
      <c r="AO169" s="926">
        <v>3483.3333333400001</v>
      </c>
      <c r="AP169" s="64">
        <v>6325.1189789499995</v>
      </c>
      <c r="AQ169" s="926">
        <v>6084.6301583699997</v>
      </c>
      <c r="AR169" s="926">
        <v>5842.5614820000001</v>
      </c>
      <c r="AS169" s="926">
        <v>7189.0796323199993</v>
      </c>
      <c r="AT169" s="926">
        <v>8823.3663946499983</v>
      </c>
      <c r="AU169" s="926">
        <v>8556.9025239399998</v>
      </c>
      <c r="AV169" s="926">
        <v>8308.8899187099996</v>
      </c>
      <c r="AW169" s="926">
        <v>8563.2907524300008</v>
      </c>
      <c r="AX169" s="926">
        <v>9325.6178120299992</v>
      </c>
      <c r="AY169" s="926">
        <v>9075.6426159799994</v>
      </c>
      <c r="AZ169" s="102">
        <f>SUM(AZ170:AZ172)</f>
        <v>8835.6429530299993</v>
      </c>
      <c r="BA169" s="102">
        <v>8589.03936694</v>
      </c>
      <c r="BB169" s="102">
        <v>8343.5330227400009</v>
      </c>
      <c r="BC169" s="102">
        <v>8100.3240180299999</v>
      </c>
      <c r="BD169" s="102">
        <v>8100.8976456300006</v>
      </c>
      <c r="BE169" s="102">
        <v>8101.43214403</v>
      </c>
      <c r="BF169" s="102">
        <v>8094.6341960299997</v>
      </c>
      <c r="BG169" s="102">
        <v>8448.6599630300007</v>
      </c>
      <c r="BH169" s="102">
        <v>8447.8807433599995</v>
      </c>
      <c r="BI169" s="102">
        <v>8399.66070941</v>
      </c>
      <c r="BJ169" s="102">
        <v>8398.6501444000005</v>
      </c>
      <c r="BK169" s="102">
        <v>8397.2839945699998</v>
      </c>
      <c r="BL169" s="146">
        <f>SUM(BL170:BL172)</f>
        <v>8412.4622080000008</v>
      </c>
      <c r="BM169" s="102">
        <f t="shared" ref="BM169:DX169" si="920">SUM(BM170:BM172)</f>
        <v>8410.9823093100003</v>
      </c>
      <c r="BN169" s="102">
        <f>SUM(BN170:BN172)</f>
        <v>8406.6893455300014</v>
      </c>
      <c r="BO169" s="102">
        <f t="shared" si="920"/>
        <v>8404.1409445999998</v>
      </c>
      <c r="BP169" s="102">
        <f t="shared" si="920"/>
        <v>8396.8589940900001</v>
      </c>
      <c r="BQ169" s="102">
        <f t="shared" si="920"/>
        <v>8398.2173102199995</v>
      </c>
      <c r="BR169" s="102">
        <f t="shared" si="920"/>
        <v>8405.3429713400001</v>
      </c>
      <c r="BS169" s="102">
        <f t="shared" si="920"/>
        <v>8404.3886456100008</v>
      </c>
      <c r="BT169" s="102">
        <f t="shared" si="920"/>
        <v>8309.0938868800004</v>
      </c>
      <c r="BU169" s="102">
        <f t="shared" si="920"/>
        <v>8309.9036976299994</v>
      </c>
      <c r="BV169" s="102">
        <f t="shared" si="920"/>
        <v>8314.3146146600011</v>
      </c>
      <c r="BW169" s="102">
        <f t="shared" si="920"/>
        <v>8241.4385345499995</v>
      </c>
      <c r="BX169" s="102">
        <f t="shared" si="920"/>
        <v>8246.4127042399996</v>
      </c>
      <c r="BY169" s="102">
        <f t="shared" si="920"/>
        <v>8259.2950338600003</v>
      </c>
      <c r="BZ169" s="102">
        <f t="shared" si="920"/>
        <v>7972.8846495099997</v>
      </c>
      <c r="CA169" s="102">
        <f t="shared" si="920"/>
        <v>7962.8472214600006</v>
      </c>
      <c r="CB169" s="102">
        <f t="shared" si="920"/>
        <v>7972.2926703400008</v>
      </c>
      <c r="CC169" s="102">
        <f t="shared" si="920"/>
        <v>7972.0002371600003</v>
      </c>
      <c r="CD169" s="102">
        <f t="shared" si="920"/>
        <v>7973.83261717</v>
      </c>
      <c r="CE169" s="102">
        <f t="shared" si="920"/>
        <v>7607.9886121700001</v>
      </c>
      <c r="CF169" s="102">
        <f t="shared" si="920"/>
        <v>7064.6279898499997</v>
      </c>
      <c r="CG169" s="102">
        <f t="shared" si="920"/>
        <v>7072.0336711800001</v>
      </c>
      <c r="CH169" s="102">
        <f t="shared" si="920"/>
        <v>7085.8985744900001</v>
      </c>
      <c r="CI169" s="102">
        <f t="shared" si="920"/>
        <v>7089.0472235800007</v>
      </c>
      <c r="CJ169" s="102">
        <f t="shared" si="920"/>
        <v>7056.6752209899996</v>
      </c>
      <c r="CK169" s="102">
        <f t="shared" si="920"/>
        <v>7063.4257703700005</v>
      </c>
      <c r="CL169" s="102">
        <f t="shared" si="920"/>
        <v>7074.0422533700003</v>
      </c>
      <c r="CM169" s="102">
        <f t="shared" si="920"/>
        <v>6781.4091004499996</v>
      </c>
      <c r="CN169" s="102">
        <f t="shared" si="920"/>
        <v>6786.1494083100006</v>
      </c>
      <c r="CO169" s="102">
        <f t="shared" si="920"/>
        <v>6713.6768675900003</v>
      </c>
      <c r="CP169" s="102">
        <f t="shared" si="920"/>
        <v>6736.8630257300001</v>
      </c>
      <c r="CQ169" s="102">
        <f t="shared" si="920"/>
        <v>6742.0085922500002</v>
      </c>
      <c r="CR169" s="102">
        <f t="shared" si="920"/>
        <v>6703.2932490100002</v>
      </c>
      <c r="CS169" s="102">
        <f t="shared" si="920"/>
        <v>6697.97919568</v>
      </c>
      <c r="CT169" s="102">
        <f t="shared" si="920"/>
        <v>6680.3240358499997</v>
      </c>
      <c r="CU169" s="102">
        <f t="shared" si="920"/>
        <v>6631.2279086500002</v>
      </c>
      <c r="CV169" s="102">
        <f t="shared" si="920"/>
        <v>6638.9976559200004</v>
      </c>
      <c r="CW169" s="102">
        <f t="shared" si="920"/>
        <v>6630.9481822899997</v>
      </c>
      <c r="CX169" s="102">
        <f t="shared" si="920"/>
        <v>6588.0250469900002</v>
      </c>
      <c r="CY169" s="102">
        <f t="shared" si="920"/>
        <v>6587.9860389099995</v>
      </c>
      <c r="CZ169" s="102">
        <f t="shared" si="920"/>
        <v>6571.5623665000003</v>
      </c>
      <c r="DA169" s="102">
        <f t="shared" si="920"/>
        <v>6557.2366651299999</v>
      </c>
      <c r="DB169" s="102">
        <f t="shared" si="920"/>
        <v>6559.0973828699998</v>
      </c>
      <c r="DC169" s="102">
        <f t="shared" si="920"/>
        <v>6549.1043284699999</v>
      </c>
      <c r="DD169" s="102">
        <f t="shared" si="920"/>
        <v>6542.6764703999997</v>
      </c>
      <c r="DE169" s="102">
        <f t="shared" si="920"/>
        <v>6542.7424564800003</v>
      </c>
      <c r="DF169" s="102">
        <f t="shared" si="920"/>
        <v>6549.2434122300001</v>
      </c>
      <c r="DG169" s="102">
        <f t="shared" si="920"/>
        <v>6441.7578021600002</v>
      </c>
      <c r="DH169" s="102">
        <f t="shared" si="920"/>
        <v>6442.4520322199996</v>
      </c>
      <c r="DI169" s="102">
        <f t="shared" si="920"/>
        <v>6441.5530903099998</v>
      </c>
      <c r="DJ169" s="102">
        <f t="shared" si="920"/>
        <v>6327.1308750600001</v>
      </c>
      <c r="DK169" s="102">
        <f t="shared" si="920"/>
        <v>6328.8531463600002</v>
      </c>
      <c r="DL169" s="102">
        <f t="shared" si="920"/>
        <v>6323.6843359600007</v>
      </c>
      <c r="DM169" s="102">
        <f t="shared" si="920"/>
        <v>6201.03481646</v>
      </c>
      <c r="DN169" s="102">
        <f t="shared" si="920"/>
        <v>6202.2217352099997</v>
      </c>
      <c r="DO169" s="102">
        <f t="shared" si="920"/>
        <v>6206.4897091599996</v>
      </c>
      <c r="DP169" s="102">
        <f t="shared" si="920"/>
        <v>6105.6421824200006</v>
      </c>
      <c r="DQ169" s="940">
        <f t="shared" si="920"/>
        <v>5736.1459264499999</v>
      </c>
      <c r="DR169" s="940">
        <f t="shared" si="920"/>
        <v>5721.4901048000002</v>
      </c>
      <c r="DS169" s="940">
        <f t="shared" si="920"/>
        <v>5728.1095837399998</v>
      </c>
      <c r="DT169" s="940">
        <f t="shared" si="920"/>
        <v>5713.4003596399998</v>
      </c>
      <c r="DU169" s="940">
        <f t="shared" si="920"/>
        <v>5710.4598066599992</v>
      </c>
      <c r="DV169" s="940">
        <f t="shared" si="920"/>
        <v>5664.64722592</v>
      </c>
      <c r="DW169" s="940">
        <f t="shared" si="920"/>
        <v>5670.4031598900001</v>
      </c>
      <c r="DX169" s="940">
        <f t="shared" si="920"/>
        <v>5669.9269808899999</v>
      </c>
      <c r="DY169" s="940">
        <f t="shared" ref="DY169:EF169" si="921">SUM(DY170:DY172)</f>
        <v>5451.78861968</v>
      </c>
      <c r="DZ169" s="940">
        <f t="shared" si="921"/>
        <v>5462.4338066399996</v>
      </c>
      <c r="EA169" s="940">
        <f t="shared" si="921"/>
        <v>5462.5576249400001</v>
      </c>
      <c r="EB169" s="940">
        <f t="shared" si="921"/>
        <v>5252.8852825499998</v>
      </c>
      <c r="EC169" s="940">
        <f t="shared" si="921"/>
        <v>5303.2226818499994</v>
      </c>
      <c r="ED169" s="940">
        <f t="shared" si="921"/>
        <v>5315.8059139200004</v>
      </c>
      <c r="EE169" s="940">
        <f t="shared" si="921"/>
        <v>5087.5321873900002</v>
      </c>
      <c r="EF169" s="940">
        <f t="shared" si="921"/>
        <v>5074.9655510399998</v>
      </c>
      <c r="EG169" s="77"/>
      <c r="EH169" s="102" t="e">
        <f t="shared" ref="EH169:ES169" si="922">+SUM(EH170:EH171)</f>
        <v>#VALUE!</v>
      </c>
      <c r="EI169" s="102" t="e">
        <f t="shared" si="922"/>
        <v>#VALUE!</v>
      </c>
      <c r="EJ169" s="102" t="e">
        <f t="shared" si="922"/>
        <v>#VALUE!</v>
      </c>
      <c r="EK169" s="102" t="e">
        <f t="shared" si="922"/>
        <v>#VALUE!</v>
      </c>
      <c r="EL169" s="102" t="e">
        <f t="shared" si="922"/>
        <v>#VALUE!</v>
      </c>
      <c r="EM169" s="102" t="e">
        <f t="shared" si="922"/>
        <v>#VALUE!</v>
      </c>
      <c r="EN169" s="102" t="e">
        <f t="shared" si="922"/>
        <v>#VALUE!</v>
      </c>
      <c r="EO169" s="102" t="e">
        <f t="shared" si="922"/>
        <v>#VALUE!</v>
      </c>
      <c r="EP169" s="102" t="e">
        <f t="shared" si="922"/>
        <v>#VALUE!</v>
      </c>
      <c r="EQ169" s="102" t="e">
        <f t="shared" si="922"/>
        <v>#VALUE!</v>
      </c>
      <c r="ER169" s="102" t="e">
        <f t="shared" si="922"/>
        <v>#VALUE!</v>
      </c>
      <c r="ES169" s="102" t="e">
        <f t="shared" si="922"/>
        <v>#VALUE!</v>
      </c>
      <c r="ET169" s="279"/>
      <c r="EU169" s="102">
        <f t="shared" ref="EU169:FZ169" si="923">+SUM(EU170:EU171)</f>
        <v>0</v>
      </c>
      <c r="EV169" s="102">
        <f t="shared" si="923"/>
        <v>0</v>
      </c>
      <c r="EW169" s="102">
        <f t="shared" si="923"/>
        <v>0</v>
      </c>
      <c r="EX169" s="102">
        <f t="shared" si="923"/>
        <v>0</v>
      </c>
      <c r="EY169" s="102">
        <f t="shared" si="923"/>
        <v>0</v>
      </c>
      <c r="EZ169" s="102">
        <f t="shared" si="923"/>
        <v>0</v>
      </c>
      <c r="FA169" s="102">
        <f t="shared" si="923"/>
        <v>0</v>
      </c>
      <c r="FB169" s="102">
        <f t="shared" si="923"/>
        <v>0</v>
      </c>
      <c r="FC169" s="102">
        <f t="shared" si="923"/>
        <v>0</v>
      </c>
      <c r="FD169" s="102">
        <f t="shared" si="923"/>
        <v>0</v>
      </c>
      <c r="FE169" s="102">
        <f t="shared" si="923"/>
        <v>0</v>
      </c>
      <c r="FF169" s="102">
        <f t="shared" si="923"/>
        <v>0</v>
      </c>
      <c r="FG169" s="102">
        <f t="shared" si="923"/>
        <v>1503.5</v>
      </c>
      <c r="FH169" s="102">
        <f t="shared" si="923"/>
        <v>1503.5</v>
      </c>
      <c r="FI169" s="102">
        <f t="shared" si="923"/>
        <v>1503.5</v>
      </c>
      <c r="FJ169" s="102">
        <f t="shared" si="923"/>
        <v>3003.5</v>
      </c>
      <c r="FK169" s="102">
        <f t="shared" si="923"/>
        <v>3003.5</v>
      </c>
      <c r="FL169" s="102">
        <f t="shared" si="923"/>
        <v>3003.5</v>
      </c>
      <c r="FM169" s="102">
        <f t="shared" si="923"/>
        <v>3003.5</v>
      </c>
      <c r="FN169" s="102">
        <f t="shared" si="923"/>
        <v>3003.5</v>
      </c>
      <c r="FO169" s="102">
        <f t="shared" si="923"/>
        <v>3003.5</v>
      </c>
      <c r="FP169" s="102">
        <f t="shared" si="923"/>
        <v>3003.5</v>
      </c>
      <c r="FQ169" s="102">
        <f t="shared" si="923"/>
        <v>3003.5</v>
      </c>
      <c r="FR169" s="102">
        <f t="shared" si="923"/>
        <v>3003.5</v>
      </c>
      <c r="FS169" s="102">
        <f t="shared" si="923"/>
        <v>8411.5148829700011</v>
      </c>
      <c r="FT169" s="102">
        <f t="shared" si="923"/>
        <v>8411.5148829700011</v>
      </c>
      <c r="FU169" s="102">
        <f t="shared" si="923"/>
        <v>8411.5148829700011</v>
      </c>
      <c r="FV169" s="102">
        <f t="shared" si="923"/>
        <v>8411.5148829700011</v>
      </c>
      <c r="FW169" s="102">
        <f t="shared" si="923"/>
        <v>8411.5148829700011</v>
      </c>
      <c r="FX169" s="102">
        <f t="shared" si="923"/>
        <v>8411.5148829700011</v>
      </c>
      <c r="FY169" s="102">
        <f t="shared" si="923"/>
        <v>8411.5148829700011</v>
      </c>
      <c r="FZ169" s="102">
        <f t="shared" si="923"/>
        <v>8281.2074317541192</v>
      </c>
      <c r="GA169" s="102">
        <f t="shared" ref="GA169:HB169" si="924">+SUM(GA170:GA171)</f>
        <v>8150.8999805382382</v>
      </c>
      <c r="GB169" s="102">
        <f t="shared" si="924"/>
        <v>8020.5925293223581</v>
      </c>
      <c r="GC169" s="102">
        <f t="shared" si="924"/>
        <v>7890.2850781064781</v>
      </c>
      <c r="GD169" s="102">
        <f t="shared" si="924"/>
        <v>7759.9776268905962</v>
      </c>
      <c r="GE169" s="102" t="e">
        <f t="shared" si="924"/>
        <v>#VALUE!</v>
      </c>
      <c r="GF169" s="102" t="e">
        <f t="shared" si="924"/>
        <v>#VALUE!</v>
      </c>
      <c r="GG169" s="102" t="e">
        <f t="shared" si="924"/>
        <v>#VALUE!</v>
      </c>
      <c r="GH169" s="102" t="e">
        <f t="shared" si="924"/>
        <v>#VALUE!</v>
      </c>
      <c r="GI169" s="102" t="e">
        <f t="shared" si="924"/>
        <v>#VALUE!</v>
      </c>
      <c r="GJ169" s="102" t="e">
        <f t="shared" si="924"/>
        <v>#VALUE!</v>
      </c>
      <c r="GK169" s="102" t="e">
        <f t="shared" si="924"/>
        <v>#VALUE!</v>
      </c>
      <c r="GL169" s="102" t="e">
        <f t="shared" si="924"/>
        <v>#VALUE!</v>
      </c>
      <c r="GM169" s="102" t="e">
        <f t="shared" si="924"/>
        <v>#VALUE!</v>
      </c>
      <c r="GN169" s="102" t="e">
        <f t="shared" si="924"/>
        <v>#VALUE!</v>
      </c>
      <c r="GO169" s="102" t="e">
        <f t="shared" si="924"/>
        <v>#VALUE!</v>
      </c>
      <c r="GP169" s="102" t="e">
        <f t="shared" si="924"/>
        <v>#VALUE!</v>
      </c>
      <c r="GQ169" s="102" t="e">
        <f t="shared" si="924"/>
        <v>#VALUE!</v>
      </c>
      <c r="GR169" s="102" t="e">
        <f t="shared" si="924"/>
        <v>#VALUE!</v>
      </c>
      <c r="GS169" s="102" t="e">
        <f t="shared" si="924"/>
        <v>#VALUE!</v>
      </c>
      <c r="GT169" s="102" t="e">
        <f t="shared" si="924"/>
        <v>#VALUE!</v>
      </c>
      <c r="GU169" s="102" t="e">
        <f t="shared" si="924"/>
        <v>#VALUE!</v>
      </c>
      <c r="GV169" s="102" t="e">
        <f t="shared" si="924"/>
        <v>#VALUE!</v>
      </c>
      <c r="GW169" s="102" t="e">
        <f t="shared" si="924"/>
        <v>#VALUE!</v>
      </c>
      <c r="GX169" s="102" t="e">
        <f t="shared" si="924"/>
        <v>#VALUE!</v>
      </c>
      <c r="GY169" s="102" t="e">
        <f t="shared" si="924"/>
        <v>#VALUE!</v>
      </c>
      <c r="GZ169" s="102" t="e">
        <f t="shared" si="924"/>
        <v>#VALUE!</v>
      </c>
      <c r="HA169" s="102" t="e">
        <f t="shared" si="924"/>
        <v>#VALUE!</v>
      </c>
      <c r="HB169" s="102" t="e">
        <f t="shared" si="924"/>
        <v>#VALUE!</v>
      </c>
      <c r="HD169" s="924">
        <f t="shared" si="889"/>
        <v>57.998131560000004</v>
      </c>
      <c r="HE169" s="924">
        <f t="shared" si="889"/>
        <v>915.99257815999999</v>
      </c>
      <c r="HF169" s="924">
        <f t="shared" si="889"/>
        <v>3641.6666666700003</v>
      </c>
      <c r="HG169" s="924">
        <f t="shared" si="889"/>
        <v>8835.6429530299993</v>
      </c>
      <c r="HH169" s="924">
        <f t="shared" si="890"/>
        <v>8412.4622080000008</v>
      </c>
      <c r="HI169" s="924">
        <f t="shared" si="891"/>
        <v>8246.4127042399996</v>
      </c>
      <c r="HJ169" s="924">
        <f t="shared" si="846"/>
        <v>7056.6752209899996</v>
      </c>
      <c r="HK169" s="924">
        <f t="shared" si="847"/>
        <v>6638.9976559200004</v>
      </c>
      <c r="HL169" s="960">
        <f>+SUMIFS($E169:SEW169,$E$6:SEW$6,HL$7,$E$5:SEW$5,12)</f>
        <v>6442.4520322199996</v>
      </c>
      <c r="HM169" s="960">
        <f>+SUMIFS($E169:SEX169,$E$6:SEX$6,HM$7,$E$5:SEX$5,12)</f>
        <v>5713.4003596399998</v>
      </c>
      <c r="HN169" s="960">
        <f>+SUMIFS($E169:SEY169,$E$6:SEY$6,HN$7,$E$5:SEY$5,12)</f>
        <v>5074.9655510399998</v>
      </c>
      <c r="HO169" s="924"/>
      <c r="HP169" s="924"/>
      <c r="HR169" s="927">
        <f t="shared" si="892"/>
        <v>2.975650844229762</v>
      </c>
      <c r="HS169" s="927">
        <f t="shared" si="892"/>
        <v>1.4262635111272983</v>
      </c>
      <c r="HT169" s="927">
        <f t="shared" si="892"/>
        <v>-4.789473129229127E-2</v>
      </c>
      <c r="HU169" s="927">
        <f t="shared" si="892"/>
        <v>-1.9738514082368597E-2</v>
      </c>
      <c r="HV169" s="927">
        <f t="shared" si="892"/>
        <v>-0.14427333750083615</v>
      </c>
      <c r="HW169" s="927">
        <f t="shared" si="892"/>
        <v>-5.9189002184431239E-2</v>
      </c>
      <c r="HX169" s="927">
        <f t="shared" si="892"/>
        <v>-2.9604713525503534E-2</v>
      </c>
      <c r="HY169" s="927">
        <f t="shared" si="892"/>
        <v>-0.11316369434089157</v>
      </c>
      <c r="HZ169" s="927">
        <f t="shared" si="892"/>
        <v>-0.11174340469993382</v>
      </c>
      <c r="IA169" s="927">
        <f t="shared" si="868"/>
        <v>-1</v>
      </c>
      <c r="IB169" s="927" t="str">
        <f>+IFERROR(HP169/HO169-1,"")</f>
        <v/>
      </c>
      <c r="IC169" s="927">
        <f t="shared" si="869"/>
        <v>-1</v>
      </c>
      <c r="IE169" s="924">
        <f t="shared" si="893"/>
        <v>2725.6740885100003</v>
      </c>
      <c r="IF169" s="924">
        <f t="shared" si="893"/>
        <v>5193.976286359999</v>
      </c>
      <c r="IG169" s="924">
        <f t="shared" si="893"/>
        <v>-423.18074502999843</v>
      </c>
      <c r="IH169" s="924">
        <f t="shared" si="893"/>
        <v>-166.04950376000124</v>
      </c>
      <c r="II169" s="924">
        <f t="shared" si="894"/>
        <v>-1189.73748325</v>
      </c>
      <c r="IJ169" s="924">
        <f t="shared" si="895"/>
        <v>-417.67756506999922</v>
      </c>
      <c r="IK169" s="924">
        <f t="shared" si="896"/>
        <v>-196.54562370000076</v>
      </c>
      <c r="IL169" s="924">
        <f t="shared" si="870"/>
        <v>-6442.4520322199996</v>
      </c>
      <c r="IM169" s="924">
        <f>+HP169-HO169</f>
        <v>0</v>
      </c>
      <c r="IN169" s="924">
        <f t="shared" si="871"/>
        <v>-6442.4520322199996</v>
      </c>
      <c r="IP169" s="973"/>
      <c r="IQ169" s="973"/>
      <c r="IR169" s="973"/>
      <c r="IS169" s="973"/>
      <c r="IT169" s="973"/>
      <c r="IU169" s="973"/>
      <c r="IV169" s="973"/>
      <c r="IW169" s="973"/>
      <c r="IX169" s="973"/>
      <c r="IY169" s="973"/>
      <c r="JA169" s="924">
        <f t="shared" si="727"/>
        <v>57.998131560000004</v>
      </c>
      <c r="JB169" s="924">
        <f t="shared" si="850"/>
        <v>915.99257815999999</v>
      </c>
      <c r="JC169" s="924">
        <f t="shared" si="850"/>
        <v>3641.6666666700003</v>
      </c>
      <c r="JD169" s="924">
        <f t="shared" si="850"/>
        <v>8835.6429530299993</v>
      </c>
      <c r="JE169" s="924">
        <f t="shared" si="850"/>
        <v>8412.4622080000008</v>
      </c>
      <c r="JF169" s="924">
        <f t="shared" si="850"/>
        <v>8246.4127042399996</v>
      </c>
      <c r="JG169" s="924">
        <f t="shared" si="850"/>
        <v>7056.6752209899996</v>
      </c>
      <c r="JH169" s="924">
        <f t="shared" si="850"/>
        <v>6638.9976559200004</v>
      </c>
      <c r="JI169" s="924">
        <f t="shared" si="850"/>
        <v>6442.4520322199996</v>
      </c>
      <c r="JJ169" s="924">
        <f t="shared" si="850"/>
        <v>5713.4003596399998</v>
      </c>
      <c r="JK169" s="924">
        <f t="shared" si="850"/>
        <v>5074.9655510399998</v>
      </c>
      <c r="JL169" s="924">
        <f t="shared" si="728"/>
        <v>5074.9655510399998</v>
      </c>
      <c r="JM169" s="924"/>
      <c r="JN169" s="924"/>
      <c r="JP169" s="924">
        <f t="shared" si="897"/>
        <v>0</v>
      </c>
      <c r="JQ169" s="924">
        <f t="shared" si="898"/>
        <v>0</v>
      </c>
      <c r="JR169" s="145"/>
      <c r="JS169" s="927" t="str">
        <f>+IFERROR(JP169/JQ169,"NA")</f>
        <v>NA</v>
      </c>
      <c r="JT169" s="928">
        <f>+IFERROR(JP169-JQ169,"NA")</f>
        <v>0</v>
      </c>
      <c r="JV169" s="973"/>
      <c r="JW169" s="973"/>
      <c r="JY169" s="927">
        <f t="shared" ref="JY169:JY188" si="925">+IFERROR(JC169/JB169-1,"")</f>
        <v>2.975650844229762</v>
      </c>
      <c r="JZ169" s="927">
        <f t="shared" ref="JZ169:JZ188" si="926">+IFERROR(JD169/JC169-1,"")</f>
        <v>1.4262635111272983</v>
      </c>
      <c r="KA169" s="927">
        <f t="shared" ref="KA169:KA188" si="927">+IFERROR(JE169/JD169-1,"")</f>
        <v>-4.789473129229127E-2</v>
      </c>
      <c r="KB169" s="927">
        <f t="shared" ref="KB169:KB188" si="928">+IFERROR(JF169/JE169-1,"")</f>
        <v>-1.9738514082368597E-2</v>
      </c>
      <c r="KC169" s="927">
        <f t="shared" ref="KC169:KC188" si="929">+IFERROR(JG169/JF169-1,"")</f>
        <v>-0.14427333750083615</v>
      </c>
      <c r="KD169" s="927">
        <f t="shared" ref="KD169:KD188" si="930">+IFERROR(JH169/JG169-1,"")</f>
        <v>-5.9189002184431239E-2</v>
      </c>
      <c r="KE169" s="927">
        <f t="shared" ref="KE169:KE188" si="931">+IFERROR(JI169/JH169-1,"")</f>
        <v>-2.9604713525503534E-2</v>
      </c>
      <c r="KF169" s="927">
        <f t="shared" ref="KF169:KF188" si="932">+IFERROR(JN169/JI169-1,"")</f>
        <v>-1</v>
      </c>
      <c r="KH169" s="924">
        <f t="shared" si="900"/>
        <v>2725.6740885100003</v>
      </c>
      <c r="KI169" s="924">
        <f t="shared" si="901"/>
        <v>5193.976286359999</v>
      </c>
      <c r="KJ169" s="924">
        <f t="shared" si="902"/>
        <v>-423.18074502999843</v>
      </c>
      <c r="KK169" s="924">
        <f t="shared" si="903"/>
        <v>-166.04950376000124</v>
      </c>
      <c r="KL169" s="924">
        <f t="shared" si="904"/>
        <v>-1189.73748325</v>
      </c>
      <c r="KM169" s="924">
        <f t="shared" si="905"/>
        <v>-417.67756506999922</v>
      </c>
      <c r="KN169" s="924">
        <f t="shared" si="906"/>
        <v>-196.54562370000076</v>
      </c>
      <c r="KO169" s="924">
        <f t="shared" si="907"/>
        <v>-6442.4520322199996</v>
      </c>
      <c r="KQ169" s="973"/>
      <c r="KR169" s="973"/>
      <c r="KS169" s="973"/>
      <c r="KT169" s="973"/>
      <c r="KU169" s="973"/>
      <c r="KV169" s="973"/>
      <c r="KW169" s="973"/>
      <c r="KX169" s="973"/>
      <c r="KY169" s="973"/>
      <c r="KZ169" s="973"/>
      <c r="LB169" s="924">
        <f t="shared" si="737"/>
        <v>57.998131560000004</v>
      </c>
      <c r="LC169" s="924">
        <f t="shared" si="851"/>
        <v>915.99257815999999</v>
      </c>
      <c r="LD169" s="924">
        <f t="shared" si="851"/>
        <v>3641.6666666700003</v>
      </c>
      <c r="LE169" s="924">
        <f t="shared" si="851"/>
        <v>8835.6429530299993</v>
      </c>
      <c r="LF169" s="924">
        <f t="shared" si="851"/>
        <v>8412.4622080000008</v>
      </c>
      <c r="LG169" s="924">
        <f t="shared" si="851"/>
        <v>8246.4127042399996</v>
      </c>
      <c r="LH169" s="924">
        <f t="shared" si="851"/>
        <v>7056.6752209899996</v>
      </c>
      <c r="LI169" s="924">
        <f t="shared" si="851"/>
        <v>6638.9976559200004</v>
      </c>
      <c r="LJ169" s="924">
        <f t="shared" si="851"/>
        <v>6442.4520322199996</v>
      </c>
      <c r="LK169" s="924">
        <f t="shared" si="851"/>
        <v>5713.4003596399998</v>
      </c>
      <c r="LL169" s="924">
        <f t="shared" si="851"/>
        <v>5074.9655510399998</v>
      </c>
      <c r="LM169" s="924">
        <f t="shared" si="851"/>
        <v>5074.9655510399998</v>
      </c>
      <c r="LN169" s="924"/>
      <c r="LO169" s="924"/>
      <c r="LR169" s="76">
        <f t="shared" si="908"/>
        <v>2.975650844229762</v>
      </c>
      <c r="LS169" s="76">
        <f t="shared" si="909"/>
        <v>1.4262635111272983</v>
      </c>
      <c r="LT169" s="76">
        <f t="shared" si="910"/>
        <v>-4.789473129229127E-2</v>
      </c>
      <c r="LU169" s="76">
        <f t="shared" si="911"/>
        <v>-1.9738514082368597E-2</v>
      </c>
      <c r="LV169" s="76">
        <f t="shared" si="912"/>
        <v>-0.14427333750083615</v>
      </c>
      <c r="LW169" s="76">
        <f t="shared" si="913"/>
        <v>-5.9189002184431239E-2</v>
      </c>
      <c r="LX169" s="76">
        <f t="shared" si="848"/>
        <v>-1</v>
      </c>
      <c r="LZ169" s="924">
        <f t="shared" si="914"/>
        <v>2725.6740885100003</v>
      </c>
      <c r="MA169" s="924">
        <f t="shared" si="915"/>
        <v>5193.976286359999</v>
      </c>
      <c r="MB169" s="924">
        <f t="shared" si="916"/>
        <v>-423.18074502999843</v>
      </c>
      <c r="MC169" s="924">
        <f t="shared" si="917"/>
        <v>-166.04950376000124</v>
      </c>
      <c r="MD169" s="924">
        <f t="shared" si="918"/>
        <v>-1189.73748325</v>
      </c>
      <c r="ME169" s="924">
        <f t="shared" si="919"/>
        <v>-417.67756506999922</v>
      </c>
      <c r="MF169" s="924">
        <f t="shared" si="849"/>
        <v>-6638.9976559200004</v>
      </c>
      <c r="MH169" s="973"/>
      <c r="MI169" s="973"/>
      <c r="MJ169" s="973"/>
      <c r="MK169" s="973"/>
      <c r="ML169" s="973"/>
      <c r="MM169" s="973"/>
      <c r="MN169" s="973"/>
      <c r="MO169" s="973"/>
      <c r="MP169" s="973"/>
    </row>
    <row r="170" spans="1:354" outlineLevel="2">
      <c r="A170" s="884">
        <v>2105</v>
      </c>
      <c r="B170" s="70" t="s">
        <v>724</v>
      </c>
      <c r="C170" s="17" t="s">
        <v>725</v>
      </c>
      <c r="D170" s="31" t="s">
        <v>59</v>
      </c>
      <c r="E170" s="102">
        <v>618.85575985000003</v>
      </c>
      <c r="F170" s="102">
        <v>686.08433342000001</v>
      </c>
      <c r="G170" s="102">
        <v>629.29616826999995</v>
      </c>
      <c r="H170" s="102">
        <v>572.47179884000002</v>
      </c>
      <c r="I170" s="102">
        <v>914.17255710000006</v>
      </c>
      <c r="J170" s="102">
        <v>654.98900787000002</v>
      </c>
      <c r="K170" s="102">
        <v>597.27738599999998</v>
      </c>
      <c r="L170" s="102">
        <v>566.52908471000001</v>
      </c>
      <c r="M170" s="102">
        <v>139.29577646000001</v>
      </c>
      <c r="N170" s="102">
        <v>115.23789112</v>
      </c>
      <c r="O170" s="102">
        <v>86.296822980000002</v>
      </c>
      <c r="P170" s="102">
        <v>57.998131560000004</v>
      </c>
      <c r="Q170" s="102">
        <v>28.441068260000002</v>
      </c>
      <c r="R170" s="102">
        <v>392.33622925999998</v>
      </c>
      <c r="S170" s="102">
        <v>359.44516626000001</v>
      </c>
      <c r="T170" s="102">
        <v>1327.1976442599998</v>
      </c>
      <c r="U170" s="102">
        <v>1289.7800814999998</v>
      </c>
      <c r="V170" s="102">
        <v>1261.8387734599999</v>
      </c>
      <c r="W170" s="102">
        <v>930.1318923</v>
      </c>
      <c r="X170" s="102">
        <v>596.38625651000007</v>
      </c>
      <c r="Y170" s="102">
        <v>566.55041372999995</v>
      </c>
      <c r="Z170" s="102">
        <v>521.18222301000003</v>
      </c>
      <c r="AA170" s="102">
        <v>553.37156383000001</v>
      </c>
      <c r="AB170" s="102">
        <v>521.82368315999997</v>
      </c>
      <c r="AC170" s="102">
        <v>75.537676509999997</v>
      </c>
      <c r="AD170" s="102">
        <v>587.89485234000006</v>
      </c>
      <c r="AE170" s="102">
        <v>551.27484582</v>
      </c>
      <c r="AF170" s="102">
        <v>3498.7051898599998</v>
      </c>
      <c r="AG170" s="102">
        <v>3320.62875583</v>
      </c>
      <c r="AH170" s="102">
        <v>3137.2534376100002</v>
      </c>
      <c r="AI170" s="102">
        <v>2962.46439121</v>
      </c>
      <c r="AJ170" s="102">
        <v>2810.7562145400002</v>
      </c>
      <c r="AK170" s="102">
        <v>2869.6338776699999</v>
      </c>
      <c r="AL170" s="102">
        <v>2691.08529</v>
      </c>
      <c r="AM170" s="102">
        <v>6175</v>
      </c>
      <c r="AN170" s="102">
        <v>3641.6666666700003</v>
      </c>
      <c r="AO170" s="102">
        <v>3483.3333333400001</v>
      </c>
      <c r="AP170" s="145">
        <v>6325.1189789499995</v>
      </c>
      <c r="AQ170" s="220">
        <v>6084.6301583699997</v>
      </c>
      <c r="AR170" s="220">
        <v>5842.5614820000001</v>
      </c>
      <c r="AS170" s="102">
        <v>7102.1375443199995</v>
      </c>
      <c r="AT170" s="102">
        <v>5360.6186166499992</v>
      </c>
      <c r="AU170" s="102">
        <v>5124.3382079399998</v>
      </c>
      <c r="AV170" s="102">
        <v>4878.5372337099998</v>
      </c>
      <c r="AW170" s="102">
        <v>5135.1554864300006</v>
      </c>
      <c r="AX170" s="102">
        <v>5899.7230720299995</v>
      </c>
      <c r="AY170" s="102">
        <v>5652.0005139799996</v>
      </c>
      <c r="AZ170" s="102">
        <v>5414.2594560299995</v>
      </c>
      <c r="BA170" s="102">
        <v>5169.9463799399991</v>
      </c>
      <c r="BB170" s="102">
        <v>4926.7197407399999</v>
      </c>
      <c r="BC170" s="102">
        <v>4685.8078580299998</v>
      </c>
      <c r="BD170" s="102">
        <v>4688.70084563</v>
      </c>
      <c r="BE170" s="102">
        <v>4691.5481920299999</v>
      </c>
      <c r="BF170" s="102">
        <v>4687.06309203</v>
      </c>
      <c r="BG170" s="102">
        <v>4683.4410260300001</v>
      </c>
      <c r="BH170" s="102">
        <v>4685.0225593599998</v>
      </c>
      <c r="BI170" s="102">
        <v>4689.6436448500008</v>
      </c>
      <c r="BJ170" s="102">
        <v>4688.6330798400004</v>
      </c>
      <c r="BK170" s="102">
        <v>4687.2669300100006</v>
      </c>
      <c r="BL170" s="102">
        <v>4702.4451434399998</v>
      </c>
      <c r="BM170" s="102">
        <v>4700.9652447500002</v>
      </c>
      <c r="BN170" s="102">
        <v>4696.6722809700004</v>
      </c>
      <c r="BO170" s="102">
        <v>4694.1238800399997</v>
      </c>
      <c r="BP170" s="102">
        <v>4686.84192953</v>
      </c>
      <c r="BQ170" s="102">
        <v>4688.2002456600003</v>
      </c>
      <c r="BR170" s="102">
        <v>4695.32590678</v>
      </c>
      <c r="BS170" s="102">
        <v>4694.3715810499998</v>
      </c>
      <c r="BT170" s="102">
        <v>4599.0768223199993</v>
      </c>
      <c r="BU170" s="102">
        <v>4599.8866330699993</v>
      </c>
      <c r="BV170" s="102">
        <v>4601.1843601</v>
      </c>
      <c r="BW170" s="102">
        <v>4531.4214699899994</v>
      </c>
      <c r="BX170" s="102">
        <v>4536.3956396800004</v>
      </c>
      <c r="BY170" s="102">
        <v>4549.2779693000002</v>
      </c>
      <c r="BZ170" s="102">
        <v>4262.8675849499996</v>
      </c>
      <c r="CA170" s="102">
        <v>4252.8301569000005</v>
      </c>
      <c r="CB170" s="102">
        <v>4262.2756057800007</v>
      </c>
      <c r="CC170" s="102">
        <v>4261.9831726000002</v>
      </c>
      <c r="CD170" s="102">
        <v>4263.8155526099999</v>
      </c>
      <c r="CE170" s="102">
        <v>4257.97154761</v>
      </c>
      <c r="CF170" s="102">
        <v>3714.6109252900001</v>
      </c>
      <c r="CG170" s="102">
        <v>3722.0166066199999</v>
      </c>
      <c r="CH170" s="102">
        <v>3735.88150993</v>
      </c>
      <c r="CI170" s="102">
        <v>3739.0301590200002</v>
      </c>
      <c r="CJ170" s="102">
        <v>3706.6752209899996</v>
      </c>
      <c r="CK170" s="102">
        <v>3713.42577037</v>
      </c>
      <c r="CL170" s="102">
        <v>3724.0422533699998</v>
      </c>
      <c r="CM170" s="102">
        <v>3431.4091004499996</v>
      </c>
      <c r="CN170" s="102">
        <v>3436.1494083100001</v>
      </c>
      <c r="CO170" s="102">
        <v>3363.6768675900003</v>
      </c>
      <c r="CP170" s="102">
        <v>3386.8630257300001</v>
      </c>
      <c r="CQ170" s="102">
        <v>3392.0085922500002</v>
      </c>
      <c r="CR170" s="102">
        <v>3353.2932490100002</v>
      </c>
      <c r="CS170" s="102">
        <v>3347.97919568</v>
      </c>
      <c r="CT170" s="102">
        <v>3330.3240358499997</v>
      </c>
      <c r="CU170" s="102">
        <v>3281.2279086500002</v>
      </c>
      <c r="CV170" s="102">
        <v>3288.9976559199999</v>
      </c>
      <c r="CW170" s="102">
        <v>3280.9481822899997</v>
      </c>
      <c r="CX170" s="102">
        <v>3238.0250469899997</v>
      </c>
      <c r="CY170" s="102">
        <v>3237.9860389099999</v>
      </c>
      <c r="CZ170" s="102">
        <v>3221.5623664999998</v>
      </c>
      <c r="DA170" s="102">
        <v>3207.2366651299999</v>
      </c>
      <c r="DB170" s="102">
        <v>3209.0973828699998</v>
      </c>
      <c r="DC170" s="102">
        <v>3199.1043284699999</v>
      </c>
      <c r="DD170" s="102">
        <v>3192.6764704000002</v>
      </c>
      <c r="DE170" s="102">
        <v>3192.7424564799999</v>
      </c>
      <c r="DF170" s="102">
        <v>3199.2434122300001</v>
      </c>
      <c r="DG170" s="102">
        <v>3091.7578021599998</v>
      </c>
      <c r="DH170" s="102">
        <v>3092.4520322199996</v>
      </c>
      <c r="DI170" s="102">
        <v>3091.5530903099998</v>
      </c>
      <c r="DJ170" s="102">
        <v>2977.1308750600001</v>
      </c>
      <c r="DK170" s="102">
        <v>2978.8531463600002</v>
      </c>
      <c r="DL170" s="102">
        <v>2973.6843359600002</v>
      </c>
      <c r="DM170" s="102">
        <v>2851.03481646</v>
      </c>
      <c r="DN170" s="102">
        <v>2852.2217352100001</v>
      </c>
      <c r="DO170" s="102">
        <v>2856.4897091599996</v>
      </c>
      <c r="DP170" s="102">
        <v>2755.6421824200002</v>
      </c>
      <c r="DQ170" s="940">
        <v>2386.1459264499999</v>
      </c>
      <c r="DR170" s="940">
        <v>2371.4901048000002</v>
      </c>
      <c r="DS170" s="940">
        <v>2378.1095837399998</v>
      </c>
      <c r="DT170" s="940">
        <v>2363.4003596399998</v>
      </c>
      <c r="DU170" s="940">
        <v>2360.4598066599997</v>
      </c>
      <c r="DV170" s="940">
        <v>2314.64722592</v>
      </c>
      <c r="DW170" s="940">
        <v>2320.4031598899996</v>
      </c>
      <c r="DX170" s="940">
        <v>2319.9269808899999</v>
      </c>
      <c r="DY170" s="940">
        <v>2101.78861968</v>
      </c>
      <c r="DZ170" s="940">
        <v>2112.4338066400001</v>
      </c>
      <c r="EA170" s="940">
        <v>2112.5576249400001</v>
      </c>
      <c r="EB170" s="940">
        <v>1902.8852825500001</v>
      </c>
      <c r="EC170" s="940">
        <v>1909.3875428499998</v>
      </c>
      <c r="ED170" s="940">
        <v>1921.29414892</v>
      </c>
      <c r="EE170" s="940">
        <v>1691.6360713900001</v>
      </c>
      <c r="EF170" s="940">
        <v>1675.58385804</v>
      </c>
      <c r="EG170" s="77"/>
      <c r="EH170" s="102" t="e">
        <v>#VALUE!</v>
      </c>
      <c r="EI170" s="102" t="e">
        <v>#VALUE!</v>
      </c>
      <c r="EJ170" s="102" t="e">
        <v>#VALUE!</v>
      </c>
      <c r="EK170" s="102" t="e">
        <v>#VALUE!</v>
      </c>
      <c r="EL170" s="102" t="e">
        <v>#VALUE!</v>
      </c>
      <c r="EM170" s="102" t="e">
        <v>#VALUE!</v>
      </c>
      <c r="EN170" s="102" t="e">
        <v>#VALUE!</v>
      </c>
      <c r="EO170" s="102" t="e">
        <v>#VALUE!</v>
      </c>
      <c r="EP170" s="102" t="e">
        <v>#VALUE!</v>
      </c>
      <c r="EQ170" s="102" t="e">
        <v>#VALUE!</v>
      </c>
      <c r="ER170" s="102" t="e">
        <v>#VALUE!</v>
      </c>
      <c r="ES170" s="102" t="e">
        <v>#VALUE!</v>
      </c>
      <c r="EU170" s="102">
        <v>0</v>
      </c>
      <c r="EV170" s="102">
        <v>0</v>
      </c>
      <c r="EW170" s="102">
        <v>0</v>
      </c>
      <c r="EX170" s="102">
        <v>0</v>
      </c>
      <c r="EY170" s="102">
        <v>0</v>
      </c>
      <c r="EZ170" s="102">
        <v>0</v>
      </c>
      <c r="FA170" s="102">
        <v>0</v>
      </c>
      <c r="FB170" s="102">
        <v>0</v>
      </c>
      <c r="FC170" s="102">
        <v>0</v>
      </c>
      <c r="FD170" s="102">
        <v>0</v>
      </c>
      <c r="FE170" s="102">
        <v>0</v>
      </c>
      <c r="FF170" s="102">
        <v>0</v>
      </c>
      <c r="FG170" s="102">
        <v>1503.5</v>
      </c>
      <c r="FH170" s="102">
        <v>1503.5</v>
      </c>
      <c r="FI170" s="102">
        <v>1503.5</v>
      </c>
      <c r="FJ170" s="102">
        <v>3003.5</v>
      </c>
      <c r="FK170" s="102">
        <v>3003.5</v>
      </c>
      <c r="FL170" s="102">
        <v>3003.5</v>
      </c>
      <c r="FM170" s="102">
        <v>3003.5</v>
      </c>
      <c r="FN170" s="102">
        <v>3003.5</v>
      </c>
      <c r="FO170" s="102">
        <v>3003.5</v>
      </c>
      <c r="FP170" s="102">
        <v>3003.5</v>
      </c>
      <c r="FQ170" s="102">
        <v>3003.5</v>
      </c>
      <c r="FR170" s="102">
        <v>3003.5</v>
      </c>
      <c r="FS170" s="102">
        <v>8411.5148829700011</v>
      </c>
      <c r="FT170" s="102">
        <v>8411.5148829700011</v>
      </c>
      <c r="FU170" s="102">
        <v>8411.5148829700011</v>
      </c>
      <c r="FV170" s="102">
        <v>8411.5148829700011</v>
      </c>
      <c r="FW170" s="102">
        <v>8411.5148829700011</v>
      </c>
      <c r="FX170" s="102">
        <v>8411.5148829700011</v>
      </c>
      <c r="FY170" s="102">
        <v>8411.5148829700011</v>
      </c>
      <c r="FZ170" s="102">
        <v>8281.2074317541192</v>
      </c>
      <c r="GA170" s="102">
        <v>8150.8999805382382</v>
      </c>
      <c r="GB170" s="102">
        <v>8020.5925293223581</v>
      </c>
      <c r="GC170" s="102">
        <v>7890.2850781064781</v>
      </c>
      <c r="GD170" s="102">
        <v>7759.9776268905962</v>
      </c>
      <c r="GE170" s="102" t="e">
        <v>#VALUE!</v>
      </c>
      <c r="GF170" s="102" t="e">
        <v>#VALUE!</v>
      </c>
      <c r="GG170" s="102" t="e">
        <v>#VALUE!</v>
      </c>
      <c r="GH170" s="102" t="e">
        <v>#VALUE!</v>
      </c>
      <c r="GI170" s="102" t="e">
        <v>#VALUE!</v>
      </c>
      <c r="GJ170" s="102" t="e">
        <v>#VALUE!</v>
      </c>
      <c r="GK170" s="102" t="e">
        <v>#VALUE!</v>
      </c>
      <c r="GL170" s="102" t="e">
        <v>#VALUE!</v>
      </c>
      <c r="GM170" s="102" t="e">
        <v>#VALUE!</v>
      </c>
      <c r="GN170" s="102" t="e">
        <v>#VALUE!</v>
      </c>
      <c r="GO170" s="102" t="e">
        <v>#VALUE!</v>
      </c>
      <c r="GP170" s="102" t="e">
        <v>#VALUE!</v>
      </c>
      <c r="GQ170" s="102" t="e">
        <v>#VALUE!</v>
      </c>
      <c r="GR170" s="102" t="e">
        <v>#VALUE!</v>
      </c>
      <c r="GS170" s="102" t="e">
        <v>#VALUE!</v>
      </c>
      <c r="GT170" s="102" t="e">
        <v>#VALUE!</v>
      </c>
      <c r="GU170" s="102" t="e">
        <v>#VALUE!</v>
      </c>
      <c r="GV170" s="102" t="e">
        <v>#VALUE!</v>
      </c>
      <c r="GW170" s="102" t="e">
        <v>#VALUE!</v>
      </c>
      <c r="GX170" s="102" t="e">
        <v>#VALUE!</v>
      </c>
      <c r="GY170" s="102" t="e">
        <v>#VALUE!</v>
      </c>
      <c r="GZ170" s="102" t="e">
        <v>#VALUE!</v>
      </c>
      <c r="HA170" s="102" t="e">
        <v>#VALUE!</v>
      </c>
      <c r="HB170" s="102" t="e">
        <v>#VALUE!</v>
      </c>
      <c r="HD170" s="102">
        <f t="shared" si="889"/>
        <v>57.998131560000004</v>
      </c>
      <c r="HE170" s="102">
        <f t="shared" si="889"/>
        <v>521.82368315999997</v>
      </c>
      <c r="HF170" s="102">
        <f t="shared" si="889"/>
        <v>3641.6666666700003</v>
      </c>
      <c r="HG170" s="102">
        <f t="shared" si="889"/>
        <v>5414.2594560299995</v>
      </c>
      <c r="HH170" s="102">
        <f t="shared" si="890"/>
        <v>4702.4451434399998</v>
      </c>
      <c r="HI170" s="102">
        <f t="shared" si="891"/>
        <v>4536.3956396800004</v>
      </c>
      <c r="HJ170" s="102">
        <f t="shared" si="846"/>
        <v>3706.6752209899996</v>
      </c>
      <c r="HK170" s="102">
        <f t="shared" si="847"/>
        <v>3288.9976559199999</v>
      </c>
      <c r="HL170" s="940">
        <f>+SUMIFS($E170:SEW170,$E$6:SEW$6,HL$7,$E$5:SEW$5,12)</f>
        <v>3092.4520322199996</v>
      </c>
      <c r="HM170" s="940">
        <f>+SUMIFS($E170:SEX170,$E$6:SEX$6,HM$7,$E$5:SEX$5,12)</f>
        <v>2363.4003596399998</v>
      </c>
      <c r="HN170" s="940">
        <f>+SUMIFS($E170:SEY170,$E$6:SEY$6,HN$7,$E$5:SEY$5,12)</f>
        <v>1675.58385804</v>
      </c>
      <c r="HO170" s="102"/>
      <c r="HP170" s="102"/>
      <c r="HR170" s="929">
        <f t="shared" si="892"/>
        <v>5.9787301423676542</v>
      </c>
      <c r="HS170" s="929">
        <f t="shared" si="892"/>
        <v>0.48675316870252905</v>
      </c>
      <c r="HT170" s="929">
        <f t="shared" si="892"/>
        <v>-0.13147029956187894</v>
      </c>
      <c r="HU170" s="929">
        <f t="shared" si="892"/>
        <v>-3.531131117853481E-2</v>
      </c>
      <c r="HV170" s="929">
        <f t="shared" si="892"/>
        <v>-0.18290301036188494</v>
      </c>
      <c r="HW170" s="929">
        <f t="shared" si="892"/>
        <v>-0.11268253628070601</v>
      </c>
      <c r="HX170" s="929">
        <f t="shared" si="892"/>
        <v>-5.9758517415246515E-2</v>
      </c>
      <c r="HY170" s="929">
        <f t="shared" si="892"/>
        <v>-0.23575197447982099</v>
      </c>
      <c r="HZ170" s="929">
        <f t="shared" si="892"/>
        <v>-0.2910283476917005</v>
      </c>
      <c r="IA170" s="929">
        <f t="shared" si="868"/>
        <v>-1</v>
      </c>
      <c r="IB170" s="929" t="str">
        <f>+IFERROR(HP170/HO170-1,"")</f>
        <v/>
      </c>
      <c r="IC170" s="929">
        <f t="shared" si="869"/>
        <v>-1</v>
      </c>
      <c r="IE170" s="102">
        <f t="shared" si="893"/>
        <v>3119.8429835100005</v>
      </c>
      <c r="IF170" s="102">
        <f t="shared" si="893"/>
        <v>1772.5927893599992</v>
      </c>
      <c r="IG170" s="102">
        <f t="shared" si="893"/>
        <v>-711.81431258999964</v>
      </c>
      <c r="IH170" s="102">
        <f t="shared" si="893"/>
        <v>-166.04950375999942</v>
      </c>
      <c r="II170" s="102">
        <f t="shared" si="894"/>
        <v>-829.72041869000077</v>
      </c>
      <c r="IJ170" s="102">
        <f t="shared" si="895"/>
        <v>-417.67756506999967</v>
      </c>
      <c r="IK170" s="102">
        <f t="shared" si="896"/>
        <v>-196.54562370000031</v>
      </c>
      <c r="IL170" s="102">
        <f t="shared" si="870"/>
        <v>-3092.4520322199996</v>
      </c>
      <c r="IM170" s="102">
        <f>+HP170-HO170</f>
        <v>0</v>
      </c>
      <c r="IN170" s="102">
        <f t="shared" si="871"/>
        <v>-3092.4520322199996</v>
      </c>
      <c r="IP170" s="973"/>
      <c r="IQ170" s="973"/>
      <c r="IR170" s="973"/>
      <c r="IS170" s="973"/>
      <c r="IT170" s="973"/>
      <c r="IU170" s="973"/>
      <c r="IV170" s="973"/>
      <c r="IW170" s="973"/>
      <c r="IX170" s="973"/>
      <c r="IY170" s="973"/>
      <c r="JA170" s="102">
        <f t="shared" si="727"/>
        <v>57.998131560000004</v>
      </c>
      <c r="JB170" s="102">
        <f t="shared" ref="JB170:JK181" si="933">+IFERROR(SUMIFS($E170:$EG170,$E$6:$EG$6,JB$7,$E$5:$EG$5,$JC$5),"NA")</f>
        <v>521.82368315999997</v>
      </c>
      <c r="JC170" s="102">
        <f t="shared" si="933"/>
        <v>3641.6666666700003</v>
      </c>
      <c r="JD170" s="102">
        <f t="shared" si="933"/>
        <v>5414.2594560299995</v>
      </c>
      <c r="JE170" s="102">
        <f t="shared" si="933"/>
        <v>4702.4451434399998</v>
      </c>
      <c r="JF170" s="102">
        <f t="shared" si="933"/>
        <v>4536.3956396800004</v>
      </c>
      <c r="JG170" s="102">
        <f t="shared" si="933"/>
        <v>3706.6752209899996</v>
      </c>
      <c r="JH170" s="102">
        <f t="shared" si="933"/>
        <v>3288.9976559199999</v>
      </c>
      <c r="JI170" s="102">
        <f t="shared" si="933"/>
        <v>3092.4520322199996</v>
      </c>
      <c r="JJ170" s="102">
        <f t="shared" si="933"/>
        <v>2363.4003596399998</v>
      </c>
      <c r="JK170" s="102">
        <f t="shared" si="933"/>
        <v>1675.58385804</v>
      </c>
      <c r="JL170" s="102">
        <f t="shared" si="728"/>
        <v>1675.58385804</v>
      </c>
      <c r="JM170" s="102"/>
      <c r="JN170" s="102"/>
      <c r="JP170" s="102">
        <f t="shared" si="897"/>
        <v>0</v>
      </c>
      <c r="JQ170" s="102">
        <f t="shared" si="898"/>
        <v>0</v>
      </c>
      <c r="JR170" s="145"/>
      <c r="JS170" s="929" t="str">
        <f>+IFERROR(JP170/JQ170,"NA")</f>
        <v>NA</v>
      </c>
      <c r="JT170" s="930">
        <f>+IFERROR(JP170-JQ170,"NA")</f>
        <v>0</v>
      </c>
      <c r="JV170" s="973"/>
      <c r="JW170" s="973"/>
      <c r="JY170" s="929">
        <f t="shared" si="925"/>
        <v>5.9787301423676542</v>
      </c>
      <c r="JZ170" s="929">
        <f t="shared" si="926"/>
        <v>0.48675316870252905</v>
      </c>
      <c r="KA170" s="929">
        <f t="shared" si="927"/>
        <v>-0.13147029956187894</v>
      </c>
      <c r="KB170" s="929">
        <f t="shared" si="928"/>
        <v>-3.531131117853481E-2</v>
      </c>
      <c r="KC170" s="929">
        <f t="shared" si="929"/>
        <v>-0.18290301036188494</v>
      </c>
      <c r="KD170" s="929">
        <f t="shared" si="930"/>
        <v>-0.11268253628070601</v>
      </c>
      <c r="KE170" s="929">
        <f t="shared" si="931"/>
        <v>-5.9758517415246515E-2</v>
      </c>
      <c r="KF170" s="929">
        <f t="shared" si="932"/>
        <v>-1</v>
      </c>
      <c r="KH170" s="102">
        <f t="shared" si="900"/>
        <v>3119.8429835100005</v>
      </c>
      <c r="KI170" s="102">
        <f t="shared" si="901"/>
        <v>1772.5927893599992</v>
      </c>
      <c r="KJ170" s="102">
        <f t="shared" si="902"/>
        <v>-711.81431258999964</v>
      </c>
      <c r="KK170" s="102">
        <f t="shared" si="903"/>
        <v>-166.04950375999942</v>
      </c>
      <c r="KL170" s="102">
        <f t="shared" si="904"/>
        <v>-829.72041869000077</v>
      </c>
      <c r="KM170" s="102">
        <f t="shared" si="905"/>
        <v>-417.67756506999967</v>
      </c>
      <c r="KN170" s="102">
        <f t="shared" si="906"/>
        <v>-196.54562370000031</v>
      </c>
      <c r="KO170" s="102">
        <f t="shared" si="907"/>
        <v>-3092.4520322199996</v>
      </c>
      <c r="KQ170" s="973"/>
      <c r="KR170" s="973"/>
      <c r="KS170" s="973"/>
      <c r="KT170" s="973"/>
      <c r="KU170" s="973"/>
      <c r="KV170" s="973"/>
      <c r="KW170" s="973"/>
      <c r="KX170" s="973"/>
      <c r="KY170" s="973"/>
      <c r="KZ170" s="973"/>
      <c r="LB170" s="102">
        <f t="shared" si="737"/>
        <v>57.998131560000004</v>
      </c>
      <c r="LC170" s="102">
        <f t="shared" ref="LC170:LM181" si="934">+SUMIFS($E170:$EG170,$E$6:$EG$6,LC$7,$E$5:$EG$5,$LD$5)</f>
        <v>521.82368315999997</v>
      </c>
      <c r="LD170" s="102">
        <f t="shared" si="934"/>
        <v>3641.6666666700003</v>
      </c>
      <c r="LE170" s="102">
        <f t="shared" si="934"/>
        <v>5414.2594560299995</v>
      </c>
      <c r="LF170" s="102">
        <f t="shared" si="934"/>
        <v>4702.4451434399998</v>
      </c>
      <c r="LG170" s="102">
        <f t="shared" si="934"/>
        <v>4536.3956396800004</v>
      </c>
      <c r="LH170" s="102">
        <f t="shared" si="934"/>
        <v>3706.6752209899996</v>
      </c>
      <c r="LI170" s="102">
        <f t="shared" si="934"/>
        <v>3288.9976559199999</v>
      </c>
      <c r="LJ170" s="102">
        <f t="shared" si="934"/>
        <v>3092.4520322199996</v>
      </c>
      <c r="LK170" s="102">
        <f t="shared" si="934"/>
        <v>2363.4003596399998</v>
      </c>
      <c r="LL170" s="102">
        <f t="shared" si="934"/>
        <v>1675.58385804</v>
      </c>
      <c r="LM170" s="102">
        <f t="shared" si="934"/>
        <v>1675.58385804</v>
      </c>
      <c r="LN170" s="102"/>
      <c r="LO170" s="102"/>
      <c r="LR170" s="32">
        <f t="shared" si="908"/>
        <v>5.9787301423676542</v>
      </c>
      <c r="LS170" s="32">
        <f t="shared" si="909"/>
        <v>0.48675316870252905</v>
      </c>
      <c r="LT170" s="32">
        <f t="shared" si="910"/>
        <v>-0.13147029956187894</v>
      </c>
      <c r="LU170" s="32">
        <f t="shared" si="911"/>
        <v>-3.531131117853481E-2</v>
      </c>
      <c r="LV170" s="32">
        <f t="shared" si="912"/>
        <v>-0.18290301036188494</v>
      </c>
      <c r="LW170" s="32">
        <f t="shared" si="913"/>
        <v>-0.11268253628070601</v>
      </c>
      <c r="LX170" s="32">
        <f t="shared" si="848"/>
        <v>-1</v>
      </c>
      <c r="LZ170" s="102">
        <f t="shared" si="914"/>
        <v>3119.8429835100005</v>
      </c>
      <c r="MA170" s="102">
        <f t="shared" si="915"/>
        <v>1772.5927893599992</v>
      </c>
      <c r="MB170" s="102">
        <f t="shared" si="916"/>
        <v>-711.81431258999964</v>
      </c>
      <c r="MC170" s="102">
        <f t="shared" si="917"/>
        <v>-166.04950375999942</v>
      </c>
      <c r="MD170" s="102">
        <f t="shared" si="918"/>
        <v>-829.72041869000077</v>
      </c>
      <c r="ME170" s="102">
        <f t="shared" si="919"/>
        <v>-417.67756506999967</v>
      </c>
      <c r="MF170" s="102">
        <f t="shared" si="849"/>
        <v>-3288.9976559199999</v>
      </c>
      <c r="MH170" s="973"/>
      <c r="MI170" s="973"/>
      <c r="MJ170" s="973"/>
      <c r="MK170" s="973"/>
      <c r="ML170" s="973"/>
      <c r="MM170" s="973"/>
      <c r="MN170" s="973"/>
      <c r="MO170" s="973"/>
      <c r="MP170" s="973"/>
    </row>
    <row r="171" spans="1:354" outlineLevel="2">
      <c r="A171" s="884">
        <v>2120</v>
      </c>
      <c r="B171" s="70" t="s">
        <v>726</v>
      </c>
      <c r="C171" s="17" t="s">
        <v>727</v>
      </c>
      <c r="D171" s="31" t="s">
        <v>59</v>
      </c>
      <c r="E171" s="102">
        <v>6.5157030899999997</v>
      </c>
      <c r="F171" s="102">
        <v>4.3836439199999999</v>
      </c>
      <c r="G171" s="102">
        <v>2.2119848900000001</v>
      </c>
      <c r="H171" s="102">
        <v>0</v>
      </c>
      <c r="I171" s="102">
        <v>0</v>
      </c>
      <c r="J171" s="102">
        <v>0</v>
      </c>
      <c r="K171" s="102">
        <v>0</v>
      </c>
      <c r="L171" s="102">
        <v>0</v>
      </c>
      <c r="M171" s="102">
        <v>0</v>
      </c>
      <c r="N171" s="102">
        <v>0</v>
      </c>
      <c r="O171" s="102">
        <v>0</v>
      </c>
      <c r="P171" s="102">
        <v>0</v>
      </c>
      <c r="Q171" s="102">
        <v>624.45495800000003</v>
      </c>
      <c r="R171" s="102">
        <v>608.427278</v>
      </c>
      <c r="S171" s="102">
        <v>592.22574099999997</v>
      </c>
      <c r="T171" s="102">
        <v>547.69512899999995</v>
      </c>
      <c r="U171" s="102">
        <v>529.05069600000002</v>
      </c>
      <c r="V171" s="102">
        <v>510.247567</v>
      </c>
      <c r="W171" s="102">
        <v>491.24391300000002</v>
      </c>
      <c r="X171" s="102">
        <v>472.10818600000005</v>
      </c>
      <c r="Y171" s="102">
        <v>452.831097</v>
      </c>
      <c r="Z171" s="102">
        <v>433.42157299999997</v>
      </c>
      <c r="AA171" s="102">
        <v>413.86864800000001</v>
      </c>
      <c r="AB171" s="102">
        <v>394.16889500000002</v>
      </c>
      <c r="AC171" s="102">
        <v>374.32067900000004</v>
      </c>
      <c r="AD171" s="102">
        <v>354.32034899999996</v>
      </c>
      <c r="AE171" s="102">
        <v>334.16687899999999</v>
      </c>
      <c r="AF171" s="102">
        <v>313.84361100000001</v>
      </c>
      <c r="AG171" s="102">
        <v>291.95298100000002</v>
      </c>
      <c r="AH171" s="102">
        <v>275.912013</v>
      </c>
      <c r="AI171" s="102">
        <v>259.69163500000002</v>
      </c>
      <c r="AJ171" s="102">
        <v>745.86562700000002</v>
      </c>
      <c r="AK171" s="102">
        <v>704.63638700000001</v>
      </c>
      <c r="AL171" s="102">
        <v>675.58314399999995</v>
      </c>
      <c r="AM171" s="102">
        <v>89.660336999999998</v>
      </c>
      <c r="AN171" s="102">
        <v>0</v>
      </c>
      <c r="AO171" s="102">
        <v>0</v>
      </c>
      <c r="AP171" s="145">
        <v>0</v>
      </c>
      <c r="AQ171" s="220">
        <v>0</v>
      </c>
      <c r="AR171" s="220">
        <v>0</v>
      </c>
      <c r="AS171" s="102">
        <v>86.942087999999998</v>
      </c>
      <c r="AT171" s="102">
        <v>3462.7477779999999</v>
      </c>
      <c r="AU171" s="102">
        <v>3432.564316</v>
      </c>
      <c r="AV171" s="102">
        <v>3430.3526849999998</v>
      </c>
      <c r="AW171" s="102">
        <v>3428.1352659999998</v>
      </c>
      <c r="AX171" s="102">
        <v>3425.8947400000002</v>
      </c>
      <c r="AY171" s="102">
        <v>3423.6421019999998</v>
      </c>
      <c r="AZ171" s="102">
        <v>3421.3834969999998</v>
      </c>
      <c r="BA171" s="102">
        <v>3419.092987</v>
      </c>
      <c r="BB171" s="102">
        <v>3416.8132820000001</v>
      </c>
      <c r="BC171" s="102">
        <v>3414.5161600000001</v>
      </c>
      <c r="BD171" s="102">
        <v>3412.1968000000002</v>
      </c>
      <c r="BE171" s="102">
        <v>3409.8839520000001</v>
      </c>
      <c r="BF171" s="102">
        <v>3407.5711040000001</v>
      </c>
      <c r="BG171" s="102">
        <v>3405.2189370000001</v>
      </c>
      <c r="BH171" s="102">
        <v>3402.8581840000002</v>
      </c>
      <c r="BI171" s="102">
        <v>3350.0170645600001</v>
      </c>
      <c r="BJ171" s="102">
        <v>3350.0170645600001</v>
      </c>
      <c r="BK171" s="102">
        <v>3350.0170645600001</v>
      </c>
      <c r="BL171" s="102">
        <v>3350.0170645600001</v>
      </c>
      <c r="BM171" s="145">
        <v>3350.0170645600001</v>
      </c>
      <c r="BN171" s="102">
        <v>3350.0170645600001</v>
      </c>
      <c r="BO171" s="102">
        <v>3350.0170645600001</v>
      </c>
      <c r="BP171" s="102">
        <v>3350.0170645600001</v>
      </c>
      <c r="BQ171" s="102">
        <v>3350.0170645600001</v>
      </c>
      <c r="BR171" s="102">
        <v>3350.0170645600001</v>
      </c>
      <c r="BS171" s="102">
        <v>3350.0170645600001</v>
      </c>
      <c r="BT171" s="102">
        <v>3350.0170645600001</v>
      </c>
      <c r="BU171" s="102">
        <v>3350.0170645600001</v>
      </c>
      <c r="BV171" s="102">
        <v>3353.1302545600001</v>
      </c>
      <c r="BW171" s="102">
        <v>3350.0170645600001</v>
      </c>
      <c r="BX171" s="102">
        <v>3350.0170645600001</v>
      </c>
      <c r="BY171" s="102">
        <v>3350.0170645600001</v>
      </c>
      <c r="BZ171" s="102">
        <v>3350.0170645600001</v>
      </c>
      <c r="CA171" s="102">
        <v>3350.0170645600001</v>
      </c>
      <c r="CB171" s="102">
        <v>3350.0170645600001</v>
      </c>
      <c r="CC171" s="102">
        <v>3350.0170645600001</v>
      </c>
      <c r="CD171" s="102">
        <v>3350.0170645600001</v>
      </c>
      <c r="CE171" s="102">
        <v>3350.0170645600001</v>
      </c>
      <c r="CF171" s="102">
        <v>3350.0170645600001</v>
      </c>
      <c r="CG171" s="102">
        <v>3350.0170645600001</v>
      </c>
      <c r="CH171" s="102">
        <v>3350.0170645600001</v>
      </c>
      <c r="CI171" s="102">
        <v>3350.0170645600001</v>
      </c>
      <c r="CJ171" s="102">
        <v>3350</v>
      </c>
      <c r="CK171" s="102">
        <v>3350</v>
      </c>
      <c r="CL171" s="102">
        <v>3350</v>
      </c>
      <c r="CM171" s="102">
        <v>3350</v>
      </c>
      <c r="CN171" s="102">
        <v>3350</v>
      </c>
      <c r="CO171" s="102">
        <v>3350</v>
      </c>
      <c r="CP171" s="102">
        <v>3350</v>
      </c>
      <c r="CQ171" s="102">
        <v>3350</v>
      </c>
      <c r="CR171" s="102">
        <v>3350</v>
      </c>
      <c r="CS171" s="102">
        <v>3350</v>
      </c>
      <c r="CT171" s="102">
        <v>3350</v>
      </c>
      <c r="CU171" s="102">
        <v>3350</v>
      </c>
      <c r="CV171" s="102">
        <v>3350</v>
      </c>
      <c r="CW171" s="102">
        <v>3350</v>
      </c>
      <c r="CX171" s="102">
        <v>3350</v>
      </c>
      <c r="CY171" s="102">
        <v>3350</v>
      </c>
      <c r="CZ171" s="102">
        <v>3350</v>
      </c>
      <c r="DA171" s="102">
        <v>3350</v>
      </c>
      <c r="DB171" s="102">
        <v>3350</v>
      </c>
      <c r="DC171" s="102">
        <v>3350</v>
      </c>
      <c r="DD171" s="102">
        <v>3350</v>
      </c>
      <c r="DE171" s="102">
        <v>3350</v>
      </c>
      <c r="DF171" s="102">
        <v>3350</v>
      </c>
      <c r="DG171" s="102">
        <v>3350</v>
      </c>
      <c r="DH171" s="102">
        <v>3350</v>
      </c>
      <c r="DI171" s="102">
        <v>3350</v>
      </c>
      <c r="DJ171" s="102">
        <v>3350</v>
      </c>
      <c r="DK171" s="102">
        <v>3350</v>
      </c>
      <c r="DL171" s="102">
        <v>3350</v>
      </c>
      <c r="DM171" s="102">
        <v>3350</v>
      </c>
      <c r="DN171" s="102">
        <v>3350</v>
      </c>
      <c r="DO171" s="102">
        <v>3350</v>
      </c>
      <c r="DP171" s="102">
        <v>3350</v>
      </c>
      <c r="DQ171" s="940">
        <v>3350</v>
      </c>
      <c r="DR171" s="940">
        <v>3350</v>
      </c>
      <c r="DS171" s="940">
        <v>3350</v>
      </c>
      <c r="DT171" s="940">
        <v>3350</v>
      </c>
      <c r="DU171" s="940">
        <v>3350</v>
      </c>
      <c r="DV171" s="940">
        <v>3350</v>
      </c>
      <c r="DW171" s="940">
        <v>3350</v>
      </c>
      <c r="DX171" s="940">
        <v>3350</v>
      </c>
      <c r="DY171" s="940">
        <v>3350</v>
      </c>
      <c r="DZ171" s="940">
        <v>3350</v>
      </c>
      <c r="EA171" s="940">
        <v>3350</v>
      </c>
      <c r="EB171" s="940">
        <v>3350</v>
      </c>
      <c r="EC171" s="940">
        <v>3393.8351389999998</v>
      </c>
      <c r="ED171" s="940">
        <v>3394.5117650000002</v>
      </c>
      <c r="EE171" s="940">
        <v>3395.8961159999999</v>
      </c>
      <c r="EF171" s="940">
        <v>3399.3816929999998</v>
      </c>
      <c r="EG171" s="77"/>
      <c r="EH171" s="102" t="e">
        <v>#VALUE!</v>
      </c>
      <c r="EI171" s="102" t="e">
        <v>#VALUE!</v>
      </c>
      <c r="EJ171" s="102" t="e">
        <v>#VALUE!</v>
      </c>
      <c r="EK171" s="102" t="e">
        <v>#VALUE!</v>
      </c>
      <c r="EL171" s="102" t="e">
        <v>#VALUE!</v>
      </c>
      <c r="EM171" s="102" t="e">
        <v>#VALUE!</v>
      </c>
      <c r="EN171" s="102" t="e">
        <v>#VALUE!</v>
      </c>
      <c r="EO171" s="102" t="e">
        <v>#VALUE!</v>
      </c>
      <c r="EP171" s="102" t="e">
        <v>#VALUE!</v>
      </c>
      <c r="EQ171" s="102" t="e">
        <v>#VALUE!</v>
      </c>
      <c r="ER171" s="102" t="e">
        <v>#VALUE!</v>
      </c>
      <c r="ES171" s="102" t="e">
        <v>#VALUE!</v>
      </c>
      <c r="EU171" s="102"/>
      <c r="EV171" s="102"/>
      <c r="EW171" s="102"/>
      <c r="EX171" s="102"/>
      <c r="EY171" s="102"/>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t="e">
        <v>#VALUE!</v>
      </c>
      <c r="GF171" s="102" t="e">
        <v>#VALUE!</v>
      </c>
      <c r="GG171" s="102" t="e">
        <v>#VALUE!</v>
      </c>
      <c r="GH171" s="102" t="e">
        <v>#VALUE!</v>
      </c>
      <c r="GI171" s="102" t="e">
        <v>#VALUE!</v>
      </c>
      <c r="GJ171" s="102" t="e">
        <v>#VALUE!</v>
      </c>
      <c r="GK171" s="102" t="e">
        <v>#VALUE!</v>
      </c>
      <c r="GL171" s="102" t="e">
        <v>#VALUE!</v>
      </c>
      <c r="GM171" s="102" t="e">
        <v>#VALUE!</v>
      </c>
      <c r="GN171" s="102" t="e">
        <v>#VALUE!</v>
      </c>
      <c r="GO171" s="102" t="e">
        <v>#VALUE!</v>
      </c>
      <c r="GP171" s="102" t="e">
        <v>#VALUE!</v>
      </c>
      <c r="GQ171" s="102" t="e">
        <v>#VALUE!</v>
      </c>
      <c r="GR171" s="102" t="e">
        <v>#VALUE!</v>
      </c>
      <c r="GS171" s="102" t="e">
        <v>#VALUE!</v>
      </c>
      <c r="GT171" s="102" t="e">
        <v>#VALUE!</v>
      </c>
      <c r="GU171" s="102" t="e">
        <v>#VALUE!</v>
      </c>
      <c r="GV171" s="102" t="e">
        <v>#VALUE!</v>
      </c>
      <c r="GW171" s="102" t="e">
        <v>#VALUE!</v>
      </c>
      <c r="GX171" s="102" t="e">
        <v>#VALUE!</v>
      </c>
      <c r="GY171" s="102" t="e">
        <v>#VALUE!</v>
      </c>
      <c r="GZ171" s="102" t="e">
        <v>#VALUE!</v>
      </c>
      <c r="HA171" s="102" t="e">
        <v>#VALUE!</v>
      </c>
      <c r="HB171" s="102" t="e">
        <v>#VALUE!</v>
      </c>
      <c r="HD171" s="102">
        <f t="shared" si="889"/>
        <v>0</v>
      </c>
      <c r="HE171" s="102">
        <f t="shared" si="889"/>
        <v>394.16889500000002</v>
      </c>
      <c r="HF171" s="102">
        <f t="shared" si="889"/>
        <v>0</v>
      </c>
      <c r="HG171" s="102">
        <f t="shared" si="889"/>
        <v>3421.3834969999998</v>
      </c>
      <c r="HH171" s="102">
        <f t="shared" si="890"/>
        <v>3350.0170645600001</v>
      </c>
      <c r="HI171" s="102">
        <f t="shared" si="891"/>
        <v>3350.0170645600001</v>
      </c>
      <c r="HJ171" s="102">
        <f t="shared" si="846"/>
        <v>3350</v>
      </c>
      <c r="HK171" s="102">
        <f t="shared" si="847"/>
        <v>3350</v>
      </c>
      <c r="HL171" s="940">
        <f>+SUMIFS($E171:SEW171,$E$6:SEW$6,HL$7,$E$5:SEW$5,12)</f>
        <v>3350</v>
      </c>
      <c r="HM171" s="940">
        <f>+SUMIFS($E171:SEX171,$E$6:SEX$6,HM$7,$E$5:SEX$5,12)</f>
        <v>3350</v>
      </c>
      <c r="HN171" s="940">
        <f>+SUMIFS($E171:SEY171,$E$6:SEY$6,HN$7,$E$5:SEY$5,12)</f>
        <v>3399.3816929999998</v>
      </c>
      <c r="HO171" s="102"/>
      <c r="HP171" s="102"/>
      <c r="HR171" s="929">
        <f t="shared" si="892"/>
        <v>-1</v>
      </c>
      <c r="HS171" s="929" t="str">
        <f t="shared" si="892"/>
        <v/>
      </c>
      <c r="HT171" s="929">
        <f t="shared" si="892"/>
        <v>-2.0858939812674171E-2</v>
      </c>
      <c r="HU171" s="929">
        <f t="shared" si="892"/>
        <v>0</v>
      </c>
      <c r="HV171" s="929">
        <f t="shared" si="892"/>
        <v>-5.0938725598692614E-6</v>
      </c>
      <c r="HW171" s="929">
        <f t="shared" si="892"/>
        <v>0</v>
      </c>
      <c r="HX171" s="929">
        <f t="shared" si="892"/>
        <v>0</v>
      </c>
      <c r="HY171" s="929">
        <f t="shared" si="892"/>
        <v>0</v>
      </c>
      <c r="HZ171" s="929">
        <f t="shared" si="892"/>
        <v>1.4740803880596953E-2</v>
      </c>
      <c r="IA171" s="929">
        <f t="shared" si="868"/>
        <v>-1</v>
      </c>
      <c r="IB171" s="929" t="str">
        <f>+IFERROR(HP171/HO171-1,"")</f>
        <v/>
      </c>
      <c r="IC171" s="929">
        <f t="shared" si="869"/>
        <v>-1</v>
      </c>
      <c r="IE171" s="102">
        <f t="shared" si="893"/>
        <v>-394.16889500000002</v>
      </c>
      <c r="IF171" s="102">
        <f t="shared" si="893"/>
        <v>3421.3834969999998</v>
      </c>
      <c r="IG171" s="102">
        <f t="shared" si="893"/>
        <v>-71.366432439999699</v>
      </c>
      <c r="IH171" s="102">
        <f t="shared" si="893"/>
        <v>0</v>
      </c>
      <c r="II171" s="102">
        <f t="shared" si="894"/>
        <v>-1.7064560000108031E-2</v>
      </c>
      <c r="IJ171" s="102">
        <f t="shared" si="895"/>
        <v>0</v>
      </c>
      <c r="IK171" s="102">
        <f t="shared" si="896"/>
        <v>0</v>
      </c>
      <c r="IL171" s="102">
        <f t="shared" si="870"/>
        <v>-3350</v>
      </c>
      <c r="IM171" s="102">
        <f>+HP171-HO171</f>
        <v>0</v>
      </c>
      <c r="IN171" s="102">
        <f t="shared" si="871"/>
        <v>-3350</v>
      </c>
      <c r="IP171" s="973"/>
      <c r="IQ171" s="973"/>
      <c r="IR171" s="973"/>
      <c r="IS171" s="973"/>
      <c r="IT171" s="973"/>
      <c r="IU171" s="973"/>
      <c r="IV171" s="973"/>
      <c r="IW171" s="973"/>
      <c r="IX171" s="973"/>
      <c r="IY171" s="973"/>
      <c r="JA171" s="102">
        <f t="shared" si="727"/>
        <v>0</v>
      </c>
      <c r="JB171" s="102">
        <f t="shared" si="933"/>
        <v>394.16889500000002</v>
      </c>
      <c r="JC171" s="102">
        <f t="shared" si="933"/>
        <v>0</v>
      </c>
      <c r="JD171" s="102">
        <f t="shared" si="933"/>
        <v>3421.3834969999998</v>
      </c>
      <c r="JE171" s="102">
        <f t="shared" si="933"/>
        <v>3350.0170645600001</v>
      </c>
      <c r="JF171" s="102">
        <f t="shared" si="933"/>
        <v>3350.0170645600001</v>
      </c>
      <c r="JG171" s="102">
        <f t="shared" si="933"/>
        <v>3350</v>
      </c>
      <c r="JH171" s="102">
        <f t="shared" si="933"/>
        <v>3350</v>
      </c>
      <c r="JI171" s="102">
        <f t="shared" si="933"/>
        <v>3350</v>
      </c>
      <c r="JJ171" s="102">
        <f t="shared" si="933"/>
        <v>3350</v>
      </c>
      <c r="JK171" s="102">
        <f t="shared" si="933"/>
        <v>3399.3816929999998</v>
      </c>
      <c r="JL171" s="102">
        <f t="shared" si="728"/>
        <v>3399.3816929999998</v>
      </c>
      <c r="JM171" s="102"/>
      <c r="JN171" s="102"/>
      <c r="JP171" s="102">
        <f t="shared" si="897"/>
        <v>0</v>
      </c>
      <c r="JQ171" s="102">
        <f t="shared" si="898"/>
        <v>0</v>
      </c>
      <c r="JR171" s="145"/>
      <c r="JS171" s="929" t="str">
        <f>+IFERROR(JP171/JQ171,"NA")</f>
        <v>NA</v>
      </c>
      <c r="JT171" s="930">
        <f>+IFERROR(JP171-JQ171,"NA")</f>
        <v>0</v>
      </c>
      <c r="JV171" s="973"/>
      <c r="JW171" s="973"/>
      <c r="JY171" s="929">
        <f t="shared" si="925"/>
        <v>-1</v>
      </c>
      <c r="JZ171" s="929" t="str">
        <f t="shared" si="926"/>
        <v/>
      </c>
      <c r="KA171" s="929">
        <f t="shared" si="927"/>
        <v>-2.0858939812674171E-2</v>
      </c>
      <c r="KB171" s="929">
        <f t="shared" si="928"/>
        <v>0</v>
      </c>
      <c r="KC171" s="929">
        <f t="shared" si="929"/>
        <v>-5.0938725598692614E-6</v>
      </c>
      <c r="KD171" s="929">
        <f t="shared" si="930"/>
        <v>0</v>
      </c>
      <c r="KE171" s="929">
        <f t="shared" si="931"/>
        <v>0</v>
      </c>
      <c r="KF171" s="929">
        <f t="shared" si="932"/>
        <v>-1</v>
      </c>
      <c r="KH171" s="102">
        <f t="shared" si="900"/>
        <v>-394.16889500000002</v>
      </c>
      <c r="KI171" s="102">
        <f t="shared" si="901"/>
        <v>3421.3834969999998</v>
      </c>
      <c r="KJ171" s="102">
        <f t="shared" si="902"/>
        <v>-71.366432439999699</v>
      </c>
      <c r="KK171" s="102">
        <f t="shared" si="903"/>
        <v>0</v>
      </c>
      <c r="KL171" s="102">
        <f t="shared" si="904"/>
        <v>-1.7064560000108031E-2</v>
      </c>
      <c r="KM171" s="102">
        <f t="shared" si="905"/>
        <v>0</v>
      </c>
      <c r="KN171" s="102">
        <f t="shared" si="906"/>
        <v>0</v>
      </c>
      <c r="KO171" s="102">
        <f t="shared" si="907"/>
        <v>-3350</v>
      </c>
      <c r="KQ171" s="973"/>
      <c r="KR171" s="973"/>
      <c r="KS171" s="973"/>
      <c r="KT171" s="973"/>
      <c r="KU171" s="973"/>
      <c r="KV171" s="973"/>
      <c r="KW171" s="973"/>
      <c r="KX171" s="973"/>
      <c r="KY171" s="973"/>
      <c r="KZ171" s="973"/>
      <c r="LB171" s="102">
        <f t="shared" si="737"/>
        <v>0</v>
      </c>
      <c r="LC171" s="102">
        <f t="shared" si="934"/>
        <v>394.16889500000002</v>
      </c>
      <c r="LD171" s="102">
        <f t="shared" si="934"/>
        <v>0</v>
      </c>
      <c r="LE171" s="102">
        <f t="shared" si="934"/>
        <v>3421.3834969999998</v>
      </c>
      <c r="LF171" s="102">
        <f t="shared" si="934"/>
        <v>3350.0170645600001</v>
      </c>
      <c r="LG171" s="102">
        <f t="shared" si="934"/>
        <v>3350.0170645600001</v>
      </c>
      <c r="LH171" s="102">
        <f t="shared" si="934"/>
        <v>3350</v>
      </c>
      <c r="LI171" s="102">
        <f t="shared" si="934"/>
        <v>3350</v>
      </c>
      <c r="LJ171" s="102">
        <f t="shared" si="934"/>
        <v>3350</v>
      </c>
      <c r="LK171" s="102">
        <f t="shared" si="934"/>
        <v>3350</v>
      </c>
      <c r="LL171" s="102">
        <f t="shared" si="934"/>
        <v>3399.3816929999998</v>
      </c>
      <c r="LM171" s="102">
        <f t="shared" si="934"/>
        <v>3399.3816929999998</v>
      </c>
      <c r="LN171" s="102"/>
      <c r="LO171" s="102"/>
      <c r="LR171" s="32">
        <f t="shared" si="908"/>
        <v>-1</v>
      </c>
      <c r="LS171" s="32" t="str">
        <f t="shared" si="909"/>
        <v xml:space="preserve"> </v>
      </c>
      <c r="LT171" s="32">
        <f t="shared" si="910"/>
        <v>-2.0858939812674171E-2</v>
      </c>
      <c r="LU171" s="32">
        <f t="shared" si="911"/>
        <v>0</v>
      </c>
      <c r="LV171" s="32">
        <f t="shared" si="912"/>
        <v>-5.0938725598692614E-6</v>
      </c>
      <c r="LW171" s="32">
        <f t="shared" si="913"/>
        <v>0</v>
      </c>
      <c r="LX171" s="32">
        <f t="shared" si="848"/>
        <v>-1</v>
      </c>
      <c r="LZ171" s="102">
        <f t="shared" si="914"/>
        <v>-394.16889500000002</v>
      </c>
      <c r="MA171" s="102">
        <f t="shared" si="915"/>
        <v>3421.3834969999998</v>
      </c>
      <c r="MB171" s="102">
        <f t="shared" si="916"/>
        <v>-71.366432439999699</v>
      </c>
      <c r="MC171" s="102">
        <f t="shared" si="917"/>
        <v>0</v>
      </c>
      <c r="MD171" s="102">
        <f t="shared" si="918"/>
        <v>-1.7064560000108031E-2</v>
      </c>
      <c r="ME171" s="102">
        <f t="shared" si="919"/>
        <v>0</v>
      </c>
      <c r="MF171" s="102">
        <f t="shared" si="849"/>
        <v>-3350</v>
      </c>
      <c r="MH171" s="973"/>
      <c r="MI171" s="973"/>
      <c r="MJ171" s="973"/>
      <c r="MK171" s="973"/>
      <c r="ML171" s="973"/>
      <c r="MM171" s="973"/>
      <c r="MN171" s="973"/>
      <c r="MO171" s="973"/>
      <c r="MP171" s="973"/>
    </row>
    <row r="172" spans="1:354" outlineLevel="2">
      <c r="A172" s="884">
        <v>2195</v>
      </c>
      <c r="B172" s="70"/>
      <c r="C172" s="17" t="s">
        <v>728</v>
      </c>
      <c r="D172" s="31" t="s">
        <v>59</v>
      </c>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45"/>
      <c r="AQ172" s="220"/>
      <c r="AR172" s="220"/>
      <c r="AS172" s="102"/>
      <c r="AT172" s="102"/>
      <c r="AU172" s="102"/>
      <c r="AV172" s="102"/>
      <c r="AW172" s="102"/>
      <c r="AX172" s="102"/>
      <c r="AY172" s="102"/>
      <c r="AZ172" s="102"/>
      <c r="BA172" s="102">
        <v>0</v>
      </c>
      <c r="BB172" s="102">
        <v>0</v>
      </c>
      <c r="BC172" s="102">
        <v>0</v>
      </c>
      <c r="BD172" s="102">
        <v>0</v>
      </c>
      <c r="BE172" s="102">
        <v>0</v>
      </c>
      <c r="BF172" s="102">
        <v>0</v>
      </c>
      <c r="BG172" s="102">
        <v>360</v>
      </c>
      <c r="BH172" s="102">
        <v>360</v>
      </c>
      <c r="BI172" s="102">
        <v>360</v>
      </c>
      <c r="BJ172" s="102">
        <v>360</v>
      </c>
      <c r="BK172" s="102">
        <v>360</v>
      </c>
      <c r="BL172" s="102">
        <v>360</v>
      </c>
      <c r="BM172" s="145">
        <v>360</v>
      </c>
      <c r="BN172" s="102">
        <v>360</v>
      </c>
      <c r="BO172" s="102">
        <v>360</v>
      </c>
      <c r="BP172" s="102">
        <v>360</v>
      </c>
      <c r="BQ172" s="102">
        <v>360</v>
      </c>
      <c r="BR172" s="102">
        <v>360</v>
      </c>
      <c r="BS172" s="102">
        <v>360</v>
      </c>
      <c r="BT172" s="102">
        <v>360</v>
      </c>
      <c r="BU172" s="102">
        <v>360</v>
      </c>
      <c r="BV172" s="102">
        <v>360</v>
      </c>
      <c r="BW172" s="102">
        <v>360</v>
      </c>
      <c r="BX172" s="102">
        <v>360</v>
      </c>
      <c r="BY172" s="102">
        <v>360</v>
      </c>
      <c r="BZ172" s="102">
        <v>360</v>
      </c>
      <c r="CA172" s="102">
        <v>360</v>
      </c>
      <c r="CB172" s="102">
        <v>360</v>
      </c>
      <c r="CC172" s="102">
        <v>360</v>
      </c>
      <c r="CD172" s="102">
        <v>360</v>
      </c>
      <c r="CE172" s="102">
        <v>0</v>
      </c>
      <c r="CF172" s="102">
        <v>0</v>
      </c>
      <c r="CG172" s="102">
        <v>0</v>
      </c>
      <c r="CH172" s="102">
        <v>0</v>
      </c>
      <c r="CI172" s="102">
        <v>0</v>
      </c>
      <c r="CJ172" s="102">
        <v>0</v>
      </c>
      <c r="CK172" s="102">
        <v>0</v>
      </c>
      <c r="CL172" s="102">
        <v>0</v>
      </c>
      <c r="CM172" s="102">
        <v>0</v>
      </c>
      <c r="CN172" s="102">
        <v>0</v>
      </c>
      <c r="CO172" s="102">
        <v>0</v>
      </c>
      <c r="CP172" s="102">
        <v>0</v>
      </c>
      <c r="CQ172" s="102">
        <v>0</v>
      </c>
      <c r="CR172" s="102">
        <v>0</v>
      </c>
      <c r="CS172" s="102">
        <v>0</v>
      </c>
      <c r="CT172" s="102">
        <v>0</v>
      </c>
      <c r="CU172" s="102">
        <v>0</v>
      </c>
      <c r="CV172" s="102">
        <v>0</v>
      </c>
      <c r="CW172" s="102">
        <v>0</v>
      </c>
      <c r="CX172" s="102">
        <v>0</v>
      </c>
      <c r="CY172" s="102">
        <v>0</v>
      </c>
      <c r="CZ172" s="102">
        <v>0</v>
      </c>
      <c r="DA172" s="102">
        <v>0</v>
      </c>
      <c r="DB172" s="102">
        <v>0</v>
      </c>
      <c r="DC172" s="102">
        <v>0</v>
      </c>
      <c r="DD172" s="102">
        <v>0</v>
      </c>
      <c r="DE172" s="102">
        <v>0</v>
      </c>
      <c r="DF172" s="102">
        <v>0</v>
      </c>
      <c r="DG172" s="102">
        <v>0</v>
      </c>
      <c r="DH172" s="102">
        <v>0</v>
      </c>
      <c r="DI172" s="102">
        <v>0</v>
      </c>
      <c r="DJ172" s="102">
        <v>0</v>
      </c>
      <c r="DK172" s="102">
        <v>0</v>
      </c>
      <c r="DL172" s="102">
        <v>0</v>
      </c>
      <c r="DM172" s="102">
        <v>0</v>
      </c>
      <c r="DN172" s="102">
        <v>0</v>
      </c>
      <c r="DO172" s="102">
        <v>0</v>
      </c>
      <c r="DP172" s="102">
        <v>0</v>
      </c>
      <c r="DQ172" s="940">
        <v>0</v>
      </c>
      <c r="DR172" s="940">
        <v>0</v>
      </c>
      <c r="DS172" s="940">
        <v>0</v>
      </c>
      <c r="DT172" s="940">
        <v>0</v>
      </c>
      <c r="DU172" s="940">
        <v>0</v>
      </c>
      <c r="DV172" s="940">
        <v>0</v>
      </c>
      <c r="DW172" s="940">
        <v>0</v>
      </c>
      <c r="DX172" s="940">
        <v>0</v>
      </c>
      <c r="DY172" s="940">
        <v>0</v>
      </c>
      <c r="DZ172" s="940">
        <v>0</v>
      </c>
      <c r="EA172" s="940">
        <v>0</v>
      </c>
      <c r="EB172" s="940">
        <v>0</v>
      </c>
      <c r="EC172" s="940">
        <v>0</v>
      </c>
      <c r="ED172" s="940">
        <v>0</v>
      </c>
      <c r="EE172" s="940">
        <v>0</v>
      </c>
      <c r="EF172" s="940">
        <v>0</v>
      </c>
      <c r="EG172" s="77"/>
      <c r="EH172" s="102"/>
      <c r="EI172" s="102"/>
      <c r="EJ172" s="102"/>
      <c r="EK172" s="102"/>
      <c r="EL172" s="102"/>
      <c r="EM172" s="102"/>
      <c r="EN172" s="102"/>
      <c r="EO172" s="102"/>
      <c r="EP172" s="102"/>
      <c r="EQ172" s="102"/>
      <c r="ER172" s="102"/>
      <c r="ES172" s="102"/>
      <c r="EU172" s="102"/>
      <c r="EV172" s="102"/>
      <c r="EW172" s="102"/>
      <c r="EX172" s="102"/>
      <c r="EY172" s="102"/>
      <c r="EZ172" s="102"/>
      <c r="FA172" s="102"/>
      <c r="FB172" s="102"/>
      <c r="FC172" s="102"/>
      <c r="FD172" s="102"/>
      <c r="FE172" s="102"/>
      <c r="FF172" s="102"/>
      <c r="FG172" s="102"/>
      <c r="FH172" s="102"/>
      <c r="FI172" s="102"/>
      <c r="FJ172" s="102"/>
      <c r="FK172" s="102"/>
      <c r="FL172" s="102"/>
      <c r="FM172" s="102"/>
      <c r="FN172" s="102"/>
      <c r="FO172" s="102"/>
      <c r="FP172" s="102"/>
      <c r="FQ172" s="102"/>
      <c r="FR172" s="102"/>
      <c r="FS172" s="102"/>
      <c r="FT172" s="102"/>
      <c r="FU172" s="102"/>
      <c r="FV172" s="102"/>
      <c r="FW172" s="102"/>
      <c r="FX172" s="102"/>
      <c r="FY172" s="102"/>
      <c r="FZ172" s="102"/>
      <c r="GA172" s="102"/>
      <c r="GB172" s="102"/>
      <c r="GC172" s="102"/>
      <c r="GD172" s="102"/>
      <c r="GE172" s="102"/>
      <c r="GF172" s="102"/>
      <c r="GG172" s="102"/>
      <c r="GH172" s="102"/>
      <c r="GI172" s="102"/>
      <c r="GJ172" s="102"/>
      <c r="GK172" s="102"/>
      <c r="GL172" s="102"/>
      <c r="GM172" s="102"/>
      <c r="GN172" s="102"/>
      <c r="GO172" s="102"/>
      <c r="GP172" s="102"/>
      <c r="GQ172" s="102"/>
      <c r="GR172" s="102"/>
      <c r="GS172" s="102"/>
      <c r="GT172" s="102"/>
      <c r="GU172" s="102"/>
      <c r="GV172" s="102"/>
      <c r="GW172" s="102"/>
      <c r="GX172" s="102"/>
      <c r="GY172" s="102"/>
      <c r="GZ172" s="102"/>
      <c r="HA172" s="102"/>
      <c r="HB172" s="102"/>
      <c r="HD172" s="102"/>
      <c r="HE172" s="102"/>
      <c r="HF172" s="102"/>
      <c r="HG172" s="102"/>
      <c r="HH172" s="102">
        <f t="shared" si="890"/>
        <v>360</v>
      </c>
      <c r="HI172" s="102">
        <f t="shared" si="891"/>
        <v>360</v>
      </c>
      <c r="HJ172" s="102">
        <f t="shared" si="846"/>
        <v>0</v>
      </c>
      <c r="HK172" s="102">
        <f t="shared" si="847"/>
        <v>0</v>
      </c>
      <c r="HL172" s="940">
        <f>+SUMIFS($E172:SEW172,$E$6:SEW$6,HL$7,$E$5:SEW$5,12)</f>
        <v>0</v>
      </c>
      <c r="HM172" s="940">
        <f>+SUMIFS($E172:SEX172,$E$6:SEX$6,HM$7,$E$5:SEX$5,12)</f>
        <v>0</v>
      </c>
      <c r="HN172" s="940">
        <f>+SUMIFS($E172:SEY172,$E$6:SEY$6,HN$7,$E$5:SEY$5,12)</f>
        <v>0</v>
      </c>
      <c r="HO172" s="102"/>
      <c r="HP172" s="102"/>
      <c r="HR172" s="32"/>
      <c r="HS172" s="32"/>
      <c r="HT172" s="32"/>
      <c r="HU172" s="929">
        <f t="shared" ref="HU172:HU188" si="935">+IFERROR(HI172/HH172-1,"")</f>
        <v>0</v>
      </c>
      <c r="HV172" s="929">
        <f t="shared" ref="HV172:HV188" si="936">+IFERROR(HJ172/HI172-1,"")</f>
        <v>-1</v>
      </c>
      <c r="HW172" s="929" t="str">
        <f t="shared" ref="HW172:HW188" si="937">+IFERROR(HK172/HJ172-1,"")</f>
        <v/>
      </c>
      <c r="HX172" s="929" t="str">
        <f t="shared" ref="HX172:HZ188" si="938">+IFERROR(HL172/HK172-1,"")</f>
        <v/>
      </c>
      <c r="HY172" s="929" t="str">
        <f t="shared" si="938"/>
        <v/>
      </c>
      <c r="HZ172" s="929" t="str">
        <f t="shared" si="938"/>
        <v/>
      </c>
      <c r="IA172" s="929" t="str">
        <f t="shared" si="868"/>
        <v/>
      </c>
      <c r="IB172" s="32"/>
      <c r="IC172" s="929" t="str">
        <f t="shared" si="869"/>
        <v/>
      </c>
      <c r="IE172" s="102"/>
      <c r="IF172" s="102"/>
      <c r="IG172" s="102"/>
      <c r="IH172" s="102">
        <f t="shared" ref="IH172:IH188" si="939">+HI172-HH172</f>
        <v>0</v>
      </c>
      <c r="II172" s="102">
        <f t="shared" si="894"/>
        <v>-360</v>
      </c>
      <c r="IJ172" s="102">
        <f t="shared" si="895"/>
        <v>0</v>
      </c>
      <c r="IK172" s="102">
        <f t="shared" si="896"/>
        <v>0</v>
      </c>
      <c r="IL172" s="102">
        <f t="shared" si="870"/>
        <v>0</v>
      </c>
      <c r="IM172" s="102"/>
      <c r="IN172" s="102">
        <f t="shared" si="871"/>
        <v>0</v>
      </c>
      <c r="IP172" s="973"/>
      <c r="IQ172" s="973"/>
      <c r="IR172" s="973"/>
      <c r="IS172" s="973"/>
      <c r="IT172" s="973"/>
      <c r="IU172" s="973"/>
      <c r="IV172" s="973"/>
      <c r="IW172" s="973"/>
      <c r="IX172" s="973"/>
      <c r="IY172" s="973"/>
      <c r="JA172" s="102">
        <f t="shared" si="727"/>
        <v>0</v>
      </c>
      <c r="JB172" s="102">
        <f t="shared" si="933"/>
        <v>0</v>
      </c>
      <c r="JC172" s="102">
        <f t="shared" si="933"/>
        <v>0</v>
      </c>
      <c r="JD172" s="102">
        <f t="shared" si="933"/>
        <v>0</v>
      </c>
      <c r="JE172" s="102">
        <f t="shared" si="933"/>
        <v>360</v>
      </c>
      <c r="JF172" s="102">
        <f t="shared" si="933"/>
        <v>360</v>
      </c>
      <c r="JG172" s="102">
        <f t="shared" si="933"/>
        <v>0</v>
      </c>
      <c r="JH172" s="102">
        <f t="shared" si="933"/>
        <v>0</v>
      </c>
      <c r="JI172" s="102">
        <f t="shared" si="933"/>
        <v>0</v>
      </c>
      <c r="JJ172" s="102">
        <f t="shared" si="933"/>
        <v>0</v>
      </c>
      <c r="JK172" s="102">
        <f t="shared" si="933"/>
        <v>0</v>
      </c>
      <c r="JL172" s="102">
        <f t="shared" si="728"/>
        <v>0</v>
      </c>
      <c r="JM172" s="102"/>
      <c r="JN172" s="102"/>
      <c r="JP172" s="102">
        <f t="shared" si="897"/>
        <v>0</v>
      </c>
      <c r="JQ172" s="102">
        <f t="shared" si="898"/>
        <v>0</v>
      </c>
      <c r="JR172" s="145"/>
      <c r="JS172" s="929"/>
      <c r="JT172" s="930"/>
      <c r="JV172" s="973"/>
      <c r="JW172" s="973"/>
      <c r="JY172" s="929" t="str">
        <f t="shared" si="925"/>
        <v/>
      </c>
      <c r="JZ172" s="929" t="str">
        <f t="shared" si="926"/>
        <v/>
      </c>
      <c r="KA172" s="929" t="str">
        <f t="shared" si="927"/>
        <v/>
      </c>
      <c r="KB172" s="929">
        <f t="shared" si="928"/>
        <v>0</v>
      </c>
      <c r="KC172" s="929">
        <f t="shared" si="929"/>
        <v>-1</v>
      </c>
      <c r="KD172" s="929" t="str">
        <f t="shared" si="930"/>
        <v/>
      </c>
      <c r="KE172" s="929" t="str">
        <f t="shared" si="931"/>
        <v/>
      </c>
      <c r="KF172" s="929" t="str">
        <f t="shared" si="932"/>
        <v/>
      </c>
      <c r="KH172" s="102">
        <f t="shared" si="900"/>
        <v>0</v>
      </c>
      <c r="KI172" s="102">
        <f t="shared" si="901"/>
        <v>0</v>
      </c>
      <c r="KJ172" s="102">
        <f t="shared" si="902"/>
        <v>360</v>
      </c>
      <c r="KK172" s="102">
        <f t="shared" si="903"/>
        <v>0</v>
      </c>
      <c r="KL172" s="102">
        <f t="shared" si="904"/>
        <v>-360</v>
      </c>
      <c r="KM172" s="102">
        <f t="shared" si="905"/>
        <v>0</v>
      </c>
      <c r="KN172" s="102">
        <f t="shared" si="906"/>
        <v>0</v>
      </c>
      <c r="KO172" s="102">
        <f t="shared" si="907"/>
        <v>0</v>
      </c>
      <c r="KQ172" s="973"/>
      <c r="KR172" s="973"/>
      <c r="KS172" s="973"/>
      <c r="KT172" s="973"/>
      <c r="KU172" s="973"/>
      <c r="KV172" s="973"/>
      <c r="KW172" s="973"/>
      <c r="KX172" s="973"/>
      <c r="KY172" s="973"/>
      <c r="KZ172" s="973"/>
      <c r="LB172" s="102">
        <f t="shared" si="737"/>
        <v>0</v>
      </c>
      <c r="LC172" s="102">
        <f t="shared" si="934"/>
        <v>0</v>
      </c>
      <c r="LD172" s="102">
        <f t="shared" si="934"/>
        <v>0</v>
      </c>
      <c r="LE172" s="102">
        <f t="shared" si="934"/>
        <v>0</v>
      </c>
      <c r="LF172" s="102">
        <f t="shared" si="934"/>
        <v>360</v>
      </c>
      <c r="LG172" s="102">
        <f t="shared" si="934"/>
        <v>360</v>
      </c>
      <c r="LH172" s="102">
        <f t="shared" si="934"/>
        <v>0</v>
      </c>
      <c r="LI172" s="102">
        <f t="shared" si="934"/>
        <v>0</v>
      </c>
      <c r="LJ172" s="102">
        <f t="shared" si="934"/>
        <v>0</v>
      </c>
      <c r="LK172" s="102">
        <f t="shared" si="934"/>
        <v>0</v>
      </c>
      <c r="LL172" s="102">
        <f t="shared" si="934"/>
        <v>0</v>
      </c>
      <c r="LM172" s="102">
        <f t="shared" si="934"/>
        <v>0</v>
      </c>
      <c r="LN172" s="102"/>
      <c r="LO172" s="102"/>
      <c r="LR172" s="32" t="str">
        <f t="shared" si="908"/>
        <v xml:space="preserve"> </v>
      </c>
      <c r="LS172" s="32" t="str">
        <f t="shared" si="909"/>
        <v xml:space="preserve"> </v>
      </c>
      <c r="LT172" s="32" t="str">
        <f t="shared" si="910"/>
        <v xml:space="preserve"> </v>
      </c>
      <c r="LU172" s="32">
        <f t="shared" si="911"/>
        <v>0</v>
      </c>
      <c r="LV172" s="32">
        <f t="shared" si="912"/>
        <v>-1</v>
      </c>
      <c r="LW172" s="32" t="str">
        <f t="shared" si="913"/>
        <v xml:space="preserve"> </v>
      </c>
      <c r="LX172" s="32" t="str">
        <f t="shared" si="848"/>
        <v xml:space="preserve"> </v>
      </c>
      <c r="LZ172" s="102">
        <f t="shared" si="914"/>
        <v>0</v>
      </c>
      <c r="MA172" s="102">
        <f t="shared" si="915"/>
        <v>0</v>
      </c>
      <c r="MB172" s="102">
        <f t="shared" si="916"/>
        <v>360</v>
      </c>
      <c r="MC172" s="102">
        <f t="shared" si="917"/>
        <v>0</v>
      </c>
      <c r="MD172" s="102">
        <f t="shared" si="918"/>
        <v>-360</v>
      </c>
      <c r="ME172" s="102">
        <f t="shared" si="919"/>
        <v>0</v>
      </c>
      <c r="MF172" s="102">
        <f t="shared" si="849"/>
        <v>0</v>
      </c>
      <c r="MH172" s="973"/>
      <c r="MI172" s="973"/>
      <c r="MJ172" s="973"/>
      <c r="MK172" s="973"/>
      <c r="ML172" s="973"/>
      <c r="MM172" s="973"/>
      <c r="MN172" s="973"/>
      <c r="MO172" s="973"/>
      <c r="MP172" s="973"/>
    </row>
    <row r="173" spans="1:354" outlineLevel="1">
      <c r="A173" s="884">
        <v>22</v>
      </c>
      <c r="B173" s="70" t="s">
        <v>729</v>
      </c>
      <c r="C173" s="17" t="s">
        <v>278</v>
      </c>
      <c r="D173" s="31" t="s">
        <v>59</v>
      </c>
      <c r="E173" s="102">
        <v>446.81882611999998</v>
      </c>
      <c r="F173" s="102">
        <v>478.38283762000003</v>
      </c>
      <c r="G173" s="102">
        <v>909.55956485000002</v>
      </c>
      <c r="H173" s="102">
        <v>798.45105990999991</v>
      </c>
      <c r="I173" s="102">
        <v>655.09781757000007</v>
      </c>
      <c r="J173" s="102">
        <v>424.41571095</v>
      </c>
      <c r="K173" s="102">
        <v>624.59901160000004</v>
      </c>
      <c r="L173" s="102">
        <v>529.75619758999994</v>
      </c>
      <c r="M173" s="102">
        <v>342.46098605999998</v>
      </c>
      <c r="N173" s="102">
        <v>397.82650623000001</v>
      </c>
      <c r="O173" s="102">
        <v>241.40294219999998</v>
      </c>
      <c r="P173" s="102">
        <v>406.06706401999998</v>
      </c>
      <c r="Q173" s="102">
        <v>582.88535409999997</v>
      </c>
      <c r="R173" s="102">
        <v>351.37775866999999</v>
      </c>
      <c r="S173" s="102">
        <v>306.85436747000006</v>
      </c>
      <c r="T173" s="102">
        <v>557.82603032999998</v>
      </c>
      <c r="U173" s="102">
        <v>592.81061746</v>
      </c>
      <c r="V173" s="102">
        <v>487.11990699</v>
      </c>
      <c r="W173" s="102">
        <v>398.81099258999996</v>
      </c>
      <c r="X173" s="102">
        <v>334.00886738000003</v>
      </c>
      <c r="Y173" s="102">
        <v>264.96264062</v>
      </c>
      <c r="Z173" s="102">
        <v>240.77344244999998</v>
      </c>
      <c r="AA173" s="102">
        <v>238.12130646</v>
      </c>
      <c r="AB173" s="102">
        <v>183.33468015</v>
      </c>
      <c r="AC173" s="102">
        <v>224.71463825000001</v>
      </c>
      <c r="AD173" s="102">
        <v>348.19076526999999</v>
      </c>
      <c r="AE173" s="102">
        <v>199.83247184000001</v>
      </c>
      <c r="AF173" s="102">
        <v>328.31460808999998</v>
      </c>
      <c r="AG173" s="102">
        <v>286.53325985999999</v>
      </c>
      <c r="AH173" s="102">
        <v>231.00588163999998</v>
      </c>
      <c r="AI173" s="102">
        <v>277.32443998000002</v>
      </c>
      <c r="AJ173" s="102">
        <v>386.02493195</v>
      </c>
      <c r="AK173" s="102">
        <v>382.60139297000001</v>
      </c>
      <c r="AL173" s="102">
        <v>514.91900407000003</v>
      </c>
      <c r="AM173" s="102">
        <v>701.1626127699999</v>
      </c>
      <c r="AN173" s="102">
        <v>943.96051063000004</v>
      </c>
      <c r="AO173" s="102">
        <v>648.63107821000006</v>
      </c>
      <c r="AP173" s="145">
        <v>2467.4295416300001</v>
      </c>
      <c r="AQ173" s="220">
        <v>864.49932537999996</v>
      </c>
      <c r="AR173" s="220">
        <v>1167.3455008699998</v>
      </c>
      <c r="AS173" s="102">
        <v>897.43533330999992</v>
      </c>
      <c r="AT173" s="102">
        <v>1179.3235281300001</v>
      </c>
      <c r="AU173" s="102">
        <v>1086.87267535</v>
      </c>
      <c r="AV173" s="102">
        <v>1356.38304584</v>
      </c>
      <c r="AW173" s="102">
        <v>1339.64962674</v>
      </c>
      <c r="AX173" s="102">
        <v>1233.4946373800001</v>
      </c>
      <c r="AY173" s="102">
        <v>1397.5543834699999</v>
      </c>
      <c r="AZ173" s="102">
        <v>948.23800000000006</v>
      </c>
      <c r="BA173" s="102">
        <v>923.15703704999999</v>
      </c>
      <c r="BB173" s="102">
        <v>1062.94420371</v>
      </c>
      <c r="BC173" s="102">
        <v>860.14176454999995</v>
      </c>
      <c r="BD173" s="102">
        <v>595.11765130999993</v>
      </c>
      <c r="BE173" s="102">
        <v>479.95171513999998</v>
      </c>
      <c r="BF173" s="102">
        <v>687.52329745000009</v>
      </c>
      <c r="BG173" s="102">
        <v>726.77019715999995</v>
      </c>
      <c r="BH173" s="102">
        <v>568.00534147000008</v>
      </c>
      <c r="BI173" s="102">
        <v>647.79033258000004</v>
      </c>
      <c r="BJ173" s="102">
        <v>664.5754226900001</v>
      </c>
      <c r="BK173" s="102">
        <v>327.20413239999999</v>
      </c>
      <c r="BL173" s="102">
        <f>408795485.88/1000000</f>
        <v>408.79548588</v>
      </c>
      <c r="BM173" s="145">
        <v>578.86017664999997</v>
      </c>
      <c r="BN173" s="102">
        <v>797.3952936799999</v>
      </c>
      <c r="BO173" s="102">
        <v>760.49114067999994</v>
      </c>
      <c r="BP173" s="102">
        <v>1019.14535441</v>
      </c>
      <c r="BQ173" s="102">
        <v>922.30609883</v>
      </c>
      <c r="BR173" s="102">
        <v>800.05245747000004</v>
      </c>
      <c r="BS173" s="102">
        <v>828.10467915999993</v>
      </c>
      <c r="BT173" s="102">
        <v>705.39458452999997</v>
      </c>
      <c r="BU173" s="102">
        <v>708.82797303999996</v>
      </c>
      <c r="BV173" s="102">
        <v>707.56883950999998</v>
      </c>
      <c r="BW173" s="102">
        <v>536.37635687</v>
      </c>
      <c r="BX173" s="102">
        <v>387.86741648000003</v>
      </c>
      <c r="BY173" s="102">
        <v>525.26366252000003</v>
      </c>
      <c r="BZ173" s="102">
        <v>636.63167572999998</v>
      </c>
      <c r="CA173" s="102">
        <v>846.03168389999996</v>
      </c>
      <c r="CB173" s="102">
        <v>535.82484406000003</v>
      </c>
      <c r="CC173" s="102">
        <v>375.12628452999996</v>
      </c>
      <c r="CD173" s="102">
        <v>233.32952137999999</v>
      </c>
      <c r="CE173" s="102">
        <v>349.58922638999996</v>
      </c>
      <c r="CF173" s="102">
        <v>444.61875402999999</v>
      </c>
      <c r="CG173" s="102">
        <v>592.87995685999999</v>
      </c>
      <c r="CH173" s="102">
        <v>830.36608021000006</v>
      </c>
      <c r="CI173" s="102">
        <v>907.49677660999998</v>
      </c>
      <c r="CJ173" s="102">
        <v>1110.5391087</v>
      </c>
      <c r="CK173" s="102">
        <v>1077.95886991</v>
      </c>
      <c r="CL173" s="102">
        <v>948.77905439999995</v>
      </c>
      <c r="CM173" s="102">
        <v>1141.14389669</v>
      </c>
      <c r="CN173" s="102">
        <v>850.26315550000004</v>
      </c>
      <c r="CO173" s="102">
        <v>607.1697611699999</v>
      </c>
      <c r="CP173" s="102">
        <v>704.89134976000003</v>
      </c>
      <c r="CQ173" s="102">
        <v>821.71705248000001</v>
      </c>
      <c r="CR173" s="102">
        <v>890.7436229299999</v>
      </c>
      <c r="CS173" s="102">
        <v>1049.29900092</v>
      </c>
      <c r="CT173" s="102">
        <v>1128.83874246</v>
      </c>
      <c r="CU173" s="102">
        <v>894.3255978200001</v>
      </c>
      <c r="CV173" s="102">
        <v>1031.1538294700001</v>
      </c>
      <c r="CW173" s="102">
        <v>930.0642557000001</v>
      </c>
      <c r="CX173" s="102">
        <v>1112.11152973</v>
      </c>
      <c r="CY173" s="102">
        <v>1197.19243643</v>
      </c>
      <c r="CZ173" s="102">
        <v>1135.6605262400001</v>
      </c>
      <c r="DA173" s="102">
        <v>516.94381850000002</v>
      </c>
      <c r="DB173" s="102">
        <v>210.91051372000001</v>
      </c>
      <c r="DC173" s="102">
        <v>242.73012815999999</v>
      </c>
      <c r="DD173" s="102">
        <v>325.15038723000004</v>
      </c>
      <c r="DE173" s="102">
        <v>430.77737160000004</v>
      </c>
      <c r="DF173" s="102">
        <v>520.46325873000001</v>
      </c>
      <c r="DG173" s="102">
        <v>617.72007315999997</v>
      </c>
      <c r="DH173" s="102">
        <v>610.44292705999999</v>
      </c>
      <c r="DI173" s="102">
        <v>440.10621472000003</v>
      </c>
      <c r="DJ173" s="102">
        <v>423.23092137999998</v>
      </c>
      <c r="DK173" s="102">
        <v>308.99535937000002</v>
      </c>
      <c r="DL173" s="102">
        <v>396.85908074999998</v>
      </c>
      <c r="DM173" s="102">
        <v>479.09009163999997</v>
      </c>
      <c r="DN173" s="102">
        <v>516.39564683000003</v>
      </c>
      <c r="DO173" s="102">
        <v>475.80773297000002</v>
      </c>
      <c r="DP173" s="102">
        <v>407.67963013999997</v>
      </c>
      <c r="DQ173" s="940">
        <v>414.95379214999997</v>
      </c>
      <c r="DR173" s="940">
        <v>585.06746378999992</v>
      </c>
      <c r="DS173" s="940">
        <v>638.42186617999994</v>
      </c>
      <c r="DT173" s="940">
        <v>1033.80769029</v>
      </c>
      <c r="DU173" s="940">
        <v>867.38578939000001</v>
      </c>
      <c r="DV173" s="940">
        <v>988.44947167999999</v>
      </c>
      <c r="DW173" s="940">
        <v>1028.42888457</v>
      </c>
      <c r="DX173" s="940">
        <v>1178.26455416</v>
      </c>
      <c r="DY173" s="940">
        <v>919.42013310000004</v>
      </c>
      <c r="DZ173" s="940">
        <v>1088.1248824100001</v>
      </c>
      <c r="EA173" s="940">
        <v>1268.64580907</v>
      </c>
      <c r="EB173" s="940">
        <v>1695.5099822699999</v>
      </c>
      <c r="EC173" s="940">
        <v>2551.41014292</v>
      </c>
      <c r="ED173" s="940">
        <v>2363.6356940300002</v>
      </c>
      <c r="EE173" s="940">
        <v>2902.1077605</v>
      </c>
      <c r="EF173" s="940">
        <v>3579.8173610200001</v>
      </c>
      <c r="EG173" s="77"/>
      <c r="EH173" s="102">
        <v>1819.0552516700002</v>
      </c>
      <c r="EI173" s="102">
        <v>2721.64072059</v>
      </c>
      <c r="EJ173" s="102">
        <v>2948.3018077500001</v>
      </c>
      <c r="EK173" s="102">
        <v>3235.9829543699998</v>
      </c>
      <c r="EL173" s="102">
        <v>1968.4549537099999</v>
      </c>
      <c r="EM173" s="102">
        <v>780.55491864999999</v>
      </c>
      <c r="EN173" s="102">
        <v>690.02444469354168</v>
      </c>
      <c r="EO173" s="102">
        <v>253.56284905468743</v>
      </c>
      <c r="EP173" s="102">
        <v>336.72776664712501</v>
      </c>
      <c r="EQ173" s="102">
        <v>349.14009179124986</v>
      </c>
      <c r="ER173" s="102">
        <v>309.32731979841662</v>
      </c>
      <c r="ES173" s="102">
        <v>300.69216388458324</v>
      </c>
      <c r="EU173" s="102">
        <v>1434.1735113008499</v>
      </c>
      <c r="EV173" s="102">
        <v>1500</v>
      </c>
      <c r="EW173" s="102">
        <v>1500</v>
      </c>
      <c r="EX173" s="102">
        <v>1500</v>
      </c>
      <c r="EY173" s="102">
        <v>1500</v>
      </c>
      <c r="EZ173" s="102">
        <v>1500</v>
      </c>
      <c r="FA173" s="102">
        <v>1500</v>
      </c>
      <c r="FB173" s="102">
        <v>1500</v>
      </c>
      <c r="FC173" s="102">
        <v>1500</v>
      </c>
      <c r="FD173" s="102">
        <v>1500</v>
      </c>
      <c r="FE173" s="102">
        <v>1500</v>
      </c>
      <c r="FF173" s="102">
        <v>1500</v>
      </c>
      <c r="FG173" s="102">
        <v>982.93900000000008</v>
      </c>
      <c r="FH173" s="102">
        <v>785.0674510980034</v>
      </c>
      <c r="FI173" s="102">
        <v>1029.8427179973221</v>
      </c>
      <c r="FJ173" s="102">
        <v>1119.773003430771</v>
      </c>
      <c r="FK173" s="102">
        <v>969.90500490720365</v>
      </c>
      <c r="FL173" s="102">
        <v>935.7015226762926</v>
      </c>
      <c r="FM173" s="102">
        <v>966.31230283649825</v>
      </c>
      <c r="FN173" s="102">
        <v>925.42275963414772</v>
      </c>
      <c r="FO173" s="102">
        <v>1085.6824667332612</v>
      </c>
      <c r="FP173" s="102">
        <v>916.41817290514382</v>
      </c>
      <c r="FQ173" s="102">
        <v>926.87632366134653</v>
      </c>
      <c r="FR173" s="102">
        <v>989.63585772801207</v>
      </c>
      <c r="FS173" s="102">
        <v>805.22446135666667</v>
      </c>
      <c r="FT173" s="102">
        <v>903.2648353633333</v>
      </c>
      <c r="FU173" s="102">
        <v>748.51406869666675</v>
      </c>
      <c r="FV173" s="102">
        <v>568.33108836333349</v>
      </c>
      <c r="FW173" s="102">
        <v>567.6631550300001</v>
      </c>
      <c r="FX173" s="102">
        <v>544.0875316966667</v>
      </c>
      <c r="FY173" s="102">
        <v>533.90549169666667</v>
      </c>
      <c r="FZ173" s="102">
        <v>538.74854836333338</v>
      </c>
      <c r="GA173" s="102">
        <v>460.48559836333334</v>
      </c>
      <c r="GB173" s="102">
        <v>422.18659836333336</v>
      </c>
      <c r="GC173" s="102">
        <v>427.61828836333336</v>
      </c>
      <c r="GD173" s="102">
        <v>452.70268836333332</v>
      </c>
      <c r="GE173" s="102">
        <v>0</v>
      </c>
      <c r="GF173" s="102">
        <v>0</v>
      </c>
      <c r="GG173" s="102">
        <v>0</v>
      </c>
      <c r="GH173" s="102">
        <v>0</v>
      </c>
      <c r="GI173" s="102">
        <v>0</v>
      </c>
      <c r="GJ173" s="102">
        <v>0</v>
      </c>
      <c r="GK173" s="102">
        <v>0</v>
      </c>
      <c r="GL173" s="102">
        <v>0</v>
      </c>
      <c r="GM173" s="102">
        <v>0</v>
      </c>
      <c r="GN173" s="102">
        <v>0</v>
      </c>
      <c r="GO173" s="102">
        <v>0</v>
      </c>
      <c r="GP173" s="102">
        <v>0</v>
      </c>
      <c r="GQ173" s="102">
        <v>0</v>
      </c>
      <c r="GR173" s="102">
        <v>0</v>
      </c>
      <c r="GS173" s="102">
        <v>0</v>
      </c>
      <c r="GT173" s="102">
        <v>0</v>
      </c>
      <c r="GU173" s="102">
        <v>0</v>
      </c>
      <c r="GV173" s="102">
        <v>0</v>
      </c>
      <c r="GW173" s="102">
        <v>0</v>
      </c>
      <c r="GX173" s="102">
        <v>0</v>
      </c>
      <c r="GY173" s="102">
        <v>0</v>
      </c>
      <c r="GZ173" s="102">
        <v>0</v>
      </c>
      <c r="HA173" s="102">
        <v>0</v>
      </c>
      <c r="HB173" s="102">
        <v>0</v>
      </c>
      <c r="HD173" s="102">
        <f t="shared" ref="HD173:HG183" si="940">+SUMIFS($E173:$AZ173,$E$6:$AZ$6,HD$7,$E$5:$AZ$5,12)</f>
        <v>406.06706401999998</v>
      </c>
      <c r="HE173" s="102">
        <f t="shared" si="940"/>
        <v>183.33468015</v>
      </c>
      <c r="HF173" s="102">
        <f t="shared" si="940"/>
        <v>943.96051063000004</v>
      </c>
      <c r="HG173" s="102">
        <f t="shared" si="940"/>
        <v>948.23800000000006</v>
      </c>
      <c r="HH173" s="102">
        <f t="shared" si="890"/>
        <v>408.79548588</v>
      </c>
      <c r="HI173" s="102">
        <f t="shared" si="891"/>
        <v>387.86741648000003</v>
      </c>
      <c r="HJ173" s="102">
        <f t="shared" si="846"/>
        <v>1110.5391087</v>
      </c>
      <c r="HK173" s="102">
        <f t="shared" si="847"/>
        <v>1031.1538294700001</v>
      </c>
      <c r="HL173" s="940">
        <f>+SUMIFS($E173:SEW173,$E$6:SEW$6,HL$7,$E$5:SEW$5,12)</f>
        <v>610.44292705999999</v>
      </c>
      <c r="HM173" s="940">
        <f>+SUMIFS($E173:SEX173,$E$6:SEX$6,HM$7,$E$5:SEX$5,12)</f>
        <v>1033.80769029</v>
      </c>
      <c r="HN173" s="940">
        <f>+SUMIFS($E173:SEY173,$E$6:SEY$6,HN$7,$E$5:SEY$5,12)</f>
        <v>3579.8173610200001</v>
      </c>
      <c r="HO173" s="102"/>
      <c r="HP173" s="102"/>
      <c r="HR173" s="929">
        <f t="shared" ref="HR173:HR183" si="941">+IFERROR(HF173/HE173-1,"")</f>
        <v>4.1488376877613904</v>
      </c>
      <c r="HS173" s="929">
        <f t="shared" ref="HS173:HS183" si="942">+IFERROR(HG173/HF173-1,"")</f>
        <v>4.5314282979329601E-3</v>
      </c>
      <c r="HT173" s="929">
        <f t="shared" ref="HT173:HT183" si="943">+IFERROR(HH173/HG173-1,"")</f>
        <v>-0.56888936545466429</v>
      </c>
      <c r="HU173" s="929">
        <f t="shared" si="935"/>
        <v>-5.1194472842450378E-2</v>
      </c>
      <c r="HV173" s="929">
        <f t="shared" si="936"/>
        <v>1.863192579511932</v>
      </c>
      <c r="HW173" s="929">
        <f t="shared" si="937"/>
        <v>-7.1483551194274075E-2</v>
      </c>
      <c r="HX173" s="929">
        <f t="shared" si="938"/>
        <v>-0.40800013575689298</v>
      </c>
      <c r="HY173" s="929">
        <f t="shared" si="938"/>
        <v>0.69353701134518642</v>
      </c>
      <c r="HZ173" s="929">
        <f t="shared" si="938"/>
        <v>2.4627497886147496</v>
      </c>
      <c r="IA173" s="929">
        <f t="shared" si="868"/>
        <v>-1</v>
      </c>
      <c r="IB173" s="929" t="str">
        <f t="shared" ref="IB173:IB183" si="944">+IFERROR(HP173/HO173-1,"")</f>
        <v/>
      </c>
      <c r="IC173" s="929">
        <f t="shared" si="869"/>
        <v>-1</v>
      </c>
      <c r="IE173" s="102">
        <f t="shared" ref="IE173:IE183" si="945">+HF173-HE173</f>
        <v>760.6258304800001</v>
      </c>
      <c r="IF173" s="102">
        <f t="shared" ref="IF173:IF183" si="946">+HG173-HF173</f>
        <v>4.2774893700000121</v>
      </c>
      <c r="IG173" s="102">
        <f t="shared" ref="IG173:IG183" si="947">+HH173-HG173</f>
        <v>-539.44251412000006</v>
      </c>
      <c r="IH173" s="102">
        <f t="shared" si="939"/>
        <v>-20.92806939999997</v>
      </c>
      <c r="II173" s="102">
        <f t="shared" si="894"/>
        <v>722.67169222000007</v>
      </c>
      <c r="IJ173" s="102">
        <f t="shared" si="895"/>
        <v>-79.385279229999924</v>
      </c>
      <c r="IK173" s="102">
        <f t="shared" si="896"/>
        <v>-420.71090241000013</v>
      </c>
      <c r="IL173" s="102">
        <f t="shared" si="870"/>
        <v>-610.44292705999999</v>
      </c>
      <c r="IM173" s="102">
        <f t="shared" ref="IM173:IM183" si="948">+HP173-HO173</f>
        <v>0</v>
      </c>
      <c r="IN173" s="102">
        <f t="shared" si="871"/>
        <v>-610.44292705999999</v>
      </c>
      <c r="IP173" s="973"/>
      <c r="IQ173" s="973"/>
      <c r="IR173" s="973"/>
      <c r="IS173" s="973"/>
      <c r="IT173" s="973"/>
      <c r="IU173" s="973"/>
      <c r="IV173" s="973"/>
      <c r="IW173" s="973"/>
      <c r="IX173" s="973"/>
      <c r="IY173" s="973"/>
      <c r="JA173" s="102">
        <f t="shared" si="727"/>
        <v>406.06706401999998</v>
      </c>
      <c r="JB173" s="102">
        <f t="shared" si="933"/>
        <v>183.33468015</v>
      </c>
      <c r="JC173" s="102">
        <f t="shared" si="933"/>
        <v>943.96051063000004</v>
      </c>
      <c r="JD173" s="102">
        <f t="shared" si="933"/>
        <v>948.23800000000006</v>
      </c>
      <c r="JE173" s="102">
        <f t="shared" si="933"/>
        <v>408.79548588</v>
      </c>
      <c r="JF173" s="102">
        <f t="shared" si="933"/>
        <v>387.86741648000003</v>
      </c>
      <c r="JG173" s="102">
        <f t="shared" si="933"/>
        <v>1110.5391087</v>
      </c>
      <c r="JH173" s="102">
        <f t="shared" si="933"/>
        <v>1031.1538294700001</v>
      </c>
      <c r="JI173" s="102">
        <f t="shared" si="933"/>
        <v>610.44292705999999</v>
      </c>
      <c r="JJ173" s="102">
        <f t="shared" si="933"/>
        <v>1033.80769029</v>
      </c>
      <c r="JK173" s="102">
        <f t="shared" si="933"/>
        <v>3579.8173610200001</v>
      </c>
      <c r="JL173" s="102">
        <f t="shared" si="728"/>
        <v>3579.8173610200001</v>
      </c>
      <c r="JM173" s="102"/>
      <c r="JN173" s="102"/>
      <c r="JP173" s="102">
        <f t="shared" si="897"/>
        <v>0</v>
      </c>
      <c r="JQ173" s="102">
        <f t="shared" si="898"/>
        <v>0</v>
      </c>
      <c r="JR173" s="145"/>
      <c r="JS173" s="929" t="str">
        <f t="shared" ref="JS173:JS183" si="949">+IFERROR(JP173/JQ173,"NA")</f>
        <v>NA</v>
      </c>
      <c r="JT173" s="930">
        <f t="shared" ref="JT173:JT183" si="950">+IFERROR(JP173-JQ173,"NA")</f>
        <v>0</v>
      </c>
      <c r="JV173" s="973"/>
      <c r="JW173" s="973"/>
      <c r="JY173" s="929">
        <f t="shared" si="925"/>
        <v>4.1488376877613904</v>
      </c>
      <c r="JZ173" s="929">
        <f t="shared" si="926"/>
        <v>4.5314282979329601E-3</v>
      </c>
      <c r="KA173" s="929">
        <f t="shared" si="927"/>
        <v>-0.56888936545466429</v>
      </c>
      <c r="KB173" s="929">
        <f t="shared" si="928"/>
        <v>-5.1194472842450378E-2</v>
      </c>
      <c r="KC173" s="929">
        <f t="shared" si="929"/>
        <v>1.863192579511932</v>
      </c>
      <c r="KD173" s="929">
        <f t="shared" si="930"/>
        <v>-7.1483551194274075E-2</v>
      </c>
      <c r="KE173" s="929">
        <f t="shared" si="931"/>
        <v>-0.40800013575689298</v>
      </c>
      <c r="KF173" s="929">
        <f t="shared" si="932"/>
        <v>-1</v>
      </c>
      <c r="KH173" s="102">
        <f t="shared" si="900"/>
        <v>760.6258304800001</v>
      </c>
      <c r="KI173" s="102">
        <f t="shared" si="901"/>
        <v>4.2774893700000121</v>
      </c>
      <c r="KJ173" s="102">
        <f t="shared" si="902"/>
        <v>-539.44251412000006</v>
      </c>
      <c r="KK173" s="102">
        <f t="shared" si="903"/>
        <v>-20.92806939999997</v>
      </c>
      <c r="KL173" s="102">
        <f t="shared" si="904"/>
        <v>722.67169222000007</v>
      </c>
      <c r="KM173" s="102">
        <f t="shared" si="905"/>
        <v>-79.385279229999924</v>
      </c>
      <c r="KN173" s="102">
        <f t="shared" si="906"/>
        <v>-420.71090241000013</v>
      </c>
      <c r="KO173" s="102">
        <f t="shared" si="907"/>
        <v>-610.44292705999999</v>
      </c>
      <c r="KQ173" s="973"/>
      <c r="KR173" s="973"/>
      <c r="KS173" s="973"/>
      <c r="KT173" s="973"/>
      <c r="KU173" s="973"/>
      <c r="KV173" s="973"/>
      <c r="KW173" s="973"/>
      <c r="KX173" s="973"/>
      <c r="KY173" s="973"/>
      <c r="KZ173" s="973"/>
      <c r="LB173" s="102">
        <f t="shared" si="737"/>
        <v>406.06706401999998</v>
      </c>
      <c r="LC173" s="102">
        <f t="shared" si="934"/>
        <v>183.33468015</v>
      </c>
      <c r="LD173" s="102">
        <f t="shared" si="934"/>
        <v>943.96051063000004</v>
      </c>
      <c r="LE173" s="102">
        <f t="shared" si="934"/>
        <v>948.23800000000006</v>
      </c>
      <c r="LF173" s="102">
        <f t="shared" si="934"/>
        <v>408.79548588</v>
      </c>
      <c r="LG173" s="102">
        <f t="shared" si="934"/>
        <v>387.86741648000003</v>
      </c>
      <c r="LH173" s="102">
        <f t="shared" si="934"/>
        <v>1110.5391087</v>
      </c>
      <c r="LI173" s="102">
        <f t="shared" si="934"/>
        <v>1031.1538294700001</v>
      </c>
      <c r="LJ173" s="102">
        <f t="shared" si="934"/>
        <v>610.44292705999999</v>
      </c>
      <c r="LK173" s="102">
        <f t="shared" si="934"/>
        <v>1033.80769029</v>
      </c>
      <c r="LL173" s="102">
        <f t="shared" si="934"/>
        <v>3579.8173610200001</v>
      </c>
      <c r="LM173" s="102">
        <f t="shared" si="934"/>
        <v>3579.8173610200001</v>
      </c>
      <c r="LN173" s="102"/>
      <c r="LO173" s="102"/>
      <c r="LR173" s="32">
        <f t="shared" si="908"/>
        <v>4.1488376877613904</v>
      </c>
      <c r="LS173" s="32">
        <f t="shared" si="909"/>
        <v>4.5314282979329601E-3</v>
      </c>
      <c r="LT173" s="32">
        <f t="shared" si="910"/>
        <v>-0.56888936545466429</v>
      </c>
      <c r="LU173" s="32">
        <f t="shared" si="911"/>
        <v>-5.1194472842450378E-2</v>
      </c>
      <c r="LV173" s="32">
        <f t="shared" si="912"/>
        <v>1.863192579511932</v>
      </c>
      <c r="LW173" s="32">
        <f t="shared" si="913"/>
        <v>-7.1483551194274075E-2</v>
      </c>
      <c r="LX173" s="32">
        <f t="shared" si="848"/>
        <v>-1</v>
      </c>
      <c r="LZ173" s="102">
        <f t="shared" si="914"/>
        <v>760.6258304800001</v>
      </c>
      <c r="MA173" s="102">
        <f t="shared" si="915"/>
        <v>4.2774893700000121</v>
      </c>
      <c r="MB173" s="102">
        <f t="shared" si="916"/>
        <v>-539.44251412000006</v>
      </c>
      <c r="MC173" s="102">
        <f t="shared" si="917"/>
        <v>-20.92806939999997</v>
      </c>
      <c r="MD173" s="102">
        <f t="shared" si="918"/>
        <v>722.67169222000007</v>
      </c>
      <c r="ME173" s="102">
        <f t="shared" si="919"/>
        <v>-79.385279229999924</v>
      </c>
      <c r="MF173" s="102">
        <f t="shared" si="849"/>
        <v>-1031.1538294700001</v>
      </c>
      <c r="MH173" s="973"/>
      <c r="MI173" s="973"/>
      <c r="MJ173" s="973"/>
      <c r="MK173" s="973"/>
      <c r="ML173" s="973"/>
      <c r="MM173" s="973"/>
      <c r="MN173" s="973"/>
      <c r="MO173" s="973"/>
      <c r="MP173" s="973"/>
    </row>
    <row r="174" spans="1:354" outlineLevel="1">
      <c r="A174" s="884">
        <v>2335</v>
      </c>
      <c r="B174" s="70" t="s">
        <v>730</v>
      </c>
      <c r="C174" s="17" t="s">
        <v>731</v>
      </c>
      <c r="D174" s="31" t="s">
        <v>59</v>
      </c>
      <c r="E174" s="102">
        <v>833.87370262000002</v>
      </c>
      <c r="F174" s="102">
        <v>425.46559611000004</v>
      </c>
      <c r="G174" s="102">
        <v>554.54481752999993</v>
      </c>
      <c r="H174" s="102">
        <v>614.53751061000003</v>
      </c>
      <c r="I174" s="102">
        <v>615.38088047000008</v>
      </c>
      <c r="J174" s="102">
        <v>1101.4930338900001</v>
      </c>
      <c r="K174" s="102">
        <v>775.24958847000005</v>
      </c>
      <c r="L174" s="102">
        <v>593.82705224999995</v>
      </c>
      <c r="M174" s="102">
        <v>440.26805521</v>
      </c>
      <c r="N174" s="102">
        <v>340.62085826999999</v>
      </c>
      <c r="O174" s="102">
        <v>239.40693203000001</v>
      </c>
      <c r="P174" s="102">
        <v>234.20071649000002</v>
      </c>
      <c r="Q174" s="102">
        <v>339.21101570999997</v>
      </c>
      <c r="R174" s="102">
        <v>255.68676606</v>
      </c>
      <c r="S174" s="102">
        <v>279.89228869999999</v>
      </c>
      <c r="T174" s="102">
        <v>385.01420221000006</v>
      </c>
      <c r="U174" s="102">
        <v>348.09243884</v>
      </c>
      <c r="V174" s="102">
        <v>248.43290390000001</v>
      </c>
      <c r="W174" s="102">
        <v>275.84127654000008</v>
      </c>
      <c r="X174" s="102">
        <v>240.17013762999997</v>
      </c>
      <c r="Y174" s="102">
        <v>188.15597785</v>
      </c>
      <c r="Z174" s="102">
        <v>150.88372246000003</v>
      </c>
      <c r="AA174" s="102">
        <v>170.27113033000001</v>
      </c>
      <c r="AB174" s="102">
        <v>131.82741253999998</v>
      </c>
      <c r="AC174" s="102">
        <v>220.00164286999998</v>
      </c>
      <c r="AD174" s="102">
        <v>209.80067578000001</v>
      </c>
      <c r="AE174" s="102">
        <v>232.97350301999995</v>
      </c>
      <c r="AF174" s="102">
        <v>178.74975109999997</v>
      </c>
      <c r="AG174" s="102">
        <v>161.30860923</v>
      </c>
      <c r="AH174" s="102">
        <v>167.60353080000002</v>
      </c>
      <c r="AI174" s="102">
        <v>216.43576092999996</v>
      </c>
      <c r="AJ174" s="102">
        <v>222.91734475999996</v>
      </c>
      <c r="AK174" s="102">
        <v>183.56763583999998</v>
      </c>
      <c r="AL174" s="102">
        <v>194.17313098</v>
      </c>
      <c r="AM174" s="102">
        <v>218.26371952999997</v>
      </c>
      <c r="AN174" s="102">
        <v>177.48362533999995</v>
      </c>
      <c r="AO174" s="102">
        <v>56.340919729999996</v>
      </c>
      <c r="AP174" s="145">
        <v>418.93064072999999</v>
      </c>
      <c r="AQ174" s="220">
        <v>188.75445431999998</v>
      </c>
      <c r="AR174" s="220">
        <v>333.53966337000003</v>
      </c>
      <c r="AS174" s="102">
        <v>229.57471579</v>
      </c>
      <c r="AT174" s="102">
        <v>239.35546049999999</v>
      </c>
      <c r="AU174" s="102">
        <v>183.38883149</v>
      </c>
      <c r="AV174" s="102">
        <v>181.03516958</v>
      </c>
      <c r="AW174" s="102">
        <v>137.57506393</v>
      </c>
      <c r="AX174" s="102">
        <v>159.02646168000001</v>
      </c>
      <c r="AY174" s="102">
        <v>372.31961324999997</v>
      </c>
      <c r="AZ174" s="102">
        <v>269.38810932999996</v>
      </c>
      <c r="BA174" s="102">
        <v>151.92203434000001</v>
      </c>
      <c r="BB174" s="102">
        <v>167.33714344000001</v>
      </c>
      <c r="BC174" s="102">
        <v>213.42897049999999</v>
      </c>
      <c r="BD174" s="102">
        <v>210.52037319999999</v>
      </c>
      <c r="BE174" s="102">
        <v>257.52700593999998</v>
      </c>
      <c r="BF174" s="102">
        <v>417.57125207999997</v>
      </c>
      <c r="BG174" s="102">
        <v>370.93235754</v>
      </c>
      <c r="BH174" s="102">
        <v>354.11675113000001</v>
      </c>
      <c r="BI174" s="102">
        <v>226.61722992</v>
      </c>
      <c r="BJ174" s="102">
        <v>203.44712025000001</v>
      </c>
      <c r="BK174" s="102">
        <v>301.15477411000001</v>
      </c>
      <c r="BL174" s="102">
        <v>224</v>
      </c>
      <c r="BM174" s="145">
        <v>1219.47724713</v>
      </c>
      <c r="BN174" s="102">
        <v>772.64378646</v>
      </c>
      <c r="BO174" s="102">
        <v>1073.7267790200001</v>
      </c>
      <c r="BP174" s="102">
        <v>560.18663301999993</v>
      </c>
      <c r="BQ174" s="102">
        <v>541.47221002000003</v>
      </c>
      <c r="BR174" s="102">
        <v>517.92220667000004</v>
      </c>
      <c r="BS174" s="102">
        <v>594.5089107</v>
      </c>
      <c r="BT174" s="102">
        <v>466.17991568999997</v>
      </c>
      <c r="BU174" s="102">
        <v>421.80959718000003</v>
      </c>
      <c r="BV174" s="102">
        <v>326.89998524999999</v>
      </c>
      <c r="BW174" s="102">
        <v>252.03786416999998</v>
      </c>
      <c r="BX174" s="102">
        <v>1342.1771091400001</v>
      </c>
      <c r="BY174" s="102">
        <v>581.89124120000008</v>
      </c>
      <c r="BZ174" s="102">
        <v>689.11475428999995</v>
      </c>
      <c r="CA174" s="102">
        <v>695.95068058000004</v>
      </c>
      <c r="CB174" s="102">
        <v>549.85866055999998</v>
      </c>
      <c r="CC174" s="102">
        <v>414.10823806000002</v>
      </c>
      <c r="CD174" s="102">
        <v>544.67835086000002</v>
      </c>
      <c r="CE174" s="102">
        <v>538.88257357000009</v>
      </c>
      <c r="CF174" s="102">
        <v>614.29593020000004</v>
      </c>
      <c r="CG174" s="102">
        <v>739.69582384</v>
      </c>
      <c r="CH174" s="102">
        <v>909.65571920000002</v>
      </c>
      <c r="CI174" s="102">
        <v>982.76898660000006</v>
      </c>
      <c r="CJ174" s="102">
        <v>1560.20745629</v>
      </c>
      <c r="CK174" s="102">
        <v>1229.6828616300002</v>
      </c>
      <c r="CL174" s="102">
        <v>1559.7576193800001</v>
      </c>
      <c r="CM174" s="102">
        <v>1262.26898996</v>
      </c>
      <c r="CN174" s="102">
        <v>1892.6792779300001</v>
      </c>
      <c r="CO174" s="102">
        <v>1449.3946595</v>
      </c>
      <c r="CP174" s="102">
        <v>1887.3863858</v>
      </c>
      <c r="CQ174" s="102">
        <v>1104.6567105199999</v>
      </c>
      <c r="CR174" s="102">
        <v>1471.24851377</v>
      </c>
      <c r="CS174" s="102">
        <v>894.59691441999996</v>
      </c>
      <c r="CT174" s="102">
        <v>1396.18476422</v>
      </c>
      <c r="CU174" s="102">
        <v>985.77582314999995</v>
      </c>
      <c r="CV174" s="102">
        <v>1994.82668816</v>
      </c>
      <c r="CW174" s="102">
        <v>888.99099597000009</v>
      </c>
      <c r="CX174" s="102">
        <v>1609.52919086</v>
      </c>
      <c r="CY174" s="102">
        <v>1751.10937132</v>
      </c>
      <c r="CZ174" s="102">
        <v>2100.3224281299999</v>
      </c>
      <c r="DA174" s="102">
        <v>1451.51113521</v>
      </c>
      <c r="DB174" s="102">
        <v>569.64440492999995</v>
      </c>
      <c r="DC174" s="102">
        <v>230.36720459</v>
      </c>
      <c r="DD174" s="102">
        <v>319.83370157999997</v>
      </c>
      <c r="DE174" s="102">
        <v>395.45453894000002</v>
      </c>
      <c r="DF174" s="102">
        <v>594.44673595000006</v>
      </c>
      <c r="DG174" s="102">
        <v>445.15482535000001</v>
      </c>
      <c r="DH174" s="102">
        <v>1147.8533564700001</v>
      </c>
      <c r="DI174" s="102">
        <v>450.65098202999997</v>
      </c>
      <c r="DJ174" s="102">
        <v>733.55029988000001</v>
      </c>
      <c r="DK174" s="102">
        <v>381.10443456000002</v>
      </c>
      <c r="DL174" s="102">
        <v>676.02241248999997</v>
      </c>
      <c r="DM174" s="102">
        <v>471.68015163000001</v>
      </c>
      <c r="DN174" s="102">
        <v>676.76889010000002</v>
      </c>
      <c r="DO174" s="102">
        <v>428.23525616000001</v>
      </c>
      <c r="DP174" s="102">
        <v>817.18018385000005</v>
      </c>
      <c r="DQ174" s="940">
        <v>467.73722226000001</v>
      </c>
      <c r="DR174" s="940">
        <v>739.74806737999995</v>
      </c>
      <c r="DS174" s="940">
        <v>441.3047454</v>
      </c>
      <c r="DT174" s="940">
        <v>800.53310648000001</v>
      </c>
      <c r="DU174" s="940">
        <v>481.55412280000002</v>
      </c>
      <c r="DV174" s="940">
        <v>1217.82612324</v>
      </c>
      <c r="DW174" s="940">
        <v>472.03251602</v>
      </c>
      <c r="DX174" s="940">
        <v>822.05558119000011</v>
      </c>
      <c r="DY174" s="940">
        <v>732.39741191999997</v>
      </c>
      <c r="DZ174" s="940">
        <v>1509.9011797999999</v>
      </c>
      <c r="EA174" s="940">
        <v>631.25527749000003</v>
      </c>
      <c r="EB174" s="940">
        <v>1184.7104923499999</v>
      </c>
      <c r="EC174" s="940">
        <v>775.69580886999995</v>
      </c>
      <c r="ED174" s="940">
        <v>1534.8673051600001</v>
      </c>
      <c r="EE174" s="940">
        <v>1703.6607737699999</v>
      </c>
      <c r="EF174" s="940">
        <v>2385.4815398600003</v>
      </c>
      <c r="EG174" s="77"/>
      <c r="EH174" s="102">
        <v>0</v>
      </c>
      <c r="EI174" s="102">
        <v>0</v>
      </c>
      <c r="EJ174" s="102">
        <v>0</v>
      </c>
      <c r="EK174" s="102">
        <v>0</v>
      </c>
      <c r="EL174" s="102">
        <v>0</v>
      </c>
      <c r="EM174" s="102">
        <v>0</v>
      </c>
      <c r="EN174" s="102">
        <v>0</v>
      </c>
      <c r="EO174" s="102">
        <v>0</v>
      </c>
      <c r="EP174" s="102">
        <v>0</v>
      </c>
      <c r="EQ174" s="102">
        <v>0</v>
      </c>
      <c r="ER174" s="102">
        <v>0</v>
      </c>
      <c r="ES174" s="102">
        <v>0</v>
      </c>
      <c r="EU174" s="102">
        <v>0</v>
      </c>
      <c r="EV174" s="102">
        <v>0</v>
      </c>
      <c r="EW174" s="102">
        <v>0</v>
      </c>
      <c r="EX174" s="102">
        <v>0</v>
      </c>
      <c r="EY174" s="102">
        <v>0</v>
      </c>
      <c r="EZ174" s="102">
        <v>0</v>
      </c>
      <c r="FA174" s="102">
        <v>0</v>
      </c>
      <c r="FB174" s="102">
        <v>0</v>
      </c>
      <c r="FC174" s="102">
        <v>0</v>
      </c>
      <c r="FD174" s="102">
        <v>0</v>
      </c>
      <c r="FE174" s="102">
        <v>0</v>
      </c>
      <c r="FF174" s="102">
        <v>0</v>
      </c>
      <c r="FG174" s="102">
        <v>265.06099999999998</v>
      </c>
      <c r="FH174" s="102">
        <v>266.06099999999998</v>
      </c>
      <c r="FI174" s="102">
        <v>267.06099999999998</v>
      </c>
      <c r="FJ174" s="102">
        <v>268.06099999999998</v>
      </c>
      <c r="FK174" s="102">
        <v>269.06099999999998</v>
      </c>
      <c r="FL174" s="102">
        <v>270.06099999999998</v>
      </c>
      <c r="FM174" s="102">
        <v>271.06099999999998</v>
      </c>
      <c r="FN174" s="102">
        <v>272.06099999999998</v>
      </c>
      <c r="FO174" s="102">
        <v>273.06099999999998</v>
      </c>
      <c r="FP174" s="102">
        <v>274.06099999999998</v>
      </c>
      <c r="FQ174" s="102">
        <v>275.06099999999998</v>
      </c>
      <c r="FR174" s="102">
        <v>276.06099999999998</v>
      </c>
      <c r="FS174" s="102"/>
      <c r="FT174" s="102"/>
      <c r="FU174" s="102"/>
      <c r="FV174" s="102"/>
      <c r="FW174" s="102"/>
      <c r="FX174" s="102"/>
      <c r="FY174" s="102"/>
      <c r="FZ174" s="102"/>
      <c r="GA174" s="102"/>
      <c r="GB174" s="102"/>
      <c r="GC174" s="102"/>
      <c r="GD174" s="102"/>
      <c r="GE174" s="102">
        <v>0</v>
      </c>
      <c r="GF174" s="102">
        <v>0</v>
      </c>
      <c r="GG174" s="102">
        <v>0</v>
      </c>
      <c r="GH174" s="102">
        <v>0</v>
      </c>
      <c r="GI174" s="102">
        <v>0</v>
      </c>
      <c r="GJ174" s="102">
        <v>0</v>
      </c>
      <c r="GK174" s="102">
        <v>0</v>
      </c>
      <c r="GL174" s="102">
        <v>0</v>
      </c>
      <c r="GM174" s="102">
        <v>0</v>
      </c>
      <c r="GN174" s="102">
        <v>0</v>
      </c>
      <c r="GO174" s="102">
        <v>0</v>
      </c>
      <c r="GP174" s="102">
        <v>0</v>
      </c>
      <c r="GQ174" s="102">
        <v>0</v>
      </c>
      <c r="GR174" s="102">
        <v>0</v>
      </c>
      <c r="GS174" s="102">
        <v>0</v>
      </c>
      <c r="GT174" s="102">
        <v>0</v>
      </c>
      <c r="GU174" s="102">
        <v>0</v>
      </c>
      <c r="GV174" s="102">
        <v>0</v>
      </c>
      <c r="GW174" s="102">
        <v>0</v>
      </c>
      <c r="GX174" s="102">
        <v>0</v>
      </c>
      <c r="GY174" s="102">
        <v>0</v>
      </c>
      <c r="GZ174" s="102">
        <v>0</v>
      </c>
      <c r="HA174" s="102">
        <v>0</v>
      </c>
      <c r="HB174" s="102">
        <v>0</v>
      </c>
      <c r="HD174" s="102">
        <f t="shared" si="940"/>
        <v>234.20071649000002</v>
      </c>
      <c r="HE174" s="102">
        <f t="shared" si="940"/>
        <v>131.82741253999998</v>
      </c>
      <c r="HF174" s="102">
        <f t="shared" si="940"/>
        <v>177.48362533999995</v>
      </c>
      <c r="HG174" s="102">
        <f t="shared" si="940"/>
        <v>269.38810932999996</v>
      </c>
      <c r="HH174" s="102">
        <f t="shared" si="890"/>
        <v>224</v>
      </c>
      <c r="HI174" s="102">
        <f t="shared" si="891"/>
        <v>1342.1771091400001</v>
      </c>
      <c r="HJ174" s="102">
        <f t="shared" si="846"/>
        <v>1560.20745629</v>
      </c>
      <c r="HK174" s="102">
        <f t="shared" si="847"/>
        <v>1994.82668816</v>
      </c>
      <c r="HL174" s="940">
        <f>+SUMIFS($E174:SEW174,$E$6:SEW$6,HL$7,$E$5:SEW$5,12)</f>
        <v>1147.8533564700001</v>
      </c>
      <c r="HM174" s="940">
        <f>+SUMIFS($E174:SEX174,$E$6:SEX$6,HM$7,$E$5:SEX$5,12)</f>
        <v>800.53310648000001</v>
      </c>
      <c r="HN174" s="940">
        <f>+SUMIFS($E174:SEY174,$E$6:SEY$6,HN$7,$E$5:SEY$5,12)</f>
        <v>2385.4815398600003</v>
      </c>
      <c r="HO174" s="102"/>
      <c r="HP174" s="102"/>
      <c r="HR174" s="929">
        <f t="shared" si="941"/>
        <v>0.34633322402612299</v>
      </c>
      <c r="HS174" s="929">
        <f t="shared" si="942"/>
        <v>0.51781951047000208</v>
      </c>
      <c r="HT174" s="929">
        <f t="shared" si="943"/>
        <v>-0.16848594187355026</v>
      </c>
      <c r="HU174" s="929">
        <f t="shared" si="935"/>
        <v>4.9918620943750005</v>
      </c>
      <c r="HV174" s="929">
        <f t="shared" si="936"/>
        <v>0.16244528808102143</v>
      </c>
      <c r="HW174" s="929">
        <f t="shared" si="937"/>
        <v>0.27856502679680584</v>
      </c>
      <c r="HX174" s="929">
        <f t="shared" si="938"/>
        <v>-0.42458492094430322</v>
      </c>
      <c r="HY174" s="929">
        <f t="shared" si="938"/>
        <v>-0.30258242312251105</v>
      </c>
      <c r="HZ174" s="929">
        <f t="shared" si="938"/>
        <v>1.9798661923541543</v>
      </c>
      <c r="IA174" s="929">
        <f t="shared" si="868"/>
        <v>-1</v>
      </c>
      <c r="IB174" s="929" t="str">
        <f t="shared" si="944"/>
        <v/>
      </c>
      <c r="IC174" s="929">
        <f t="shared" si="869"/>
        <v>-1</v>
      </c>
      <c r="IE174" s="102">
        <f t="shared" si="945"/>
        <v>45.656212799999963</v>
      </c>
      <c r="IF174" s="102">
        <f t="shared" si="946"/>
        <v>91.904483990000017</v>
      </c>
      <c r="IG174" s="102">
        <f t="shared" si="947"/>
        <v>-45.388109329999963</v>
      </c>
      <c r="IH174" s="102">
        <f t="shared" si="939"/>
        <v>1118.1771091400001</v>
      </c>
      <c r="II174" s="102">
        <f t="shared" si="894"/>
        <v>218.0303471499999</v>
      </c>
      <c r="IJ174" s="102">
        <f t="shared" si="895"/>
        <v>434.61923187000002</v>
      </c>
      <c r="IK174" s="102">
        <f t="shared" si="896"/>
        <v>-846.9733316899999</v>
      </c>
      <c r="IL174" s="102">
        <f t="shared" si="870"/>
        <v>-1147.8533564700001</v>
      </c>
      <c r="IM174" s="102">
        <f t="shared" si="948"/>
        <v>0</v>
      </c>
      <c r="IN174" s="102">
        <f t="shared" si="871"/>
        <v>-1147.8533564700001</v>
      </c>
      <c r="IP174" s="973"/>
      <c r="IQ174" s="973"/>
      <c r="IR174" s="973"/>
      <c r="IS174" s="973"/>
      <c r="IT174" s="973"/>
      <c r="IU174" s="973"/>
      <c r="IV174" s="973"/>
      <c r="IW174" s="973"/>
      <c r="IX174" s="973"/>
      <c r="IY174" s="973"/>
      <c r="JA174" s="102">
        <f t="shared" si="727"/>
        <v>234.20071649000002</v>
      </c>
      <c r="JB174" s="102">
        <f t="shared" si="933"/>
        <v>131.82741253999998</v>
      </c>
      <c r="JC174" s="102">
        <f t="shared" si="933"/>
        <v>177.48362533999995</v>
      </c>
      <c r="JD174" s="102">
        <f t="shared" si="933"/>
        <v>269.38810932999996</v>
      </c>
      <c r="JE174" s="102">
        <f t="shared" si="933"/>
        <v>224</v>
      </c>
      <c r="JF174" s="102">
        <f t="shared" si="933"/>
        <v>1342.1771091400001</v>
      </c>
      <c r="JG174" s="102">
        <f t="shared" si="933"/>
        <v>1560.20745629</v>
      </c>
      <c r="JH174" s="102">
        <f t="shared" si="933"/>
        <v>1994.82668816</v>
      </c>
      <c r="JI174" s="102">
        <f t="shared" si="933"/>
        <v>1147.8533564700001</v>
      </c>
      <c r="JJ174" s="102">
        <f t="shared" si="933"/>
        <v>800.53310648000001</v>
      </c>
      <c r="JK174" s="102">
        <f t="shared" si="933"/>
        <v>2385.4815398600003</v>
      </c>
      <c r="JL174" s="102">
        <f t="shared" si="728"/>
        <v>2385.4815398600003</v>
      </c>
      <c r="JM174" s="102"/>
      <c r="JN174" s="102"/>
      <c r="JP174" s="102">
        <f t="shared" si="897"/>
        <v>0</v>
      </c>
      <c r="JQ174" s="102">
        <f t="shared" si="898"/>
        <v>0</v>
      </c>
      <c r="JR174" s="145"/>
      <c r="JS174" s="929" t="str">
        <f t="shared" si="949"/>
        <v>NA</v>
      </c>
      <c r="JT174" s="930">
        <f t="shared" si="950"/>
        <v>0</v>
      </c>
      <c r="JV174" s="973"/>
      <c r="JW174" s="973"/>
      <c r="JY174" s="929">
        <f t="shared" si="925"/>
        <v>0.34633322402612299</v>
      </c>
      <c r="JZ174" s="929">
        <f t="shared" si="926"/>
        <v>0.51781951047000208</v>
      </c>
      <c r="KA174" s="929">
        <f t="shared" si="927"/>
        <v>-0.16848594187355026</v>
      </c>
      <c r="KB174" s="929">
        <f t="shared" si="928"/>
        <v>4.9918620943750005</v>
      </c>
      <c r="KC174" s="929">
        <f t="shared" si="929"/>
        <v>0.16244528808102143</v>
      </c>
      <c r="KD174" s="929">
        <f t="shared" si="930"/>
        <v>0.27856502679680584</v>
      </c>
      <c r="KE174" s="929">
        <f t="shared" si="931"/>
        <v>-0.42458492094430322</v>
      </c>
      <c r="KF174" s="929">
        <f t="shared" si="932"/>
        <v>-1</v>
      </c>
      <c r="KH174" s="102">
        <f t="shared" si="900"/>
        <v>45.656212799999963</v>
      </c>
      <c r="KI174" s="102">
        <f t="shared" si="901"/>
        <v>91.904483990000017</v>
      </c>
      <c r="KJ174" s="102">
        <f t="shared" si="902"/>
        <v>-45.388109329999963</v>
      </c>
      <c r="KK174" s="102">
        <f t="shared" si="903"/>
        <v>1118.1771091400001</v>
      </c>
      <c r="KL174" s="102">
        <f t="shared" si="904"/>
        <v>218.0303471499999</v>
      </c>
      <c r="KM174" s="102">
        <f t="shared" si="905"/>
        <v>434.61923187000002</v>
      </c>
      <c r="KN174" s="102">
        <f t="shared" si="906"/>
        <v>-846.9733316899999</v>
      </c>
      <c r="KO174" s="102">
        <f t="shared" si="907"/>
        <v>-1147.8533564700001</v>
      </c>
      <c r="KQ174" s="973"/>
      <c r="KR174" s="973"/>
      <c r="KS174" s="973"/>
      <c r="KT174" s="973"/>
      <c r="KU174" s="973"/>
      <c r="KV174" s="973"/>
      <c r="KW174" s="973"/>
      <c r="KX174" s="973"/>
      <c r="KY174" s="973"/>
      <c r="KZ174" s="973"/>
      <c r="LB174" s="102">
        <f t="shared" si="737"/>
        <v>234.20071649000002</v>
      </c>
      <c r="LC174" s="102">
        <f t="shared" si="934"/>
        <v>131.82741253999998</v>
      </c>
      <c r="LD174" s="102">
        <f t="shared" si="934"/>
        <v>177.48362533999995</v>
      </c>
      <c r="LE174" s="102">
        <f t="shared" si="934"/>
        <v>269.38810932999996</v>
      </c>
      <c r="LF174" s="102">
        <f t="shared" si="934"/>
        <v>224</v>
      </c>
      <c r="LG174" s="102">
        <f t="shared" si="934"/>
        <v>1342.1771091400001</v>
      </c>
      <c r="LH174" s="102">
        <f t="shared" si="934"/>
        <v>1560.20745629</v>
      </c>
      <c r="LI174" s="102">
        <f t="shared" si="934"/>
        <v>1994.82668816</v>
      </c>
      <c r="LJ174" s="102">
        <f t="shared" si="934"/>
        <v>1147.8533564700001</v>
      </c>
      <c r="LK174" s="102">
        <f t="shared" si="934"/>
        <v>800.53310648000001</v>
      </c>
      <c r="LL174" s="102">
        <f t="shared" si="934"/>
        <v>2385.4815398600003</v>
      </c>
      <c r="LM174" s="102">
        <f t="shared" si="934"/>
        <v>2385.4815398600003</v>
      </c>
      <c r="LN174" s="102"/>
      <c r="LO174" s="102"/>
      <c r="LR174" s="32">
        <f t="shared" si="908"/>
        <v>0.34633322402612299</v>
      </c>
      <c r="LS174" s="32">
        <f t="shared" si="909"/>
        <v>0.51781951047000208</v>
      </c>
      <c r="LT174" s="32">
        <f t="shared" si="910"/>
        <v>-0.16848594187355026</v>
      </c>
      <c r="LU174" s="32">
        <f t="shared" si="911"/>
        <v>4.9918620943750005</v>
      </c>
      <c r="LV174" s="32">
        <f t="shared" si="912"/>
        <v>0.16244528808102143</v>
      </c>
      <c r="LW174" s="32">
        <f t="shared" si="913"/>
        <v>0.27856502679680584</v>
      </c>
      <c r="LX174" s="32">
        <f t="shared" si="848"/>
        <v>-1</v>
      </c>
      <c r="LZ174" s="102">
        <f t="shared" si="914"/>
        <v>45.656212799999963</v>
      </c>
      <c r="MA174" s="102">
        <f t="shared" si="915"/>
        <v>91.904483990000017</v>
      </c>
      <c r="MB174" s="102">
        <f t="shared" si="916"/>
        <v>-45.388109329999963</v>
      </c>
      <c r="MC174" s="102">
        <f t="shared" si="917"/>
        <v>1118.1771091400001</v>
      </c>
      <c r="MD174" s="102">
        <f t="shared" si="918"/>
        <v>218.0303471499999</v>
      </c>
      <c r="ME174" s="102">
        <f t="shared" si="919"/>
        <v>434.61923187000002</v>
      </c>
      <c r="MF174" s="102">
        <f t="shared" si="849"/>
        <v>-1994.82668816</v>
      </c>
      <c r="MH174" s="973"/>
      <c r="MI174" s="973"/>
      <c r="MJ174" s="973"/>
      <c r="MK174" s="973"/>
      <c r="ML174" s="973"/>
      <c r="MM174" s="973"/>
      <c r="MN174" s="973"/>
      <c r="MO174" s="973"/>
      <c r="MP174" s="973"/>
    </row>
    <row r="175" spans="1:354" outlineLevel="1">
      <c r="A175" s="884">
        <v>2345</v>
      </c>
      <c r="B175" s="70" t="s">
        <v>732</v>
      </c>
      <c r="C175" s="17" t="s">
        <v>143</v>
      </c>
      <c r="D175" s="31" t="s">
        <v>59</v>
      </c>
      <c r="E175" s="102">
        <v>645.98900000000003</v>
      </c>
      <c r="F175" s="102">
        <v>577.34100000000001</v>
      </c>
      <c r="G175" s="102">
        <v>560.64300000000003</v>
      </c>
      <c r="H175" s="102">
        <v>559.99099999999999</v>
      </c>
      <c r="I175" s="102">
        <v>559.99099999999999</v>
      </c>
      <c r="J175" s="102">
        <v>559.99099999999999</v>
      </c>
      <c r="K175" s="102">
        <v>14.584</v>
      </c>
      <c r="L175" s="102">
        <v>0</v>
      </c>
      <c r="M175" s="102">
        <v>0</v>
      </c>
      <c r="N175" s="102">
        <v>0</v>
      </c>
      <c r="O175" s="102">
        <v>0</v>
      </c>
      <c r="P175" s="102">
        <v>0</v>
      </c>
      <c r="Q175" s="102">
        <v>0</v>
      </c>
      <c r="R175" s="102">
        <v>0</v>
      </c>
      <c r="S175" s="102">
        <v>0</v>
      </c>
      <c r="T175" s="102">
        <v>0</v>
      </c>
      <c r="U175" s="102">
        <v>0</v>
      </c>
      <c r="V175" s="102">
        <v>0</v>
      </c>
      <c r="W175" s="102">
        <v>0</v>
      </c>
      <c r="X175" s="102">
        <v>0</v>
      </c>
      <c r="Y175" s="102">
        <v>0</v>
      </c>
      <c r="Z175" s="102">
        <v>0</v>
      </c>
      <c r="AA175" s="102">
        <v>0</v>
      </c>
      <c r="AB175" s="102">
        <v>0</v>
      </c>
      <c r="AC175" s="102">
        <v>0</v>
      </c>
      <c r="AD175" s="102">
        <v>0</v>
      </c>
      <c r="AE175" s="102">
        <v>0</v>
      </c>
      <c r="AF175" s="102">
        <v>0</v>
      </c>
      <c r="AG175" s="102">
        <v>0</v>
      </c>
      <c r="AH175" s="102">
        <v>0</v>
      </c>
      <c r="AI175" s="102">
        <v>0</v>
      </c>
      <c r="AJ175" s="102">
        <v>0</v>
      </c>
      <c r="AK175" s="102">
        <v>0</v>
      </c>
      <c r="AL175" s="102">
        <v>0</v>
      </c>
      <c r="AM175" s="102">
        <v>0</v>
      </c>
      <c r="AN175" s="102">
        <v>0</v>
      </c>
      <c r="AO175" s="102">
        <v>0</v>
      </c>
      <c r="AP175" s="145">
        <v>0</v>
      </c>
      <c r="AQ175" s="220">
        <v>0</v>
      </c>
      <c r="AR175" s="220">
        <v>0</v>
      </c>
      <c r="AS175" s="102">
        <v>0</v>
      </c>
      <c r="AT175" s="102">
        <v>0</v>
      </c>
      <c r="AU175" s="102">
        <v>0</v>
      </c>
      <c r="AV175" s="102">
        <v>0</v>
      </c>
      <c r="AW175" s="102">
        <v>0</v>
      </c>
      <c r="AX175" s="102">
        <v>0</v>
      </c>
      <c r="AY175" s="102">
        <v>0</v>
      </c>
      <c r="AZ175" s="102">
        <v>0</v>
      </c>
      <c r="BA175" s="102">
        <v>0</v>
      </c>
      <c r="BB175" s="102">
        <v>0</v>
      </c>
      <c r="BC175" s="102">
        <v>0</v>
      </c>
      <c r="BD175" s="102">
        <v>0</v>
      </c>
      <c r="BE175" s="102">
        <v>0</v>
      </c>
      <c r="BF175" s="102">
        <v>0</v>
      </c>
      <c r="BG175" s="102">
        <v>0</v>
      </c>
      <c r="BH175" s="102">
        <v>0</v>
      </c>
      <c r="BI175" s="102">
        <v>0</v>
      </c>
      <c r="BJ175" s="102">
        <v>0</v>
      </c>
      <c r="BK175" s="102">
        <v>0</v>
      </c>
      <c r="BL175" s="102">
        <v>0</v>
      </c>
      <c r="BM175" s="145">
        <v>0</v>
      </c>
      <c r="BN175" s="102">
        <v>0</v>
      </c>
      <c r="BO175" s="102">
        <v>0</v>
      </c>
      <c r="BP175" s="102">
        <v>0</v>
      </c>
      <c r="BQ175" s="102">
        <v>0</v>
      </c>
      <c r="BR175" s="102">
        <v>0</v>
      </c>
      <c r="BS175" s="102">
        <v>0</v>
      </c>
      <c r="BT175" s="102">
        <v>0</v>
      </c>
      <c r="BU175" s="102">
        <v>0</v>
      </c>
      <c r="BV175" s="102">
        <v>0</v>
      </c>
      <c r="BW175" s="102">
        <v>0</v>
      </c>
      <c r="BX175" s="102">
        <v>0</v>
      </c>
      <c r="BY175" s="102">
        <v>0</v>
      </c>
      <c r="BZ175" s="102">
        <v>0</v>
      </c>
      <c r="CA175" s="102">
        <v>0</v>
      </c>
      <c r="CB175" s="102">
        <v>0</v>
      </c>
      <c r="CC175" s="102">
        <v>0</v>
      </c>
      <c r="CD175" s="102">
        <v>0</v>
      </c>
      <c r="CE175" s="102">
        <v>0</v>
      </c>
      <c r="CF175" s="102">
        <v>0</v>
      </c>
      <c r="CG175" s="102">
        <v>0</v>
      </c>
      <c r="CH175" s="102">
        <v>0</v>
      </c>
      <c r="CI175" s="102">
        <v>0</v>
      </c>
      <c r="CJ175" s="102">
        <v>0</v>
      </c>
      <c r="CK175" s="102">
        <v>0</v>
      </c>
      <c r="CL175" s="102">
        <v>0</v>
      </c>
      <c r="CM175" s="102">
        <v>0</v>
      </c>
      <c r="CN175" s="102">
        <v>0</v>
      </c>
      <c r="CO175" s="102">
        <v>0</v>
      </c>
      <c r="CP175" s="102">
        <v>0</v>
      </c>
      <c r="CQ175" s="102">
        <v>0</v>
      </c>
      <c r="CR175" s="102">
        <v>0</v>
      </c>
      <c r="CS175" s="102">
        <v>0</v>
      </c>
      <c r="CT175" s="102">
        <v>0</v>
      </c>
      <c r="CU175" s="102">
        <v>0</v>
      </c>
      <c r="CV175" s="102">
        <v>0</v>
      </c>
      <c r="CW175" s="102">
        <v>0</v>
      </c>
      <c r="CX175" s="102">
        <v>0</v>
      </c>
      <c r="CY175" s="102">
        <v>0</v>
      </c>
      <c r="CZ175" s="102">
        <v>0</v>
      </c>
      <c r="DA175" s="102">
        <v>0</v>
      </c>
      <c r="DB175" s="102">
        <v>0</v>
      </c>
      <c r="DC175" s="102">
        <v>0</v>
      </c>
      <c r="DD175" s="102">
        <v>0</v>
      </c>
      <c r="DE175" s="102">
        <v>0</v>
      </c>
      <c r="DF175" s="102">
        <v>0</v>
      </c>
      <c r="DG175" s="102">
        <v>0</v>
      </c>
      <c r="DH175" s="102">
        <v>0</v>
      </c>
      <c r="DI175" s="102">
        <v>0</v>
      </c>
      <c r="DJ175" s="102">
        <v>0</v>
      </c>
      <c r="DK175" s="102">
        <v>0</v>
      </c>
      <c r="DL175" s="102">
        <v>0</v>
      </c>
      <c r="DM175" s="102">
        <v>0</v>
      </c>
      <c r="DN175" s="102">
        <v>0</v>
      </c>
      <c r="DO175" s="102">
        <v>0</v>
      </c>
      <c r="DP175" s="102">
        <v>0</v>
      </c>
      <c r="DQ175" s="940">
        <v>0</v>
      </c>
      <c r="DR175" s="940">
        <v>0</v>
      </c>
      <c r="DS175" s="940">
        <v>0</v>
      </c>
      <c r="DT175" s="940">
        <v>0</v>
      </c>
      <c r="DU175" s="940">
        <v>0</v>
      </c>
      <c r="DV175" s="940">
        <v>0</v>
      </c>
      <c r="DW175" s="940">
        <v>0</v>
      </c>
      <c r="DX175" s="940">
        <v>0</v>
      </c>
      <c r="DY175" s="940">
        <v>0</v>
      </c>
      <c r="DZ175" s="940">
        <v>0</v>
      </c>
      <c r="EA175" s="940">
        <v>0</v>
      </c>
      <c r="EB175" s="940">
        <v>0</v>
      </c>
      <c r="EC175" s="940">
        <v>0</v>
      </c>
      <c r="ED175" s="940">
        <v>0</v>
      </c>
      <c r="EE175" s="940">
        <v>0</v>
      </c>
      <c r="EF175" s="940">
        <v>0</v>
      </c>
      <c r="EG175" s="77"/>
      <c r="EH175" s="102">
        <v>0</v>
      </c>
      <c r="EI175" s="102">
        <v>0</v>
      </c>
      <c r="EJ175" s="102">
        <v>0</v>
      </c>
      <c r="EK175" s="102">
        <v>0</v>
      </c>
      <c r="EL175" s="102">
        <v>0</v>
      </c>
      <c r="EM175" s="102">
        <v>0</v>
      </c>
      <c r="EN175" s="102">
        <v>0</v>
      </c>
      <c r="EO175" s="102">
        <v>0</v>
      </c>
      <c r="EP175" s="102">
        <v>0</v>
      </c>
      <c r="EQ175" s="102">
        <v>0</v>
      </c>
      <c r="ER175" s="102">
        <v>0</v>
      </c>
      <c r="ES175" s="102">
        <v>0</v>
      </c>
      <c r="EU175" s="102">
        <v>0</v>
      </c>
      <c r="EV175" s="102">
        <v>0</v>
      </c>
      <c r="EW175" s="102">
        <v>0</v>
      </c>
      <c r="EX175" s="102">
        <v>0</v>
      </c>
      <c r="EY175" s="102">
        <v>0</v>
      </c>
      <c r="EZ175" s="102">
        <v>0</v>
      </c>
      <c r="FA175" s="102">
        <v>0</v>
      </c>
      <c r="FB175" s="102">
        <v>0</v>
      </c>
      <c r="FC175" s="102">
        <v>0</v>
      </c>
      <c r="FD175" s="102">
        <v>0</v>
      </c>
      <c r="FE175" s="102">
        <v>0</v>
      </c>
      <c r="FF175" s="102">
        <v>0</v>
      </c>
      <c r="FG175" s="102"/>
      <c r="FH175" s="102"/>
      <c r="FI175" s="102"/>
      <c r="FJ175" s="102"/>
      <c r="FK175" s="102"/>
      <c r="FL175" s="102"/>
      <c r="FM175" s="102"/>
      <c r="FN175" s="102"/>
      <c r="FO175" s="102"/>
      <c r="FP175" s="102"/>
      <c r="FQ175" s="102"/>
      <c r="FR175" s="102"/>
      <c r="FS175" s="102"/>
      <c r="FT175" s="102"/>
      <c r="FU175" s="102"/>
      <c r="FV175" s="102"/>
      <c r="FW175" s="102"/>
      <c r="FX175" s="102"/>
      <c r="FY175" s="102"/>
      <c r="FZ175" s="102"/>
      <c r="GA175" s="102"/>
      <c r="GB175" s="102"/>
      <c r="GC175" s="102"/>
      <c r="GD175" s="102"/>
      <c r="GE175" s="102">
        <v>0</v>
      </c>
      <c r="GF175" s="102">
        <v>0</v>
      </c>
      <c r="GG175" s="102">
        <v>0</v>
      </c>
      <c r="GH175" s="102">
        <v>0</v>
      </c>
      <c r="GI175" s="102">
        <v>0</v>
      </c>
      <c r="GJ175" s="102">
        <v>0</v>
      </c>
      <c r="GK175" s="102">
        <v>0</v>
      </c>
      <c r="GL175" s="102">
        <v>0</v>
      </c>
      <c r="GM175" s="102">
        <v>0</v>
      </c>
      <c r="GN175" s="102">
        <v>0</v>
      </c>
      <c r="GO175" s="102">
        <v>0</v>
      </c>
      <c r="GP175" s="102">
        <v>0</v>
      </c>
      <c r="GQ175" s="102">
        <v>0</v>
      </c>
      <c r="GR175" s="102">
        <v>0</v>
      </c>
      <c r="GS175" s="102">
        <v>0</v>
      </c>
      <c r="GT175" s="102">
        <v>0</v>
      </c>
      <c r="GU175" s="102">
        <v>0</v>
      </c>
      <c r="GV175" s="102">
        <v>0</v>
      </c>
      <c r="GW175" s="102">
        <v>0</v>
      </c>
      <c r="GX175" s="102">
        <v>0</v>
      </c>
      <c r="GY175" s="102">
        <v>0</v>
      </c>
      <c r="GZ175" s="102">
        <v>0</v>
      </c>
      <c r="HA175" s="102">
        <v>0</v>
      </c>
      <c r="HB175" s="102">
        <v>0</v>
      </c>
      <c r="HD175" s="102">
        <f t="shared" si="940"/>
        <v>0</v>
      </c>
      <c r="HE175" s="102">
        <f t="shared" si="940"/>
        <v>0</v>
      </c>
      <c r="HF175" s="102">
        <f t="shared" si="940"/>
        <v>0</v>
      </c>
      <c r="HG175" s="102">
        <f t="shared" si="940"/>
        <v>0</v>
      </c>
      <c r="HH175" s="102">
        <f t="shared" si="890"/>
        <v>0</v>
      </c>
      <c r="HI175" s="102">
        <f t="shared" si="891"/>
        <v>0</v>
      </c>
      <c r="HJ175" s="102">
        <f t="shared" si="846"/>
        <v>0</v>
      </c>
      <c r="HK175" s="102">
        <f t="shared" si="847"/>
        <v>0</v>
      </c>
      <c r="HL175" s="940">
        <f>+SUMIFS($E175:SEW175,$E$6:SEW$6,HL$7,$E$5:SEW$5,12)</f>
        <v>0</v>
      </c>
      <c r="HM175" s="940">
        <f>+SUMIFS($E175:SEX175,$E$6:SEX$6,HM$7,$E$5:SEX$5,12)</f>
        <v>0</v>
      </c>
      <c r="HN175" s="940">
        <f>+SUMIFS($E175:SEY175,$E$6:SEY$6,HN$7,$E$5:SEY$5,12)</f>
        <v>0</v>
      </c>
      <c r="HO175" s="102"/>
      <c r="HP175" s="102"/>
      <c r="HR175" s="929" t="str">
        <f t="shared" si="941"/>
        <v/>
      </c>
      <c r="HS175" s="929" t="str">
        <f t="shared" si="942"/>
        <v/>
      </c>
      <c r="HT175" s="929" t="str">
        <f t="shared" si="943"/>
        <v/>
      </c>
      <c r="HU175" s="929" t="str">
        <f t="shared" si="935"/>
        <v/>
      </c>
      <c r="HV175" s="929" t="str">
        <f t="shared" si="936"/>
        <v/>
      </c>
      <c r="HW175" s="929" t="str">
        <f t="shared" si="937"/>
        <v/>
      </c>
      <c r="HX175" s="929" t="str">
        <f t="shared" si="938"/>
        <v/>
      </c>
      <c r="HY175" s="929" t="str">
        <f t="shared" si="938"/>
        <v/>
      </c>
      <c r="HZ175" s="929" t="str">
        <f t="shared" si="938"/>
        <v/>
      </c>
      <c r="IA175" s="929" t="str">
        <f t="shared" si="868"/>
        <v/>
      </c>
      <c r="IB175" s="929" t="str">
        <f t="shared" si="944"/>
        <v/>
      </c>
      <c r="IC175" s="929" t="str">
        <f t="shared" si="869"/>
        <v/>
      </c>
      <c r="IE175" s="102">
        <f t="shared" si="945"/>
        <v>0</v>
      </c>
      <c r="IF175" s="102">
        <f t="shared" si="946"/>
        <v>0</v>
      </c>
      <c r="IG175" s="102">
        <f t="shared" si="947"/>
        <v>0</v>
      </c>
      <c r="IH175" s="102">
        <f t="shared" si="939"/>
        <v>0</v>
      </c>
      <c r="II175" s="102">
        <f t="shared" si="894"/>
        <v>0</v>
      </c>
      <c r="IJ175" s="102">
        <f t="shared" si="895"/>
        <v>0</v>
      </c>
      <c r="IK175" s="102">
        <f t="shared" si="896"/>
        <v>0</v>
      </c>
      <c r="IL175" s="102">
        <f t="shared" si="870"/>
        <v>0</v>
      </c>
      <c r="IM175" s="102">
        <f t="shared" si="948"/>
        <v>0</v>
      </c>
      <c r="IN175" s="102">
        <f t="shared" si="871"/>
        <v>0</v>
      </c>
      <c r="IP175" s="973"/>
      <c r="IQ175" s="973"/>
      <c r="IR175" s="973"/>
      <c r="IS175" s="973"/>
      <c r="IT175" s="973"/>
      <c r="IU175" s="973"/>
      <c r="IV175" s="973"/>
      <c r="IW175" s="973"/>
      <c r="IX175" s="973"/>
      <c r="IY175" s="973"/>
      <c r="JA175" s="102">
        <f t="shared" si="727"/>
        <v>0</v>
      </c>
      <c r="JB175" s="102">
        <f t="shared" si="933"/>
        <v>0</v>
      </c>
      <c r="JC175" s="102">
        <f t="shared" si="933"/>
        <v>0</v>
      </c>
      <c r="JD175" s="102">
        <f t="shared" si="933"/>
        <v>0</v>
      </c>
      <c r="JE175" s="102">
        <f t="shared" si="933"/>
        <v>0</v>
      </c>
      <c r="JF175" s="102">
        <f t="shared" si="933"/>
        <v>0</v>
      </c>
      <c r="JG175" s="102">
        <f t="shared" si="933"/>
        <v>0</v>
      </c>
      <c r="JH175" s="102">
        <f t="shared" si="933"/>
        <v>0</v>
      </c>
      <c r="JI175" s="102">
        <f t="shared" si="933"/>
        <v>0</v>
      </c>
      <c r="JJ175" s="102">
        <f t="shared" si="933"/>
        <v>0</v>
      </c>
      <c r="JK175" s="102">
        <f t="shared" si="933"/>
        <v>0</v>
      </c>
      <c r="JL175" s="102">
        <f t="shared" si="728"/>
        <v>0</v>
      </c>
      <c r="JM175" s="102"/>
      <c r="JN175" s="102"/>
      <c r="JP175" s="102">
        <f t="shared" si="897"/>
        <v>0</v>
      </c>
      <c r="JQ175" s="102">
        <f t="shared" si="898"/>
        <v>0</v>
      </c>
      <c r="JR175" s="145"/>
      <c r="JS175" s="929" t="str">
        <f t="shared" si="949"/>
        <v>NA</v>
      </c>
      <c r="JT175" s="930">
        <f t="shared" si="950"/>
        <v>0</v>
      </c>
      <c r="JV175" s="973"/>
      <c r="JW175" s="973"/>
      <c r="JY175" s="929" t="str">
        <f t="shared" si="925"/>
        <v/>
      </c>
      <c r="JZ175" s="929" t="str">
        <f t="shared" si="926"/>
        <v/>
      </c>
      <c r="KA175" s="929" t="str">
        <f t="shared" si="927"/>
        <v/>
      </c>
      <c r="KB175" s="929" t="str">
        <f t="shared" si="928"/>
        <v/>
      </c>
      <c r="KC175" s="929" t="str">
        <f t="shared" si="929"/>
        <v/>
      </c>
      <c r="KD175" s="929" t="str">
        <f t="shared" si="930"/>
        <v/>
      </c>
      <c r="KE175" s="929" t="str">
        <f t="shared" si="931"/>
        <v/>
      </c>
      <c r="KF175" s="929" t="str">
        <f t="shared" si="932"/>
        <v/>
      </c>
      <c r="KH175" s="102">
        <f t="shared" si="900"/>
        <v>0</v>
      </c>
      <c r="KI175" s="102">
        <f t="shared" si="901"/>
        <v>0</v>
      </c>
      <c r="KJ175" s="102">
        <f t="shared" si="902"/>
        <v>0</v>
      </c>
      <c r="KK175" s="102">
        <f t="shared" si="903"/>
        <v>0</v>
      </c>
      <c r="KL175" s="102">
        <f t="shared" si="904"/>
        <v>0</v>
      </c>
      <c r="KM175" s="102">
        <f t="shared" si="905"/>
        <v>0</v>
      </c>
      <c r="KN175" s="102">
        <f t="shared" si="906"/>
        <v>0</v>
      </c>
      <c r="KO175" s="102">
        <f t="shared" si="907"/>
        <v>0</v>
      </c>
      <c r="KQ175" s="973"/>
      <c r="KR175" s="973"/>
      <c r="KS175" s="973"/>
      <c r="KT175" s="973"/>
      <c r="KU175" s="973"/>
      <c r="KV175" s="973"/>
      <c r="KW175" s="973"/>
      <c r="KX175" s="973"/>
      <c r="KY175" s="973"/>
      <c r="KZ175" s="973"/>
      <c r="LB175" s="102">
        <f t="shared" si="737"/>
        <v>0</v>
      </c>
      <c r="LC175" s="102">
        <f t="shared" si="934"/>
        <v>0</v>
      </c>
      <c r="LD175" s="102">
        <f t="shared" si="934"/>
        <v>0</v>
      </c>
      <c r="LE175" s="102">
        <f t="shared" si="934"/>
        <v>0</v>
      </c>
      <c r="LF175" s="102">
        <f t="shared" si="934"/>
        <v>0</v>
      </c>
      <c r="LG175" s="102">
        <f t="shared" si="934"/>
        <v>0</v>
      </c>
      <c r="LH175" s="102">
        <f t="shared" si="934"/>
        <v>0</v>
      </c>
      <c r="LI175" s="102">
        <f t="shared" si="934"/>
        <v>0</v>
      </c>
      <c r="LJ175" s="102">
        <f t="shared" si="934"/>
        <v>0</v>
      </c>
      <c r="LK175" s="102">
        <f t="shared" si="934"/>
        <v>0</v>
      </c>
      <c r="LL175" s="102">
        <f t="shared" si="934"/>
        <v>0</v>
      </c>
      <c r="LM175" s="102">
        <f t="shared" si="934"/>
        <v>0</v>
      </c>
      <c r="LN175" s="102"/>
      <c r="LO175" s="102"/>
      <c r="LR175" s="32" t="str">
        <f t="shared" si="908"/>
        <v xml:space="preserve"> </v>
      </c>
      <c r="LS175" s="32" t="str">
        <f t="shared" si="909"/>
        <v xml:space="preserve"> </v>
      </c>
      <c r="LT175" s="32" t="str">
        <f t="shared" si="910"/>
        <v xml:space="preserve"> </v>
      </c>
      <c r="LU175" s="32" t="str">
        <f t="shared" si="911"/>
        <v xml:space="preserve"> </v>
      </c>
      <c r="LV175" s="32" t="str">
        <f t="shared" si="912"/>
        <v xml:space="preserve"> </v>
      </c>
      <c r="LW175" s="32" t="str">
        <f t="shared" si="913"/>
        <v xml:space="preserve"> </v>
      </c>
      <c r="LX175" s="32" t="str">
        <f t="shared" si="848"/>
        <v xml:space="preserve"> </v>
      </c>
      <c r="LZ175" s="102">
        <f t="shared" si="914"/>
        <v>0</v>
      </c>
      <c r="MA175" s="102">
        <f t="shared" si="915"/>
        <v>0</v>
      </c>
      <c r="MB175" s="102">
        <f t="shared" si="916"/>
        <v>0</v>
      </c>
      <c r="MC175" s="102">
        <f t="shared" si="917"/>
        <v>0</v>
      </c>
      <c r="MD175" s="102">
        <f t="shared" si="918"/>
        <v>0</v>
      </c>
      <c r="ME175" s="102">
        <f t="shared" si="919"/>
        <v>0</v>
      </c>
      <c r="MF175" s="102">
        <f t="shared" si="849"/>
        <v>0</v>
      </c>
      <c r="MH175" s="973"/>
      <c r="MI175" s="973"/>
      <c r="MJ175" s="973"/>
      <c r="MK175" s="973"/>
      <c r="ML175" s="973"/>
      <c r="MM175" s="973"/>
      <c r="MN175" s="973"/>
      <c r="MO175" s="973"/>
      <c r="MP175" s="973"/>
    </row>
    <row r="176" spans="1:354" outlineLevel="1">
      <c r="A176" s="884"/>
      <c r="B176" s="70"/>
      <c r="C176" s="17" t="s">
        <v>144</v>
      </c>
      <c r="D176" s="31" t="s">
        <v>59</v>
      </c>
      <c r="E176" s="102">
        <v>530.74354000000005</v>
      </c>
      <c r="F176" s="102">
        <v>433.26112499999999</v>
      </c>
      <c r="G176" s="102">
        <v>386.045658</v>
      </c>
      <c r="H176" s="102">
        <v>466.32072500000004</v>
      </c>
      <c r="I176" s="102">
        <v>405.92260900000002</v>
      </c>
      <c r="J176" s="102">
        <v>483.63515000000001</v>
      </c>
      <c r="K176" s="102">
        <v>477.052075</v>
      </c>
      <c r="L176" s="102">
        <v>468.15261800000002</v>
      </c>
      <c r="M176" s="102">
        <v>433.97758499999998</v>
      </c>
      <c r="N176" s="102">
        <v>415.49543999999997</v>
      </c>
      <c r="O176" s="102">
        <v>477.59211299999998</v>
      </c>
      <c r="P176" s="102">
        <v>443.16883100000001</v>
      </c>
      <c r="Q176" s="102">
        <v>464.18747000000002</v>
      </c>
      <c r="R176" s="102">
        <v>492.24042300000002</v>
      </c>
      <c r="S176" s="102">
        <v>548.76393399999995</v>
      </c>
      <c r="T176" s="102">
        <v>531.25689199999999</v>
      </c>
      <c r="U176" s="102">
        <v>475.44549700000005</v>
      </c>
      <c r="V176" s="102">
        <v>495.63077400000003</v>
      </c>
      <c r="W176" s="102">
        <v>431.40445799999998</v>
      </c>
      <c r="X176" s="102">
        <v>484.33236599999998</v>
      </c>
      <c r="Y176" s="102">
        <v>435.36238799999995</v>
      </c>
      <c r="Z176" s="102">
        <v>445.11995000000002</v>
      </c>
      <c r="AA176" s="102">
        <v>424.90312399999993</v>
      </c>
      <c r="AB176" s="102">
        <v>410.98695500000002</v>
      </c>
      <c r="AC176" s="102">
        <v>371.73032060000003</v>
      </c>
      <c r="AD176" s="102">
        <v>388.88734762000001</v>
      </c>
      <c r="AE176" s="102">
        <v>379.91873569999996</v>
      </c>
      <c r="AF176" s="102">
        <v>407.45360977999997</v>
      </c>
      <c r="AG176" s="102">
        <v>470.94395886000007</v>
      </c>
      <c r="AH176" s="102">
        <v>413.79353897999999</v>
      </c>
      <c r="AI176" s="102">
        <v>433.19265727000004</v>
      </c>
      <c r="AJ176" s="102">
        <v>497.88483737999996</v>
      </c>
      <c r="AK176" s="102">
        <v>478.82800219999996</v>
      </c>
      <c r="AL176" s="102">
        <v>517.47233024000002</v>
      </c>
      <c r="AM176" s="102">
        <v>669.26870259999998</v>
      </c>
      <c r="AN176" s="143">
        <v>536.001668</v>
      </c>
      <c r="AO176" s="975">
        <v>581.91832107000005</v>
      </c>
      <c r="AP176" s="976">
        <v>-232.58423220000003</v>
      </c>
      <c r="AQ176" s="975">
        <v>-374.21058670000002</v>
      </c>
      <c r="AR176" s="975">
        <v>322.78724963000002</v>
      </c>
      <c r="AS176" s="975">
        <v>454.08529162999997</v>
      </c>
      <c r="AT176" s="975">
        <v>276.08451862999999</v>
      </c>
      <c r="AU176" s="975">
        <v>340.86958762999996</v>
      </c>
      <c r="AV176" s="975">
        <v>256.91808662999995</v>
      </c>
      <c r="AW176" s="975">
        <v>260.26211862999997</v>
      </c>
      <c r="AX176" s="975">
        <v>274.56788762999997</v>
      </c>
      <c r="AY176" s="975">
        <v>290.48159263000002</v>
      </c>
      <c r="AZ176" s="102">
        <f>SUM(AZ177:AZ178)</f>
        <v>223.465464</v>
      </c>
      <c r="BA176" s="102">
        <v>148.465722</v>
      </c>
      <c r="BB176" s="102">
        <v>159.024902</v>
      </c>
      <c r="BC176" s="102">
        <v>218.25161599999998</v>
      </c>
      <c r="BD176" s="102">
        <v>85.566799000000003</v>
      </c>
      <c r="BE176" s="102">
        <v>75.885096000000004</v>
      </c>
      <c r="BF176" s="102">
        <v>245.18224599999999</v>
      </c>
      <c r="BG176" s="102">
        <v>7.4352799999999997</v>
      </c>
      <c r="BH176" s="102">
        <v>4.5566149999999999</v>
      </c>
      <c r="BI176" s="102">
        <v>2.2957109999999998</v>
      </c>
      <c r="BJ176" s="102">
        <v>2.2916410800000002</v>
      </c>
      <c r="BK176" s="102">
        <v>2.2669092800000001</v>
      </c>
      <c r="BL176" s="145">
        <f>SUM(BL177:BL178)</f>
        <v>0.50640128000000006</v>
      </c>
      <c r="BM176" s="145">
        <f t="shared" ref="BM176:DX176" si="951">SUM(BM177:BM178)</f>
        <v>0.63853928000000004</v>
      </c>
      <c r="BN176" s="102">
        <f t="shared" si="951"/>
        <v>1.16658928</v>
      </c>
      <c r="BO176" s="102">
        <f t="shared" si="951"/>
        <v>1.6526092600000002</v>
      </c>
      <c r="BP176" s="102">
        <f t="shared" si="951"/>
        <v>-1.5180767399999999</v>
      </c>
      <c r="BQ176" s="102">
        <f t="shared" si="951"/>
        <v>-2.0384837399999998</v>
      </c>
      <c r="BR176" s="102">
        <f t="shared" si="951"/>
        <v>-2.2901507400000001</v>
      </c>
      <c r="BS176" s="102">
        <f t="shared" si="951"/>
        <v>-4.3364677399999998</v>
      </c>
      <c r="BT176" s="102">
        <f t="shared" si="951"/>
        <v>-6.1991367400000001</v>
      </c>
      <c r="BU176" s="102">
        <f t="shared" si="951"/>
        <v>-6.18004175</v>
      </c>
      <c r="BV176" s="102">
        <f t="shared" si="951"/>
        <v>-6.24161375</v>
      </c>
      <c r="BW176" s="102">
        <f t="shared" si="951"/>
        <v>-6.03735775</v>
      </c>
      <c r="BX176" s="102">
        <f t="shared" si="951"/>
        <v>0</v>
      </c>
      <c r="BY176" s="102">
        <f t="shared" si="951"/>
        <v>1.2118E-2</v>
      </c>
      <c r="BZ176" s="102">
        <f t="shared" si="951"/>
        <v>-7.0792820000000001</v>
      </c>
      <c r="CA176" s="102">
        <f t="shared" si="951"/>
        <v>-13.537917</v>
      </c>
      <c r="CB176" s="102">
        <f t="shared" si="951"/>
        <v>-12.547488999999999</v>
      </c>
      <c r="CC176" s="102">
        <f t="shared" si="951"/>
        <v>-12.742905</v>
      </c>
      <c r="CD176" s="102">
        <f t="shared" si="951"/>
        <v>-10.753875000000001</v>
      </c>
      <c r="CE176" s="102">
        <f t="shared" si="951"/>
        <v>-13.773975</v>
      </c>
      <c r="CF176" s="102">
        <f t="shared" si="951"/>
        <v>0</v>
      </c>
      <c r="CG176" s="102">
        <f t="shared" si="951"/>
        <v>1.2599999900000001</v>
      </c>
      <c r="CH176" s="102">
        <f t="shared" si="951"/>
        <v>0.14000000000000001</v>
      </c>
      <c r="CI176" s="102">
        <f t="shared" si="951"/>
        <v>-2E-8</v>
      </c>
      <c r="CJ176" s="102">
        <f t="shared" si="951"/>
        <v>0</v>
      </c>
      <c r="CK176" s="102">
        <f t="shared" si="951"/>
        <v>0.3</v>
      </c>
      <c r="CL176" s="102">
        <f t="shared" si="951"/>
        <v>0</v>
      </c>
      <c r="CM176" s="102">
        <f t="shared" si="951"/>
        <v>0.5</v>
      </c>
      <c r="CN176" s="102">
        <f t="shared" si="951"/>
        <v>0</v>
      </c>
      <c r="CO176" s="102">
        <f t="shared" si="951"/>
        <v>0</v>
      </c>
      <c r="CP176" s="102">
        <f t="shared" si="951"/>
        <v>2.9999999999999997E-8</v>
      </c>
      <c r="CQ176" s="102">
        <f t="shared" si="951"/>
        <v>2.9999999999999997E-8</v>
      </c>
      <c r="CR176" s="102">
        <f t="shared" si="951"/>
        <v>2.9999999999999997E-8</v>
      </c>
      <c r="CS176" s="102">
        <f t="shared" si="951"/>
        <v>4.4273608699999993</v>
      </c>
      <c r="CT176" s="102">
        <f t="shared" si="951"/>
        <v>2.0498078400000002</v>
      </c>
      <c r="CU176" s="102">
        <f t="shared" si="951"/>
        <v>-1.5424871599999999</v>
      </c>
      <c r="CV176" s="102">
        <f t="shared" si="951"/>
        <v>-1.26</v>
      </c>
      <c r="CW176" s="102">
        <f t="shared" si="951"/>
        <v>0.14000000000000001</v>
      </c>
      <c r="CX176" s="102">
        <f t="shared" si="951"/>
        <v>-2</v>
      </c>
      <c r="CY176" s="102">
        <f t="shared" si="951"/>
        <v>38.97</v>
      </c>
      <c r="CZ176" s="102">
        <f t="shared" si="951"/>
        <v>-3.42</v>
      </c>
      <c r="DA176" s="102">
        <f t="shared" si="951"/>
        <v>0</v>
      </c>
      <c r="DB176" s="102">
        <f t="shared" si="951"/>
        <v>0</v>
      </c>
      <c r="DC176" s="102">
        <f t="shared" si="951"/>
        <v>0</v>
      </c>
      <c r="DD176" s="102">
        <f t="shared" si="951"/>
        <v>0</v>
      </c>
      <c r="DE176" s="102">
        <f t="shared" si="951"/>
        <v>0.02</v>
      </c>
      <c r="DF176" s="102">
        <f t="shared" si="951"/>
        <v>0.56000000000000005</v>
      </c>
      <c r="DG176" s="102">
        <f t="shared" si="951"/>
        <v>0</v>
      </c>
      <c r="DH176" s="102">
        <f t="shared" si="951"/>
        <v>0</v>
      </c>
      <c r="DI176" s="102">
        <f t="shared" si="951"/>
        <v>2.145</v>
      </c>
      <c r="DJ176" s="102">
        <f t="shared" si="951"/>
        <v>1.0449999999999999</v>
      </c>
      <c r="DK176" s="102">
        <f t="shared" si="951"/>
        <v>0</v>
      </c>
      <c r="DL176" s="102">
        <f t="shared" si="951"/>
        <v>0</v>
      </c>
      <c r="DM176" s="102">
        <f t="shared" si="951"/>
        <v>0</v>
      </c>
      <c r="DN176" s="102">
        <f t="shared" si="951"/>
        <v>0</v>
      </c>
      <c r="DO176" s="102">
        <f t="shared" si="951"/>
        <v>0</v>
      </c>
      <c r="DP176" s="102">
        <f t="shared" si="951"/>
        <v>0</v>
      </c>
      <c r="DQ176" s="940">
        <f t="shared" si="951"/>
        <v>0.34</v>
      </c>
      <c r="DR176" s="940">
        <f t="shared" si="951"/>
        <v>1.88</v>
      </c>
      <c r="DS176" s="940">
        <f t="shared" si="951"/>
        <v>1.1399999999999999</v>
      </c>
      <c r="DT176" s="940">
        <f t="shared" si="951"/>
        <v>0.27</v>
      </c>
      <c r="DU176" s="940">
        <f t="shared" si="951"/>
        <v>2.6</v>
      </c>
      <c r="DV176" s="940">
        <f t="shared" si="951"/>
        <v>1.21</v>
      </c>
      <c r="DW176" s="940">
        <f t="shared" si="951"/>
        <v>1.17</v>
      </c>
      <c r="DX176" s="940">
        <f t="shared" si="951"/>
        <v>1.68</v>
      </c>
      <c r="DY176" s="940">
        <f t="shared" ref="DY176:EF176" si="952">SUM(DY177:DY178)</f>
        <v>3.4</v>
      </c>
      <c r="DZ176" s="940">
        <f t="shared" si="952"/>
        <v>0.77</v>
      </c>
      <c r="EA176" s="940">
        <f t="shared" si="952"/>
        <v>1.6850000000000001</v>
      </c>
      <c r="EB176" s="940">
        <f t="shared" si="952"/>
        <v>8.31</v>
      </c>
      <c r="EC176" s="940">
        <f t="shared" si="952"/>
        <v>11.84</v>
      </c>
      <c r="ED176" s="940">
        <f t="shared" si="952"/>
        <v>22.029565999999999</v>
      </c>
      <c r="EE176" s="940">
        <f t="shared" si="952"/>
        <v>10.23</v>
      </c>
      <c r="EF176" s="940">
        <f t="shared" si="952"/>
        <v>2.76</v>
      </c>
      <c r="EG176" s="77"/>
      <c r="EH176" s="102" t="e">
        <f t="shared" ref="EH176:ES176" si="953">SUM(EH177:EH178)</f>
        <v>#VALUE!</v>
      </c>
      <c r="EI176" s="102" t="e">
        <f t="shared" si="953"/>
        <v>#VALUE!</v>
      </c>
      <c r="EJ176" s="102" t="e">
        <f t="shared" si="953"/>
        <v>#VALUE!</v>
      </c>
      <c r="EK176" s="102" t="e">
        <f t="shared" si="953"/>
        <v>#VALUE!</v>
      </c>
      <c r="EL176" s="102" t="e">
        <f t="shared" si="953"/>
        <v>#VALUE!</v>
      </c>
      <c r="EM176" s="102" t="e">
        <f t="shared" si="953"/>
        <v>#VALUE!</v>
      </c>
      <c r="EN176" s="102" t="e">
        <f t="shared" si="953"/>
        <v>#VALUE!</v>
      </c>
      <c r="EO176" s="102" t="e">
        <f t="shared" si="953"/>
        <v>#VALUE!</v>
      </c>
      <c r="EP176" s="102" t="e">
        <f t="shared" si="953"/>
        <v>#VALUE!</v>
      </c>
      <c r="EQ176" s="102" t="e">
        <f t="shared" si="953"/>
        <v>#VALUE!</v>
      </c>
      <c r="ER176" s="102" t="e">
        <f t="shared" si="953"/>
        <v>#VALUE!</v>
      </c>
      <c r="ES176" s="102" t="e">
        <f t="shared" si="953"/>
        <v>#VALUE!</v>
      </c>
      <c r="ET176" s="279"/>
      <c r="EU176" s="102">
        <f t="shared" ref="EU176:FZ176" si="954">SUM(EU177:EU178)</f>
        <v>216.58224463639331</v>
      </c>
      <c r="EV176" s="102">
        <f t="shared" si="954"/>
        <v>208.29335148114853</v>
      </c>
      <c r="EW176" s="102">
        <f t="shared" si="954"/>
        <v>213.51107015762619</v>
      </c>
      <c r="EX176" s="102">
        <f t="shared" si="954"/>
        <v>211.55012517092555</v>
      </c>
      <c r="EY176" s="102">
        <f t="shared" si="954"/>
        <v>208.18710158791333</v>
      </c>
      <c r="EZ176" s="102">
        <f t="shared" si="954"/>
        <v>209.89874975991188</v>
      </c>
      <c r="FA176" s="102">
        <f t="shared" si="954"/>
        <v>217.41227908562544</v>
      </c>
      <c r="FB176" s="102">
        <f t="shared" si="954"/>
        <v>218.77686029961541</v>
      </c>
      <c r="FC176" s="102">
        <f t="shared" si="954"/>
        <v>216.12981751357714</v>
      </c>
      <c r="FD176" s="102">
        <f t="shared" si="954"/>
        <v>217.98714863933719</v>
      </c>
      <c r="FE176" s="102">
        <f t="shared" si="954"/>
        <v>216.11426205917934</v>
      </c>
      <c r="FF176" s="102">
        <f t="shared" si="954"/>
        <v>228.91231505170376</v>
      </c>
      <c r="FG176" s="102">
        <f t="shared" si="954"/>
        <v>137.26288771328001</v>
      </c>
      <c r="FH176" s="102">
        <f t="shared" si="954"/>
        <v>173.64492771328</v>
      </c>
      <c r="FI176" s="102">
        <f t="shared" si="954"/>
        <v>174.97772212447998</v>
      </c>
      <c r="FJ176" s="102">
        <f t="shared" si="954"/>
        <v>199.12211628984323</v>
      </c>
      <c r="FK176" s="102">
        <f t="shared" si="954"/>
        <v>207.13192620984321</v>
      </c>
      <c r="FL176" s="102">
        <f t="shared" si="954"/>
        <v>242.91053570058239</v>
      </c>
      <c r="FM176" s="102">
        <f t="shared" si="954"/>
        <v>253.9717504205824</v>
      </c>
      <c r="FN176" s="102">
        <f t="shared" si="954"/>
        <v>262.63712514058238</v>
      </c>
      <c r="FO176" s="102">
        <f t="shared" si="954"/>
        <v>263.8425825022976</v>
      </c>
      <c r="FP176" s="102">
        <f t="shared" si="954"/>
        <v>268.9917460222976</v>
      </c>
      <c r="FQ176" s="102">
        <f t="shared" si="954"/>
        <v>254.56932042229755</v>
      </c>
      <c r="FR176" s="102">
        <f t="shared" si="954"/>
        <v>211.65962442229761</v>
      </c>
      <c r="FS176" s="102">
        <f t="shared" si="954"/>
        <v>175.63385084245999</v>
      </c>
      <c r="FT176" s="102">
        <f t="shared" si="954"/>
        <v>170.73100304245997</v>
      </c>
      <c r="FU176" s="102">
        <f t="shared" si="954"/>
        <v>176.37378424245998</v>
      </c>
      <c r="FV176" s="102">
        <f t="shared" si="954"/>
        <v>166.03494824246002</v>
      </c>
      <c r="FW176" s="102">
        <f t="shared" si="954"/>
        <v>174.53269384246002</v>
      </c>
      <c r="FX176" s="102">
        <f t="shared" si="954"/>
        <v>148.97102184246</v>
      </c>
      <c r="FY176" s="102">
        <f t="shared" si="954"/>
        <v>167.67819224246</v>
      </c>
      <c r="FZ176" s="102">
        <f t="shared" si="954"/>
        <v>135.41657504246001</v>
      </c>
      <c r="GA176" s="102">
        <f t="shared" ref="GA176:HB176" si="955">SUM(GA177:GA178)</f>
        <v>124.59294284246002</v>
      </c>
      <c r="GB176" s="102">
        <f t="shared" si="955"/>
        <v>114.82494284246002</v>
      </c>
      <c r="GC176" s="102">
        <f t="shared" si="955"/>
        <v>119.70894284246</v>
      </c>
      <c r="GD176" s="102">
        <f t="shared" si="955"/>
        <v>114.82494284246002</v>
      </c>
      <c r="GE176" s="102" t="e">
        <f t="shared" si="955"/>
        <v>#VALUE!</v>
      </c>
      <c r="GF176" s="102" t="e">
        <f t="shared" si="955"/>
        <v>#VALUE!</v>
      </c>
      <c r="GG176" s="102" t="e">
        <f t="shared" si="955"/>
        <v>#VALUE!</v>
      </c>
      <c r="GH176" s="102" t="e">
        <f t="shared" si="955"/>
        <v>#VALUE!</v>
      </c>
      <c r="GI176" s="102" t="e">
        <f t="shared" si="955"/>
        <v>#VALUE!</v>
      </c>
      <c r="GJ176" s="102" t="e">
        <f t="shared" si="955"/>
        <v>#VALUE!</v>
      </c>
      <c r="GK176" s="102" t="e">
        <f t="shared" si="955"/>
        <v>#VALUE!</v>
      </c>
      <c r="GL176" s="102" t="e">
        <f t="shared" si="955"/>
        <v>#VALUE!</v>
      </c>
      <c r="GM176" s="102" t="e">
        <f t="shared" si="955"/>
        <v>#VALUE!</v>
      </c>
      <c r="GN176" s="102" t="e">
        <f t="shared" si="955"/>
        <v>#VALUE!</v>
      </c>
      <c r="GO176" s="102" t="e">
        <f t="shared" si="955"/>
        <v>#VALUE!</v>
      </c>
      <c r="GP176" s="102" t="e">
        <f t="shared" si="955"/>
        <v>#VALUE!</v>
      </c>
      <c r="GQ176" s="102" t="e">
        <f t="shared" si="955"/>
        <v>#VALUE!</v>
      </c>
      <c r="GR176" s="102" t="e">
        <f t="shared" si="955"/>
        <v>#VALUE!</v>
      </c>
      <c r="GS176" s="102" t="e">
        <f t="shared" si="955"/>
        <v>#VALUE!</v>
      </c>
      <c r="GT176" s="102" t="e">
        <f t="shared" si="955"/>
        <v>#VALUE!</v>
      </c>
      <c r="GU176" s="102" t="e">
        <f t="shared" si="955"/>
        <v>#VALUE!</v>
      </c>
      <c r="GV176" s="102" t="e">
        <f t="shared" si="955"/>
        <v>#VALUE!</v>
      </c>
      <c r="GW176" s="102" t="e">
        <f t="shared" si="955"/>
        <v>#VALUE!</v>
      </c>
      <c r="GX176" s="102" t="e">
        <f t="shared" si="955"/>
        <v>#VALUE!</v>
      </c>
      <c r="GY176" s="102" t="e">
        <f t="shared" si="955"/>
        <v>#VALUE!</v>
      </c>
      <c r="GZ176" s="102" t="e">
        <f t="shared" si="955"/>
        <v>#VALUE!</v>
      </c>
      <c r="HA176" s="102" t="e">
        <f t="shared" si="955"/>
        <v>#VALUE!</v>
      </c>
      <c r="HB176" s="102" t="e">
        <f t="shared" si="955"/>
        <v>#VALUE!</v>
      </c>
      <c r="HD176" s="102">
        <f t="shared" si="940"/>
        <v>443.16883100000001</v>
      </c>
      <c r="HE176" s="102">
        <f t="shared" si="940"/>
        <v>410.98695500000002</v>
      </c>
      <c r="HF176" s="102">
        <f t="shared" si="940"/>
        <v>536.001668</v>
      </c>
      <c r="HG176" s="102">
        <f t="shared" si="940"/>
        <v>223.465464</v>
      </c>
      <c r="HH176" s="102">
        <f t="shared" si="890"/>
        <v>0.50640128000000006</v>
      </c>
      <c r="HI176" s="102">
        <f t="shared" si="891"/>
        <v>0</v>
      </c>
      <c r="HJ176" s="102">
        <f t="shared" si="846"/>
        <v>0</v>
      </c>
      <c r="HK176" s="102">
        <f t="shared" si="847"/>
        <v>-1.26</v>
      </c>
      <c r="HL176" s="940">
        <f>+SUMIFS($E176:SEW176,$E$6:SEW$6,HL$7,$E$5:SEW$5,12)</f>
        <v>0</v>
      </c>
      <c r="HM176" s="940">
        <f>+SUMIFS($E176:SEX176,$E$6:SEX$6,HM$7,$E$5:SEX$5,12)</f>
        <v>0.27</v>
      </c>
      <c r="HN176" s="940">
        <f>+SUMIFS($E176:SEY176,$E$6:SEY$6,HN$7,$E$5:SEY$5,12)</f>
        <v>2.76</v>
      </c>
      <c r="HO176" s="102"/>
      <c r="HP176" s="102"/>
      <c r="HR176" s="929">
        <f t="shared" si="941"/>
        <v>0.3041817057186158</v>
      </c>
      <c r="HS176" s="929">
        <f t="shared" si="942"/>
        <v>-0.58308811830040796</v>
      </c>
      <c r="HT176" s="929">
        <f t="shared" si="943"/>
        <v>-0.99773387229088784</v>
      </c>
      <c r="HU176" s="929">
        <f t="shared" si="935"/>
        <v>-1</v>
      </c>
      <c r="HV176" s="929" t="str">
        <f t="shared" si="936"/>
        <v/>
      </c>
      <c r="HW176" s="929" t="str">
        <f t="shared" si="937"/>
        <v/>
      </c>
      <c r="HX176" s="929">
        <f t="shared" si="938"/>
        <v>-1</v>
      </c>
      <c r="HY176" s="929" t="str">
        <f t="shared" si="938"/>
        <v/>
      </c>
      <c r="HZ176" s="929">
        <f t="shared" si="938"/>
        <v>9.2222222222222214</v>
      </c>
      <c r="IA176" s="929" t="str">
        <f t="shared" si="868"/>
        <v/>
      </c>
      <c r="IB176" s="929" t="str">
        <f t="shared" si="944"/>
        <v/>
      </c>
      <c r="IC176" s="929" t="str">
        <f t="shared" si="869"/>
        <v/>
      </c>
      <c r="IE176" s="102">
        <f t="shared" si="945"/>
        <v>125.01471299999997</v>
      </c>
      <c r="IF176" s="102">
        <f t="shared" si="946"/>
        <v>-312.536204</v>
      </c>
      <c r="IG176" s="102">
        <f t="shared" si="947"/>
        <v>-222.95906271999999</v>
      </c>
      <c r="IH176" s="102">
        <f t="shared" si="939"/>
        <v>-0.50640128000000006</v>
      </c>
      <c r="II176" s="102">
        <f t="shared" si="894"/>
        <v>0</v>
      </c>
      <c r="IJ176" s="102">
        <f t="shared" si="895"/>
        <v>-1.26</v>
      </c>
      <c r="IK176" s="102">
        <f t="shared" si="896"/>
        <v>1.26</v>
      </c>
      <c r="IL176" s="102">
        <f t="shared" si="870"/>
        <v>0</v>
      </c>
      <c r="IM176" s="102">
        <f t="shared" si="948"/>
        <v>0</v>
      </c>
      <c r="IN176" s="102">
        <f t="shared" si="871"/>
        <v>0</v>
      </c>
      <c r="IP176" s="973"/>
      <c r="IQ176" s="973"/>
      <c r="IR176" s="973"/>
      <c r="IS176" s="973"/>
      <c r="IT176" s="973"/>
      <c r="IU176" s="973"/>
      <c r="IV176" s="973"/>
      <c r="IW176" s="973"/>
      <c r="IX176" s="973"/>
      <c r="IY176" s="973"/>
      <c r="JA176" s="102">
        <f t="shared" si="727"/>
        <v>443.16883100000001</v>
      </c>
      <c r="JB176" s="102">
        <f t="shared" si="933"/>
        <v>410.98695500000002</v>
      </c>
      <c r="JC176" s="102">
        <f t="shared" si="933"/>
        <v>536.001668</v>
      </c>
      <c r="JD176" s="102">
        <f t="shared" si="933"/>
        <v>223.465464</v>
      </c>
      <c r="JE176" s="102">
        <f t="shared" si="933"/>
        <v>0.50640128000000006</v>
      </c>
      <c r="JF176" s="102">
        <f t="shared" si="933"/>
        <v>0</v>
      </c>
      <c r="JG176" s="102">
        <f t="shared" si="933"/>
        <v>0</v>
      </c>
      <c r="JH176" s="102">
        <f t="shared" si="933"/>
        <v>-1.26</v>
      </c>
      <c r="JI176" s="102">
        <f t="shared" si="933"/>
        <v>0</v>
      </c>
      <c r="JJ176" s="102">
        <f t="shared" si="933"/>
        <v>0.27</v>
      </c>
      <c r="JK176" s="102">
        <f t="shared" si="933"/>
        <v>2.76</v>
      </c>
      <c r="JL176" s="102">
        <f t="shared" si="728"/>
        <v>2.76</v>
      </c>
      <c r="JM176" s="102"/>
      <c r="JN176" s="102"/>
      <c r="JP176" s="102">
        <f t="shared" si="897"/>
        <v>0</v>
      </c>
      <c r="JQ176" s="102">
        <f t="shared" si="898"/>
        <v>0</v>
      </c>
      <c r="JR176" s="145"/>
      <c r="JS176" s="929" t="str">
        <f t="shared" si="949"/>
        <v>NA</v>
      </c>
      <c r="JT176" s="930">
        <f t="shared" si="950"/>
        <v>0</v>
      </c>
      <c r="JV176" s="973"/>
      <c r="JW176" s="973"/>
      <c r="JY176" s="929">
        <f t="shared" si="925"/>
        <v>0.3041817057186158</v>
      </c>
      <c r="JZ176" s="929">
        <f t="shared" si="926"/>
        <v>-0.58308811830040796</v>
      </c>
      <c r="KA176" s="929">
        <f t="shared" si="927"/>
        <v>-0.99773387229088784</v>
      </c>
      <c r="KB176" s="929">
        <f t="shared" si="928"/>
        <v>-1</v>
      </c>
      <c r="KC176" s="929" t="str">
        <f t="shared" si="929"/>
        <v/>
      </c>
      <c r="KD176" s="929" t="str">
        <f t="shared" si="930"/>
        <v/>
      </c>
      <c r="KE176" s="929">
        <f t="shared" si="931"/>
        <v>-1</v>
      </c>
      <c r="KF176" s="929" t="str">
        <f t="shared" si="932"/>
        <v/>
      </c>
      <c r="KH176" s="102">
        <f t="shared" si="900"/>
        <v>125.01471299999997</v>
      </c>
      <c r="KI176" s="102">
        <f t="shared" si="901"/>
        <v>-312.536204</v>
      </c>
      <c r="KJ176" s="102">
        <f t="shared" si="902"/>
        <v>-222.95906271999999</v>
      </c>
      <c r="KK176" s="102">
        <f t="shared" si="903"/>
        <v>-0.50640128000000006</v>
      </c>
      <c r="KL176" s="102">
        <f t="shared" si="904"/>
        <v>0</v>
      </c>
      <c r="KM176" s="102">
        <f t="shared" si="905"/>
        <v>-1.26</v>
      </c>
      <c r="KN176" s="102">
        <f t="shared" si="906"/>
        <v>1.26</v>
      </c>
      <c r="KO176" s="102">
        <f t="shared" si="907"/>
        <v>0</v>
      </c>
      <c r="KQ176" s="973"/>
      <c r="KR176" s="973"/>
      <c r="KS176" s="973"/>
      <c r="KT176" s="973"/>
      <c r="KU176" s="973"/>
      <c r="KV176" s="973"/>
      <c r="KW176" s="973"/>
      <c r="KX176" s="973"/>
      <c r="KY176" s="973"/>
      <c r="KZ176" s="973"/>
      <c r="LB176" s="102">
        <f t="shared" si="737"/>
        <v>443.16883100000001</v>
      </c>
      <c r="LC176" s="102">
        <f t="shared" si="934"/>
        <v>410.98695500000002</v>
      </c>
      <c r="LD176" s="102">
        <f t="shared" si="934"/>
        <v>536.001668</v>
      </c>
      <c r="LE176" s="102">
        <f t="shared" si="934"/>
        <v>223.465464</v>
      </c>
      <c r="LF176" s="102">
        <f t="shared" si="934"/>
        <v>0.50640128000000006</v>
      </c>
      <c r="LG176" s="102">
        <f t="shared" si="934"/>
        <v>0</v>
      </c>
      <c r="LH176" s="102">
        <f t="shared" si="934"/>
        <v>0</v>
      </c>
      <c r="LI176" s="102">
        <f t="shared" si="934"/>
        <v>-1.26</v>
      </c>
      <c r="LJ176" s="102">
        <f t="shared" si="934"/>
        <v>0</v>
      </c>
      <c r="LK176" s="102">
        <f t="shared" si="934"/>
        <v>0.27</v>
      </c>
      <c r="LL176" s="102">
        <f t="shared" si="934"/>
        <v>2.76</v>
      </c>
      <c r="LM176" s="102">
        <f t="shared" si="934"/>
        <v>2.76</v>
      </c>
      <c r="LN176" s="102"/>
      <c r="LO176" s="102"/>
      <c r="LR176" s="32">
        <f t="shared" si="908"/>
        <v>0.3041817057186158</v>
      </c>
      <c r="LS176" s="32">
        <f t="shared" si="909"/>
        <v>-0.58308811830040796</v>
      </c>
      <c r="LT176" s="32">
        <f t="shared" si="910"/>
        <v>-0.99773387229088784</v>
      </c>
      <c r="LU176" s="32">
        <f t="shared" si="911"/>
        <v>-1</v>
      </c>
      <c r="LV176" s="32" t="str">
        <f t="shared" si="912"/>
        <v xml:space="preserve"> </v>
      </c>
      <c r="LW176" s="32" t="str">
        <f t="shared" si="913"/>
        <v xml:space="preserve"> </v>
      </c>
      <c r="LX176" s="32">
        <f t="shared" si="848"/>
        <v>-1</v>
      </c>
      <c r="LZ176" s="102">
        <f t="shared" si="914"/>
        <v>125.01471299999997</v>
      </c>
      <c r="MA176" s="102">
        <f t="shared" si="915"/>
        <v>-312.536204</v>
      </c>
      <c r="MB176" s="102">
        <f t="shared" si="916"/>
        <v>-222.95906271999999</v>
      </c>
      <c r="MC176" s="102">
        <f t="shared" si="917"/>
        <v>-0.50640128000000006</v>
      </c>
      <c r="MD176" s="102">
        <f t="shared" si="918"/>
        <v>0</v>
      </c>
      <c r="ME176" s="102">
        <f t="shared" si="919"/>
        <v>-1.26</v>
      </c>
      <c r="MF176" s="102">
        <f t="shared" si="849"/>
        <v>1.26</v>
      </c>
      <c r="MH176" s="973"/>
      <c r="MI176" s="973"/>
      <c r="MJ176" s="973"/>
      <c r="MK176" s="973"/>
      <c r="ML176" s="973"/>
      <c r="MM176" s="973"/>
      <c r="MN176" s="973"/>
      <c r="MO176" s="973"/>
      <c r="MP176" s="973"/>
    </row>
    <row r="177" spans="1:354" outlineLevel="2">
      <c r="A177" s="884">
        <v>2370</v>
      </c>
      <c r="B177" s="70" t="s">
        <v>733</v>
      </c>
      <c r="D177" s="31"/>
      <c r="E177" s="102">
        <v>384.25884000000002</v>
      </c>
      <c r="F177" s="102">
        <v>319.61672499999997</v>
      </c>
      <c r="G177" s="102">
        <v>287.99975799999999</v>
      </c>
      <c r="H177" s="102">
        <v>338.99866500000002</v>
      </c>
      <c r="I177" s="102">
        <v>292.62710900000002</v>
      </c>
      <c r="J177" s="102">
        <v>353.12815000000001</v>
      </c>
      <c r="K177" s="102">
        <v>351.009075</v>
      </c>
      <c r="L177" s="102">
        <v>345.40621800000002</v>
      </c>
      <c r="M177" s="102">
        <v>317.16778499999998</v>
      </c>
      <c r="N177" s="102">
        <v>293.35163999999997</v>
      </c>
      <c r="O177" s="102">
        <v>346.48591299999998</v>
      </c>
      <c r="P177" s="102">
        <v>318.90383100000003</v>
      </c>
      <c r="Q177" s="102">
        <v>289.39217000000002</v>
      </c>
      <c r="R177" s="102">
        <v>337.07215500000001</v>
      </c>
      <c r="S177" s="102">
        <v>391.96279399999997</v>
      </c>
      <c r="T177" s="102">
        <v>208.315752</v>
      </c>
      <c r="U177" s="102">
        <v>317.85803300000003</v>
      </c>
      <c r="V177" s="102">
        <v>340.08126400000003</v>
      </c>
      <c r="W177" s="102">
        <v>288.37420599999996</v>
      </c>
      <c r="X177" s="102">
        <v>338.27097099999997</v>
      </c>
      <c r="Y177" s="102">
        <v>294.52610799999997</v>
      </c>
      <c r="Z177" s="102">
        <v>301.49129099999999</v>
      </c>
      <c r="AA177" s="102">
        <v>274.89219899999995</v>
      </c>
      <c r="AB177" s="102">
        <v>244.03421500000002</v>
      </c>
      <c r="AC177" s="102">
        <v>229.62072359999999</v>
      </c>
      <c r="AD177" s="102">
        <v>241.71609161999999</v>
      </c>
      <c r="AE177" s="102">
        <v>233.52447569999998</v>
      </c>
      <c r="AF177" s="102">
        <v>264.07981178</v>
      </c>
      <c r="AG177" s="102">
        <v>311.61188786000002</v>
      </c>
      <c r="AH177" s="102">
        <v>261.08146998000001</v>
      </c>
      <c r="AI177" s="102">
        <v>285.87215727</v>
      </c>
      <c r="AJ177" s="102">
        <v>329.17374337999996</v>
      </c>
      <c r="AK177" s="102">
        <v>314.53509019999996</v>
      </c>
      <c r="AL177" s="102">
        <v>363.41145387</v>
      </c>
      <c r="AM177" s="102">
        <v>508.12369059999997</v>
      </c>
      <c r="AN177" s="102">
        <v>356.16862299999997</v>
      </c>
      <c r="AO177" s="102">
        <v>400.78650306999998</v>
      </c>
      <c r="AP177" s="145">
        <v>359.64391879999999</v>
      </c>
      <c r="AQ177" s="220">
        <v>245.12255880000001</v>
      </c>
      <c r="AR177" s="220">
        <v>194.83654063</v>
      </c>
      <c r="AS177" s="102">
        <v>319.50227962999998</v>
      </c>
      <c r="AT177" s="102">
        <v>178.17014162999999</v>
      </c>
      <c r="AU177" s="102">
        <v>237.96611762999999</v>
      </c>
      <c r="AV177" s="102">
        <v>171.98557162999998</v>
      </c>
      <c r="AW177" s="102">
        <v>170.02433862999999</v>
      </c>
      <c r="AX177" s="102">
        <v>176.66927863000001</v>
      </c>
      <c r="AY177" s="102">
        <v>187.02118963000001</v>
      </c>
      <c r="AZ177" s="102">
        <v>222.995464</v>
      </c>
      <c r="BA177" s="102">
        <v>86.133579999999995</v>
      </c>
      <c r="BB177" s="102">
        <v>99.391176000000002</v>
      </c>
      <c r="BC177" s="102">
        <v>218.22983199999999</v>
      </c>
      <c r="BD177" s="102">
        <v>85.217250000000007</v>
      </c>
      <c r="BE177" s="102">
        <v>75.561231000000006</v>
      </c>
      <c r="BF177" s="102">
        <v>244.86752899999999</v>
      </c>
      <c r="BG177" s="102">
        <v>7.1328189999999996</v>
      </c>
      <c r="BH177" s="102">
        <v>4.2541539999999998</v>
      </c>
      <c r="BI177" s="102">
        <v>1.99325</v>
      </c>
      <c r="BJ177" s="102">
        <v>1.98920008</v>
      </c>
      <c r="BK177" s="102">
        <v>1.95384928</v>
      </c>
      <c r="BL177" s="102">
        <v>0.50640128000000006</v>
      </c>
      <c r="BM177" s="145">
        <v>0.64731028000000002</v>
      </c>
      <c r="BN177" s="102">
        <v>0.82056028000000003</v>
      </c>
      <c r="BO177" s="102">
        <v>1.1014932800000001</v>
      </c>
      <c r="BP177" s="102">
        <v>-1.5343697199999999</v>
      </c>
      <c r="BQ177" s="102">
        <v>-1.4242717199999999</v>
      </c>
      <c r="BR177" s="102">
        <v>-0.97294371999999996</v>
      </c>
      <c r="BS177" s="102">
        <v>-2.7377087200000001</v>
      </c>
      <c r="BT177" s="102">
        <v>-4.2898907199999998</v>
      </c>
      <c r="BU177" s="102">
        <v>-4.0240157200000004</v>
      </c>
      <c r="BV177" s="102">
        <v>-3.8519717200000003</v>
      </c>
      <c r="BW177" s="102">
        <v>-3.3829247200000001</v>
      </c>
      <c r="BX177" s="102">
        <v>0</v>
      </c>
      <c r="BY177" s="102">
        <v>1.2118E-2</v>
      </c>
      <c r="BZ177" s="102">
        <v>-6.531682</v>
      </c>
      <c r="CA177" s="102">
        <v>-13.006816000000001</v>
      </c>
      <c r="CB177" s="102">
        <v>-12.573884</v>
      </c>
      <c r="CC177" s="102">
        <v>-12.625491999999999</v>
      </c>
      <c r="CD177" s="102">
        <v>-10.667477</v>
      </c>
      <c r="CE177" s="102">
        <v>-13.595564</v>
      </c>
      <c r="CF177" s="102">
        <v>0</v>
      </c>
      <c r="CG177" s="102">
        <v>1.26</v>
      </c>
      <c r="CH177" s="102">
        <v>0.14000000000000001</v>
      </c>
      <c r="CI177" s="102">
        <v>0</v>
      </c>
      <c r="CJ177" s="102">
        <v>0</v>
      </c>
      <c r="CK177" s="102">
        <v>0.3</v>
      </c>
      <c r="CL177" s="102">
        <v>0</v>
      </c>
      <c r="CM177" s="102">
        <v>0.5</v>
      </c>
      <c r="CN177" s="102">
        <v>0</v>
      </c>
      <c r="CO177" s="102">
        <v>0</v>
      </c>
      <c r="CP177" s="102">
        <v>0</v>
      </c>
      <c r="CQ177" s="102">
        <v>0</v>
      </c>
      <c r="CR177" s="102">
        <v>0</v>
      </c>
      <c r="CS177" s="102">
        <v>3.9029528399999998</v>
      </c>
      <c r="CT177" s="102">
        <v>2.0498078400000002</v>
      </c>
      <c r="CU177" s="102">
        <v>-1.5424871599999999</v>
      </c>
      <c r="CV177" s="102">
        <v>-1.26</v>
      </c>
      <c r="CW177" s="102">
        <v>0.14000000000000001</v>
      </c>
      <c r="CX177" s="102">
        <v>-2</v>
      </c>
      <c r="CY177" s="102">
        <v>38.97</v>
      </c>
      <c r="CZ177" s="102">
        <v>-3.42</v>
      </c>
      <c r="DA177" s="102">
        <v>0</v>
      </c>
      <c r="DB177" s="102">
        <v>0</v>
      </c>
      <c r="DC177" s="102">
        <v>0</v>
      </c>
      <c r="DD177" s="102">
        <v>0</v>
      </c>
      <c r="DE177" s="102">
        <v>0.02</v>
      </c>
      <c r="DF177" s="102">
        <v>0.56000000000000005</v>
      </c>
      <c r="DG177" s="102">
        <v>0</v>
      </c>
      <c r="DH177" s="102">
        <v>0</v>
      </c>
      <c r="DI177" s="102">
        <v>2.145</v>
      </c>
      <c r="DJ177" s="102">
        <v>1.0449999999999999</v>
      </c>
      <c r="DK177" s="102">
        <v>0</v>
      </c>
      <c r="DL177" s="102">
        <v>0</v>
      </c>
      <c r="DM177" s="102">
        <v>0</v>
      </c>
      <c r="DN177" s="102">
        <v>0</v>
      </c>
      <c r="DO177" s="102">
        <v>0</v>
      </c>
      <c r="DP177" s="102">
        <v>0</v>
      </c>
      <c r="DQ177" s="940">
        <v>0.34</v>
      </c>
      <c r="DR177" s="940">
        <v>1.88</v>
      </c>
      <c r="DS177" s="940">
        <v>1.1399999999999999</v>
      </c>
      <c r="DT177" s="940">
        <v>0.27</v>
      </c>
      <c r="DU177" s="940">
        <v>2.6</v>
      </c>
      <c r="DV177" s="940">
        <v>1.21</v>
      </c>
      <c r="DW177" s="940">
        <v>1.17</v>
      </c>
      <c r="DX177" s="940">
        <v>1.68</v>
      </c>
      <c r="DY177" s="940">
        <v>3.4</v>
      </c>
      <c r="DZ177" s="940">
        <v>0.77</v>
      </c>
      <c r="EA177" s="940">
        <v>1.6850000000000001</v>
      </c>
      <c r="EB177" s="940">
        <v>8.31</v>
      </c>
      <c r="EC177" s="940">
        <v>11.84</v>
      </c>
      <c r="ED177" s="940">
        <v>22.029565999999999</v>
      </c>
      <c r="EE177" s="940">
        <v>10.23</v>
      </c>
      <c r="EF177" s="940">
        <v>2.76</v>
      </c>
      <c r="EG177" s="77"/>
      <c r="EH177" s="102" t="e">
        <v>#VALUE!</v>
      </c>
      <c r="EI177" s="102" t="e">
        <v>#VALUE!</v>
      </c>
      <c r="EJ177" s="102" t="e">
        <v>#VALUE!</v>
      </c>
      <c r="EK177" s="102" t="e">
        <v>#VALUE!</v>
      </c>
      <c r="EL177" s="102" t="e">
        <v>#VALUE!</v>
      </c>
      <c r="EM177" s="102" t="e">
        <v>#VALUE!</v>
      </c>
      <c r="EN177" s="102" t="e">
        <v>#VALUE!</v>
      </c>
      <c r="EO177" s="102" t="e">
        <v>#VALUE!</v>
      </c>
      <c r="EP177" s="102" t="e">
        <v>#VALUE!</v>
      </c>
      <c r="EQ177" s="102" t="e">
        <v>#VALUE!</v>
      </c>
      <c r="ER177" s="102" t="e">
        <v>#VALUE!</v>
      </c>
      <c r="ES177" s="102" t="e">
        <v>#VALUE!</v>
      </c>
      <c r="EU177" s="102">
        <v>37.64744463639331</v>
      </c>
      <c r="EV177" s="102">
        <v>29.358551481148538</v>
      </c>
      <c r="EW177" s="102">
        <v>34.576270157626197</v>
      </c>
      <c r="EX177" s="102">
        <v>32.615325170925566</v>
      </c>
      <c r="EY177" s="102">
        <v>29.252301587913323</v>
      </c>
      <c r="EZ177" s="102">
        <v>30.963949759911884</v>
      </c>
      <c r="FA177" s="102">
        <v>38.477479085625447</v>
      </c>
      <c r="FB177" s="102">
        <v>39.842060299615426</v>
      </c>
      <c r="FC177" s="102">
        <v>37.195017513577142</v>
      </c>
      <c r="FD177" s="102">
        <v>39.052348639337204</v>
      </c>
      <c r="FE177" s="102">
        <v>37.179462059179343</v>
      </c>
      <c r="FF177" s="102">
        <v>49.977515051703755</v>
      </c>
      <c r="FG177" s="102">
        <v>85.789304820799998</v>
      </c>
      <c r="FH177" s="102">
        <v>108.5280798208</v>
      </c>
      <c r="FI177" s="102">
        <v>109.36107632779999</v>
      </c>
      <c r="FJ177" s="102">
        <v>124.45132268115202</v>
      </c>
      <c r="FK177" s="102">
        <v>129.45745388115202</v>
      </c>
      <c r="FL177" s="102">
        <v>151.81908481286399</v>
      </c>
      <c r="FM177" s="102">
        <v>158.73234401286399</v>
      </c>
      <c r="FN177" s="102">
        <v>164.14820321286399</v>
      </c>
      <c r="FO177" s="102">
        <v>164.90161406393599</v>
      </c>
      <c r="FP177" s="102">
        <v>168.119841263936</v>
      </c>
      <c r="FQ177" s="102">
        <v>159.10582526393597</v>
      </c>
      <c r="FR177" s="102">
        <v>132.28726526393601</v>
      </c>
      <c r="FS177" s="102">
        <v>99.684077505179999</v>
      </c>
      <c r="FT177" s="102">
        <v>96.901380105179982</v>
      </c>
      <c r="FU177" s="102">
        <v>100.10403970517997</v>
      </c>
      <c r="FV177" s="102">
        <v>94.236051705180003</v>
      </c>
      <c r="FW177" s="102">
        <v>99.059096505180008</v>
      </c>
      <c r="FX177" s="102">
        <v>84.551120505179995</v>
      </c>
      <c r="FY177" s="102">
        <v>95.168703705180008</v>
      </c>
      <c r="FZ177" s="102">
        <v>76.858056105180012</v>
      </c>
      <c r="GA177" s="102">
        <v>70.714913505180007</v>
      </c>
      <c r="GB177" s="102">
        <v>65.17091350518001</v>
      </c>
      <c r="GC177" s="102">
        <v>67.942913505180002</v>
      </c>
      <c r="GD177" s="102">
        <v>65.17091350518001</v>
      </c>
      <c r="GE177" s="102" t="e">
        <v>#VALUE!</v>
      </c>
      <c r="GF177" s="102" t="e">
        <v>#VALUE!</v>
      </c>
      <c r="GG177" s="102" t="e">
        <v>#VALUE!</v>
      </c>
      <c r="GH177" s="102" t="e">
        <v>#VALUE!</v>
      </c>
      <c r="GI177" s="102" t="e">
        <v>#VALUE!</v>
      </c>
      <c r="GJ177" s="102" t="e">
        <v>#VALUE!</v>
      </c>
      <c r="GK177" s="102" t="e">
        <v>#VALUE!</v>
      </c>
      <c r="GL177" s="102" t="e">
        <v>#VALUE!</v>
      </c>
      <c r="GM177" s="102" t="e">
        <v>#VALUE!</v>
      </c>
      <c r="GN177" s="102" t="e">
        <v>#VALUE!</v>
      </c>
      <c r="GO177" s="102" t="e">
        <v>#VALUE!</v>
      </c>
      <c r="GP177" s="102" t="e">
        <v>#VALUE!</v>
      </c>
      <c r="GQ177" s="102" t="e">
        <v>#VALUE!</v>
      </c>
      <c r="GR177" s="102" t="e">
        <v>#VALUE!</v>
      </c>
      <c r="GS177" s="102" t="e">
        <v>#VALUE!</v>
      </c>
      <c r="GT177" s="102" t="e">
        <v>#VALUE!</v>
      </c>
      <c r="GU177" s="102" t="e">
        <v>#VALUE!</v>
      </c>
      <c r="GV177" s="102" t="e">
        <v>#VALUE!</v>
      </c>
      <c r="GW177" s="102" t="e">
        <v>#VALUE!</v>
      </c>
      <c r="GX177" s="102" t="e">
        <v>#VALUE!</v>
      </c>
      <c r="GY177" s="102" t="e">
        <v>#VALUE!</v>
      </c>
      <c r="GZ177" s="102" t="e">
        <v>#VALUE!</v>
      </c>
      <c r="HA177" s="102" t="e">
        <v>#VALUE!</v>
      </c>
      <c r="HB177" s="102" t="e">
        <v>#VALUE!</v>
      </c>
      <c r="HD177" s="102">
        <f t="shared" si="940"/>
        <v>318.90383100000003</v>
      </c>
      <c r="HE177" s="102">
        <f t="shared" si="940"/>
        <v>244.03421500000002</v>
      </c>
      <c r="HF177" s="102">
        <f t="shared" si="940"/>
        <v>356.16862299999997</v>
      </c>
      <c r="HG177" s="102">
        <f t="shared" si="940"/>
        <v>222.995464</v>
      </c>
      <c r="HH177" s="102">
        <f t="shared" si="890"/>
        <v>0.50640128000000006</v>
      </c>
      <c r="HI177" s="102">
        <f t="shared" si="891"/>
        <v>0</v>
      </c>
      <c r="HJ177" s="102">
        <f t="shared" si="846"/>
        <v>0</v>
      </c>
      <c r="HK177" s="102">
        <f t="shared" si="847"/>
        <v>-1.26</v>
      </c>
      <c r="HL177" s="940">
        <f>+SUMIFS($E177:SEW177,$E$6:SEW$6,HL$7,$E$5:SEW$5,12)</f>
        <v>0</v>
      </c>
      <c r="HM177" s="940">
        <f>+SUMIFS($E177:SEX177,$E$6:SEX$6,HM$7,$E$5:SEX$5,12)</f>
        <v>0.27</v>
      </c>
      <c r="HN177" s="940">
        <f>+SUMIFS($E177:SEY177,$E$6:SEY$6,HN$7,$E$5:SEY$5,12)</f>
        <v>2.76</v>
      </c>
      <c r="HO177" s="102"/>
      <c r="HP177" s="102"/>
      <c r="HR177" s="929">
        <f t="shared" si="941"/>
        <v>0.45950281193151521</v>
      </c>
      <c r="HS177" s="929">
        <f t="shared" si="942"/>
        <v>-0.3739048035121274</v>
      </c>
      <c r="HT177" s="929">
        <f t="shared" si="943"/>
        <v>-0.99772909605013316</v>
      </c>
      <c r="HU177" s="929">
        <f t="shared" si="935"/>
        <v>-1</v>
      </c>
      <c r="HV177" s="929" t="str">
        <f t="shared" si="936"/>
        <v/>
      </c>
      <c r="HW177" s="929" t="str">
        <f t="shared" si="937"/>
        <v/>
      </c>
      <c r="HX177" s="929">
        <f t="shared" si="938"/>
        <v>-1</v>
      </c>
      <c r="HY177" s="929" t="str">
        <f t="shared" si="938"/>
        <v/>
      </c>
      <c r="HZ177" s="929">
        <f t="shared" si="938"/>
        <v>9.2222222222222214</v>
      </c>
      <c r="IA177" s="929" t="str">
        <f t="shared" si="868"/>
        <v/>
      </c>
      <c r="IB177" s="929" t="str">
        <f t="shared" si="944"/>
        <v/>
      </c>
      <c r="IC177" s="929" t="str">
        <f t="shared" si="869"/>
        <v/>
      </c>
      <c r="IE177" s="102">
        <f t="shared" si="945"/>
        <v>112.13440799999995</v>
      </c>
      <c r="IF177" s="102">
        <f t="shared" si="946"/>
        <v>-133.17315899999997</v>
      </c>
      <c r="IG177" s="102">
        <f t="shared" si="947"/>
        <v>-222.48906271999999</v>
      </c>
      <c r="IH177" s="102">
        <f t="shared" si="939"/>
        <v>-0.50640128000000006</v>
      </c>
      <c r="II177" s="102">
        <f t="shared" si="894"/>
        <v>0</v>
      </c>
      <c r="IJ177" s="102">
        <f t="shared" si="895"/>
        <v>-1.26</v>
      </c>
      <c r="IK177" s="102">
        <f t="shared" si="896"/>
        <v>1.26</v>
      </c>
      <c r="IL177" s="102">
        <f t="shared" si="870"/>
        <v>0</v>
      </c>
      <c r="IM177" s="102">
        <f t="shared" si="948"/>
        <v>0</v>
      </c>
      <c r="IN177" s="102">
        <f t="shared" si="871"/>
        <v>0</v>
      </c>
      <c r="IP177" s="973"/>
      <c r="IQ177" s="973"/>
      <c r="IR177" s="973"/>
      <c r="IS177" s="973"/>
      <c r="IT177" s="973"/>
      <c r="IU177" s="973"/>
      <c r="IV177" s="973"/>
      <c r="IW177" s="973"/>
      <c r="IX177" s="973"/>
      <c r="IY177" s="973"/>
      <c r="JA177" s="102">
        <f t="shared" si="727"/>
        <v>318.90383100000003</v>
      </c>
      <c r="JB177" s="102">
        <f t="shared" si="933"/>
        <v>244.03421500000002</v>
      </c>
      <c r="JC177" s="102">
        <f t="shared" si="933"/>
        <v>356.16862299999997</v>
      </c>
      <c r="JD177" s="102">
        <f t="shared" si="933"/>
        <v>222.995464</v>
      </c>
      <c r="JE177" s="102">
        <f t="shared" si="933"/>
        <v>0.50640128000000006</v>
      </c>
      <c r="JF177" s="102">
        <f t="shared" si="933"/>
        <v>0</v>
      </c>
      <c r="JG177" s="102">
        <f t="shared" si="933"/>
        <v>0</v>
      </c>
      <c r="JH177" s="102">
        <f t="shared" si="933"/>
        <v>-1.26</v>
      </c>
      <c r="JI177" s="102">
        <f t="shared" si="933"/>
        <v>0</v>
      </c>
      <c r="JJ177" s="102">
        <f t="shared" si="933"/>
        <v>0.27</v>
      </c>
      <c r="JK177" s="102">
        <f t="shared" si="933"/>
        <v>2.76</v>
      </c>
      <c r="JL177" s="102">
        <f t="shared" si="728"/>
        <v>2.76</v>
      </c>
      <c r="JM177" s="102"/>
      <c r="JN177" s="102"/>
      <c r="JP177" s="102">
        <f t="shared" si="897"/>
        <v>0</v>
      </c>
      <c r="JQ177" s="102">
        <f t="shared" si="898"/>
        <v>0</v>
      </c>
      <c r="JR177" s="145"/>
      <c r="JS177" s="929" t="str">
        <f t="shared" si="949"/>
        <v>NA</v>
      </c>
      <c r="JT177" s="930">
        <f t="shared" si="950"/>
        <v>0</v>
      </c>
      <c r="JV177" s="973"/>
      <c r="JW177" s="973"/>
      <c r="JY177" s="929">
        <f t="shared" si="925"/>
        <v>0.45950281193151521</v>
      </c>
      <c r="JZ177" s="929">
        <f t="shared" si="926"/>
        <v>-0.3739048035121274</v>
      </c>
      <c r="KA177" s="929">
        <f t="shared" si="927"/>
        <v>-0.99772909605013316</v>
      </c>
      <c r="KB177" s="929">
        <f t="shared" si="928"/>
        <v>-1</v>
      </c>
      <c r="KC177" s="929" t="str">
        <f t="shared" si="929"/>
        <v/>
      </c>
      <c r="KD177" s="929" t="str">
        <f t="shared" si="930"/>
        <v/>
      </c>
      <c r="KE177" s="929">
        <f t="shared" si="931"/>
        <v>-1</v>
      </c>
      <c r="KF177" s="929" t="str">
        <f t="shared" si="932"/>
        <v/>
      </c>
      <c r="KH177" s="102">
        <f t="shared" si="900"/>
        <v>112.13440799999995</v>
      </c>
      <c r="KI177" s="102">
        <f t="shared" si="901"/>
        <v>-133.17315899999997</v>
      </c>
      <c r="KJ177" s="102">
        <f t="shared" si="902"/>
        <v>-222.48906271999999</v>
      </c>
      <c r="KK177" s="102">
        <f t="shared" si="903"/>
        <v>-0.50640128000000006</v>
      </c>
      <c r="KL177" s="102">
        <f t="shared" si="904"/>
        <v>0</v>
      </c>
      <c r="KM177" s="102">
        <f t="shared" si="905"/>
        <v>-1.26</v>
      </c>
      <c r="KN177" s="102">
        <f t="shared" si="906"/>
        <v>1.26</v>
      </c>
      <c r="KO177" s="102">
        <f t="shared" si="907"/>
        <v>0</v>
      </c>
      <c r="KQ177" s="973"/>
      <c r="KR177" s="973"/>
      <c r="KS177" s="973"/>
      <c r="KT177" s="973"/>
      <c r="KU177" s="973"/>
      <c r="KV177" s="973"/>
      <c r="KW177" s="973"/>
      <c r="KX177" s="973"/>
      <c r="KY177" s="973"/>
      <c r="KZ177" s="973"/>
      <c r="LB177" s="102">
        <f t="shared" si="737"/>
        <v>318.90383100000003</v>
      </c>
      <c r="LC177" s="102">
        <f t="shared" si="934"/>
        <v>244.03421500000002</v>
      </c>
      <c r="LD177" s="102">
        <f t="shared" si="934"/>
        <v>356.16862299999997</v>
      </c>
      <c r="LE177" s="102">
        <f t="shared" si="934"/>
        <v>222.995464</v>
      </c>
      <c r="LF177" s="102">
        <f t="shared" si="934"/>
        <v>0.50640128000000006</v>
      </c>
      <c r="LG177" s="102">
        <f t="shared" si="934"/>
        <v>0</v>
      </c>
      <c r="LH177" s="102">
        <f t="shared" si="934"/>
        <v>0</v>
      </c>
      <c r="LI177" s="102">
        <f t="shared" si="934"/>
        <v>-1.26</v>
      </c>
      <c r="LJ177" s="102">
        <f t="shared" si="934"/>
        <v>0</v>
      </c>
      <c r="LK177" s="102">
        <f t="shared" si="934"/>
        <v>0.27</v>
      </c>
      <c r="LL177" s="102">
        <f t="shared" si="934"/>
        <v>2.76</v>
      </c>
      <c r="LM177" s="102">
        <f t="shared" si="934"/>
        <v>2.76</v>
      </c>
      <c r="LN177" s="102"/>
      <c r="LO177" s="102"/>
      <c r="LR177" s="32">
        <f t="shared" si="908"/>
        <v>0.45950281193151521</v>
      </c>
      <c r="LS177" s="32">
        <f t="shared" si="909"/>
        <v>-0.3739048035121274</v>
      </c>
      <c r="LT177" s="32">
        <f t="shared" si="910"/>
        <v>-0.99772909605013316</v>
      </c>
      <c r="LU177" s="32">
        <f t="shared" si="911"/>
        <v>-1</v>
      </c>
      <c r="LV177" s="32" t="str">
        <f t="shared" si="912"/>
        <v xml:space="preserve"> </v>
      </c>
      <c r="LW177" s="32" t="str">
        <f t="shared" si="913"/>
        <v xml:space="preserve"> </v>
      </c>
      <c r="LX177" s="32">
        <f t="shared" si="848"/>
        <v>-1</v>
      </c>
      <c r="LZ177" s="102">
        <f t="shared" si="914"/>
        <v>112.13440799999995</v>
      </c>
      <c r="MA177" s="102">
        <f t="shared" si="915"/>
        <v>-133.17315899999997</v>
      </c>
      <c r="MB177" s="102">
        <f t="shared" si="916"/>
        <v>-222.48906271999999</v>
      </c>
      <c r="MC177" s="102">
        <f t="shared" si="917"/>
        <v>-0.50640128000000006</v>
      </c>
      <c r="MD177" s="102">
        <f t="shared" si="918"/>
        <v>0</v>
      </c>
      <c r="ME177" s="102">
        <f t="shared" si="919"/>
        <v>-1.26</v>
      </c>
      <c r="MF177" s="102">
        <f t="shared" si="849"/>
        <v>1.26</v>
      </c>
      <c r="MH177" s="973"/>
      <c r="MI177" s="973"/>
      <c r="MJ177" s="973"/>
      <c r="MK177" s="973"/>
      <c r="ML177" s="973"/>
      <c r="MM177" s="973"/>
      <c r="MN177" s="973"/>
      <c r="MO177" s="973"/>
      <c r="MP177" s="973"/>
    </row>
    <row r="178" spans="1:354" outlineLevel="2">
      <c r="A178" s="884">
        <v>2380</v>
      </c>
      <c r="B178" s="70" t="s">
        <v>734</v>
      </c>
      <c r="D178" s="31"/>
      <c r="E178" s="102">
        <v>146.4847</v>
      </c>
      <c r="F178" s="102">
        <v>113.6444</v>
      </c>
      <c r="G178" s="102">
        <v>98.045900000000003</v>
      </c>
      <c r="H178" s="102">
        <v>127.32205999999999</v>
      </c>
      <c r="I178" s="102">
        <v>113.2955</v>
      </c>
      <c r="J178" s="102">
        <v>130.50700000000001</v>
      </c>
      <c r="K178" s="102">
        <v>126.04300000000001</v>
      </c>
      <c r="L178" s="102">
        <v>122.74639999999999</v>
      </c>
      <c r="M178" s="102">
        <v>116.8098</v>
      </c>
      <c r="N178" s="102">
        <v>122.1438</v>
      </c>
      <c r="O178" s="102">
        <v>131.1062</v>
      </c>
      <c r="P178" s="102">
        <v>124.265</v>
      </c>
      <c r="Q178" s="102">
        <v>174.7953</v>
      </c>
      <c r="R178" s="102">
        <v>155.16826800000001</v>
      </c>
      <c r="S178" s="102">
        <v>156.80114</v>
      </c>
      <c r="T178" s="102">
        <v>322.94114000000002</v>
      </c>
      <c r="U178" s="102">
        <v>157.58746400000001</v>
      </c>
      <c r="V178" s="102">
        <v>155.54951</v>
      </c>
      <c r="W178" s="102">
        <v>143.03025199999999</v>
      </c>
      <c r="X178" s="102">
        <v>146.061395</v>
      </c>
      <c r="Y178" s="102">
        <v>140.83627999999999</v>
      </c>
      <c r="Z178" s="102">
        <v>143.628659</v>
      </c>
      <c r="AA178" s="102">
        <v>150.01092499999999</v>
      </c>
      <c r="AB178" s="102">
        <v>166.95274000000001</v>
      </c>
      <c r="AC178" s="102">
        <v>142.10959700000001</v>
      </c>
      <c r="AD178" s="102">
        <v>147.171256</v>
      </c>
      <c r="AE178" s="102">
        <v>146.39425999999997</v>
      </c>
      <c r="AF178" s="102">
        <v>143.37379799999999</v>
      </c>
      <c r="AG178" s="102">
        <v>159.33207100000001</v>
      </c>
      <c r="AH178" s="102">
        <v>152.71206900000001</v>
      </c>
      <c r="AI178" s="102">
        <v>147.32050000000001</v>
      </c>
      <c r="AJ178" s="102">
        <v>168.711094</v>
      </c>
      <c r="AK178" s="102">
        <v>164.292912</v>
      </c>
      <c r="AL178" s="102">
        <v>154.06087636999999</v>
      </c>
      <c r="AM178" s="102">
        <v>161.14501200000001</v>
      </c>
      <c r="AN178" s="102">
        <v>179.833045</v>
      </c>
      <c r="AO178" s="102">
        <v>181.13181800000001</v>
      </c>
      <c r="AP178" s="145">
        <v>-592.22815100000003</v>
      </c>
      <c r="AQ178" s="220">
        <v>-619.3331455</v>
      </c>
      <c r="AR178" s="220">
        <v>127.950709</v>
      </c>
      <c r="AS178" s="102">
        <v>134.583012</v>
      </c>
      <c r="AT178" s="102">
        <v>97.914377000000002</v>
      </c>
      <c r="AU178" s="102">
        <v>102.90347</v>
      </c>
      <c r="AV178" s="102">
        <v>84.932514999999995</v>
      </c>
      <c r="AW178" s="102">
        <v>90.237780000000001</v>
      </c>
      <c r="AX178" s="102">
        <v>97.898608999999993</v>
      </c>
      <c r="AY178" s="102">
        <v>103.460403</v>
      </c>
      <c r="AZ178" s="102">
        <v>0.47</v>
      </c>
      <c r="BA178" s="102">
        <v>62.332141999999997</v>
      </c>
      <c r="BB178" s="102">
        <v>59.633726000000003</v>
      </c>
      <c r="BC178" s="102">
        <v>2.1784000000000001E-2</v>
      </c>
      <c r="BD178" s="102">
        <v>0.349549</v>
      </c>
      <c r="BE178" s="102">
        <v>0.32386500000000001</v>
      </c>
      <c r="BF178" s="102">
        <v>0.31471700000000002</v>
      </c>
      <c r="BG178" s="102">
        <v>0.30246099999999998</v>
      </c>
      <c r="BH178" s="102">
        <v>0.30246099999999998</v>
      </c>
      <c r="BI178" s="102">
        <v>0.30246099999999998</v>
      </c>
      <c r="BJ178" s="102">
        <v>0.30244100000000002</v>
      </c>
      <c r="BK178" s="102">
        <v>0.31306</v>
      </c>
      <c r="BL178" s="102">
        <v>0</v>
      </c>
      <c r="BM178" s="145">
        <v>-8.7709999999999993E-3</v>
      </c>
      <c r="BN178" s="102">
        <v>0.34602899999999998</v>
      </c>
      <c r="BO178" s="102">
        <v>0.55111597999999995</v>
      </c>
      <c r="BP178" s="102">
        <v>1.6292979999999999E-2</v>
      </c>
      <c r="BQ178" s="102">
        <v>-0.61421201999999997</v>
      </c>
      <c r="BR178" s="102">
        <v>-1.3172070200000001</v>
      </c>
      <c r="BS178" s="102">
        <v>-1.5987590199999999</v>
      </c>
      <c r="BT178" s="102">
        <v>-1.9092460200000001</v>
      </c>
      <c r="BU178" s="102">
        <v>-2.1560260299999996</v>
      </c>
      <c r="BV178" s="102">
        <v>-2.3896420299999996</v>
      </c>
      <c r="BW178" s="102">
        <v>-2.6544330299999999</v>
      </c>
      <c r="BX178" s="102">
        <v>0</v>
      </c>
      <c r="BY178" s="102">
        <v>0</v>
      </c>
      <c r="BZ178" s="102">
        <v>-0.54759999999999998</v>
      </c>
      <c r="CA178" s="102">
        <v>-0.53110100000000005</v>
      </c>
      <c r="CB178" s="102">
        <v>2.6394999999999998E-2</v>
      </c>
      <c r="CC178" s="102">
        <v>-0.117413</v>
      </c>
      <c r="CD178" s="102">
        <v>-8.6398000000000003E-2</v>
      </c>
      <c r="CE178" s="102">
        <v>-0.17841099999999999</v>
      </c>
      <c r="CF178" s="102">
        <v>0</v>
      </c>
      <c r="CG178" s="102">
        <v>-1E-8</v>
      </c>
      <c r="CH178" s="102">
        <v>0</v>
      </c>
      <c r="CI178" s="102">
        <v>-2E-8</v>
      </c>
      <c r="CJ178" s="102">
        <v>0</v>
      </c>
      <c r="CK178" s="102">
        <v>0</v>
      </c>
      <c r="CL178" s="102">
        <v>0</v>
      </c>
      <c r="CM178" s="102">
        <v>0</v>
      </c>
      <c r="CN178" s="102">
        <v>0</v>
      </c>
      <c r="CO178" s="102">
        <v>0</v>
      </c>
      <c r="CP178" s="102">
        <v>2.9999999999999997E-8</v>
      </c>
      <c r="CQ178" s="102">
        <v>2.9999999999999997E-8</v>
      </c>
      <c r="CR178" s="102">
        <v>2.9999999999999997E-8</v>
      </c>
      <c r="CS178" s="102">
        <v>0.52440803000000002</v>
      </c>
      <c r="CT178" s="102">
        <v>0</v>
      </c>
      <c r="CU178" s="102">
        <v>0</v>
      </c>
      <c r="CV178" s="102">
        <v>0</v>
      </c>
      <c r="CW178" s="102">
        <v>0</v>
      </c>
      <c r="CX178" s="102">
        <v>0</v>
      </c>
      <c r="CY178" s="102">
        <v>0</v>
      </c>
      <c r="CZ178" s="102">
        <v>0</v>
      </c>
      <c r="DA178" s="102">
        <v>0</v>
      </c>
      <c r="DB178" s="102">
        <v>0</v>
      </c>
      <c r="DC178" s="102">
        <v>0</v>
      </c>
      <c r="DD178" s="102">
        <v>0</v>
      </c>
      <c r="DE178" s="102">
        <v>0</v>
      </c>
      <c r="DF178" s="102">
        <v>0</v>
      </c>
      <c r="DG178" s="102">
        <v>0</v>
      </c>
      <c r="DH178" s="102">
        <v>0</v>
      </c>
      <c r="DI178" s="102">
        <v>0</v>
      </c>
      <c r="DJ178" s="102">
        <v>0</v>
      </c>
      <c r="DK178" s="102">
        <v>0</v>
      </c>
      <c r="DL178" s="102">
        <v>0</v>
      </c>
      <c r="DM178" s="102">
        <v>0</v>
      </c>
      <c r="DN178" s="102">
        <v>0</v>
      </c>
      <c r="DO178" s="102">
        <v>0</v>
      </c>
      <c r="DP178" s="102">
        <v>0</v>
      </c>
      <c r="DQ178" s="940">
        <v>0</v>
      </c>
      <c r="DR178" s="940">
        <v>0</v>
      </c>
      <c r="DS178" s="940">
        <v>0</v>
      </c>
      <c r="DT178" s="940">
        <v>0</v>
      </c>
      <c r="DU178" s="940">
        <v>0</v>
      </c>
      <c r="DV178" s="940">
        <v>0</v>
      </c>
      <c r="DW178" s="940">
        <v>0</v>
      </c>
      <c r="DX178" s="940">
        <v>0</v>
      </c>
      <c r="DY178" s="940">
        <v>0</v>
      </c>
      <c r="DZ178" s="940">
        <v>0</v>
      </c>
      <c r="EA178" s="940">
        <v>0</v>
      </c>
      <c r="EB178" s="940">
        <v>0</v>
      </c>
      <c r="EC178" s="940">
        <v>0</v>
      </c>
      <c r="ED178" s="940">
        <v>0</v>
      </c>
      <c r="EE178" s="940">
        <v>0</v>
      </c>
      <c r="EF178" s="940">
        <v>0</v>
      </c>
      <c r="EG178" s="77"/>
      <c r="EH178" s="102" t="e">
        <v>#VALUE!</v>
      </c>
      <c r="EI178" s="102" t="e">
        <v>#VALUE!</v>
      </c>
      <c r="EJ178" s="102" t="e">
        <v>#VALUE!</v>
      </c>
      <c r="EK178" s="102" t="e">
        <v>#VALUE!</v>
      </c>
      <c r="EL178" s="102" t="e">
        <v>#VALUE!</v>
      </c>
      <c r="EM178" s="102" t="e">
        <v>#VALUE!</v>
      </c>
      <c r="EN178" s="102" t="e">
        <v>#VALUE!</v>
      </c>
      <c r="EO178" s="102" t="e">
        <v>#VALUE!</v>
      </c>
      <c r="EP178" s="102" t="e">
        <v>#VALUE!</v>
      </c>
      <c r="EQ178" s="102" t="e">
        <v>#VALUE!</v>
      </c>
      <c r="ER178" s="102" t="e">
        <v>#VALUE!</v>
      </c>
      <c r="ES178" s="102" t="e">
        <v>#VALUE!</v>
      </c>
      <c r="EU178" s="102">
        <v>178.9348</v>
      </c>
      <c r="EV178" s="102">
        <v>178.9348</v>
      </c>
      <c r="EW178" s="102">
        <v>178.9348</v>
      </c>
      <c r="EX178" s="102">
        <v>178.9348</v>
      </c>
      <c r="EY178" s="102">
        <v>178.9348</v>
      </c>
      <c r="EZ178" s="102">
        <v>178.9348</v>
      </c>
      <c r="FA178" s="102">
        <v>178.9348</v>
      </c>
      <c r="FB178" s="102">
        <v>178.9348</v>
      </c>
      <c r="FC178" s="102">
        <v>178.9348</v>
      </c>
      <c r="FD178" s="102">
        <v>178.9348</v>
      </c>
      <c r="FE178" s="102">
        <v>178.9348</v>
      </c>
      <c r="FF178" s="102">
        <v>178.9348</v>
      </c>
      <c r="FG178" s="102">
        <v>51.473582892479996</v>
      </c>
      <c r="FH178" s="102">
        <v>65.116847892479996</v>
      </c>
      <c r="FI178" s="102">
        <v>65.61664579667999</v>
      </c>
      <c r="FJ178" s="102">
        <v>74.670793608691199</v>
      </c>
      <c r="FK178" s="102">
        <v>77.674472328691195</v>
      </c>
      <c r="FL178" s="102">
        <v>91.091450887718395</v>
      </c>
      <c r="FM178" s="102">
        <v>95.239406407718391</v>
      </c>
      <c r="FN178" s="102">
        <v>98.488921927718394</v>
      </c>
      <c r="FO178" s="102">
        <v>98.940968438361594</v>
      </c>
      <c r="FP178" s="102">
        <v>100.87190475836159</v>
      </c>
      <c r="FQ178" s="102">
        <v>95.463495158361596</v>
      </c>
      <c r="FR178" s="102">
        <v>79.372359158361604</v>
      </c>
      <c r="FS178" s="102">
        <v>75.949773337280007</v>
      </c>
      <c r="FT178" s="102">
        <v>73.829622937279979</v>
      </c>
      <c r="FU178" s="102">
        <v>76.26974453727999</v>
      </c>
      <c r="FV178" s="102">
        <v>71.798896537280015</v>
      </c>
      <c r="FW178" s="102">
        <v>75.473597337280012</v>
      </c>
      <c r="FX178" s="102">
        <v>64.41990133728001</v>
      </c>
      <c r="FY178" s="102">
        <v>72.509488537280006</v>
      </c>
      <c r="FZ178" s="102">
        <v>58.558518937280006</v>
      </c>
      <c r="GA178" s="102">
        <v>53.878029337280005</v>
      </c>
      <c r="GB178" s="102">
        <v>49.654029337280008</v>
      </c>
      <c r="GC178" s="102">
        <v>51.766029337280003</v>
      </c>
      <c r="GD178" s="102">
        <v>49.654029337280008</v>
      </c>
      <c r="GE178" s="102" t="e">
        <v>#VALUE!</v>
      </c>
      <c r="GF178" s="102" t="e">
        <v>#VALUE!</v>
      </c>
      <c r="GG178" s="102" t="e">
        <v>#VALUE!</v>
      </c>
      <c r="GH178" s="102" t="e">
        <v>#VALUE!</v>
      </c>
      <c r="GI178" s="102" t="e">
        <v>#VALUE!</v>
      </c>
      <c r="GJ178" s="102" t="e">
        <v>#VALUE!</v>
      </c>
      <c r="GK178" s="102" t="e">
        <v>#VALUE!</v>
      </c>
      <c r="GL178" s="102" t="e">
        <v>#VALUE!</v>
      </c>
      <c r="GM178" s="102" t="e">
        <v>#VALUE!</v>
      </c>
      <c r="GN178" s="102" t="e">
        <v>#VALUE!</v>
      </c>
      <c r="GO178" s="102" t="e">
        <v>#VALUE!</v>
      </c>
      <c r="GP178" s="102" t="e">
        <v>#VALUE!</v>
      </c>
      <c r="GQ178" s="102" t="e">
        <v>#VALUE!</v>
      </c>
      <c r="GR178" s="102" t="e">
        <v>#VALUE!</v>
      </c>
      <c r="GS178" s="102" t="e">
        <v>#VALUE!</v>
      </c>
      <c r="GT178" s="102" t="e">
        <v>#VALUE!</v>
      </c>
      <c r="GU178" s="102" t="e">
        <v>#VALUE!</v>
      </c>
      <c r="GV178" s="102" t="e">
        <v>#VALUE!</v>
      </c>
      <c r="GW178" s="102" t="e">
        <v>#VALUE!</v>
      </c>
      <c r="GX178" s="102" t="e">
        <v>#VALUE!</v>
      </c>
      <c r="GY178" s="102" t="e">
        <v>#VALUE!</v>
      </c>
      <c r="GZ178" s="102" t="e">
        <v>#VALUE!</v>
      </c>
      <c r="HA178" s="102" t="e">
        <v>#VALUE!</v>
      </c>
      <c r="HB178" s="102" t="e">
        <v>#VALUE!</v>
      </c>
      <c r="HD178" s="102">
        <f t="shared" si="940"/>
        <v>124.265</v>
      </c>
      <c r="HE178" s="102">
        <f t="shared" si="940"/>
        <v>166.95274000000001</v>
      </c>
      <c r="HF178" s="102">
        <f t="shared" si="940"/>
        <v>179.833045</v>
      </c>
      <c r="HG178" s="102">
        <f t="shared" si="940"/>
        <v>0.47</v>
      </c>
      <c r="HH178" s="102">
        <f t="shared" si="890"/>
        <v>0</v>
      </c>
      <c r="HI178" s="102">
        <f t="shared" si="891"/>
        <v>0</v>
      </c>
      <c r="HJ178" s="102">
        <f t="shared" si="846"/>
        <v>0</v>
      </c>
      <c r="HK178" s="102">
        <f t="shared" si="847"/>
        <v>0</v>
      </c>
      <c r="HL178" s="940">
        <f>+SUMIFS($E178:SEW178,$E$6:SEW$6,HL$7,$E$5:SEW$5,12)</f>
        <v>0</v>
      </c>
      <c r="HM178" s="940">
        <f>+SUMIFS($E178:SEX178,$E$6:SEX$6,HM$7,$E$5:SEX$5,12)</f>
        <v>0</v>
      </c>
      <c r="HN178" s="940">
        <f>+SUMIFS($E178:SEY178,$E$6:SEY$6,HN$7,$E$5:SEY$5,12)</f>
        <v>0</v>
      </c>
      <c r="HO178" s="102"/>
      <c r="HP178" s="102"/>
      <c r="HR178" s="929">
        <f t="shared" si="941"/>
        <v>7.7149407670697556E-2</v>
      </c>
      <c r="HS178" s="929">
        <f t="shared" si="942"/>
        <v>-0.99738646476235782</v>
      </c>
      <c r="HT178" s="929">
        <f t="shared" si="943"/>
        <v>-1</v>
      </c>
      <c r="HU178" s="929" t="str">
        <f t="shared" si="935"/>
        <v/>
      </c>
      <c r="HV178" s="929" t="str">
        <f t="shared" si="936"/>
        <v/>
      </c>
      <c r="HW178" s="929" t="str">
        <f t="shared" si="937"/>
        <v/>
      </c>
      <c r="HX178" s="929" t="str">
        <f t="shared" si="938"/>
        <v/>
      </c>
      <c r="HY178" s="929" t="str">
        <f t="shared" si="938"/>
        <v/>
      </c>
      <c r="HZ178" s="929" t="str">
        <f t="shared" si="938"/>
        <v/>
      </c>
      <c r="IA178" s="929" t="str">
        <f t="shared" si="868"/>
        <v/>
      </c>
      <c r="IB178" s="929" t="str">
        <f t="shared" si="944"/>
        <v/>
      </c>
      <c r="IC178" s="929" t="str">
        <f t="shared" si="869"/>
        <v/>
      </c>
      <c r="IE178" s="102">
        <f t="shared" si="945"/>
        <v>12.880304999999993</v>
      </c>
      <c r="IF178" s="102">
        <f t="shared" si="946"/>
        <v>-179.363045</v>
      </c>
      <c r="IG178" s="102">
        <f t="shared" si="947"/>
        <v>-0.47</v>
      </c>
      <c r="IH178" s="102">
        <f t="shared" si="939"/>
        <v>0</v>
      </c>
      <c r="II178" s="102">
        <f t="shared" si="894"/>
        <v>0</v>
      </c>
      <c r="IJ178" s="102">
        <f t="shared" si="895"/>
        <v>0</v>
      </c>
      <c r="IK178" s="102">
        <f t="shared" si="896"/>
        <v>0</v>
      </c>
      <c r="IL178" s="102">
        <f t="shared" si="870"/>
        <v>0</v>
      </c>
      <c r="IM178" s="102">
        <f t="shared" si="948"/>
        <v>0</v>
      </c>
      <c r="IN178" s="102">
        <f t="shared" si="871"/>
        <v>0</v>
      </c>
      <c r="IP178" s="973"/>
      <c r="IQ178" s="973"/>
      <c r="IR178" s="973"/>
      <c r="IS178" s="973"/>
      <c r="IT178" s="973"/>
      <c r="IU178" s="973"/>
      <c r="IV178" s="973"/>
      <c r="IW178" s="973"/>
      <c r="IX178" s="973"/>
      <c r="IY178" s="973"/>
      <c r="JA178" s="102">
        <f t="shared" si="727"/>
        <v>124.265</v>
      </c>
      <c r="JB178" s="102">
        <f t="shared" si="933"/>
        <v>166.95274000000001</v>
      </c>
      <c r="JC178" s="102">
        <f t="shared" si="933"/>
        <v>179.833045</v>
      </c>
      <c r="JD178" s="102">
        <f t="shared" si="933"/>
        <v>0.47</v>
      </c>
      <c r="JE178" s="102">
        <f t="shared" si="933"/>
        <v>0</v>
      </c>
      <c r="JF178" s="102">
        <f t="shared" si="933"/>
        <v>0</v>
      </c>
      <c r="JG178" s="102">
        <f t="shared" si="933"/>
        <v>0</v>
      </c>
      <c r="JH178" s="102">
        <f t="shared" si="933"/>
        <v>0</v>
      </c>
      <c r="JI178" s="102">
        <f t="shared" si="933"/>
        <v>0</v>
      </c>
      <c r="JJ178" s="102">
        <f t="shared" si="933"/>
        <v>0</v>
      </c>
      <c r="JK178" s="102">
        <f t="shared" si="933"/>
        <v>0</v>
      </c>
      <c r="JL178" s="102">
        <f t="shared" si="728"/>
        <v>0</v>
      </c>
      <c r="JM178" s="102"/>
      <c r="JN178" s="102"/>
      <c r="JP178" s="102">
        <f t="shared" si="897"/>
        <v>0</v>
      </c>
      <c r="JQ178" s="102">
        <f t="shared" si="898"/>
        <v>0</v>
      </c>
      <c r="JR178" s="145"/>
      <c r="JS178" s="929" t="str">
        <f t="shared" si="949"/>
        <v>NA</v>
      </c>
      <c r="JT178" s="930">
        <f t="shared" si="950"/>
        <v>0</v>
      </c>
      <c r="JV178" s="973"/>
      <c r="JW178" s="973"/>
      <c r="JY178" s="929">
        <f t="shared" si="925"/>
        <v>7.7149407670697556E-2</v>
      </c>
      <c r="JZ178" s="929">
        <f t="shared" si="926"/>
        <v>-0.99738646476235782</v>
      </c>
      <c r="KA178" s="929">
        <f t="shared" si="927"/>
        <v>-1</v>
      </c>
      <c r="KB178" s="929" t="str">
        <f t="shared" si="928"/>
        <v/>
      </c>
      <c r="KC178" s="929" t="str">
        <f t="shared" si="929"/>
        <v/>
      </c>
      <c r="KD178" s="929" t="str">
        <f t="shared" si="930"/>
        <v/>
      </c>
      <c r="KE178" s="929" t="str">
        <f t="shared" si="931"/>
        <v/>
      </c>
      <c r="KF178" s="929" t="str">
        <f t="shared" si="932"/>
        <v/>
      </c>
      <c r="KH178" s="102">
        <f t="shared" si="900"/>
        <v>12.880304999999993</v>
      </c>
      <c r="KI178" s="102">
        <f t="shared" si="901"/>
        <v>-179.363045</v>
      </c>
      <c r="KJ178" s="102">
        <f t="shared" si="902"/>
        <v>-0.47</v>
      </c>
      <c r="KK178" s="102">
        <f t="shared" si="903"/>
        <v>0</v>
      </c>
      <c r="KL178" s="102">
        <f t="shared" si="904"/>
        <v>0</v>
      </c>
      <c r="KM178" s="102">
        <f t="shared" si="905"/>
        <v>0</v>
      </c>
      <c r="KN178" s="102">
        <f t="shared" si="906"/>
        <v>0</v>
      </c>
      <c r="KO178" s="102">
        <f t="shared" si="907"/>
        <v>0</v>
      </c>
      <c r="KQ178" s="973"/>
      <c r="KR178" s="973"/>
      <c r="KS178" s="973"/>
      <c r="KT178" s="973"/>
      <c r="KU178" s="973"/>
      <c r="KV178" s="973"/>
      <c r="KW178" s="973"/>
      <c r="KX178" s="973"/>
      <c r="KY178" s="973"/>
      <c r="KZ178" s="973"/>
      <c r="LB178" s="102">
        <f t="shared" si="737"/>
        <v>124.265</v>
      </c>
      <c r="LC178" s="102">
        <f t="shared" si="934"/>
        <v>166.95274000000001</v>
      </c>
      <c r="LD178" s="102">
        <f t="shared" si="934"/>
        <v>179.833045</v>
      </c>
      <c r="LE178" s="102">
        <f t="shared" si="934"/>
        <v>0.47</v>
      </c>
      <c r="LF178" s="102">
        <f t="shared" si="934"/>
        <v>0</v>
      </c>
      <c r="LG178" s="102">
        <f t="shared" si="934"/>
        <v>0</v>
      </c>
      <c r="LH178" s="102">
        <f t="shared" si="934"/>
        <v>0</v>
      </c>
      <c r="LI178" s="102">
        <f t="shared" si="934"/>
        <v>0</v>
      </c>
      <c r="LJ178" s="102">
        <f t="shared" si="934"/>
        <v>0</v>
      </c>
      <c r="LK178" s="102">
        <f t="shared" si="934"/>
        <v>0</v>
      </c>
      <c r="LL178" s="102">
        <f t="shared" si="934"/>
        <v>0</v>
      </c>
      <c r="LM178" s="102">
        <f t="shared" si="934"/>
        <v>0</v>
      </c>
      <c r="LN178" s="102"/>
      <c r="LO178" s="102"/>
      <c r="LR178" s="32">
        <f t="shared" si="908"/>
        <v>7.7149407670697556E-2</v>
      </c>
      <c r="LS178" s="32">
        <f t="shared" si="909"/>
        <v>-0.99738646476235782</v>
      </c>
      <c r="LT178" s="32">
        <f t="shared" si="910"/>
        <v>-1</v>
      </c>
      <c r="LU178" s="32" t="str">
        <f t="shared" si="911"/>
        <v xml:space="preserve"> </v>
      </c>
      <c r="LV178" s="32" t="str">
        <f t="shared" si="912"/>
        <v xml:space="preserve"> </v>
      </c>
      <c r="LW178" s="32" t="str">
        <f t="shared" si="913"/>
        <v xml:space="preserve"> </v>
      </c>
      <c r="LX178" s="32" t="str">
        <f t="shared" si="848"/>
        <v xml:space="preserve"> </v>
      </c>
      <c r="LZ178" s="102">
        <f t="shared" si="914"/>
        <v>12.880304999999993</v>
      </c>
      <c r="MA178" s="102">
        <f t="shared" si="915"/>
        <v>-179.363045</v>
      </c>
      <c r="MB178" s="102">
        <f t="shared" si="916"/>
        <v>-0.47</v>
      </c>
      <c r="MC178" s="102">
        <f t="shared" si="917"/>
        <v>0</v>
      </c>
      <c r="MD178" s="102">
        <f t="shared" si="918"/>
        <v>0</v>
      </c>
      <c r="ME178" s="102">
        <f t="shared" si="919"/>
        <v>0</v>
      </c>
      <c r="MF178" s="102">
        <f t="shared" si="849"/>
        <v>0</v>
      </c>
      <c r="MH178" s="973"/>
      <c r="MI178" s="973"/>
      <c r="MJ178" s="973"/>
      <c r="MK178" s="973"/>
      <c r="ML178" s="973"/>
      <c r="MM178" s="973"/>
      <c r="MN178" s="973"/>
      <c r="MO178" s="973"/>
      <c r="MP178" s="973"/>
    </row>
    <row r="179" spans="1:354" outlineLevel="1">
      <c r="A179" s="884"/>
      <c r="B179" s="70"/>
      <c r="C179" s="17" t="s">
        <v>145</v>
      </c>
      <c r="D179" s="31" t="s">
        <v>59</v>
      </c>
      <c r="E179" s="102">
        <v>1451.6021561500002</v>
      </c>
      <c r="F179" s="102">
        <v>839.22648934000006</v>
      </c>
      <c r="G179" s="102">
        <v>906.20820950000007</v>
      </c>
      <c r="H179" s="102">
        <v>1010.13539278</v>
      </c>
      <c r="I179" s="102">
        <v>1142.94364655</v>
      </c>
      <c r="J179" s="102">
        <v>940.92157100000009</v>
      </c>
      <c r="K179" s="102">
        <v>1224.11013908</v>
      </c>
      <c r="L179" s="102">
        <v>1192.72661152</v>
      </c>
      <c r="M179" s="102">
        <v>1535.9869751199999</v>
      </c>
      <c r="N179" s="102">
        <v>1462.69868812</v>
      </c>
      <c r="O179" s="102">
        <v>1389.3353931199999</v>
      </c>
      <c r="P179" s="102">
        <v>1321.6532219999999</v>
      </c>
      <c r="Q179" s="102">
        <v>1406.4341848199997</v>
      </c>
      <c r="R179" s="102">
        <v>929.73824481999998</v>
      </c>
      <c r="S179" s="102">
        <v>1095.8058418199998</v>
      </c>
      <c r="T179" s="102">
        <v>1314.1723409799999</v>
      </c>
      <c r="U179" s="102">
        <v>1514.82748898</v>
      </c>
      <c r="V179" s="102">
        <v>1191.3884069799999</v>
      </c>
      <c r="W179" s="102">
        <v>1306.7962069799999</v>
      </c>
      <c r="X179" s="102">
        <v>1491.15795798</v>
      </c>
      <c r="Y179" s="102">
        <v>1655.7502309800002</v>
      </c>
      <c r="Z179" s="102">
        <v>1807.30890198</v>
      </c>
      <c r="AA179" s="102">
        <v>1945.7118619799999</v>
      </c>
      <c r="AB179" s="102">
        <v>2169.0181703899998</v>
      </c>
      <c r="AC179" s="102">
        <v>2265.0150416500001</v>
      </c>
      <c r="AD179" s="102">
        <v>1480.2283169899999</v>
      </c>
      <c r="AE179" s="102">
        <v>1663.3803002899999</v>
      </c>
      <c r="AF179" s="102">
        <v>1660.50109266</v>
      </c>
      <c r="AG179" s="102">
        <v>1701.0979070399999</v>
      </c>
      <c r="AH179" s="102">
        <v>1375.05147713</v>
      </c>
      <c r="AI179" s="102">
        <v>1537.9439896599999</v>
      </c>
      <c r="AJ179" s="102">
        <v>1670.32867758</v>
      </c>
      <c r="AK179" s="102">
        <v>1759.0858635</v>
      </c>
      <c r="AL179" s="102">
        <v>1924.1173269400001</v>
      </c>
      <c r="AM179" s="102">
        <v>2152.0581225200003</v>
      </c>
      <c r="AN179" s="143">
        <v>2217.12162175</v>
      </c>
      <c r="AO179" s="975">
        <v>2200.9014086699999</v>
      </c>
      <c r="AP179" s="976">
        <v>2079.22100675</v>
      </c>
      <c r="AQ179" s="975">
        <v>2077.06449535</v>
      </c>
      <c r="AR179" s="975">
        <v>1453.1165111600001</v>
      </c>
      <c r="AS179" s="975">
        <v>1431.1615551799998</v>
      </c>
      <c r="AT179" s="975">
        <v>1521.27912283</v>
      </c>
      <c r="AU179" s="975">
        <v>1402.8595965599998</v>
      </c>
      <c r="AV179" s="975">
        <v>1317.44065568</v>
      </c>
      <c r="AW179" s="975">
        <v>1346.1369835099999</v>
      </c>
      <c r="AX179" s="975">
        <v>1433.6406390100001</v>
      </c>
      <c r="AY179" s="975">
        <v>1333.12109467</v>
      </c>
      <c r="AZ179" s="102">
        <f>SUM(AZ180:AZ181)</f>
        <v>615.31073474000004</v>
      </c>
      <c r="BA179" s="102">
        <v>597.78709355000001</v>
      </c>
      <c r="BB179" s="102">
        <v>254.04111164</v>
      </c>
      <c r="BC179" s="102">
        <v>230.25267589000001</v>
      </c>
      <c r="BD179" s="102">
        <v>278.79381287999996</v>
      </c>
      <c r="BE179" s="102">
        <v>356.63593699</v>
      </c>
      <c r="BF179" s="102">
        <v>222.22325815000002</v>
      </c>
      <c r="BG179" s="102">
        <v>270.0075104</v>
      </c>
      <c r="BH179" s="102">
        <v>298.45514530999998</v>
      </c>
      <c r="BI179" s="102">
        <v>286.60233011000003</v>
      </c>
      <c r="BJ179" s="102">
        <v>411.92884967999998</v>
      </c>
      <c r="BK179" s="102">
        <v>429.71687927000005</v>
      </c>
      <c r="BL179" s="145">
        <f>SUM(BL180:BL181)</f>
        <v>452.98258534000001</v>
      </c>
      <c r="BM179" s="145">
        <f t="shared" ref="BM179:DX179" si="956">SUM(BM180:BM181)</f>
        <v>558.36609449000002</v>
      </c>
      <c r="BN179" s="102">
        <f>SUM(BN180:BN181)</f>
        <v>441.80495393000007</v>
      </c>
      <c r="BO179" s="102">
        <f t="shared" si="956"/>
        <v>462.14203792999996</v>
      </c>
      <c r="BP179" s="102">
        <f t="shared" si="956"/>
        <v>575.67582099000003</v>
      </c>
      <c r="BQ179" s="102">
        <f t="shared" si="956"/>
        <v>566.74853724000002</v>
      </c>
      <c r="BR179" s="102">
        <f t="shared" si="956"/>
        <v>389.89134810000002</v>
      </c>
      <c r="BS179" s="102">
        <f t="shared" si="956"/>
        <v>457.20289888999997</v>
      </c>
      <c r="BT179" s="102">
        <f t="shared" si="956"/>
        <v>487.95574206999999</v>
      </c>
      <c r="BU179" s="102">
        <f t="shared" si="956"/>
        <v>546.65882904</v>
      </c>
      <c r="BV179" s="102">
        <f t="shared" si="956"/>
        <v>576.65705795999997</v>
      </c>
      <c r="BW179" s="102">
        <f t="shared" si="956"/>
        <v>639.87048456000002</v>
      </c>
      <c r="BX179" s="102">
        <f t="shared" si="956"/>
        <v>562.82319022000001</v>
      </c>
      <c r="BY179" s="102">
        <f t="shared" si="956"/>
        <v>598.04436246</v>
      </c>
      <c r="BZ179" s="102">
        <f t="shared" si="956"/>
        <v>389.13640406000002</v>
      </c>
      <c r="CA179" s="102">
        <f t="shared" si="956"/>
        <v>473.95663898999999</v>
      </c>
      <c r="CB179" s="102">
        <f t="shared" si="956"/>
        <v>497.54382715000003</v>
      </c>
      <c r="CC179" s="102">
        <f t="shared" si="956"/>
        <v>494.60958761000001</v>
      </c>
      <c r="CD179" s="102">
        <f t="shared" si="956"/>
        <v>436.37237492999998</v>
      </c>
      <c r="CE179" s="102">
        <f t="shared" si="956"/>
        <v>520.40429962999997</v>
      </c>
      <c r="CF179" s="102">
        <f t="shared" si="956"/>
        <v>591.17061236999996</v>
      </c>
      <c r="CG179" s="102">
        <f t="shared" si="956"/>
        <v>670.76392764000002</v>
      </c>
      <c r="CH179" s="102">
        <f t="shared" si="956"/>
        <v>792.01835979000009</v>
      </c>
      <c r="CI179" s="102">
        <f t="shared" si="956"/>
        <v>837.56700169999999</v>
      </c>
      <c r="CJ179" s="102">
        <f t="shared" si="956"/>
        <v>702.95443762000002</v>
      </c>
      <c r="CK179" s="102">
        <f t="shared" si="956"/>
        <v>747.20767510999997</v>
      </c>
      <c r="CL179" s="102">
        <f t="shared" si="956"/>
        <v>616.68947675000004</v>
      </c>
      <c r="CM179" s="102">
        <f t="shared" si="956"/>
        <v>779.45180318999996</v>
      </c>
      <c r="CN179" s="102">
        <f t="shared" si="956"/>
        <v>830.61447031000012</v>
      </c>
      <c r="CO179" s="102">
        <f t="shared" si="956"/>
        <v>961.05056234000006</v>
      </c>
      <c r="CP179" s="102">
        <f t="shared" si="956"/>
        <v>829.65220587999988</v>
      </c>
      <c r="CQ179" s="102">
        <f t="shared" si="956"/>
        <v>934.42183305999993</v>
      </c>
      <c r="CR179" s="102">
        <f t="shared" si="956"/>
        <v>1037.1772972599999</v>
      </c>
      <c r="CS179" s="102">
        <f t="shared" si="956"/>
        <v>1078.0825925199999</v>
      </c>
      <c r="CT179" s="102">
        <f t="shared" si="956"/>
        <v>1203.55786698</v>
      </c>
      <c r="CU179" s="102">
        <f t="shared" si="956"/>
        <v>1237.30828711</v>
      </c>
      <c r="CV179" s="102">
        <f t="shared" si="956"/>
        <v>1175.3563469999999</v>
      </c>
      <c r="CW179" s="102">
        <f t="shared" si="956"/>
        <v>1161.219769</v>
      </c>
      <c r="CX179" s="102">
        <f t="shared" si="956"/>
        <v>755.87277500000005</v>
      </c>
      <c r="CY179" s="102">
        <f t="shared" si="956"/>
        <v>730.564616</v>
      </c>
      <c r="CZ179" s="102">
        <f t="shared" si="956"/>
        <v>578.99790899999994</v>
      </c>
      <c r="DA179" s="102">
        <f t="shared" si="956"/>
        <v>428.37293899999997</v>
      </c>
      <c r="DB179" s="102">
        <f t="shared" si="956"/>
        <v>333.13090399999999</v>
      </c>
      <c r="DC179" s="102">
        <f t="shared" si="956"/>
        <v>408.60870899999998</v>
      </c>
      <c r="DD179" s="102">
        <f t="shared" si="956"/>
        <v>472.49746499999998</v>
      </c>
      <c r="DE179" s="102">
        <f t="shared" si="956"/>
        <v>504.18599499999999</v>
      </c>
      <c r="DF179" s="102">
        <f t="shared" si="956"/>
        <v>537.53572899999995</v>
      </c>
      <c r="DG179" s="102">
        <f t="shared" si="956"/>
        <v>569.53993200000002</v>
      </c>
      <c r="DH179" s="102">
        <f t="shared" si="956"/>
        <v>583.59713899999997</v>
      </c>
      <c r="DI179" s="102">
        <f t="shared" si="956"/>
        <v>588.67698900000005</v>
      </c>
      <c r="DJ179" s="102">
        <f t="shared" si="956"/>
        <v>427.12982</v>
      </c>
      <c r="DK179" s="102">
        <f t="shared" si="956"/>
        <v>495.87623600000001</v>
      </c>
      <c r="DL179" s="102">
        <f t="shared" si="956"/>
        <v>567.68800299999998</v>
      </c>
      <c r="DM179" s="102">
        <f t="shared" si="956"/>
        <v>651.41674699999999</v>
      </c>
      <c r="DN179" s="102">
        <f t="shared" si="956"/>
        <v>560.86152300000003</v>
      </c>
      <c r="DO179" s="102">
        <f t="shared" si="956"/>
        <v>611.55680099999995</v>
      </c>
      <c r="DP179" s="102">
        <f t="shared" si="956"/>
        <v>686.121442</v>
      </c>
      <c r="DQ179" s="940">
        <f t="shared" si="956"/>
        <v>729.02892299999996</v>
      </c>
      <c r="DR179" s="940">
        <f t="shared" si="956"/>
        <v>782.85011899999995</v>
      </c>
      <c r="DS179" s="940">
        <f t="shared" si="956"/>
        <v>850.30716799999993</v>
      </c>
      <c r="DT179" s="940">
        <f t="shared" si="956"/>
        <v>873.96511999999996</v>
      </c>
      <c r="DU179" s="940">
        <f t="shared" si="956"/>
        <v>923.94694000000004</v>
      </c>
      <c r="DV179" s="940">
        <f t="shared" si="956"/>
        <v>714.79698400000007</v>
      </c>
      <c r="DW179" s="940">
        <f t="shared" si="956"/>
        <v>878.82306600000004</v>
      </c>
      <c r="DX179" s="940">
        <f t="shared" si="956"/>
        <v>955.91660999999999</v>
      </c>
      <c r="DY179" s="940">
        <f t="shared" ref="DY179:EF179" si="957">SUM(DY180:DY181)</f>
        <v>1053.353672</v>
      </c>
      <c r="DZ179" s="940">
        <f t="shared" si="957"/>
        <v>945.52930900000001</v>
      </c>
      <c r="EA179" s="940">
        <f t="shared" si="957"/>
        <v>1024.9298509999999</v>
      </c>
      <c r="EB179" s="940">
        <f t="shared" si="957"/>
        <v>1152.460525</v>
      </c>
      <c r="EC179" s="940">
        <f t="shared" si="957"/>
        <v>1297.9839790000001</v>
      </c>
      <c r="ED179" s="940">
        <f t="shared" si="957"/>
        <v>1555.013999</v>
      </c>
      <c r="EE179" s="940">
        <f t="shared" si="957"/>
        <v>1622.84438</v>
      </c>
      <c r="EF179" s="940">
        <f t="shared" si="957"/>
        <v>1421.7179919999999</v>
      </c>
      <c r="EG179" s="77"/>
      <c r="EH179" s="102" t="e">
        <f t="shared" ref="EH179:ES179" si="958">SUM(EH180:EH181)</f>
        <v>#VALUE!</v>
      </c>
      <c r="EI179" s="102" t="e">
        <f t="shared" si="958"/>
        <v>#VALUE!</v>
      </c>
      <c r="EJ179" s="102" t="e">
        <f t="shared" si="958"/>
        <v>#VALUE!</v>
      </c>
      <c r="EK179" s="102" t="e">
        <f t="shared" si="958"/>
        <v>#VALUE!</v>
      </c>
      <c r="EL179" s="102" t="e">
        <f t="shared" si="958"/>
        <v>#VALUE!</v>
      </c>
      <c r="EM179" s="102" t="e">
        <f t="shared" si="958"/>
        <v>#VALUE!</v>
      </c>
      <c r="EN179" s="102" t="e">
        <f t="shared" si="958"/>
        <v>#VALUE!</v>
      </c>
      <c r="EO179" s="102" t="e">
        <f t="shared" si="958"/>
        <v>#VALUE!</v>
      </c>
      <c r="EP179" s="102" t="e">
        <f t="shared" si="958"/>
        <v>#VALUE!</v>
      </c>
      <c r="EQ179" s="102" t="e">
        <f t="shared" si="958"/>
        <v>#VALUE!</v>
      </c>
      <c r="ER179" s="102" t="e">
        <f t="shared" si="958"/>
        <v>#VALUE!</v>
      </c>
      <c r="ES179" s="102" t="e">
        <f t="shared" si="958"/>
        <v>#VALUE!</v>
      </c>
      <c r="ET179" s="279"/>
      <c r="EU179" s="102">
        <f t="shared" ref="EU179:FZ179" si="959">SUM(EU180:EU181)</f>
        <v>2211.6462707299997</v>
      </c>
      <c r="EV179" s="102">
        <f t="shared" si="959"/>
        <v>1606.9166572899999</v>
      </c>
      <c r="EW179" s="102">
        <f t="shared" si="959"/>
        <v>1786.9166572899999</v>
      </c>
      <c r="EX179" s="102">
        <f t="shared" si="959"/>
        <v>1266.9166572899999</v>
      </c>
      <c r="EY179" s="102">
        <f t="shared" si="959"/>
        <v>1446.9166572899999</v>
      </c>
      <c r="EZ179" s="102">
        <f t="shared" si="959"/>
        <v>1557.9166572899999</v>
      </c>
      <c r="FA179" s="102">
        <f t="shared" si="959"/>
        <v>1737.9166572899999</v>
      </c>
      <c r="FB179" s="102">
        <f t="shared" si="959"/>
        <v>1917.9166572899999</v>
      </c>
      <c r="FC179" s="102">
        <f t="shared" si="959"/>
        <v>2097.9166572899999</v>
      </c>
      <c r="FD179" s="102">
        <f t="shared" si="959"/>
        <v>2277.9166572899999</v>
      </c>
      <c r="FE179" s="102">
        <f t="shared" si="959"/>
        <v>2457.9166572899999</v>
      </c>
      <c r="FF179" s="102">
        <f t="shared" si="959"/>
        <v>2568.9166572900003</v>
      </c>
      <c r="FG179" s="102">
        <f t="shared" si="959"/>
        <v>673.61966050190324</v>
      </c>
      <c r="FH179" s="102">
        <f t="shared" si="959"/>
        <v>426.40532298630637</v>
      </c>
      <c r="FI179" s="102">
        <f t="shared" si="959"/>
        <v>523.93898897310009</v>
      </c>
      <c r="FJ179" s="102">
        <f t="shared" si="959"/>
        <v>646.64960767957757</v>
      </c>
      <c r="FK179" s="102">
        <f t="shared" si="959"/>
        <v>804.08041859085495</v>
      </c>
      <c r="FL179" s="102">
        <f t="shared" si="959"/>
        <v>750.60929115307113</v>
      </c>
      <c r="FM179" s="102">
        <f t="shared" si="959"/>
        <v>930.39667023061224</v>
      </c>
      <c r="FN179" s="102">
        <f t="shared" si="959"/>
        <v>1127.0124340374532</v>
      </c>
      <c r="FO179" s="102">
        <f t="shared" si="959"/>
        <v>1307.6745457882394</v>
      </c>
      <c r="FP179" s="102">
        <f t="shared" si="959"/>
        <v>1501.5453525278253</v>
      </c>
      <c r="FQ179" s="102">
        <f t="shared" si="959"/>
        <v>1646.1693608034116</v>
      </c>
      <c r="FR179" s="102">
        <f t="shared" si="959"/>
        <v>1068.1280295979514</v>
      </c>
      <c r="FS179" s="102">
        <f t="shared" si="959"/>
        <v>103.6239719970514</v>
      </c>
      <c r="FT179" s="102">
        <f t="shared" si="959"/>
        <v>-70.391731424948617</v>
      </c>
      <c r="FU179" s="102">
        <f t="shared" si="959"/>
        <v>104.06053270305138</v>
      </c>
      <c r="FV179" s="102">
        <f t="shared" si="959"/>
        <v>97.960619463051415</v>
      </c>
      <c r="FW179" s="102">
        <f t="shared" si="959"/>
        <v>102.97428936705141</v>
      </c>
      <c r="FX179" s="102">
        <f t="shared" si="959"/>
        <v>87.892902887051406</v>
      </c>
      <c r="FY179" s="102">
        <f t="shared" si="959"/>
        <v>98.930133423051402</v>
      </c>
      <c r="FZ179" s="102">
        <f t="shared" si="959"/>
        <v>79.895779275051396</v>
      </c>
      <c r="GA179" s="102">
        <f t="shared" ref="GA179:HB179" si="960">SUM(GA180:GA181)</f>
        <v>73.509836277051406</v>
      </c>
      <c r="GB179" s="102">
        <f t="shared" si="960"/>
        <v>67.746716277051405</v>
      </c>
      <c r="GC179" s="102">
        <f t="shared" si="960"/>
        <v>70.628276277051398</v>
      </c>
      <c r="GD179" s="102">
        <f t="shared" si="960"/>
        <v>67.746716277051405</v>
      </c>
      <c r="GE179" s="102" t="e">
        <f t="shared" si="960"/>
        <v>#VALUE!</v>
      </c>
      <c r="GF179" s="102" t="e">
        <f t="shared" si="960"/>
        <v>#VALUE!</v>
      </c>
      <c r="GG179" s="102" t="e">
        <f t="shared" si="960"/>
        <v>#VALUE!</v>
      </c>
      <c r="GH179" s="102" t="e">
        <f t="shared" si="960"/>
        <v>#VALUE!</v>
      </c>
      <c r="GI179" s="102" t="e">
        <f t="shared" si="960"/>
        <v>#VALUE!</v>
      </c>
      <c r="GJ179" s="102" t="e">
        <f t="shared" si="960"/>
        <v>#VALUE!</v>
      </c>
      <c r="GK179" s="102" t="e">
        <f t="shared" si="960"/>
        <v>#VALUE!</v>
      </c>
      <c r="GL179" s="102" t="e">
        <f t="shared" si="960"/>
        <v>#VALUE!</v>
      </c>
      <c r="GM179" s="102" t="e">
        <f t="shared" si="960"/>
        <v>#VALUE!</v>
      </c>
      <c r="GN179" s="102" t="e">
        <f t="shared" si="960"/>
        <v>#VALUE!</v>
      </c>
      <c r="GO179" s="102" t="e">
        <f t="shared" si="960"/>
        <v>#VALUE!</v>
      </c>
      <c r="GP179" s="102" t="e">
        <f t="shared" si="960"/>
        <v>#VALUE!</v>
      </c>
      <c r="GQ179" s="102" t="e">
        <f t="shared" si="960"/>
        <v>#VALUE!</v>
      </c>
      <c r="GR179" s="102" t="e">
        <f t="shared" si="960"/>
        <v>#VALUE!</v>
      </c>
      <c r="GS179" s="102" t="e">
        <f t="shared" si="960"/>
        <v>#VALUE!</v>
      </c>
      <c r="GT179" s="102" t="e">
        <f t="shared" si="960"/>
        <v>#VALUE!</v>
      </c>
      <c r="GU179" s="102" t="e">
        <f t="shared" si="960"/>
        <v>#VALUE!</v>
      </c>
      <c r="GV179" s="102" t="e">
        <f t="shared" si="960"/>
        <v>#VALUE!</v>
      </c>
      <c r="GW179" s="102" t="e">
        <f t="shared" si="960"/>
        <v>#VALUE!</v>
      </c>
      <c r="GX179" s="102" t="e">
        <f t="shared" si="960"/>
        <v>#VALUE!</v>
      </c>
      <c r="GY179" s="102" t="e">
        <f t="shared" si="960"/>
        <v>#VALUE!</v>
      </c>
      <c r="GZ179" s="102" t="e">
        <f t="shared" si="960"/>
        <v>#VALUE!</v>
      </c>
      <c r="HA179" s="102" t="e">
        <f t="shared" si="960"/>
        <v>#VALUE!</v>
      </c>
      <c r="HB179" s="102" t="e">
        <f t="shared" si="960"/>
        <v>#VALUE!</v>
      </c>
      <c r="HD179" s="102">
        <f t="shared" si="940"/>
        <v>1321.6532219999999</v>
      </c>
      <c r="HE179" s="102">
        <f t="shared" si="940"/>
        <v>2169.0181703899998</v>
      </c>
      <c r="HF179" s="102">
        <f t="shared" si="940"/>
        <v>2217.12162175</v>
      </c>
      <c r="HG179" s="102">
        <f t="shared" si="940"/>
        <v>615.31073474000004</v>
      </c>
      <c r="HH179" s="102">
        <f t="shared" si="890"/>
        <v>452.98258534000001</v>
      </c>
      <c r="HI179" s="102">
        <f t="shared" si="891"/>
        <v>562.82319022000001</v>
      </c>
      <c r="HJ179" s="102">
        <f t="shared" si="846"/>
        <v>702.95443762000002</v>
      </c>
      <c r="HK179" s="102">
        <f t="shared" si="847"/>
        <v>1175.3563469999999</v>
      </c>
      <c r="HL179" s="940">
        <f>+SUMIFS($E179:SEW179,$E$6:SEW$6,HL$7,$E$5:SEW$5,12)</f>
        <v>583.59713899999997</v>
      </c>
      <c r="HM179" s="940">
        <f>+SUMIFS($E179:SEX179,$E$6:SEX$6,HM$7,$E$5:SEX$5,12)</f>
        <v>873.96511999999996</v>
      </c>
      <c r="HN179" s="940">
        <f>+SUMIFS($E179:SEY179,$E$6:SEY$6,HN$7,$E$5:SEY$5,12)</f>
        <v>1421.7179919999999</v>
      </c>
      <c r="HO179" s="102"/>
      <c r="HP179" s="102"/>
      <c r="HR179" s="929">
        <f t="shared" si="941"/>
        <v>2.2177523460465531E-2</v>
      </c>
      <c r="HS179" s="929">
        <f t="shared" si="942"/>
        <v>-0.72247317030162372</v>
      </c>
      <c r="HT179" s="929">
        <f t="shared" si="943"/>
        <v>-0.26381491535100865</v>
      </c>
      <c r="HU179" s="929">
        <f t="shared" si="935"/>
        <v>0.24248306322318269</v>
      </c>
      <c r="HV179" s="929">
        <f t="shared" si="936"/>
        <v>0.24897916403413412</v>
      </c>
      <c r="HW179" s="929">
        <f t="shared" si="937"/>
        <v>0.67202351119571246</v>
      </c>
      <c r="HX179" s="929">
        <f t="shared" si="938"/>
        <v>-0.50347216783268878</v>
      </c>
      <c r="HY179" s="929">
        <f t="shared" si="938"/>
        <v>0.49754867115618273</v>
      </c>
      <c r="HZ179" s="929">
        <f t="shared" si="938"/>
        <v>0.62674454559467985</v>
      </c>
      <c r="IA179" s="929">
        <f t="shared" si="868"/>
        <v>-1</v>
      </c>
      <c r="IB179" s="929" t="str">
        <f t="shared" si="944"/>
        <v/>
      </c>
      <c r="IC179" s="929">
        <f t="shared" si="869"/>
        <v>-1</v>
      </c>
      <c r="IE179" s="102">
        <f t="shared" si="945"/>
        <v>48.103451360000236</v>
      </c>
      <c r="IF179" s="102">
        <f t="shared" si="946"/>
        <v>-1601.81088701</v>
      </c>
      <c r="IG179" s="102">
        <f t="shared" si="947"/>
        <v>-162.32814940000003</v>
      </c>
      <c r="IH179" s="102">
        <f t="shared" si="939"/>
        <v>109.84060488</v>
      </c>
      <c r="II179" s="102">
        <f t="shared" si="894"/>
        <v>140.13124740000001</v>
      </c>
      <c r="IJ179" s="102">
        <f t="shared" si="895"/>
        <v>472.40190937999989</v>
      </c>
      <c r="IK179" s="102">
        <f t="shared" si="896"/>
        <v>-591.75920799999994</v>
      </c>
      <c r="IL179" s="102">
        <f t="shared" si="870"/>
        <v>-583.59713899999997</v>
      </c>
      <c r="IM179" s="102">
        <f t="shared" si="948"/>
        <v>0</v>
      </c>
      <c r="IN179" s="102">
        <f t="shared" si="871"/>
        <v>-583.59713899999997</v>
      </c>
      <c r="IP179" s="973"/>
      <c r="IQ179" s="973"/>
      <c r="IR179" s="973"/>
      <c r="IS179" s="973"/>
      <c r="IT179" s="973"/>
      <c r="IU179" s="973"/>
      <c r="IV179" s="973"/>
      <c r="IW179" s="973"/>
      <c r="IX179" s="973"/>
      <c r="IY179" s="973"/>
      <c r="JA179" s="102">
        <f t="shared" si="727"/>
        <v>1321.6532219999999</v>
      </c>
      <c r="JB179" s="102">
        <f t="shared" si="933"/>
        <v>2169.0181703899998</v>
      </c>
      <c r="JC179" s="102">
        <f t="shared" si="933"/>
        <v>2217.12162175</v>
      </c>
      <c r="JD179" s="102">
        <f t="shared" si="933"/>
        <v>615.31073474000004</v>
      </c>
      <c r="JE179" s="102">
        <f t="shared" si="933"/>
        <v>452.98258534000001</v>
      </c>
      <c r="JF179" s="102">
        <f t="shared" si="933"/>
        <v>562.82319022000001</v>
      </c>
      <c r="JG179" s="102">
        <f t="shared" si="933"/>
        <v>702.95443762000002</v>
      </c>
      <c r="JH179" s="102">
        <f t="shared" si="933"/>
        <v>1175.3563469999999</v>
      </c>
      <c r="JI179" s="102">
        <f t="shared" si="933"/>
        <v>583.59713899999997</v>
      </c>
      <c r="JJ179" s="102">
        <f t="shared" si="933"/>
        <v>873.96511999999996</v>
      </c>
      <c r="JK179" s="102">
        <f t="shared" si="933"/>
        <v>1421.7179919999999</v>
      </c>
      <c r="JL179" s="102">
        <f t="shared" si="728"/>
        <v>1421.7179919999999</v>
      </c>
      <c r="JM179" s="102"/>
      <c r="JN179" s="102"/>
      <c r="JP179" s="102">
        <f t="shared" si="897"/>
        <v>0</v>
      </c>
      <c r="JQ179" s="102">
        <f t="shared" si="898"/>
        <v>0</v>
      </c>
      <c r="JR179" s="145"/>
      <c r="JS179" s="929" t="str">
        <f t="shared" si="949"/>
        <v>NA</v>
      </c>
      <c r="JT179" s="930">
        <f t="shared" si="950"/>
        <v>0</v>
      </c>
      <c r="JV179" s="973"/>
      <c r="JW179" s="973"/>
      <c r="JY179" s="929">
        <f t="shared" si="925"/>
        <v>2.2177523460465531E-2</v>
      </c>
      <c r="JZ179" s="929">
        <f t="shared" si="926"/>
        <v>-0.72247317030162372</v>
      </c>
      <c r="KA179" s="929">
        <f t="shared" si="927"/>
        <v>-0.26381491535100865</v>
      </c>
      <c r="KB179" s="929">
        <f t="shared" si="928"/>
        <v>0.24248306322318269</v>
      </c>
      <c r="KC179" s="929">
        <f t="shared" si="929"/>
        <v>0.24897916403413412</v>
      </c>
      <c r="KD179" s="929">
        <f t="shared" si="930"/>
        <v>0.67202351119571246</v>
      </c>
      <c r="KE179" s="929">
        <f t="shared" si="931"/>
        <v>-0.50347216783268878</v>
      </c>
      <c r="KF179" s="929">
        <f t="shared" si="932"/>
        <v>-1</v>
      </c>
      <c r="KH179" s="102">
        <f t="shared" si="900"/>
        <v>48.103451360000236</v>
      </c>
      <c r="KI179" s="102">
        <f t="shared" si="901"/>
        <v>-1601.81088701</v>
      </c>
      <c r="KJ179" s="102">
        <f t="shared" si="902"/>
        <v>-162.32814940000003</v>
      </c>
      <c r="KK179" s="102">
        <f t="shared" si="903"/>
        <v>109.84060488</v>
      </c>
      <c r="KL179" s="102">
        <f t="shared" si="904"/>
        <v>140.13124740000001</v>
      </c>
      <c r="KM179" s="102">
        <f t="shared" si="905"/>
        <v>472.40190937999989</v>
      </c>
      <c r="KN179" s="102">
        <f t="shared" si="906"/>
        <v>-591.75920799999994</v>
      </c>
      <c r="KO179" s="102">
        <f t="shared" si="907"/>
        <v>-583.59713899999997</v>
      </c>
      <c r="KQ179" s="973"/>
      <c r="KR179" s="973"/>
      <c r="KS179" s="973"/>
      <c r="KT179" s="973"/>
      <c r="KU179" s="973"/>
      <c r="KV179" s="973"/>
      <c r="KW179" s="973"/>
      <c r="KX179" s="973"/>
      <c r="KY179" s="973"/>
      <c r="KZ179" s="973"/>
      <c r="LB179" s="102">
        <f t="shared" si="737"/>
        <v>1321.6532219999999</v>
      </c>
      <c r="LC179" s="102">
        <f t="shared" si="934"/>
        <v>2169.0181703899998</v>
      </c>
      <c r="LD179" s="102">
        <f t="shared" si="934"/>
        <v>2217.12162175</v>
      </c>
      <c r="LE179" s="102">
        <f t="shared" si="934"/>
        <v>615.31073474000004</v>
      </c>
      <c r="LF179" s="102">
        <f t="shared" si="934"/>
        <v>452.98258534000001</v>
      </c>
      <c r="LG179" s="102">
        <f t="shared" si="934"/>
        <v>562.82319022000001</v>
      </c>
      <c r="LH179" s="102">
        <f t="shared" si="934"/>
        <v>702.95443762000002</v>
      </c>
      <c r="LI179" s="102">
        <f t="shared" si="934"/>
        <v>1175.3563469999999</v>
      </c>
      <c r="LJ179" s="102">
        <f t="shared" si="934"/>
        <v>583.59713899999997</v>
      </c>
      <c r="LK179" s="102">
        <f t="shared" si="934"/>
        <v>873.96511999999996</v>
      </c>
      <c r="LL179" s="102">
        <f t="shared" si="934"/>
        <v>1421.7179919999999</v>
      </c>
      <c r="LM179" s="102">
        <f t="shared" si="934"/>
        <v>1421.7179919999999</v>
      </c>
      <c r="LN179" s="102"/>
      <c r="LO179" s="102"/>
      <c r="LR179" s="32">
        <f t="shared" si="908"/>
        <v>2.2177523460465531E-2</v>
      </c>
      <c r="LS179" s="32">
        <f t="shared" si="909"/>
        <v>-0.72247317030162372</v>
      </c>
      <c r="LT179" s="32">
        <f t="shared" si="910"/>
        <v>-0.26381491535100865</v>
      </c>
      <c r="LU179" s="32">
        <f t="shared" si="911"/>
        <v>0.24248306322318269</v>
      </c>
      <c r="LV179" s="32">
        <f t="shared" si="912"/>
        <v>0.24897916403413412</v>
      </c>
      <c r="LW179" s="32">
        <f t="shared" si="913"/>
        <v>0.67202351119571246</v>
      </c>
      <c r="LX179" s="32">
        <f t="shared" si="848"/>
        <v>-1</v>
      </c>
      <c r="LZ179" s="102">
        <f t="shared" si="914"/>
        <v>48.103451360000236</v>
      </c>
      <c r="MA179" s="102">
        <f t="shared" si="915"/>
        <v>-1601.81088701</v>
      </c>
      <c r="MB179" s="102">
        <f t="shared" si="916"/>
        <v>-162.32814940000003</v>
      </c>
      <c r="MC179" s="102">
        <f t="shared" si="917"/>
        <v>109.84060488</v>
      </c>
      <c r="MD179" s="102">
        <f t="shared" si="918"/>
        <v>140.13124740000001</v>
      </c>
      <c r="ME179" s="102">
        <f t="shared" si="919"/>
        <v>472.40190937999989</v>
      </c>
      <c r="MF179" s="102">
        <f t="shared" si="849"/>
        <v>-1175.3563469999999</v>
      </c>
      <c r="MH179" s="973"/>
      <c r="MI179" s="973"/>
      <c r="MJ179" s="973"/>
      <c r="MK179" s="973"/>
      <c r="ML179" s="973"/>
      <c r="MM179" s="973"/>
      <c r="MN179" s="973"/>
      <c r="MO179" s="973"/>
      <c r="MP179" s="973"/>
    </row>
    <row r="180" spans="1:354" ht="15.75" customHeight="1" outlineLevel="2">
      <c r="A180" s="884">
        <v>2610</v>
      </c>
      <c r="B180" s="70" t="s">
        <v>735</v>
      </c>
      <c r="C180" s="17" t="s">
        <v>736</v>
      </c>
      <c r="D180" s="31" t="s">
        <v>59</v>
      </c>
      <c r="E180" s="102">
        <v>177.546966</v>
      </c>
      <c r="F180" s="102">
        <v>281.24761999999998</v>
      </c>
      <c r="G180" s="102">
        <v>364.16555899999997</v>
      </c>
      <c r="H180" s="102">
        <v>483.51404100000002</v>
      </c>
      <c r="I180" s="102">
        <v>612.98262899999997</v>
      </c>
      <c r="J180" s="102">
        <v>418.81715400000002</v>
      </c>
      <c r="K180" s="102">
        <v>721.75611500000002</v>
      </c>
      <c r="L180" s="102">
        <v>693.02912200000003</v>
      </c>
      <c r="M180" s="102">
        <v>813.71417199999996</v>
      </c>
      <c r="N180" s="102">
        <v>907.44640400000003</v>
      </c>
      <c r="O180" s="102">
        <v>849.23733900000002</v>
      </c>
      <c r="P180" s="102">
        <v>0</v>
      </c>
      <c r="Q180" s="102">
        <v>218.65159800000004</v>
      </c>
      <c r="R180" s="102">
        <v>379.23841900000002</v>
      </c>
      <c r="S180" s="102">
        <v>550.15525300000002</v>
      </c>
      <c r="T180" s="102">
        <v>754.03184599999997</v>
      </c>
      <c r="U180" s="102">
        <v>957.15806299999997</v>
      </c>
      <c r="V180" s="102">
        <v>627.52063999999996</v>
      </c>
      <c r="W180" s="102">
        <v>746.5096289999999</v>
      </c>
      <c r="X180" s="102">
        <v>931.30103600000007</v>
      </c>
      <c r="Y180" s="102">
        <v>1100.6268420000001</v>
      </c>
      <c r="Z180" s="102">
        <v>1276.0733279999999</v>
      </c>
      <c r="AA180" s="102">
        <v>1389.8362929999998</v>
      </c>
      <c r="AB180" s="102">
        <v>573.68939399999999</v>
      </c>
      <c r="AC180" s="102">
        <v>810.44950116999996</v>
      </c>
      <c r="AD180" s="102">
        <v>931.27847923000002</v>
      </c>
      <c r="AE180" s="102">
        <v>1128.2223559499998</v>
      </c>
      <c r="AF180" s="102">
        <v>1132.5477862600001</v>
      </c>
      <c r="AG180" s="102">
        <v>1174.1597675099999</v>
      </c>
      <c r="AH180" s="102">
        <v>849.19190657000001</v>
      </c>
      <c r="AI180" s="102">
        <v>1011.25521366</v>
      </c>
      <c r="AJ180" s="102">
        <v>1146.59261681</v>
      </c>
      <c r="AK180" s="102">
        <v>1288.8047466799999</v>
      </c>
      <c r="AL180" s="102">
        <v>1495.3734210700002</v>
      </c>
      <c r="AM180" s="102">
        <v>1723.3142166500002</v>
      </c>
      <c r="AN180" s="102">
        <v>640</v>
      </c>
      <c r="AO180" s="102">
        <v>749.39717524000002</v>
      </c>
      <c r="AP180" s="145">
        <v>662.92493810000008</v>
      </c>
      <c r="AQ180" s="220">
        <v>663.32714959999998</v>
      </c>
      <c r="AR180" s="220">
        <v>1453.2240264100001</v>
      </c>
      <c r="AS180" s="102">
        <v>1431.2689696099999</v>
      </c>
      <c r="AT180" s="102">
        <v>1498.02431409</v>
      </c>
      <c r="AU180" s="102">
        <v>1247.5123398699998</v>
      </c>
      <c r="AV180" s="102">
        <v>1320.0553376099999</v>
      </c>
      <c r="AW180" s="102">
        <v>1348.86081079</v>
      </c>
      <c r="AX180" s="102">
        <v>1436.10153446</v>
      </c>
      <c r="AY180" s="102">
        <v>1333.1203984000001</v>
      </c>
      <c r="AZ180" s="102">
        <v>0</v>
      </c>
      <c r="BA180" s="102">
        <v>-17.52368397</v>
      </c>
      <c r="BB180" s="102">
        <v>253.31453897</v>
      </c>
      <c r="BC180" s="102">
        <v>231.96607144000001</v>
      </c>
      <c r="BD180" s="102">
        <v>278.79364888999999</v>
      </c>
      <c r="BE180" s="102">
        <v>356.63593699</v>
      </c>
      <c r="BF180" s="102">
        <v>203.23740205000001</v>
      </c>
      <c r="BG180" s="102">
        <v>270.0075104</v>
      </c>
      <c r="BH180" s="102">
        <v>298.45514530999998</v>
      </c>
      <c r="BI180" s="102">
        <v>286.60233011000003</v>
      </c>
      <c r="BJ180" s="102">
        <v>411.92884967999998</v>
      </c>
      <c r="BK180" s="102">
        <v>429.71687860000003</v>
      </c>
      <c r="BL180" s="102">
        <v>151.24971513</v>
      </c>
      <c r="BM180" s="145">
        <v>557.14822679999997</v>
      </c>
      <c r="BN180" s="102">
        <v>435.02550411000004</v>
      </c>
      <c r="BO180" s="102">
        <v>458.31766693999998</v>
      </c>
      <c r="BP180" s="102">
        <v>575.23678698000003</v>
      </c>
      <c r="BQ180" s="102">
        <v>551.50118879000001</v>
      </c>
      <c r="BR180" s="102">
        <v>381.76884443</v>
      </c>
      <c r="BS180" s="102">
        <v>455.58536920999995</v>
      </c>
      <c r="BT180" s="102">
        <v>486.58411805999998</v>
      </c>
      <c r="BU180" s="102">
        <v>545.48220583</v>
      </c>
      <c r="BV180" s="102">
        <v>575.48043474999997</v>
      </c>
      <c r="BW180" s="102">
        <v>638.69386135000002</v>
      </c>
      <c r="BX180" s="102">
        <v>137.26173401</v>
      </c>
      <c r="BY180" s="102">
        <v>343.83590624999999</v>
      </c>
      <c r="BZ180" s="102">
        <v>359.14362208</v>
      </c>
      <c r="CA180" s="102">
        <v>438.53462768999998</v>
      </c>
      <c r="CB180" s="102">
        <v>462.93504517000002</v>
      </c>
      <c r="CC180" s="102">
        <v>460.00080563</v>
      </c>
      <c r="CD180" s="102">
        <v>401.76359294999997</v>
      </c>
      <c r="CE180" s="102">
        <v>485.89294364999995</v>
      </c>
      <c r="CF180" s="102">
        <v>560.29114615999993</v>
      </c>
      <c r="CG180" s="102">
        <v>639.88446142999999</v>
      </c>
      <c r="CH180" s="102">
        <v>759.13601958000004</v>
      </c>
      <c r="CI180" s="102">
        <v>805.31303536999997</v>
      </c>
      <c r="CJ180" s="102">
        <v>125.864136</v>
      </c>
      <c r="CK180" s="102">
        <v>200.67612274999999</v>
      </c>
      <c r="CL180" s="102">
        <v>372.77475239</v>
      </c>
      <c r="CM180" s="102">
        <v>535.53707882999993</v>
      </c>
      <c r="CN180" s="102">
        <v>586.69974595000008</v>
      </c>
      <c r="CO180" s="102">
        <v>717.13583798000002</v>
      </c>
      <c r="CP180" s="102">
        <v>595.35792802999993</v>
      </c>
      <c r="CQ180" s="102">
        <v>697.43457880999995</v>
      </c>
      <c r="CR180" s="102">
        <v>802.88301940999997</v>
      </c>
      <c r="CS180" s="102">
        <v>843.51999515</v>
      </c>
      <c r="CT180" s="102">
        <v>966.50250627999992</v>
      </c>
      <c r="CU180" s="102">
        <v>999.43055509999999</v>
      </c>
      <c r="CV180" s="102">
        <v>358.01983300000001</v>
      </c>
      <c r="CW180" s="102">
        <v>341.28545800000001</v>
      </c>
      <c r="CX180" s="102">
        <v>407.754975</v>
      </c>
      <c r="CY180" s="102">
        <v>381.89817599999998</v>
      </c>
      <c r="CZ180" s="102">
        <v>230.88012699999999</v>
      </c>
      <c r="DA180" s="102">
        <v>94.050661000000005</v>
      </c>
      <c r="DB180" s="102">
        <v>-1.1913739999999999</v>
      </c>
      <c r="DC180" s="102">
        <v>74.286430999999993</v>
      </c>
      <c r="DD180" s="102">
        <v>138.17518699999999</v>
      </c>
      <c r="DE180" s="102">
        <v>169.86371700000001</v>
      </c>
      <c r="DF180" s="102">
        <v>203.21345099999999</v>
      </c>
      <c r="DG180" s="102">
        <v>235.21765400000001</v>
      </c>
      <c r="DH180" s="102">
        <v>147.403706</v>
      </c>
      <c r="DI180" s="102">
        <v>173.55327</v>
      </c>
      <c r="DJ180" s="102">
        <v>212.07112100000001</v>
      </c>
      <c r="DK180" s="102">
        <v>280.81753700000002</v>
      </c>
      <c r="DL180" s="102">
        <v>352.62930399999999</v>
      </c>
      <c r="DM180" s="102">
        <v>434.70504799999998</v>
      </c>
      <c r="DN180" s="102">
        <v>345.80282399999999</v>
      </c>
      <c r="DO180" s="102">
        <v>396.49810200000002</v>
      </c>
      <c r="DP180" s="102">
        <v>471.06274300000001</v>
      </c>
      <c r="DQ180" s="940">
        <v>514.42301599999996</v>
      </c>
      <c r="DR180" s="940">
        <v>565.06727899999998</v>
      </c>
      <c r="DS180" s="940">
        <v>589.18373499999996</v>
      </c>
      <c r="DT180" s="940">
        <v>266.56664599999999</v>
      </c>
      <c r="DU180" s="940">
        <v>345.41231699999997</v>
      </c>
      <c r="DV180" s="940">
        <v>397.734172</v>
      </c>
      <c r="DW180" s="940">
        <v>561.76025400000003</v>
      </c>
      <c r="DX180" s="940">
        <v>638.85379799999998</v>
      </c>
      <c r="DY180" s="940">
        <v>736.29085999999995</v>
      </c>
      <c r="DZ180" s="940">
        <v>605.33452699999998</v>
      </c>
      <c r="EA180" s="940">
        <v>684.711635</v>
      </c>
      <c r="EB180" s="940">
        <v>812.24230899999998</v>
      </c>
      <c r="EC180" s="940">
        <v>957.76576299999999</v>
      </c>
      <c r="ED180" s="940">
        <v>1214.795783</v>
      </c>
      <c r="EE180" s="940">
        <v>1282.626164</v>
      </c>
      <c r="EF180" s="940">
        <v>485.38382200000001</v>
      </c>
      <c r="EG180" s="77"/>
      <c r="EH180" s="102" t="e">
        <v>#VALUE!</v>
      </c>
      <c r="EI180" s="102" t="e">
        <v>#VALUE!</v>
      </c>
      <c r="EJ180" s="102" t="e">
        <v>#VALUE!</v>
      </c>
      <c r="EK180" s="102" t="e">
        <v>#VALUE!</v>
      </c>
      <c r="EL180" s="102" t="e">
        <v>#VALUE!</v>
      </c>
      <c r="EM180" s="102" t="e">
        <v>#VALUE!</v>
      </c>
      <c r="EN180" s="102" t="e">
        <v>#VALUE!</v>
      </c>
      <c r="EO180" s="102" t="e">
        <v>#VALUE!</v>
      </c>
      <c r="EP180" s="102" t="e">
        <v>#VALUE!</v>
      </c>
      <c r="EQ180" s="102" t="e">
        <v>#VALUE!</v>
      </c>
      <c r="ER180" s="102" t="e">
        <v>#VALUE!</v>
      </c>
      <c r="ES180" s="102" t="e">
        <v>#VALUE!</v>
      </c>
      <c r="EU180" s="102">
        <v>1782.9023648599998</v>
      </c>
      <c r="EV180" s="102">
        <v>1178.1727514199999</v>
      </c>
      <c r="EW180" s="102">
        <v>1358.1727514199999</v>
      </c>
      <c r="EX180" s="102">
        <v>838.17275141999983</v>
      </c>
      <c r="EY180" s="102">
        <v>1018.1727514199998</v>
      </c>
      <c r="EZ180" s="102">
        <v>1129.1727514199999</v>
      </c>
      <c r="FA180" s="102">
        <v>1309.1727514199999</v>
      </c>
      <c r="FB180" s="102">
        <v>1489.1727514199999</v>
      </c>
      <c r="FC180" s="102">
        <v>1669.1727514199999</v>
      </c>
      <c r="FD180" s="102">
        <v>1849.1727514199999</v>
      </c>
      <c r="FE180" s="102">
        <v>2029.1727514199999</v>
      </c>
      <c r="FF180" s="102">
        <v>2140.1727514200002</v>
      </c>
      <c r="FG180" s="102">
        <v>165.39902621190319</v>
      </c>
      <c r="FH180" s="102">
        <v>358.73742533630639</v>
      </c>
      <c r="FI180" s="102">
        <v>490.10504014810016</v>
      </c>
      <c r="FJ180" s="102">
        <v>612.81565885457758</v>
      </c>
      <c r="FK180" s="102">
        <v>770.24646976585495</v>
      </c>
      <c r="FL180" s="102">
        <v>716.77534232807113</v>
      </c>
      <c r="FM180" s="102">
        <v>913.47969581811219</v>
      </c>
      <c r="FN180" s="102">
        <v>1110.0954596249533</v>
      </c>
      <c r="FO180" s="102">
        <v>1290.7575713757394</v>
      </c>
      <c r="FP180" s="102">
        <v>1484.6283781153254</v>
      </c>
      <c r="FQ180" s="102">
        <v>1629.2523863909116</v>
      </c>
      <c r="FR180" s="102">
        <v>1068.1280295979514</v>
      </c>
      <c r="FS180" s="102">
        <v>103.6239719970514</v>
      </c>
      <c r="FT180" s="102">
        <v>-70.391731424948617</v>
      </c>
      <c r="FU180" s="102">
        <v>104.06053270305138</v>
      </c>
      <c r="FV180" s="102">
        <v>97.960619463051415</v>
      </c>
      <c r="FW180" s="102">
        <v>102.97428936705141</v>
      </c>
      <c r="FX180" s="102">
        <v>87.892902887051406</v>
      </c>
      <c r="FY180" s="102">
        <v>98.930133423051402</v>
      </c>
      <c r="FZ180" s="102">
        <v>79.895779275051396</v>
      </c>
      <c r="GA180" s="102">
        <v>73.509836277051406</v>
      </c>
      <c r="GB180" s="102">
        <v>67.746716277051405</v>
      </c>
      <c r="GC180" s="102">
        <v>70.628276277051398</v>
      </c>
      <c r="GD180" s="102">
        <v>67.746716277051405</v>
      </c>
      <c r="GE180" s="102" t="e">
        <v>#VALUE!</v>
      </c>
      <c r="GF180" s="102" t="e">
        <v>#VALUE!</v>
      </c>
      <c r="GG180" s="102" t="e">
        <v>#VALUE!</v>
      </c>
      <c r="GH180" s="102" t="e">
        <v>#VALUE!</v>
      </c>
      <c r="GI180" s="102" t="e">
        <v>#VALUE!</v>
      </c>
      <c r="GJ180" s="102" t="e">
        <v>#VALUE!</v>
      </c>
      <c r="GK180" s="102" t="e">
        <v>#VALUE!</v>
      </c>
      <c r="GL180" s="102" t="e">
        <v>#VALUE!</v>
      </c>
      <c r="GM180" s="102" t="e">
        <v>#VALUE!</v>
      </c>
      <c r="GN180" s="102" t="e">
        <v>#VALUE!</v>
      </c>
      <c r="GO180" s="102" t="e">
        <v>#VALUE!</v>
      </c>
      <c r="GP180" s="102" t="e">
        <v>#VALUE!</v>
      </c>
      <c r="GQ180" s="102" t="e">
        <v>#VALUE!</v>
      </c>
      <c r="GR180" s="102" t="e">
        <v>#VALUE!</v>
      </c>
      <c r="GS180" s="102" t="e">
        <v>#VALUE!</v>
      </c>
      <c r="GT180" s="102" t="e">
        <v>#VALUE!</v>
      </c>
      <c r="GU180" s="102" t="e">
        <v>#VALUE!</v>
      </c>
      <c r="GV180" s="102" t="e">
        <v>#VALUE!</v>
      </c>
      <c r="GW180" s="102" t="e">
        <v>#VALUE!</v>
      </c>
      <c r="GX180" s="102" t="e">
        <v>#VALUE!</v>
      </c>
      <c r="GY180" s="102" t="e">
        <v>#VALUE!</v>
      </c>
      <c r="GZ180" s="102" t="e">
        <v>#VALUE!</v>
      </c>
      <c r="HA180" s="102" t="e">
        <v>#VALUE!</v>
      </c>
      <c r="HB180" s="102" t="e">
        <v>#VALUE!</v>
      </c>
      <c r="HD180" s="102">
        <f t="shared" si="940"/>
        <v>0</v>
      </c>
      <c r="HE180" s="102">
        <f t="shared" si="940"/>
        <v>573.68939399999999</v>
      </c>
      <c r="HF180" s="102">
        <f t="shared" si="940"/>
        <v>640</v>
      </c>
      <c r="HG180" s="102">
        <f t="shared" si="940"/>
        <v>0</v>
      </c>
      <c r="HH180" s="102">
        <f t="shared" si="890"/>
        <v>151.24971513</v>
      </c>
      <c r="HI180" s="102">
        <f t="shared" si="891"/>
        <v>137.26173401</v>
      </c>
      <c r="HJ180" s="102">
        <f t="shared" si="846"/>
        <v>125.864136</v>
      </c>
      <c r="HK180" s="102">
        <f t="shared" si="847"/>
        <v>358.01983300000001</v>
      </c>
      <c r="HL180" s="940">
        <f>+SUMIFS($E180:SEW180,$E$6:SEW$6,HL$7,$E$5:SEW$5,12)</f>
        <v>147.403706</v>
      </c>
      <c r="HM180" s="940">
        <f>+SUMIFS($E180:SEX180,$E$6:SEX$6,HM$7,$E$5:SEX$5,12)</f>
        <v>266.56664599999999</v>
      </c>
      <c r="HN180" s="940">
        <f>+SUMIFS($E180:SEY180,$E$6:SEY$6,HN$7,$E$5:SEY$5,12)</f>
        <v>485.38382200000001</v>
      </c>
      <c r="HO180" s="102"/>
      <c r="HP180" s="102"/>
      <c r="HR180" s="929">
        <f t="shared" si="941"/>
        <v>0.11558625049289306</v>
      </c>
      <c r="HS180" s="929">
        <f t="shared" si="942"/>
        <v>-1</v>
      </c>
      <c r="HT180" s="929" t="str">
        <f t="shared" si="943"/>
        <v/>
      </c>
      <c r="HU180" s="929">
        <f t="shared" si="935"/>
        <v>-9.2482693987074649E-2</v>
      </c>
      <c r="HV180" s="929">
        <f t="shared" si="936"/>
        <v>-8.3035509438993738E-2</v>
      </c>
      <c r="HW180" s="929">
        <f t="shared" si="937"/>
        <v>1.8444944237332228</v>
      </c>
      <c r="HX180" s="929">
        <f t="shared" si="938"/>
        <v>-0.58828061349327543</v>
      </c>
      <c r="HY180" s="929">
        <f t="shared" si="938"/>
        <v>0.80841210328863777</v>
      </c>
      <c r="HZ180" s="929">
        <f t="shared" si="938"/>
        <v>0.82087230073037731</v>
      </c>
      <c r="IA180" s="929">
        <f t="shared" si="868"/>
        <v>-1</v>
      </c>
      <c r="IB180" s="929" t="str">
        <f t="shared" si="944"/>
        <v/>
      </c>
      <c r="IC180" s="929">
        <f t="shared" si="869"/>
        <v>-1</v>
      </c>
      <c r="IE180" s="102">
        <f t="shared" si="945"/>
        <v>66.310606000000007</v>
      </c>
      <c r="IF180" s="102">
        <f t="shared" si="946"/>
        <v>-640</v>
      </c>
      <c r="IG180" s="102">
        <f t="shared" si="947"/>
        <v>151.24971513</v>
      </c>
      <c r="IH180" s="102">
        <f t="shared" si="939"/>
        <v>-13.987981120000001</v>
      </c>
      <c r="II180" s="102">
        <f t="shared" si="894"/>
        <v>-11.397598009999996</v>
      </c>
      <c r="IJ180" s="102">
        <f t="shared" si="895"/>
        <v>232.155697</v>
      </c>
      <c r="IK180" s="102">
        <f t="shared" si="896"/>
        <v>-210.61612700000001</v>
      </c>
      <c r="IL180" s="102">
        <f t="shared" si="870"/>
        <v>-147.403706</v>
      </c>
      <c r="IM180" s="102">
        <f t="shared" si="948"/>
        <v>0</v>
      </c>
      <c r="IN180" s="102">
        <f t="shared" si="871"/>
        <v>-147.403706</v>
      </c>
      <c r="IP180" s="973"/>
      <c r="IQ180" s="973"/>
      <c r="IR180" s="973"/>
      <c r="IS180" s="973"/>
      <c r="IT180" s="973"/>
      <c r="IU180" s="973"/>
      <c r="IV180" s="973"/>
      <c r="IW180" s="973"/>
      <c r="IX180" s="973"/>
      <c r="IY180" s="973"/>
      <c r="JA180" s="102">
        <f t="shared" si="727"/>
        <v>0</v>
      </c>
      <c r="JB180" s="102">
        <f t="shared" si="933"/>
        <v>573.68939399999999</v>
      </c>
      <c r="JC180" s="102">
        <f t="shared" si="933"/>
        <v>640</v>
      </c>
      <c r="JD180" s="102">
        <f t="shared" si="933"/>
        <v>0</v>
      </c>
      <c r="JE180" s="102">
        <f t="shared" si="933"/>
        <v>151.24971513</v>
      </c>
      <c r="JF180" s="102">
        <f t="shared" si="933"/>
        <v>137.26173401</v>
      </c>
      <c r="JG180" s="102">
        <f t="shared" si="933"/>
        <v>125.864136</v>
      </c>
      <c r="JH180" s="102">
        <f t="shared" si="933"/>
        <v>358.01983300000001</v>
      </c>
      <c r="JI180" s="102">
        <f t="shared" si="933"/>
        <v>147.403706</v>
      </c>
      <c r="JJ180" s="102">
        <f t="shared" si="933"/>
        <v>266.56664599999999</v>
      </c>
      <c r="JK180" s="102">
        <f t="shared" si="933"/>
        <v>485.38382200000001</v>
      </c>
      <c r="JL180" s="102">
        <f t="shared" si="728"/>
        <v>485.38382200000001</v>
      </c>
      <c r="JM180" s="102"/>
      <c r="JN180" s="102"/>
      <c r="JP180" s="102">
        <f t="shared" si="897"/>
        <v>0</v>
      </c>
      <c r="JQ180" s="102">
        <f t="shared" si="898"/>
        <v>0</v>
      </c>
      <c r="JR180" s="145"/>
      <c r="JS180" s="929" t="str">
        <f t="shared" si="949"/>
        <v>NA</v>
      </c>
      <c r="JT180" s="930">
        <f t="shared" si="950"/>
        <v>0</v>
      </c>
      <c r="JV180" s="973"/>
      <c r="JW180" s="973"/>
      <c r="JY180" s="929">
        <f t="shared" si="925"/>
        <v>0.11558625049289306</v>
      </c>
      <c r="JZ180" s="929">
        <f t="shared" si="926"/>
        <v>-1</v>
      </c>
      <c r="KA180" s="929" t="str">
        <f t="shared" si="927"/>
        <v/>
      </c>
      <c r="KB180" s="929">
        <f t="shared" si="928"/>
        <v>-9.2482693987074649E-2</v>
      </c>
      <c r="KC180" s="929">
        <f t="shared" si="929"/>
        <v>-8.3035509438993738E-2</v>
      </c>
      <c r="KD180" s="929">
        <f t="shared" si="930"/>
        <v>1.8444944237332228</v>
      </c>
      <c r="KE180" s="929">
        <f t="shared" si="931"/>
        <v>-0.58828061349327543</v>
      </c>
      <c r="KF180" s="929">
        <f t="shared" si="932"/>
        <v>-1</v>
      </c>
      <c r="KH180" s="102">
        <f t="shared" si="900"/>
        <v>66.310606000000007</v>
      </c>
      <c r="KI180" s="102">
        <f t="shared" si="901"/>
        <v>-640</v>
      </c>
      <c r="KJ180" s="102">
        <f t="shared" si="902"/>
        <v>151.24971513</v>
      </c>
      <c r="KK180" s="102">
        <f t="shared" si="903"/>
        <v>-13.987981120000001</v>
      </c>
      <c r="KL180" s="102">
        <f t="shared" si="904"/>
        <v>-11.397598009999996</v>
      </c>
      <c r="KM180" s="102">
        <f t="shared" si="905"/>
        <v>232.155697</v>
      </c>
      <c r="KN180" s="102">
        <f t="shared" si="906"/>
        <v>-210.61612700000001</v>
      </c>
      <c r="KO180" s="102">
        <f t="shared" si="907"/>
        <v>-147.403706</v>
      </c>
      <c r="KQ180" s="973"/>
      <c r="KR180" s="973"/>
      <c r="KS180" s="973"/>
      <c r="KT180" s="973"/>
      <c r="KU180" s="973"/>
      <c r="KV180" s="973"/>
      <c r="KW180" s="973"/>
      <c r="KX180" s="973"/>
      <c r="KY180" s="973"/>
      <c r="KZ180" s="973"/>
      <c r="LB180" s="102">
        <f t="shared" si="737"/>
        <v>0</v>
      </c>
      <c r="LC180" s="102">
        <f t="shared" si="934"/>
        <v>573.68939399999999</v>
      </c>
      <c r="LD180" s="102">
        <f t="shared" si="934"/>
        <v>640</v>
      </c>
      <c r="LE180" s="102">
        <f t="shared" si="934"/>
        <v>0</v>
      </c>
      <c r="LF180" s="102">
        <f t="shared" si="934"/>
        <v>151.24971513</v>
      </c>
      <c r="LG180" s="102">
        <f t="shared" si="934"/>
        <v>137.26173401</v>
      </c>
      <c r="LH180" s="102">
        <f t="shared" si="934"/>
        <v>125.864136</v>
      </c>
      <c r="LI180" s="102">
        <f t="shared" si="934"/>
        <v>358.01983300000001</v>
      </c>
      <c r="LJ180" s="102">
        <f t="shared" si="934"/>
        <v>147.403706</v>
      </c>
      <c r="LK180" s="102">
        <f t="shared" si="934"/>
        <v>266.56664599999999</v>
      </c>
      <c r="LL180" s="102">
        <f t="shared" si="934"/>
        <v>485.38382200000001</v>
      </c>
      <c r="LM180" s="102">
        <f t="shared" si="934"/>
        <v>485.38382200000001</v>
      </c>
      <c r="LN180" s="102"/>
      <c r="LO180" s="102"/>
      <c r="LR180" s="32">
        <f t="shared" si="908"/>
        <v>0.11558625049289306</v>
      </c>
      <c r="LS180" s="32">
        <f t="shared" si="909"/>
        <v>-1</v>
      </c>
      <c r="LT180" s="32" t="str">
        <f t="shared" si="910"/>
        <v xml:space="preserve"> </v>
      </c>
      <c r="LU180" s="32">
        <f t="shared" si="911"/>
        <v>-9.2482693987074649E-2</v>
      </c>
      <c r="LV180" s="32">
        <f t="shared" si="912"/>
        <v>-8.3035509438993738E-2</v>
      </c>
      <c r="LW180" s="32">
        <f t="shared" si="913"/>
        <v>1.8444944237332228</v>
      </c>
      <c r="LX180" s="32">
        <f t="shared" si="848"/>
        <v>-1</v>
      </c>
      <c r="LZ180" s="102">
        <f t="shared" si="914"/>
        <v>66.310606000000007</v>
      </c>
      <c r="MA180" s="102">
        <f t="shared" si="915"/>
        <v>-640</v>
      </c>
      <c r="MB180" s="102">
        <f t="shared" si="916"/>
        <v>151.24971513</v>
      </c>
      <c r="MC180" s="102">
        <f t="shared" si="917"/>
        <v>-13.987981120000001</v>
      </c>
      <c r="MD180" s="102">
        <f t="shared" si="918"/>
        <v>-11.397598009999996</v>
      </c>
      <c r="ME180" s="102">
        <f t="shared" si="919"/>
        <v>232.155697</v>
      </c>
      <c r="MF180" s="102">
        <f t="shared" si="849"/>
        <v>-358.01983300000001</v>
      </c>
      <c r="MH180" s="973"/>
      <c r="MI180" s="973"/>
      <c r="MJ180" s="973"/>
      <c r="MK180" s="973"/>
      <c r="ML180" s="973"/>
      <c r="MM180" s="973"/>
      <c r="MN180" s="973"/>
      <c r="MO180" s="973"/>
      <c r="MP180" s="973"/>
    </row>
    <row r="181" spans="1:354" outlineLevel="2">
      <c r="A181" s="884">
        <v>25</v>
      </c>
      <c r="B181" s="70" t="s">
        <v>737</v>
      </c>
      <c r="C181" s="17" t="s">
        <v>736</v>
      </c>
      <c r="D181" s="31" t="s">
        <v>59</v>
      </c>
      <c r="E181" s="102">
        <v>1274.05519015</v>
      </c>
      <c r="F181" s="102">
        <v>557.97886934000007</v>
      </c>
      <c r="G181" s="102">
        <v>542.04265050000004</v>
      </c>
      <c r="H181" s="102">
        <v>526.62135177999994</v>
      </c>
      <c r="I181" s="102">
        <v>529.96101755000007</v>
      </c>
      <c r="J181" s="102">
        <v>522.10441700000001</v>
      </c>
      <c r="K181" s="102">
        <v>502.35402407999999</v>
      </c>
      <c r="L181" s="102">
        <v>499.69748951999998</v>
      </c>
      <c r="M181" s="102">
        <v>722.27280312000005</v>
      </c>
      <c r="N181" s="102">
        <v>555.25228412000001</v>
      </c>
      <c r="O181" s="102">
        <v>540.09805412000003</v>
      </c>
      <c r="P181" s="102">
        <v>1321.6532219999999</v>
      </c>
      <c r="Q181" s="102">
        <v>1187.7825868199998</v>
      </c>
      <c r="R181" s="102">
        <v>550.49982581999996</v>
      </c>
      <c r="S181" s="102">
        <v>545.65058881999994</v>
      </c>
      <c r="T181" s="102">
        <v>560.14049497999997</v>
      </c>
      <c r="U181" s="102">
        <v>557.66942597999991</v>
      </c>
      <c r="V181" s="102">
        <v>563.86776697999994</v>
      </c>
      <c r="W181" s="102">
        <v>560.28657797999995</v>
      </c>
      <c r="X181" s="102">
        <v>559.85692197999992</v>
      </c>
      <c r="Y181" s="102">
        <v>555.12338897999996</v>
      </c>
      <c r="Z181" s="102">
        <v>531.23557397999991</v>
      </c>
      <c r="AA181" s="102">
        <v>555.87556898000003</v>
      </c>
      <c r="AB181" s="102">
        <v>1595.3287763899998</v>
      </c>
      <c r="AC181" s="102">
        <v>1454.56554048</v>
      </c>
      <c r="AD181" s="102">
        <v>548.94983775999992</v>
      </c>
      <c r="AE181" s="102">
        <v>535.15794433999997</v>
      </c>
      <c r="AF181" s="102">
        <v>527.95330639999997</v>
      </c>
      <c r="AG181" s="102">
        <v>526.93813952999994</v>
      </c>
      <c r="AH181" s="102">
        <v>525.85957055999995</v>
      </c>
      <c r="AI181" s="102">
        <v>526.68877599999996</v>
      </c>
      <c r="AJ181" s="102">
        <v>523.73606076999999</v>
      </c>
      <c r="AK181" s="102">
        <v>470.28111681999997</v>
      </c>
      <c r="AL181" s="102">
        <v>428.74390586999999</v>
      </c>
      <c r="AM181" s="102">
        <v>428.74390586999999</v>
      </c>
      <c r="AN181" s="102">
        <v>1577.12162175</v>
      </c>
      <c r="AO181" s="102">
        <v>1451.5042334300001</v>
      </c>
      <c r="AP181" s="145">
        <v>1416.2960686500001</v>
      </c>
      <c r="AQ181" s="220">
        <v>1413.73734575</v>
      </c>
      <c r="AR181" s="220">
        <v>-0.10751525000000001</v>
      </c>
      <c r="AS181" s="102">
        <v>-0.10741442999999999</v>
      </c>
      <c r="AT181" s="102">
        <v>23.254808739999998</v>
      </c>
      <c r="AU181" s="102">
        <v>155.34725668999999</v>
      </c>
      <c r="AV181" s="102">
        <v>-2.6146819300000002</v>
      </c>
      <c r="AW181" s="102">
        <v>-2.7238272799999996</v>
      </c>
      <c r="AX181" s="102">
        <v>-2.4608954500000002</v>
      </c>
      <c r="AY181" s="102">
        <v>6.9627000000000003E-4</v>
      </c>
      <c r="AZ181" s="102">
        <v>615.31073474000004</v>
      </c>
      <c r="BA181" s="102">
        <v>615.31077751999999</v>
      </c>
      <c r="BB181" s="102">
        <v>0.72657267000000003</v>
      </c>
      <c r="BC181" s="102">
        <v>-1.71339555</v>
      </c>
      <c r="BD181" s="102">
        <v>1.6399000000000001E-4</v>
      </c>
      <c r="BE181" s="102">
        <v>0</v>
      </c>
      <c r="BF181" s="102">
        <v>18.985856100000003</v>
      </c>
      <c r="BG181" s="102">
        <v>0</v>
      </c>
      <c r="BH181" s="102">
        <v>0</v>
      </c>
      <c r="BI181" s="102">
        <v>0</v>
      </c>
      <c r="BJ181" s="102">
        <v>0</v>
      </c>
      <c r="BK181" s="102">
        <v>6.7000000000000004E-7</v>
      </c>
      <c r="BL181" s="102">
        <v>301.73287020999999</v>
      </c>
      <c r="BM181" s="145">
        <v>1.2178676899999998</v>
      </c>
      <c r="BN181" s="102">
        <v>6.77944982</v>
      </c>
      <c r="BO181" s="102">
        <v>3.8243709900000002</v>
      </c>
      <c r="BP181" s="102">
        <v>0.43903401000000003</v>
      </c>
      <c r="BQ181" s="102">
        <v>15.247348449999999</v>
      </c>
      <c r="BR181" s="102">
        <v>8.1225036700000004</v>
      </c>
      <c r="BS181" s="102">
        <v>1.6175296799999999</v>
      </c>
      <c r="BT181" s="102">
        <v>1.3716240100000001</v>
      </c>
      <c r="BU181" s="102">
        <v>1.17662321</v>
      </c>
      <c r="BV181" s="102">
        <v>1.17662321</v>
      </c>
      <c r="BW181" s="102">
        <v>1.17662321</v>
      </c>
      <c r="BX181" s="102">
        <v>425.56145620999996</v>
      </c>
      <c r="BY181" s="102">
        <v>254.20845621000001</v>
      </c>
      <c r="BZ181" s="102">
        <v>29.99278198</v>
      </c>
      <c r="CA181" s="102">
        <v>35.422011299999994</v>
      </c>
      <c r="CB181" s="102">
        <v>34.608781979999996</v>
      </c>
      <c r="CC181" s="102">
        <v>34.608781979999996</v>
      </c>
      <c r="CD181" s="102">
        <v>34.608781979999996</v>
      </c>
      <c r="CE181" s="102">
        <v>34.511355979999998</v>
      </c>
      <c r="CF181" s="102">
        <v>30.87946621</v>
      </c>
      <c r="CG181" s="102">
        <v>30.87946621</v>
      </c>
      <c r="CH181" s="102">
        <v>32.882340210000002</v>
      </c>
      <c r="CI181" s="102">
        <v>32.253966329999997</v>
      </c>
      <c r="CJ181" s="102">
        <v>577.09030161999999</v>
      </c>
      <c r="CK181" s="102">
        <v>546.53155235999998</v>
      </c>
      <c r="CL181" s="102">
        <v>243.91472436000001</v>
      </c>
      <c r="CM181" s="102">
        <v>243.91472436000001</v>
      </c>
      <c r="CN181" s="102">
        <v>243.91472436000001</v>
      </c>
      <c r="CO181" s="102">
        <v>243.91472436000001</v>
      </c>
      <c r="CP181" s="102">
        <v>234.29427784999999</v>
      </c>
      <c r="CQ181" s="102">
        <v>236.98725425000001</v>
      </c>
      <c r="CR181" s="102">
        <v>234.29427784999999</v>
      </c>
      <c r="CS181" s="102">
        <v>234.56259736999999</v>
      </c>
      <c r="CT181" s="102">
        <v>237.05536069999999</v>
      </c>
      <c r="CU181" s="102">
        <v>237.87773200999999</v>
      </c>
      <c r="CV181" s="102">
        <v>817.33651399999997</v>
      </c>
      <c r="CW181" s="102">
        <v>819.93431099999998</v>
      </c>
      <c r="CX181" s="102">
        <v>348.11779999999999</v>
      </c>
      <c r="CY181" s="102">
        <v>348.66644000000002</v>
      </c>
      <c r="CZ181" s="102">
        <v>348.11778199999998</v>
      </c>
      <c r="DA181" s="102">
        <v>334.32227799999998</v>
      </c>
      <c r="DB181" s="102">
        <v>334.32227799999998</v>
      </c>
      <c r="DC181" s="102">
        <v>334.32227799999998</v>
      </c>
      <c r="DD181" s="102">
        <v>334.32227799999998</v>
      </c>
      <c r="DE181" s="102">
        <v>334.32227799999998</v>
      </c>
      <c r="DF181" s="102">
        <v>334.32227799999998</v>
      </c>
      <c r="DG181" s="102">
        <v>334.32227799999998</v>
      </c>
      <c r="DH181" s="102">
        <v>436.19343300000003</v>
      </c>
      <c r="DI181" s="102">
        <v>415.12371899999999</v>
      </c>
      <c r="DJ181" s="102">
        <v>215.05869899999999</v>
      </c>
      <c r="DK181" s="102">
        <v>215.05869899999999</v>
      </c>
      <c r="DL181" s="102">
        <v>215.05869899999999</v>
      </c>
      <c r="DM181" s="102">
        <v>216.71169900000001</v>
      </c>
      <c r="DN181" s="102">
        <v>215.05869899999999</v>
      </c>
      <c r="DO181" s="102">
        <v>215.05869899999999</v>
      </c>
      <c r="DP181" s="102">
        <v>215.05869899999999</v>
      </c>
      <c r="DQ181" s="940">
        <v>214.605907</v>
      </c>
      <c r="DR181" s="940">
        <v>217.78283999999999</v>
      </c>
      <c r="DS181" s="940">
        <v>261.12343299999998</v>
      </c>
      <c r="DT181" s="940">
        <v>607.39847399999996</v>
      </c>
      <c r="DU181" s="940">
        <v>578.53462300000001</v>
      </c>
      <c r="DV181" s="940">
        <v>317.06281200000001</v>
      </c>
      <c r="DW181" s="940">
        <v>317.06281200000001</v>
      </c>
      <c r="DX181" s="940">
        <v>317.06281200000001</v>
      </c>
      <c r="DY181" s="940">
        <v>317.06281200000001</v>
      </c>
      <c r="DZ181" s="940">
        <v>340.19478199999998</v>
      </c>
      <c r="EA181" s="940">
        <v>340.21821599999998</v>
      </c>
      <c r="EB181" s="940">
        <v>340.21821599999998</v>
      </c>
      <c r="EC181" s="940">
        <v>340.21821599999998</v>
      </c>
      <c r="ED181" s="940">
        <v>340.21821599999998</v>
      </c>
      <c r="EE181" s="940">
        <v>340.21821599999998</v>
      </c>
      <c r="EF181" s="940">
        <v>936.33416999999997</v>
      </c>
      <c r="EG181" s="77"/>
      <c r="EH181" s="102" t="e">
        <v>#VALUE!</v>
      </c>
      <c r="EI181" s="102" t="e">
        <v>#VALUE!</v>
      </c>
      <c r="EJ181" s="102" t="e">
        <v>#VALUE!</v>
      </c>
      <c r="EK181" s="102" t="e">
        <v>#VALUE!</v>
      </c>
      <c r="EL181" s="102" t="e">
        <v>#VALUE!</v>
      </c>
      <c r="EM181" s="102" t="e">
        <v>#VALUE!</v>
      </c>
      <c r="EN181" s="102" t="e">
        <v>#VALUE!</v>
      </c>
      <c r="EO181" s="102" t="e">
        <v>#VALUE!</v>
      </c>
      <c r="EP181" s="102" t="e">
        <v>#VALUE!</v>
      </c>
      <c r="EQ181" s="102" t="e">
        <v>#VALUE!</v>
      </c>
      <c r="ER181" s="102" t="e">
        <v>#VALUE!</v>
      </c>
      <c r="ES181" s="102" t="e">
        <v>#VALUE!</v>
      </c>
      <c r="EU181" s="102">
        <v>428.74390586999999</v>
      </c>
      <c r="EV181" s="102">
        <v>428.74390586999999</v>
      </c>
      <c r="EW181" s="102">
        <v>428.74390586999999</v>
      </c>
      <c r="EX181" s="102">
        <v>428.74390586999999</v>
      </c>
      <c r="EY181" s="102">
        <v>428.74390586999999</v>
      </c>
      <c r="EZ181" s="102">
        <v>428.74390586999999</v>
      </c>
      <c r="FA181" s="102">
        <v>428.74390586999999</v>
      </c>
      <c r="FB181" s="102">
        <v>428.74390586999999</v>
      </c>
      <c r="FC181" s="102">
        <v>428.74390586999999</v>
      </c>
      <c r="FD181" s="102">
        <v>428.74390586999999</v>
      </c>
      <c r="FE181" s="102">
        <v>428.74390586999999</v>
      </c>
      <c r="FF181" s="102">
        <v>428.74390586999999</v>
      </c>
      <c r="FG181" s="102">
        <v>508.22063429000002</v>
      </c>
      <c r="FH181" s="102">
        <v>67.66789765</v>
      </c>
      <c r="FI181" s="102">
        <v>33.833948824999986</v>
      </c>
      <c r="FJ181" s="102">
        <v>33.833948824999986</v>
      </c>
      <c r="FK181" s="102">
        <v>33.833948824999986</v>
      </c>
      <c r="FL181" s="102">
        <v>33.833948824999986</v>
      </c>
      <c r="FM181" s="102">
        <v>16.916974412500004</v>
      </c>
      <c r="FN181" s="102">
        <v>16.916974412500004</v>
      </c>
      <c r="FO181" s="102">
        <v>16.916974412500004</v>
      </c>
      <c r="FP181" s="102">
        <v>16.916974412500004</v>
      </c>
      <c r="FQ181" s="102">
        <v>16.916974412500004</v>
      </c>
      <c r="FR181" s="102">
        <v>0</v>
      </c>
      <c r="FS181" s="102"/>
      <c r="FT181" s="102"/>
      <c r="FU181" s="102"/>
      <c r="FV181" s="102"/>
      <c r="FW181" s="102"/>
      <c r="FX181" s="102"/>
      <c r="FY181" s="102"/>
      <c r="FZ181" s="102"/>
      <c r="GA181" s="102"/>
      <c r="GB181" s="102"/>
      <c r="GC181" s="102"/>
      <c r="GD181" s="102"/>
      <c r="GE181" s="102" t="e">
        <v>#VALUE!</v>
      </c>
      <c r="GF181" s="102" t="e">
        <v>#VALUE!</v>
      </c>
      <c r="GG181" s="102" t="e">
        <v>#VALUE!</v>
      </c>
      <c r="GH181" s="102" t="e">
        <v>#VALUE!</v>
      </c>
      <c r="GI181" s="102" t="e">
        <v>#VALUE!</v>
      </c>
      <c r="GJ181" s="102" t="e">
        <v>#VALUE!</v>
      </c>
      <c r="GK181" s="102" t="e">
        <v>#VALUE!</v>
      </c>
      <c r="GL181" s="102" t="e">
        <v>#VALUE!</v>
      </c>
      <c r="GM181" s="102" t="e">
        <v>#VALUE!</v>
      </c>
      <c r="GN181" s="102" t="e">
        <v>#VALUE!</v>
      </c>
      <c r="GO181" s="102" t="e">
        <v>#VALUE!</v>
      </c>
      <c r="GP181" s="102" t="e">
        <v>#VALUE!</v>
      </c>
      <c r="GQ181" s="102" t="e">
        <v>#VALUE!</v>
      </c>
      <c r="GR181" s="102" t="e">
        <v>#VALUE!</v>
      </c>
      <c r="GS181" s="102" t="e">
        <v>#VALUE!</v>
      </c>
      <c r="GT181" s="102" t="e">
        <v>#VALUE!</v>
      </c>
      <c r="GU181" s="102" t="e">
        <v>#VALUE!</v>
      </c>
      <c r="GV181" s="102" t="e">
        <v>#VALUE!</v>
      </c>
      <c r="GW181" s="102" t="e">
        <v>#VALUE!</v>
      </c>
      <c r="GX181" s="102" t="e">
        <v>#VALUE!</v>
      </c>
      <c r="GY181" s="102" t="e">
        <v>#VALUE!</v>
      </c>
      <c r="GZ181" s="102" t="e">
        <v>#VALUE!</v>
      </c>
      <c r="HA181" s="102" t="e">
        <v>#VALUE!</v>
      </c>
      <c r="HB181" s="102" t="e">
        <v>#VALUE!</v>
      </c>
      <c r="HD181" s="102">
        <f t="shared" si="940"/>
        <v>1321.6532219999999</v>
      </c>
      <c r="HE181" s="102">
        <f t="shared" si="940"/>
        <v>1595.3287763899998</v>
      </c>
      <c r="HF181" s="102">
        <f t="shared" si="940"/>
        <v>1577.12162175</v>
      </c>
      <c r="HG181" s="102">
        <f t="shared" si="940"/>
        <v>615.31073474000004</v>
      </c>
      <c r="HH181" s="102">
        <f t="shared" si="890"/>
        <v>301.73287020999999</v>
      </c>
      <c r="HI181" s="102">
        <f t="shared" si="891"/>
        <v>425.56145620999996</v>
      </c>
      <c r="HJ181" s="102">
        <f t="shared" ref="HJ181:HJ213" si="961">+SUMIFS($E181:$CJ181,$E$6:$CJ$6,HJ$7,$E$5:$CJ$5,12)</f>
        <v>577.09030161999999</v>
      </c>
      <c r="HK181" s="102">
        <f t="shared" ref="HK181:HK213" si="962">+SUMIFS($E181:$CV181,$E$6:$CV$6,HK$7,$E$5:$CV$5,12)</f>
        <v>817.33651399999997</v>
      </c>
      <c r="HL181" s="940">
        <f>+SUMIFS($E181:SEW181,$E$6:SEW$6,HL$7,$E$5:SEW$5,12)</f>
        <v>436.19343300000003</v>
      </c>
      <c r="HM181" s="940">
        <f>+SUMIFS($E181:SEX181,$E$6:SEX$6,HM$7,$E$5:SEX$5,12)</f>
        <v>607.39847399999996</v>
      </c>
      <c r="HN181" s="940">
        <f>+SUMIFS($E181:SEY181,$E$6:SEY$6,HN$7,$E$5:SEY$5,12)</f>
        <v>936.33416999999997</v>
      </c>
      <c r="HO181" s="102"/>
      <c r="HP181" s="102"/>
      <c r="HR181" s="929">
        <f t="shared" si="941"/>
        <v>-1.141279146308638E-2</v>
      </c>
      <c r="HS181" s="929">
        <f t="shared" si="942"/>
        <v>-0.60985207085218884</v>
      </c>
      <c r="HT181" s="929">
        <f t="shared" si="943"/>
        <v>-0.50962521345008316</v>
      </c>
      <c r="HU181" s="929">
        <f t="shared" si="935"/>
        <v>0.41039143635169006</v>
      </c>
      <c r="HV181" s="929">
        <f t="shared" si="936"/>
        <v>0.3560680677228103</v>
      </c>
      <c r="HW181" s="929">
        <f t="shared" si="937"/>
        <v>0.41630609924579232</v>
      </c>
      <c r="HX181" s="929">
        <f t="shared" si="938"/>
        <v>-0.46632332518059993</v>
      </c>
      <c r="HY181" s="929">
        <f t="shared" si="938"/>
        <v>0.392497979216482</v>
      </c>
      <c r="HZ181" s="929">
        <f t="shared" si="938"/>
        <v>0.54154843991261004</v>
      </c>
      <c r="IA181" s="929">
        <f t="shared" si="868"/>
        <v>-1</v>
      </c>
      <c r="IB181" s="929" t="str">
        <f t="shared" si="944"/>
        <v/>
      </c>
      <c r="IC181" s="929">
        <f t="shared" si="869"/>
        <v>-1</v>
      </c>
      <c r="IE181" s="102">
        <f t="shared" si="945"/>
        <v>-18.207154639999771</v>
      </c>
      <c r="IF181" s="102">
        <f t="shared" si="946"/>
        <v>-961.81088700999999</v>
      </c>
      <c r="IG181" s="102">
        <f t="shared" si="947"/>
        <v>-313.57786453000006</v>
      </c>
      <c r="IH181" s="102">
        <f t="shared" si="939"/>
        <v>123.82858599999997</v>
      </c>
      <c r="II181" s="102">
        <f t="shared" si="894"/>
        <v>151.52884541000003</v>
      </c>
      <c r="IJ181" s="102">
        <f t="shared" si="895"/>
        <v>240.24621237999997</v>
      </c>
      <c r="IK181" s="102">
        <f t="shared" si="896"/>
        <v>-381.14308099999994</v>
      </c>
      <c r="IL181" s="102">
        <f t="shared" si="870"/>
        <v>-436.19343300000003</v>
      </c>
      <c r="IM181" s="102">
        <f t="shared" si="948"/>
        <v>0</v>
      </c>
      <c r="IN181" s="102">
        <f t="shared" si="871"/>
        <v>-436.19343300000003</v>
      </c>
      <c r="IP181" s="973"/>
      <c r="IQ181" s="973"/>
      <c r="IR181" s="973"/>
      <c r="IS181" s="973"/>
      <c r="IT181" s="973"/>
      <c r="IU181" s="973"/>
      <c r="IV181" s="973"/>
      <c r="IW181" s="973"/>
      <c r="IX181" s="973"/>
      <c r="IY181" s="973"/>
      <c r="JA181" s="102">
        <f t="shared" si="727"/>
        <v>1321.6532219999999</v>
      </c>
      <c r="JB181" s="102">
        <f t="shared" si="933"/>
        <v>1595.3287763899998</v>
      </c>
      <c r="JC181" s="102">
        <f t="shared" si="933"/>
        <v>1577.12162175</v>
      </c>
      <c r="JD181" s="102">
        <f t="shared" si="933"/>
        <v>615.31073474000004</v>
      </c>
      <c r="JE181" s="102">
        <f t="shared" si="933"/>
        <v>301.73287020999999</v>
      </c>
      <c r="JF181" s="102">
        <f t="shared" si="933"/>
        <v>425.56145620999996</v>
      </c>
      <c r="JG181" s="102">
        <f t="shared" si="933"/>
        <v>577.09030161999999</v>
      </c>
      <c r="JH181" s="102">
        <f t="shared" si="933"/>
        <v>817.33651399999997</v>
      </c>
      <c r="JI181" s="102">
        <f t="shared" si="933"/>
        <v>436.19343300000003</v>
      </c>
      <c r="JJ181" s="102">
        <f t="shared" si="933"/>
        <v>607.39847399999996</v>
      </c>
      <c r="JK181" s="102">
        <f t="shared" si="933"/>
        <v>936.33416999999997</v>
      </c>
      <c r="JL181" s="102">
        <f t="shared" si="728"/>
        <v>936.33416999999997</v>
      </c>
      <c r="JM181" s="102"/>
      <c r="JN181" s="102"/>
      <c r="JP181" s="102">
        <f t="shared" si="897"/>
        <v>0</v>
      </c>
      <c r="JQ181" s="102">
        <f t="shared" si="898"/>
        <v>0</v>
      </c>
      <c r="JR181" s="145"/>
      <c r="JS181" s="929" t="str">
        <f t="shared" si="949"/>
        <v>NA</v>
      </c>
      <c r="JT181" s="930">
        <f t="shared" si="950"/>
        <v>0</v>
      </c>
      <c r="JV181" s="973"/>
      <c r="JW181" s="973"/>
      <c r="JY181" s="929">
        <f t="shared" si="925"/>
        <v>-1.141279146308638E-2</v>
      </c>
      <c r="JZ181" s="929">
        <f t="shared" si="926"/>
        <v>-0.60985207085218884</v>
      </c>
      <c r="KA181" s="929">
        <f t="shared" si="927"/>
        <v>-0.50962521345008316</v>
      </c>
      <c r="KB181" s="929">
        <f t="shared" si="928"/>
        <v>0.41039143635169006</v>
      </c>
      <c r="KC181" s="929">
        <f t="shared" si="929"/>
        <v>0.3560680677228103</v>
      </c>
      <c r="KD181" s="929">
        <f t="shared" si="930"/>
        <v>0.41630609924579232</v>
      </c>
      <c r="KE181" s="929">
        <f t="shared" si="931"/>
        <v>-0.46632332518059993</v>
      </c>
      <c r="KF181" s="929">
        <f t="shared" si="932"/>
        <v>-1</v>
      </c>
      <c r="KH181" s="102">
        <f t="shared" si="900"/>
        <v>-18.207154639999771</v>
      </c>
      <c r="KI181" s="102">
        <f t="shared" si="901"/>
        <v>-961.81088700999999</v>
      </c>
      <c r="KJ181" s="102">
        <f t="shared" si="902"/>
        <v>-313.57786453000006</v>
      </c>
      <c r="KK181" s="102">
        <f t="shared" si="903"/>
        <v>123.82858599999997</v>
      </c>
      <c r="KL181" s="102">
        <f t="shared" si="904"/>
        <v>151.52884541000003</v>
      </c>
      <c r="KM181" s="102">
        <f t="shared" si="905"/>
        <v>240.24621237999997</v>
      </c>
      <c r="KN181" s="102">
        <f t="shared" si="906"/>
        <v>-381.14308099999994</v>
      </c>
      <c r="KO181" s="102">
        <f t="shared" si="907"/>
        <v>-436.19343300000003</v>
      </c>
      <c r="KQ181" s="973"/>
      <c r="KR181" s="973"/>
      <c r="KS181" s="973"/>
      <c r="KT181" s="973"/>
      <c r="KU181" s="973"/>
      <c r="KV181" s="973"/>
      <c r="KW181" s="973"/>
      <c r="KX181" s="973"/>
      <c r="KY181" s="973"/>
      <c r="KZ181" s="973"/>
      <c r="LB181" s="102">
        <f t="shared" si="737"/>
        <v>1321.6532219999999</v>
      </c>
      <c r="LC181" s="102">
        <f t="shared" si="934"/>
        <v>1595.3287763899998</v>
      </c>
      <c r="LD181" s="102">
        <f t="shared" si="934"/>
        <v>1577.12162175</v>
      </c>
      <c r="LE181" s="102">
        <f t="shared" si="934"/>
        <v>615.31073474000004</v>
      </c>
      <c r="LF181" s="102">
        <f t="shared" si="934"/>
        <v>301.73287020999999</v>
      </c>
      <c r="LG181" s="102">
        <f t="shared" si="934"/>
        <v>425.56145620999996</v>
      </c>
      <c r="LH181" s="102">
        <f t="shared" si="934"/>
        <v>577.09030161999999</v>
      </c>
      <c r="LI181" s="102">
        <f t="shared" si="934"/>
        <v>817.33651399999997</v>
      </c>
      <c r="LJ181" s="102">
        <f t="shared" si="934"/>
        <v>436.19343300000003</v>
      </c>
      <c r="LK181" s="102">
        <f t="shared" si="934"/>
        <v>607.39847399999996</v>
      </c>
      <c r="LL181" s="102">
        <f t="shared" si="934"/>
        <v>936.33416999999997</v>
      </c>
      <c r="LM181" s="102">
        <f t="shared" si="934"/>
        <v>936.33416999999997</v>
      </c>
      <c r="LN181" s="102"/>
      <c r="LO181" s="102"/>
      <c r="LR181" s="32">
        <f t="shared" si="908"/>
        <v>-1.141279146308638E-2</v>
      </c>
      <c r="LS181" s="32">
        <f t="shared" si="909"/>
        <v>-0.60985207085218884</v>
      </c>
      <c r="LT181" s="32">
        <f t="shared" si="910"/>
        <v>-0.50962521345008316</v>
      </c>
      <c r="LU181" s="32">
        <f t="shared" si="911"/>
        <v>0.41039143635169006</v>
      </c>
      <c r="LV181" s="32">
        <f t="shared" si="912"/>
        <v>0.3560680677228103</v>
      </c>
      <c r="LW181" s="32">
        <f t="shared" si="913"/>
        <v>0.41630609924579232</v>
      </c>
      <c r="LX181" s="32">
        <f t="shared" ref="LX181:LX212" si="963">+IFERROR(LO181/LI181-1," ")</f>
        <v>-1</v>
      </c>
      <c r="LZ181" s="102">
        <f t="shared" si="914"/>
        <v>-18.207154639999771</v>
      </c>
      <c r="MA181" s="102">
        <f t="shared" si="915"/>
        <v>-961.81088700999999</v>
      </c>
      <c r="MB181" s="102">
        <f t="shared" si="916"/>
        <v>-313.57786453000006</v>
      </c>
      <c r="MC181" s="102">
        <f t="shared" si="917"/>
        <v>123.82858599999997</v>
      </c>
      <c r="MD181" s="102">
        <f t="shared" si="918"/>
        <v>151.52884541000003</v>
      </c>
      <c r="ME181" s="102">
        <f t="shared" si="919"/>
        <v>240.24621237999997</v>
      </c>
      <c r="MF181" s="102">
        <f t="shared" ref="MF181:MF212" si="964">+LO181-LI181</f>
        <v>-817.33651399999997</v>
      </c>
      <c r="MH181" s="973"/>
      <c r="MI181" s="973"/>
      <c r="MJ181" s="973"/>
      <c r="MK181" s="973"/>
      <c r="ML181" s="973"/>
      <c r="MM181" s="973"/>
      <c r="MN181" s="973"/>
      <c r="MO181" s="973"/>
      <c r="MP181" s="973"/>
    </row>
    <row r="182" spans="1:354" outlineLevel="1">
      <c r="A182" s="884">
        <v>28</v>
      </c>
      <c r="B182" s="70" t="s">
        <v>738</v>
      </c>
      <c r="C182" s="17" t="s">
        <v>146</v>
      </c>
      <c r="D182" s="31" t="s">
        <v>59</v>
      </c>
      <c r="E182" s="102">
        <v>45.896962000000002</v>
      </c>
      <c r="F182" s="102">
        <v>16.979198</v>
      </c>
      <c r="G182" s="102">
        <v>16.979198</v>
      </c>
      <c r="H182" s="102">
        <v>0</v>
      </c>
      <c r="I182" s="102">
        <v>0</v>
      </c>
      <c r="J182" s="102">
        <v>0</v>
      </c>
      <c r="K182" s="102">
        <v>0</v>
      </c>
      <c r="L182" s="102">
        <v>17.5518</v>
      </c>
      <c r="M182" s="102">
        <v>0</v>
      </c>
      <c r="N182" s="102">
        <v>0</v>
      </c>
      <c r="O182" s="102">
        <v>0</v>
      </c>
      <c r="P182" s="102">
        <v>0</v>
      </c>
      <c r="Q182" s="102">
        <v>0</v>
      </c>
      <c r="R182" s="102">
        <v>0</v>
      </c>
      <c r="S182" s="102">
        <v>0</v>
      </c>
      <c r="T182" s="102">
        <v>0</v>
      </c>
      <c r="U182" s="102">
        <v>0</v>
      </c>
      <c r="V182" s="102">
        <v>0</v>
      </c>
      <c r="W182" s="102">
        <v>0</v>
      </c>
      <c r="X182" s="102">
        <v>0</v>
      </c>
      <c r="Y182" s="102">
        <v>0</v>
      </c>
      <c r="Z182" s="102">
        <v>0</v>
      </c>
      <c r="AA182" s="102">
        <v>0</v>
      </c>
      <c r="AB182" s="102">
        <v>0</v>
      </c>
      <c r="AC182" s="102">
        <v>0</v>
      </c>
      <c r="AD182" s="102">
        <v>0</v>
      </c>
      <c r="AE182" s="102">
        <v>0</v>
      </c>
      <c r="AF182" s="102">
        <v>0</v>
      </c>
      <c r="AG182" s="102">
        <v>0</v>
      </c>
      <c r="AH182" s="102">
        <v>0</v>
      </c>
      <c r="AI182" s="102">
        <v>0</v>
      </c>
      <c r="AJ182" s="102">
        <v>0</v>
      </c>
      <c r="AK182" s="102">
        <v>0</v>
      </c>
      <c r="AL182" s="102">
        <v>0</v>
      </c>
      <c r="AM182" s="102">
        <v>0</v>
      </c>
      <c r="AN182" s="102">
        <v>98.663510000000002</v>
      </c>
      <c r="AO182" s="102">
        <v>98.663510000000002</v>
      </c>
      <c r="AP182" s="145">
        <v>98.663510000000002</v>
      </c>
      <c r="AQ182" s="220">
        <v>0.1071</v>
      </c>
      <c r="AR182" s="220">
        <v>0</v>
      </c>
      <c r="AS182" s="102">
        <v>37.662309999999998</v>
      </c>
      <c r="AT182" s="102">
        <v>53.435445899999998</v>
      </c>
      <c r="AU182" s="102">
        <v>113.86801896999999</v>
      </c>
      <c r="AV182" s="102">
        <v>105.64888254</v>
      </c>
      <c r="AW182" s="102">
        <v>67.986572540000012</v>
      </c>
      <c r="AX182" s="102">
        <v>67.986572540000012</v>
      </c>
      <c r="AY182" s="102">
        <v>161.26909454</v>
      </c>
      <c r="AZ182" s="102">
        <v>411.26909454000003</v>
      </c>
      <c r="BA182" s="102">
        <v>411.26909454000003</v>
      </c>
      <c r="BB182" s="102">
        <v>617.53147694000006</v>
      </c>
      <c r="BC182" s="102">
        <v>617.57247694</v>
      </c>
      <c r="BD182" s="102">
        <v>243.14505288000001</v>
      </c>
      <c r="BE182" s="102">
        <v>243.14505288000001</v>
      </c>
      <c r="BF182" s="102">
        <v>243.14505288000001</v>
      </c>
      <c r="BG182" s="102">
        <v>243.14505288000001</v>
      </c>
      <c r="BH182" s="102">
        <v>243.14505288000001</v>
      </c>
      <c r="BI182" s="102">
        <v>243.14505288000001</v>
      </c>
      <c r="BJ182" s="102">
        <v>243.14505288000001</v>
      </c>
      <c r="BK182" s="102">
        <v>243.14505288000001</v>
      </c>
      <c r="BL182" s="102">
        <v>243.14505288000001</v>
      </c>
      <c r="BM182" s="102">
        <v>243.14505288000001</v>
      </c>
      <c r="BN182" s="102">
        <v>243.14505288000001</v>
      </c>
      <c r="BO182" s="102">
        <v>264.22280447999998</v>
      </c>
      <c r="BP182" s="102">
        <v>264.22280447999998</v>
      </c>
      <c r="BQ182" s="102">
        <v>264.22280447999998</v>
      </c>
      <c r="BR182" s="102">
        <v>264.22280447999998</v>
      </c>
      <c r="BS182" s="102">
        <v>264.22280447999998</v>
      </c>
      <c r="BT182" s="102">
        <v>264.22280447999998</v>
      </c>
      <c r="BU182" s="102">
        <v>269.92655447999999</v>
      </c>
      <c r="BV182" s="102">
        <v>268.02530447999999</v>
      </c>
      <c r="BW182" s="102">
        <v>266.12405447999998</v>
      </c>
      <c r="BX182" s="102">
        <v>243.14505288000001</v>
      </c>
      <c r="BY182" s="102">
        <v>243.14505288000001</v>
      </c>
      <c r="BZ182" s="102">
        <v>243.14505288000001</v>
      </c>
      <c r="CA182" s="102">
        <v>243.14505288000001</v>
      </c>
      <c r="CB182" s="102">
        <v>243.14505288000001</v>
      </c>
      <c r="CC182" s="102">
        <v>243.14505288000001</v>
      </c>
      <c r="CD182" s="102">
        <v>243.14505288000001</v>
      </c>
      <c r="CE182" s="102">
        <v>243.14505288000001</v>
      </c>
      <c r="CF182" s="102">
        <v>1.1487580100000001</v>
      </c>
      <c r="CG182" s="102">
        <v>1.1487580100000001</v>
      </c>
      <c r="CH182" s="102">
        <v>3.5941160099999996</v>
      </c>
      <c r="CI182" s="102">
        <v>3.5941160099999996</v>
      </c>
      <c r="CJ182" s="102">
        <v>1E-8</v>
      </c>
      <c r="CK182" s="102">
        <v>1E-8</v>
      </c>
      <c r="CL182" s="102">
        <v>1.77545416</v>
      </c>
      <c r="CM182" s="102">
        <v>113.64000001000001</v>
      </c>
      <c r="CN182" s="102">
        <v>135.23160000999999</v>
      </c>
      <c r="CO182" s="102">
        <v>1E-8</v>
      </c>
      <c r="CP182" s="102">
        <v>1E-8</v>
      </c>
      <c r="CQ182" s="102">
        <v>1E-8</v>
      </c>
      <c r="CR182" s="102">
        <v>1E-8</v>
      </c>
      <c r="CS182" s="102">
        <v>285.02501197000004</v>
      </c>
      <c r="CT182" s="102">
        <v>285.02501197000004</v>
      </c>
      <c r="CU182" s="102">
        <v>285.02501197000004</v>
      </c>
      <c r="CV182" s="102">
        <v>406.12876557999999</v>
      </c>
      <c r="CW182" s="102">
        <v>406.12876549000003</v>
      </c>
      <c r="CX182" s="102">
        <v>406.12876549000003</v>
      </c>
      <c r="CY182" s="102">
        <v>406.82876549000002</v>
      </c>
      <c r="CZ182" s="102">
        <v>140.96999293000002</v>
      </c>
      <c r="DA182" s="102">
        <v>0.69999992</v>
      </c>
      <c r="DB182" s="102">
        <v>0.69999992</v>
      </c>
      <c r="DC182" s="102">
        <v>0.69999992</v>
      </c>
      <c r="DD182" s="102">
        <v>0.69999992</v>
      </c>
      <c r="DE182" s="102">
        <v>0.69999992</v>
      </c>
      <c r="DF182" s="102">
        <v>0.69999992</v>
      </c>
      <c r="DG182" s="102">
        <v>0.69999992</v>
      </c>
      <c r="DH182" s="102">
        <v>0.69999992</v>
      </c>
      <c r="DI182" s="102">
        <v>0.69999992</v>
      </c>
      <c r="DJ182" s="102">
        <v>0</v>
      </c>
      <c r="DK182" s="102">
        <v>0</v>
      </c>
      <c r="DL182" s="102">
        <v>0</v>
      </c>
      <c r="DM182" s="102">
        <v>4.5400998099999992</v>
      </c>
      <c r="DN182" s="102">
        <v>4.5400998099999992</v>
      </c>
      <c r="DO182" s="102">
        <v>4.5400998099999992</v>
      </c>
      <c r="DP182" s="102">
        <v>0</v>
      </c>
      <c r="DQ182" s="940">
        <v>0.53549650000000004</v>
      </c>
      <c r="DR182" s="940">
        <v>0.53549650000000004</v>
      </c>
      <c r="DS182" s="940">
        <v>0</v>
      </c>
      <c r="DT182" s="940">
        <v>0</v>
      </c>
      <c r="DU182" s="940">
        <v>0</v>
      </c>
      <c r="DV182" s="940">
        <v>0</v>
      </c>
      <c r="DW182" s="940">
        <v>0</v>
      </c>
      <c r="DX182" s="940">
        <v>0</v>
      </c>
      <c r="DY182" s="940">
        <v>0</v>
      </c>
      <c r="DZ182" s="940">
        <v>0</v>
      </c>
      <c r="EA182" s="940">
        <v>0</v>
      </c>
      <c r="EB182" s="940">
        <v>-7.0000000000000005E-8</v>
      </c>
      <c r="EC182" s="940">
        <v>91.586025750000005</v>
      </c>
      <c r="ED182" s="940">
        <v>13.078731749999999</v>
      </c>
      <c r="EE182" s="940">
        <v>185.33256875000001</v>
      </c>
      <c r="EF182" s="940">
        <v>92.260829749999999</v>
      </c>
      <c r="EG182" s="77"/>
      <c r="EH182" s="102">
        <v>406.12876549000003</v>
      </c>
      <c r="EI182" s="102">
        <v>406.12876549000003</v>
      </c>
      <c r="EJ182" s="102">
        <v>406.82876549000002</v>
      </c>
      <c r="EK182" s="102">
        <v>140.96999293000002</v>
      </c>
      <c r="EL182" s="102">
        <v>0.69999992</v>
      </c>
      <c r="EM182" s="102">
        <v>0.69999992</v>
      </c>
      <c r="EN182" s="102">
        <v>0</v>
      </c>
      <c r="EO182" s="102">
        <v>0</v>
      </c>
      <c r="EP182" s="102">
        <v>0</v>
      </c>
      <c r="EQ182" s="102">
        <v>0</v>
      </c>
      <c r="ER182" s="102">
        <v>0</v>
      </c>
      <c r="ES182" s="102">
        <v>0</v>
      </c>
      <c r="EU182" s="102">
        <v>98.663510000000002</v>
      </c>
      <c r="EV182" s="102">
        <v>78.663510000000002</v>
      </c>
      <c r="EW182" s="102">
        <v>58.663510000000002</v>
      </c>
      <c r="EX182" s="102">
        <v>0</v>
      </c>
      <c r="EY182" s="102">
        <v>0</v>
      </c>
      <c r="EZ182" s="102">
        <v>0</v>
      </c>
      <c r="FA182" s="102">
        <v>0</v>
      </c>
      <c r="FB182" s="102">
        <v>0</v>
      </c>
      <c r="FC182" s="102">
        <v>0</v>
      </c>
      <c r="FD182" s="102">
        <v>0</v>
      </c>
      <c r="FE182" s="102">
        <v>0</v>
      </c>
      <c r="FF182" s="102">
        <v>0</v>
      </c>
      <c r="FG182" s="102">
        <v>411.26909454000003</v>
      </c>
      <c r="FH182" s="102">
        <v>411.26909454000003</v>
      </c>
      <c r="FI182" s="102">
        <v>36.269094540000019</v>
      </c>
      <c r="FJ182" s="102">
        <v>29.015275632000019</v>
      </c>
      <c r="FK182" s="102">
        <v>23.212220505600015</v>
      </c>
      <c r="FL182" s="102">
        <v>18.569776404480013</v>
      </c>
      <c r="FM182" s="102">
        <v>14.855821123584011</v>
      </c>
      <c r="FN182" s="102">
        <v>11.88465689886721</v>
      </c>
      <c r="FO182" s="102">
        <v>9.5077255190937695</v>
      </c>
      <c r="FP182" s="102">
        <v>7.6061804152750145</v>
      </c>
      <c r="FQ182" s="102">
        <v>6.0849443322200125</v>
      </c>
      <c r="FR182" s="102">
        <v>4.86795546577601</v>
      </c>
      <c r="FS182" s="102"/>
      <c r="FT182" s="102"/>
      <c r="FU182" s="102"/>
      <c r="FV182" s="102"/>
      <c r="FW182" s="102"/>
      <c r="FX182" s="102"/>
      <c r="FY182" s="102"/>
      <c r="FZ182" s="102"/>
      <c r="GA182" s="102"/>
      <c r="GB182" s="102"/>
      <c r="GC182" s="102"/>
      <c r="GD182" s="102"/>
      <c r="GE182" s="102">
        <v>0</v>
      </c>
      <c r="GF182" s="102">
        <v>0</v>
      </c>
      <c r="GG182" s="102">
        <v>0</v>
      </c>
      <c r="GH182" s="102">
        <v>0</v>
      </c>
      <c r="GI182" s="102">
        <v>0</v>
      </c>
      <c r="GJ182" s="102">
        <v>0</v>
      </c>
      <c r="GK182" s="102">
        <v>0</v>
      </c>
      <c r="GL182" s="102">
        <v>0</v>
      </c>
      <c r="GM182" s="102">
        <v>0</v>
      </c>
      <c r="GN182" s="102">
        <v>0</v>
      </c>
      <c r="GO182" s="102">
        <v>0</v>
      </c>
      <c r="GP182" s="102">
        <v>0</v>
      </c>
      <c r="GQ182" s="102">
        <v>0</v>
      </c>
      <c r="GR182" s="102">
        <v>0</v>
      </c>
      <c r="GS182" s="102">
        <v>0</v>
      </c>
      <c r="GT182" s="102">
        <v>0</v>
      </c>
      <c r="GU182" s="102">
        <v>0</v>
      </c>
      <c r="GV182" s="102">
        <v>0</v>
      </c>
      <c r="GW182" s="102">
        <v>0</v>
      </c>
      <c r="GX182" s="102">
        <v>0</v>
      </c>
      <c r="GY182" s="102">
        <v>0</v>
      </c>
      <c r="GZ182" s="102">
        <v>0</v>
      </c>
      <c r="HA182" s="102">
        <v>0</v>
      </c>
      <c r="HB182" s="102">
        <v>0</v>
      </c>
      <c r="HD182" s="102">
        <f t="shared" si="940"/>
        <v>0</v>
      </c>
      <c r="HE182" s="102">
        <f t="shared" si="940"/>
        <v>0</v>
      </c>
      <c r="HF182" s="102">
        <f t="shared" si="940"/>
        <v>98.663510000000002</v>
      </c>
      <c r="HG182" s="102">
        <f t="shared" si="940"/>
        <v>411.26909454000003</v>
      </c>
      <c r="HH182" s="102">
        <f t="shared" si="890"/>
        <v>243.14505288000001</v>
      </c>
      <c r="HI182" s="102">
        <f t="shared" si="891"/>
        <v>243.14505288000001</v>
      </c>
      <c r="HJ182" s="102">
        <f t="shared" si="961"/>
        <v>1E-8</v>
      </c>
      <c r="HK182" s="102">
        <f t="shared" si="962"/>
        <v>406.12876557999999</v>
      </c>
      <c r="HL182" s="940">
        <f>+SUMIFS($E182:SEW182,$E$6:SEW$6,HL$7,$E$5:SEW$5,12)</f>
        <v>0.69999992</v>
      </c>
      <c r="HM182" s="940">
        <f>+SUMIFS($E182:SEX182,$E$6:SEX$6,HM$7,$E$5:SEX$5,12)</f>
        <v>0</v>
      </c>
      <c r="HN182" s="940">
        <f>+SUMIFS($E182:SEY182,$E$6:SEY$6,HN$7,$E$5:SEY$5,12)</f>
        <v>92.260829749999999</v>
      </c>
      <c r="HO182" s="102"/>
      <c r="HP182" s="102"/>
      <c r="HR182" s="929" t="str">
        <f t="shared" si="941"/>
        <v/>
      </c>
      <c r="HS182" s="929">
        <f t="shared" si="942"/>
        <v>3.1684012107414388</v>
      </c>
      <c r="HT182" s="929">
        <f t="shared" si="943"/>
        <v>-0.40879327888239425</v>
      </c>
      <c r="HU182" s="929">
        <f t="shared" si="935"/>
        <v>0</v>
      </c>
      <c r="HV182" s="929">
        <f t="shared" si="936"/>
        <v>-0.99999999995887223</v>
      </c>
      <c r="HW182" s="987">
        <f t="shared" si="937"/>
        <v>40612876557</v>
      </c>
      <c r="HX182" s="987">
        <f t="shared" si="938"/>
        <v>-0.99827640891430003</v>
      </c>
      <c r="HY182" s="987">
        <f t="shared" si="938"/>
        <v>-1</v>
      </c>
      <c r="HZ182" s="987" t="str">
        <f t="shared" si="938"/>
        <v/>
      </c>
      <c r="IA182" s="929">
        <f t="shared" si="868"/>
        <v>-1</v>
      </c>
      <c r="IB182" s="929" t="str">
        <f t="shared" si="944"/>
        <v/>
      </c>
      <c r="IC182" s="929">
        <f t="shared" si="869"/>
        <v>-1</v>
      </c>
      <c r="IE182" s="102">
        <f t="shared" si="945"/>
        <v>98.663510000000002</v>
      </c>
      <c r="IF182" s="102">
        <f t="shared" si="946"/>
        <v>312.60558454</v>
      </c>
      <c r="IG182" s="102">
        <f t="shared" si="947"/>
        <v>-168.12404166000002</v>
      </c>
      <c r="IH182" s="102">
        <f t="shared" si="939"/>
        <v>0</v>
      </c>
      <c r="II182" s="102">
        <f t="shared" si="894"/>
        <v>-243.14505287</v>
      </c>
      <c r="IJ182" s="102">
        <f t="shared" si="895"/>
        <v>406.12876556999998</v>
      </c>
      <c r="IK182" s="102">
        <f t="shared" si="896"/>
        <v>-405.42876566000001</v>
      </c>
      <c r="IL182" s="102">
        <f t="shared" si="870"/>
        <v>-0.69999992</v>
      </c>
      <c r="IM182" s="102">
        <f t="shared" si="948"/>
        <v>0</v>
      </c>
      <c r="IN182" s="102">
        <f t="shared" si="871"/>
        <v>-0.69999992</v>
      </c>
      <c r="IP182" s="973"/>
      <c r="IQ182" s="973"/>
      <c r="IR182" s="973"/>
      <c r="IS182" s="973"/>
      <c r="IT182" s="973"/>
      <c r="IU182" s="973"/>
      <c r="IV182" s="973"/>
      <c r="IW182" s="973"/>
      <c r="IX182" s="973"/>
      <c r="IY182" s="973"/>
      <c r="JA182" s="102">
        <f t="shared" ref="JA182:JK188" si="965">+IFERROR(SUMIFS($E182:$EG182,$E$6:$EG$6,JA$7,$E$5:$EG$5,$JC$5),"NA")</f>
        <v>0</v>
      </c>
      <c r="JB182" s="102">
        <f t="shared" si="965"/>
        <v>0</v>
      </c>
      <c r="JC182" s="102">
        <f t="shared" si="965"/>
        <v>98.663510000000002</v>
      </c>
      <c r="JD182" s="102">
        <f t="shared" si="965"/>
        <v>411.26909454000003</v>
      </c>
      <c r="JE182" s="102">
        <f t="shared" si="965"/>
        <v>243.14505288000001</v>
      </c>
      <c r="JF182" s="102">
        <f t="shared" si="965"/>
        <v>243.14505288000001</v>
      </c>
      <c r="JG182" s="102">
        <f t="shared" si="965"/>
        <v>1E-8</v>
      </c>
      <c r="JH182" s="102">
        <f t="shared" si="965"/>
        <v>406.12876557999999</v>
      </c>
      <c r="JI182" s="102">
        <f t="shared" si="965"/>
        <v>0.69999992</v>
      </c>
      <c r="JJ182" s="102">
        <f t="shared" si="965"/>
        <v>0</v>
      </c>
      <c r="JK182" s="102">
        <f t="shared" si="965"/>
        <v>92.260829749999999</v>
      </c>
      <c r="JL182" s="102">
        <f t="shared" ref="JL182:JL188" si="966">+IFERROR(SUMIFS($E182:$EF182,$E$6:$EF$6,JL$7,$E$5:$EF$5,$JC$5),"NA")</f>
        <v>92.260829749999999</v>
      </c>
      <c r="JM182" s="102"/>
      <c r="JN182" s="102"/>
      <c r="JP182" s="102">
        <f t="shared" si="897"/>
        <v>0</v>
      </c>
      <c r="JQ182" s="102">
        <f t="shared" si="898"/>
        <v>0</v>
      </c>
      <c r="JR182" s="145"/>
      <c r="JS182" s="929" t="str">
        <f t="shared" si="949"/>
        <v>NA</v>
      </c>
      <c r="JT182" s="930">
        <f t="shared" si="950"/>
        <v>0</v>
      </c>
      <c r="JV182" s="973"/>
      <c r="JW182" s="973"/>
      <c r="JY182" s="929" t="str">
        <f t="shared" si="925"/>
        <v/>
      </c>
      <c r="JZ182" s="929">
        <f t="shared" si="926"/>
        <v>3.1684012107414388</v>
      </c>
      <c r="KA182" s="929">
        <f t="shared" si="927"/>
        <v>-0.40879327888239425</v>
      </c>
      <c r="KB182" s="929">
        <f t="shared" si="928"/>
        <v>0</v>
      </c>
      <c r="KC182" s="929">
        <f t="shared" si="929"/>
        <v>-0.99999999995887223</v>
      </c>
      <c r="KD182" s="929">
        <f t="shared" si="930"/>
        <v>40612876557</v>
      </c>
      <c r="KE182" s="929">
        <f t="shared" si="931"/>
        <v>-0.99827640891430003</v>
      </c>
      <c r="KF182" s="929">
        <f t="shared" si="932"/>
        <v>-1</v>
      </c>
      <c r="KH182" s="102">
        <f t="shared" si="900"/>
        <v>98.663510000000002</v>
      </c>
      <c r="KI182" s="102">
        <f t="shared" si="901"/>
        <v>312.60558454</v>
      </c>
      <c r="KJ182" s="102">
        <f t="shared" si="902"/>
        <v>-168.12404166000002</v>
      </c>
      <c r="KK182" s="102">
        <f t="shared" si="903"/>
        <v>0</v>
      </c>
      <c r="KL182" s="102">
        <f t="shared" si="904"/>
        <v>-243.14505287</v>
      </c>
      <c r="KM182" s="102">
        <f t="shared" si="905"/>
        <v>406.12876556999998</v>
      </c>
      <c r="KN182" s="102">
        <f t="shared" si="906"/>
        <v>-405.42876566000001</v>
      </c>
      <c r="KO182" s="102">
        <f t="shared" si="907"/>
        <v>-0.69999992</v>
      </c>
      <c r="KQ182" s="973"/>
      <c r="KR182" s="973"/>
      <c r="KS182" s="973"/>
      <c r="KT182" s="973"/>
      <c r="KU182" s="973"/>
      <c r="KV182" s="973"/>
      <c r="KW182" s="973"/>
      <c r="KX182" s="973"/>
      <c r="KY182" s="973"/>
      <c r="KZ182" s="973"/>
      <c r="LB182" s="102">
        <f t="shared" ref="LB182:LM188" si="967">+SUMIFS($E182:$EG182,$E$6:$EG$6,LB$7,$E$5:$EG$5,$LD$5)</f>
        <v>0</v>
      </c>
      <c r="LC182" s="102">
        <f t="shared" si="967"/>
        <v>0</v>
      </c>
      <c r="LD182" s="102">
        <f t="shared" si="967"/>
        <v>98.663510000000002</v>
      </c>
      <c r="LE182" s="102">
        <f t="shared" si="967"/>
        <v>411.26909454000003</v>
      </c>
      <c r="LF182" s="102">
        <f t="shared" si="967"/>
        <v>243.14505288000001</v>
      </c>
      <c r="LG182" s="102">
        <f t="shared" si="967"/>
        <v>243.14505288000001</v>
      </c>
      <c r="LH182" s="102">
        <f t="shared" si="967"/>
        <v>1E-8</v>
      </c>
      <c r="LI182" s="102">
        <f t="shared" si="967"/>
        <v>406.12876557999999</v>
      </c>
      <c r="LJ182" s="102">
        <f t="shared" si="967"/>
        <v>0.69999992</v>
      </c>
      <c r="LK182" s="102">
        <f t="shared" si="967"/>
        <v>0</v>
      </c>
      <c r="LL182" s="102">
        <f t="shared" si="967"/>
        <v>92.260829749999999</v>
      </c>
      <c r="LM182" s="102">
        <f t="shared" si="967"/>
        <v>92.260829749999999</v>
      </c>
      <c r="LN182" s="102"/>
      <c r="LO182" s="102"/>
      <c r="LR182" s="32" t="str">
        <f t="shared" si="908"/>
        <v xml:space="preserve"> </v>
      </c>
      <c r="LS182" s="32">
        <f t="shared" si="909"/>
        <v>3.1684012107414388</v>
      </c>
      <c r="LT182" s="32">
        <f t="shared" si="910"/>
        <v>-0.40879327888239425</v>
      </c>
      <c r="LU182" s="32">
        <f t="shared" si="911"/>
        <v>0</v>
      </c>
      <c r="LV182" s="32">
        <f t="shared" si="912"/>
        <v>-0.99999999995887223</v>
      </c>
      <c r="LW182" s="32">
        <f t="shared" si="913"/>
        <v>40612876557</v>
      </c>
      <c r="LX182" s="32">
        <f t="shared" si="963"/>
        <v>-1</v>
      </c>
      <c r="LZ182" s="102">
        <f t="shared" si="914"/>
        <v>98.663510000000002</v>
      </c>
      <c r="MA182" s="102">
        <f t="shared" si="915"/>
        <v>312.60558454</v>
      </c>
      <c r="MB182" s="102">
        <f t="shared" si="916"/>
        <v>-168.12404166000002</v>
      </c>
      <c r="MC182" s="102">
        <f t="shared" si="917"/>
        <v>0</v>
      </c>
      <c r="MD182" s="102">
        <f t="shared" si="918"/>
        <v>-243.14505287</v>
      </c>
      <c r="ME182" s="102">
        <f t="shared" si="919"/>
        <v>406.12876556999998</v>
      </c>
      <c r="MF182" s="102">
        <f t="shared" si="964"/>
        <v>-406.12876557999999</v>
      </c>
      <c r="MH182" s="973"/>
      <c r="MI182" s="973"/>
      <c r="MJ182" s="973"/>
      <c r="MK182" s="973"/>
      <c r="ML182" s="973"/>
      <c r="MM182" s="973"/>
      <c r="MN182" s="973"/>
      <c r="MO182" s="973"/>
      <c r="MP182" s="973"/>
    </row>
    <row r="183" spans="1:354" outlineLevel="1">
      <c r="A183" s="884"/>
      <c r="B183" s="70"/>
      <c r="C183" s="186" t="s">
        <v>147</v>
      </c>
      <c r="D183" s="307" t="s">
        <v>59</v>
      </c>
      <c r="E183" s="931">
        <v>160.84473967999998</v>
      </c>
      <c r="F183" s="931">
        <v>257.13399999999996</v>
      </c>
      <c r="G183" s="931">
        <v>566.37799099000006</v>
      </c>
      <c r="H183" s="931">
        <v>608.13999999999987</v>
      </c>
      <c r="I183" s="931">
        <v>992.38135004000003</v>
      </c>
      <c r="J183" s="931">
        <v>982.86200000000008</v>
      </c>
      <c r="K183" s="931">
        <v>1669.5031615400001</v>
      </c>
      <c r="L183" s="931">
        <v>1698.8600200000001</v>
      </c>
      <c r="M183" s="931">
        <v>1766.26714634</v>
      </c>
      <c r="N183" s="931">
        <v>772.68302000000006</v>
      </c>
      <c r="O183" s="931">
        <v>924.51705694000009</v>
      </c>
      <c r="P183" s="931">
        <v>739.45400000000006</v>
      </c>
      <c r="Q183" s="931">
        <v>622.56451301000004</v>
      </c>
      <c r="R183" s="931">
        <v>859.46</v>
      </c>
      <c r="S183" s="931">
        <v>419.85544574000005</v>
      </c>
      <c r="T183" s="931">
        <v>556.08567999999991</v>
      </c>
      <c r="U183" s="931">
        <v>692.57863814999996</v>
      </c>
      <c r="V183" s="931">
        <v>990.61331487999996</v>
      </c>
      <c r="W183" s="931">
        <v>458.95224614000006</v>
      </c>
      <c r="X183" s="931">
        <v>775.97971487999996</v>
      </c>
      <c r="Y183" s="931">
        <v>265.17492516999999</v>
      </c>
      <c r="Z183" s="931">
        <v>515.01371427999993</v>
      </c>
      <c r="AA183" s="931">
        <v>869.32570487999999</v>
      </c>
      <c r="AB183" s="931">
        <v>1508.2735000000002</v>
      </c>
      <c r="AC183" s="931">
        <v>722.40881516000013</v>
      </c>
      <c r="AD183" s="931">
        <v>799.24873590999994</v>
      </c>
      <c r="AE183" s="931">
        <v>446.80492412000001</v>
      </c>
      <c r="AF183" s="931">
        <v>1120.0710000000001</v>
      </c>
      <c r="AG183" s="931">
        <v>1469.9815871500002</v>
      </c>
      <c r="AH183" s="931">
        <v>1580.9499999999998</v>
      </c>
      <c r="AI183" s="931">
        <v>1178.52197108</v>
      </c>
      <c r="AJ183" s="931">
        <v>1682.2489999999998</v>
      </c>
      <c r="AK183" s="931">
        <v>1277.87689639</v>
      </c>
      <c r="AL183" s="931">
        <v>1725.9773500000001</v>
      </c>
      <c r="AM183" s="931">
        <v>1570.1230616799999</v>
      </c>
      <c r="AN183" s="936">
        <v>1952.2736223799998</v>
      </c>
      <c r="AO183" s="988">
        <v>372.95365163000002</v>
      </c>
      <c r="AP183" s="632">
        <v>245.95520870000001</v>
      </c>
      <c r="AQ183" s="988">
        <v>58.498533020000004</v>
      </c>
      <c r="AR183" s="988">
        <v>710.47806951999996</v>
      </c>
      <c r="AS183" s="988">
        <v>860.89888121000001</v>
      </c>
      <c r="AT183" s="988">
        <v>396.43484856999999</v>
      </c>
      <c r="AU183" s="988">
        <v>332.11813917000001</v>
      </c>
      <c r="AV183" s="988">
        <v>431.28322717000003</v>
      </c>
      <c r="AW183" s="988">
        <v>678.47684217000005</v>
      </c>
      <c r="AX183" s="988">
        <v>823.77356238000016</v>
      </c>
      <c r="AY183" s="988">
        <v>560.99442025000008</v>
      </c>
      <c r="AZ183" s="988">
        <f>SUM(AZ184:AZ188)</f>
        <v>623.87899101999994</v>
      </c>
      <c r="BA183" s="988">
        <v>327.57928215000004</v>
      </c>
      <c r="BB183" s="988">
        <v>439.23560461</v>
      </c>
      <c r="BC183" s="988">
        <v>278.12595977000001</v>
      </c>
      <c r="BD183" s="988">
        <v>264.82539525999999</v>
      </c>
      <c r="BE183" s="933">
        <v>29.390657770000004</v>
      </c>
      <c r="BF183" s="933">
        <v>56.97327361</v>
      </c>
      <c r="BG183" s="933">
        <v>63.898494939999999</v>
      </c>
      <c r="BH183" s="933">
        <v>36.454689469999998</v>
      </c>
      <c r="BI183" s="933">
        <v>88.798219130000007</v>
      </c>
      <c r="BJ183" s="933">
        <v>150.87620193000001</v>
      </c>
      <c r="BK183" s="933">
        <v>91.689334639999998</v>
      </c>
      <c r="BL183" s="988">
        <f>SUM(BL184:BL188)</f>
        <v>119.18084964000001</v>
      </c>
      <c r="BM183" s="936">
        <f t="shared" ref="BM183:DX183" si="968">SUM(BM184:BM188)</f>
        <v>318.25876549999998</v>
      </c>
      <c r="BN183" s="936">
        <f>SUM(BN184:BN188)</f>
        <v>514.37726025999996</v>
      </c>
      <c r="BO183" s="936">
        <f t="shared" si="968"/>
        <v>304.56492947000004</v>
      </c>
      <c r="BP183" s="988">
        <f t="shared" si="968"/>
        <v>513.09890131999987</v>
      </c>
      <c r="BQ183" s="933">
        <f t="shared" si="968"/>
        <v>248.27043100999998</v>
      </c>
      <c r="BR183" s="933">
        <f t="shared" si="968"/>
        <v>402.66106121000001</v>
      </c>
      <c r="BS183" s="933">
        <f t="shared" si="968"/>
        <v>270.59329884000005</v>
      </c>
      <c r="BT183" s="933">
        <f t="shared" si="968"/>
        <v>471.87303589999999</v>
      </c>
      <c r="BU183" s="933">
        <f t="shared" si="968"/>
        <v>206.20877135000003</v>
      </c>
      <c r="BV183" s="933">
        <f t="shared" si="968"/>
        <v>411.28901621</v>
      </c>
      <c r="BW183" s="933">
        <f t="shared" si="968"/>
        <v>317.67669304999998</v>
      </c>
      <c r="BX183" s="933">
        <f t="shared" si="968"/>
        <v>116.26851327999999</v>
      </c>
      <c r="BY183" s="933">
        <f t="shared" si="968"/>
        <v>279.22676653000002</v>
      </c>
      <c r="BZ183" s="933">
        <f t="shared" si="968"/>
        <v>471.83882378000004</v>
      </c>
      <c r="CA183" s="933">
        <f t="shared" si="968"/>
        <v>257.82228458999998</v>
      </c>
      <c r="CB183" s="933">
        <f t="shared" si="968"/>
        <v>312.35974348999997</v>
      </c>
      <c r="CC183" s="933">
        <f t="shared" si="968"/>
        <v>130.75918708</v>
      </c>
      <c r="CD183" s="933">
        <f t="shared" si="968"/>
        <v>266.09016392000001</v>
      </c>
      <c r="CE183" s="933">
        <f t="shared" si="968"/>
        <v>230.63120343000003</v>
      </c>
      <c r="CF183" s="933">
        <f t="shared" si="968"/>
        <v>450.10277708000001</v>
      </c>
      <c r="CG183" s="933">
        <f t="shared" si="968"/>
        <v>233.50548505999998</v>
      </c>
      <c r="CH183" s="933">
        <f t="shared" si="968"/>
        <v>203.76499246000003</v>
      </c>
      <c r="CI183" s="933">
        <f t="shared" si="968"/>
        <v>120.77751782</v>
      </c>
      <c r="CJ183" s="933">
        <f t="shared" si="968"/>
        <v>108.2210005</v>
      </c>
      <c r="CK183" s="933">
        <f t="shared" si="968"/>
        <v>232.64629151</v>
      </c>
      <c r="CL183" s="933">
        <f t="shared" si="968"/>
        <v>107.42101839</v>
      </c>
      <c r="CM183" s="933">
        <f t="shared" si="968"/>
        <v>283.81336470999997</v>
      </c>
      <c r="CN183" s="933">
        <f t="shared" si="968"/>
        <v>6.1728E-4</v>
      </c>
      <c r="CO183" s="933">
        <f t="shared" si="968"/>
        <v>365.16292677999996</v>
      </c>
      <c r="CP183" s="933">
        <f t="shared" si="968"/>
        <v>1.4189200000000002E-3</v>
      </c>
      <c r="CQ183" s="933">
        <f t="shared" si="968"/>
        <v>217.92068327000001</v>
      </c>
      <c r="CR183" s="933">
        <f t="shared" si="968"/>
        <v>7.46063484</v>
      </c>
      <c r="CS183" s="933">
        <f t="shared" si="968"/>
        <v>118.72175021999999</v>
      </c>
      <c r="CT183" s="933">
        <f t="shared" si="968"/>
        <v>9.4011360000000002E-2</v>
      </c>
      <c r="CU183" s="933">
        <f t="shared" si="968"/>
        <v>389.49053561999995</v>
      </c>
      <c r="CV183" s="933">
        <f t="shared" si="968"/>
        <v>223.58387968000002</v>
      </c>
      <c r="CW183" s="933">
        <f t="shared" si="968"/>
        <v>473.22690687999994</v>
      </c>
      <c r="CX183" s="933">
        <f t="shared" si="968"/>
        <v>223.58299953</v>
      </c>
      <c r="CY183" s="933">
        <f t="shared" si="968"/>
        <v>475.52117793000002</v>
      </c>
      <c r="CZ183" s="933">
        <f t="shared" si="968"/>
        <v>6.0014011900000002</v>
      </c>
      <c r="DA183" s="933">
        <f t="shared" si="968"/>
        <v>243.84638132000001</v>
      </c>
      <c r="DB183" s="933">
        <f t="shared" si="968"/>
        <v>2.9999999999999997E-8</v>
      </c>
      <c r="DC183" s="933">
        <f t="shared" si="968"/>
        <v>13.677947920000001</v>
      </c>
      <c r="DD183" s="933">
        <f t="shared" si="968"/>
        <v>0</v>
      </c>
      <c r="DE183" s="933">
        <f t="shared" si="968"/>
        <v>166.46492534000001</v>
      </c>
      <c r="DF183" s="933">
        <f t="shared" si="968"/>
        <v>0</v>
      </c>
      <c r="DG183" s="933">
        <f t="shared" si="968"/>
        <v>277.56207545000001</v>
      </c>
      <c r="DH183" s="933">
        <f t="shared" si="968"/>
        <v>131.24725462999999</v>
      </c>
      <c r="DI183" s="933">
        <f t="shared" si="968"/>
        <v>230.48204170000002</v>
      </c>
      <c r="DJ183" s="933">
        <f t="shared" si="968"/>
        <v>0</v>
      </c>
      <c r="DK183" s="933">
        <f t="shared" si="968"/>
        <v>102.38877019</v>
      </c>
      <c r="DL183" s="933">
        <f t="shared" si="968"/>
        <v>0.31791000000000003</v>
      </c>
      <c r="DM183" s="933">
        <f t="shared" si="968"/>
        <v>144.22308493</v>
      </c>
      <c r="DN183" s="933">
        <f t="shared" si="968"/>
        <v>2.6100000000000002E-2</v>
      </c>
      <c r="DO183" s="933">
        <f t="shared" si="968"/>
        <v>201.15027708</v>
      </c>
      <c r="DP183" s="933">
        <f t="shared" si="968"/>
        <v>-0.19384547000000002</v>
      </c>
      <c r="DQ183" s="1230">
        <f t="shared" si="968"/>
        <v>282.85662496000003</v>
      </c>
      <c r="DR183" s="1230">
        <f t="shared" si="968"/>
        <v>5.5E-2</v>
      </c>
      <c r="DS183" s="1230">
        <f t="shared" si="968"/>
        <v>154.20646606999998</v>
      </c>
      <c r="DT183" s="1230">
        <f t="shared" si="968"/>
        <v>9.2900000000000003E-4</v>
      </c>
      <c r="DU183" s="1230">
        <f t="shared" si="968"/>
        <v>446.61943624999998</v>
      </c>
      <c r="DV183" s="1230">
        <f t="shared" si="968"/>
        <v>9.7999999999999997E-3</v>
      </c>
      <c r="DW183" s="1230">
        <f t="shared" si="968"/>
        <v>226.12011179000001</v>
      </c>
      <c r="DX183" s="1230">
        <f t="shared" si="968"/>
        <v>0</v>
      </c>
      <c r="DY183" s="1230">
        <f t="shared" ref="DY183:EF183" si="969">SUM(DY184:DY188)</f>
        <v>495.28252947999999</v>
      </c>
      <c r="DZ183" s="1230">
        <f t="shared" si="969"/>
        <v>0</v>
      </c>
      <c r="EA183" s="1230">
        <f t="shared" si="969"/>
        <v>217.29863236000003</v>
      </c>
      <c r="EB183" s="1230">
        <f t="shared" si="969"/>
        <v>-3.0276000000000001E-2</v>
      </c>
      <c r="EC183" s="1230">
        <f t="shared" si="969"/>
        <v>301.08142487999999</v>
      </c>
      <c r="ED183" s="1230">
        <f t="shared" si="969"/>
        <v>2.9000000000000001E-2</v>
      </c>
      <c r="EE183" s="1230">
        <f t="shared" si="969"/>
        <v>465.19335910000001</v>
      </c>
      <c r="EF183" s="1230">
        <f t="shared" si="969"/>
        <v>1617.6131723099998</v>
      </c>
      <c r="EG183" s="985"/>
      <c r="EH183" s="933">
        <f t="shared" ref="EH183:ES183" si="970">SUM(EH184:EH188)</f>
        <v>473.22690687999994</v>
      </c>
      <c r="EI183" s="933">
        <f t="shared" si="970"/>
        <v>223.58299953</v>
      </c>
      <c r="EJ183" s="933">
        <f t="shared" si="970"/>
        <v>475.52117793000008</v>
      </c>
      <c r="EK183" s="933">
        <f t="shared" si="970"/>
        <v>6.0014011899999993</v>
      </c>
      <c r="EL183" s="933">
        <f t="shared" si="970"/>
        <v>243.84638132000001</v>
      </c>
      <c r="EM183" s="933">
        <f t="shared" si="970"/>
        <v>2.9999999999999997E-8</v>
      </c>
      <c r="EN183" s="933">
        <f t="shared" si="970"/>
        <v>14.934273263346</v>
      </c>
      <c r="EO183" s="933">
        <f t="shared" si="970"/>
        <v>18.740251491657208</v>
      </c>
      <c r="EP183" s="933">
        <f t="shared" si="970"/>
        <v>159.624127969738</v>
      </c>
      <c r="EQ183" s="933">
        <f t="shared" si="970"/>
        <v>15.015724136177214</v>
      </c>
      <c r="ER183" s="933">
        <f t="shared" si="970"/>
        <v>97.659255950571591</v>
      </c>
      <c r="ES183" s="933">
        <f t="shared" si="970"/>
        <v>15.141908450855613</v>
      </c>
      <c r="ET183" s="279"/>
      <c r="EU183" s="931">
        <f t="shared" ref="EU183:FZ183" si="971">SUM(EU184:EU188)</f>
        <v>210.55964664254356</v>
      </c>
      <c r="EV183" s="931">
        <f t="shared" si="971"/>
        <v>444.68798890771956</v>
      </c>
      <c r="EW183" s="931">
        <f t="shared" si="971"/>
        <v>366.88626531506691</v>
      </c>
      <c r="EX183" s="931">
        <f t="shared" si="971"/>
        <v>548.68601396731856</v>
      </c>
      <c r="EY183" s="931">
        <f t="shared" si="971"/>
        <v>382.77556959342559</v>
      </c>
      <c r="EZ183" s="931">
        <f t="shared" si="971"/>
        <v>682.53982156843426</v>
      </c>
      <c r="FA183" s="931">
        <f t="shared" si="971"/>
        <v>382.20840143227372</v>
      </c>
      <c r="FB183" s="931">
        <f t="shared" si="971"/>
        <v>927.35256192869997</v>
      </c>
      <c r="FC183" s="931">
        <f t="shared" si="971"/>
        <v>680.78799688190236</v>
      </c>
      <c r="FD183" s="931">
        <f t="shared" si="971"/>
        <v>1276.0115480885356</v>
      </c>
      <c r="FE183" s="931">
        <f t="shared" si="971"/>
        <v>628.57016112689359</v>
      </c>
      <c r="FF183" s="931">
        <f t="shared" si="971"/>
        <v>1871.5761015903488</v>
      </c>
      <c r="FG183" s="931">
        <f t="shared" si="971"/>
        <v>902.41580487507667</v>
      </c>
      <c r="FH183" s="931">
        <f t="shared" si="971"/>
        <v>985.44197640304674</v>
      </c>
      <c r="FI183" s="931">
        <f t="shared" si="971"/>
        <v>516.69413584279869</v>
      </c>
      <c r="FJ183" s="931">
        <f t="shared" si="971"/>
        <v>681.83897599996601</v>
      </c>
      <c r="FK183" s="931">
        <f t="shared" si="971"/>
        <v>583.65213205028022</v>
      </c>
      <c r="FL183" s="931">
        <f t="shared" si="971"/>
        <v>769.59861668039912</v>
      </c>
      <c r="FM183" s="931">
        <f t="shared" si="971"/>
        <v>518.29209918560014</v>
      </c>
      <c r="FN183" s="931">
        <f t="shared" si="971"/>
        <v>690.89815448886861</v>
      </c>
      <c r="FO183" s="931">
        <f t="shared" si="971"/>
        <v>647.64848397020023</v>
      </c>
      <c r="FP183" s="931">
        <f t="shared" si="971"/>
        <v>889.9382984571464</v>
      </c>
      <c r="FQ183" s="931">
        <f t="shared" si="971"/>
        <v>662.90966782069927</v>
      </c>
      <c r="FR183" s="931">
        <f t="shared" si="971"/>
        <v>906.10661825833597</v>
      </c>
      <c r="FS183" s="931">
        <f t="shared" si="971"/>
        <v>313.5190239783123</v>
      </c>
      <c r="FT183" s="931">
        <f t="shared" si="971"/>
        <v>492.33932422494632</v>
      </c>
      <c r="FU183" s="931">
        <f t="shared" si="971"/>
        <v>669.1775306179843</v>
      </c>
      <c r="FV183" s="931">
        <f t="shared" si="971"/>
        <v>832.47996093774373</v>
      </c>
      <c r="FW183" s="931">
        <f t="shared" si="971"/>
        <v>1012.7349925284656</v>
      </c>
      <c r="FX183" s="931">
        <f t="shared" si="971"/>
        <v>1161.0683162748098</v>
      </c>
      <c r="FY183" s="931">
        <f t="shared" si="971"/>
        <v>1337.481049607698</v>
      </c>
      <c r="FZ183" s="931">
        <f t="shared" si="971"/>
        <v>1448.6905848572694</v>
      </c>
      <c r="GA183" s="931">
        <f t="shared" ref="GA183:HB183" si="972">SUM(GA184:GA188)</f>
        <v>1533.4530619794853</v>
      </c>
      <c r="GB183" s="931">
        <f t="shared" si="972"/>
        <v>1604.0975687090852</v>
      </c>
      <c r="GC183" s="931">
        <f t="shared" si="972"/>
        <v>1688.5736643362338</v>
      </c>
      <c r="GD183" s="931">
        <f t="shared" si="972"/>
        <v>1765.3215632510337</v>
      </c>
      <c r="GE183" s="931">
        <f t="shared" si="972"/>
        <v>0</v>
      </c>
      <c r="GF183" s="931">
        <f t="shared" si="972"/>
        <v>0</v>
      </c>
      <c r="GG183" s="931">
        <f t="shared" si="972"/>
        <v>0</v>
      </c>
      <c r="GH183" s="931">
        <f t="shared" si="972"/>
        <v>0</v>
      </c>
      <c r="GI183" s="931">
        <f t="shared" si="972"/>
        <v>0</v>
      </c>
      <c r="GJ183" s="931">
        <f t="shared" si="972"/>
        <v>0</v>
      </c>
      <c r="GK183" s="931">
        <f t="shared" si="972"/>
        <v>0</v>
      </c>
      <c r="GL183" s="931">
        <f t="shared" si="972"/>
        <v>0</v>
      </c>
      <c r="GM183" s="931">
        <f t="shared" si="972"/>
        <v>0</v>
      </c>
      <c r="GN183" s="931">
        <f t="shared" si="972"/>
        <v>0</v>
      </c>
      <c r="GO183" s="931">
        <f t="shared" si="972"/>
        <v>0</v>
      </c>
      <c r="GP183" s="931">
        <f t="shared" si="972"/>
        <v>0</v>
      </c>
      <c r="GQ183" s="931">
        <f t="shared" si="972"/>
        <v>0</v>
      </c>
      <c r="GR183" s="931">
        <f t="shared" si="972"/>
        <v>0</v>
      </c>
      <c r="GS183" s="931">
        <f t="shared" si="972"/>
        <v>0</v>
      </c>
      <c r="GT183" s="931">
        <f t="shared" si="972"/>
        <v>0</v>
      </c>
      <c r="GU183" s="931">
        <f t="shared" si="972"/>
        <v>0</v>
      </c>
      <c r="GV183" s="931">
        <f t="shared" si="972"/>
        <v>0</v>
      </c>
      <c r="GW183" s="931">
        <f t="shared" si="972"/>
        <v>0</v>
      </c>
      <c r="GX183" s="931">
        <f t="shared" si="972"/>
        <v>0</v>
      </c>
      <c r="GY183" s="931">
        <f t="shared" si="972"/>
        <v>0</v>
      </c>
      <c r="GZ183" s="931">
        <f t="shared" si="972"/>
        <v>0</v>
      </c>
      <c r="HA183" s="931">
        <f t="shared" si="972"/>
        <v>0</v>
      </c>
      <c r="HB183" s="931">
        <f t="shared" si="972"/>
        <v>0</v>
      </c>
      <c r="HD183" s="931">
        <f t="shared" si="940"/>
        <v>739.45400000000006</v>
      </c>
      <c r="HE183" s="931">
        <f t="shared" si="940"/>
        <v>1508.2735000000002</v>
      </c>
      <c r="HF183" s="931">
        <f t="shared" si="940"/>
        <v>1952.2736223799998</v>
      </c>
      <c r="HG183" s="931">
        <f t="shared" si="940"/>
        <v>623.87899101999994</v>
      </c>
      <c r="HH183" s="931">
        <f t="shared" si="890"/>
        <v>119.18084964000001</v>
      </c>
      <c r="HI183" s="931">
        <f t="shared" si="891"/>
        <v>116.26851327999999</v>
      </c>
      <c r="HJ183" s="931">
        <f t="shared" si="961"/>
        <v>108.2210005</v>
      </c>
      <c r="HK183" s="931">
        <f t="shared" si="962"/>
        <v>223.58387968000002</v>
      </c>
      <c r="HL183" s="941">
        <f>+SUMIFS($E183:SEW183,$E$6:SEW$6,HL$7,$E$5:SEW$5,12)</f>
        <v>131.24725462999999</v>
      </c>
      <c r="HM183" s="941">
        <f>+SUMIFS($E183:SEX183,$E$6:SEX$6,HM$7,$E$5:SEX$5,12)</f>
        <v>9.2900000000000003E-4</v>
      </c>
      <c r="HN183" s="941">
        <f>+SUMIFS($E183:SEY183,$E$6:SEY$6,HN$7,$E$5:SEY$5,12)</f>
        <v>1617.6131723099998</v>
      </c>
      <c r="HO183" s="931"/>
      <c r="HP183" s="931"/>
      <c r="HR183" s="934">
        <f t="shared" si="941"/>
        <v>0.29437639949253191</v>
      </c>
      <c r="HS183" s="934">
        <f t="shared" si="942"/>
        <v>-0.6804346563575272</v>
      </c>
      <c r="HT183" s="934">
        <f t="shared" si="943"/>
        <v>-0.80896800284114811</v>
      </c>
      <c r="HU183" s="934">
        <f t="shared" si="935"/>
        <v>-2.4436277881866642E-2</v>
      </c>
      <c r="HV183" s="934">
        <f t="shared" si="936"/>
        <v>-6.9214893636937003E-2</v>
      </c>
      <c r="HW183" s="934">
        <f t="shared" si="937"/>
        <v>1.0659934638101967</v>
      </c>
      <c r="HX183" s="934">
        <f t="shared" si="938"/>
        <v>-0.41298426873241034</v>
      </c>
      <c r="HY183" s="934">
        <f t="shared" si="938"/>
        <v>-0.99999292175670551</v>
      </c>
      <c r="HZ183" s="934">
        <f t="shared" si="938"/>
        <v>1741240.3049623247</v>
      </c>
      <c r="IA183" s="934">
        <f t="shared" si="868"/>
        <v>-1</v>
      </c>
      <c r="IB183" s="934" t="str">
        <f t="shared" si="944"/>
        <v/>
      </c>
      <c r="IC183" s="934">
        <f t="shared" si="869"/>
        <v>-1</v>
      </c>
      <c r="IE183" s="931">
        <f t="shared" si="945"/>
        <v>444.00012237999954</v>
      </c>
      <c r="IF183" s="931">
        <f t="shared" si="946"/>
        <v>-1328.3946313599999</v>
      </c>
      <c r="IG183" s="931">
        <f t="shared" si="947"/>
        <v>-504.69814137999992</v>
      </c>
      <c r="IH183" s="931">
        <f t="shared" si="939"/>
        <v>-2.9123363600000118</v>
      </c>
      <c r="II183" s="931">
        <f t="shared" si="894"/>
        <v>-8.047512779999991</v>
      </c>
      <c r="IJ183" s="931">
        <f t="shared" si="895"/>
        <v>115.36287918000002</v>
      </c>
      <c r="IK183" s="931">
        <f t="shared" si="896"/>
        <v>-92.336625050000038</v>
      </c>
      <c r="IL183" s="931">
        <f t="shared" si="870"/>
        <v>-131.24725462999999</v>
      </c>
      <c r="IM183" s="931">
        <f t="shared" si="948"/>
        <v>0</v>
      </c>
      <c r="IN183" s="931">
        <f t="shared" si="871"/>
        <v>-131.24725462999999</v>
      </c>
      <c r="IP183" s="978"/>
      <c r="IQ183" s="978"/>
      <c r="IR183" s="978"/>
      <c r="IS183" s="978"/>
      <c r="IT183" s="978"/>
      <c r="IU183" s="978"/>
      <c r="IV183" s="978"/>
      <c r="IW183" s="978"/>
      <c r="IX183" s="978"/>
      <c r="IY183" s="978"/>
      <c r="JA183" s="931">
        <f t="shared" si="965"/>
        <v>739.45400000000006</v>
      </c>
      <c r="JB183" s="931">
        <f t="shared" si="965"/>
        <v>1508.2735000000002</v>
      </c>
      <c r="JC183" s="931">
        <f t="shared" si="965"/>
        <v>1952.2736223799998</v>
      </c>
      <c r="JD183" s="931">
        <f t="shared" si="965"/>
        <v>623.87899101999994</v>
      </c>
      <c r="JE183" s="931">
        <f t="shared" si="965"/>
        <v>119.18084964000001</v>
      </c>
      <c r="JF183" s="931">
        <f t="shared" si="965"/>
        <v>116.26851327999999</v>
      </c>
      <c r="JG183" s="931">
        <f t="shared" si="965"/>
        <v>108.2210005</v>
      </c>
      <c r="JH183" s="931">
        <f t="shared" si="965"/>
        <v>223.58387968000002</v>
      </c>
      <c r="JI183" s="931">
        <f t="shared" si="965"/>
        <v>131.24725462999999</v>
      </c>
      <c r="JJ183" s="931">
        <f t="shared" si="965"/>
        <v>9.2900000000000003E-4</v>
      </c>
      <c r="JK183" s="931">
        <f t="shared" si="965"/>
        <v>1617.6131723099998</v>
      </c>
      <c r="JL183" s="931">
        <f t="shared" si="966"/>
        <v>1617.6131723099998</v>
      </c>
      <c r="JM183" s="931"/>
      <c r="JN183" s="931"/>
      <c r="JP183" s="931">
        <f t="shared" si="897"/>
        <v>0</v>
      </c>
      <c r="JQ183" s="931">
        <f t="shared" si="898"/>
        <v>0</v>
      </c>
      <c r="JR183" s="145"/>
      <c r="JS183" s="934" t="str">
        <f t="shared" si="949"/>
        <v>NA</v>
      </c>
      <c r="JT183" s="935">
        <f t="shared" si="950"/>
        <v>0</v>
      </c>
      <c r="JV183" s="973"/>
      <c r="JW183" s="973"/>
      <c r="JY183" s="934">
        <f t="shared" si="925"/>
        <v>0.29437639949253191</v>
      </c>
      <c r="JZ183" s="934">
        <f t="shared" si="926"/>
        <v>-0.6804346563575272</v>
      </c>
      <c r="KA183" s="934">
        <f t="shared" si="927"/>
        <v>-0.80896800284114811</v>
      </c>
      <c r="KB183" s="934">
        <f t="shared" si="928"/>
        <v>-2.4436277881866642E-2</v>
      </c>
      <c r="KC183" s="934">
        <f t="shared" si="929"/>
        <v>-6.9214893636937003E-2</v>
      </c>
      <c r="KD183" s="934">
        <f t="shared" si="930"/>
        <v>1.0659934638101967</v>
      </c>
      <c r="KE183" s="934">
        <f t="shared" si="931"/>
        <v>-0.41298426873241034</v>
      </c>
      <c r="KF183" s="934">
        <f t="shared" si="932"/>
        <v>-1</v>
      </c>
      <c r="KH183" s="931">
        <f t="shared" si="900"/>
        <v>444.00012237999954</v>
      </c>
      <c r="KI183" s="931">
        <f t="shared" si="901"/>
        <v>-1328.3946313599999</v>
      </c>
      <c r="KJ183" s="931">
        <f t="shared" si="902"/>
        <v>-504.69814137999992</v>
      </c>
      <c r="KK183" s="931">
        <f t="shared" si="903"/>
        <v>-2.9123363600000118</v>
      </c>
      <c r="KL183" s="931">
        <f t="shared" si="904"/>
        <v>-8.047512779999991</v>
      </c>
      <c r="KM183" s="931">
        <f t="shared" si="905"/>
        <v>115.36287918000002</v>
      </c>
      <c r="KN183" s="931">
        <f t="shared" si="906"/>
        <v>-92.336625050000038</v>
      </c>
      <c r="KO183" s="931">
        <f t="shared" si="907"/>
        <v>-131.24725462999999</v>
      </c>
      <c r="KQ183" s="978"/>
      <c r="KR183" s="978"/>
      <c r="KS183" s="978"/>
      <c r="KT183" s="978"/>
      <c r="KU183" s="978"/>
      <c r="KV183" s="978"/>
      <c r="KW183" s="978"/>
      <c r="KX183" s="978"/>
      <c r="KY183" s="978"/>
      <c r="KZ183" s="978"/>
      <c r="LB183" s="931">
        <f t="shared" si="967"/>
        <v>739.45400000000006</v>
      </c>
      <c r="LC183" s="931">
        <f t="shared" si="967"/>
        <v>1508.2735000000002</v>
      </c>
      <c r="LD183" s="931">
        <f t="shared" si="967"/>
        <v>1952.2736223799998</v>
      </c>
      <c r="LE183" s="931">
        <f t="shared" si="967"/>
        <v>623.87899101999994</v>
      </c>
      <c r="LF183" s="931">
        <f t="shared" si="967"/>
        <v>119.18084964000001</v>
      </c>
      <c r="LG183" s="931">
        <f t="shared" si="967"/>
        <v>116.26851327999999</v>
      </c>
      <c r="LH183" s="931">
        <f t="shared" si="967"/>
        <v>108.2210005</v>
      </c>
      <c r="LI183" s="931">
        <f t="shared" si="967"/>
        <v>223.58387968000002</v>
      </c>
      <c r="LJ183" s="931">
        <f t="shared" si="967"/>
        <v>131.24725462999999</v>
      </c>
      <c r="LK183" s="931">
        <f t="shared" si="967"/>
        <v>9.2900000000000003E-4</v>
      </c>
      <c r="LL183" s="931">
        <f t="shared" si="967"/>
        <v>1617.6131723099998</v>
      </c>
      <c r="LM183" s="931">
        <f t="shared" si="967"/>
        <v>1617.6131723099998</v>
      </c>
      <c r="LN183" s="931"/>
      <c r="LO183" s="931"/>
      <c r="LR183" s="230">
        <f t="shared" si="908"/>
        <v>0.29437639949253191</v>
      </c>
      <c r="LS183" s="230">
        <f t="shared" si="909"/>
        <v>-0.6804346563575272</v>
      </c>
      <c r="LT183" s="230">
        <f t="shared" si="910"/>
        <v>-0.80896800284114811</v>
      </c>
      <c r="LU183" s="230">
        <f t="shared" si="911"/>
        <v>-2.4436277881866642E-2</v>
      </c>
      <c r="LV183" s="230">
        <f t="shared" si="912"/>
        <v>-6.9214893636937003E-2</v>
      </c>
      <c r="LW183" s="230">
        <f t="shared" si="913"/>
        <v>1.0659934638101967</v>
      </c>
      <c r="LX183" s="230">
        <f t="shared" si="963"/>
        <v>-1</v>
      </c>
      <c r="LZ183" s="931">
        <f t="shared" si="914"/>
        <v>444.00012237999954</v>
      </c>
      <c r="MA183" s="931">
        <f t="shared" si="915"/>
        <v>-1328.3946313599999</v>
      </c>
      <c r="MB183" s="931">
        <f t="shared" si="916"/>
        <v>-504.69814137999992</v>
      </c>
      <c r="MC183" s="931">
        <f t="shared" si="917"/>
        <v>-2.9123363600000118</v>
      </c>
      <c r="MD183" s="931">
        <f t="shared" si="918"/>
        <v>-8.047512779999991</v>
      </c>
      <c r="ME183" s="931">
        <f t="shared" si="919"/>
        <v>115.36287918000002</v>
      </c>
      <c r="MF183" s="931">
        <f t="shared" si="964"/>
        <v>-223.58387968000002</v>
      </c>
      <c r="MH183" s="978"/>
      <c r="MI183" s="978"/>
      <c r="MJ183" s="978"/>
      <c r="MK183" s="978"/>
      <c r="ML183" s="978"/>
      <c r="MM183" s="978"/>
      <c r="MN183" s="978"/>
      <c r="MO183" s="978"/>
      <c r="MP183" s="978"/>
    </row>
    <row r="184" spans="1:354" outlineLevel="2">
      <c r="A184" s="884">
        <v>24</v>
      </c>
      <c r="B184" s="70" t="s">
        <v>739</v>
      </c>
      <c r="D184" s="31"/>
      <c r="E184" s="924">
        <v>86.123867180000005</v>
      </c>
      <c r="F184" s="924">
        <v>203.27199999999999</v>
      </c>
      <c r="G184" s="924">
        <v>501.15003777999999</v>
      </c>
      <c r="H184" s="924">
        <v>528.15599999999995</v>
      </c>
      <c r="I184" s="924">
        <v>936.52242609000007</v>
      </c>
      <c r="J184" s="924">
        <v>873.64300000000003</v>
      </c>
      <c r="K184" s="924">
        <v>1610.43223025</v>
      </c>
      <c r="L184" s="924">
        <v>1630.4450200000001</v>
      </c>
      <c r="M184" s="924">
        <v>1706.6005970899998</v>
      </c>
      <c r="N184" s="924">
        <v>698.58101999999997</v>
      </c>
      <c r="O184" s="924">
        <v>813.85364512000001</v>
      </c>
      <c r="P184" s="924">
        <v>644.13599999999997</v>
      </c>
      <c r="Q184" s="924">
        <v>544.95413194000002</v>
      </c>
      <c r="R184" s="924">
        <v>797.07100000000003</v>
      </c>
      <c r="S184" s="924">
        <v>358.47854408000001</v>
      </c>
      <c r="T184" s="924">
        <v>481.78167999999999</v>
      </c>
      <c r="U184" s="924">
        <v>609.92901687000005</v>
      </c>
      <c r="V184" s="924">
        <v>912.84131487999991</v>
      </c>
      <c r="W184" s="924">
        <v>409.51275807000002</v>
      </c>
      <c r="X184" s="924">
        <v>693.65771487999996</v>
      </c>
      <c r="Y184" s="924">
        <v>193.42601414999999</v>
      </c>
      <c r="Z184" s="924">
        <v>408.25271427999996</v>
      </c>
      <c r="AA184" s="924">
        <v>732.4173882</v>
      </c>
      <c r="AB184" s="924">
        <v>1346.6424999999999</v>
      </c>
      <c r="AC184" s="924">
        <v>609.61256460000004</v>
      </c>
      <c r="AD184" s="924">
        <v>673.70749999999998</v>
      </c>
      <c r="AE184" s="924">
        <v>347.17327736000004</v>
      </c>
      <c r="AF184" s="924">
        <v>977.27600000000007</v>
      </c>
      <c r="AG184" s="924">
        <v>1328.50684062</v>
      </c>
      <c r="AH184" s="924">
        <v>1477.0540000000001</v>
      </c>
      <c r="AI184" s="924">
        <v>1065.28958526</v>
      </c>
      <c r="AJ184" s="924">
        <v>1507.6379999999999</v>
      </c>
      <c r="AK184" s="924">
        <v>1142.2094638899998</v>
      </c>
      <c r="AL184" s="924">
        <v>1654.3633500000001</v>
      </c>
      <c r="AM184" s="924">
        <v>1563.73365453</v>
      </c>
      <c r="AN184" s="102">
        <v>1682.5939999999998</v>
      </c>
      <c r="AO184" s="924">
        <v>271.49935242000004</v>
      </c>
      <c r="AP184" s="925">
        <v>226.50755334999999</v>
      </c>
      <c r="AQ184" s="143">
        <v>38.222500920000002</v>
      </c>
      <c r="AR184" s="143">
        <v>662.97699911999996</v>
      </c>
      <c r="AS184" s="924">
        <v>749.72246585000005</v>
      </c>
      <c r="AT184" s="924">
        <v>298.00735350999997</v>
      </c>
      <c r="AU184" s="924">
        <v>203.66718935</v>
      </c>
      <c r="AV184" s="924">
        <v>340.00480966000003</v>
      </c>
      <c r="AW184" s="924">
        <v>585.73745991999999</v>
      </c>
      <c r="AX184" s="924">
        <v>741.11552552000001</v>
      </c>
      <c r="AY184" s="924">
        <v>483.38804835000002</v>
      </c>
      <c r="AZ184" s="102">
        <v>558.43499999999995</v>
      </c>
      <c r="BA184" s="102">
        <v>285.54828566000003</v>
      </c>
      <c r="BB184" s="102">
        <v>392.93395380999999</v>
      </c>
      <c r="BC184" s="102">
        <v>243.86685711000001</v>
      </c>
      <c r="BD184" s="102">
        <v>233.88231159999998</v>
      </c>
      <c r="BE184" s="924">
        <v>3.7954370900000001</v>
      </c>
      <c r="BF184" s="924">
        <v>26.817633309999998</v>
      </c>
      <c r="BG184" s="924">
        <v>45.17342755</v>
      </c>
      <c r="BH184" s="924">
        <v>12.02935742</v>
      </c>
      <c r="BI184" s="924">
        <v>65.601411830000004</v>
      </c>
      <c r="BJ184" s="924">
        <v>127.93458762</v>
      </c>
      <c r="BK184" s="924">
        <v>63.898679250000001</v>
      </c>
      <c r="BL184" s="924">
        <f>51060265/1000000</f>
        <v>51.060265000000001</v>
      </c>
      <c r="BM184" s="102">
        <v>275.07606552999999</v>
      </c>
      <c r="BN184" s="102">
        <v>471.62338948000001</v>
      </c>
      <c r="BO184" s="102">
        <v>227.68469077</v>
      </c>
      <c r="BP184" s="102">
        <v>458.77820951999996</v>
      </c>
      <c r="BQ184" s="924">
        <v>205.27719074999999</v>
      </c>
      <c r="BR184" s="924">
        <v>376.80045823</v>
      </c>
      <c r="BS184" s="924">
        <v>233.92252628</v>
      </c>
      <c r="BT184" s="924">
        <v>429.90452289000001</v>
      </c>
      <c r="BU184" s="924">
        <v>169.91215808000001</v>
      </c>
      <c r="BV184" s="924">
        <v>366.81673355999999</v>
      </c>
      <c r="BW184" s="924">
        <v>273.37028206000002</v>
      </c>
      <c r="BX184" s="924">
        <v>116.26838348</v>
      </c>
      <c r="BY184" s="924">
        <v>276.64369687999999</v>
      </c>
      <c r="BZ184" s="924">
        <v>419.38981848000003</v>
      </c>
      <c r="CA184" s="924">
        <v>211.86819690999999</v>
      </c>
      <c r="CB184" s="924">
        <v>271.00130894</v>
      </c>
      <c r="CC184" s="924">
        <v>94.962866340000005</v>
      </c>
      <c r="CD184" s="924">
        <v>225.60682968</v>
      </c>
      <c r="CE184" s="924">
        <v>181.20391387000001</v>
      </c>
      <c r="CF184" s="924">
        <v>389.85251091000003</v>
      </c>
      <c r="CG184" s="924">
        <v>182.18979680999999</v>
      </c>
      <c r="CH184" s="924">
        <v>138.46204703000001</v>
      </c>
      <c r="CI184" s="924">
        <v>51.301023539999996</v>
      </c>
      <c r="CJ184" s="924">
        <v>108.2210005</v>
      </c>
      <c r="CK184" s="924">
        <v>230.93585450999998</v>
      </c>
      <c r="CL184" s="924">
        <v>107.21300026999999</v>
      </c>
      <c r="CM184" s="924">
        <v>280.89620248</v>
      </c>
      <c r="CN184" s="924">
        <v>2.7000000000000001E-7</v>
      </c>
      <c r="CO184" s="924">
        <v>362.55934194999998</v>
      </c>
      <c r="CP184" s="924">
        <v>2.1299999999999999E-5</v>
      </c>
      <c r="CQ184" s="924">
        <v>215.01388337</v>
      </c>
      <c r="CR184" s="924">
        <v>2.0209099999999999E-3</v>
      </c>
      <c r="CS184" s="924">
        <v>113.74972552</v>
      </c>
      <c r="CT184" s="924">
        <v>2.6833899999999999E-3</v>
      </c>
      <c r="CU184" s="924">
        <v>385.90993283999995</v>
      </c>
      <c r="CV184" s="924">
        <v>223.58382396000002</v>
      </c>
      <c r="CW184" s="924">
        <v>471.80164401999997</v>
      </c>
      <c r="CX184" s="924">
        <v>223.58294395999999</v>
      </c>
      <c r="CY184" s="924">
        <v>472.33985832000002</v>
      </c>
      <c r="CZ184" s="924">
        <v>6.0014011900000002</v>
      </c>
      <c r="DA184" s="924">
        <v>243.01405278000001</v>
      </c>
      <c r="DB184" s="924">
        <v>2.9999999999999997E-8</v>
      </c>
      <c r="DC184" s="924">
        <v>12.606824570000001</v>
      </c>
      <c r="DD184" s="924">
        <v>0</v>
      </c>
      <c r="DE184" s="924">
        <v>164.16195718</v>
      </c>
      <c r="DF184" s="924">
        <v>0</v>
      </c>
      <c r="DG184" s="924">
        <v>275.70492257000001</v>
      </c>
      <c r="DH184" s="924">
        <v>131.24725462999999</v>
      </c>
      <c r="DI184" s="924">
        <v>228.60399965000002</v>
      </c>
      <c r="DJ184" s="924">
        <v>0</v>
      </c>
      <c r="DK184" s="924">
        <v>100.98157725</v>
      </c>
      <c r="DL184" s="924">
        <v>0</v>
      </c>
      <c r="DM184" s="924">
        <v>142.4103887</v>
      </c>
      <c r="DN184" s="924">
        <v>0</v>
      </c>
      <c r="DO184" s="924">
        <v>199.81285696</v>
      </c>
      <c r="DP184" s="924">
        <v>-0.24884547000000001</v>
      </c>
      <c r="DQ184" s="960">
        <v>281.17667085000005</v>
      </c>
      <c r="DR184" s="960">
        <v>0</v>
      </c>
      <c r="DS184" s="960">
        <v>151.62085331999998</v>
      </c>
      <c r="DT184" s="960">
        <v>9.2900000000000003E-4</v>
      </c>
      <c r="DU184" s="960">
        <v>444.25043429999999</v>
      </c>
      <c r="DV184" s="960">
        <v>0</v>
      </c>
      <c r="DW184" s="960">
        <v>222.07894518000001</v>
      </c>
      <c r="DX184" s="960">
        <v>0</v>
      </c>
      <c r="DY184" s="960">
        <v>491.53821078999999</v>
      </c>
      <c r="DZ184" s="960">
        <v>0</v>
      </c>
      <c r="EA184" s="960">
        <v>212.71637337000001</v>
      </c>
      <c r="EB184" s="960">
        <v>-3.0276000000000001E-2</v>
      </c>
      <c r="EC184" s="960">
        <v>291.61312219000001</v>
      </c>
      <c r="ED184" s="960">
        <v>0</v>
      </c>
      <c r="EE184" s="960">
        <v>456.83324619000001</v>
      </c>
      <c r="EF184" s="1233">
        <f>328.91317231+(3682*0.35)</f>
        <v>1617.6131723099998</v>
      </c>
      <c r="EG184" s="145"/>
      <c r="EH184" s="102">
        <v>471.80164401999997</v>
      </c>
      <c r="EI184" s="102">
        <v>223.58294395999999</v>
      </c>
      <c r="EJ184" s="102">
        <v>472.33985832000008</v>
      </c>
      <c r="EK184" s="102">
        <v>6.0014011899999993</v>
      </c>
      <c r="EL184" s="102">
        <v>243.01405278000001</v>
      </c>
      <c r="EM184" s="102">
        <v>2.9999999999999997E-8</v>
      </c>
      <c r="EN184" s="102">
        <v>5.9119686285383999</v>
      </c>
      <c r="EO184" s="102">
        <v>10.589793863649607</v>
      </c>
      <c r="EP184" s="102">
        <v>151.33201554053039</v>
      </c>
      <c r="EQ184" s="102">
        <v>6.8624314407696128</v>
      </c>
      <c r="ER184" s="102">
        <v>89.502245521364003</v>
      </c>
      <c r="ES184" s="102">
        <v>6.2417558592480127</v>
      </c>
      <c r="EU184" s="924">
        <v>183.49833670382137</v>
      </c>
      <c r="EV184" s="924">
        <v>419.20615750191689</v>
      </c>
      <c r="EW184" s="924">
        <v>342.0325422457459</v>
      </c>
      <c r="EX184" s="924">
        <v>521.22038351726917</v>
      </c>
      <c r="EY184" s="924">
        <v>361.74876133759346</v>
      </c>
      <c r="EZ184" s="924">
        <v>656.88042727642494</v>
      </c>
      <c r="FA184" s="924">
        <v>354.55045552775289</v>
      </c>
      <c r="FB184" s="924">
        <v>894.23855483777697</v>
      </c>
      <c r="FC184" s="924">
        <v>654.05189548557826</v>
      </c>
      <c r="FD184" s="924">
        <v>1243.6143514577514</v>
      </c>
      <c r="FE184" s="924">
        <v>601.84524112619306</v>
      </c>
      <c r="FF184" s="924">
        <v>1831.3276097286507</v>
      </c>
      <c r="FG184" s="924">
        <v>868.78626601240012</v>
      </c>
      <c r="FH184" s="924">
        <v>931.81244815976015</v>
      </c>
      <c r="FI184" s="924">
        <v>465.28090023536004</v>
      </c>
      <c r="FJ184" s="924">
        <v>624.30212244116001</v>
      </c>
      <c r="FK184" s="924">
        <v>535.62113317480009</v>
      </c>
      <c r="FL184" s="924">
        <v>706.64884920072006</v>
      </c>
      <c r="FM184" s="924">
        <v>459.30212314480002</v>
      </c>
      <c r="FN184" s="924">
        <v>624.53545309720005</v>
      </c>
      <c r="FO184" s="924">
        <v>584.38032645743999</v>
      </c>
      <c r="FP184" s="924">
        <v>822.07180918671997</v>
      </c>
      <c r="FQ184" s="924">
        <v>604.66589468908001</v>
      </c>
      <c r="FR184" s="924">
        <v>853.31137001612001</v>
      </c>
      <c r="FS184" s="924">
        <v>280.12278108599997</v>
      </c>
      <c r="FT184" s="924">
        <v>459.79663708599998</v>
      </c>
      <c r="FU184" s="924">
        <v>635.10825957999987</v>
      </c>
      <c r="FV184" s="924">
        <v>801.90183853999997</v>
      </c>
      <c r="FW184" s="924">
        <v>979.75132562800002</v>
      </c>
      <c r="FX184" s="924">
        <v>1133.1001015640002</v>
      </c>
      <c r="FY184" s="924">
        <v>1305.852220124</v>
      </c>
      <c r="FZ184" s="924">
        <v>1422.6923161240002</v>
      </c>
      <c r="GA184" s="924">
        <v>1510.8083161240002</v>
      </c>
      <c r="GB184" s="924">
        <v>1582.4987161240001</v>
      </c>
      <c r="GC184" s="924">
        <v>1666.191036124</v>
      </c>
      <c r="GD184" s="924">
        <v>1742.366556124</v>
      </c>
      <c r="GE184" s="102">
        <v>0</v>
      </c>
      <c r="GF184" s="102">
        <v>0</v>
      </c>
      <c r="GG184" s="102">
        <v>0</v>
      </c>
      <c r="GH184" s="102">
        <v>0</v>
      </c>
      <c r="GI184" s="102">
        <v>0</v>
      </c>
      <c r="GJ184" s="102">
        <v>0</v>
      </c>
      <c r="GK184" s="102">
        <v>0</v>
      </c>
      <c r="GL184" s="102">
        <v>0</v>
      </c>
      <c r="GM184" s="102">
        <v>0</v>
      </c>
      <c r="GN184" s="102">
        <v>0</v>
      </c>
      <c r="GO184" s="102">
        <v>0</v>
      </c>
      <c r="GP184" s="102">
        <v>0</v>
      </c>
      <c r="GQ184" s="102">
        <v>0</v>
      </c>
      <c r="GR184" s="102">
        <v>0</v>
      </c>
      <c r="GS184" s="102">
        <v>0</v>
      </c>
      <c r="GT184" s="102">
        <v>0</v>
      </c>
      <c r="GU184" s="102">
        <v>0</v>
      </c>
      <c r="GV184" s="102">
        <v>0</v>
      </c>
      <c r="GW184" s="102">
        <v>0</v>
      </c>
      <c r="GX184" s="102">
        <v>0</v>
      </c>
      <c r="GY184" s="102">
        <v>0</v>
      </c>
      <c r="GZ184" s="102">
        <v>0</v>
      </c>
      <c r="HA184" s="102">
        <v>0</v>
      </c>
      <c r="HB184" s="102">
        <v>0</v>
      </c>
      <c r="HD184" s="924">
        <v>644.13599999999997</v>
      </c>
      <c r="HE184" s="924">
        <v>1346.6424999999999</v>
      </c>
      <c r="HF184" s="924">
        <v>1682.5939999999998</v>
      </c>
      <c r="HG184" s="924">
        <v>0</v>
      </c>
      <c r="HH184" s="924">
        <f t="shared" si="890"/>
        <v>51.060265000000001</v>
      </c>
      <c r="HI184" s="924">
        <f t="shared" si="891"/>
        <v>116.26838348</v>
      </c>
      <c r="HJ184" s="924">
        <f t="shared" si="961"/>
        <v>108.2210005</v>
      </c>
      <c r="HK184" s="924">
        <f t="shared" si="962"/>
        <v>223.58382396000002</v>
      </c>
      <c r="HL184" s="960">
        <f>+SUMIFS($E184:SEW184,$E$6:SEW$6,HL$7,$E$5:SEW$5,12)</f>
        <v>131.24725462999999</v>
      </c>
      <c r="HM184" s="960">
        <f>+SUMIFS($E184:SEX184,$E$6:SEX$6,HM$7,$E$5:SEX$5,12)</f>
        <v>9.2900000000000003E-4</v>
      </c>
      <c r="HN184" s="960">
        <f>+SUMIFS($E184:SEY184,$E$6:SEY$6,HN$7,$E$5:SEY$5,12)</f>
        <v>1617.6131723099998</v>
      </c>
      <c r="HO184" s="924"/>
      <c r="HP184" s="924"/>
      <c r="HR184" s="76">
        <v>1.0906182855794428</v>
      </c>
      <c r="HS184" s="76">
        <v>0.24947341257980482</v>
      </c>
      <c r="HT184" s="76">
        <v>0.24947341257980482</v>
      </c>
      <c r="HU184" s="927">
        <f t="shared" si="935"/>
        <v>1.277081473823138</v>
      </c>
      <c r="HV184" s="927">
        <f t="shared" si="936"/>
        <v>-6.9213854524641905E-2</v>
      </c>
      <c r="HW184" s="927">
        <f t="shared" si="937"/>
        <v>1.0659929489378546</v>
      </c>
      <c r="HX184" s="927">
        <f t="shared" si="938"/>
        <v>-0.41298412244044713</v>
      </c>
      <c r="HY184" s="927">
        <f t="shared" si="938"/>
        <v>-0.99999292175670551</v>
      </c>
      <c r="HZ184" s="927">
        <f t="shared" si="938"/>
        <v>1741240.3049623247</v>
      </c>
      <c r="IA184" s="927">
        <f t="shared" si="868"/>
        <v>-1</v>
      </c>
      <c r="IB184" s="76">
        <v>0.24947341257980482</v>
      </c>
      <c r="IC184" s="927">
        <f t="shared" si="869"/>
        <v>-1</v>
      </c>
      <c r="IE184" s="924">
        <v>702.50649999999996</v>
      </c>
      <c r="IF184" s="924">
        <v>702.50649999999996</v>
      </c>
      <c r="IG184" s="924">
        <v>702.50649999999996</v>
      </c>
      <c r="IH184" s="924">
        <f t="shared" si="939"/>
        <v>65.208118479999996</v>
      </c>
      <c r="II184" s="924">
        <f t="shared" si="894"/>
        <v>-8.0473829799999947</v>
      </c>
      <c r="IJ184" s="924">
        <f t="shared" si="895"/>
        <v>115.36282346000002</v>
      </c>
      <c r="IK184" s="924">
        <f t="shared" si="896"/>
        <v>-92.336569330000032</v>
      </c>
      <c r="IL184" s="924">
        <f t="shared" si="870"/>
        <v>-131.24725462999999</v>
      </c>
      <c r="IM184" s="924">
        <v>702.50649999999996</v>
      </c>
      <c r="IN184" s="924">
        <f t="shared" si="871"/>
        <v>-131.24725462999999</v>
      </c>
      <c r="JA184" s="924">
        <f t="shared" si="965"/>
        <v>644.13599999999997</v>
      </c>
      <c r="JB184" s="924">
        <f t="shared" si="965"/>
        <v>1346.6424999999999</v>
      </c>
      <c r="JC184" s="924">
        <f t="shared" si="965"/>
        <v>1682.5939999999998</v>
      </c>
      <c r="JD184" s="924">
        <f t="shared" si="965"/>
        <v>558.43499999999995</v>
      </c>
      <c r="JE184" s="924">
        <f t="shared" si="965"/>
        <v>51.060265000000001</v>
      </c>
      <c r="JF184" s="924">
        <f t="shared" si="965"/>
        <v>116.26838348</v>
      </c>
      <c r="JG184" s="924">
        <f t="shared" si="965"/>
        <v>108.2210005</v>
      </c>
      <c r="JH184" s="924">
        <f t="shared" si="965"/>
        <v>223.58382396000002</v>
      </c>
      <c r="JI184" s="924">
        <f t="shared" si="965"/>
        <v>131.24725462999999</v>
      </c>
      <c r="JJ184" s="924">
        <f t="shared" si="965"/>
        <v>9.2900000000000003E-4</v>
      </c>
      <c r="JK184" s="924">
        <f t="shared" si="965"/>
        <v>1617.6131723099998</v>
      </c>
      <c r="JL184" s="924">
        <f t="shared" si="966"/>
        <v>1617.6131723099998</v>
      </c>
      <c r="JM184" s="924"/>
      <c r="JN184" s="924"/>
      <c r="JP184" s="924">
        <f t="shared" si="897"/>
        <v>0</v>
      </c>
      <c r="JQ184" s="924">
        <f t="shared" si="898"/>
        <v>0</v>
      </c>
      <c r="JR184" s="145"/>
      <c r="JS184" s="76">
        <v>10.311975446579737</v>
      </c>
      <c r="JT184" s="924">
        <v>-313.50627736000001</v>
      </c>
      <c r="JV184" s="973"/>
      <c r="JW184" s="973"/>
      <c r="JY184" s="927">
        <f t="shared" si="925"/>
        <v>0.24947341257980482</v>
      </c>
      <c r="JZ184" s="927">
        <f t="shared" si="926"/>
        <v>-0.66811066721978096</v>
      </c>
      <c r="KA184" s="927">
        <f t="shared" si="927"/>
        <v>-0.90856542838468224</v>
      </c>
      <c r="KB184" s="927">
        <f t="shared" si="928"/>
        <v>1.277081473823138</v>
      </c>
      <c r="KC184" s="927">
        <f t="shared" si="929"/>
        <v>-6.9213854524641905E-2</v>
      </c>
      <c r="KD184" s="927">
        <f t="shared" si="930"/>
        <v>1.0659929489378546</v>
      </c>
      <c r="KE184" s="927">
        <f t="shared" si="931"/>
        <v>-0.41298412244044713</v>
      </c>
      <c r="KF184" s="927">
        <f t="shared" si="932"/>
        <v>-1</v>
      </c>
      <c r="KH184" s="924">
        <f t="shared" si="900"/>
        <v>335.9514999999999</v>
      </c>
      <c r="KI184" s="924">
        <f t="shared" si="901"/>
        <v>-1124.1589999999999</v>
      </c>
      <c r="KJ184" s="924">
        <f t="shared" si="902"/>
        <v>-507.37473499999993</v>
      </c>
      <c r="KK184" s="924">
        <f t="shared" si="903"/>
        <v>65.208118479999996</v>
      </c>
      <c r="KL184" s="924">
        <f t="shared" si="904"/>
        <v>-8.0473829799999947</v>
      </c>
      <c r="KM184" s="924">
        <f t="shared" si="905"/>
        <v>115.36282346000002</v>
      </c>
      <c r="KN184" s="924">
        <f t="shared" si="906"/>
        <v>-92.336569330000032</v>
      </c>
      <c r="KO184" s="924">
        <f t="shared" si="907"/>
        <v>-131.24725462999999</v>
      </c>
      <c r="LB184" s="924">
        <f t="shared" si="967"/>
        <v>644.13599999999997</v>
      </c>
      <c r="LC184" s="924">
        <f t="shared" si="967"/>
        <v>1346.6424999999999</v>
      </c>
      <c r="LD184" s="924">
        <f t="shared" si="967"/>
        <v>1682.5939999999998</v>
      </c>
      <c r="LE184" s="924">
        <f t="shared" si="967"/>
        <v>558.43499999999995</v>
      </c>
      <c r="LF184" s="924">
        <f t="shared" si="967"/>
        <v>51.060265000000001</v>
      </c>
      <c r="LG184" s="924">
        <f t="shared" si="967"/>
        <v>116.26838348</v>
      </c>
      <c r="LH184" s="924">
        <f t="shared" si="967"/>
        <v>108.2210005</v>
      </c>
      <c r="LI184" s="924">
        <f t="shared" si="967"/>
        <v>223.58382396000002</v>
      </c>
      <c r="LJ184" s="924">
        <f t="shared" si="967"/>
        <v>131.24725462999999</v>
      </c>
      <c r="LK184" s="924">
        <f t="shared" si="967"/>
        <v>9.2900000000000003E-4</v>
      </c>
      <c r="LL184" s="924">
        <f t="shared" si="967"/>
        <v>1617.6131723099998</v>
      </c>
      <c r="LM184" s="924">
        <f t="shared" si="967"/>
        <v>1617.6131723099998</v>
      </c>
      <c r="LN184" s="924"/>
      <c r="LO184" s="924"/>
      <c r="LR184" s="76">
        <f t="shared" si="908"/>
        <v>0.24947341257980482</v>
      </c>
      <c r="LS184" s="76">
        <f t="shared" si="909"/>
        <v>-0.66811066721978096</v>
      </c>
      <c r="LT184" s="76">
        <f t="shared" si="910"/>
        <v>-0.90856542838468224</v>
      </c>
      <c r="LU184" s="76">
        <f t="shared" si="911"/>
        <v>1.277081473823138</v>
      </c>
      <c r="LV184" s="76">
        <f t="shared" si="912"/>
        <v>-6.9213854524641905E-2</v>
      </c>
      <c r="LW184" s="76">
        <f t="shared" si="913"/>
        <v>1.0659929489378546</v>
      </c>
      <c r="LX184" s="76">
        <f t="shared" si="963"/>
        <v>-1</v>
      </c>
      <c r="LZ184" s="924">
        <f t="shared" si="914"/>
        <v>335.9514999999999</v>
      </c>
      <c r="MA184" s="924">
        <f t="shared" si="915"/>
        <v>-1124.1589999999999</v>
      </c>
      <c r="MB184" s="924">
        <f t="shared" si="916"/>
        <v>-507.37473499999993</v>
      </c>
      <c r="MC184" s="924">
        <f t="shared" si="917"/>
        <v>65.208118479999996</v>
      </c>
      <c r="MD184" s="924">
        <f t="shared" si="918"/>
        <v>-8.0473829799999947</v>
      </c>
      <c r="ME184" s="924">
        <f t="shared" si="919"/>
        <v>115.36282346000002</v>
      </c>
      <c r="MF184" s="924">
        <f t="shared" si="964"/>
        <v>-223.58382396000002</v>
      </c>
    </row>
    <row r="185" spans="1:354" outlineLevel="2">
      <c r="A185" s="884">
        <v>2365</v>
      </c>
      <c r="B185" s="70" t="s">
        <v>740</v>
      </c>
      <c r="D185" s="31"/>
      <c r="E185" s="102">
        <v>72.988</v>
      </c>
      <c r="F185" s="102">
        <v>50.018000000000001</v>
      </c>
      <c r="G185" s="102">
        <v>60.145000000000003</v>
      </c>
      <c r="H185" s="102">
        <v>72.826999999999998</v>
      </c>
      <c r="I185" s="102">
        <v>52.545000000000002</v>
      </c>
      <c r="J185" s="102">
        <v>102.96599999999999</v>
      </c>
      <c r="K185" s="102">
        <v>56.232999999999997</v>
      </c>
      <c r="L185" s="102">
        <v>60.204999999999998</v>
      </c>
      <c r="M185" s="102">
        <v>51</v>
      </c>
      <c r="N185" s="102">
        <v>59.411999999999999</v>
      </c>
      <c r="O185" s="102">
        <v>106.917</v>
      </c>
      <c r="P185" s="102">
        <v>89.494</v>
      </c>
      <c r="Q185" s="102">
        <v>76.718000000000004</v>
      </c>
      <c r="R185" s="102">
        <v>60.927999999999997</v>
      </c>
      <c r="S185" s="102">
        <v>60.237000000000002</v>
      </c>
      <c r="T185" s="102">
        <v>73.484999999999999</v>
      </c>
      <c r="U185" s="102">
        <v>75.055000000000007</v>
      </c>
      <c r="V185" s="102">
        <v>71.162999999999997</v>
      </c>
      <c r="W185" s="102">
        <v>46.738</v>
      </c>
      <c r="X185" s="102">
        <v>76.822000000000003</v>
      </c>
      <c r="Y185" s="102">
        <v>47.673000000000002</v>
      </c>
      <c r="Z185" s="102">
        <v>65.367999999999995</v>
      </c>
      <c r="AA185" s="102">
        <v>58.338000000000001</v>
      </c>
      <c r="AB185" s="102">
        <v>70.015000000000001</v>
      </c>
      <c r="AC185" s="102">
        <v>48.286999999999999</v>
      </c>
      <c r="AD185" s="102">
        <v>55.334000000000003</v>
      </c>
      <c r="AE185" s="102">
        <v>51.256</v>
      </c>
      <c r="AF185" s="102">
        <v>83.739000000000004</v>
      </c>
      <c r="AG185" s="102">
        <v>82.352000000000004</v>
      </c>
      <c r="AH185" s="102">
        <v>52.465000000000003</v>
      </c>
      <c r="AI185" s="102">
        <v>60.673000000000002</v>
      </c>
      <c r="AJ185" s="102">
        <v>80.531000000000006</v>
      </c>
      <c r="AK185" s="102">
        <v>70.662000000000006</v>
      </c>
      <c r="AL185" s="102">
        <v>61.512999999999998</v>
      </c>
      <c r="AM185" s="102">
        <v>0</v>
      </c>
      <c r="AN185" s="102">
        <v>143.261</v>
      </c>
      <c r="AO185" s="102">
        <v>83.470441370000003</v>
      </c>
      <c r="AP185" s="145">
        <v>0.62170473999999998</v>
      </c>
      <c r="AQ185" s="143">
        <v>-2.25349866</v>
      </c>
      <c r="AR185" s="143">
        <v>29.81010478</v>
      </c>
      <c r="AS185" s="102">
        <v>78.382963219999993</v>
      </c>
      <c r="AT185" s="102">
        <v>60.688178499999999</v>
      </c>
      <c r="AU185" s="102">
        <v>106.43299186</v>
      </c>
      <c r="AV185" s="102">
        <v>63.752228299999999</v>
      </c>
      <c r="AW185" s="102">
        <v>84.307143230000008</v>
      </c>
      <c r="AX185" s="102">
        <v>67.013063380000006</v>
      </c>
      <c r="AY185" s="102">
        <v>71.394006869999998</v>
      </c>
      <c r="AZ185" s="102">
        <v>61.211385440000001</v>
      </c>
      <c r="BA185" s="102">
        <v>37.44102754</v>
      </c>
      <c r="BB185" s="102">
        <v>39.00288493</v>
      </c>
      <c r="BC185" s="102">
        <v>31.935546219999999</v>
      </c>
      <c r="BD185" s="102">
        <v>25.680876050000002</v>
      </c>
      <c r="BE185" s="102">
        <v>18.044286710000002</v>
      </c>
      <c r="BF185" s="102">
        <v>26.450300890000001</v>
      </c>
      <c r="BG185" s="102">
        <v>17.722752</v>
      </c>
      <c r="BH185" s="102">
        <v>23.42829703</v>
      </c>
      <c r="BI185" s="102">
        <v>20.381144859999999</v>
      </c>
      <c r="BJ185" s="102">
        <v>19.520821309999999</v>
      </c>
      <c r="BK185" s="102">
        <v>24.390340780000002</v>
      </c>
      <c r="BL185" s="102">
        <v>61.313670569999999</v>
      </c>
      <c r="BM185" s="145">
        <v>38.316666869999999</v>
      </c>
      <c r="BN185" s="102">
        <v>36.039250060000001</v>
      </c>
      <c r="BO185" s="102">
        <v>57.694406610000001</v>
      </c>
      <c r="BP185" s="102">
        <v>44.293233479999998</v>
      </c>
      <c r="BQ185" s="102">
        <v>35.995865780000003</v>
      </c>
      <c r="BR185" s="102">
        <v>17.97339419</v>
      </c>
      <c r="BS185" s="102">
        <v>31.880884699999999</v>
      </c>
      <c r="BT185" s="102">
        <v>35.835466429999997</v>
      </c>
      <c r="BU185" s="102">
        <v>30.70581984</v>
      </c>
      <c r="BV185" s="102">
        <v>36.935808049999999</v>
      </c>
      <c r="BW185" s="102">
        <v>38.73271613</v>
      </c>
      <c r="BX185" s="102">
        <v>1.2618000000000002E-4</v>
      </c>
      <c r="BY185" s="102">
        <v>1.3937000000000002E-4</v>
      </c>
      <c r="BZ185" s="102">
        <v>38.88980583</v>
      </c>
      <c r="CA185" s="102">
        <v>35.974842259999996</v>
      </c>
      <c r="CB185" s="102">
        <v>33.567850719999996</v>
      </c>
      <c r="CC185" s="102">
        <v>29.40620646</v>
      </c>
      <c r="CD185" s="102">
        <v>34.83678243</v>
      </c>
      <c r="CE185" s="102">
        <v>42.259602700000002</v>
      </c>
      <c r="CF185" s="102">
        <v>49.522460299999999</v>
      </c>
      <c r="CG185" s="102">
        <v>41.559078720000002</v>
      </c>
      <c r="CH185" s="102">
        <v>49.326557399999999</v>
      </c>
      <c r="CI185" s="102">
        <v>57.970514139999999</v>
      </c>
      <c r="CJ185" s="102">
        <v>0</v>
      </c>
      <c r="CK185" s="102">
        <v>0</v>
      </c>
      <c r="CL185" s="102">
        <v>-4.9999999999999998E-7</v>
      </c>
      <c r="CM185" s="102">
        <v>0</v>
      </c>
      <c r="CN185" s="102">
        <v>-8.1000000000000008E-7</v>
      </c>
      <c r="CO185" s="102">
        <v>0</v>
      </c>
      <c r="CP185" s="102">
        <v>-2E-8</v>
      </c>
      <c r="CQ185" s="102">
        <v>5.0000000000000004E-8</v>
      </c>
      <c r="CR185" s="102">
        <v>5.0000000000000004E-8</v>
      </c>
      <c r="CS185" s="102">
        <v>5.5399999999999998E-5</v>
      </c>
      <c r="CT185" s="102">
        <v>5.5829999999999999E-5</v>
      </c>
      <c r="CU185" s="102">
        <v>4.8680000000000001E-5</v>
      </c>
      <c r="CV185" s="102">
        <v>5.5720000000000002E-5</v>
      </c>
      <c r="CW185" s="102">
        <v>5.5720000000000002E-5</v>
      </c>
      <c r="CX185" s="102">
        <v>5.5720000000000002E-5</v>
      </c>
      <c r="CY185" s="102">
        <v>0</v>
      </c>
      <c r="CZ185" s="102">
        <v>0</v>
      </c>
      <c r="DA185" s="102">
        <v>2E-8</v>
      </c>
      <c r="DB185" s="102">
        <v>0</v>
      </c>
      <c r="DC185" s="102">
        <v>0</v>
      </c>
      <c r="DD185" s="102">
        <v>0</v>
      </c>
      <c r="DE185" s="102">
        <v>-4.0000000000000003E-7</v>
      </c>
      <c r="DF185" s="102">
        <v>0</v>
      </c>
      <c r="DG185" s="102">
        <v>0</v>
      </c>
      <c r="DH185" s="102">
        <v>0</v>
      </c>
      <c r="DI185" s="102">
        <v>0</v>
      </c>
      <c r="DJ185" s="102">
        <v>0</v>
      </c>
      <c r="DK185" s="102">
        <v>0</v>
      </c>
      <c r="DL185" s="102">
        <v>0</v>
      </c>
      <c r="DM185" s="102">
        <v>0</v>
      </c>
      <c r="DN185" s="102">
        <v>0</v>
      </c>
      <c r="DO185" s="102">
        <v>0</v>
      </c>
      <c r="DP185" s="102">
        <v>0</v>
      </c>
      <c r="DQ185" s="940">
        <v>0</v>
      </c>
      <c r="DR185" s="940">
        <v>0</v>
      </c>
      <c r="DS185" s="940">
        <v>0</v>
      </c>
      <c r="DT185" s="940">
        <v>0</v>
      </c>
      <c r="DU185" s="940">
        <v>0</v>
      </c>
      <c r="DV185" s="940">
        <v>0</v>
      </c>
      <c r="DW185" s="940">
        <v>0</v>
      </c>
      <c r="DX185" s="940">
        <v>0</v>
      </c>
      <c r="DY185" s="940">
        <v>0</v>
      </c>
      <c r="DZ185" s="940">
        <v>0</v>
      </c>
      <c r="EA185" s="940">
        <v>0</v>
      </c>
      <c r="EB185" s="940">
        <v>0</v>
      </c>
      <c r="EC185" s="940">
        <v>0</v>
      </c>
      <c r="ED185" s="940">
        <v>0</v>
      </c>
      <c r="EE185" s="940">
        <v>0</v>
      </c>
      <c r="EF185" s="940">
        <v>0</v>
      </c>
      <c r="EG185" s="145"/>
      <c r="EH185" s="102">
        <v>5.5720000000000002E-5</v>
      </c>
      <c r="EI185" s="102">
        <v>5.5720000000000002E-5</v>
      </c>
      <c r="EJ185" s="102">
        <v>0</v>
      </c>
      <c r="EK185" s="102">
        <v>0</v>
      </c>
      <c r="EL185" s="102">
        <v>2E-8</v>
      </c>
      <c r="EM185" s="102">
        <v>0</v>
      </c>
      <c r="EN185" s="102">
        <v>8.3882157386076006</v>
      </c>
      <c r="EO185" s="102">
        <v>7.6645482626075996</v>
      </c>
      <c r="EP185" s="102">
        <v>7.7821273466076004</v>
      </c>
      <c r="EQ185" s="102">
        <v>7.6669014806076001</v>
      </c>
      <c r="ER185" s="102">
        <v>7.6699873466076003</v>
      </c>
      <c r="ES185" s="102">
        <v>8.2868247146076008</v>
      </c>
      <c r="EU185" s="102">
        <v>22.682660134129144</v>
      </c>
      <c r="EV185" s="102">
        <v>17.688585552324046</v>
      </c>
      <c r="EW185" s="102">
        <v>20.832271413532052</v>
      </c>
      <c r="EX185" s="102">
        <v>19.650798166020934</v>
      </c>
      <c r="EY185" s="102">
        <v>17.62456978071409</v>
      </c>
      <c r="EZ185" s="102">
        <v>18.655841202443348</v>
      </c>
      <c r="FA185" s="102">
        <v>23.18275753764193</v>
      </c>
      <c r="FB185" s="102">
        <v>24.004920428146082</v>
      </c>
      <c r="FC185" s="102">
        <v>22.410071894438087</v>
      </c>
      <c r="FD185" s="102">
        <v>23.529117585030036</v>
      </c>
      <c r="FE185" s="102">
        <v>22.400699702281486</v>
      </c>
      <c r="FF185" s="102">
        <v>30.111552037990407</v>
      </c>
      <c r="FG185" s="102">
        <v>28.379357690022413</v>
      </c>
      <c r="FH185" s="102">
        <v>42.263382727454655</v>
      </c>
      <c r="FI185" s="102">
        <v>43.386696715138129</v>
      </c>
      <c r="FJ185" s="102">
        <v>43.977651029041148</v>
      </c>
      <c r="FK185" s="102">
        <v>40.532488502514873</v>
      </c>
      <c r="FL185" s="102">
        <v>48.846587693556614</v>
      </c>
      <c r="FM185" s="102">
        <v>49.780570498565524</v>
      </c>
      <c r="FN185" s="102">
        <v>50.751164623922215</v>
      </c>
      <c r="FO185" s="102">
        <v>53.390850221738674</v>
      </c>
      <c r="FP185" s="102">
        <v>51.639352736463316</v>
      </c>
      <c r="FQ185" s="102">
        <v>49.150863402210305</v>
      </c>
      <c r="FR185" s="102">
        <v>39.368261870835106</v>
      </c>
      <c r="FS185" s="102">
        <v>31.108672228972871</v>
      </c>
      <c r="FT185" s="102">
        <v>30.305597502305442</v>
      </c>
      <c r="FU185" s="102">
        <v>31.681587586724458</v>
      </c>
      <c r="FV185" s="102">
        <v>28.584331020516743</v>
      </c>
      <c r="FW185" s="102">
        <v>30.744973434949902</v>
      </c>
      <c r="FX185" s="102">
        <v>26.088793381875842</v>
      </c>
      <c r="FY185" s="102">
        <v>29.488162227039886</v>
      </c>
      <c r="FZ185" s="102">
        <v>24.19215698217808</v>
      </c>
      <c r="GA185" s="102">
        <v>21.199782157298081</v>
      </c>
      <c r="GB185" s="102">
        <v>20.143197229298082</v>
      </c>
      <c r="GC185" s="102">
        <v>20.887988066061762</v>
      </c>
      <c r="GD185" s="102">
        <v>21.268859102061761</v>
      </c>
      <c r="GE185" s="102">
        <v>0</v>
      </c>
      <c r="GF185" s="102">
        <v>0</v>
      </c>
      <c r="GG185" s="102">
        <v>0</v>
      </c>
      <c r="GH185" s="102">
        <v>0</v>
      </c>
      <c r="GI185" s="102">
        <v>0</v>
      </c>
      <c r="GJ185" s="102">
        <v>0</v>
      </c>
      <c r="GK185" s="102">
        <v>0</v>
      </c>
      <c r="GL185" s="102">
        <v>0</v>
      </c>
      <c r="GM185" s="102">
        <v>0</v>
      </c>
      <c r="GN185" s="102">
        <v>0</v>
      </c>
      <c r="GO185" s="102">
        <v>0</v>
      </c>
      <c r="GP185" s="102">
        <v>0</v>
      </c>
      <c r="GQ185" s="102">
        <v>0</v>
      </c>
      <c r="GR185" s="102">
        <v>0</v>
      </c>
      <c r="GS185" s="102">
        <v>0</v>
      </c>
      <c r="GT185" s="102">
        <v>0</v>
      </c>
      <c r="GU185" s="102">
        <v>0</v>
      </c>
      <c r="GV185" s="102">
        <v>0</v>
      </c>
      <c r="GW185" s="102">
        <v>0</v>
      </c>
      <c r="GX185" s="102">
        <v>0</v>
      </c>
      <c r="GY185" s="102">
        <v>0</v>
      </c>
      <c r="GZ185" s="102">
        <v>0</v>
      </c>
      <c r="HA185" s="102">
        <v>0</v>
      </c>
      <c r="HB185" s="102">
        <v>0</v>
      </c>
      <c r="HD185" s="102">
        <v>89.494</v>
      </c>
      <c r="HE185" s="102">
        <v>70.015000000000001</v>
      </c>
      <c r="HF185" s="102">
        <v>143.261</v>
      </c>
      <c r="HG185" s="102">
        <v>0</v>
      </c>
      <c r="HH185" s="102">
        <f t="shared" si="890"/>
        <v>61.313670569999999</v>
      </c>
      <c r="HI185" s="102">
        <f t="shared" si="891"/>
        <v>1.2618000000000002E-4</v>
      </c>
      <c r="HJ185" s="102">
        <f t="shared" si="961"/>
        <v>0</v>
      </c>
      <c r="HK185" s="102">
        <f t="shared" si="962"/>
        <v>5.5720000000000002E-5</v>
      </c>
      <c r="HL185" s="940">
        <f>+SUMIFS($E185:SEW185,$E$6:SEW$6,HL$7,$E$5:SEW$5,12)</f>
        <v>0</v>
      </c>
      <c r="HM185" s="940">
        <f>+SUMIFS($E185:SEX185,$E$6:SEX$6,HM$7,$E$5:SEX$5,12)</f>
        <v>0</v>
      </c>
      <c r="HN185" s="940">
        <f>+SUMIFS($E185:SEY185,$E$6:SEY$6,HN$7,$E$5:SEY$5,12)</f>
        <v>0</v>
      </c>
      <c r="HO185" s="102"/>
      <c r="HP185" s="102"/>
      <c r="HR185" s="32">
        <v>-0.21765704963461241</v>
      </c>
      <c r="HS185" s="32">
        <v>1.0461472541598229</v>
      </c>
      <c r="HT185" s="32">
        <v>1.0461472541598229</v>
      </c>
      <c r="HU185" s="929">
        <f t="shared" si="935"/>
        <v>-0.99999794205763859</v>
      </c>
      <c r="HV185" s="929">
        <f t="shared" si="936"/>
        <v>-1</v>
      </c>
      <c r="HW185" s="929" t="str">
        <f t="shared" si="937"/>
        <v/>
      </c>
      <c r="HX185" s="929">
        <f t="shared" si="938"/>
        <v>-1</v>
      </c>
      <c r="HY185" s="929" t="str">
        <f t="shared" si="938"/>
        <v/>
      </c>
      <c r="HZ185" s="929" t="str">
        <f t="shared" si="938"/>
        <v/>
      </c>
      <c r="IA185" s="929" t="str">
        <f t="shared" si="868"/>
        <v/>
      </c>
      <c r="IB185" s="32">
        <v>1.0461472541598229</v>
      </c>
      <c r="IC185" s="929" t="str">
        <f t="shared" si="869"/>
        <v/>
      </c>
      <c r="IE185" s="102">
        <v>-19.478999999999999</v>
      </c>
      <c r="IF185" s="102">
        <v>-19.478999999999999</v>
      </c>
      <c r="IG185" s="102">
        <v>-19.478999999999999</v>
      </c>
      <c r="IH185" s="102">
        <f t="shared" si="939"/>
        <v>-61.313544389999997</v>
      </c>
      <c r="II185" s="102">
        <f t="shared" si="894"/>
        <v>-1.2618000000000002E-4</v>
      </c>
      <c r="IJ185" s="102">
        <f t="shared" si="895"/>
        <v>5.5720000000000002E-5</v>
      </c>
      <c r="IK185" s="102">
        <f t="shared" si="896"/>
        <v>-5.5720000000000002E-5</v>
      </c>
      <c r="IL185" s="102">
        <f t="shared" si="870"/>
        <v>0</v>
      </c>
      <c r="IM185" s="102">
        <v>-19.478999999999999</v>
      </c>
      <c r="IN185" s="102">
        <f t="shared" si="871"/>
        <v>0</v>
      </c>
      <c r="JA185" s="102">
        <f t="shared" si="965"/>
        <v>89.494</v>
      </c>
      <c r="JB185" s="102">
        <f t="shared" si="965"/>
        <v>70.015000000000001</v>
      </c>
      <c r="JC185" s="102">
        <f t="shared" si="965"/>
        <v>143.261</v>
      </c>
      <c r="JD185" s="102">
        <f t="shared" si="965"/>
        <v>61.211385440000001</v>
      </c>
      <c r="JE185" s="102">
        <f t="shared" si="965"/>
        <v>61.313670569999999</v>
      </c>
      <c r="JF185" s="102">
        <f t="shared" si="965"/>
        <v>1.2618000000000002E-4</v>
      </c>
      <c r="JG185" s="102">
        <f t="shared" si="965"/>
        <v>0</v>
      </c>
      <c r="JH185" s="102">
        <f t="shared" si="965"/>
        <v>5.5720000000000002E-5</v>
      </c>
      <c r="JI185" s="102">
        <f t="shared" si="965"/>
        <v>0</v>
      </c>
      <c r="JJ185" s="102">
        <f t="shared" si="965"/>
        <v>0</v>
      </c>
      <c r="JK185" s="102">
        <f t="shared" si="965"/>
        <v>0</v>
      </c>
      <c r="JL185" s="102">
        <f t="shared" si="966"/>
        <v>0</v>
      </c>
      <c r="JM185" s="102"/>
      <c r="JN185" s="102"/>
      <c r="JP185" s="102">
        <f t="shared" si="897"/>
        <v>0</v>
      </c>
      <c r="JQ185" s="102">
        <f t="shared" si="898"/>
        <v>0</v>
      </c>
      <c r="JR185" s="145"/>
      <c r="JS185" s="32">
        <v>0</v>
      </c>
      <c r="JT185" s="102">
        <v>-51.256</v>
      </c>
      <c r="JV185" s="973"/>
      <c r="JW185" s="973"/>
      <c r="JY185" s="929">
        <f t="shared" si="925"/>
        <v>1.0461472541598229</v>
      </c>
      <c r="JZ185" s="929">
        <f t="shared" si="926"/>
        <v>-0.57272819930057728</v>
      </c>
      <c r="KA185" s="929">
        <f t="shared" si="927"/>
        <v>1.6710147836835887E-3</v>
      </c>
      <c r="KB185" s="929">
        <f t="shared" si="928"/>
        <v>-0.99999794205763859</v>
      </c>
      <c r="KC185" s="929">
        <f t="shared" si="929"/>
        <v>-1</v>
      </c>
      <c r="KD185" s="929" t="str">
        <f t="shared" si="930"/>
        <v/>
      </c>
      <c r="KE185" s="929">
        <f t="shared" si="931"/>
        <v>-1</v>
      </c>
      <c r="KF185" s="929" t="str">
        <f t="shared" si="932"/>
        <v/>
      </c>
      <c r="KH185" s="102">
        <f t="shared" si="900"/>
        <v>73.245999999999995</v>
      </c>
      <c r="KI185" s="102">
        <f t="shared" si="901"/>
        <v>-82.049614559999995</v>
      </c>
      <c r="KJ185" s="102">
        <f t="shared" si="902"/>
        <v>0.1022851299999985</v>
      </c>
      <c r="KK185" s="102">
        <f t="shared" si="903"/>
        <v>-61.313544389999997</v>
      </c>
      <c r="KL185" s="102">
        <f t="shared" si="904"/>
        <v>-1.2618000000000002E-4</v>
      </c>
      <c r="KM185" s="102">
        <f t="shared" si="905"/>
        <v>5.5720000000000002E-5</v>
      </c>
      <c r="KN185" s="102">
        <f t="shared" si="906"/>
        <v>-5.5720000000000002E-5</v>
      </c>
      <c r="KO185" s="102">
        <f t="shared" si="907"/>
        <v>0</v>
      </c>
      <c r="LB185" s="102">
        <f t="shared" si="967"/>
        <v>89.494</v>
      </c>
      <c r="LC185" s="102">
        <f t="shared" si="967"/>
        <v>70.015000000000001</v>
      </c>
      <c r="LD185" s="102">
        <f t="shared" si="967"/>
        <v>143.261</v>
      </c>
      <c r="LE185" s="102">
        <f t="shared" si="967"/>
        <v>61.211385440000001</v>
      </c>
      <c r="LF185" s="102">
        <f t="shared" si="967"/>
        <v>61.313670569999999</v>
      </c>
      <c r="LG185" s="102">
        <f t="shared" si="967"/>
        <v>1.2618000000000002E-4</v>
      </c>
      <c r="LH185" s="102">
        <f t="shared" si="967"/>
        <v>0</v>
      </c>
      <c r="LI185" s="102">
        <f t="shared" si="967"/>
        <v>5.5720000000000002E-5</v>
      </c>
      <c r="LJ185" s="102">
        <f t="shared" si="967"/>
        <v>0</v>
      </c>
      <c r="LK185" s="102">
        <f t="shared" si="967"/>
        <v>0</v>
      </c>
      <c r="LL185" s="102">
        <f t="shared" si="967"/>
        <v>0</v>
      </c>
      <c r="LM185" s="102">
        <f t="shared" si="967"/>
        <v>0</v>
      </c>
      <c r="LN185" s="102"/>
      <c r="LO185" s="102"/>
      <c r="LR185" s="32">
        <f t="shared" si="908"/>
        <v>1.0461472541598229</v>
      </c>
      <c r="LS185" s="32">
        <f t="shared" si="909"/>
        <v>-0.57272819930057728</v>
      </c>
      <c r="LT185" s="32">
        <f t="shared" si="910"/>
        <v>1.6710147836835887E-3</v>
      </c>
      <c r="LU185" s="32">
        <f t="shared" si="911"/>
        <v>-0.99999794205763859</v>
      </c>
      <c r="LV185" s="32">
        <f t="shared" si="912"/>
        <v>-1</v>
      </c>
      <c r="LW185" s="32" t="str">
        <f t="shared" si="913"/>
        <v xml:space="preserve"> </v>
      </c>
      <c r="LX185" s="32">
        <f t="shared" si="963"/>
        <v>-1</v>
      </c>
      <c r="LZ185" s="102">
        <f t="shared" si="914"/>
        <v>73.245999999999995</v>
      </c>
      <c r="MA185" s="102">
        <f t="shared" si="915"/>
        <v>-82.049614559999995</v>
      </c>
      <c r="MB185" s="102">
        <f t="shared" si="916"/>
        <v>0.1022851299999985</v>
      </c>
      <c r="MC185" s="102">
        <f t="shared" si="917"/>
        <v>-61.313544389999997</v>
      </c>
      <c r="MD185" s="102">
        <f t="shared" si="918"/>
        <v>-1.2618000000000002E-4</v>
      </c>
      <c r="ME185" s="102">
        <f t="shared" si="919"/>
        <v>5.5720000000000002E-5</v>
      </c>
      <c r="MF185" s="102">
        <f t="shared" si="964"/>
        <v>-5.5720000000000002E-5</v>
      </c>
    </row>
    <row r="186" spans="1:354" outlineLevel="2">
      <c r="A186" s="884">
        <v>2367</v>
      </c>
      <c r="B186" s="70" t="s">
        <v>741</v>
      </c>
      <c r="D186" s="31"/>
      <c r="E186" s="102">
        <v>1.3140000000000001</v>
      </c>
      <c r="F186" s="102">
        <v>2.8580000000000001</v>
      </c>
      <c r="G186" s="102">
        <v>4.2460000000000004</v>
      </c>
      <c r="H186" s="102">
        <v>5.1840000000000002</v>
      </c>
      <c r="I186" s="102">
        <v>2.645</v>
      </c>
      <c r="J186" s="102">
        <v>4.673</v>
      </c>
      <c r="K186" s="102">
        <v>2.3130000000000002</v>
      </c>
      <c r="L186" s="102">
        <v>6.6849999999999996</v>
      </c>
      <c r="M186" s="102">
        <v>7.5339999999999998</v>
      </c>
      <c r="N186" s="102">
        <v>11.772</v>
      </c>
      <c r="O186" s="102">
        <v>3.1379999999999999</v>
      </c>
      <c r="P186" s="102">
        <v>4.5229999999999997</v>
      </c>
      <c r="Q186" s="102">
        <v>0.442</v>
      </c>
      <c r="R186" s="102">
        <v>0.66700000000000004</v>
      </c>
      <c r="S186" s="102">
        <v>0.84499999999999997</v>
      </c>
      <c r="T186" s="102">
        <v>0.81899999999999995</v>
      </c>
      <c r="U186" s="102">
        <v>3.63</v>
      </c>
      <c r="V186" s="102">
        <v>2.246</v>
      </c>
      <c r="W186" s="102">
        <v>0.94399999999999995</v>
      </c>
      <c r="X186" s="102">
        <v>2.0449999999999999</v>
      </c>
      <c r="Y186" s="102">
        <v>1.3540000000000001</v>
      </c>
      <c r="Z186" s="102">
        <v>4.0720000000000001</v>
      </c>
      <c r="AA186" s="102">
        <v>4.2190000000000003</v>
      </c>
      <c r="AB186" s="102">
        <v>4.6399999999999997</v>
      </c>
      <c r="AC186" s="102">
        <v>1.8736000000000002</v>
      </c>
      <c r="AD186" s="102">
        <v>9.0676000000000005</v>
      </c>
      <c r="AE186" s="102">
        <v>7.1655999999999995</v>
      </c>
      <c r="AF186" s="102">
        <v>5.7380000000000004</v>
      </c>
      <c r="AG186" s="102">
        <v>8.9589999999999996</v>
      </c>
      <c r="AH186" s="102">
        <v>5.0490000000000004</v>
      </c>
      <c r="AI186" s="102">
        <v>8.6229999999999993</v>
      </c>
      <c r="AJ186" s="102">
        <v>7.3470000000000004</v>
      </c>
      <c r="AK186" s="102">
        <v>7.0670000000000002</v>
      </c>
      <c r="AL186" s="102">
        <v>10.101000000000001</v>
      </c>
      <c r="AM186" s="102">
        <v>0</v>
      </c>
      <c r="AN186" s="102">
        <v>28.916</v>
      </c>
      <c r="AO186" s="102">
        <v>11.22399785</v>
      </c>
      <c r="AP186" s="145">
        <v>0.21931701000000001</v>
      </c>
      <c r="AQ186" s="143">
        <v>0</v>
      </c>
      <c r="AR186" s="143">
        <v>8.6000000000000002E-7</v>
      </c>
      <c r="AS186" s="102">
        <v>10.02984451</v>
      </c>
      <c r="AT186" s="102">
        <v>8.7272421700000002</v>
      </c>
      <c r="AU186" s="102">
        <v>3.2</v>
      </c>
      <c r="AV186" s="102">
        <v>5.7767614000000007</v>
      </c>
      <c r="AW186" s="102">
        <v>4.3036639900000004</v>
      </c>
      <c r="AX186" s="102">
        <v>7.6604675899999997</v>
      </c>
      <c r="AY186" s="102">
        <v>3.74913016</v>
      </c>
      <c r="AZ186" s="102">
        <v>3.6110000000000002</v>
      </c>
      <c r="BA186" s="102">
        <v>3.2984082200000002</v>
      </c>
      <c r="BB186" s="102">
        <v>4.0279999999999996</v>
      </c>
      <c r="BC186" s="102">
        <v>1.6852694699999999</v>
      </c>
      <c r="BD186" s="102">
        <v>3.26955361</v>
      </c>
      <c r="BE186" s="102">
        <v>5.12664103</v>
      </c>
      <c r="BF186" s="102">
        <v>0.76897486000000004</v>
      </c>
      <c r="BG186" s="102">
        <v>0.61199285999999997</v>
      </c>
      <c r="BH186" s="102">
        <v>0.32182304</v>
      </c>
      <c r="BI186" s="102">
        <v>1.3951886299999998</v>
      </c>
      <c r="BJ186" s="102">
        <v>1.0443358</v>
      </c>
      <c r="BK186" s="102">
        <v>1.4286259699999999</v>
      </c>
      <c r="BL186" s="102">
        <v>2.8252226899999999</v>
      </c>
      <c r="BM186" s="145">
        <v>2.9863946100000001</v>
      </c>
      <c r="BN186" s="102">
        <v>3.1154171800000001</v>
      </c>
      <c r="BO186" s="102">
        <v>17.313212119999999</v>
      </c>
      <c r="BP186" s="102">
        <v>5.5116836300000003</v>
      </c>
      <c r="BQ186" s="102">
        <v>4.4280961599999999</v>
      </c>
      <c r="BR186" s="102">
        <v>3.4586138900000001</v>
      </c>
      <c r="BS186" s="102">
        <v>3.0014367900000001</v>
      </c>
      <c r="BT186" s="102">
        <v>2.86938906</v>
      </c>
      <c r="BU186" s="102">
        <v>3.5914275400000002</v>
      </c>
      <c r="BV186" s="102">
        <v>3.9161581499999998</v>
      </c>
      <c r="BW186" s="102">
        <v>3.6947588900000001</v>
      </c>
      <c r="BX186" s="102">
        <v>1.4999999999999999E-7</v>
      </c>
      <c r="BY186" s="102">
        <v>1.4999999999999999E-7</v>
      </c>
      <c r="BZ186" s="102">
        <v>7.5223014500000005</v>
      </c>
      <c r="CA186" s="102">
        <v>6.7665044000000005</v>
      </c>
      <c r="CB186" s="102">
        <v>3.1179111000000002</v>
      </c>
      <c r="CC186" s="102">
        <v>5.0101452499999999</v>
      </c>
      <c r="CD186" s="102">
        <v>2.8790702700000002</v>
      </c>
      <c r="CE186" s="102">
        <v>4.5707628600000003</v>
      </c>
      <c r="CF186" s="102">
        <v>5.3994509100000005</v>
      </c>
      <c r="CG186" s="102">
        <v>6.48871208</v>
      </c>
      <c r="CH186" s="102">
        <v>8.5799794700000014</v>
      </c>
      <c r="CI186" s="102">
        <v>7.5635404800000003</v>
      </c>
      <c r="CJ186" s="102">
        <v>0</v>
      </c>
      <c r="CK186" s="102">
        <v>0</v>
      </c>
      <c r="CL186" s="102">
        <v>0</v>
      </c>
      <c r="CM186" s="102">
        <v>0</v>
      </c>
      <c r="CN186" s="102">
        <v>0</v>
      </c>
      <c r="CO186" s="102">
        <v>0</v>
      </c>
      <c r="CP186" s="102">
        <v>0</v>
      </c>
      <c r="CQ186" s="102">
        <v>0</v>
      </c>
      <c r="CR186" s="102">
        <v>0</v>
      </c>
      <c r="CS186" s="102">
        <v>0</v>
      </c>
      <c r="CT186" s="102">
        <v>0</v>
      </c>
      <c r="CU186" s="102">
        <v>0</v>
      </c>
      <c r="CV186" s="102">
        <v>0</v>
      </c>
      <c r="CW186" s="102">
        <v>0</v>
      </c>
      <c r="CX186" s="102">
        <v>0</v>
      </c>
      <c r="CY186" s="102">
        <v>0</v>
      </c>
      <c r="CZ186" s="102">
        <v>0</v>
      </c>
      <c r="DA186" s="102">
        <v>0</v>
      </c>
      <c r="DB186" s="102">
        <v>0</v>
      </c>
      <c r="DC186" s="102">
        <v>0</v>
      </c>
      <c r="DD186" s="102">
        <v>0</v>
      </c>
      <c r="DE186" s="102">
        <v>0</v>
      </c>
      <c r="DF186" s="102">
        <v>0</v>
      </c>
      <c r="DG186" s="102">
        <v>0</v>
      </c>
      <c r="DH186" s="102">
        <v>0</v>
      </c>
      <c r="DI186" s="102">
        <v>0</v>
      </c>
      <c r="DJ186" s="102">
        <v>0</v>
      </c>
      <c r="DK186" s="102">
        <v>0</v>
      </c>
      <c r="DL186" s="102">
        <v>0</v>
      </c>
      <c r="DM186" s="102">
        <v>0</v>
      </c>
      <c r="DN186" s="102">
        <v>0</v>
      </c>
      <c r="DO186" s="102">
        <v>0</v>
      </c>
      <c r="DP186" s="102">
        <v>0</v>
      </c>
      <c r="DQ186" s="940">
        <v>0</v>
      </c>
      <c r="DR186" s="940">
        <v>0</v>
      </c>
      <c r="DS186" s="940">
        <v>0</v>
      </c>
      <c r="DT186" s="940">
        <v>0</v>
      </c>
      <c r="DU186" s="940">
        <v>0</v>
      </c>
      <c r="DV186" s="940">
        <v>0</v>
      </c>
      <c r="DW186" s="940">
        <v>0</v>
      </c>
      <c r="DX186" s="940">
        <v>0</v>
      </c>
      <c r="DY186" s="940">
        <v>0</v>
      </c>
      <c r="DZ186" s="940">
        <v>0</v>
      </c>
      <c r="EA186" s="940">
        <v>0</v>
      </c>
      <c r="EB186" s="940">
        <v>0</v>
      </c>
      <c r="EC186" s="940">
        <v>0</v>
      </c>
      <c r="ED186" s="940">
        <v>0</v>
      </c>
      <c r="EE186" s="940">
        <v>0</v>
      </c>
      <c r="EF186" s="940">
        <v>0</v>
      </c>
      <c r="EG186" s="145"/>
      <c r="EH186" s="102">
        <v>0</v>
      </c>
      <c r="EI186" s="102">
        <v>0</v>
      </c>
      <c r="EJ186" s="102">
        <v>0</v>
      </c>
      <c r="EK186" s="102">
        <v>0</v>
      </c>
      <c r="EL186" s="102">
        <v>0</v>
      </c>
      <c r="EM186" s="102">
        <v>0</v>
      </c>
      <c r="EN186" s="102">
        <v>0.17695504079999999</v>
      </c>
      <c r="EO186" s="102">
        <v>0.13560261359999998</v>
      </c>
      <c r="EP186" s="102">
        <v>0.14232141839999998</v>
      </c>
      <c r="EQ186" s="102">
        <v>0.1357370832</v>
      </c>
      <c r="ER186" s="102">
        <v>0.13591341839999999</v>
      </c>
      <c r="ES186" s="102">
        <v>0.17116126799999998</v>
      </c>
      <c r="EU186" s="102">
        <v>2.9190998697286847</v>
      </c>
      <c r="EV186" s="102">
        <v>5.1954972356523719</v>
      </c>
      <c r="EW186" s="102">
        <v>2.6809677705259487</v>
      </c>
      <c r="EX186" s="102">
        <v>5.2098881893522444</v>
      </c>
      <c r="EY186" s="102">
        <v>2.2681589834120159</v>
      </c>
      <c r="EZ186" s="102">
        <v>4.6690353930440383</v>
      </c>
      <c r="FA186" s="102">
        <v>2.9834589112526246</v>
      </c>
      <c r="FB186" s="102">
        <v>6.0727244418512472</v>
      </c>
      <c r="FC186" s="102">
        <v>2.8840196679240266</v>
      </c>
      <c r="FD186" s="102">
        <v>5.9120526971694769</v>
      </c>
      <c r="FE186" s="102">
        <v>2.88281353227937</v>
      </c>
      <c r="FF186" s="102">
        <v>6.7579598824718188</v>
      </c>
      <c r="FG186" s="102">
        <v>1.7027614614013444</v>
      </c>
      <c r="FH186" s="102">
        <v>2.5358029636472796</v>
      </c>
      <c r="FI186" s="102">
        <v>2.6032018029082873</v>
      </c>
      <c r="FJ186" s="102">
        <v>2.6386590617424686</v>
      </c>
      <c r="FK186" s="102">
        <v>2.4319493101508924</v>
      </c>
      <c r="FL186" s="102">
        <v>2.9307952616133965</v>
      </c>
      <c r="FM186" s="102">
        <v>2.986834229913931</v>
      </c>
      <c r="FN186" s="102">
        <v>3.0450698774353326</v>
      </c>
      <c r="FO186" s="102">
        <v>3.2034510133043201</v>
      </c>
      <c r="FP186" s="102">
        <v>3.0983611641877986</v>
      </c>
      <c r="FQ186" s="102">
        <v>2.9490518041326181</v>
      </c>
      <c r="FR186" s="102">
        <v>2.3620957122501061</v>
      </c>
      <c r="FS186" s="102">
        <v>0.63839181302496395</v>
      </c>
      <c r="FT186" s="102">
        <v>0.62430408464396792</v>
      </c>
      <c r="FU186" s="102">
        <v>0.66633026546791185</v>
      </c>
      <c r="FV186" s="102">
        <v>0.55640689597032789</v>
      </c>
      <c r="FW186" s="102">
        <v>0.62475166479507982</v>
      </c>
      <c r="FX186" s="102">
        <v>0.52448967319084794</v>
      </c>
      <c r="FY186" s="102">
        <v>0.59739551348593589</v>
      </c>
      <c r="FZ186" s="102">
        <v>0.50403118635097588</v>
      </c>
      <c r="GA186" s="102">
        <v>0.40324568321497589</v>
      </c>
      <c r="GB186" s="102">
        <v>0.40622940161497589</v>
      </c>
      <c r="GC186" s="102">
        <v>0.41710887800147195</v>
      </c>
      <c r="GD186" s="102">
        <v>0.4705529372014719</v>
      </c>
      <c r="GE186" s="102">
        <v>0</v>
      </c>
      <c r="GF186" s="102">
        <v>0</v>
      </c>
      <c r="GG186" s="102">
        <v>0</v>
      </c>
      <c r="GH186" s="102">
        <v>0</v>
      </c>
      <c r="GI186" s="102">
        <v>0</v>
      </c>
      <c r="GJ186" s="102">
        <v>0</v>
      </c>
      <c r="GK186" s="102">
        <v>0</v>
      </c>
      <c r="GL186" s="102">
        <v>0</v>
      </c>
      <c r="GM186" s="102">
        <v>0</v>
      </c>
      <c r="GN186" s="102">
        <v>0</v>
      </c>
      <c r="GO186" s="102">
        <v>0</v>
      </c>
      <c r="GP186" s="102">
        <v>0</v>
      </c>
      <c r="GQ186" s="102">
        <v>0</v>
      </c>
      <c r="GR186" s="102">
        <v>0</v>
      </c>
      <c r="GS186" s="102">
        <v>0</v>
      </c>
      <c r="GT186" s="102">
        <v>0</v>
      </c>
      <c r="GU186" s="102">
        <v>0</v>
      </c>
      <c r="GV186" s="102">
        <v>0</v>
      </c>
      <c r="GW186" s="102">
        <v>0</v>
      </c>
      <c r="GX186" s="102">
        <v>0</v>
      </c>
      <c r="GY186" s="102">
        <v>0</v>
      </c>
      <c r="GZ186" s="102">
        <v>0</v>
      </c>
      <c r="HA186" s="102">
        <v>0</v>
      </c>
      <c r="HB186" s="102">
        <v>0</v>
      </c>
      <c r="HD186" s="102">
        <v>4.5229999999999997</v>
      </c>
      <c r="HE186" s="102">
        <v>4.6399999999999997</v>
      </c>
      <c r="HF186" s="102">
        <v>28.916</v>
      </c>
      <c r="HG186" s="102">
        <v>0</v>
      </c>
      <c r="HH186" s="102">
        <f t="shared" si="890"/>
        <v>2.8252226899999999</v>
      </c>
      <c r="HI186" s="102">
        <f t="shared" si="891"/>
        <v>1.4999999999999999E-7</v>
      </c>
      <c r="HJ186" s="102">
        <f t="shared" si="961"/>
        <v>0</v>
      </c>
      <c r="HK186" s="102">
        <f t="shared" si="962"/>
        <v>0</v>
      </c>
      <c r="HL186" s="940">
        <f>+SUMIFS($E186:SEW186,$E$6:SEW$6,HL$7,$E$5:SEW$5,12)</f>
        <v>0</v>
      </c>
      <c r="HM186" s="940">
        <f>+SUMIFS($E186:SEX186,$E$6:SEX$6,HM$7,$E$5:SEX$5,12)</f>
        <v>0</v>
      </c>
      <c r="HN186" s="940">
        <f>+SUMIFS($E186:SEY186,$E$6:SEY$6,HN$7,$E$5:SEY$5,12)</f>
        <v>0</v>
      </c>
      <c r="HO186" s="102"/>
      <c r="HP186" s="102"/>
      <c r="HR186" s="32">
        <v>2.5867786867123543E-2</v>
      </c>
      <c r="HS186" s="32">
        <v>5.2318965517241383</v>
      </c>
      <c r="HT186" s="32">
        <v>5.2318965517241383</v>
      </c>
      <c r="HU186" s="929">
        <f t="shared" si="935"/>
        <v>-0.99999994690684013</v>
      </c>
      <c r="HV186" s="929">
        <f t="shared" si="936"/>
        <v>-1</v>
      </c>
      <c r="HW186" s="929" t="str">
        <f t="shared" si="937"/>
        <v/>
      </c>
      <c r="HX186" s="929" t="str">
        <f t="shared" si="938"/>
        <v/>
      </c>
      <c r="HY186" s="929" t="str">
        <f t="shared" si="938"/>
        <v/>
      </c>
      <c r="HZ186" s="929" t="str">
        <f t="shared" si="938"/>
        <v/>
      </c>
      <c r="IA186" s="929" t="str">
        <f t="shared" si="868"/>
        <v/>
      </c>
      <c r="IB186" s="32">
        <v>5.2318965517241383</v>
      </c>
      <c r="IC186" s="929" t="str">
        <f t="shared" si="869"/>
        <v/>
      </c>
      <c r="IE186" s="102">
        <v>0.11699999999999999</v>
      </c>
      <c r="IF186" s="102">
        <v>0.11699999999999999</v>
      </c>
      <c r="IG186" s="102">
        <v>0.11699999999999999</v>
      </c>
      <c r="IH186" s="102">
        <f t="shared" si="939"/>
        <v>-2.8252225399999999</v>
      </c>
      <c r="II186" s="102">
        <f t="shared" si="894"/>
        <v>-1.4999999999999999E-7</v>
      </c>
      <c r="IJ186" s="102">
        <f t="shared" si="895"/>
        <v>0</v>
      </c>
      <c r="IK186" s="102">
        <f t="shared" si="896"/>
        <v>0</v>
      </c>
      <c r="IL186" s="102">
        <f t="shared" si="870"/>
        <v>0</v>
      </c>
      <c r="IM186" s="102">
        <v>0.11699999999999999</v>
      </c>
      <c r="IN186" s="102">
        <f t="shared" si="871"/>
        <v>0</v>
      </c>
      <c r="JA186" s="102">
        <f t="shared" si="965"/>
        <v>4.5229999999999997</v>
      </c>
      <c r="JB186" s="102">
        <f t="shared" si="965"/>
        <v>4.6399999999999997</v>
      </c>
      <c r="JC186" s="102">
        <f t="shared" si="965"/>
        <v>28.916</v>
      </c>
      <c r="JD186" s="102">
        <f t="shared" si="965"/>
        <v>3.6110000000000002</v>
      </c>
      <c r="JE186" s="102">
        <f t="shared" si="965"/>
        <v>2.8252226899999999</v>
      </c>
      <c r="JF186" s="102">
        <f t="shared" si="965"/>
        <v>1.4999999999999999E-7</v>
      </c>
      <c r="JG186" s="102">
        <f t="shared" si="965"/>
        <v>0</v>
      </c>
      <c r="JH186" s="102">
        <f t="shared" si="965"/>
        <v>0</v>
      </c>
      <c r="JI186" s="102">
        <f t="shared" si="965"/>
        <v>0</v>
      </c>
      <c r="JJ186" s="102">
        <f t="shared" si="965"/>
        <v>0</v>
      </c>
      <c r="JK186" s="102">
        <f t="shared" si="965"/>
        <v>0</v>
      </c>
      <c r="JL186" s="102">
        <f t="shared" si="966"/>
        <v>0</v>
      </c>
      <c r="JM186" s="102"/>
      <c r="JN186" s="102"/>
      <c r="JP186" s="102">
        <f t="shared" si="897"/>
        <v>0</v>
      </c>
      <c r="JQ186" s="102">
        <f t="shared" si="898"/>
        <v>0</v>
      </c>
      <c r="JR186" s="145"/>
      <c r="JS186" s="32">
        <v>0</v>
      </c>
      <c r="JT186" s="102">
        <v>-7.1655999999999995</v>
      </c>
      <c r="JV186" s="973"/>
      <c r="JW186" s="973"/>
      <c r="JY186" s="929">
        <f t="shared" si="925"/>
        <v>5.2318965517241383</v>
      </c>
      <c r="JZ186" s="929">
        <f t="shared" si="926"/>
        <v>-0.87512104025453041</v>
      </c>
      <c r="KA186" s="929">
        <f t="shared" si="927"/>
        <v>-0.21760656604818618</v>
      </c>
      <c r="KB186" s="929">
        <f t="shared" si="928"/>
        <v>-0.99999994690684013</v>
      </c>
      <c r="KC186" s="929">
        <f t="shared" si="929"/>
        <v>-1</v>
      </c>
      <c r="KD186" s="929" t="str">
        <f t="shared" si="930"/>
        <v/>
      </c>
      <c r="KE186" s="929" t="str">
        <f t="shared" si="931"/>
        <v/>
      </c>
      <c r="KF186" s="929" t="str">
        <f t="shared" si="932"/>
        <v/>
      </c>
      <c r="KH186" s="102">
        <f t="shared" si="900"/>
        <v>24.276</v>
      </c>
      <c r="KI186" s="102">
        <f t="shared" si="901"/>
        <v>-25.305</v>
      </c>
      <c r="KJ186" s="102">
        <f t="shared" si="902"/>
        <v>-0.78577731000000028</v>
      </c>
      <c r="KK186" s="102">
        <f t="shared" si="903"/>
        <v>-2.8252225399999999</v>
      </c>
      <c r="KL186" s="102">
        <f t="shared" si="904"/>
        <v>-1.4999999999999999E-7</v>
      </c>
      <c r="KM186" s="102">
        <f t="shared" si="905"/>
        <v>0</v>
      </c>
      <c r="KN186" s="102">
        <f t="shared" si="906"/>
        <v>0</v>
      </c>
      <c r="KO186" s="102">
        <f t="shared" si="907"/>
        <v>0</v>
      </c>
      <c r="LB186" s="102">
        <f t="shared" si="967"/>
        <v>4.5229999999999997</v>
      </c>
      <c r="LC186" s="102">
        <f t="shared" si="967"/>
        <v>4.6399999999999997</v>
      </c>
      <c r="LD186" s="102">
        <f t="shared" si="967"/>
        <v>28.916</v>
      </c>
      <c r="LE186" s="102">
        <f t="shared" si="967"/>
        <v>3.6110000000000002</v>
      </c>
      <c r="LF186" s="102">
        <f t="shared" si="967"/>
        <v>2.8252226899999999</v>
      </c>
      <c r="LG186" s="102">
        <f t="shared" si="967"/>
        <v>1.4999999999999999E-7</v>
      </c>
      <c r="LH186" s="102">
        <f t="shared" si="967"/>
        <v>0</v>
      </c>
      <c r="LI186" s="102">
        <f t="shared" si="967"/>
        <v>0</v>
      </c>
      <c r="LJ186" s="102">
        <f t="shared" si="967"/>
        <v>0</v>
      </c>
      <c r="LK186" s="102">
        <f t="shared" si="967"/>
        <v>0</v>
      </c>
      <c r="LL186" s="102">
        <f t="shared" si="967"/>
        <v>0</v>
      </c>
      <c r="LM186" s="102">
        <f t="shared" si="967"/>
        <v>0</v>
      </c>
      <c r="LN186" s="102"/>
      <c r="LO186" s="102"/>
      <c r="LR186" s="32">
        <f t="shared" si="908"/>
        <v>5.2318965517241383</v>
      </c>
      <c r="LS186" s="32">
        <f t="shared" si="909"/>
        <v>-0.87512104025453041</v>
      </c>
      <c r="LT186" s="32">
        <f t="shared" si="910"/>
        <v>-0.21760656604818618</v>
      </c>
      <c r="LU186" s="32">
        <f t="shared" si="911"/>
        <v>-0.99999994690684013</v>
      </c>
      <c r="LV186" s="32">
        <f t="shared" si="912"/>
        <v>-1</v>
      </c>
      <c r="LW186" s="32" t="str">
        <f t="shared" si="913"/>
        <v xml:space="preserve"> </v>
      </c>
      <c r="LX186" s="32" t="str">
        <f t="shared" si="963"/>
        <v xml:space="preserve"> </v>
      </c>
      <c r="LZ186" s="102">
        <f t="shared" si="914"/>
        <v>24.276</v>
      </c>
      <c r="MA186" s="102">
        <f t="shared" si="915"/>
        <v>-25.305</v>
      </c>
      <c r="MB186" s="102">
        <f t="shared" si="916"/>
        <v>-0.78577731000000028</v>
      </c>
      <c r="MC186" s="102">
        <f t="shared" si="917"/>
        <v>-2.8252225399999999</v>
      </c>
      <c r="MD186" s="102">
        <f t="shared" si="918"/>
        <v>-1.4999999999999999E-7</v>
      </c>
      <c r="ME186" s="102">
        <f t="shared" si="919"/>
        <v>0</v>
      </c>
      <c r="MF186" s="102">
        <f t="shared" si="964"/>
        <v>0</v>
      </c>
    </row>
    <row r="187" spans="1:354" outlineLevel="2">
      <c r="A187" s="884">
        <v>2368</v>
      </c>
      <c r="B187" s="70" t="s">
        <v>742</v>
      </c>
      <c r="D187" s="31"/>
      <c r="E187" s="102">
        <v>0.41887249999999998</v>
      </c>
      <c r="F187" s="102">
        <v>0.98599999999999999</v>
      </c>
      <c r="G187" s="102">
        <v>0.83695321</v>
      </c>
      <c r="H187" s="102">
        <v>1.9730000000000001</v>
      </c>
      <c r="I187" s="102">
        <v>0.66892394999999993</v>
      </c>
      <c r="J187" s="102">
        <v>1.58</v>
      </c>
      <c r="K187" s="102">
        <v>0.52493129000000005</v>
      </c>
      <c r="L187" s="102">
        <v>1.5249999999999999</v>
      </c>
      <c r="M187" s="102">
        <v>1.1325492500000001</v>
      </c>
      <c r="N187" s="102">
        <v>2.9180000000000001</v>
      </c>
      <c r="O187" s="102">
        <v>0.60841181999999994</v>
      </c>
      <c r="P187" s="102">
        <v>1.3009999999999999</v>
      </c>
      <c r="Q187" s="102">
        <v>0.45038106999999999</v>
      </c>
      <c r="R187" s="102">
        <v>0.79400000000000004</v>
      </c>
      <c r="S187" s="102">
        <v>0.29490165999999995</v>
      </c>
      <c r="T187" s="102">
        <v>0</v>
      </c>
      <c r="U187" s="102">
        <v>2.05962128</v>
      </c>
      <c r="V187" s="102">
        <v>2.9420000000000002</v>
      </c>
      <c r="W187" s="102">
        <v>0.67648807</v>
      </c>
      <c r="X187" s="102">
        <v>1.45</v>
      </c>
      <c r="Y187" s="102">
        <v>0.68091102000000003</v>
      </c>
      <c r="Z187" s="102">
        <v>2.5150000000000001</v>
      </c>
      <c r="AA187" s="102">
        <v>1.9333166799999999</v>
      </c>
      <c r="AB187" s="102">
        <v>4.0190000000000001</v>
      </c>
      <c r="AC187" s="102">
        <v>0.55701464999999994</v>
      </c>
      <c r="AD187" s="102">
        <v>4.8280000000000003</v>
      </c>
      <c r="AE187" s="102">
        <v>3.6804108500000003</v>
      </c>
      <c r="AF187" s="102">
        <v>6.2750000000000004</v>
      </c>
      <c r="AG187" s="102">
        <v>4.0977465300000002</v>
      </c>
      <c r="AH187" s="102">
        <v>6.2149999999999999</v>
      </c>
      <c r="AI187" s="102">
        <v>4.7333858199999996</v>
      </c>
      <c r="AJ187" s="102">
        <v>36.099000000000004</v>
      </c>
      <c r="AK187" s="102">
        <v>11.3034325</v>
      </c>
      <c r="AL187" s="102">
        <v>0</v>
      </c>
      <c r="AM187" s="102">
        <v>6.3894071499999994</v>
      </c>
      <c r="AN187" s="102">
        <v>15.33362238</v>
      </c>
      <c r="AO187" s="102">
        <v>6.7598599899999998</v>
      </c>
      <c r="AP187" s="145">
        <v>18.606633600000002</v>
      </c>
      <c r="AQ187" s="143">
        <v>22.52953076</v>
      </c>
      <c r="AR187" s="143">
        <v>17.69096476</v>
      </c>
      <c r="AS187" s="102">
        <v>22.763607629999999</v>
      </c>
      <c r="AT187" s="102">
        <v>29.012074390000002</v>
      </c>
      <c r="AU187" s="102">
        <v>18.817957960000001</v>
      </c>
      <c r="AV187" s="102">
        <v>21.74942781</v>
      </c>
      <c r="AW187" s="102">
        <v>4.1285750299999995</v>
      </c>
      <c r="AX187" s="102">
        <v>7.9845058899999994</v>
      </c>
      <c r="AY187" s="102">
        <v>2.46323487</v>
      </c>
      <c r="AZ187" s="102">
        <v>0.62160557999999999</v>
      </c>
      <c r="BA187" s="102">
        <v>1.29156073</v>
      </c>
      <c r="BB187" s="102">
        <v>3.27076587</v>
      </c>
      <c r="BC187" s="102">
        <v>0.63828697000000001</v>
      </c>
      <c r="BD187" s="102">
        <v>1.9926539999999999</v>
      </c>
      <c r="BE187" s="102">
        <v>2.42429294</v>
      </c>
      <c r="BF187" s="102">
        <v>2.93636455</v>
      </c>
      <c r="BG187" s="102">
        <v>0.39032253</v>
      </c>
      <c r="BH187" s="102">
        <v>0.67521197999999993</v>
      </c>
      <c r="BI187" s="102">
        <v>1.4204738100000001</v>
      </c>
      <c r="BJ187" s="102">
        <v>2.3764572000000004</v>
      </c>
      <c r="BK187" s="102">
        <v>1.97168864</v>
      </c>
      <c r="BL187" s="102">
        <v>3.98169138</v>
      </c>
      <c r="BM187" s="145">
        <v>1.8796384900000001</v>
      </c>
      <c r="BN187" s="102">
        <v>3.59920354</v>
      </c>
      <c r="BO187" s="102">
        <v>1.8726199699999999</v>
      </c>
      <c r="BP187" s="102">
        <v>4.5157746900000006</v>
      </c>
      <c r="BQ187" s="102">
        <v>2.56927832</v>
      </c>
      <c r="BR187" s="102">
        <v>4.4285949000000002</v>
      </c>
      <c r="BS187" s="102">
        <v>1.78845107</v>
      </c>
      <c r="BT187" s="102">
        <v>3.2636575200000002</v>
      </c>
      <c r="BU187" s="102">
        <v>1.99936589</v>
      </c>
      <c r="BV187" s="102">
        <v>3.6203164500000002</v>
      </c>
      <c r="BW187" s="102">
        <v>1.8789359699999999</v>
      </c>
      <c r="BX187" s="102">
        <v>3.4700000000000002E-6</v>
      </c>
      <c r="BY187" s="102">
        <v>2.5829301299999998</v>
      </c>
      <c r="BZ187" s="102">
        <v>6.0368980199999998</v>
      </c>
      <c r="CA187" s="102">
        <v>3.2127410200000002</v>
      </c>
      <c r="CB187" s="102">
        <v>4.6726727300000004</v>
      </c>
      <c r="CC187" s="102">
        <v>1.37996903</v>
      </c>
      <c r="CD187" s="102">
        <v>2.7674815399999999</v>
      </c>
      <c r="CE187" s="102">
        <v>2.596924</v>
      </c>
      <c r="CF187" s="102">
        <v>5.3283549599999995</v>
      </c>
      <c r="CG187" s="102">
        <v>3.26789745</v>
      </c>
      <c r="CH187" s="102">
        <v>7.3964085599999994</v>
      </c>
      <c r="CI187" s="102">
        <v>3.9424396600000002</v>
      </c>
      <c r="CJ187" s="102">
        <v>0</v>
      </c>
      <c r="CK187" s="102">
        <v>1.710437</v>
      </c>
      <c r="CL187" s="102">
        <v>0.20801861999999999</v>
      </c>
      <c r="CM187" s="102">
        <v>2.9171622300000002</v>
      </c>
      <c r="CN187" s="102">
        <v>6.1782000000000004E-4</v>
      </c>
      <c r="CO187" s="102">
        <v>2.60358483</v>
      </c>
      <c r="CP187" s="102">
        <v>1.3976400000000001E-3</v>
      </c>
      <c r="CQ187" s="102">
        <v>2.9067998500000001</v>
      </c>
      <c r="CR187" s="102">
        <v>7.4586138799999997</v>
      </c>
      <c r="CS187" s="102">
        <v>4.9719692999999996</v>
      </c>
      <c r="CT187" s="102">
        <v>9.1272140000000002E-2</v>
      </c>
      <c r="CU187" s="102">
        <v>3.5805541000000001</v>
      </c>
      <c r="CV187" s="102">
        <v>0</v>
      </c>
      <c r="CW187" s="102">
        <v>1.4252071399999999</v>
      </c>
      <c r="CX187" s="102">
        <v>-1.4999999999999999E-7</v>
      </c>
      <c r="CY187" s="102">
        <v>3.1813196100000001</v>
      </c>
      <c r="CZ187" s="102">
        <v>0</v>
      </c>
      <c r="DA187" s="102">
        <v>0.83232852000000002</v>
      </c>
      <c r="DB187" s="102">
        <v>0</v>
      </c>
      <c r="DC187" s="102">
        <v>1.0711233500000001</v>
      </c>
      <c r="DD187" s="102">
        <v>0</v>
      </c>
      <c r="DE187" s="102">
        <v>2.3029685600000001</v>
      </c>
      <c r="DF187" s="102">
        <v>0</v>
      </c>
      <c r="DG187" s="102">
        <v>1.8571528799999999</v>
      </c>
      <c r="DH187" s="102">
        <v>0</v>
      </c>
      <c r="DI187" s="102">
        <v>1.8780420500000001</v>
      </c>
      <c r="DJ187" s="102">
        <v>0</v>
      </c>
      <c r="DK187" s="102">
        <v>1.4071929399999998</v>
      </c>
      <c r="DL187" s="102">
        <v>0.31791000000000003</v>
      </c>
      <c r="DM187" s="102">
        <v>1.81269623</v>
      </c>
      <c r="DN187" s="102">
        <v>2.6100000000000002E-2</v>
      </c>
      <c r="DO187" s="102">
        <v>1.3374201200000002</v>
      </c>
      <c r="DP187" s="102">
        <v>5.5E-2</v>
      </c>
      <c r="DQ187" s="940">
        <v>1.6799541100000002</v>
      </c>
      <c r="DR187" s="940">
        <v>5.5E-2</v>
      </c>
      <c r="DS187" s="940">
        <v>2.5856127500000001</v>
      </c>
      <c r="DT187" s="940">
        <v>0</v>
      </c>
      <c r="DU187" s="940">
        <v>2.3690019500000004</v>
      </c>
      <c r="DV187" s="940">
        <v>9.7999999999999997E-3</v>
      </c>
      <c r="DW187" s="940">
        <v>4.0411666099999994</v>
      </c>
      <c r="DX187" s="940">
        <v>0</v>
      </c>
      <c r="DY187" s="940">
        <v>3.7443186900000001</v>
      </c>
      <c r="DZ187" s="940">
        <v>0</v>
      </c>
      <c r="EA187" s="940">
        <v>4.5822589900000006</v>
      </c>
      <c r="EB187" s="940">
        <v>0</v>
      </c>
      <c r="EC187" s="940">
        <v>9.4683026899999998</v>
      </c>
      <c r="ED187" s="940">
        <v>2.9000000000000001E-2</v>
      </c>
      <c r="EE187" s="940">
        <v>8.3601129099999998</v>
      </c>
      <c r="EF187" s="940">
        <v>0</v>
      </c>
      <c r="EG187" s="145"/>
      <c r="EH187" s="102">
        <v>1.4252071399999999</v>
      </c>
      <c r="EI187" s="102">
        <v>-1.4999999999999999E-7</v>
      </c>
      <c r="EJ187" s="102">
        <v>3.1813196100000001</v>
      </c>
      <c r="EK187" s="102">
        <v>0</v>
      </c>
      <c r="EL187" s="102">
        <v>0.83232852000000002</v>
      </c>
      <c r="EM187" s="102">
        <v>0</v>
      </c>
      <c r="EN187" s="102">
        <v>0.45713385540000001</v>
      </c>
      <c r="EO187" s="102">
        <v>0.35030675179999998</v>
      </c>
      <c r="EP187" s="102">
        <v>0.36766366420000002</v>
      </c>
      <c r="EQ187" s="102">
        <v>0.35065413159999997</v>
      </c>
      <c r="ER187" s="102">
        <v>0.3511096642</v>
      </c>
      <c r="ES187" s="102">
        <v>0.44216660899999999</v>
      </c>
      <c r="EU187" s="102">
        <v>1.4595499348643424</v>
      </c>
      <c r="EV187" s="102">
        <v>2.5977486178261859</v>
      </c>
      <c r="EW187" s="102">
        <v>1.3404838852629744</v>
      </c>
      <c r="EX187" s="102">
        <v>2.6049440946761222</v>
      </c>
      <c r="EY187" s="102">
        <v>1.134079491706008</v>
      </c>
      <c r="EZ187" s="102">
        <v>2.3345176965220191</v>
      </c>
      <c r="FA187" s="102">
        <v>1.4917294556263123</v>
      </c>
      <c r="FB187" s="102">
        <v>3.0363622209256236</v>
      </c>
      <c r="FC187" s="102">
        <v>1.4420098339620133</v>
      </c>
      <c r="FD187" s="102">
        <v>2.9560263485847385</v>
      </c>
      <c r="FE187" s="102">
        <v>1.441406766139685</v>
      </c>
      <c r="FF187" s="102">
        <v>3.3789799412359094</v>
      </c>
      <c r="FG187" s="102">
        <v>3.5474197112528016</v>
      </c>
      <c r="FH187" s="102">
        <v>8.8303425521846339</v>
      </c>
      <c r="FI187" s="102">
        <v>5.4233370893922661</v>
      </c>
      <c r="FJ187" s="102">
        <v>10.92054346802241</v>
      </c>
      <c r="FK187" s="102">
        <v>5.0665610628143591</v>
      </c>
      <c r="FL187" s="102">
        <v>11.172384524508937</v>
      </c>
      <c r="FM187" s="102">
        <v>6.2225713123206905</v>
      </c>
      <c r="FN187" s="102">
        <v>12.566466890310968</v>
      </c>
      <c r="FO187" s="102">
        <v>6.6738562777173343</v>
      </c>
      <c r="FP187" s="102">
        <v>13.128775369775248</v>
      </c>
      <c r="FQ187" s="102">
        <v>6.1438579252762882</v>
      </c>
      <c r="FR187" s="102">
        <v>11.064890659130675</v>
      </c>
      <c r="FS187" s="102">
        <v>1.6491788503144902</v>
      </c>
      <c r="FT187" s="102">
        <v>1.6127855519969172</v>
      </c>
      <c r="FU187" s="102">
        <v>1.7213531857921058</v>
      </c>
      <c r="FV187" s="102">
        <v>1.4373844812566805</v>
      </c>
      <c r="FW187" s="102">
        <v>1.6139418007206232</v>
      </c>
      <c r="FX187" s="102">
        <v>1.3549316557430238</v>
      </c>
      <c r="FY187" s="102">
        <v>1.5432717431720013</v>
      </c>
      <c r="FZ187" s="102">
        <v>1.3020805647400211</v>
      </c>
      <c r="GA187" s="102">
        <v>1.0417180149720211</v>
      </c>
      <c r="GB187" s="102">
        <v>1.049425954172021</v>
      </c>
      <c r="GC187" s="102">
        <v>1.0775312681704692</v>
      </c>
      <c r="GD187" s="102">
        <v>1.2155950877704693</v>
      </c>
      <c r="GE187" s="102">
        <v>0</v>
      </c>
      <c r="GF187" s="102">
        <v>0</v>
      </c>
      <c r="GG187" s="102">
        <v>0</v>
      </c>
      <c r="GH187" s="102">
        <v>0</v>
      </c>
      <c r="GI187" s="102">
        <v>0</v>
      </c>
      <c r="GJ187" s="102">
        <v>0</v>
      </c>
      <c r="GK187" s="102">
        <v>0</v>
      </c>
      <c r="GL187" s="102">
        <v>0</v>
      </c>
      <c r="GM187" s="102">
        <v>0</v>
      </c>
      <c r="GN187" s="102">
        <v>0</v>
      </c>
      <c r="GO187" s="102">
        <v>0</v>
      </c>
      <c r="GP187" s="102">
        <v>0</v>
      </c>
      <c r="GQ187" s="102">
        <v>0</v>
      </c>
      <c r="GR187" s="102">
        <v>0</v>
      </c>
      <c r="GS187" s="102">
        <v>0</v>
      </c>
      <c r="GT187" s="102">
        <v>0</v>
      </c>
      <c r="GU187" s="102">
        <v>0</v>
      </c>
      <c r="GV187" s="102">
        <v>0</v>
      </c>
      <c r="GW187" s="102">
        <v>0</v>
      </c>
      <c r="GX187" s="102">
        <v>0</v>
      </c>
      <c r="GY187" s="102">
        <v>0</v>
      </c>
      <c r="GZ187" s="102">
        <v>0</v>
      </c>
      <c r="HA187" s="102">
        <v>0</v>
      </c>
      <c r="HB187" s="102">
        <v>0</v>
      </c>
      <c r="HD187" s="102">
        <v>1.3009999999999999</v>
      </c>
      <c r="HE187" s="102">
        <v>4.0190000000000001</v>
      </c>
      <c r="HF187" s="102">
        <v>15.33362238</v>
      </c>
      <c r="HG187" s="102">
        <v>0</v>
      </c>
      <c r="HH187" s="102">
        <f t="shared" si="890"/>
        <v>3.98169138</v>
      </c>
      <c r="HI187" s="102">
        <f t="shared" si="891"/>
        <v>3.4700000000000002E-6</v>
      </c>
      <c r="HJ187" s="102">
        <f t="shared" si="961"/>
        <v>0</v>
      </c>
      <c r="HK187" s="102">
        <f t="shared" si="962"/>
        <v>0</v>
      </c>
      <c r="HL187" s="940">
        <f>+SUMIFS($E187:SEW187,$E$6:SEW$6,HL$7,$E$5:SEW$5,12)</f>
        <v>0</v>
      </c>
      <c r="HM187" s="940">
        <f>+SUMIFS($E187:SEX187,$E$6:SEX$6,HM$7,$E$5:SEX$5,12)</f>
        <v>0</v>
      </c>
      <c r="HN187" s="940">
        <f>+SUMIFS($E187:SEY187,$E$6:SEY$6,HN$7,$E$5:SEY$5,12)</f>
        <v>0</v>
      </c>
      <c r="HO187" s="102"/>
      <c r="HP187" s="102"/>
      <c r="HR187" s="32">
        <v>2.089162182936203</v>
      </c>
      <c r="HS187" s="32">
        <v>2.815283000746454</v>
      </c>
      <c r="HT187" s="32">
        <v>2.815283000746454</v>
      </c>
      <c r="HU187" s="929">
        <f t="shared" si="935"/>
        <v>-0.99999912851105999</v>
      </c>
      <c r="HV187" s="929">
        <f t="shared" si="936"/>
        <v>-1</v>
      </c>
      <c r="HW187" s="929" t="str">
        <f t="shared" si="937"/>
        <v/>
      </c>
      <c r="HX187" s="929" t="str">
        <f t="shared" si="938"/>
        <v/>
      </c>
      <c r="HY187" s="929" t="str">
        <f t="shared" si="938"/>
        <v/>
      </c>
      <c r="HZ187" s="929" t="str">
        <f t="shared" si="938"/>
        <v/>
      </c>
      <c r="IA187" s="929" t="str">
        <f t="shared" si="868"/>
        <v/>
      </c>
      <c r="IB187" s="32">
        <v>2.815283000746454</v>
      </c>
      <c r="IC187" s="929" t="str">
        <f t="shared" si="869"/>
        <v/>
      </c>
      <c r="IE187" s="102">
        <v>2.718</v>
      </c>
      <c r="IF187" s="102">
        <v>2.718</v>
      </c>
      <c r="IG187" s="102">
        <v>2.718</v>
      </c>
      <c r="IH187" s="102">
        <f t="shared" si="939"/>
        <v>-3.9816879100000002</v>
      </c>
      <c r="II187" s="102">
        <f t="shared" si="894"/>
        <v>-3.4700000000000002E-6</v>
      </c>
      <c r="IJ187" s="102">
        <f t="shared" si="895"/>
        <v>0</v>
      </c>
      <c r="IK187" s="102">
        <f t="shared" si="896"/>
        <v>0</v>
      </c>
      <c r="IL187" s="102">
        <f t="shared" si="870"/>
        <v>0</v>
      </c>
      <c r="IM187" s="102">
        <v>2.718</v>
      </c>
      <c r="IN187" s="102">
        <f t="shared" si="871"/>
        <v>0</v>
      </c>
      <c r="JA187" s="102">
        <f t="shared" si="965"/>
        <v>1.3009999999999999</v>
      </c>
      <c r="JB187" s="102">
        <f t="shared" si="965"/>
        <v>4.0190000000000001</v>
      </c>
      <c r="JC187" s="102">
        <f t="shared" si="965"/>
        <v>15.33362238</v>
      </c>
      <c r="JD187" s="102">
        <f t="shared" si="965"/>
        <v>0.62160557999999999</v>
      </c>
      <c r="JE187" s="102">
        <f t="shared" si="965"/>
        <v>3.98169138</v>
      </c>
      <c r="JF187" s="102">
        <f t="shared" si="965"/>
        <v>3.4700000000000002E-6</v>
      </c>
      <c r="JG187" s="102">
        <f t="shared" si="965"/>
        <v>0</v>
      </c>
      <c r="JH187" s="102">
        <f t="shared" si="965"/>
        <v>0</v>
      </c>
      <c r="JI187" s="102">
        <f t="shared" si="965"/>
        <v>0</v>
      </c>
      <c r="JJ187" s="102">
        <f t="shared" si="965"/>
        <v>0</v>
      </c>
      <c r="JK187" s="102">
        <f t="shared" si="965"/>
        <v>0</v>
      </c>
      <c r="JL187" s="102">
        <f t="shared" si="966"/>
        <v>0</v>
      </c>
      <c r="JM187" s="102"/>
      <c r="JN187" s="102"/>
      <c r="JP187" s="102">
        <f t="shared" si="897"/>
        <v>0</v>
      </c>
      <c r="JQ187" s="102">
        <f t="shared" si="898"/>
        <v>0</v>
      </c>
      <c r="JR187" s="145"/>
      <c r="JS187" s="32">
        <v>0</v>
      </c>
      <c r="JT187" s="102">
        <v>-3.6804108500000003</v>
      </c>
      <c r="JV187" s="973"/>
      <c r="JW187" s="973"/>
      <c r="JY187" s="929">
        <f t="shared" si="925"/>
        <v>2.815283000746454</v>
      </c>
      <c r="JZ187" s="929">
        <f t="shared" si="926"/>
        <v>-0.95946126984248847</v>
      </c>
      <c r="KA187" s="929">
        <f t="shared" si="927"/>
        <v>5.4054949120630482</v>
      </c>
      <c r="KB187" s="929">
        <f t="shared" si="928"/>
        <v>-0.99999912851105999</v>
      </c>
      <c r="KC187" s="929">
        <f t="shared" si="929"/>
        <v>-1</v>
      </c>
      <c r="KD187" s="929" t="str">
        <f t="shared" si="930"/>
        <v/>
      </c>
      <c r="KE187" s="929" t="str">
        <f t="shared" si="931"/>
        <v/>
      </c>
      <c r="KF187" s="929" t="str">
        <f t="shared" si="932"/>
        <v/>
      </c>
      <c r="KH187" s="102">
        <f t="shared" si="900"/>
        <v>11.314622379999999</v>
      </c>
      <c r="KI187" s="102">
        <f t="shared" si="901"/>
        <v>-14.712016799999999</v>
      </c>
      <c r="KJ187" s="102">
        <f t="shared" si="902"/>
        <v>3.3600858000000002</v>
      </c>
      <c r="KK187" s="102">
        <f t="shared" si="903"/>
        <v>-3.9816879100000002</v>
      </c>
      <c r="KL187" s="102">
        <f t="shared" si="904"/>
        <v>-3.4700000000000002E-6</v>
      </c>
      <c r="KM187" s="102">
        <f t="shared" si="905"/>
        <v>0</v>
      </c>
      <c r="KN187" s="102">
        <f t="shared" si="906"/>
        <v>0</v>
      </c>
      <c r="KO187" s="102">
        <f t="shared" si="907"/>
        <v>0</v>
      </c>
      <c r="LB187" s="102">
        <f t="shared" si="967"/>
        <v>1.3009999999999999</v>
      </c>
      <c r="LC187" s="102">
        <f t="shared" si="967"/>
        <v>4.0190000000000001</v>
      </c>
      <c r="LD187" s="102">
        <f t="shared" si="967"/>
        <v>15.33362238</v>
      </c>
      <c r="LE187" s="102">
        <f t="shared" si="967"/>
        <v>0.62160557999999999</v>
      </c>
      <c r="LF187" s="102">
        <f t="shared" si="967"/>
        <v>3.98169138</v>
      </c>
      <c r="LG187" s="102">
        <f t="shared" si="967"/>
        <v>3.4700000000000002E-6</v>
      </c>
      <c r="LH187" s="102">
        <f t="shared" si="967"/>
        <v>0</v>
      </c>
      <c r="LI187" s="102">
        <f t="shared" si="967"/>
        <v>0</v>
      </c>
      <c r="LJ187" s="102">
        <f t="shared" si="967"/>
        <v>0</v>
      </c>
      <c r="LK187" s="102">
        <f t="shared" si="967"/>
        <v>0</v>
      </c>
      <c r="LL187" s="102">
        <f t="shared" si="967"/>
        <v>0</v>
      </c>
      <c r="LM187" s="102">
        <f t="shared" si="967"/>
        <v>0</v>
      </c>
      <c r="LN187" s="102"/>
      <c r="LO187" s="102"/>
      <c r="LR187" s="32">
        <f t="shared" si="908"/>
        <v>2.815283000746454</v>
      </c>
      <c r="LS187" s="32">
        <f t="shared" si="909"/>
        <v>-0.95946126984248847</v>
      </c>
      <c r="LT187" s="32">
        <f t="shared" si="910"/>
        <v>5.4054949120630482</v>
      </c>
      <c r="LU187" s="32">
        <f t="shared" si="911"/>
        <v>-0.99999912851105999</v>
      </c>
      <c r="LV187" s="32">
        <f t="shared" si="912"/>
        <v>-1</v>
      </c>
      <c r="LW187" s="32" t="str">
        <f t="shared" si="913"/>
        <v xml:space="preserve"> </v>
      </c>
      <c r="LX187" s="32" t="str">
        <f t="shared" si="963"/>
        <v xml:space="preserve"> </v>
      </c>
      <c r="LZ187" s="102">
        <f t="shared" si="914"/>
        <v>11.314622379999999</v>
      </c>
      <c r="MA187" s="102">
        <f t="shared" si="915"/>
        <v>-14.712016799999999</v>
      </c>
      <c r="MB187" s="102">
        <f t="shared" si="916"/>
        <v>3.3600858000000002</v>
      </c>
      <c r="MC187" s="102">
        <f t="shared" si="917"/>
        <v>-3.9816879100000002</v>
      </c>
      <c r="MD187" s="102">
        <f t="shared" si="918"/>
        <v>-3.4700000000000002E-6</v>
      </c>
      <c r="ME187" s="102">
        <f t="shared" si="919"/>
        <v>0</v>
      </c>
      <c r="MF187" s="102">
        <f t="shared" si="964"/>
        <v>0</v>
      </c>
    </row>
    <row r="188" spans="1:354" outlineLevel="2">
      <c r="A188" s="884">
        <v>2369</v>
      </c>
      <c r="B188" s="70" t="s">
        <v>743</v>
      </c>
      <c r="C188" s="186"/>
      <c r="D188" s="307"/>
      <c r="E188" s="931">
        <v>0</v>
      </c>
      <c r="F188" s="931">
        <v>0</v>
      </c>
      <c r="G188" s="931">
        <v>0</v>
      </c>
      <c r="H188" s="931">
        <v>0</v>
      </c>
      <c r="I188" s="931">
        <v>0</v>
      </c>
      <c r="J188" s="931">
        <v>0</v>
      </c>
      <c r="K188" s="931">
        <v>0</v>
      </c>
      <c r="L188" s="931">
        <v>0</v>
      </c>
      <c r="M188" s="931">
        <v>0</v>
      </c>
      <c r="N188" s="931">
        <v>0</v>
      </c>
      <c r="O188" s="931">
        <v>0</v>
      </c>
      <c r="P188" s="931">
        <v>0</v>
      </c>
      <c r="Q188" s="931">
        <v>0</v>
      </c>
      <c r="R188" s="931">
        <v>0</v>
      </c>
      <c r="S188" s="931">
        <v>0</v>
      </c>
      <c r="T188" s="931">
        <v>0</v>
      </c>
      <c r="U188" s="931">
        <v>1.905</v>
      </c>
      <c r="V188" s="931">
        <v>1.421</v>
      </c>
      <c r="W188" s="931">
        <v>1.081</v>
      </c>
      <c r="X188" s="931">
        <v>2.0049999999999999</v>
      </c>
      <c r="Y188" s="931">
        <v>22.041</v>
      </c>
      <c r="Z188" s="931">
        <v>34.805999999999997</v>
      </c>
      <c r="AA188" s="931">
        <v>72.418000000000006</v>
      </c>
      <c r="AB188" s="931">
        <v>82.956999999999994</v>
      </c>
      <c r="AC188" s="931">
        <v>62.078635909999996</v>
      </c>
      <c r="AD188" s="931">
        <v>56.31163591</v>
      </c>
      <c r="AE188" s="931">
        <v>37.529635909999996</v>
      </c>
      <c r="AF188" s="931">
        <v>47.042999999999999</v>
      </c>
      <c r="AG188" s="931">
        <v>46.066000000000003</v>
      </c>
      <c r="AH188" s="931">
        <v>40.167000000000002</v>
      </c>
      <c r="AI188" s="931">
        <v>39.203000000000003</v>
      </c>
      <c r="AJ188" s="931">
        <v>50.634</v>
      </c>
      <c r="AK188" s="931">
        <v>46.634999999999998</v>
      </c>
      <c r="AL188" s="931">
        <v>0</v>
      </c>
      <c r="AM188" s="931">
        <v>0</v>
      </c>
      <c r="AN188" s="931">
        <v>82.168999999999997</v>
      </c>
      <c r="AO188" s="931">
        <v>0</v>
      </c>
      <c r="AP188" s="932">
        <v>0</v>
      </c>
      <c r="AQ188" s="936">
        <v>0</v>
      </c>
      <c r="AR188" s="936">
        <v>0</v>
      </c>
      <c r="AS188" s="931">
        <v>0</v>
      </c>
      <c r="AT188" s="931">
        <v>0</v>
      </c>
      <c r="AU188" s="931">
        <v>0</v>
      </c>
      <c r="AV188" s="931">
        <v>0</v>
      </c>
      <c r="AW188" s="931">
        <v>0</v>
      </c>
      <c r="AX188" s="931">
        <v>0</v>
      </c>
      <c r="AY188" s="931">
        <v>0</v>
      </c>
      <c r="AZ188" s="931">
        <v>0</v>
      </c>
      <c r="BA188" s="931">
        <v>0</v>
      </c>
      <c r="BB188" s="931">
        <v>0</v>
      </c>
      <c r="BC188" s="931">
        <v>0</v>
      </c>
      <c r="BD188" s="931">
        <v>0</v>
      </c>
      <c r="BE188" s="931">
        <v>0</v>
      </c>
      <c r="BF188" s="931">
        <v>0</v>
      </c>
      <c r="BG188" s="931">
        <v>0</v>
      </c>
      <c r="BH188" s="931">
        <v>0</v>
      </c>
      <c r="BI188" s="931">
        <v>0</v>
      </c>
      <c r="BJ188" s="931">
        <v>0</v>
      </c>
      <c r="BK188" s="931">
        <v>0</v>
      </c>
      <c r="BL188" s="931">
        <v>0</v>
      </c>
      <c r="BM188" s="145">
        <v>0</v>
      </c>
      <c r="BN188" s="931">
        <v>0</v>
      </c>
      <c r="BO188" s="931">
        <v>0</v>
      </c>
      <c r="BP188" s="931">
        <v>0</v>
      </c>
      <c r="BQ188" s="931">
        <v>0</v>
      </c>
      <c r="BR188" s="931">
        <v>0</v>
      </c>
      <c r="BS188" s="931">
        <v>0</v>
      </c>
      <c r="BT188" s="931">
        <v>0</v>
      </c>
      <c r="BU188" s="931">
        <v>0</v>
      </c>
      <c r="BV188" s="931">
        <v>0</v>
      </c>
      <c r="BW188" s="931">
        <v>0</v>
      </c>
      <c r="BX188" s="931">
        <v>0</v>
      </c>
      <c r="BY188" s="931">
        <v>0</v>
      </c>
      <c r="BZ188" s="931">
        <v>0</v>
      </c>
      <c r="CA188" s="931">
        <v>0</v>
      </c>
      <c r="CB188" s="931">
        <v>0</v>
      </c>
      <c r="CC188" s="931">
        <v>0</v>
      </c>
      <c r="CD188" s="931">
        <v>0</v>
      </c>
      <c r="CE188" s="931">
        <v>0</v>
      </c>
      <c r="CF188" s="931">
        <v>0</v>
      </c>
      <c r="CG188" s="931">
        <v>0</v>
      </c>
      <c r="CH188" s="931">
        <v>0</v>
      </c>
      <c r="CI188" s="931">
        <v>0</v>
      </c>
      <c r="CJ188" s="931">
        <v>0</v>
      </c>
      <c r="CK188" s="931">
        <v>0</v>
      </c>
      <c r="CL188" s="931">
        <v>0</v>
      </c>
      <c r="CM188" s="931">
        <v>0</v>
      </c>
      <c r="CN188" s="931">
        <v>0</v>
      </c>
      <c r="CO188" s="931">
        <v>0</v>
      </c>
      <c r="CP188" s="931">
        <v>0</v>
      </c>
      <c r="CQ188" s="931">
        <v>0</v>
      </c>
      <c r="CR188" s="931">
        <v>0</v>
      </c>
      <c r="CS188" s="931">
        <v>0</v>
      </c>
      <c r="CT188" s="931">
        <v>0</v>
      </c>
      <c r="CU188" s="931">
        <v>0</v>
      </c>
      <c r="CV188" s="931">
        <v>0</v>
      </c>
      <c r="CW188" s="931">
        <v>0</v>
      </c>
      <c r="CX188" s="931">
        <v>0</v>
      </c>
      <c r="CY188" s="931">
        <v>0</v>
      </c>
      <c r="CZ188" s="931">
        <v>0</v>
      </c>
      <c r="DA188" s="931">
        <v>0</v>
      </c>
      <c r="DB188" s="931">
        <v>0</v>
      </c>
      <c r="DC188" s="931">
        <v>0</v>
      </c>
      <c r="DD188" s="931">
        <v>0</v>
      </c>
      <c r="DE188" s="931">
        <v>0</v>
      </c>
      <c r="DF188" s="931">
        <v>0</v>
      </c>
      <c r="DG188" s="931">
        <v>0</v>
      </c>
      <c r="DH188" s="931">
        <v>0</v>
      </c>
      <c r="DI188" s="931">
        <v>0</v>
      </c>
      <c r="DJ188" s="931">
        <v>0</v>
      </c>
      <c r="DK188" s="931">
        <v>0</v>
      </c>
      <c r="DL188" s="931">
        <v>0</v>
      </c>
      <c r="DM188" s="931">
        <v>0</v>
      </c>
      <c r="DN188" s="931">
        <v>0</v>
      </c>
      <c r="DO188" s="931">
        <v>0</v>
      </c>
      <c r="DP188" s="931">
        <v>0</v>
      </c>
      <c r="DQ188" s="941">
        <v>0</v>
      </c>
      <c r="DR188" s="941">
        <v>0</v>
      </c>
      <c r="DS188" s="941">
        <v>0</v>
      </c>
      <c r="DT188" s="941">
        <v>0</v>
      </c>
      <c r="DU188" s="941">
        <v>0</v>
      </c>
      <c r="DV188" s="941">
        <v>0</v>
      </c>
      <c r="DW188" s="941">
        <v>0</v>
      </c>
      <c r="DX188" s="941">
        <v>0</v>
      </c>
      <c r="DY188" s="941">
        <v>0</v>
      </c>
      <c r="DZ188" s="941">
        <v>0</v>
      </c>
      <c r="EA188" s="941">
        <v>0</v>
      </c>
      <c r="EB188" s="941">
        <v>0</v>
      </c>
      <c r="EC188" s="941">
        <v>0</v>
      </c>
      <c r="ED188" s="941">
        <v>0</v>
      </c>
      <c r="EE188" s="941">
        <v>0</v>
      </c>
      <c r="EF188" s="941">
        <v>0</v>
      </c>
      <c r="EG188" s="145"/>
      <c r="EH188" s="931">
        <v>0</v>
      </c>
      <c r="EI188" s="931">
        <v>0</v>
      </c>
      <c r="EJ188" s="931">
        <v>0</v>
      </c>
      <c r="EK188" s="931">
        <v>0</v>
      </c>
      <c r="EL188" s="931">
        <v>0</v>
      </c>
      <c r="EM188" s="931">
        <v>0</v>
      </c>
      <c r="EN188" s="931">
        <v>0</v>
      </c>
      <c r="EO188" s="931">
        <v>0</v>
      </c>
      <c r="EP188" s="931">
        <v>0</v>
      </c>
      <c r="EQ188" s="931">
        <v>0</v>
      </c>
      <c r="ER188" s="931">
        <v>0</v>
      </c>
      <c r="ES188" s="931">
        <v>0</v>
      </c>
      <c r="EU188" s="931">
        <v>0</v>
      </c>
      <c r="EV188" s="931">
        <v>0</v>
      </c>
      <c r="EW188" s="931">
        <v>0</v>
      </c>
      <c r="EX188" s="931">
        <v>0</v>
      </c>
      <c r="EY188" s="931">
        <v>0</v>
      </c>
      <c r="EZ188" s="931">
        <v>0</v>
      </c>
      <c r="FA188" s="931">
        <v>0</v>
      </c>
      <c r="FB188" s="931">
        <v>0</v>
      </c>
      <c r="FC188" s="931">
        <v>0</v>
      </c>
      <c r="FD188" s="931">
        <v>0</v>
      </c>
      <c r="FE188" s="931">
        <v>0</v>
      </c>
      <c r="FF188" s="931">
        <v>0</v>
      </c>
      <c r="FG188" s="931">
        <v>0</v>
      </c>
      <c r="FH188" s="931">
        <v>0</v>
      </c>
      <c r="FI188" s="931">
        <v>0</v>
      </c>
      <c r="FJ188" s="931">
        <v>0</v>
      </c>
      <c r="FK188" s="931">
        <v>0</v>
      </c>
      <c r="FL188" s="931">
        <v>0</v>
      </c>
      <c r="FM188" s="931">
        <v>0</v>
      </c>
      <c r="FN188" s="931">
        <v>0</v>
      </c>
      <c r="FO188" s="931">
        <v>0</v>
      </c>
      <c r="FP188" s="931">
        <v>0</v>
      </c>
      <c r="FQ188" s="931">
        <v>0</v>
      </c>
      <c r="FR188" s="931">
        <v>0</v>
      </c>
      <c r="FS188" s="931"/>
      <c r="FT188" s="931"/>
      <c r="FU188" s="931"/>
      <c r="FV188" s="931"/>
      <c r="FW188" s="931"/>
      <c r="FX188" s="931"/>
      <c r="FY188" s="931"/>
      <c r="FZ188" s="931"/>
      <c r="GA188" s="931"/>
      <c r="GB188" s="931"/>
      <c r="GC188" s="931"/>
      <c r="GD188" s="931"/>
      <c r="GE188" s="931">
        <v>0</v>
      </c>
      <c r="GF188" s="931">
        <v>0</v>
      </c>
      <c r="GG188" s="931">
        <v>0</v>
      </c>
      <c r="GH188" s="931">
        <v>0</v>
      </c>
      <c r="GI188" s="931">
        <v>0</v>
      </c>
      <c r="GJ188" s="931">
        <v>0</v>
      </c>
      <c r="GK188" s="931">
        <v>0</v>
      </c>
      <c r="GL188" s="931">
        <v>0</v>
      </c>
      <c r="GM188" s="931">
        <v>0</v>
      </c>
      <c r="GN188" s="931">
        <v>0</v>
      </c>
      <c r="GO188" s="931">
        <v>0</v>
      </c>
      <c r="GP188" s="931">
        <v>0</v>
      </c>
      <c r="GQ188" s="931">
        <v>0</v>
      </c>
      <c r="GR188" s="931">
        <v>0</v>
      </c>
      <c r="GS188" s="931">
        <v>0</v>
      </c>
      <c r="GT188" s="931">
        <v>0</v>
      </c>
      <c r="GU188" s="931">
        <v>0</v>
      </c>
      <c r="GV188" s="931">
        <v>0</v>
      </c>
      <c r="GW188" s="931">
        <v>0</v>
      </c>
      <c r="GX188" s="931">
        <v>0</v>
      </c>
      <c r="GY188" s="931">
        <v>0</v>
      </c>
      <c r="GZ188" s="931">
        <v>0</v>
      </c>
      <c r="HA188" s="931">
        <v>0</v>
      </c>
      <c r="HB188" s="931">
        <v>0</v>
      </c>
      <c r="HD188" s="931">
        <v>0</v>
      </c>
      <c r="HE188" s="931">
        <v>82.956999999999994</v>
      </c>
      <c r="HF188" s="931">
        <v>82.168999999999997</v>
      </c>
      <c r="HG188" s="931">
        <v>0</v>
      </c>
      <c r="HH188" s="931">
        <f t="shared" si="890"/>
        <v>0</v>
      </c>
      <c r="HI188" s="931">
        <f t="shared" si="891"/>
        <v>0</v>
      </c>
      <c r="HJ188" s="931">
        <f t="shared" si="961"/>
        <v>0</v>
      </c>
      <c r="HK188" s="931">
        <f t="shared" si="962"/>
        <v>0</v>
      </c>
      <c r="HL188" s="941">
        <f>+SUMIFS($E188:SEW188,$E$6:SEW$6,HL$7,$E$5:SEW$5,12)</f>
        <v>0</v>
      </c>
      <c r="HM188" s="941">
        <f>+SUMIFS($E188:SEX188,$E$6:SEX$6,HM$7,$E$5:SEX$5,12)</f>
        <v>0</v>
      </c>
      <c r="HN188" s="941">
        <f>+SUMIFS($E188:SEY188,$E$6:SEY$6,HN$7,$E$5:SEY$5,12)</f>
        <v>0</v>
      </c>
      <c r="HO188" s="931"/>
      <c r="HP188" s="931"/>
      <c r="HR188" s="230" t="s">
        <v>744</v>
      </c>
      <c r="HS188" s="230">
        <v>-9.4988970189374689E-3</v>
      </c>
      <c r="HT188" s="230">
        <v>-9.4988970189374689E-3</v>
      </c>
      <c r="HU188" s="934" t="str">
        <f t="shared" si="935"/>
        <v/>
      </c>
      <c r="HV188" s="934" t="str">
        <f t="shared" si="936"/>
        <v/>
      </c>
      <c r="HW188" s="934" t="str">
        <f t="shared" si="937"/>
        <v/>
      </c>
      <c r="HX188" s="934" t="str">
        <f t="shared" si="938"/>
        <v/>
      </c>
      <c r="HY188" s="934" t="str">
        <f t="shared" si="938"/>
        <v/>
      </c>
      <c r="HZ188" s="934" t="str">
        <f t="shared" si="938"/>
        <v/>
      </c>
      <c r="IA188" s="934" t="str">
        <f t="shared" si="868"/>
        <v/>
      </c>
      <c r="IB188" s="230">
        <v>-9.4988970189374689E-3</v>
      </c>
      <c r="IC188" s="934" t="str">
        <f t="shared" si="869"/>
        <v/>
      </c>
      <c r="IE188" s="931">
        <v>82.956999999999994</v>
      </c>
      <c r="IF188" s="931">
        <v>82.956999999999994</v>
      </c>
      <c r="IG188" s="931">
        <v>82.956999999999994</v>
      </c>
      <c r="IH188" s="931">
        <f t="shared" si="939"/>
        <v>0</v>
      </c>
      <c r="II188" s="931">
        <f t="shared" si="894"/>
        <v>0</v>
      </c>
      <c r="IJ188" s="931">
        <f t="shared" si="895"/>
        <v>0</v>
      </c>
      <c r="IK188" s="931">
        <f t="shared" si="896"/>
        <v>0</v>
      </c>
      <c r="IL188" s="931">
        <f t="shared" si="870"/>
        <v>0</v>
      </c>
      <c r="IM188" s="931">
        <v>82.956999999999994</v>
      </c>
      <c r="IN188" s="931">
        <f t="shared" si="871"/>
        <v>0</v>
      </c>
      <c r="IP188" s="186"/>
      <c r="IQ188" s="186"/>
      <c r="IR188" s="186"/>
      <c r="IS188" s="186"/>
      <c r="IT188" s="186"/>
      <c r="IU188" s="186"/>
      <c r="IV188" s="186"/>
      <c r="IW188" s="186"/>
      <c r="IX188" s="186"/>
      <c r="IY188" s="186"/>
      <c r="JA188" s="931">
        <f t="shared" si="965"/>
        <v>0</v>
      </c>
      <c r="JB188" s="931">
        <f t="shared" si="965"/>
        <v>82.956999999999994</v>
      </c>
      <c r="JC188" s="931">
        <f t="shared" si="965"/>
        <v>82.168999999999997</v>
      </c>
      <c r="JD188" s="931">
        <f t="shared" si="965"/>
        <v>0</v>
      </c>
      <c r="JE188" s="931">
        <f t="shared" si="965"/>
        <v>0</v>
      </c>
      <c r="JF188" s="931">
        <f t="shared" si="965"/>
        <v>0</v>
      </c>
      <c r="JG188" s="931">
        <f t="shared" si="965"/>
        <v>0</v>
      </c>
      <c r="JH188" s="931">
        <f t="shared" si="965"/>
        <v>0</v>
      </c>
      <c r="JI188" s="931">
        <f t="shared" si="965"/>
        <v>0</v>
      </c>
      <c r="JJ188" s="931">
        <f t="shared" si="965"/>
        <v>0</v>
      </c>
      <c r="JK188" s="931">
        <f t="shared" si="965"/>
        <v>0</v>
      </c>
      <c r="JL188" s="931">
        <f t="shared" si="966"/>
        <v>0</v>
      </c>
      <c r="JM188" s="931"/>
      <c r="JN188" s="931"/>
      <c r="JP188" s="931">
        <f t="shared" si="897"/>
        <v>0</v>
      </c>
      <c r="JQ188" s="931">
        <f t="shared" si="898"/>
        <v>0</v>
      </c>
      <c r="JR188" s="145"/>
      <c r="JS188" s="230">
        <v>0</v>
      </c>
      <c r="JT188" s="931">
        <v>-37.529635909999996</v>
      </c>
      <c r="JV188" s="973"/>
      <c r="JW188" s="973"/>
      <c r="JY188" s="934">
        <f t="shared" si="925"/>
        <v>-9.4988970189374689E-3</v>
      </c>
      <c r="JZ188" s="934">
        <f t="shared" si="926"/>
        <v>-1</v>
      </c>
      <c r="KA188" s="934" t="str">
        <f t="shared" si="927"/>
        <v/>
      </c>
      <c r="KB188" s="934" t="str">
        <f t="shared" si="928"/>
        <v/>
      </c>
      <c r="KC188" s="934" t="str">
        <f t="shared" si="929"/>
        <v/>
      </c>
      <c r="KD188" s="934" t="str">
        <f t="shared" si="930"/>
        <v/>
      </c>
      <c r="KE188" s="934" t="str">
        <f t="shared" si="931"/>
        <v/>
      </c>
      <c r="KF188" s="934" t="str">
        <f t="shared" si="932"/>
        <v/>
      </c>
      <c r="KH188" s="931">
        <f t="shared" si="900"/>
        <v>-0.7879999999999967</v>
      </c>
      <c r="KI188" s="931">
        <f t="shared" si="901"/>
        <v>-82.168999999999997</v>
      </c>
      <c r="KJ188" s="931">
        <f t="shared" si="902"/>
        <v>0</v>
      </c>
      <c r="KK188" s="931">
        <f t="shared" si="903"/>
        <v>0</v>
      </c>
      <c r="KL188" s="931">
        <f t="shared" si="904"/>
        <v>0</v>
      </c>
      <c r="KM188" s="931">
        <f t="shared" si="905"/>
        <v>0</v>
      </c>
      <c r="KN188" s="931">
        <f t="shared" si="906"/>
        <v>0</v>
      </c>
      <c r="KO188" s="931">
        <f t="shared" si="907"/>
        <v>0</v>
      </c>
      <c r="KQ188" s="186"/>
      <c r="KR188" s="186"/>
      <c r="KS188" s="186"/>
      <c r="KT188" s="186"/>
      <c r="KU188" s="186"/>
      <c r="KV188" s="186"/>
      <c r="KW188" s="186"/>
      <c r="KX188" s="186"/>
      <c r="KY188" s="186"/>
      <c r="KZ188" s="186"/>
      <c r="LB188" s="931">
        <f t="shared" si="967"/>
        <v>0</v>
      </c>
      <c r="LC188" s="931">
        <f t="shared" si="967"/>
        <v>82.956999999999994</v>
      </c>
      <c r="LD188" s="931">
        <f t="shared" si="967"/>
        <v>82.168999999999997</v>
      </c>
      <c r="LE188" s="931">
        <f t="shared" si="967"/>
        <v>0</v>
      </c>
      <c r="LF188" s="931">
        <f t="shared" si="967"/>
        <v>0</v>
      </c>
      <c r="LG188" s="931">
        <f t="shared" si="967"/>
        <v>0</v>
      </c>
      <c r="LH188" s="931">
        <f t="shared" si="967"/>
        <v>0</v>
      </c>
      <c r="LI188" s="931">
        <f t="shared" si="967"/>
        <v>0</v>
      </c>
      <c r="LJ188" s="931">
        <f t="shared" si="967"/>
        <v>0</v>
      </c>
      <c r="LK188" s="931">
        <f t="shared" si="967"/>
        <v>0</v>
      </c>
      <c r="LL188" s="931">
        <f t="shared" si="967"/>
        <v>0</v>
      </c>
      <c r="LM188" s="931">
        <f t="shared" si="967"/>
        <v>0</v>
      </c>
      <c r="LN188" s="931"/>
      <c r="LO188" s="931"/>
      <c r="LR188" s="230">
        <f t="shared" si="908"/>
        <v>-9.4988970189374689E-3</v>
      </c>
      <c r="LS188" s="230">
        <f t="shared" si="909"/>
        <v>-1</v>
      </c>
      <c r="LT188" s="230" t="str">
        <f t="shared" si="910"/>
        <v xml:space="preserve"> </v>
      </c>
      <c r="LU188" s="230" t="str">
        <f t="shared" si="911"/>
        <v xml:space="preserve"> </v>
      </c>
      <c r="LV188" s="230" t="str">
        <f t="shared" si="912"/>
        <v xml:space="preserve"> </v>
      </c>
      <c r="LW188" s="230" t="str">
        <f t="shared" si="913"/>
        <v xml:space="preserve"> </v>
      </c>
      <c r="LX188" s="230" t="str">
        <f t="shared" si="963"/>
        <v xml:space="preserve"> </v>
      </c>
      <c r="LZ188" s="931">
        <f t="shared" si="914"/>
        <v>-0.7879999999999967</v>
      </c>
      <c r="MA188" s="931">
        <f t="shared" si="915"/>
        <v>-82.168999999999997</v>
      </c>
      <c r="MB188" s="931">
        <f t="shared" si="916"/>
        <v>0</v>
      </c>
      <c r="MC188" s="931">
        <f t="shared" si="917"/>
        <v>0</v>
      </c>
      <c r="MD188" s="931">
        <f t="shared" si="918"/>
        <v>0</v>
      </c>
      <c r="ME188" s="931">
        <f t="shared" si="919"/>
        <v>0</v>
      </c>
      <c r="MF188" s="931">
        <f t="shared" si="964"/>
        <v>0</v>
      </c>
      <c r="MH188" s="186"/>
      <c r="MI188" s="186"/>
      <c r="MJ188" s="186"/>
      <c r="MK188" s="186"/>
      <c r="ML188" s="186"/>
      <c r="MM188" s="186"/>
      <c r="MN188" s="186"/>
      <c r="MO188" s="186"/>
      <c r="MP188" s="186"/>
    </row>
    <row r="189" spans="1:354" outlineLevel="1">
      <c r="A189" s="884"/>
      <c r="B189" s="70"/>
      <c r="E189" s="66"/>
      <c r="F189" s="66"/>
      <c r="G189" s="66"/>
      <c r="H189" s="66"/>
      <c r="I189" s="66"/>
      <c r="J189" s="66"/>
      <c r="K189" s="66"/>
      <c r="L189" s="66"/>
      <c r="M189" s="66"/>
      <c r="N189" s="66"/>
      <c r="O189" s="66"/>
      <c r="P189" s="66"/>
      <c r="Q189" s="102"/>
      <c r="R189" s="66"/>
      <c r="S189" s="66"/>
      <c r="T189" s="66"/>
      <c r="U189" s="66"/>
      <c r="V189" s="66"/>
      <c r="W189" s="66"/>
      <c r="X189" s="66"/>
      <c r="Y189" s="66"/>
      <c r="Z189" s="66"/>
      <c r="AA189" s="66"/>
      <c r="AB189" s="66"/>
      <c r="AC189" s="102"/>
      <c r="AD189" s="102"/>
      <c r="AE189" s="102"/>
      <c r="AF189" s="102"/>
      <c r="AG189" s="102"/>
      <c r="AH189" s="102"/>
      <c r="AI189" s="102"/>
      <c r="AJ189" s="102"/>
      <c r="AK189" s="102"/>
      <c r="AL189" s="102"/>
      <c r="AM189" s="102"/>
      <c r="AN189" s="102"/>
      <c r="AO189" s="102"/>
      <c r="AP189" s="145"/>
      <c r="AQ189" s="143"/>
      <c r="AR189" s="143"/>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52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940"/>
      <c r="DR189" s="940"/>
      <c r="DS189" s="940"/>
      <c r="DT189" s="940"/>
      <c r="DU189" s="940"/>
      <c r="DV189" s="940"/>
      <c r="DW189" s="940"/>
      <c r="DX189" s="940"/>
      <c r="DY189" s="940"/>
      <c r="DZ189" s="940"/>
      <c r="EA189" s="940"/>
      <c r="EB189" s="940"/>
      <c r="EC189" s="940"/>
      <c r="ED189" s="940"/>
      <c r="EE189" s="940"/>
      <c r="EF189" s="940"/>
      <c r="EH189" s="102"/>
      <c r="EI189" s="102"/>
      <c r="EJ189" s="102"/>
      <c r="EK189" s="102"/>
      <c r="EL189" s="102"/>
      <c r="EM189" s="102"/>
      <c r="EN189" s="102"/>
      <c r="EO189" s="102"/>
      <c r="EP189" s="102"/>
      <c r="EQ189" s="102"/>
      <c r="ER189" s="102"/>
      <c r="ES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D189" s="102"/>
      <c r="HE189" s="102"/>
      <c r="HF189" s="102"/>
      <c r="HG189" s="102"/>
      <c r="HH189" s="102"/>
      <c r="HI189" s="102"/>
      <c r="HJ189" s="102">
        <f t="shared" si="961"/>
        <v>0</v>
      </c>
      <c r="HK189" s="102">
        <f t="shared" si="962"/>
        <v>0</v>
      </c>
      <c r="HL189" s="940">
        <f>+SUMIFS($E189:SEW189,$E$6:SEW$6,HL$7,$E$5:SEW$5,12)</f>
        <v>0</v>
      </c>
      <c r="HM189" s="940">
        <f>+SUMIFS($E189:SEX189,$E$6:SEX$6,HM$7,$E$5:SEX$5,12)</f>
        <v>0</v>
      </c>
      <c r="HN189" s="940">
        <f>+SUMIFS($E189:SEY189,$E$6:SEY$6,HN$7,$E$5:SEY$5,12)</f>
        <v>0</v>
      </c>
      <c r="HO189" s="102"/>
      <c r="HP189" s="102"/>
      <c r="HR189" s="32"/>
      <c r="HS189" s="32"/>
      <c r="HT189" s="32"/>
      <c r="HU189" s="929"/>
      <c r="HV189" s="929"/>
      <c r="HW189" s="929"/>
      <c r="HX189" s="929"/>
      <c r="HY189" s="929"/>
      <c r="HZ189" s="929"/>
      <c r="IA189" s="929" t="str">
        <f t="shared" si="868"/>
        <v/>
      </c>
      <c r="IB189" s="32"/>
      <c r="IC189" s="929" t="str">
        <f t="shared" si="869"/>
        <v/>
      </c>
      <c r="IE189" s="102"/>
      <c r="IF189" s="102"/>
      <c r="IG189" s="102"/>
      <c r="IH189" s="102"/>
      <c r="II189" s="102">
        <f t="shared" si="894"/>
        <v>0</v>
      </c>
      <c r="IJ189" s="102">
        <f t="shared" si="895"/>
        <v>0</v>
      </c>
      <c r="IK189" s="102">
        <f t="shared" si="896"/>
        <v>0</v>
      </c>
      <c r="IL189" s="102">
        <f t="shared" si="870"/>
        <v>0</v>
      </c>
      <c r="IM189" s="102"/>
      <c r="IN189" s="102">
        <f t="shared" si="871"/>
        <v>0</v>
      </c>
      <c r="JA189" s="102"/>
      <c r="JB189" s="102"/>
      <c r="JC189" s="102"/>
      <c r="JD189" s="102"/>
      <c r="JE189" s="102"/>
      <c r="JF189" s="102"/>
      <c r="JG189" s="102"/>
      <c r="JH189" s="102"/>
      <c r="JI189" s="102"/>
      <c r="JJ189" s="102"/>
      <c r="JK189" s="102"/>
      <c r="JL189" s="102"/>
      <c r="JM189" s="102"/>
      <c r="JN189" s="102"/>
      <c r="JP189" s="102"/>
      <c r="JQ189" s="102"/>
      <c r="JR189" s="145"/>
      <c r="JS189" s="32"/>
      <c r="JT189" s="102"/>
      <c r="JY189" s="32"/>
      <c r="JZ189" s="32"/>
      <c r="KA189" s="32"/>
      <c r="KB189" s="32"/>
      <c r="KC189" s="32"/>
      <c r="KD189" s="32"/>
      <c r="KE189" s="32"/>
      <c r="KF189" s="32"/>
      <c r="KH189" s="102"/>
      <c r="KI189" s="102"/>
      <c r="KJ189" s="102"/>
      <c r="KK189" s="102"/>
      <c r="KL189" s="102"/>
      <c r="KM189" s="102"/>
      <c r="KN189" s="102"/>
      <c r="KO189" s="102"/>
      <c r="LB189" s="102"/>
      <c r="LC189" s="102"/>
      <c r="LD189" s="102"/>
      <c r="LE189" s="102"/>
      <c r="LF189" s="102"/>
      <c r="LG189" s="102"/>
      <c r="LH189" s="102"/>
      <c r="LI189" s="102"/>
      <c r="LJ189" s="102"/>
      <c r="LK189" s="102"/>
      <c r="LL189" s="102"/>
      <c r="LM189" s="102"/>
      <c r="LN189" s="102"/>
      <c r="LO189" s="102"/>
      <c r="LR189" s="32"/>
      <c r="LS189" s="32"/>
      <c r="LT189" s="32"/>
      <c r="LU189" s="32"/>
      <c r="LV189" s="32"/>
      <c r="LW189" s="32"/>
      <c r="LX189" s="32" t="str">
        <f t="shared" si="963"/>
        <v xml:space="preserve"> </v>
      </c>
      <c r="LZ189" s="102"/>
      <c r="MA189" s="102"/>
      <c r="MB189" s="102"/>
      <c r="MC189" s="102"/>
      <c r="MD189" s="102"/>
      <c r="ME189" s="102"/>
      <c r="MF189" s="102">
        <f t="shared" si="964"/>
        <v>0</v>
      </c>
    </row>
    <row r="190" spans="1:354">
      <c r="A190" s="884"/>
      <c r="B190" s="70"/>
      <c r="C190" s="1549" t="s">
        <v>148</v>
      </c>
      <c r="D190" s="1550" t="s">
        <v>59</v>
      </c>
      <c r="E190" s="1515">
        <f t="shared" ref="E190:BP190" si="973">+SUM(E191:E193,E196)</f>
        <v>1313.6539667172001</v>
      </c>
      <c r="F190" s="1515">
        <f t="shared" si="973"/>
        <v>1653.5488994841</v>
      </c>
      <c r="G190" s="1515">
        <f t="shared" si="973"/>
        <v>1351.7822683622999</v>
      </c>
      <c r="H190" s="1515">
        <f t="shared" si="973"/>
        <v>1132.8581796741</v>
      </c>
      <c r="I190" s="1515">
        <f t="shared" si="973"/>
        <v>1199.1442466013004</v>
      </c>
      <c r="J190" s="1515">
        <f t="shared" si="973"/>
        <v>1389.9778773146004</v>
      </c>
      <c r="K190" s="1515">
        <f t="shared" si="973"/>
        <v>1623.8064573019997</v>
      </c>
      <c r="L190" s="1515">
        <f t="shared" si="973"/>
        <v>2097.0908458703007</v>
      </c>
      <c r="M190" s="1515">
        <f t="shared" si="973"/>
        <v>2571.5245478827014</v>
      </c>
      <c r="N190" s="1515">
        <f t="shared" si="973"/>
        <v>2818.7869996390018</v>
      </c>
      <c r="O190" s="1515">
        <f t="shared" si="973"/>
        <v>3603.9346962220989</v>
      </c>
      <c r="P190" s="1515">
        <f t="shared" si="973"/>
        <v>4799.1225999999997</v>
      </c>
      <c r="Q190" s="1515">
        <f t="shared" si="973"/>
        <v>3576.3416871402997</v>
      </c>
      <c r="R190" s="1515">
        <f t="shared" si="973"/>
        <v>3542.1459992350997</v>
      </c>
      <c r="S190" s="1515">
        <f t="shared" si="973"/>
        <v>3243.2857136783</v>
      </c>
      <c r="T190" s="1515">
        <f t="shared" si="973"/>
        <v>175.49530790130075</v>
      </c>
      <c r="U190" s="1515">
        <f t="shared" si="973"/>
        <v>678.80278794790081</v>
      </c>
      <c r="V190" s="1515">
        <f t="shared" si="973"/>
        <v>1077.9067843460987</v>
      </c>
      <c r="W190" s="1515">
        <f t="shared" si="973"/>
        <v>1291.5445826576984</v>
      </c>
      <c r="X190" s="1515">
        <f t="shared" si="973"/>
        <v>1754.9091125373004</v>
      </c>
      <c r="Y190" s="1515">
        <f t="shared" si="973"/>
        <v>1424.9535813961015</v>
      </c>
      <c r="Z190" s="1515">
        <f t="shared" si="973"/>
        <v>1448.7155633570999</v>
      </c>
      <c r="AA190" s="1515">
        <f t="shared" si="973"/>
        <v>2300.4712146313</v>
      </c>
      <c r="AB190" s="1515">
        <f t="shared" si="973"/>
        <v>3470.2798959299998</v>
      </c>
      <c r="AC190" s="1515">
        <f t="shared" si="973"/>
        <v>3380.9587838299999</v>
      </c>
      <c r="AD190" s="1515">
        <f t="shared" si="973"/>
        <v>3696.0696568099997</v>
      </c>
      <c r="AE190" s="1515">
        <f t="shared" si="973"/>
        <v>8149.9701348419994</v>
      </c>
      <c r="AF190" s="1515">
        <f t="shared" si="973"/>
        <v>1286.8748577699998</v>
      </c>
      <c r="AG190" s="1515">
        <f t="shared" si="973"/>
        <v>1492.4771436199999</v>
      </c>
      <c r="AH190" s="1515">
        <f t="shared" si="973"/>
        <v>1750.7357493538</v>
      </c>
      <c r="AI190" s="1515">
        <f t="shared" si="973"/>
        <v>1858.4241727900001</v>
      </c>
      <c r="AJ190" s="1515">
        <f t="shared" si="973"/>
        <v>2178.8456283400001</v>
      </c>
      <c r="AK190" s="1515">
        <f t="shared" si="973"/>
        <v>2573.2569188699999</v>
      </c>
      <c r="AL190" s="1515">
        <f t="shared" si="973"/>
        <v>3152.9604056199996</v>
      </c>
      <c r="AM190" s="1515">
        <f t="shared" si="973"/>
        <v>4297.7435941599997</v>
      </c>
      <c r="AN190" s="1515">
        <f t="shared" si="973"/>
        <v>6118.2493911000001</v>
      </c>
      <c r="AO190" s="1515">
        <f t="shared" si="973"/>
        <v>5981.14335407</v>
      </c>
      <c r="AP190" s="1515">
        <f t="shared" si="973"/>
        <v>5624.6589532699991</v>
      </c>
      <c r="AQ190" s="1515">
        <f t="shared" si="973"/>
        <v>5439.8771048500003</v>
      </c>
      <c r="AR190" s="1515">
        <f t="shared" si="973"/>
        <v>1279.5724204600001</v>
      </c>
      <c r="AS190" s="1515">
        <f t="shared" si="973"/>
        <v>549.76006367999992</v>
      </c>
      <c r="AT190" s="1515">
        <f t="shared" si="973"/>
        <v>262.05008780000003</v>
      </c>
      <c r="AU190" s="1515">
        <f t="shared" si="973"/>
        <v>328.87395050000009</v>
      </c>
      <c r="AV190" s="1515">
        <f t="shared" si="973"/>
        <v>399.91897891000008</v>
      </c>
      <c r="AW190" s="1515">
        <f t="shared" si="973"/>
        <v>132.33247664999999</v>
      </c>
      <c r="AX190" s="1515">
        <f t="shared" si="973"/>
        <v>1343.5889562300001</v>
      </c>
      <c r="AY190" s="1515">
        <f t="shared" si="973"/>
        <v>1346.3226199799999</v>
      </c>
      <c r="AZ190" s="1515">
        <f t="shared" si="973"/>
        <v>2303.2292436299999</v>
      </c>
      <c r="BA190" s="1515">
        <f t="shared" si="973"/>
        <v>2126.4975594100001</v>
      </c>
      <c r="BB190" s="1515">
        <f t="shared" si="973"/>
        <v>2153.2149492799999</v>
      </c>
      <c r="BC190" s="1515">
        <f t="shared" si="973"/>
        <v>2273.30236066</v>
      </c>
      <c r="BD190" s="1515">
        <f t="shared" si="973"/>
        <v>2183.8283346900002</v>
      </c>
      <c r="BE190" s="1515">
        <f t="shared" si="973"/>
        <v>2192.4998673999999</v>
      </c>
      <c r="BF190" s="1515">
        <f t="shared" si="973"/>
        <v>2176.7772751699999</v>
      </c>
      <c r="BG190" s="1515">
        <f t="shared" si="973"/>
        <v>2302.77961125</v>
      </c>
      <c r="BH190" s="1515">
        <f t="shared" si="973"/>
        <v>1688.61527733</v>
      </c>
      <c r="BI190" s="1515">
        <f t="shared" si="973"/>
        <v>1728.1918284400001</v>
      </c>
      <c r="BJ190" s="1515">
        <f t="shared" si="973"/>
        <v>1747.7865568000002</v>
      </c>
      <c r="BK190" s="1515">
        <f t="shared" si="973"/>
        <v>1779.3331585400001</v>
      </c>
      <c r="BL190" s="1515">
        <f t="shared" si="973"/>
        <v>1915.99864789</v>
      </c>
      <c r="BM190" s="1515">
        <f t="shared" si="973"/>
        <v>915.30386747</v>
      </c>
      <c r="BN190" s="1515">
        <f>+SUM(BN191:BN193,BN196)</f>
        <v>902.05935989</v>
      </c>
      <c r="BO190" s="1515">
        <f t="shared" si="973"/>
        <v>935.51967638000008</v>
      </c>
      <c r="BP190" s="1515">
        <f t="shared" si="973"/>
        <v>939.47885371000007</v>
      </c>
      <c r="BQ190" s="1515">
        <f t="shared" ref="BQ190:EB190" si="974">+SUM(BQ191:BQ193,BQ196)</f>
        <v>912.22980105000011</v>
      </c>
      <c r="BR190" s="1515">
        <f t="shared" si="974"/>
        <v>938.25538805000008</v>
      </c>
      <c r="BS190" s="1515">
        <f t="shared" si="974"/>
        <v>940.13896827999997</v>
      </c>
      <c r="BT190" s="1515">
        <f t="shared" si="974"/>
        <v>982.24784893000015</v>
      </c>
      <c r="BU190" s="1515">
        <f t="shared" si="974"/>
        <v>973.83622768000009</v>
      </c>
      <c r="BV190" s="1515">
        <f t="shared" si="974"/>
        <v>997.86276423000004</v>
      </c>
      <c r="BW190" s="1515">
        <f t="shared" si="974"/>
        <v>1135.1839753200002</v>
      </c>
      <c r="BX190" s="1515">
        <f t="shared" si="974"/>
        <v>30.439543</v>
      </c>
      <c r="BY190" s="1515">
        <f t="shared" si="974"/>
        <v>508.93349866999995</v>
      </c>
      <c r="BZ190" s="1515">
        <f t="shared" si="974"/>
        <v>472.75083882000001</v>
      </c>
      <c r="CA190" s="1515">
        <f t="shared" si="974"/>
        <v>473.93830601999997</v>
      </c>
      <c r="CB190" s="1515">
        <f t="shared" si="974"/>
        <v>478.26979646000001</v>
      </c>
      <c r="CC190" s="1515">
        <f t="shared" si="974"/>
        <v>485.27811426</v>
      </c>
      <c r="CD190" s="1515">
        <f t="shared" si="974"/>
        <v>487.50264566999999</v>
      </c>
      <c r="CE190" s="1515">
        <f t="shared" si="974"/>
        <v>444.25055479999997</v>
      </c>
      <c r="CF190" s="1515">
        <f t="shared" si="974"/>
        <v>444.98902465000003</v>
      </c>
      <c r="CG190" s="1515">
        <f t="shared" si="974"/>
        <v>523.62375358999998</v>
      </c>
      <c r="CH190" s="1515">
        <f t="shared" si="974"/>
        <v>538.66110790000005</v>
      </c>
      <c r="CI190" s="1515">
        <f t="shared" si="974"/>
        <v>647.37613271999999</v>
      </c>
      <c r="CJ190" s="1515">
        <f t="shared" si="974"/>
        <v>205.67228679000002</v>
      </c>
      <c r="CK190" s="1515">
        <f t="shared" si="974"/>
        <v>684.66766968000002</v>
      </c>
      <c r="CL190" s="1515">
        <f t="shared" si="974"/>
        <v>722.61953683000002</v>
      </c>
      <c r="CM190" s="1515">
        <f t="shared" si="974"/>
        <v>652.88472963000004</v>
      </c>
      <c r="CN190" s="1515">
        <f t="shared" si="974"/>
        <v>697.39534562999995</v>
      </c>
      <c r="CO190" s="1515">
        <f t="shared" si="974"/>
        <v>802.62871964999999</v>
      </c>
      <c r="CP190" s="1515">
        <f t="shared" si="974"/>
        <v>775.40064902999995</v>
      </c>
      <c r="CQ190" s="1515">
        <f t="shared" si="974"/>
        <v>859.34255704999998</v>
      </c>
      <c r="CR190" s="1515">
        <f t="shared" si="974"/>
        <v>955.01922137999998</v>
      </c>
      <c r="CS190" s="1515">
        <f t="shared" si="974"/>
        <v>833.49341229000004</v>
      </c>
      <c r="CT190" s="1515">
        <f t="shared" si="974"/>
        <v>911.37385372999995</v>
      </c>
      <c r="CU190" s="1515">
        <f t="shared" si="974"/>
        <v>942.82960832999993</v>
      </c>
      <c r="CV190" s="1515">
        <f t="shared" si="974"/>
        <v>373.91695800000002</v>
      </c>
      <c r="CW190" s="1515">
        <f t="shared" si="974"/>
        <v>1037.6344999500002</v>
      </c>
      <c r="CX190" s="1515">
        <f t="shared" si="974"/>
        <v>873.04733697000006</v>
      </c>
      <c r="CY190" s="1515">
        <f t="shared" si="974"/>
        <v>969.26553166999997</v>
      </c>
      <c r="CZ190" s="1515">
        <f t="shared" si="974"/>
        <v>715.87135927000008</v>
      </c>
      <c r="DA190" s="1515">
        <f t="shared" si="974"/>
        <v>714.7139889</v>
      </c>
      <c r="DB190" s="1515">
        <f t="shared" si="974"/>
        <v>809.71072804000005</v>
      </c>
      <c r="DC190" s="1515">
        <f t="shared" si="974"/>
        <v>941.41717631999995</v>
      </c>
      <c r="DD190" s="1515">
        <f t="shared" si="974"/>
        <v>993.26331260000006</v>
      </c>
      <c r="DE190" s="1515">
        <f t="shared" si="974"/>
        <v>1045.1664056</v>
      </c>
      <c r="DF190" s="1515">
        <f t="shared" si="974"/>
        <v>979.05924660000005</v>
      </c>
      <c r="DG190" s="1515">
        <f t="shared" si="974"/>
        <v>963.92095946999996</v>
      </c>
      <c r="DH190" s="1515">
        <f t="shared" si="974"/>
        <v>590.95609141</v>
      </c>
      <c r="DI190" s="1515">
        <f t="shared" si="974"/>
        <v>1134.7466673499998</v>
      </c>
      <c r="DJ190" s="1515">
        <f t="shared" si="974"/>
        <v>1052.3608657899999</v>
      </c>
      <c r="DK190" s="1515">
        <f t="shared" si="974"/>
        <v>1010.3341426</v>
      </c>
      <c r="DL190" s="1515">
        <f t="shared" si="974"/>
        <v>988.95378303999996</v>
      </c>
      <c r="DM190" s="1515">
        <f t="shared" si="974"/>
        <v>993.94809005999991</v>
      </c>
      <c r="DN190" s="1515">
        <f t="shared" si="974"/>
        <v>955.30041222999989</v>
      </c>
      <c r="DO190" s="1515">
        <f t="shared" si="974"/>
        <v>1025.9844612100001</v>
      </c>
      <c r="DP190" s="1515">
        <f t="shared" si="974"/>
        <v>922.5499734</v>
      </c>
      <c r="DQ190" s="1516">
        <f t="shared" si="974"/>
        <v>1004.9409342399999</v>
      </c>
      <c r="DR190" s="1516">
        <f t="shared" si="974"/>
        <v>1013.74286537</v>
      </c>
      <c r="DS190" s="1516">
        <f t="shared" si="974"/>
        <v>1053.7324833399998</v>
      </c>
      <c r="DT190" s="1516">
        <f t="shared" si="974"/>
        <v>977.09399556000005</v>
      </c>
      <c r="DU190" s="1516">
        <f t="shared" si="974"/>
        <v>1500.03182775</v>
      </c>
      <c r="DV190" s="1516">
        <f t="shared" si="974"/>
        <v>1289.4867969100001</v>
      </c>
      <c r="DW190" s="1516">
        <f t="shared" si="974"/>
        <v>1133.49757387</v>
      </c>
      <c r="DX190" s="1516">
        <f t="shared" si="974"/>
        <v>1265.78019715</v>
      </c>
      <c r="DY190" s="1516">
        <f t="shared" si="974"/>
        <v>1226.11537204</v>
      </c>
      <c r="DZ190" s="1516">
        <f t="shared" si="974"/>
        <v>1452.5376055500001</v>
      </c>
      <c r="EA190" s="1516">
        <f t="shared" si="974"/>
        <v>1560.2040195899999</v>
      </c>
      <c r="EB190" s="1516">
        <f t="shared" si="974"/>
        <v>1689.10282106</v>
      </c>
      <c r="EC190" s="1516">
        <f t="shared" ref="EC190:EF190" si="975">+SUM(EC191:EC193,EC196)</f>
        <v>1603.2248928800002</v>
      </c>
      <c r="ED190" s="1516">
        <f t="shared" si="975"/>
        <v>1991.07255921</v>
      </c>
      <c r="EE190" s="1516">
        <f t="shared" si="975"/>
        <v>2397.63449726</v>
      </c>
      <c r="EF190" s="1516">
        <f t="shared" si="975"/>
        <v>1610.7007572499999</v>
      </c>
      <c r="EG190" s="77"/>
      <c r="EH190" s="1515">
        <f t="shared" ref="EH190:ES190" si="976">+SUM(EH191:EH193,EH196)</f>
        <v>1037.6344999500002</v>
      </c>
      <c r="EI190" s="1515">
        <f t="shared" si="976"/>
        <v>873.04733697000006</v>
      </c>
      <c r="EJ190" s="1515">
        <f t="shared" si="976"/>
        <v>969.26553166999997</v>
      </c>
      <c r="EK190" s="1515">
        <f t="shared" si="976"/>
        <v>715.87135927000008</v>
      </c>
      <c r="EL190" s="1515">
        <f t="shared" si="976"/>
        <v>714.7139889</v>
      </c>
      <c r="EM190" s="1515">
        <f t="shared" si="976"/>
        <v>809.71072804000005</v>
      </c>
      <c r="EN190" s="1515">
        <f t="shared" si="976"/>
        <v>620.13548715499996</v>
      </c>
      <c r="EO190" s="1515">
        <f t="shared" si="976"/>
        <v>620.13548715499996</v>
      </c>
      <c r="EP190" s="1515">
        <f t="shared" si="976"/>
        <v>430.56024627000005</v>
      </c>
      <c r="EQ190" s="1515">
        <f t="shared" si="976"/>
        <v>430.56024627000005</v>
      </c>
      <c r="ER190" s="1515">
        <f t="shared" si="976"/>
        <v>430.56024627000005</v>
      </c>
      <c r="ES190" s="1515">
        <f t="shared" si="976"/>
        <v>430.56024627000005</v>
      </c>
      <c r="ET190" s="279"/>
      <c r="EU190" s="1515">
        <f t="shared" ref="EU190:FZ190" si="977">+SUM(EU191:EU193,EU196)</f>
        <v>7560.2515317890156</v>
      </c>
      <c r="EV190" s="1515">
        <f t="shared" si="977"/>
        <v>10359.23573241106</v>
      </c>
      <c r="EW190" s="1515">
        <f t="shared" si="977"/>
        <v>9984.8090849602795</v>
      </c>
      <c r="EX190" s="1515">
        <f t="shared" si="977"/>
        <v>6053.2523457286161</v>
      </c>
      <c r="EY190" s="1515">
        <f t="shared" si="977"/>
        <v>5868.2770805743867</v>
      </c>
      <c r="EZ190" s="1515">
        <f t="shared" si="977"/>
        <v>5763.8366142245404</v>
      </c>
      <c r="FA190" s="1515">
        <f t="shared" si="977"/>
        <v>5988.33622474599</v>
      </c>
      <c r="FB190" s="1515">
        <f t="shared" si="977"/>
        <v>6534.2058539579803</v>
      </c>
      <c r="FC190" s="1515">
        <f t="shared" si="977"/>
        <v>6763.0071976272611</v>
      </c>
      <c r="FD190" s="1515">
        <f t="shared" si="977"/>
        <v>7085.4086394768437</v>
      </c>
      <c r="FE190" s="1515">
        <f t="shared" si="977"/>
        <v>7342.5311162288745</v>
      </c>
      <c r="FF190" s="1515">
        <f t="shared" si="977"/>
        <v>7443.6022790248235</v>
      </c>
      <c r="FG190" s="1515">
        <f t="shared" si="977"/>
        <v>9017.9813584813892</v>
      </c>
      <c r="FH190" s="1515">
        <f t="shared" si="977"/>
        <v>8788.6226341198108</v>
      </c>
      <c r="FI190" s="1515">
        <f t="shared" si="977"/>
        <v>8529.6529716859077</v>
      </c>
      <c r="FJ190" s="1515">
        <f t="shared" si="977"/>
        <v>8270.8942163246938</v>
      </c>
      <c r="FK190" s="1515">
        <f t="shared" si="977"/>
        <v>8012.3641803466608</v>
      </c>
      <c r="FL190" s="1515">
        <f t="shared" si="977"/>
        <v>7753.6804655718224</v>
      </c>
      <c r="FM190" s="1515">
        <f t="shared" si="977"/>
        <v>7494.6734357811029</v>
      </c>
      <c r="FN190" s="1515">
        <f t="shared" si="977"/>
        <v>7235.9535060933049</v>
      </c>
      <c r="FO190" s="1515">
        <f t="shared" si="977"/>
        <v>7083.8223935156138</v>
      </c>
      <c r="FP190" s="1515">
        <f t="shared" si="977"/>
        <v>6954.562863386338</v>
      </c>
      <c r="FQ190" s="1515">
        <f t="shared" si="977"/>
        <v>6967.65429891445</v>
      </c>
      <c r="FR190" s="1515">
        <f t="shared" si="977"/>
        <v>6905.8858930605238</v>
      </c>
      <c r="FS190" s="1515">
        <f t="shared" si="977"/>
        <v>1852.9902804612484</v>
      </c>
      <c r="FT190" s="1515">
        <f t="shared" si="977"/>
        <v>1805.9995454212485</v>
      </c>
      <c r="FU190" s="1515">
        <f t="shared" si="977"/>
        <v>1813.9241358045583</v>
      </c>
      <c r="FV190" s="1515">
        <f t="shared" si="977"/>
        <v>1821.1171088972085</v>
      </c>
      <c r="FW190" s="1515">
        <f t="shared" si="977"/>
        <v>1828.7868680278784</v>
      </c>
      <c r="FX190" s="1515">
        <f t="shared" si="977"/>
        <v>1835.4000339901186</v>
      </c>
      <c r="FY190" s="1515">
        <f t="shared" si="977"/>
        <v>1842.8499691030183</v>
      </c>
      <c r="FZ190" s="1515">
        <f t="shared" si="977"/>
        <v>1847.8886982430186</v>
      </c>
      <c r="GA190" s="1515">
        <f t="shared" ref="GA190:HB190" si="978">+SUM(GA191:GA193,GA196)</f>
        <v>1851.6887007430184</v>
      </c>
      <c r="GB190" s="1515">
        <f t="shared" si="978"/>
        <v>1854.7803492430185</v>
      </c>
      <c r="GC190" s="1515">
        <f t="shared" si="978"/>
        <v>1858.3895805430184</v>
      </c>
      <c r="GD190" s="1515">
        <f t="shared" si="978"/>
        <v>1861.6746498430184</v>
      </c>
      <c r="GE190" s="1515">
        <f t="shared" si="978"/>
        <v>0</v>
      </c>
      <c r="GF190" s="1515">
        <f t="shared" si="978"/>
        <v>0</v>
      </c>
      <c r="GG190" s="1515">
        <f t="shared" si="978"/>
        <v>0</v>
      </c>
      <c r="GH190" s="1515">
        <f t="shared" si="978"/>
        <v>0</v>
      </c>
      <c r="GI190" s="1515">
        <f t="shared" si="978"/>
        <v>0</v>
      </c>
      <c r="GJ190" s="1515">
        <f t="shared" si="978"/>
        <v>0</v>
      </c>
      <c r="GK190" s="1515">
        <f t="shared" si="978"/>
        <v>0</v>
      </c>
      <c r="GL190" s="1515">
        <f t="shared" si="978"/>
        <v>0</v>
      </c>
      <c r="GM190" s="1515">
        <f t="shared" si="978"/>
        <v>0</v>
      </c>
      <c r="GN190" s="1515">
        <f t="shared" si="978"/>
        <v>0</v>
      </c>
      <c r="GO190" s="1515">
        <f t="shared" si="978"/>
        <v>0</v>
      </c>
      <c r="GP190" s="1515">
        <f t="shared" si="978"/>
        <v>0</v>
      </c>
      <c r="GQ190" s="1515">
        <f t="shared" si="978"/>
        <v>0</v>
      </c>
      <c r="GR190" s="1515">
        <f t="shared" si="978"/>
        <v>0</v>
      </c>
      <c r="GS190" s="1515">
        <f t="shared" si="978"/>
        <v>0</v>
      </c>
      <c r="GT190" s="1515">
        <f t="shared" si="978"/>
        <v>0</v>
      </c>
      <c r="GU190" s="1515">
        <f t="shared" si="978"/>
        <v>0</v>
      </c>
      <c r="GV190" s="1515">
        <f t="shared" si="978"/>
        <v>0</v>
      </c>
      <c r="GW190" s="1515">
        <f t="shared" si="978"/>
        <v>0</v>
      </c>
      <c r="GX190" s="1515">
        <f t="shared" si="978"/>
        <v>0</v>
      </c>
      <c r="GY190" s="1515">
        <f t="shared" si="978"/>
        <v>0</v>
      </c>
      <c r="GZ190" s="1515">
        <f t="shared" si="978"/>
        <v>0</v>
      </c>
      <c r="HA190" s="1515">
        <f t="shared" si="978"/>
        <v>0</v>
      </c>
      <c r="HB190" s="1515">
        <f t="shared" si="978"/>
        <v>0</v>
      </c>
      <c r="HD190" s="1515">
        <f t="shared" ref="HD190:HG200" si="979">+SUMIFS($E190:$AZ190,$E$6:$AZ$6,HD$7,$E$5:$AZ$5,12)</f>
        <v>4799.1225999999997</v>
      </c>
      <c r="HE190" s="1515">
        <f t="shared" si="979"/>
        <v>3470.2798959299998</v>
      </c>
      <c r="HF190" s="1515">
        <f t="shared" si="979"/>
        <v>6118.2493911000001</v>
      </c>
      <c r="HG190" s="1515">
        <f t="shared" si="979"/>
        <v>2303.2292436299999</v>
      </c>
      <c r="HH190" s="1515">
        <f t="shared" ref="HH190:HH200" si="980">+SUMIFS($E190:$BL190,$E$6:$BL$6,HH$7,$E$5:$BL$5,12)</f>
        <v>1915.99864789</v>
      </c>
      <c r="HI190" s="1515">
        <f t="shared" ref="HI190:HI200" si="981">+SUMIFS($E190:$BX190,$E$6:$BX$6,HI$7,$E$5:$BX$5,12)</f>
        <v>30.439543</v>
      </c>
      <c r="HJ190" s="1515">
        <f t="shared" si="961"/>
        <v>205.67228679000002</v>
      </c>
      <c r="HK190" s="1515">
        <f t="shared" si="962"/>
        <v>373.91695800000002</v>
      </c>
      <c r="HL190" s="1516">
        <f>+SUMIFS($E190:SEW190,$E$6:SEW$6,HL$7,$E$5:SEW$5,12)</f>
        <v>590.95609141</v>
      </c>
      <c r="HM190" s="1516">
        <f>+SUMIFS($E190:SEX190,$E$6:SEX$6,HM$7,$E$5:SEX$5,12)</f>
        <v>977.09399556000005</v>
      </c>
      <c r="HN190" s="1516">
        <f>+SUMIFS($E190:SEY190,$E$6:SEY$6,HN$7,$E$5:SEY$5,12)</f>
        <v>1610.7007572499999</v>
      </c>
      <c r="HO190" s="1515"/>
      <c r="HP190" s="1515"/>
      <c r="HR190" s="1519">
        <f t="shared" ref="HR190:HR200" si="982">+IFERROR(HF190/HE190-1,"")</f>
        <v>0.76304205268156666</v>
      </c>
      <c r="HS190" s="1519">
        <f t="shared" ref="HS190:HS200" si="983">+IFERROR(HG190/HF190-1,"")</f>
        <v>-0.62354766921066906</v>
      </c>
      <c r="HT190" s="1519">
        <f t="shared" ref="HT190:HT200" si="984">+IFERROR(HH190/HG190-1,"")</f>
        <v>-0.1681250777841401</v>
      </c>
      <c r="HU190" s="1519">
        <f t="shared" ref="HU190:HU200" si="985">+IFERROR(HI190/HH190-1,"")</f>
        <v>-0.98411296217065625</v>
      </c>
      <c r="HV190" s="1519">
        <f t="shared" ref="HV190:HV200" si="986">+IFERROR(HJ190/HI190-1,"")</f>
        <v>5.75674686673187</v>
      </c>
      <c r="HW190" s="1519">
        <f t="shared" ref="HW190:HW200" si="987">+IFERROR(HK190/HJ190-1,"")</f>
        <v>0.81802304936583337</v>
      </c>
      <c r="HX190" s="1519">
        <f t="shared" ref="HX190:HZ200" si="988">+IFERROR(HL190/HK190-1,"")</f>
        <v>0.58044741958453772</v>
      </c>
      <c r="HY190" s="1519">
        <f t="shared" si="988"/>
        <v>0.65341217353168979</v>
      </c>
      <c r="HZ190" s="1519">
        <f t="shared" si="988"/>
        <v>0.64846039845620185</v>
      </c>
      <c r="IA190" s="1519">
        <f t="shared" si="868"/>
        <v>-1</v>
      </c>
      <c r="IB190" s="1519" t="str">
        <f t="shared" ref="IB190:IB200" si="989">+IFERROR(HP190/HO190-1,"")</f>
        <v/>
      </c>
      <c r="IC190" s="1519">
        <f t="shared" si="869"/>
        <v>-1</v>
      </c>
      <c r="IE190" s="1515">
        <f t="shared" ref="IE190:IE200" si="990">+HF190-HE190</f>
        <v>2647.9694951700003</v>
      </c>
      <c r="IF190" s="1515">
        <f t="shared" ref="IF190:IF200" si="991">+HG190-HF190</f>
        <v>-3815.0201474700002</v>
      </c>
      <c r="IG190" s="1515">
        <f t="shared" ref="IG190:IG200" si="992">+HH190-HG190</f>
        <v>-387.2305957399999</v>
      </c>
      <c r="IH190" s="1515">
        <f t="shared" ref="IH190:IH200" si="993">+HI190-HH190</f>
        <v>-1885.5591048900001</v>
      </c>
      <c r="II190" s="1515">
        <f t="shared" si="894"/>
        <v>175.23274379000003</v>
      </c>
      <c r="IJ190" s="1515">
        <f t="shared" si="895"/>
        <v>168.24467121000001</v>
      </c>
      <c r="IK190" s="1515">
        <f t="shared" si="896"/>
        <v>217.03913340999998</v>
      </c>
      <c r="IL190" s="1515">
        <f t="shared" si="870"/>
        <v>-590.95609141</v>
      </c>
      <c r="IM190" s="1515">
        <f t="shared" ref="IM190:IM200" si="994">+HP190-HO190</f>
        <v>0</v>
      </c>
      <c r="IN190" s="1515">
        <f t="shared" si="871"/>
        <v>-590.95609141</v>
      </c>
      <c r="IP190" s="1548"/>
      <c r="IQ190" s="1548"/>
      <c r="IR190" s="1548"/>
      <c r="IS190" s="1548"/>
      <c r="IT190" s="1548"/>
      <c r="IU190" s="1548"/>
      <c r="IV190" s="1548"/>
      <c r="IW190" s="1548"/>
      <c r="IX190" s="1548"/>
      <c r="IY190" s="1548"/>
      <c r="JA190" s="1515">
        <f t="shared" ref="JA190:JK200" si="995">+IFERROR(SUMIFS($E190:$EG190,$E$6:$EG$6,JA$7,$E$5:$EG$5,$JC$5),"NA")</f>
        <v>4799.1225999999997</v>
      </c>
      <c r="JB190" s="1515">
        <f t="shared" si="995"/>
        <v>3470.2798959299998</v>
      </c>
      <c r="JC190" s="1515">
        <f t="shared" si="995"/>
        <v>6118.2493911000001</v>
      </c>
      <c r="JD190" s="1515">
        <f t="shared" si="995"/>
        <v>2303.2292436299999</v>
      </c>
      <c r="JE190" s="1515">
        <f t="shared" si="995"/>
        <v>1915.99864789</v>
      </c>
      <c r="JF190" s="1515">
        <f t="shared" si="995"/>
        <v>30.439543</v>
      </c>
      <c r="JG190" s="1515">
        <f t="shared" si="995"/>
        <v>205.67228679000002</v>
      </c>
      <c r="JH190" s="1515">
        <f t="shared" si="995"/>
        <v>373.91695800000002</v>
      </c>
      <c r="JI190" s="1515">
        <f t="shared" si="995"/>
        <v>590.95609141</v>
      </c>
      <c r="JJ190" s="1515">
        <f t="shared" si="995"/>
        <v>977.09399556000005</v>
      </c>
      <c r="JK190" s="1515">
        <f t="shared" si="995"/>
        <v>1610.7007572499999</v>
      </c>
      <c r="JL190" s="1515">
        <f t="shared" ref="JL190:JL200" si="996">+IFERROR(SUMIFS($E190:$EF190,$E$6:$EF$6,JL$7,$E$5:$EF$5,$JC$5),"NA")</f>
        <v>1610.7007572499999</v>
      </c>
      <c r="JM190" s="1515"/>
      <c r="JN190" s="1515"/>
      <c r="JP190" s="1515">
        <f t="shared" ref="JP190:JP200" si="997">+JN190</f>
        <v>0</v>
      </c>
      <c r="JQ190" s="1515">
        <f t="shared" ref="JQ190:JQ200" si="998">+JM190</f>
        <v>0</v>
      </c>
      <c r="JR190" s="939"/>
      <c r="JS190" s="1519" t="str">
        <f t="shared" ref="JS190:JS200" si="999">+IFERROR(JP190/JQ190,"NA")</f>
        <v>NA</v>
      </c>
      <c r="JT190" s="1523">
        <f t="shared" ref="JT190:JT200" si="1000">+IFERROR(JP190-JQ190,"NA")</f>
        <v>0</v>
      </c>
      <c r="JV190" s="973"/>
      <c r="JW190" s="973"/>
      <c r="JY190" s="1520">
        <f t="shared" ref="JY190:KE190" si="1001">+IFERROR(JC190/JB190-1,"NA")</f>
        <v>0.76304205268156666</v>
      </c>
      <c r="JZ190" s="1520">
        <f t="shared" si="1001"/>
        <v>-0.62354766921066906</v>
      </c>
      <c r="KA190" s="1520">
        <f t="shared" si="1001"/>
        <v>-0.1681250777841401</v>
      </c>
      <c r="KB190" s="1520">
        <f t="shared" si="1001"/>
        <v>-0.98411296217065625</v>
      </c>
      <c r="KC190" s="1520">
        <f t="shared" si="1001"/>
        <v>5.75674686673187</v>
      </c>
      <c r="KD190" s="1520">
        <f t="shared" si="1001"/>
        <v>0.81802304936583337</v>
      </c>
      <c r="KE190" s="1520">
        <f t="shared" si="1001"/>
        <v>0.58044741958453772</v>
      </c>
      <c r="KF190" s="1520">
        <f>+IFERROR(JN190/JI190-1,"NA")</f>
        <v>-1</v>
      </c>
      <c r="KH190" s="1515">
        <f t="shared" ref="KH190:KH200" si="1002">+JC190-JB190</f>
        <v>2647.9694951700003</v>
      </c>
      <c r="KI190" s="1515">
        <f t="shared" ref="KI190:KI200" si="1003">+JD190-JC190</f>
        <v>-3815.0201474700002</v>
      </c>
      <c r="KJ190" s="1515">
        <f t="shared" ref="KJ190:KJ200" si="1004">+JE190-JD190</f>
        <v>-387.2305957399999</v>
      </c>
      <c r="KK190" s="1515">
        <f t="shared" ref="KK190:KK200" si="1005">+JF190-JE190</f>
        <v>-1885.5591048900001</v>
      </c>
      <c r="KL190" s="1515">
        <f t="shared" ref="KL190:KL200" si="1006">+JG190-JF190</f>
        <v>175.23274379000003</v>
      </c>
      <c r="KM190" s="1515">
        <f t="shared" ref="KM190:KM200" si="1007">+JH190-JG190</f>
        <v>168.24467121000001</v>
      </c>
      <c r="KN190" s="1515">
        <f t="shared" ref="KN190:KN200" si="1008">+JI190-JH190</f>
        <v>217.03913340999998</v>
      </c>
      <c r="KO190" s="1515">
        <f t="shared" ref="KO190:KO200" si="1009">+JN190-JI190</f>
        <v>-590.95609141</v>
      </c>
      <c r="KQ190" s="1548"/>
      <c r="KR190" s="1548"/>
      <c r="KS190" s="1548"/>
      <c r="KT190" s="1548"/>
      <c r="KU190" s="1548"/>
      <c r="KV190" s="1548"/>
      <c r="KW190" s="1548"/>
      <c r="KX190" s="1548"/>
      <c r="KY190" s="1548"/>
      <c r="KZ190" s="1548"/>
      <c r="LB190" s="1515">
        <f t="shared" ref="LB190:LM200" si="1010">+SUMIFS($E190:$EG190,$E$6:$EG$6,LB$7,$E$5:$EG$5,$LD$5)</f>
        <v>4799.1225999999997</v>
      </c>
      <c r="LC190" s="1515">
        <f t="shared" si="1010"/>
        <v>3470.2798959299998</v>
      </c>
      <c r="LD190" s="1515">
        <f t="shared" si="1010"/>
        <v>6118.2493911000001</v>
      </c>
      <c r="LE190" s="1515">
        <f t="shared" si="1010"/>
        <v>2303.2292436299999</v>
      </c>
      <c r="LF190" s="1515">
        <f t="shared" si="1010"/>
        <v>1915.99864789</v>
      </c>
      <c r="LG190" s="1515">
        <f t="shared" si="1010"/>
        <v>30.439543</v>
      </c>
      <c r="LH190" s="1515">
        <f t="shared" si="1010"/>
        <v>205.67228679000002</v>
      </c>
      <c r="LI190" s="1515">
        <f t="shared" si="1010"/>
        <v>373.91695800000002</v>
      </c>
      <c r="LJ190" s="1515">
        <f t="shared" si="1010"/>
        <v>590.95609141</v>
      </c>
      <c r="LK190" s="1515">
        <f t="shared" si="1010"/>
        <v>977.09399556000005</v>
      </c>
      <c r="LL190" s="1515">
        <f t="shared" si="1010"/>
        <v>1610.7007572499999</v>
      </c>
      <c r="LM190" s="1515">
        <f t="shared" si="1010"/>
        <v>1610.7007572499999</v>
      </c>
      <c r="LN190" s="1515"/>
      <c r="LO190" s="1515"/>
      <c r="LR190" s="1520">
        <f t="shared" ref="LR190:LR200" si="1011">+IFERROR(LD190/LC190-1," ")</f>
        <v>0.76304205268156666</v>
      </c>
      <c r="LS190" s="1520">
        <f t="shared" ref="LS190:LS200" si="1012">+IFERROR(LE190/LD190-1," ")</f>
        <v>-0.62354766921066906</v>
      </c>
      <c r="LT190" s="1520">
        <f t="shared" ref="LT190:LT200" si="1013">+IFERROR(LF190/LE190-1," ")</f>
        <v>-0.1681250777841401</v>
      </c>
      <c r="LU190" s="1520">
        <f t="shared" ref="LU190:LU200" si="1014">+IFERROR(LG190/LF190-1," ")</f>
        <v>-0.98411296217065625</v>
      </c>
      <c r="LV190" s="1520">
        <f t="shared" ref="LV190:LV200" si="1015">+IFERROR(LH190/LG190-1," ")</f>
        <v>5.75674686673187</v>
      </c>
      <c r="LW190" s="1520">
        <f t="shared" ref="LW190:LW200" si="1016">+IFERROR(LI190/LH190-1," ")</f>
        <v>0.81802304936583337</v>
      </c>
      <c r="LX190" s="1520">
        <f t="shared" si="963"/>
        <v>-1</v>
      </c>
      <c r="LZ190" s="1515">
        <f t="shared" ref="LZ190:LZ200" si="1017">+LD190-LC190</f>
        <v>2647.9694951700003</v>
      </c>
      <c r="MA190" s="1515">
        <f t="shared" ref="MA190:MA200" si="1018">+LE190-LD190</f>
        <v>-3815.0201474700002</v>
      </c>
      <c r="MB190" s="1515">
        <f t="shared" ref="MB190:MB200" si="1019">+LF190-LE190</f>
        <v>-387.2305957399999</v>
      </c>
      <c r="MC190" s="1515">
        <f t="shared" ref="MC190:MC200" si="1020">+LG190-LF190</f>
        <v>-1885.5591048900001</v>
      </c>
      <c r="MD190" s="1515">
        <f t="shared" ref="MD190:MD200" si="1021">+LH190-LG190</f>
        <v>175.23274379000003</v>
      </c>
      <c r="ME190" s="1515">
        <f t="shared" ref="ME190:ME200" si="1022">+LI190-LH190</f>
        <v>168.24467121000001</v>
      </c>
      <c r="MF190" s="1515">
        <f t="shared" si="964"/>
        <v>-373.91695800000002</v>
      </c>
      <c r="MH190" s="1548"/>
      <c r="MI190" s="1548"/>
      <c r="MJ190" s="1548"/>
      <c r="MK190" s="1548"/>
      <c r="ML190" s="1548"/>
      <c r="MM190" s="1548"/>
      <c r="MN190" s="1548"/>
      <c r="MO190" s="1548"/>
      <c r="MP190" s="1548"/>
    </row>
    <row r="191" spans="1:354" outlineLevel="1">
      <c r="A191" s="884">
        <v>2115</v>
      </c>
      <c r="B191" s="70" t="s">
        <v>745</v>
      </c>
      <c r="C191" s="17" t="s">
        <v>149</v>
      </c>
      <c r="D191" s="31" t="s">
        <v>59</v>
      </c>
      <c r="E191" s="924">
        <v>210.29515699999999</v>
      </c>
      <c r="F191" s="924">
        <v>200.858273</v>
      </c>
      <c r="G191" s="924">
        <v>191.341497</v>
      </c>
      <c r="H191" s="924">
        <v>181.73484400000001</v>
      </c>
      <c r="I191" s="924">
        <v>172.049105</v>
      </c>
      <c r="J191" s="924">
        <v>537.59135300000003</v>
      </c>
      <c r="K191" s="924">
        <v>519.62799199999995</v>
      </c>
      <c r="L191" s="924">
        <v>501.498695</v>
      </c>
      <c r="M191" s="924">
        <v>483.212425</v>
      </c>
      <c r="N191" s="924">
        <v>464.73046900000003</v>
      </c>
      <c r="O191" s="924">
        <v>672.977171</v>
      </c>
      <c r="P191" s="924">
        <v>648.83004700000004</v>
      </c>
      <c r="Q191" s="924">
        <v>0</v>
      </c>
      <c r="R191" s="924">
        <v>0</v>
      </c>
      <c r="S191" s="924">
        <v>0</v>
      </c>
      <c r="T191" s="924">
        <v>0</v>
      </c>
      <c r="U191" s="924">
        <v>0</v>
      </c>
      <c r="V191" s="924">
        <v>0</v>
      </c>
      <c r="W191" s="924">
        <v>0</v>
      </c>
      <c r="X191" s="924">
        <v>0</v>
      </c>
      <c r="Y191" s="924">
        <v>0</v>
      </c>
      <c r="Z191" s="924">
        <v>0</v>
      </c>
      <c r="AA191" s="924">
        <v>0</v>
      </c>
      <c r="AB191" s="924">
        <v>0</v>
      </c>
      <c r="AC191" s="924">
        <v>0</v>
      </c>
      <c r="AD191" s="924">
        <v>0</v>
      </c>
      <c r="AE191" s="924">
        <v>0</v>
      </c>
      <c r="AF191" s="924">
        <v>0</v>
      </c>
      <c r="AG191" s="924">
        <v>0</v>
      </c>
      <c r="AH191" s="924">
        <v>0</v>
      </c>
      <c r="AI191" s="924">
        <v>0</v>
      </c>
      <c r="AJ191" s="924">
        <v>0</v>
      </c>
      <c r="AK191" s="924">
        <v>0</v>
      </c>
      <c r="AL191" s="924">
        <v>0</v>
      </c>
      <c r="AM191" s="924">
        <v>0</v>
      </c>
      <c r="AN191" s="102">
        <v>0</v>
      </c>
      <c r="AO191" s="924">
        <v>0</v>
      </c>
      <c r="AP191" s="925">
        <v>0</v>
      </c>
      <c r="AQ191" s="220">
        <v>0</v>
      </c>
      <c r="AR191" s="220">
        <v>0</v>
      </c>
      <c r="AS191" s="924">
        <v>0</v>
      </c>
      <c r="AT191" s="924">
        <v>0</v>
      </c>
      <c r="AU191" s="924">
        <v>0</v>
      </c>
      <c r="AV191" s="924">
        <v>0</v>
      </c>
      <c r="AW191" s="924">
        <v>0</v>
      </c>
      <c r="AX191" s="924">
        <v>0</v>
      </c>
      <c r="AY191" s="924">
        <v>0</v>
      </c>
      <c r="AZ191" s="102">
        <v>0</v>
      </c>
      <c r="BA191" s="102">
        <v>0</v>
      </c>
      <c r="BB191" s="102">
        <v>0</v>
      </c>
      <c r="BC191" s="102">
        <v>0</v>
      </c>
      <c r="BD191" s="102">
        <v>0</v>
      </c>
      <c r="BE191" s="102">
        <v>0</v>
      </c>
      <c r="BF191" s="102">
        <v>0</v>
      </c>
      <c r="BG191" s="102">
        <v>0</v>
      </c>
      <c r="BH191" s="102">
        <v>0</v>
      </c>
      <c r="BI191" s="102">
        <v>0</v>
      </c>
      <c r="BJ191" s="102">
        <v>0</v>
      </c>
      <c r="BK191" s="102">
        <v>0</v>
      </c>
      <c r="BL191" s="102">
        <v>0</v>
      </c>
      <c r="BM191" s="102">
        <v>0</v>
      </c>
      <c r="BN191" s="102">
        <v>0</v>
      </c>
      <c r="BO191" s="102">
        <v>0</v>
      </c>
      <c r="BP191" s="102">
        <v>0</v>
      </c>
      <c r="BQ191" s="102">
        <v>0</v>
      </c>
      <c r="BR191" s="102">
        <v>0</v>
      </c>
      <c r="BS191" s="102">
        <v>0</v>
      </c>
      <c r="BT191" s="102">
        <v>0</v>
      </c>
      <c r="BU191" s="102">
        <v>0</v>
      </c>
      <c r="BV191" s="102">
        <v>0</v>
      </c>
      <c r="BW191" s="102">
        <v>0</v>
      </c>
      <c r="BX191" s="102">
        <v>0</v>
      </c>
      <c r="BY191" s="102">
        <v>0</v>
      </c>
      <c r="BZ191" s="102">
        <v>0</v>
      </c>
      <c r="CA191" s="102">
        <v>0</v>
      </c>
      <c r="CB191" s="102">
        <v>0</v>
      </c>
      <c r="CC191" s="102">
        <v>0</v>
      </c>
      <c r="CD191" s="102">
        <v>0</v>
      </c>
      <c r="CE191" s="102">
        <v>0</v>
      </c>
      <c r="CF191" s="102">
        <v>0</v>
      </c>
      <c r="CG191" s="102">
        <v>0</v>
      </c>
      <c r="CH191" s="102">
        <v>0</v>
      </c>
      <c r="CI191" s="102">
        <v>0</v>
      </c>
      <c r="CJ191" s="102">
        <v>0</v>
      </c>
      <c r="CK191" s="102">
        <v>0</v>
      </c>
      <c r="CL191" s="102">
        <v>0</v>
      </c>
      <c r="CM191" s="102">
        <v>0</v>
      </c>
      <c r="CN191" s="102">
        <v>0</v>
      </c>
      <c r="CO191" s="102">
        <v>0</v>
      </c>
      <c r="CP191" s="102">
        <v>0</v>
      </c>
      <c r="CQ191" s="102">
        <v>0</v>
      </c>
      <c r="CR191" s="102">
        <v>0</v>
      </c>
      <c r="CS191" s="102">
        <v>0</v>
      </c>
      <c r="CT191" s="102">
        <v>0</v>
      </c>
      <c r="CU191" s="102">
        <v>0</v>
      </c>
      <c r="CV191" s="102">
        <v>0</v>
      </c>
      <c r="CW191" s="102">
        <v>0</v>
      </c>
      <c r="CX191" s="102">
        <v>0</v>
      </c>
      <c r="CY191" s="102">
        <v>0</v>
      </c>
      <c r="CZ191" s="102">
        <v>0</v>
      </c>
      <c r="DA191" s="102">
        <v>0</v>
      </c>
      <c r="DB191" s="102">
        <v>0</v>
      </c>
      <c r="DC191" s="102">
        <v>0</v>
      </c>
      <c r="DD191" s="102">
        <v>0</v>
      </c>
      <c r="DE191" s="102">
        <v>0</v>
      </c>
      <c r="DF191" s="102">
        <v>0</v>
      </c>
      <c r="DG191" s="102">
        <v>0</v>
      </c>
      <c r="DH191" s="102">
        <v>0</v>
      </c>
      <c r="DI191" s="102">
        <v>0</v>
      </c>
      <c r="DJ191" s="102">
        <v>0</v>
      </c>
      <c r="DK191" s="102">
        <v>0</v>
      </c>
      <c r="DL191" s="102">
        <v>0</v>
      </c>
      <c r="DM191" s="102">
        <v>0</v>
      </c>
      <c r="DN191" s="102">
        <v>0</v>
      </c>
      <c r="DO191" s="102">
        <v>0</v>
      </c>
      <c r="DP191" s="102">
        <v>0</v>
      </c>
      <c r="DQ191" s="940">
        <v>0</v>
      </c>
      <c r="DR191" s="940">
        <v>0</v>
      </c>
      <c r="DS191" s="940">
        <v>0</v>
      </c>
      <c r="DT191" s="940">
        <v>0</v>
      </c>
      <c r="DU191" s="940">
        <v>0</v>
      </c>
      <c r="DV191" s="940">
        <v>0</v>
      </c>
      <c r="DW191" s="940">
        <v>0</v>
      </c>
      <c r="DX191" s="940">
        <v>0</v>
      </c>
      <c r="DY191" s="940">
        <v>0</v>
      </c>
      <c r="DZ191" s="940">
        <v>0</v>
      </c>
      <c r="EA191" s="940">
        <v>0</v>
      </c>
      <c r="EB191" s="940">
        <v>0</v>
      </c>
      <c r="EC191" s="940">
        <v>0</v>
      </c>
      <c r="ED191" s="940">
        <v>0</v>
      </c>
      <c r="EE191" s="940">
        <v>0</v>
      </c>
      <c r="EF191" s="940">
        <v>0</v>
      </c>
      <c r="EH191" s="102">
        <v>0</v>
      </c>
      <c r="EI191" s="102">
        <v>0</v>
      </c>
      <c r="EJ191" s="102">
        <v>0</v>
      </c>
      <c r="EK191" s="102">
        <v>0</v>
      </c>
      <c r="EL191" s="102">
        <v>0</v>
      </c>
      <c r="EM191" s="102">
        <v>0</v>
      </c>
      <c r="EN191" s="102">
        <v>0</v>
      </c>
      <c r="EO191" s="102">
        <v>0</v>
      </c>
      <c r="EP191" s="102">
        <v>0</v>
      </c>
      <c r="EQ191" s="102">
        <v>0</v>
      </c>
      <c r="ER191" s="102">
        <v>0</v>
      </c>
      <c r="ES191" s="102">
        <v>0</v>
      </c>
      <c r="EU191" s="102">
        <v>3483.3333333400001</v>
      </c>
      <c r="EV191" s="102">
        <v>6425.0000000099999</v>
      </c>
      <c r="EW191" s="102">
        <v>6158.3333336800006</v>
      </c>
      <c r="EX191" s="102">
        <v>5891.6666673500004</v>
      </c>
      <c r="EY191" s="102">
        <v>5625.0000010200001</v>
      </c>
      <c r="EZ191" s="102">
        <v>5358.3333346900008</v>
      </c>
      <c r="FA191" s="102">
        <v>5091.6666683600006</v>
      </c>
      <c r="FB191" s="102">
        <v>4825.0000020300004</v>
      </c>
      <c r="FC191" s="102">
        <v>4558.333335700001</v>
      </c>
      <c r="FD191" s="102">
        <v>4291.6666693700008</v>
      </c>
      <c r="FE191" s="102">
        <v>4025.000003040001</v>
      </c>
      <c r="FF191" s="102">
        <v>3758.3333367100008</v>
      </c>
      <c r="FG191" s="102">
        <v>7067.1775719999996</v>
      </c>
      <c r="FH191" s="102">
        <v>6807.4249339999997</v>
      </c>
      <c r="FI191" s="102">
        <v>6547.6722959999997</v>
      </c>
      <c r="FJ191" s="102">
        <v>6287.9196579999998</v>
      </c>
      <c r="FK191" s="102">
        <v>6028.1670199999999</v>
      </c>
      <c r="FL191" s="102">
        <v>5768.4143819999999</v>
      </c>
      <c r="FM191" s="102">
        <v>5508.661744</v>
      </c>
      <c r="FN191" s="102">
        <v>5248.9091060000001</v>
      </c>
      <c r="FO191" s="102">
        <v>4989.1564680000001</v>
      </c>
      <c r="FP191" s="102">
        <v>4729.4038300000002</v>
      </c>
      <c r="FQ191" s="102">
        <v>4643.8178589999998</v>
      </c>
      <c r="FR191" s="102">
        <v>4558.2318880000003</v>
      </c>
      <c r="FS191" s="102"/>
      <c r="FT191" s="102"/>
      <c r="FU191" s="102"/>
      <c r="FV191" s="102"/>
      <c r="FW191" s="102"/>
      <c r="FX191" s="102"/>
      <c r="FY191" s="102"/>
      <c r="FZ191" s="102"/>
      <c r="GA191" s="102"/>
      <c r="GB191" s="102"/>
      <c r="GC191" s="102"/>
      <c r="GD191" s="102"/>
      <c r="GE191" s="102">
        <v>0</v>
      </c>
      <c r="GF191" s="102">
        <v>0</v>
      </c>
      <c r="GG191" s="102">
        <v>0</v>
      </c>
      <c r="GH191" s="102">
        <v>0</v>
      </c>
      <c r="GI191" s="102">
        <v>0</v>
      </c>
      <c r="GJ191" s="102">
        <v>0</v>
      </c>
      <c r="GK191" s="102">
        <v>0</v>
      </c>
      <c r="GL191" s="102">
        <v>0</v>
      </c>
      <c r="GM191" s="102">
        <v>0</v>
      </c>
      <c r="GN191" s="102">
        <v>0</v>
      </c>
      <c r="GO191" s="102">
        <v>0</v>
      </c>
      <c r="GP191" s="102">
        <v>0</v>
      </c>
      <c r="GQ191" s="102">
        <v>0</v>
      </c>
      <c r="GR191" s="102">
        <v>0</v>
      </c>
      <c r="GS191" s="102">
        <v>0</v>
      </c>
      <c r="GT191" s="102">
        <v>0</v>
      </c>
      <c r="GU191" s="102">
        <v>0</v>
      </c>
      <c r="GV191" s="102">
        <v>0</v>
      </c>
      <c r="GW191" s="102">
        <v>0</v>
      </c>
      <c r="GX191" s="102">
        <v>0</v>
      </c>
      <c r="GY191" s="102">
        <v>0</v>
      </c>
      <c r="GZ191" s="102">
        <v>0</v>
      </c>
      <c r="HA191" s="102">
        <v>0</v>
      </c>
      <c r="HB191" s="102">
        <v>0</v>
      </c>
      <c r="HD191" s="924">
        <f t="shared" si="979"/>
        <v>648.83004700000004</v>
      </c>
      <c r="HE191" s="924">
        <f t="shared" si="979"/>
        <v>0</v>
      </c>
      <c r="HF191" s="924">
        <f t="shared" si="979"/>
        <v>0</v>
      </c>
      <c r="HG191" s="924">
        <f t="shared" si="979"/>
        <v>0</v>
      </c>
      <c r="HH191" s="924">
        <f t="shared" si="980"/>
        <v>0</v>
      </c>
      <c r="HI191" s="924">
        <f t="shared" si="981"/>
        <v>0</v>
      </c>
      <c r="HJ191" s="924">
        <f t="shared" si="961"/>
        <v>0</v>
      </c>
      <c r="HK191" s="924">
        <f t="shared" si="962"/>
        <v>0</v>
      </c>
      <c r="HL191" s="960">
        <f>+SUMIFS($E191:SEW191,$E$6:SEW$6,HL$7,$E$5:SEW$5,12)</f>
        <v>0</v>
      </c>
      <c r="HM191" s="960">
        <f>+SUMIFS($E191:SEX191,$E$6:SEX$6,HM$7,$E$5:SEX$5,12)</f>
        <v>0</v>
      </c>
      <c r="HN191" s="960">
        <f>+SUMIFS($E191:SEY191,$E$6:SEY$6,HN$7,$E$5:SEY$5,12)</f>
        <v>0</v>
      </c>
      <c r="HO191" s="924"/>
      <c r="HP191" s="924"/>
      <c r="HR191" s="927" t="str">
        <f t="shared" si="982"/>
        <v/>
      </c>
      <c r="HS191" s="927" t="str">
        <f t="shared" si="983"/>
        <v/>
      </c>
      <c r="HT191" s="927" t="str">
        <f t="shared" si="984"/>
        <v/>
      </c>
      <c r="HU191" s="927" t="str">
        <f t="shared" si="985"/>
        <v/>
      </c>
      <c r="HV191" s="927" t="str">
        <f t="shared" si="986"/>
        <v/>
      </c>
      <c r="HW191" s="927" t="str">
        <f t="shared" si="987"/>
        <v/>
      </c>
      <c r="HX191" s="927" t="str">
        <f t="shared" si="988"/>
        <v/>
      </c>
      <c r="HY191" s="927" t="str">
        <f t="shared" si="988"/>
        <v/>
      </c>
      <c r="HZ191" s="927" t="str">
        <f t="shared" si="988"/>
        <v/>
      </c>
      <c r="IA191" s="927" t="str">
        <f t="shared" si="868"/>
        <v/>
      </c>
      <c r="IB191" s="927" t="str">
        <f t="shared" si="989"/>
        <v/>
      </c>
      <c r="IC191" s="927" t="str">
        <f t="shared" si="869"/>
        <v/>
      </c>
      <c r="IE191" s="924">
        <f t="shared" si="990"/>
        <v>0</v>
      </c>
      <c r="IF191" s="924">
        <f t="shared" si="991"/>
        <v>0</v>
      </c>
      <c r="IG191" s="924">
        <f t="shared" si="992"/>
        <v>0</v>
      </c>
      <c r="IH191" s="924">
        <f t="shared" si="993"/>
        <v>0</v>
      </c>
      <c r="II191" s="924">
        <f t="shared" si="894"/>
        <v>0</v>
      </c>
      <c r="IJ191" s="924">
        <f t="shared" si="895"/>
        <v>0</v>
      </c>
      <c r="IK191" s="924">
        <f t="shared" si="896"/>
        <v>0</v>
      </c>
      <c r="IL191" s="924">
        <f t="shared" si="870"/>
        <v>0</v>
      </c>
      <c r="IM191" s="924">
        <f t="shared" si="994"/>
        <v>0</v>
      </c>
      <c r="IN191" s="924">
        <f t="shared" si="871"/>
        <v>0</v>
      </c>
      <c r="IP191" s="973"/>
      <c r="IQ191" s="973"/>
      <c r="IR191" s="973"/>
      <c r="IS191" s="973"/>
      <c r="IT191" s="973"/>
      <c r="IU191" s="973"/>
      <c r="IV191" s="973"/>
      <c r="IW191" s="973"/>
      <c r="IX191" s="973"/>
      <c r="IY191" s="973"/>
      <c r="JA191" s="924">
        <f t="shared" si="995"/>
        <v>648.83004700000004</v>
      </c>
      <c r="JB191" s="924">
        <f t="shared" si="995"/>
        <v>0</v>
      </c>
      <c r="JC191" s="924">
        <f t="shared" si="995"/>
        <v>0</v>
      </c>
      <c r="JD191" s="924">
        <f t="shared" si="995"/>
        <v>0</v>
      </c>
      <c r="JE191" s="924">
        <f t="shared" si="995"/>
        <v>0</v>
      </c>
      <c r="JF191" s="924">
        <f t="shared" si="995"/>
        <v>0</v>
      </c>
      <c r="JG191" s="924">
        <f t="shared" si="995"/>
        <v>0</v>
      </c>
      <c r="JH191" s="924">
        <f t="shared" si="995"/>
        <v>0</v>
      </c>
      <c r="JI191" s="924">
        <f t="shared" si="995"/>
        <v>0</v>
      </c>
      <c r="JJ191" s="924">
        <f t="shared" si="995"/>
        <v>0</v>
      </c>
      <c r="JK191" s="924">
        <f t="shared" si="995"/>
        <v>0</v>
      </c>
      <c r="JL191" s="924">
        <f t="shared" si="996"/>
        <v>0</v>
      </c>
      <c r="JM191" s="924"/>
      <c r="JN191" s="924"/>
      <c r="JP191" s="924">
        <f t="shared" si="997"/>
        <v>0</v>
      </c>
      <c r="JQ191" s="924">
        <f t="shared" si="998"/>
        <v>0</v>
      </c>
      <c r="JR191" s="145"/>
      <c r="JS191" s="927" t="str">
        <f t="shared" si="999"/>
        <v>NA</v>
      </c>
      <c r="JT191" s="928">
        <f t="shared" si="1000"/>
        <v>0</v>
      </c>
      <c r="JV191" s="973"/>
      <c r="JW191" s="973"/>
      <c r="JY191" s="927" t="str">
        <f t="shared" ref="JY191:JY200" si="1023">+IFERROR(JC191/JB191-1,"")</f>
        <v/>
      </c>
      <c r="JZ191" s="927" t="str">
        <f t="shared" ref="JZ191:JZ200" si="1024">+IFERROR(JD191/JC191-1,"")</f>
        <v/>
      </c>
      <c r="KA191" s="927" t="str">
        <f t="shared" ref="KA191:KA200" si="1025">+IFERROR(JE191/JD191-1,"")</f>
        <v/>
      </c>
      <c r="KB191" s="927" t="str">
        <f t="shared" ref="KB191:KB200" si="1026">+IFERROR(JF191/JE191-1,"")</f>
        <v/>
      </c>
      <c r="KC191" s="927" t="str">
        <f t="shared" ref="KC191:KC200" si="1027">+IFERROR(JG191/JF191-1,"")</f>
        <v/>
      </c>
      <c r="KD191" s="927" t="str">
        <f t="shared" ref="KD191:KD200" si="1028">+IFERROR(JH191/JG191-1,"")</f>
        <v/>
      </c>
      <c r="KE191" s="927" t="str">
        <f t="shared" ref="KE191:KE200" si="1029">+IFERROR(JI191/JH191-1,"")</f>
        <v/>
      </c>
      <c r="KF191" s="927" t="str">
        <f t="shared" ref="KF191:KF200" si="1030">+IFERROR(JN191/JI191-1,"")</f>
        <v/>
      </c>
      <c r="KH191" s="924">
        <f t="shared" si="1002"/>
        <v>0</v>
      </c>
      <c r="KI191" s="924">
        <f t="shared" si="1003"/>
        <v>0</v>
      </c>
      <c r="KJ191" s="924">
        <f t="shared" si="1004"/>
        <v>0</v>
      </c>
      <c r="KK191" s="924">
        <f t="shared" si="1005"/>
        <v>0</v>
      </c>
      <c r="KL191" s="924">
        <f t="shared" si="1006"/>
        <v>0</v>
      </c>
      <c r="KM191" s="924">
        <f t="shared" si="1007"/>
        <v>0</v>
      </c>
      <c r="KN191" s="924">
        <f t="shared" si="1008"/>
        <v>0</v>
      </c>
      <c r="KO191" s="924">
        <f t="shared" si="1009"/>
        <v>0</v>
      </c>
      <c r="KQ191" s="973"/>
      <c r="KR191" s="973"/>
      <c r="KS191" s="973"/>
      <c r="KT191" s="973"/>
      <c r="KU191" s="973"/>
      <c r="KV191" s="973"/>
      <c r="KW191" s="973"/>
      <c r="KX191" s="973"/>
      <c r="KY191" s="973"/>
      <c r="KZ191" s="973"/>
      <c r="LB191" s="924">
        <f t="shared" si="1010"/>
        <v>648.83004700000004</v>
      </c>
      <c r="LC191" s="924">
        <f t="shared" si="1010"/>
        <v>0</v>
      </c>
      <c r="LD191" s="924">
        <f t="shared" si="1010"/>
        <v>0</v>
      </c>
      <c r="LE191" s="924">
        <f t="shared" si="1010"/>
        <v>0</v>
      </c>
      <c r="LF191" s="924">
        <f t="shared" si="1010"/>
        <v>0</v>
      </c>
      <c r="LG191" s="924">
        <f t="shared" si="1010"/>
        <v>0</v>
      </c>
      <c r="LH191" s="924">
        <f t="shared" si="1010"/>
        <v>0</v>
      </c>
      <c r="LI191" s="924">
        <f t="shared" si="1010"/>
        <v>0</v>
      </c>
      <c r="LJ191" s="924">
        <f t="shared" si="1010"/>
        <v>0</v>
      </c>
      <c r="LK191" s="924">
        <f t="shared" si="1010"/>
        <v>0</v>
      </c>
      <c r="LL191" s="924">
        <f t="shared" si="1010"/>
        <v>0</v>
      </c>
      <c r="LM191" s="924">
        <f t="shared" si="1010"/>
        <v>0</v>
      </c>
      <c r="LN191" s="924"/>
      <c r="LO191" s="924"/>
      <c r="LR191" s="76" t="str">
        <f t="shared" si="1011"/>
        <v xml:space="preserve"> </v>
      </c>
      <c r="LS191" s="76" t="str">
        <f t="shared" si="1012"/>
        <v xml:space="preserve"> </v>
      </c>
      <c r="LT191" s="76" t="str">
        <f t="shared" si="1013"/>
        <v xml:space="preserve"> </v>
      </c>
      <c r="LU191" s="76" t="str">
        <f t="shared" si="1014"/>
        <v xml:space="preserve"> </v>
      </c>
      <c r="LV191" s="76" t="str">
        <f t="shared" si="1015"/>
        <v xml:space="preserve"> </v>
      </c>
      <c r="LW191" s="76" t="str">
        <f t="shared" si="1016"/>
        <v xml:space="preserve"> </v>
      </c>
      <c r="LX191" s="76" t="str">
        <f t="shared" si="963"/>
        <v xml:space="preserve"> </v>
      </c>
      <c r="LZ191" s="924">
        <f t="shared" si="1017"/>
        <v>0</v>
      </c>
      <c r="MA191" s="924">
        <f t="shared" si="1018"/>
        <v>0</v>
      </c>
      <c r="MB191" s="924">
        <f t="shared" si="1019"/>
        <v>0</v>
      </c>
      <c r="MC191" s="924">
        <f t="shared" si="1020"/>
        <v>0</v>
      </c>
      <c r="MD191" s="924">
        <f t="shared" si="1021"/>
        <v>0</v>
      </c>
      <c r="ME191" s="924">
        <f t="shared" si="1022"/>
        <v>0</v>
      </c>
      <c r="MF191" s="924">
        <f t="shared" si="964"/>
        <v>0</v>
      </c>
      <c r="MH191" s="973"/>
      <c r="MI191" s="973"/>
      <c r="MJ191" s="973"/>
      <c r="MK191" s="973"/>
      <c r="ML191" s="973"/>
      <c r="MM191" s="973"/>
      <c r="MN191" s="973"/>
      <c r="MO191" s="973"/>
      <c r="MP191" s="973"/>
    </row>
    <row r="192" spans="1:354" outlineLevel="1">
      <c r="A192" s="884">
        <v>27</v>
      </c>
      <c r="B192" s="70"/>
      <c r="C192" s="17" t="s">
        <v>68</v>
      </c>
      <c r="D192" s="31" t="s">
        <v>59</v>
      </c>
      <c r="E192" s="102">
        <v>0</v>
      </c>
      <c r="F192" s="102">
        <v>0</v>
      </c>
      <c r="G192" s="102">
        <v>0</v>
      </c>
      <c r="H192" s="102">
        <v>0</v>
      </c>
      <c r="I192" s="102">
        <v>0</v>
      </c>
      <c r="J192" s="102">
        <v>0</v>
      </c>
      <c r="K192" s="102">
        <v>0</v>
      </c>
      <c r="L192" s="102">
        <v>0</v>
      </c>
      <c r="M192" s="102">
        <v>0</v>
      </c>
      <c r="N192" s="102">
        <v>0</v>
      </c>
      <c r="O192" s="102">
        <v>0</v>
      </c>
      <c r="P192" s="102">
        <v>0</v>
      </c>
      <c r="Q192" s="102">
        <v>0</v>
      </c>
      <c r="R192" s="102">
        <v>0</v>
      </c>
      <c r="S192" s="102">
        <v>0</v>
      </c>
      <c r="T192" s="102">
        <v>0</v>
      </c>
      <c r="U192" s="102">
        <v>0</v>
      </c>
      <c r="V192" s="102">
        <v>0</v>
      </c>
      <c r="W192" s="102">
        <v>0</v>
      </c>
      <c r="X192" s="102">
        <v>0</v>
      </c>
      <c r="Y192" s="102">
        <v>0</v>
      </c>
      <c r="Z192" s="102">
        <v>0</v>
      </c>
      <c r="AA192" s="102">
        <v>0</v>
      </c>
      <c r="AB192" s="102">
        <v>0</v>
      </c>
      <c r="AC192" s="102">
        <v>0</v>
      </c>
      <c r="AD192" s="102">
        <v>0</v>
      </c>
      <c r="AE192" s="102">
        <v>0</v>
      </c>
      <c r="AF192" s="102">
        <v>0</v>
      </c>
      <c r="AG192" s="102">
        <v>0</v>
      </c>
      <c r="AH192" s="102">
        <v>0</v>
      </c>
      <c r="AI192" s="102">
        <v>0</v>
      </c>
      <c r="AJ192" s="102">
        <v>0</v>
      </c>
      <c r="AK192" s="102">
        <v>0</v>
      </c>
      <c r="AL192" s="102">
        <v>0</v>
      </c>
      <c r="AM192" s="102">
        <v>0</v>
      </c>
      <c r="AN192" s="102">
        <v>0</v>
      </c>
      <c r="AO192" s="102">
        <v>0</v>
      </c>
      <c r="AP192" s="145">
        <v>0</v>
      </c>
      <c r="AQ192" s="220">
        <v>0</v>
      </c>
      <c r="AR192" s="220">
        <v>0</v>
      </c>
      <c r="AS192" s="102">
        <v>0</v>
      </c>
      <c r="AT192" s="102">
        <v>0</v>
      </c>
      <c r="AU192" s="102">
        <v>0</v>
      </c>
      <c r="AV192" s="102">
        <v>0</v>
      </c>
      <c r="AW192" s="102">
        <v>0</v>
      </c>
      <c r="AX192" s="102">
        <v>0</v>
      </c>
      <c r="AY192" s="102">
        <v>0</v>
      </c>
      <c r="AZ192" s="102">
        <v>1469.84</v>
      </c>
      <c r="BA192" s="102">
        <v>1469.8408690000001</v>
      </c>
      <c r="BB192" s="102">
        <v>1469.8408690000001</v>
      </c>
      <c r="BC192" s="102">
        <v>1469.8408690000001</v>
      </c>
      <c r="BD192" s="102">
        <v>1469.8408690000001</v>
      </c>
      <c r="BE192" s="102">
        <v>1469.8408690000001</v>
      </c>
      <c r="BF192" s="102">
        <v>1469.8408690000001</v>
      </c>
      <c r="BG192" s="102">
        <v>1469.8408690000001</v>
      </c>
      <c r="BH192" s="102">
        <v>1469.8408690000001</v>
      </c>
      <c r="BI192" s="102">
        <v>1469.8408690000001</v>
      </c>
      <c r="BJ192" s="102">
        <v>1469.8408690000001</v>
      </c>
      <c r="BK192" s="102">
        <v>1469.8408690000001</v>
      </c>
      <c r="BL192" s="102">
        <v>1469.8408690000001</v>
      </c>
      <c r="BM192" s="102">
        <v>581.46832600000005</v>
      </c>
      <c r="BN192" s="102">
        <v>581.46832600000005</v>
      </c>
      <c r="BO192" s="102">
        <v>581.46832600000005</v>
      </c>
      <c r="BP192" s="102">
        <v>581.46832600000005</v>
      </c>
      <c r="BQ192" s="102">
        <v>581.46832600000005</v>
      </c>
      <c r="BR192" s="102">
        <v>581.46832600000005</v>
      </c>
      <c r="BS192" s="102">
        <v>581.46832600000005</v>
      </c>
      <c r="BT192" s="102">
        <v>581.46832600000005</v>
      </c>
      <c r="BU192" s="102">
        <v>581.46832600000005</v>
      </c>
      <c r="BV192" s="102">
        <v>581.46832600000005</v>
      </c>
      <c r="BW192" s="102">
        <v>581.46832600000005</v>
      </c>
      <c r="BX192" s="102">
        <v>30.439543</v>
      </c>
      <c r="BY192" s="102">
        <v>30.439543</v>
      </c>
      <c r="BZ192" s="102">
        <v>30.439543</v>
      </c>
      <c r="CA192" s="102">
        <v>30.439543</v>
      </c>
      <c r="CB192" s="102">
        <v>30.439543</v>
      </c>
      <c r="CC192" s="102">
        <v>30.439543</v>
      </c>
      <c r="CD192" s="102">
        <v>30.439543</v>
      </c>
      <c r="CE192" s="102">
        <v>30.439543</v>
      </c>
      <c r="CF192" s="102">
        <v>30.439543</v>
      </c>
      <c r="CG192" s="102">
        <v>30.439543</v>
      </c>
      <c r="CH192" s="102">
        <v>30.439543</v>
      </c>
      <c r="CI192" s="102">
        <v>30.439543</v>
      </c>
      <c r="CJ192" s="102">
        <v>205.67228700000001</v>
      </c>
      <c r="CK192" s="102">
        <v>205.67228700000001</v>
      </c>
      <c r="CL192" s="102">
        <v>205.67228700000001</v>
      </c>
      <c r="CM192" s="102">
        <v>205.67228700000001</v>
      </c>
      <c r="CN192" s="102">
        <v>205.67228700000001</v>
      </c>
      <c r="CO192" s="102">
        <v>205.67228700000001</v>
      </c>
      <c r="CP192" s="102">
        <v>205.67228700000001</v>
      </c>
      <c r="CQ192" s="102">
        <v>205.67228700000001</v>
      </c>
      <c r="CR192" s="102">
        <v>205.67228700000001</v>
      </c>
      <c r="CS192" s="102">
        <v>205.67228700000001</v>
      </c>
      <c r="CT192" s="102">
        <v>205.67228700000001</v>
      </c>
      <c r="CU192" s="102">
        <v>205.67228700000001</v>
      </c>
      <c r="CV192" s="102">
        <v>373.91695800000002</v>
      </c>
      <c r="CW192" s="102">
        <v>373.91695800000002</v>
      </c>
      <c r="CX192" s="102">
        <v>373.91695800000002</v>
      </c>
      <c r="CY192" s="102">
        <v>373.91695800000002</v>
      </c>
      <c r="CZ192" s="102">
        <v>373.91695800000002</v>
      </c>
      <c r="DA192" s="102">
        <v>373.91695800000002</v>
      </c>
      <c r="DB192" s="102">
        <v>373.91695800000002</v>
      </c>
      <c r="DC192" s="102">
        <v>373.91695800000002</v>
      </c>
      <c r="DD192" s="102">
        <v>373.91695800000002</v>
      </c>
      <c r="DE192" s="102">
        <v>373.91695800000002</v>
      </c>
      <c r="DF192" s="102">
        <v>373.91695800000002</v>
      </c>
      <c r="DG192" s="102">
        <v>373.91695800000002</v>
      </c>
      <c r="DH192" s="102">
        <v>565.51911299999995</v>
      </c>
      <c r="DI192" s="102">
        <v>565.51911299999995</v>
      </c>
      <c r="DJ192" s="102">
        <v>565.51911299999995</v>
      </c>
      <c r="DK192" s="102">
        <v>565.51911299999995</v>
      </c>
      <c r="DL192" s="102">
        <v>565.51911299999995</v>
      </c>
      <c r="DM192" s="102">
        <v>565.51911299999995</v>
      </c>
      <c r="DN192" s="102">
        <v>565.51911299999995</v>
      </c>
      <c r="DO192" s="102">
        <v>565.51911299999995</v>
      </c>
      <c r="DP192" s="102">
        <v>565.51911299999995</v>
      </c>
      <c r="DQ192" s="940">
        <v>565.51911299999995</v>
      </c>
      <c r="DR192" s="940">
        <v>565.51911299999995</v>
      </c>
      <c r="DS192" s="940">
        <v>565.51911299999995</v>
      </c>
      <c r="DT192" s="940">
        <v>753.21454500000004</v>
      </c>
      <c r="DU192" s="940">
        <v>753.21454500000004</v>
      </c>
      <c r="DV192" s="940">
        <v>753.21454500000004</v>
      </c>
      <c r="DW192" s="940">
        <v>753.21454500000004</v>
      </c>
      <c r="DX192" s="940">
        <v>753.21454500000004</v>
      </c>
      <c r="DY192" s="940">
        <v>753.21454500000004</v>
      </c>
      <c r="DZ192" s="940">
        <v>753.21454500000004</v>
      </c>
      <c r="EA192" s="940">
        <v>753.21454500000004</v>
      </c>
      <c r="EB192" s="940">
        <v>753.21454500000004</v>
      </c>
      <c r="EC192" s="940">
        <v>753.21454500000004</v>
      </c>
      <c r="ED192" s="940">
        <v>753.21454500000004</v>
      </c>
      <c r="EE192" s="940">
        <v>753.21454500000004</v>
      </c>
      <c r="EF192" s="940">
        <v>753.21454500000004</v>
      </c>
      <c r="EH192" s="102">
        <v>373.91695800000002</v>
      </c>
      <c r="EI192" s="102">
        <v>373.91695800000002</v>
      </c>
      <c r="EJ192" s="102">
        <v>373.91695800000002</v>
      </c>
      <c r="EK192" s="102">
        <v>373.91695800000002</v>
      </c>
      <c r="EL192" s="102">
        <v>373.91695800000002</v>
      </c>
      <c r="EM192" s="102">
        <v>373.91695800000002</v>
      </c>
      <c r="EN192" s="102">
        <v>373.91695800000002</v>
      </c>
      <c r="EO192" s="102">
        <v>373.91695800000002</v>
      </c>
      <c r="EP192" s="102">
        <v>373.91695800000002</v>
      </c>
      <c r="EQ192" s="102">
        <v>373.91695800000002</v>
      </c>
      <c r="ER192" s="102">
        <v>373.91695800000002</v>
      </c>
      <c r="ES192" s="102">
        <v>373.91695800000002</v>
      </c>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v>1469.8408690000001</v>
      </c>
      <c r="FT192" s="102">
        <v>1469.8408690000001</v>
      </c>
      <c r="FU192" s="102">
        <v>1469.8408690000001</v>
      </c>
      <c r="FV192" s="102">
        <v>1469.8408690000001</v>
      </c>
      <c r="FW192" s="102">
        <v>1469.8408690000001</v>
      </c>
      <c r="FX192" s="102">
        <v>1469.8408690000001</v>
      </c>
      <c r="FY192" s="102">
        <v>1469.8408690000001</v>
      </c>
      <c r="FZ192" s="102">
        <v>1469.8408690000001</v>
      </c>
      <c r="GA192" s="102">
        <v>1469.8408690000001</v>
      </c>
      <c r="GB192" s="102">
        <v>1469.8408690000001</v>
      </c>
      <c r="GC192" s="102">
        <v>1469.8408690000001</v>
      </c>
      <c r="GD192" s="102">
        <v>1469.8408690000001</v>
      </c>
      <c r="GE192" s="102">
        <v>0</v>
      </c>
      <c r="GF192" s="102">
        <v>0</v>
      </c>
      <c r="GG192" s="102">
        <v>0</v>
      </c>
      <c r="GH192" s="102">
        <v>0</v>
      </c>
      <c r="GI192" s="102">
        <v>0</v>
      </c>
      <c r="GJ192" s="102">
        <v>0</v>
      </c>
      <c r="GK192" s="102">
        <v>0</v>
      </c>
      <c r="GL192" s="102">
        <v>0</v>
      </c>
      <c r="GM192" s="102">
        <v>0</v>
      </c>
      <c r="GN192" s="102">
        <v>0</v>
      </c>
      <c r="GO192" s="102">
        <v>0</v>
      </c>
      <c r="GP192" s="102">
        <v>0</v>
      </c>
      <c r="GQ192" s="102">
        <v>0</v>
      </c>
      <c r="GR192" s="102">
        <v>0</v>
      </c>
      <c r="GS192" s="102">
        <v>0</v>
      </c>
      <c r="GT192" s="102">
        <v>0</v>
      </c>
      <c r="GU192" s="102">
        <v>0</v>
      </c>
      <c r="GV192" s="102">
        <v>0</v>
      </c>
      <c r="GW192" s="102">
        <v>0</v>
      </c>
      <c r="GX192" s="102">
        <v>0</v>
      </c>
      <c r="GY192" s="102">
        <v>0</v>
      </c>
      <c r="GZ192" s="102">
        <v>0</v>
      </c>
      <c r="HA192" s="102">
        <v>0</v>
      </c>
      <c r="HB192" s="102">
        <v>0</v>
      </c>
      <c r="HD192" s="102">
        <f t="shared" si="979"/>
        <v>0</v>
      </c>
      <c r="HE192" s="102">
        <f t="shared" si="979"/>
        <v>0</v>
      </c>
      <c r="HF192" s="102">
        <f t="shared" si="979"/>
        <v>0</v>
      </c>
      <c r="HG192" s="102">
        <f t="shared" si="979"/>
        <v>1469.84</v>
      </c>
      <c r="HH192" s="102">
        <f t="shared" si="980"/>
        <v>1469.8408690000001</v>
      </c>
      <c r="HI192" s="102">
        <f t="shared" si="981"/>
        <v>30.439543</v>
      </c>
      <c r="HJ192" s="102">
        <f t="shared" si="961"/>
        <v>205.67228700000001</v>
      </c>
      <c r="HK192" s="102">
        <f t="shared" si="962"/>
        <v>373.91695800000002</v>
      </c>
      <c r="HL192" s="940">
        <f>+SUMIFS($E192:SEW192,$E$6:SEW$6,HL$7,$E$5:SEW$5,12)</f>
        <v>565.51911299999995</v>
      </c>
      <c r="HM192" s="940">
        <f>+SUMIFS($E192:SEX192,$E$6:SEX$6,HM$7,$E$5:SEX$5,12)</f>
        <v>753.21454500000004</v>
      </c>
      <c r="HN192" s="940">
        <f>+SUMIFS($E192:SEY192,$E$6:SEY$6,HN$7,$E$5:SEY$5,12)</f>
        <v>753.21454500000004</v>
      </c>
      <c r="HO192" s="102"/>
      <c r="HP192" s="102"/>
      <c r="HR192" s="929" t="str">
        <f t="shared" si="982"/>
        <v/>
      </c>
      <c r="HS192" s="929" t="str">
        <f t="shared" si="983"/>
        <v/>
      </c>
      <c r="HT192" s="929">
        <f t="shared" si="984"/>
        <v>5.9122081319529229E-7</v>
      </c>
      <c r="HU192" s="929">
        <f t="shared" si="985"/>
        <v>-0.97929058604778796</v>
      </c>
      <c r="HV192" s="929">
        <f t="shared" si="986"/>
        <v>5.7567468736307905</v>
      </c>
      <c r="HW192" s="929">
        <f t="shared" si="987"/>
        <v>0.81802304750955579</v>
      </c>
      <c r="HX192" s="929">
        <f t="shared" si="988"/>
        <v>0.5124190034729581</v>
      </c>
      <c r="HY192" s="929">
        <f t="shared" si="988"/>
        <v>0.33189936057917135</v>
      </c>
      <c r="HZ192" s="929">
        <f t="shared" si="988"/>
        <v>0</v>
      </c>
      <c r="IA192" s="929">
        <f t="shared" si="868"/>
        <v>-1</v>
      </c>
      <c r="IB192" s="929" t="str">
        <f t="shared" si="989"/>
        <v/>
      </c>
      <c r="IC192" s="929">
        <f t="shared" si="869"/>
        <v>-1</v>
      </c>
      <c r="IE192" s="102">
        <f t="shared" si="990"/>
        <v>0</v>
      </c>
      <c r="IF192" s="102">
        <f t="shared" si="991"/>
        <v>1469.84</v>
      </c>
      <c r="IG192" s="102">
        <f t="shared" si="992"/>
        <v>8.6900000019340951E-4</v>
      </c>
      <c r="IH192" s="102">
        <f t="shared" si="993"/>
        <v>-1439.4013260000002</v>
      </c>
      <c r="II192" s="102">
        <f t="shared" si="894"/>
        <v>175.23274400000003</v>
      </c>
      <c r="IJ192" s="102">
        <f t="shared" si="895"/>
        <v>168.24467100000001</v>
      </c>
      <c r="IK192" s="102">
        <f t="shared" si="896"/>
        <v>191.60215499999993</v>
      </c>
      <c r="IL192" s="102">
        <f t="shared" si="870"/>
        <v>-565.51911299999995</v>
      </c>
      <c r="IM192" s="102">
        <f t="shared" si="994"/>
        <v>0</v>
      </c>
      <c r="IN192" s="102">
        <f t="shared" si="871"/>
        <v>-565.51911299999995</v>
      </c>
      <c r="IP192" s="973"/>
      <c r="IQ192" s="973"/>
      <c r="IR192" s="973"/>
      <c r="IS192" s="973"/>
      <c r="IT192" s="973"/>
      <c r="IU192" s="973"/>
      <c r="IV192" s="973"/>
      <c r="IW192" s="973"/>
      <c r="IX192" s="973"/>
      <c r="IY192" s="973"/>
      <c r="JA192" s="102">
        <f t="shared" si="995"/>
        <v>0</v>
      </c>
      <c r="JB192" s="102">
        <f t="shared" si="995"/>
        <v>0</v>
      </c>
      <c r="JC192" s="102">
        <f t="shared" si="995"/>
        <v>0</v>
      </c>
      <c r="JD192" s="102">
        <f t="shared" si="995"/>
        <v>1469.84</v>
      </c>
      <c r="JE192" s="102">
        <f t="shared" si="995"/>
        <v>1469.8408690000001</v>
      </c>
      <c r="JF192" s="102">
        <f t="shared" si="995"/>
        <v>30.439543</v>
      </c>
      <c r="JG192" s="102">
        <f t="shared" si="995"/>
        <v>205.67228700000001</v>
      </c>
      <c r="JH192" s="102">
        <f t="shared" si="995"/>
        <v>373.91695800000002</v>
      </c>
      <c r="JI192" s="102">
        <f t="shared" si="995"/>
        <v>565.51911299999995</v>
      </c>
      <c r="JJ192" s="102">
        <f t="shared" si="995"/>
        <v>753.21454500000004</v>
      </c>
      <c r="JK192" s="102">
        <f t="shared" si="995"/>
        <v>753.21454500000004</v>
      </c>
      <c r="JL192" s="102">
        <f t="shared" si="996"/>
        <v>753.21454500000004</v>
      </c>
      <c r="JM192" s="102"/>
      <c r="JN192" s="102"/>
      <c r="JP192" s="102">
        <f t="shared" si="997"/>
        <v>0</v>
      </c>
      <c r="JQ192" s="102">
        <f t="shared" si="998"/>
        <v>0</v>
      </c>
      <c r="JR192" s="145"/>
      <c r="JS192" s="929" t="str">
        <f t="shared" si="999"/>
        <v>NA</v>
      </c>
      <c r="JT192" s="930">
        <f t="shared" si="1000"/>
        <v>0</v>
      </c>
      <c r="JV192" s="973"/>
      <c r="JW192" s="973"/>
      <c r="JY192" s="929" t="str">
        <f t="shared" si="1023"/>
        <v/>
      </c>
      <c r="JZ192" s="929" t="str">
        <f t="shared" si="1024"/>
        <v/>
      </c>
      <c r="KA192" s="929">
        <f t="shared" si="1025"/>
        <v>5.9122081319529229E-7</v>
      </c>
      <c r="KB192" s="929">
        <f t="shared" si="1026"/>
        <v>-0.97929058604778796</v>
      </c>
      <c r="KC192" s="929">
        <f t="shared" si="1027"/>
        <v>5.7567468736307905</v>
      </c>
      <c r="KD192" s="929">
        <f t="shared" si="1028"/>
        <v>0.81802304750955579</v>
      </c>
      <c r="KE192" s="929">
        <f t="shared" si="1029"/>
        <v>0.5124190034729581</v>
      </c>
      <c r="KF192" s="929">
        <f t="shared" si="1030"/>
        <v>-1</v>
      </c>
      <c r="KH192" s="102">
        <f t="shared" si="1002"/>
        <v>0</v>
      </c>
      <c r="KI192" s="102">
        <f t="shared" si="1003"/>
        <v>1469.84</v>
      </c>
      <c r="KJ192" s="102">
        <f t="shared" si="1004"/>
        <v>8.6900000019340951E-4</v>
      </c>
      <c r="KK192" s="102">
        <f t="shared" si="1005"/>
        <v>-1439.4013260000002</v>
      </c>
      <c r="KL192" s="102">
        <f t="shared" si="1006"/>
        <v>175.23274400000003</v>
      </c>
      <c r="KM192" s="102">
        <f t="shared" si="1007"/>
        <v>168.24467100000001</v>
      </c>
      <c r="KN192" s="102">
        <f t="shared" si="1008"/>
        <v>191.60215499999993</v>
      </c>
      <c r="KO192" s="102">
        <f t="shared" si="1009"/>
        <v>-565.51911299999995</v>
      </c>
      <c r="KQ192" s="973"/>
      <c r="KR192" s="973"/>
      <c r="KS192" s="973"/>
      <c r="KT192" s="973"/>
      <c r="KU192" s="973"/>
      <c r="KV192" s="973"/>
      <c r="KW192" s="973"/>
      <c r="KX192" s="973"/>
      <c r="KY192" s="973"/>
      <c r="KZ192" s="973"/>
      <c r="LB192" s="102">
        <f t="shared" si="1010"/>
        <v>0</v>
      </c>
      <c r="LC192" s="102">
        <f t="shared" si="1010"/>
        <v>0</v>
      </c>
      <c r="LD192" s="102">
        <f t="shared" si="1010"/>
        <v>0</v>
      </c>
      <c r="LE192" s="102">
        <f t="shared" si="1010"/>
        <v>1469.84</v>
      </c>
      <c r="LF192" s="102">
        <f t="shared" si="1010"/>
        <v>1469.8408690000001</v>
      </c>
      <c r="LG192" s="102">
        <f t="shared" si="1010"/>
        <v>30.439543</v>
      </c>
      <c r="LH192" s="102">
        <f t="shared" si="1010"/>
        <v>205.67228700000001</v>
      </c>
      <c r="LI192" s="102">
        <f t="shared" si="1010"/>
        <v>373.91695800000002</v>
      </c>
      <c r="LJ192" s="102">
        <f t="shared" si="1010"/>
        <v>565.51911299999995</v>
      </c>
      <c r="LK192" s="102">
        <f t="shared" si="1010"/>
        <v>753.21454500000004</v>
      </c>
      <c r="LL192" s="102">
        <f t="shared" si="1010"/>
        <v>753.21454500000004</v>
      </c>
      <c r="LM192" s="102">
        <f t="shared" si="1010"/>
        <v>753.21454500000004</v>
      </c>
      <c r="LN192" s="102"/>
      <c r="LO192" s="102"/>
      <c r="LR192" s="32" t="str">
        <f t="shared" si="1011"/>
        <v xml:space="preserve"> </v>
      </c>
      <c r="LS192" s="32" t="str">
        <f t="shared" si="1012"/>
        <v xml:space="preserve"> </v>
      </c>
      <c r="LT192" s="32">
        <f t="shared" si="1013"/>
        <v>5.9122081319529229E-7</v>
      </c>
      <c r="LU192" s="32">
        <f t="shared" si="1014"/>
        <v>-0.97929058604778796</v>
      </c>
      <c r="LV192" s="32">
        <f t="shared" si="1015"/>
        <v>5.7567468736307905</v>
      </c>
      <c r="LW192" s="32">
        <f t="shared" si="1016"/>
        <v>0.81802304750955579</v>
      </c>
      <c r="LX192" s="32">
        <f t="shared" si="963"/>
        <v>-1</v>
      </c>
      <c r="LZ192" s="102">
        <f t="shared" si="1017"/>
        <v>0</v>
      </c>
      <c r="MA192" s="102">
        <f t="shared" si="1018"/>
        <v>1469.84</v>
      </c>
      <c r="MB192" s="102">
        <f t="shared" si="1019"/>
        <v>8.6900000019340951E-4</v>
      </c>
      <c r="MC192" s="102">
        <f t="shared" si="1020"/>
        <v>-1439.4013260000002</v>
      </c>
      <c r="MD192" s="102">
        <f t="shared" si="1021"/>
        <v>175.23274400000003</v>
      </c>
      <c r="ME192" s="102">
        <f t="shared" si="1022"/>
        <v>168.24467100000001</v>
      </c>
      <c r="MF192" s="102">
        <f t="shared" si="964"/>
        <v>-373.91695800000002</v>
      </c>
      <c r="MH192" s="973"/>
      <c r="MI192" s="973"/>
      <c r="MJ192" s="973"/>
      <c r="MK192" s="973"/>
      <c r="ML192" s="973"/>
      <c r="MM192" s="973"/>
      <c r="MN192" s="973"/>
      <c r="MO192" s="973"/>
      <c r="MP192" s="973"/>
    </row>
    <row r="193" spans="1:354" outlineLevel="1">
      <c r="A193" s="884"/>
      <c r="B193" s="70"/>
      <c r="C193" s="17" t="s">
        <v>150</v>
      </c>
      <c r="D193" s="31" t="s">
        <v>59</v>
      </c>
      <c r="E193" s="102">
        <v>1548.709198</v>
      </c>
      <c r="F193" s="102">
        <v>1548.709198</v>
      </c>
      <c r="G193" s="102">
        <v>1148.709198</v>
      </c>
      <c r="H193" s="102">
        <v>748.70919800000001</v>
      </c>
      <c r="I193" s="102">
        <v>348.70919800000001</v>
      </c>
      <c r="J193" s="102">
        <v>0</v>
      </c>
      <c r="K193" s="102">
        <v>0</v>
      </c>
      <c r="L193" s="102">
        <v>0</v>
      </c>
      <c r="M193" s="102">
        <v>0</v>
      </c>
      <c r="N193" s="102">
        <v>0</v>
      </c>
      <c r="O193" s="102">
        <v>0</v>
      </c>
      <c r="P193" s="102">
        <v>1308.802553</v>
      </c>
      <c r="Q193" s="102">
        <v>654.40127500000006</v>
      </c>
      <c r="R193" s="102">
        <v>10</v>
      </c>
      <c r="S193" s="102">
        <v>10</v>
      </c>
      <c r="T193" s="102">
        <v>0</v>
      </c>
      <c r="U193" s="102">
        <v>0</v>
      </c>
      <c r="V193" s="102">
        <v>0</v>
      </c>
      <c r="W193" s="102">
        <v>0</v>
      </c>
      <c r="X193" s="102">
        <v>133.33333400000001</v>
      </c>
      <c r="Y193" s="102">
        <v>0</v>
      </c>
      <c r="Z193" s="102">
        <v>0</v>
      </c>
      <c r="AA193" s="102">
        <v>0</v>
      </c>
      <c r="AB193" s="102">
        <v>133.33333400000001</v>
      </c>
      <c r="AC193" s="102">
        <v>0</v>
      </c>
      <c r="AD193" s="102">
        <v>0</v>
      </c>
      <c r="AE193" s="102">
        <v>4235.1222726599999</v>
      </c>
      <c r="AF193" s="102">
        <v>86.707424219999993</v>
      </c>
      <c r="AG193" s="102">
        <v>0</v>
      </c>
      <c r="AH193" s="102">
        <v>0</v>
      </c>
      <c r="AI193" s="102">
        <v>0</v>
      </c>
      <c r="AJ193" s="102">
        <v>0</v>
      </c>
      <c r="AK193" s="102">
        <v>0</v>
      </c>
      <c r="AL193" s="102">
        <v>0</v>
      </c>
      <c r="AM193" s="102">
        <v>0</v>
      </c>
      <c r="AN193" s="143">
        <v>0</v>
      </c>
      <c r="AO193" s="975">
        <v>0</v>
      </c>
      <c r="AP193" s="976">
        <v>0</v>
      </c>
      <c r="AQ193" s="975">
        <v>0</v>
      </c>
      <c r="AR193" s="975">
        <v>0</v>
      </c>
      <c r="AS193" s="975">
        <v>0</v>
      </c>
      <c r="AT193" s="975">
        <v>0</v>
      </c>
      <c r="AU193" s="975">
        <v>0</v>
      </c>
      <c r="AV193" s="975">
        <v>0</v>
      </c>
      <c r="AW193" s="975">
        <v>0</v>
      </c>
      <c r="AX193" s="975">
        <v>0</v>
      </c>
      <c r="AY193" s="975">
        <v>0</v>
      </c>
      <c r="AZ193" s="102">
        <f>SUM(AZ194:AZ195)</f>
        <v>0</v>
      </c>
      <c r="BA193" s="102">
        <v>0</v>
      </c>
      <c r="BB193" s="102">
        <v>0</v>
      </c>
      <c r="BC193" s="102">
        <v>0</v>
      </c>
      <c r="BD193" s="102">
        <v>0</v>
      </c>
      <c r="BE193" s="102">
        <v>0</v>
      </c>
      <c r="BF193" s="102">
        <v>0</v>
      </c>
      <c r="BG193" s="102">
        <v>0</v>
      </c>
      <c r="BH193" s="102">
        <v>0</v>
      </c>
      <c r="BI193" s="102">
        <v>0</v>
      </c>
      <c r="BJ193" s="102">
        <v>0</v>
      </c>
      <c r="BK193" s="102">
        <v>0</v>
      </c>
      <c r="BL193" s="102">
        <v>0</v>
      </c>
      <c r="BM193" s="145">
        <f t="shared" ref="BM193:DX193" si="1031">SUM(BM194:BM195)</f>
        <v>0</v>
      </c>
      <c r="BN193" s="102">
        <f t="shared" si="1031"/>
        <v>0</v>
      </c>
      <c r="BO193" s="102">
        <f t="shared" si="1031"/>
        <v>0</v>
      </c>
      <c r="BP193" s="102">
        <f t="shared" si="1031"/>
        <v>0</v>
      </c>
      <c r="BQ193" s="102">
        <f t="shared" si="1031"/>
        <v>0</v>
      </c>
      <c r="BR193" s="102">
        <f t="shared" si="1031"/>
        <v>0</v>
      </c>
      <c r="BS193" s="102">
        <f t="shared" si="1031"/>
        <v>0</v>
      </c>
      <c r="BT193" s="102">
        <f t="shared" si="1031"/>
        <v>0</v>
      </c>
      <c r="BU193" s="102">
        <f t="shared" si="1031"/>
        <v>0</v>
      </c>
      <c r="BV193" s="102">
        <f t="shared" si="1031"/>
        <v>0</v>
      </c>
      <c r="BW193" s="102">
        <f t="shared" si="1031"/>
        <v>0</v>
      </c>
      <c r="BX193" s="102">
        <f t="shared" si="1031"/>
        <v>0</v>
      </c>
      <c r="BY193" s="102">
        <f t="shared" si="1031"/>
        <v>0</v>
      </c>
      <c r="BZ193" s="102">
        <f t="shared" si="1031"/>
        <v>0</v>
      </c>
      <c r="CA193" s="102">
        <f t="shared" si="1031"/>
        <v>0</v>
      </c>
      <c r="CB193" s="102">
        <f t="shared" si="1031"/>
        <v>0</v>
      </c>
      <c r="CC193" s="102">
        <f t="shared" si="1031"/>
        <v>0</v>
      </c>
      <c r="CD193" s="102">
        <f t="shared" si="1031"/>
        <v>0</v>
      </c>
      <c r="CE193" s="102">
        <f t="shared" si="1031"/>
        <v>0</v>
      </c>
      <c r="CF193" s="102">
        <f t="shared" si="1031"/>
        <v>0</v>
      </c>
      <c r="CG193" s="102">
        <f t="shared" si="1031"/>
        <v>0</v>
      </c>
      <c r="CH193" s="102">
        <f t="shared" si="1031"/>
        <v>0</v>
      </c>
      <c r="CI193" s="102">
        <f t="shared" si="1031"/>
        <v>0</v>
      </c>
      <c r="CJ193" s="102">
        <f t="shared" si="1031"/>
        <v>0</v>
      </c>
      <c r="CK193" s="102">
        <f t="shared" si="1031"/>
        <v>0</v>
      </c>
      <c r="CL193" s="102">
        <f t="shared" si="1031"/>
        <v>0</v>
      </c>
      <c r="CM193" s="102">
        <f t="shared" si="1031"/>
        <v>0</v>
      </c>
      <c r="CN193" s="102">
        <f t="shared" si="1031"/>
        <v>0</v>
      </c>
      <c r="CO193" s="102">
        <f t="shared" si="1031"/>
        <v>0</v>
      </c>
      <c r="CP193" s="102">
        <f t="shared" si="1031"/>
        <v>0</v>
      </c>
      <c r="CQ193" s="102">
        <f t="shared" si="1031"/>
        <v>0</v>
      </c>
      <c r="CR193" s="102">
        <f t="shared" si="1031"/>
        <v>0</v>
      </c>
      <c r="CS193" s="102">
        <f t="shared" si="1031"/>
        <v>0</v>
      </c>
      <c r="CT193" s="102">
        <f t="shared" si="1031"/>
        <v>0</v>
      </c>
      <c r="CU193" s="102">
        <f t="shared" si="1031"/>
        <v>0</v>
      </c>
      <c r="CV193" s="102">
        <f t="shared" si="1031"/>
        <v>0</v>
      </c>
      <c r="CW193" s="102">
        <f t="shared" si="1031"/>
        <v>0</v>
      </c>
      <c r="CX193" s="102">
        <f t="shared" si="1031"/>
        <v>0</v>
      </c>
      <c r="CY193" s="102">
        <f t="shared" si="1031"/>
        <v>0</v>
      </c>
      <c r="CZ193" s="102">
        <f t="shared" si="1031"/>
        <v>0</v>
      </c>
      <c r="DA193" s="102">
        <f t="shared" si="1031"/>
        <v>0</v>
      </c>
      <c r="DB193" s="102">
        <f t="shared" si="1031"/>
        <v>0</v>
      </c>
      <c r="DC193" s="102">
        <f t="shared" si="1031"/>
        <v>0</v>
      </c>
      <c r="DD193" s="102">
        <f t="shared" si="1031"/>
        <v>0</v>
      </c>
      <c r="DE193" s="102">
        <f t="shared" si="1031"/>
        <v>0</v>
      </c>
      <c r="DF193" s="102">
        <f t="shared" si="1031"/>
        <v>0</v>
      </c>
      <c r="DG193" s="102">
        <f t="shared" si="1031"/>
        <v>0</v>
      </c>
      <c r="DH193" s="102">
        <f t="shared" si="1031"/>
        <v>0</v>
      </c>
      <c r="DI193" s="102">
        <f t="shared" si="1031"/>
        <v>0</v>
      </c>
      <c r="DJ193" s="102">
        <f t="shared" si="1031"/>
        <v>0</v>
      </c>
      <c r="DK193" s="102">
        <f t="shared" si="1031"/>
        <v>0</v>
      </c>
      <c r="DL193" s="102">
        <f t="shared" si="1031"/>
        <v>0</v>
      </c>
      <c r="DM193" s="102">
        <f t="shared" si="1031"/>
        <v>0</v>
      </c>
      <c r="DN193" s="102">
        <f t="shared" si="1031"/>
        <v>0</v>
      </c>
      <c r="DO193" s="102">
        <f t="shared" si="1031"/>
        <v>0</v>
      </c>
      <c r="DP193" s="102">
        <f t="shared" si="1031"/>
        <v>0</v>
      </c>
      <c r="DQ193" s="940">
        <f t="shared" si="1031"/>
        <v>0</v>
      </c>
      <c r="DR193" s="940">
        <f t="shared" si="1031"/>
        <v>0</v>
      </c>
      <c r="DS193" s="940">
        <f t="shared" si="1031"/>
        <v>0</v>
      </c>
      <c r="DT193" s="940">
        <f t="shared" si="1031"/>
        <v>0</v>
      </c>
      <c r="DU193" s="940">
        <f t="shared" si="1031"/>
        <v>0</v>
      </c>
      <c r="DV193" s="940">
        <f t="shared" si="1031"/>
        <v>0</v>
      </c>
      <c r="DW193" s="940">
        <f t="shared" si="1031"/>
        <v>0</v>
      </c>
      <c r="DX193" s="940">
        <f t="shared" si="1031"/>
        <v>0</v>
      </c>
      <c r="DY193" s="940">
        <f t="shared" ref="DY193:EF193" si="1032">SUM(DY194:DY195)</f>
        <v>0</v>
      </c>
      <c r="DZ193" s="940">
        <f t="shared" si="1032"/>
        <v>0</v>
      </c>
      <c r="EA193" s="940">
        <f t="shared" si="1032"/>
        <v>0</v>
      </c>
      <c r="EB193" s="940">
        <f t="shared" si="1032"/>
        <v>0</v>
      </c>
      <c r="EC193" s="940">
        <f t="shared" si="1032"/>
        <v>0</v>
      </c>
      <c r="ED193" s="940">
        <f t="shared" si="1032"/>
        <v>0</v>
      </c>
      <c r="EE193" s="940">
        <f t="shared" si="1032"/>
        <v>0</v>
      </c>
      <c r="EF193" s="940">
        <f t="shared" si="1032"/>
        <v>787.04921000000002</v>
      </c>
      <c r="EH193" s="102">
        <f t="shared" ref="EH193:ES193" si="1033">+SUM(EH194:EH195)</f>
        <v>0</v>
      </c>
      <c r="EI193" s="102">
        <f t="shared" si="1033"/>
        <v>0</v>
      </c>
      <c r="EJ193" s="102">
        <f t="shared" si="1033"/>
        <v>0</v>
      </c>
      <c r="EK193" s="102">
        <f t="shared" si="1033"/>
        <v>0</v>
      </c>
      <c r="EL193" s="102">
        <f t="shared" si="1033"/>
        <v>0</v>
      </c>
      <c r="EM193" s="102">
        <f t="shared" si="1033"/>
        <v>0</v>
      </c>
      <c r="EN193" s="102">
        <f t="shared" si="1033"/>
        <v>0</v>
      </c>
      <c r="EO193" s="102">
        <f t="shared" si="1033"/>
        <v>0</v>
      </c>
      <c r="EP193" s="102">
        <f t="shared" si="1033"/>
        <v>0</v>
      </c>
      <c r="EQ193" s="102">
        <f t="shared" si="1033"/>
        <v>0</v>
      </c>
      <c r="ER193" s="102">
        <f t="shared" si="1033"/>
        <v>0</v>
      </c>
      <c r="ES193" s="102">
        <f t="shared" si="1033"/>
        <v>0</v>
      </c>
      <c r="ET193" s="279"/>
      <c r="EU193" s="102">
        <f t="shared" ref="EU193:FZ193" si="1034">+SUM(EU194:EU195)</f>
        <v>0</v>
      </c>
      <c r="EV193" s="102">
        <f t="shared" si="1034"/>
        <v>0</v>
      </c>
      <c r="EW193" s="102">
        <f t="shared" si="1034"/>
        <v>0</v>
      </c>
      <c r="EX193" s="102">
        <f t="shared" si="1034"/>
        <v>0</v>
      </c>
      <c r="EY193" s="102">
        <f t="shared" si="1034"/>
        <v>0</v>
      </c>
      <c r="EZ193" s="102">
        <f t="shared" si="1034"/>
        <v>0</v>
      </c>
      <c r="FA193" s="102">
        <f t="shared" si="1034"/>
        <v>0</v>
      </c>
      <c r="FB193" s="102">
        <f t="shared" si="1034"/>
        <v>0</v>
      </c>
      <c r="FC193" s="102">
        <f t="shared" si="1034"/>
        <v>0</v>
      </c>
      <c r="FD193" s="102">
        <f t="shared" si="1034"/>
        <v>0</v>
      </c>
      <c r="FE193" s="102">
        <f t="shared" si="1034"/>
        <v>0</v>
      </c>
      <c r="FF193" s="102">
        <f t="shared" si="1034"/>
        <v>0</v>
      </c>
      <c r="FG193" s="102">
        <f t="shared" si="1034"/>
        <v>1216.711241</v>
      </c>
      <c r="FH193" s="102">
        <f t="shared" si="1034"/>
        <v>1216.711241</v>
      </c>
      <c r="FI193" s="102">
        <f t="shared" si="1034"/>
        <v>1216.711241</v>
      </c>
      <c r="FJ193" s="102">
        <f t="shared" si="1034"/>
        <v>1216.711241</v>
      </c>
      <c r="FK193" s="102">
        <f t="shared" si="1034"/>
        <v>1216.711241</v>
      </c>
      <c r="FL193" s="102">
        <f t="shared" si="1034"/>
        <v>1216.711241</v>
      </c>
      <c r="FM193" s="102">
        <f t="shared" si="1034"/>
        <v>1216.711241</v>
      </c>
      <c r="FN193" s="102">
        <f t="shared" si="1034"/>
        <v>1216.711241</v>
      </c>
      <c r="FO193" s="102">
        <f t="shared" si="1034"/>
        <v>1216.711241</v>
      </c>
      <c r="FP193" s="102">
        <f t="shared" si="1034"/>
        <v>1216.711241</v>
      </c>
      <c r="FQ193" s="102">
        <f t="shared" si="1034"/>
        <v>1216.711241</v>
      </c>
      <c r="FR193" s="102">
        <f t="shared" si="1034"/>
        <v>1216.711241</v>
      </c>
      <c r="FS193" s="102">
        <f t="shared" si="1034"/>
        <v>0</v>
      </c>
      <c r="FT193" s="102">
        <f t="shared" si="1034"/>
        <v>0</v>
      </c>
      <c r="FU193" s="102">
        <f t="shared" si="1034"/>
        <v>0</v>
      </c>
      <c r="FV193" s="102">
        <f t="shared" si="1034"/>
        <v>0</v>
      </c>
      <c r="FW193" s="102">
        <f t="shared" si="1034"/>
        <v>0</v>
      </c>
      <c r="FX193" s="102">
        <f t="shared" si="1034"/>
        <v>0</v>
      </c>
      <c r="FY193" s="102">
        <f t="shared" si="1034"/>
        <v>0</v>
      </c>
      <c r="FZ193" s="102">
        <f t="shared" si="1034"/>
        <v>0</v>
      </c>
      <c r="GA193" s="102">
        <f t="shared" ref="GA193:HB193" si="1035">+SUM(GA194:GA195)</f>
        <v>0</v>
      </c>
      <c r="GB193" s="102">
        <f t="shared" si="1035"/>
        <v>0</v>
      </c>
      <c r="GC193" s="102">
        <f t="shared" si="1035"/>
        <v>0</v>
      </c>
      <c r="GD193" s="102">
        <f t="shared" si="1035"/>
        <v>0</v>
      </c>
      <c r="GE193" s="102">
        <f t="shared" si="1035"/>
        <v>0</v>
      </c>
      <c r="GF193" s="102">
        <f t="shared" si="1035"/>
        <v>0</v>
      </c>
      <c r="GG193" s="102">
        <f t="shared" si="1035"/>
        <v>0</v>
      </c>
      <c r="GH193" s="102">
        <f t="shared" si="1035"/>
        <v>0</v>
      </c>
      <c r="GI193" s="102">
        <f t="shared" si="1035"/>
        <v>0</v>
      </c>
      <c r="GJ193" s="102">
        <f t="shared" si="1035"/>
        <v>0</v>
      </c>
      <c r="GK193" s="102">
        <f t="shared" si="1035"/>
        <v>0</v>
      </c>
      <c r="GL193" s="102">
        <f t="shared" si="1035"/>
        <v>0</v>
      </c>
      <c r="GM193" s="102">
        <f t="shared" si="1035"/>
        <v>0</v>
      </c>
      <c r="GN193" s="102">
        <f t="shared" si="1035"/>
        <v>0</v>
      </c>
      <c r="GO193" s="102">
        <f t="shared" si="1035"/>
        <v>0</v>
      </c>
      <c r="GP193" s="102">
        <f t="shared" si="1035"/>
        <v>0</v>
      </c>
      <c r="GQ193" s="102">
        <f t="shared" si="1035"/>
        <v>0</v>
      </c>
      <c r="GR193" s="102">
        <f t="shared" si="1035"/>
        <v>0</v>
      </c>
      <c r="GS193" s="102">
        <f t="shared" si="1035"/>
        <v>0</v>
      </c>
      <c r="GT193" s="102">
        <f t="shared" si="1035"/>
        <v>0</v>
      </c>
      <c r="GU193" s="102">
        <f t="shared" si="1035"/>
        <v>0</v>
      </c>
      <c r="GV193" s="102">
        <f t="shared" si="1035"/>
        <v>0</v>
      </c>
      <c r="GW193" s="102">
        <f t="shared" si="1035"/>
        <v>0</v>
      </c>
      <c r="GX193" s="102">
        <f t="shared" si="1035"/>
        <v>0</v>
      </c>
      <c r="GY193" s="102">
        <f t="shared" si="1035"/>
        <v>0</v>
      </c>
      <c r="GZ193" s="102">
        <f t="shared" si="1035"/>
        <v>0</v>
      </c>
      <c r="HA193" s="102">
        <f t="shared" si="1035"/>
        <v>0</v>
      </c>
      <c r="HB193" s="102">
        <f t="shared" si="1035"/>
        <v>0</v>
      </c>
      <c r="HD193" s="102">
        <f t="shared" si="979"/>
        <v>1308.802553</v>
      </c>
      <c r="HE193" s="102">
        <f t="shared" si="979"/>
        <v>133.33333400000001</v>
      </c>
      <c r="HF193" s="102">
        <f t="shared" si="979"/>
        <v>0</v>
      </c>
      <c r="HG193" s="102">
        <f t="shared" si="979"/>
        <v>0</v>
      </c>
      <c r="HH193" s="102">
        <f t="shared" si="980"/>
        <v>0</v>
      </c>
      <c r="HI193" s="102">
        <f t="shared" si="981"/>
        <v>0</v>
      </c>
      <c r="HJ193" s="102">
        <f t="shared" si="961"/>
        <v>0</v>
      </c>
      <c r="HK193" s="102">
        <f t="shared" si="962"/>
        <v>0</v>
      </c>
      <c r="HL193" s="940">
        <f>+SUMIFS($E193:SEW193,$E$6:SEW$6,HL$7,$E$5:SEW$5,12)</f>
        <v>0</v>
      </c>
      <c r="HM193" s="940">
        <f>+SUMIFS($E193:SEX193,$E$6:SEX$6,HM$7,$E$5:SEX$5,12)</f>
        <v>0</v>
      </c>
      <c r="HN193" s="940">
        <f>+SUMIFS($E193:SEY193,$E$6:SEY$6,HN$7,$E$5:SEY$5,12)</f>
        <v>787.04921000000002</v>
      </c>
      <c r="HO193" s="102"/>
      <c r="HP193" s="102"/>
      <c r="HR193" s="929">
        <f t="shared" si="982"/>
        <v>-1</v>
      </c>
      <c r="HS193" s="929" t="str">
        <f t="shared" si="983"/>
        <v/>
      </c>
      <c r="HT193" s="929" t="str">
        <f t="shared" si="984"/>
        <v/>
      </c>
      <c r="HU193" s="929" t="str">
        <f t="shared" si="985"/>
        <v/>
      </c>
      <c r="HV193" s="929" t="str">
        <f t="shared" si="986"/>
        <v/>
      </c>
      <c r="HW193" s="929" t="str">
        <f t="shared" si="987"/>
        <v/>
      </c>
      <c r="HX193" s="929" t="str">
        <f t="shared" si="988"/>
        <v/>
      </c>
      <c r="HY193" s="929" t="str">
        <f t="shared" si="988"/>
        <v/>
      </c>
      <c r="HZ193" s="929" t="str">
        <f t="shared" si="988"/>
        <v/>
      </c>
      <c r="IA193" s="929" t="str">
        <f t="shared" si="868"/>
        <v/>
      </c>
      <c r="IB193" s="929" t="str">
        <f t="shared" si="989"/>
        <v/>
      </c>
      <c r="IC193" s="929" t="str">
        <f t="shared" si="869"/>
        <v/>
      </c>
      <c r="IE193" s="102">
        <f t="shared" si="990"/>
        <v>-133.33333400000001</v>
      </c>
      <c r="IF193" s="102">
        <f t="shared" si="991"/>
        <v>0</v>
      </c>
      <c r="IG193" s="102">
        <f t="shared" si="992"/>
        <v>0</v>
      </c>
      <c r="IH193" s="102">
        <f t="shared" si="993"/>
        <v>0</v>
      </c>
      <c r="II193" s="102">
        <f t="shared" si="894"/>
        <v>0</v>
      </c>
      <c r="IJ193" s="102">
        <f t="shared" si="895"/>
        <v>0</v>
      </c>
      <c r="IK193" s="102">
        <f t="shared" si="896"/>
        <v>0</v>
      </c>
      <c r="IL193" s="102">
        <f t="shared" si="870"/>
        <v>0</v>
      </c>
      <c r="IM193" s="102">
        <f t="shared" si="994"/>
        <v>0</v>
      </c>
      <c r="IN193" s="102">
        <f t="shared" si="871"/>
        <v>0</v>
      </c>
      <c r="IP193" s="973"/>
      <c r="IQ193" s="973"/>
      <c r="IR193" s="973"/>
      <c r="IS193" s="973"/>
      <c r="IT193" s="973"/>
      <c r="IU193" s="973"/>
      <c r="IV193" s="973"/>
      <c r="IW193" s="973"/>
      <c r="IX193" s="973"/>
      <c r="IY193" s="973"/>
      <c r="JA193" s="102">
        <f t="shared" si="995"/>
        <v>1308.802553</v>
      </c>
      <c r="JB193" s="102">
        <f t="shared" si="995"/>
        <v>133.33333400000001</v>
      </c>
      <c r="JC193" s="102">
        <f t="shared" si="995"/>
        <v>0</v>
      </c>
      <c r="JD193" s="102">
        <f t="shared" si="995"/>
        <v>0</v>
      </c>
      <c r="JE193" s="102">
        <f t="shared" si="995"/>
        <v>0</v>
      </c>
      <c r="JF193" s="102">
        <f t="shared" si="995"/>
        <v>0</v>
      </c>
      <c r="JG193" s="102">
        <f t="shared" si="995"/>
        <v>0</v>
      </c>
      <c r="JH193" s="102">
        <f t="shared" si="995"/>
        <v>0</v>
      </c>
      <c r="JI193" s="102">
        <f t="shared" si="995"/>
        <v>0</v>
      </c>
      <c r="JJ193" s="102">
        <f t="shared" si="995"/>
        <v>0</v>
      </c>
      <c r="JK193" s="102">
        <f t="shared" si="995"/>
        <v>787.04921000000002</v>
      </c>
      <c r="JL193" s="102">
        <f t="shared" si="996"/>
        <v>787.04921000000002</v>
      </c>
      <c r="JM193" s="102"/>
      <c r="JN193" s="102"/>
      <c r="JP193" s="102">
        <f t="shared" si="997"/>
        <v>0</v>
      </c>
      <c r="JQ193" s="102">
        <f t="shared" si="998"/>
        <v>0</v>
      </c>
      <c r="JR193" s="145"/>
      <c r="JS193" s="929" t="str">
        <f t="shared" si="999"/>
        <v>NA</v>
      </c>
      <c r="JT193" s="930">
        <f t="shared" si="1000"/>
        <v>0</v>
      </c>
      <c r="JV193" s="973"/>
      <c r="JW193" s="973"/>
      <c r="JY193" s="929">
        <f t="shared" si="1023"/>
        <v>-1</v>
      </c>
      <c r="JZ193" s="929" t="str">
        <f t="shared" si="1024"/>
        <v/>
      </c>
      <c r="KA193" s="929" t="str">
        <f t="shared" si="1025"/>
        <v/>
      </c>
      <c r="KB193" s="929" t="str">
        <f t="shared" si="1026"/>
        <v/>
      </c>
      <c r="KC193" s="929" t="str">
        <f t="shared" si="1027"/>
        <v/>
      </c>
      <c r="KD193" s="929" t="str">
        <f t="shared" si="1028"/>
        <v/>
      </c>
      <c r="KE193" s="929" t="str">
        <f t="shared" si="1029"/>
        <v/>
      </c>
      <c r="KF193" s="929" t="str">
        <f t="shared" si="1030"/>
        <v/>
      </c>
      <c r="KH193" s="102">
        <f t="shared" si="1002"/>
        <v>-133.33333400000001</v>
      </c>
      <c r="KI193" s="102">
        <f t="shared" si="1003"/>
        <v>0</v>
      </c>
      <c r="KJ193" s="102">
        <f t="shared" si="1004"/>
        <v>0</v>
      </c>
      <c r="KK193" s="102">
        <f t="shared" si="1005"/>
        <v>0</v>
      </c>
      <c r="KL193" s="102">
        <f t="shared" si="1006"/>
        <v>0</v>
      </c>
      <c r="KM193" s="102">
        <f t="shared" si="1007"/>
        <v>0</v>
      </c>
      <c r="KN193" s="102">
        <f t="shared" si="1008"/>
        <v>0</v>
      </c>
      <c r="KO193" s="102">
        <f t="shared" si="1009"/>
        <v>0</v>
      </c>
      <c r="KQ193" s="973"/>
      <c r="KR193" s="973"/>
      <c r="KS193" s="973"/>
      <c r="KT193" s="973"/>
      <c r="KU193" s="973"/>
      <c r="KV193" s="973"/>
      <c r="KW193" s="973"/>
      <c r="KX193" s="973"/>
      <c r="KY193" s="973"/>
      <c r="KZ193" s="973"/>
      <c r="LB193" s="102">
        <f t="shared" si="1010"/>
        <v>1308.802553</v>
      </c>
      <c r="LC193" s="102">
        <f t="shared" si="1010"/>
        <v>133.33333400000001</v>
      </c>
      <c r="LD193" s="102">
        <f t="shared" si="1010"/>
        <v>0</v>
      </c>
      <c r="LE193" s="102">
        <f t="shared" si="1010"/>
        <v>0</v>
      </c>
      <c r="LF193" s="102">
        <f t="shared" si="1010"/>
        <v>0</v>
      </c>
      <c r="LG193" s="102">
        <f t="shared" si="1010"/>
        <v>0</v>
      </c>
      <c r="LH193" s="102">
        <f t="shared" si="1010"/>
        <v>0</v>
      </c>
      <c r="LI193" s="102">
        <f t="shared" si="1010"/>
        <v>0</v>
      </c>
      <c r="LJ193" s="102">
        <f t="shared" si="1010"/>
        <v>0</v>
      </c>
      <c r="LK193" s="102">
        <f t="shared" si="1010"/>
        <v>0</v>
      </c>
      <c r="LL193" s="102">
        <f t="shared" si="1010"/>
        <v>787.04921000000002</v>
      </c>
      <c r="LM193" s="102">
        <f t="shared" si="1010"/>
        <v>787.04921000000002</v>
      </c>
      <c r="LN193" s="102"/>
      <c r="LO193" s="102"/>
      <c r="LR193" s="32">
        <f t="shared" si="1011"/>
        <v>-1</v>
      </c>
      <c r="LS193" s="32" t="str">
        <f t="shared" si="1012"/>
        <v xml:space="preserve"> </v>
      </c>
      <c r="LT193" s="32" t="str">
        <f t="shared" si="1013"/>
        <v xml:space="preserve"> </v>
      </c>
      <c r="LU193" s="32" t="str">
        <f t="shared" si="1014"/>
        <v xml:space="preserve"> </v>
      </c>
      <c r="LV193" s="32" t="str">
        <f t="shared" si="1015"/>
        <v xml:space="preserve"> </v>
      </c>
      <c r="LW193" s="32" t="str">
        <f t="shared" si="1016"/>
        <v xml:space="preserve"> </v>
      </c>
      <c r="LX193" s="32" t="str">
        <f t="shared" si="963"/>
        <v xml:space="preserve"> </v>
      </c>
      <c r="LZ193" s="102">
        <f t="shared" si="1017"/>
        <v>-133.33333400000001</v>
      </c>
      <c r="MA193" s="102">
        <f t="shared" si="1018"/>
        <v>0</v>
      </c>
      <c r="MB193" s="102">
        <f t="shared" si="1019"/>
        <v>0</v>
      </c>
      <c r="MC193" s="102">
        <f t="shared" si="1020"/>
        <v>0</v>
      </c>
      <c r="MD193" s="102">
        <f t="shared" si="1021"/>
        <v>0</v>
      </c>
      <c r="ME193" s="102">
        <f t="shared" si="1022"/>
        <v>0</v>
      </c>
      <c r="MF193" s="102">
        <f t="shared" si="964"/>
        <v>0</v>
      </c>
      <c r="MH193" s="973"/>
      <c r="MI193" s="973"/>
      <c r="MJ193" s="973"/>
      <c r="MK193" s="973"/>
      <c r="ML193" s="973"/>
      <c r="MM193" s="973"/>
      <c r="MN193" s="973"/>
      <c r="MO193" s="973"/>
      <c r="MP193" s="973"/>
    </row>
    <row r="194" spans="1:354" outlineLevel="2">
      <c r="A194" s="884">
        <v>2355</v>
      </c>
      <c r="B194" s="70" t="s">
        <v>746</v>
      </c>
      <c r="D194" s="31"/>
      <c r="E194" s="102">
        <v>0</v>
      </c>
      <c r="F194" s="102">
        <v>0</v>
      </c>
      <c r="G194" s="102">
        <v>0</v>
      </c>
      <c r="H194" s="102">
        <v>0</v>
      </c>
      <c r="I194" s="102">
        <v>0</v>
      </c>
      <c r="J194" s="102">
        <v>0</v>
      </c>
      <c r="K194" s="102">
        <v>0</v>
      </c>
      <c r="L194" s="102">
        <v>0</v>
      </c>
      <c r="M194" s="102">
        <v>0</v>
      </c>
      <c r="N194" s="102">
        <v>0</v>
      </c>
      <c r="O194" s="102">
        <v>0</v>
      </c>
      <c r="P194" s="102">
        <v>0</v>
      </c>
      <c r="Q194" s="102">
        <v>0</v>
      </c>
      <c r="R194" s="102">
        <v>0</v>
      </c>
      <c r="S194" s="102">
        <v>0</v>
      </c>
      <c r="T194" s="102">
        <v>0</v>
      </c>
      <c r="U194" s="102">
        <v>0</v>
      </c>
      <c r="V194" s="102">
        <v>0</v>
      </c>
      <c r="W194" s="102">
        <v>0</v>
      </c>
      <c r="X194" s="102">
        <v>0</v>
      </c>
      <c r="Y194" s="102">
        <v>0</v>
      </c>
      <c r="Z194" s="102">
        <v>0</v>
      </c>
      <c r="AA194" s="102">
        <v>0</v>
      </c>
      <c r="AB194" s="102">
        <v>0</v>
      </c>
      <c r="AC194" s="102">
        <v>0</v>
      </c>
      <c r="AD194" s="102">
        <v>0</v>
      </c>
      <c r="AE194" s="102">
        <v>0</v>
      </c>
      <c r="AF194" s="102">
        <v>0</v>
      </c>
      <c r="AG194" s="102">
        <v>0</v>
      </c>
      <c r="AH194" s="102">
        <v>0</v>
      </c>
      <c r="AI194" s="102">
        <v>0</v>
      </c>
      <c r="AJ194" s="102">
        <v>0</v>
      </c>
      <c r="AK194" s="102">
        <v>0</v>
      </c>
      <c r="AL194" s="102">
        <v>0</v>
      </c>
      <c r="AM194" s="102">
        <v>0</v>
      </c>
      <c r="AN194" s="102">
        <v>0</v>
      </c>
      <c r="AO194" s="102">
        <v>0</v>
      </c>
      <c r="AP194" s="145">
        <v>0</v>
      </c>
      <c r="AQ194" s="220">
        <v>0</v>
      </c>
      <c r="AR194" s="220">
        <v>0</v>
      </c>
      <c r="AS194" s="102">
        <v>0</v>
      </c>
      <c r="AT194" s="102">
        <v>0</v>
      </c>
      <c r="AU194" s="102">
        <v>0</v>
      </c>
      <c r="AV194" s="102">
        <v>0</v>
      </c>
      <c r="AW194" s="102">
        <v>0</v>
      </c>
      <c r="AX194" s="102">
        <v>0</v>
      </c>
      <c r="AY194" s="102">
        <v>0</v>
      </c>
      <c r="AZ194" s="102">
        <v>0</v>
      </c>
      <c r="BA194" s="102">
        <v>0</v>
      </c>
      <c r="BB194" s="102">
        <v>0</v>
      </c>
      <c r="BC194" s="102">
        <v>0</v>
      </c>
      <c r="BD194" s="102">
        <v>0</v>
      </c>
      <c r="BE194" s="102">
        <v>0</v>
      </c>
      <c r="BF194" s="102">
        <v>0</v>
      </c>
      <c r="BG194" s="102">
        <v>0</v>
      </c>
      <c r="BH194" s="102">
        <v>0</v>
      </c>
      <c r="BI194" s="102">
        <v>0</v>
      </c>
      <c r="BJ194" s="102">
        <v>0</v>
      </c>
      <c r="BK194" s="102">
        <v>0</v>
      </c>
      <c r="BL194" s="102">
        <v>0</v>
      </c>
      <c r="BM194" s="145">
        <v>0</v>
      </c>
      <c r="BN194" s="102">
        <v>0</v>
      </c>
      <c r="BO194" s="102">
        <v>0</v>
      </c>
      <c r="BP194" s="102">
        <v>0</v>
      </c>
      <c r="BQ194" s="102">
        <v>0</v>
      </c>
      <c r="BR194" s="102">
        <v>0</v>
      </c>
      <c r="BS194" s="102">
        <v>0</v>
      </c>
      <c r="BT194" s="102">
        <v>0</v>
      </c>
      <c r="BU194" s="102">
        <v>0</v>
      </c>
      <c r="BV194" s="102">
        <v>0</v>
      </c>
      <c r="BW194" s="102">
        <v>0</v>
      </c>
      <c r="BX194" s="102">
        <v>0</v>
      </c>
      <c r="BY194" s="102">
        <v>0</v>
      </c>
      <c r="BZ194" s="102">
        <v>0</v>
      </c>
      <c r="CA194" s="102">
        <v>0</v>
      </c>
      <c r="CB194" s="102">
        <v>0</v>
      </c>
      <c r="CC194" s="102">
        <v>0</v>
      </c>
      <c r="CD194" s="102">
        <v>0</v>
      </c>
      <c r="CE194" s="102">
        <v>0</v>
      </c>
      <c r="CF194" s="102">
        <v>0</v>
      </c>
      <c r="CG194" s="102">
        <v>0</v>
      </c>
      <c r="CH194" s="102">
        <v>0</v>
      </c>
      <c r="CI194" s="102">
        <v>0</v>
      </c>
      <c r="CJ194" s="102">
        <v>0</v>
      </c>
      <c r="CK194" s="102">
        <v>0</v>
      </c>
      <c r="CL194" s="102">
        <v>0</v>
      </c>
      <c r="CM194" s="102">
        <v>0</v>
      </c>
      <c r="CN194" s="102">
        <v>0</v>
      </c>
      <c r="CO194" s="102">
        <v>0</v>
      </c>
      <c r="CP194" s="102">
        <v>0</v>
      </c>
      <c r="CQ194" s="102">
        <v>0</v>
      </c>
      <c r="CR194" s="102">
        <v>0</v>
      </c>
      <c r="CS194" s="102">
        <v>0</v>
      </c>
      <c r="CT194" s="102">
        <v>0</v>
      </c>
      <c r="CU194" s="102">
        <v>0</v>
      </c>
      <c r="CV194" s="102">
        <v>0</v>
      </c>
      <c r="CW194" s="102">
        <v>0</v>
      </c>
      <c r="CX194" s="102">
        <v>0</v>
      </c>
      <c r="CY194" s="102">
        <v>0</v>
      </c>
      <c r="CZ194" s="102">
        <v>0</v>
      </c>
      <c r="DA194" s="102">
        <v>0</v>
      </c>
      <c r="DB194" s="102">
        <v>0</v>
      </c>
      <c r="DC194" s="102">
        <v>0</v>
      </c>
      <c r="DD194" s="102">
        <v>0</v>
      </c>
      <c r="DE194" s="102">
        <v>0</v>
      </c>
      <c r="DF194" s="102">
        <v>0</v>
      </c>
      <c r="DG194" s="102">
        <v>0</v>
      </c>
      <c r="DH194" s="102">
        <v>0</v>
      </c>
      <c r="DI194" s="102">
        <v>0</v>
      </c>
      <c r="DJ194" s="102">
        <v>0</v>
      </c>
      <c r="DK194" s="102">
        <v>0</v>
      </c>
      <c r="DL194" s="102">
        <v>0</v>
      </c>
      <c r="DM194" s="102">
        <v>0</v>
      </c>
      <c r="DN194" s="102">
        <v>0</v>
      </c>
      <c r="DO194" s="102">
        <v>0</v>
      </c>
      <c r="DP194" s="102">
        <v>0</v>
      </c>
      <c r="DQ194" s="940">
        <v>0</v>
      </c>
      <c r="DR194" s="940">
        <v>0</v>
      </c>
      <c r="DS194" s="940">
        <v>0</v>
      </c>
      <c r="DT194" s="940">
        <v>0</v>
      </c>
      <c r="DU194" s="940">
        <v>0</v>
      </c>
      <c r="DV194" s="940">
        <v>0</v>
      </c>
      <c r="DW194" s="940">
        <v>0</v>
      </c>
      <c r="DX194" s="940">
        <v>0</v>
      </c>
      <c r="DY194" s="940">
        <v>0</v>
      </c>
      <c r="DZ194" s="940">
        <v>0</v>
      </c>
      <c r="EA194" s="940">
        <v>0</v>
      </c>
      <c r="EB194" s="940">
        <v>0</v>
      </c>
      <c r="EC194" s="940">
        <v>0</v>
      </c>
      <c r="ED194" s="940">
        <v>0</v>
      </c>
      <c r="EE194" s="940">
        <v>0</v>
      </c>
      <c r="EF194" s="940">
        <v>0</v>
      </c>
      <c r="EH194" s="102">
        <v>0</v>
      </c>
      <c r="EI194" s="102">
        <v>0</v>
      </c>
      <c r="EJ194" s="102">
        <v>0</v>
      </c>
      <c r="EK194" s="102">
        <v>0</v>
      </c>
      <c r="EL194" s="102">
        <v>0</v>
      </c>
      <c r="EM194" s="102">
        <v>0</v>
      </c>
      <c r="EN194" s="102">
        <v>0</v>
      </c>
      <c r="EO194" s="102">
        <v>0</v>
      </c>
      <c r="EP194" s="102">
        <v>0</v>
      </c>
      <c r="EQ194" s="102">
        <v>0</v>
      </c>
      <c r="ER194" s="102">
        <v>0</v>
      </c>
      <c r="ES194" s="102">
        <v>0</v>
      </c>
      <c r="EU194" s="102"/>
      <c r="EV194" s="102"/>
      <c r="EW194" s="102"/>
      <c r="EX194" s="102"/>
      <c r="EY194" s="102"/>
      <c r="EZ194" s="102"/>
      <c r="FA194" s="102"/>
      <c r="FB194" s="102"/>
      <c r="FC194" s="102"/>
      <c r="FD194" s="102"/>
      <c r="FE194" s="102"/>
      <c r="FF194" s="102"/>
      <c r="FG194" s="102">
        <v>0</v>
      </c>
      <c r="FH194" s="102">
        <v>0</v>
      </c>
      <c r="FI194" s="102">
        <v>0</v>
      </c>
      <c r="FJ194" s="102">
        <v>0</v>
      </c>
      <c r="FK194" s="102">
        <v>0</v>
      </c>
      <c r="FL194" s="102">
        <v>0</v>
      </c>
      <c r="FM194" s="102">
        <v>0</v>
      </c>
      <c r="FN194" s="102">
        <v>0</v>
      </c>
      <c r="FO194" s="102">
        <v>0</v>
      </c>
      <c r="FP194" s="102">
        <v>0</v>
      </c>
      <c r="FQ194" s="102">
        <v>0</v>
      </c>
      <c r="FR194" s="102">
        <v>0</v>
      </c>
      <c r="FS194" s="102"/>
      <c r="FT194" s="102"/>
      <c r="FU194" s="102"/>
      <c r="FV194" s="102"/>
      <c r="FW194" s="102"/>
      <c r="FX194" s="102"/>
      <c r="FY194" s="102"/>
      <c r="FZ194" s="102"/>
      <c r="GA194" s="102"/>
      <c r="GB194" s="102"/>
      <c r="GC194" s="102"/>
      <c r="GD194" s="102"/>
      <c r="GE194" s="102">
        <v>0</v>
      </c>
      <c r="GF194" s="102">
        <v>0</v>
      </c>
      <c r="GG194" s="102">
        <v>0</v>
      </c>
      <c r="GH194" s="102">
        <v>0</v>
      </c>
      <c r="GI194" s="102">
        <v>0</v>
      </c>
      <c r="GJ194" s="102">
        <v>0</v>
      </c>
      <c r="GK194" s="102">
        <v>0</v>
      </c>
      <c r="GL194" s="102">
        <v>0</v>
      </c>
      <c r="GM194" s="102">
        <v>0</v>
      </c>
      <c r="GN194" s="102">
        <v>0</v>
      </c>
      <c r="GO194" s="102">
        <v>0</v>
      </c>
      <c r="GP194" s="102">
        <v>0</v>
      </c>
      <c r="GQ194" s="102">
        <v>0</v>
      </c>
      <c r="GR194" s="102">
        <v>0</v>
      </c>
      <c r="GS194" s="102">
        <v>0</v>
      </c>
      <c r="GT194" s="102">
        <v>0</v>
      </c>
      <c r="GU194" s="102">
        <v>0</v>
      </c>
      <c r="GV194" s="102">
        <v>0</v>
      </c>
      <c r="GW194" s="102">
        <v>0</v>
      </c>
      <c r="GX194" s="102">
        <v>0</v>
      </c>
      <c r="GY194" s="102">
        <v>0</v>
      </c>
      <c r="GZ194" s="102">
        <v>0</v>
      </c>
      <c r="HA194" s="102">
        <v>0</v>
      </c>
      <c r="HB194" s="102">
        <v>0</v>
      </c>
      <c r="HD194" s="102">
        <f t="shared" si="979"/>
        <v>0</v>
      </c>
      <c r="HE194" s="102">
        <f t="shared" si="979"/>
        <v>0</v>
      </c>
      <c r="HF194" s="102">
        <f t="shared" si="979"/>
        <v>0</v>
      </c>
      <c r="HG194" s="102">
        <f t="shared" si="979"/>
        <v>0</v>
      </c>
      <c r="HH194" s="102">
        <f t="shared" si="980"/>
        <v>0</v>
      </c>
      <c r="HI194" s="102">
        <f t="shared" si="981"/>
        <v>0</v>
      </c>
      <c r="HJ194" s="102">
        <f t="shared" si="961"/>
        <v>0</v>
      </c>
      <c r="HK194" s="102">
        <f t="shared" si="962"/>
        <v>0</v>
      </c>
      <c r="HL194" s="940">
        <f>+SUMIFS($E194:SEW194,$E$6:SEW$6,HL$7,$E$5:SEW$5,12)</f>
        <v>0</v>
      </c>
      <c r="HM194" s="940">
        <f>+SUMIFS($E194:SEX194,$E$6:SEX$6,HM$7,$E$5:SEX$5,12)</f>
        <v>0</v>
      </c>
      <c r="HN194" s="940">
        <f>+SUMIFS($E194:SEY194,$E$6:SEY$6,HN$7,$E$5:SEY$5,12)</f>
        <v>0</v>
      </c>
      <c r="HO194" s="102"/>
      <c r="HP194" s="102"/>
      <c r="HR194" s="929" t="str">
        <f t="shared" si="982"/>
        <v/>
      </c>
      <c r="HS194" s="929" t="str">
        <f t="shared" si="983"/>
        <v/>
      </c>
      <c r="HT194" s="929" t="str">
        <f t="shared" si="984"/>
        <v/>
      </c>
      <c r="HU194" s="929" t="str">
        <f t="shared" si="985"/>
        <v/>
      </c>
      <c r="HV194" s="929" t="str">
        <f t="shared" si="986"/>
        <v/>
      </c>
      <c r="HW194" s="929" t="str">
        <f t="shared" si="987"/>
        <v/>
      </c>
      <c r="HX194" s="929" t="str">
        <f t="shared" si="988"/>
        <v/>
      </c>
      <c r="HY194" s="929" t="str">
        <f t="shared" si="988"/>
        <v/>
      </c>
      <c r="HZ194" s="929" t="str">
        <f t="shared" si="988"/>
        <v/>
      </c>
      <c r="IA194" s="929" t="str">
        <f t="shared" si="868"/>
        <v/>
      </c>
      <c r="IB194" s="929" t="str">
        <f t="shared" si="989"/>
        <v/>
      </c>
      <c r="IC194" s="929" t="str">
        <f t="shared" si="869"/>
        <v/>
      </c>
      <c r="IE194" s="102">
        <f t="shared" si="990"/>
        <v>0</v>
      </c>
      <c r="IF194" s="102">
        <f t="shared" si="991"/>
        <v>0</v>
      </c>
      <c r="IG194" s="102">
        <f t="shared" si="992"/>
        <v>0</v>
      </c>
      <c r="IH194" s="102">
        <f t="shared" si="993"/>
        <v>0</v>
      </c>
      <c r="II194" s="102">
        <f t="shared" si="894"/>
        <v>0</v>
      </c>
      <c r="IJ194" s="102">
        <f t="shared" si="895"/>
        <v>0</v>
      </c>
      <c r="IK194" s="102">
        <f t="shared" si="896"/>
        <v>0</v>
      </c>
      <c r="IL194" s="102">
        <f t="shared" si="870"/>
        <v>0</v>
      </c>
      <c r="IM194" s="102">
        <f t="shared" si="994"/>
        <v>0</v>
      </c>
      <c r="IN194" s="102">
        <f t="shared" si="871"/>
        <v>0</v>
      </c>
      <c r="IP194" s="973"/>
      <c r="IQ194" s="973"/>
      <c r="IR194" s="973"/>
      <c r="IS194" s="973"/>
      <c r="IT194" s="973"/>
      <c r="IU194" s="973"/>
      <c r="IV194" s="973"/>
      <c r="IW194" s="973"/>
      <c r="IX194" s="973"/>
      <c r="IY194" s="973"/>
      <c r="JA194" s="102">
        <f t="shared" si="995"/>
        <v>0</v>
      </c>
      <c r="JB194" s="102">
        <f t="shared" si="995"/>
        <v>0</v>
      </c>
      <c r="JC194" s="102">
        <f t="shared" si="995"/>
        <v>0</v>
      </c>
      <c r="JD194" s="102">
        <f t="shared" si="995"/>
        <v>0</v>
      </c>
      <c r="JE194" s="102">
        <f t="shared" si="995"/>
        <v>0</v>
      </c>
      <c r="JF194" s="102">
        <f t="shared" si="995"/>
        <v>0</v>
      </c>
      <c r="JG194" s="102">
        <f t="shared" si="995"/>
        <v>0</v>
      </c>
      <c r="JH194" s="102">
        <f t="shared" si="995"/>
        <v>0</v>
      </c>
      <c r="JI194" s="102">
        <f t="shared" si="995"/>
        <v>0</v>
      </c>
      <c r="JJ194" s="102">
        <f t="shared" si="995"/>
        <v>0</v>
      </c>
      <c r="JK194" s="102">
        <f t="shared" si="995"/>
        <v>0</v>
      </c>
      <c r="JL194" s="102">
        <f t="shared" si="996"/>
        <v>0</v>
      </c>
      <c r="JM194" s="102"/>
      <c r="JN194" s="102"/>
      <c r="JP194" s="102">
        <f t="shared" si="997"/>
        <v>0</v>
      </c>
      <c r="JQ194" s="102">
        <f t="shared" si="998"/>
        <v>0</v>
      </c>
      <c r="JR194" s="145"/>
      <c r="JS194" s="929" t="str">
        <f t="shared" si="999"/>
        <v>NA</v>
      </c>
      <c r="JT194" s="930">
        <f t="shared" si="1000"/>
        <v>0</v>
      </c>
      <c r="JV194" s="973"/>
      <c r="JW194" s="973"/>
      <c r="JY194" s="929" t="str">
        <f t="shared" si="1023"/>
        <v/>
      </c>
      <c r="JZ194" s="929" t="str">
        <f t="shared" si="1024"/>
        <v/>
      </c>
      <c r="KA194" s="929" t="str">
        <f t="shared" si="1025"/>
        <v/>
      </c>
      <c r="KB194" s="929" t="str">
        <f t="shared" si="1026"/>
        <v/>
      </c>
      <c r="KC194" s="929" t="str">
        <f t="shared" si="1027"/>
        <v/>
      </c>
      <c r="KD194" s="929" t="str">
        <f t="shared" si="1028"/>
        <v/>
      </c>
      <c r="KE194" s="929" t="str">
        <f t="shared" si="1029"/>
        <v/>
      </c>
      <c r="KF194" s="929" t="str">
        <f t="shared" si="1030"/>
        <v/>
      </c>
      <c r="KH194" s="102">
        <f t="shared" si="1002"/>
        <v>0</v>
      </c>
      <c r="KI194" s="102">
        <f t="shared" si="1003"/>
        <v>0</v>
      </c>
      <c r="KJ194" s="102">
        <f t="shared" si="1004"/>
        <v>0</v>
      </c>
      <c r="KK194" s="102">
        <f t="shared" si="1005"/>
        <v>0</v>
      </c>
      <c r="KL194" s="102">
        <f t="shared" si="1006"/>
        <v>0</v>
      </c>
      <c r="KM194" s="102">
        <f t="shared" si="1007"/>
        <v>0</v>
      </c>
      <c r="KN194" s="102">
        <f t="shared" si="1008"/>
        <v>0</v>
      </c>
      <c r="KO194" s="102">
        <f t="shared" si="1009"/>
        <v>0</v>
      </c>
      <c r="KQ194" s="973"/>
      <c r="KR194" s="973"/>
      <c r="KS194" s="973"/>
      <c r="KT194" s="973"/>
      <c r="KU194" s="973"/>
      <c r="KV194" s="973"/>
      <c r="KW194" s="973"/>
      <c r="KX194" s="973"/>
      <c r="KY194" s="973"/>
      <c r="KZ194" s="973"/>
      <c r="LB194" s="102">
        <f t="shared" si="1010"/>
        <v>0</v>
      </c>
      <c r="LC194" s="102">
        <f t="shared" si="1010"/>
        <v>0</v>
      </c>
      <c r="LD194" s="102">
        <f t="shared" si="1010"/>
        <v>0</v>
      </c>
      <c r="LE194" s="102">
        <f t="shared" si="1010"/>
        <v>0</v>
      </c>
      <c r="LF194" s="102">
        <f t="shared" si="1010"/>
        <v>0</v>
      </c>
      <c r="LG194" s="102">
        <f t="shared" si="1010"/>
        <v>0</v>
      </c>
      <c r="LH194" s="102">
        <f t="shared" si="1010"/>
        <v>0</v>
      </c>
      <c r="LI194" s="102">
        <f t="shared" si="1010"/>
        <v>0</v>
      </c>
      <c r="LJ194" s="102">
        <f t="shared" si="1010"/>
        <v>0</v>
      </c>
      <c r="LK194" s="102">
        <f t="shared" si="1010"/>
        <v>0</v>
      </c>
      <c r="LL194" s="102">
        <f t="shared" si="1010"/>
        <v>0</v>
      </c>
      <c r="LM194" s="102">
        <f t="shared" si="1010"/>
        <v>0</v>
      </c>
      <c r="LN194" s="102"/>
      <c r="LO194" s="102"/>
      <c r="LR194" s="32" t="str">
        <f t="shared" si="1011"/>
        <v xml:space="preserve"> </v>
      </c>
      <c r="LS194" s="32" t="str">
        <f t="shared" si="1012"/>
        <v xml:space="preserve"> </v>
      </c>
      <c r="LT194" s="32" t="str">
        <f t="shared" si="1013"/>
        <v xml:space="preserve"> </v>
      </c>
      <c r="LU194" s="32" t="str">
        <f t="shared" si="1014"/>
        <v xml:space="preserve"> </v>
      </c>
      <c r="LV194" s="32" t="str">
        <f t="shared" si="1015"/>
        <v xml:space="preserve"> </v>
      </c>
      <c r="LW194" s="32" t="str">
        <f t="shared" si="1016"/>
        <v xml:space="preserve"> </v>
      </c>
      <c r="LX194" s="32" t="str">
        <f t="shared" si="963"/>
        <v xml:space="preserve"> </v>
      </c>
      <c r="LZ194" s="102">
        <f t="shared" si="1017"/>
        <v>0</v>
      </c>
      <c r="MA194" s="102">
        <f t="shared" si="1018"/>
        <v>0</v>
      </c>
      <c r="MB194" s="102">
        <f t="shared" si="1019"/>
        <v>0</v>
      </c>
      <c r="MC194" s="102">
        <f t="shared" si="1020"/>
        <v>0</v>
      </c>
      <c r="MD194" s="102">
        <f t="shared" si="1021"/>
        <v>0</v>
      </c>
      <c r="ME194" s="102">
        <f t="shared" si="1022"/>
        <v>0</v>
      </c>
      <c r="MF194" s="102">
        <f t="shared" si="964"/>
        <v>0</v>
      </c>
      <c r="MH194" s="973"/>
      <c r="MI194" s="973"/>
      <c r="MJ194" s="973"/>
      <c r="MK194" s="973"/>
      <c r="ML194" s="973"/>
      <c r="MM194" s="973"/>
      <c r="MN194" s="973"/>
      <c r="MO194" s="973"/>
      <c r="MP194" s="973"/>
    </row>
    <row r="195" spans="1:354" outlineLevel="2">
      <c r="A195" s="884">
        <v>2360</v>
      </c>
      <c r="B195" s="70" t="s">
        <v>747</v>
      </c>
      <c r="D195" s="31"/>
      <c r="E195" s="102">
        <v>1548.709198</v>
      </c>
      <c r="F195" s="102">
        <v>1548.709198</v>
      </c>
      <c r="G195" s="102">
        <v>1148.709198</v>
      </c>
      <c r="H195" s="102">
        <v>748.70919800000001</v>
      </c>
      <c r="I195" s="102">
        <v>348.70919800000001</v>
      </c>
      <c r="J195" s="102">
        <v>0</v>
      </c>
      <c r="K195" s="102">
        <v>0</v>
      </c>
      <c r="L195" s="102">
        <v>0</v>
      </c>
      <c r="M195" s="102">
        <v>0</v>
      </c>
      <c r="N195" s="102">
        <v>0</v>
      </c>
      <c r="O195" s="102">
        <v>0</v>
      </c>
      <c r="P195" s="102">
        <v>1308.802553</v>
      </c>
      <c r="Q195" s="102">
        <v>654.40127500000006</v>
      </c>
      <c r="R195" s="102">
        <v>10</v>
      </c>
      <c r="S195" s="102">
        <v>10</v>
      </c>
      <c r="T195" s="102">
        <v>0</v>
      </c>
      <c r="U195" s="102">
        <v>0</v>
      </c>
      <c r="V195" s="102">
        <v>0</v>
      </c>
      <c r="W195" s="102">
        <v>0</v>
      </c>
      <c r="X195" s="102">
        <v>133.33333400000001</v>
      </c>
      <c r="Y195" s="102">
        <v>0</v>
      </c>
      <c r="Z195" s="102">
        <v>0</v>
      </c>
      <c r="AA195" s="102">
        <v>0</v>
      </c>
      <c r="AB195" s="102">
        <v>133.33333400000001</v>
      </c>
      <c r="AC195" s="102">
        <v>0</v>
      </c>
      <c r="AD195" s="102">
        <v>0</v>
      </c>
      <c r="AE195" s="102">
        <v>4235.1222726599999</v>
      </c>
      <c r="AF195" s="102">
        <v>86.707424219999993</v>
      </c>
      <c r="AG195" s="102">
        <v>0</v>
      </c>
      <c r="AH195" s="102">
        <v>0</v>
      </c>
      <c r="AI195" s="102">
        <v>0</v>
      </c>
      <c r="AJ195" s="102">
        <v>0</v>
      </c>
      <c r="AK195" s="102">
        <v>0</v>
      </c>
      <c r="AL195" s="102">
        <v>0</v>
      </c>
      <c r="AM195" s="102">
        <v>0</v>
      </c>
      <c r="AN195" s="102">
        <v>0</v>
      </c>
      <c r="AO195" s="102">
        <v>0</v>
      </c>
      <c r="AP195" s="145">
        <v>0</v>
      </c>
      <c r="AQ195" s="220">
        <v>0</v>
      </c>
      <c r="AR195" s="220">
        <v>0</v>
      </c>
      <c r="AS195" s="102">
        <v>0</v>
      </c>
      <c r="AT195" s="102">
        <v>0</v>
      </c>
      <c r="AU195" s="102">
        <v>0</v>
      </c>
      <c r="AV195" s="102">
        <v>0</v>
      </c>
      <c r="AW195" s="102">
        <v>0</v>
      </c>
      <c r="AX195" s="102">
        <v>0</v>
      </c>
      <c r="AY195" s="102">
        <v>0</v>
      </c>
      <c r="AZ195" s="102">
        <v>0</v>
      </c>
      <c r="BA195" s="102">
        <v>0</v>
      </c>
      <c r="BB195" s="102">
        <v>0</v>
      </c>
      <c r="BC195" s="102">
        <v>0</v>
      </c>
      <c r="BD195" s="102">
        <v>0</v>
      </c>
      <c r="BE195" s="102">
        <v>0</v>
      </c>
      <c r="BF195" s="102">
        <v>0</v>
      </c>
      <c r="BG195" s="102">
        <v>0</v>
      </c>
      <c r="BH195" s="102">
        <v>0</v>
      </c>
      <c r="BI195" s="102">
        <v>0</v>
      </c>
      <c r="BJ195" s="102">
        <v>0</v>
      </c>
      <c r="BK195" s="102">
        <v>0</v>
      </c>
      <c r="BL195" s="102">
        <v>0</v>
      </c>
      <c r="BM195" s="145">
        <v>0</v>
      </c>
      <c r="BN195" s="102">
        <v>0</v>
      </c>
      <c r="BO195" s="102">
        <v>0</v>
      </c>
      <c r="BP195" s="102">
        <v>0</v>
      </c>
      <c r="BQ195" s="102">
        <v>0</v>
      </c>
      <c r="BR195" s="102">
        <v>0</v>
      </c>
      <c r="BS195" s="102">
        <v>0</v>
      </c>
      <c r="BT195" s="102">
        <v>0</v>
      </c>
      <c r="BU195" s="102">
        <v>0</v>
      </c>
      <c r="BV195" s="102">
        <v>0</v>
      </c>
      <c r="BW195" s="102">
        <v>0</v>
      </c>
      <c r="BX195" s="102">
        <v>0</v>
      </c>
      <c r="BY195" s="102">
        <v>0</v>
      </c>
      <c r="BZ195" s="102">
        <v>0</v>
      </c>
      <c r="CA195" s="102">
        <v>0</v>
      </c>
      <c r="CB195" s="102">
        <v>0</v>
      </c>
      <c r="CC195" s="102">
        <v>0</v>
      </c>
      <c r="CD195" s="102">
        <v>0</v>
      </c>
      <c r="CE195" s="102">
        <v>0</v>
      </c>
      <c r="CF195" s="102">
        <v>0</v>
      </c>
      <c r="CG195" s="102">
        <v>0</v>
      </c>
      <c r="CH195" s="102">
        <v>0</v>
      </c>
      <c r="CI195" s="102">
        <v>0</v>
      </c>
      <c r="CJ195" s="102">
        <v>0</v>
      </c>
      <c r="CK195" s="102">
        <v>0</v>
      </c>
      <c r="CL195" s="102">
        <v>0</v>
      </c>
      <c r="CM195" s="102">
        <v>0</v>
      </c>
      <c r="CN195" s="102">
        <v>0</v>
      </c>
      <c r="CO195" s="102">
        <v>0</v>
      </c>
      <c r="CP195" s="102">
        <v>0</v>
      </c>
      <c r="CQ195" s="102">
        <v>0</v>
      </c>
      <c r="CR195" s="102">
        <v>0</v>
      </c>
      <c r="CS195" s="102">
        <v>0</v>
      </c>
      <c r="CT195" s="102">
        <v>0</v>
      </c>
      <c r="CU195" s="102">
        <v>0</v>
      </c>
      <c r="CV195" s="102">
        <v>0</v>
      </c>
      <c r="CW195" s="102">
        <v>0</v>
      </c>
      <c r="CX195" s="102">
        <v>0</v>
      </c>
      <c r="CY195" s="102">
        <v>0</v>
      </c>
      <c r="CZ195" s="102">
        <v>0</v>
      </c>
      <c r="DA195" s="102">
        <v>0</v>
      </c>
      <c r="DB195" s="102">
        <v>0</v>
      </c>
      <c r="DC195" s="102">
        <v>0</v>
      </c>
      <c r="DD195" s="102">
        <v>0</v>
      </c>
      <c r="DE195" s="102">
        <v>0</v>
      </c>
      <c r="DF195" s="102">
        <v>0</v>
      </c>
      <c r="DG195" s="102">
        <v>0</v>
      </c>
      <c r="DH195" s="102">
        <v>0</v>
      </c>
      <c r="DI195" s="102">
        <v>0</v>
      </c>
      <c r="DJ195" s="102">
        <v>0</v>
      </c>
      <c r="DK195" s="102">
        <v>0</v>
      </c>
      <c r="DL195" s="102">
        <v>0</v>
      </c>
      <c r="DM195" s="102">
        <v>0</v>
      </c>
      <c r="DN195" s="102">
        <v>0</v>
      </c>
      <c r="DO195" s="102">
        <v>0</v>
      </c>
      <c r="DP195" s="102">
        <v>0</v>
      </c>
      <c r="DQ195" s="940">
        <v>0</v>
      </c>
      <c r="DR195" s="940">
        <v>0</v>
      </c>
      <c r="DS195" s="940">
        <v>0</v>
      </c>
      <c r="DT195" s="940">
        <v>0</v>
      </c>
      <c r="DU195" s="940">
        <v>0</v>
      </c>
      <c r="DV195" s="940">
        <v>0</v>
      </c>
      <c r="DW195" s="940">
        <v>0</v>
      </c>
      <c r="DX195" s="940">
        <v>0</v>
      </c>
      <c r="DY195" s="940">
        <v>0</v>
      </c>
      <c r="DZ195" s="940">
        <v>0</v>
      </c>
      <c r="EA195" s="940">
        <v>0</v>
      </c>
      <c r="EB195" s="940">
        <v>0</v>
      </c>
      <c r="EC195" s="940">
        <v>0</v>
      </c>
      <c r="ED195" s="940">
        <v>0</v>
      </c>
      <c r="EE195" s="940">
        <v>0</v>
      </c>
      <c r="EF195" s="940">
        <v>787.04921000000002</v>
      </c>
      <c r="EH195" s="102">
        <v>0</v>
      </c>
      <c r="EI195" s="102">
        <v>0</v>
      </c>
      <c r="EJ195" s="102">
        <v>0</v>
      </c>
      <c r="EK195" s="102">
        <v>0</v>
      </c>
      <c r="EL195" s="102">
        <v>0</v>
      </c>
      <c r="EM195" s="102">
        <v>0</v>
      </c>
      <c r="EN195" s="102">
        <v>0</v>
      </c>
      <c r="EO195" s="102">
        <v>0</v>
      </c>
      <c r="EP195" s="102">
        <v>0</v>
      </c>
      <c r="EQ195" s="102">
        <v>0</v>
      </c>
      <c r="ER195" s="102">
        <v>0</v>
      </c>
      <c r="ES195" s="102">
        <v>0</v>
      </c>
      <c r="EU195" s="102"/>
      <c r="EV195" s="102"/>
      <c r="EW195" s="102"/>
      <c r="EX195" s="102"/>
      <c r="EY195" s="102"/>
      <c r="EZ195" s="102"/>
      <c r="FA195" s="102"/>
      <c r="FB195" s="102"/>
      <c r="FC195" s="102"/>
      <c r="FD195" s="102"/>
      <c r="FE195" s="102"/>
      <c r="FF195" s="102"/>
      <c r="FG195" s="102">
        <v>1216.711241</v>
      </c>
      <c r="FH195" s="102">
        <v>1216.711241</v>
      </c>
      <c r="FI195" s="102">
        <v>1216.711241</v>
      </c>
      <c r="FJ195" s="102">
        <v>1216.711241</v>
      </c>
      <c r="FK195" s="102">
        <v>1216.711241</v>
      </c>
      <c r="FL195" s="102">
        <v>1216.711241</v>
      </c>
      <c r="FM195" s="102">
        <v>1216.711241</v>
      </c>
      <c r="FN195" s="102">
        <v>1216.711241</v>
      </c>
      <c r="FO195" s="102">
        <v>1216.711241</v>
      </c>
      <c r="FP195" s="102">
        <v>1216.711241</v>
      </c>
      <c r="FQ195" s="102">
        <v>1216.711241</v>
      </c>
      <c r="FR195" s="102">
        <v>1216.711241</v>
      </c>
      <c r="FS195" s="102"/>
      <c r="FT195" s="102"/>
      <c r="FU195" s="102"/>
      <c r="FV195" s="102"/>
      <c r="FW195" s="102"/>
      <c r="FX195" s="102"/>
      <c r="FY195" s="102"/>
      <c r="FZ195" s="102"/>
      <c r="GA195" s="102"/>
      <c r="GB195" s="102"/>
      <c r="GC195" s="102"/>
      <c r="GD195" s="102"/>
      <c r="GE195" s="102">
        <v>0</v>
      </c>
      <c r="GF195" s="102">
        <v>0</v>
      </c>
      <c r="GG195" s="102">
        <v>0</v>
      </c>
      <c r="GH195" s="102">
        <v>0</v>
      </c>
      <c r="GI195" s="102">
        <v>0</v>
      </c>
      <c r="GJ195" s="102">
        <v>0</v>
      </c>
      <c r="GK195" s="102">
        <v>0</v>
      </c>
      <c r="GL195" s="102">
        <v>0</v>
      </c>
      <c r="GM195" s="102">
        <v>0</v>
      </c>
      <c r="GN195" s="102">
        <v>0</v>
      </c>
      <c r="GO195" s="102">
        <v>0</v>
      </c>
      <c r="GP195" s="102">
        <v>0</v>
      </c>
      <c r="GQ195" s="102">
        <v>0</v>
      </c>
      <c r="GR195" s="102">
        <v>0</v>
      </c>
      <c r="GS195" s="102">
        <v>0</v>
      </c>
      <c r="GT195" s="102">
        <v>0</v>
      </c>
      <c r="GU195" s="102">
        <v>0</v>
      </c>
      <c r="GV195" s="102">
        <v>0</v>
      </c>
      <c r="GW195" s="102">
        <v>0</v>
      </c>
      <c r="GX195" s="102">
        <v>0</v>
      </c>
      <c r="GY195" s="102">
        <v>0</v>
      </c>
      <c r="GZ195" s="102">
        <v>0</v>
      </c>
      <c r="HA195" s="102">
        <v>0</v>
      </c>
      <c r="HB195" s="102">
        <v>0</v>
      </c>
      <c r="HD195" s="102">
        <f t="shared" si="979"/>
        <v>1308.802553</v>
      </c>
      <c r="HE195" s="102">
        <f t="shared" si="979"/>
        <v>133.33333400000001</v>
      </c>
      <c r="HF195" s="102">
        <f t="shared" si="979"/>
        <v>0</v>
      </c>
      <c r="HG195" s="102">
        <f t="shared" si="979"/>
        <v>0</v>
      </c>
      <c r="HH195" s="102">
        <f t="shared" si="980"/>
        <v>0</v>
      </c>
      <c r="HI195" s="102">
        <f t="shared" si="981"/>
        <v>0</v>
      </c>
      <c r="HJ195" s="102">
        <f t="shared" si="961"/>
        <v>0</v>
      </c>
      <c r="HK195" s="102">
        <f t="shared" si="962"/>
        <v>0</v>
      </c>
      <c r="HL195" s="940">
        <f>+SUMIFS($E195:SEW195,$E$6:SEW$6,HL$7,$E$5:SEW$5,12)</f>
        <v>0</v>
      </c>
      <c r="HM195" s="940">
        <f>+SUMIFS($E195:SEX195,$E$6:SEX$6,HM$7,$E$5:SEX$5,12)</f>
        <v>0</v>
      </c>
      <c r="HN195" s="940">
        <f>+SUMIFS($E195:SEY195,$E$6:SEY$6,HN$7,$E$5:SEY$5,12)</f>
        <v>787.04921000000002</v>
      </c>
      <c r="HO195" s="102"/>
      <c r="HP195" s="102"/>
      <c r="HR195" s="929">
        <f t="shared" si="982"/>
        <v>-1</v>
      </c>
      <c r="HS195" s="929" t="str">
        <f t="shared" si="983"/>
        <v/>
      </c>
      <c r="HT195" s="929" t="str">
        <f t="shared" si="984"/>
        <v/>
      </c>
      <c r="HU195" s="929" t="str">
        <f t="shared" si="985"/>
        <v/>
      </c>
      <c r="HV195" s="929" t="str">
        <f t="shared" si="986"/>
        <v/>
      </c>
      <c r="HW195" s="929" t="str">
        <f t="shared" si="987"/>
        <v/>
      </c>
      <c r="HX195" s="929" t="str">
        <f t="shared" si="988"/>
        <v/>
      </c>
      <c r="HY195" s="929" t="str">
        <f t="shared" si="988"/>
        <v/>
      </c>
      <c r="HZ195" s="929" t="str">
        <f t="shared" si="988"/>
        <v/>
      </c>
      <c r="IA195" s="929" t="str">
        <f t="shared" ref="IA195:IA218" si="1036">+IFERROR(HO195/HL195-1,"")</f>
        <v/>
      </c>
      <c r="IB195" s="929" t="str">
        <f t="shared" si="989"/>
        <v/>
      </c>
      <c r="IC195" s="929" t="str">
        <f t="shared" ref="IC195:IC213" si="1037">+IFERROR(HP195/HL195-1,"")</f>
        <v/>
      </c>
      <c r="IE195" s="102">
        <f t="shared" si="990"/>
        <v>-133.33333400000001</v>
      </c>
      <c r="IF195" s="102">
        <f t="shared" si="991"/>
        <v>0</v>
      </c>
      <c r="IG195" s="102">
        <f t="shared" si="992"/>
        <v>0</v>
      </c>
      <c r="IH195" s="102">
        <f t="shared" si="993"/>
        <v>0</v>
      </c>
      <c r="II195" s="102">
        <f t="shared" si="894"/>
        <v>0</v>
      </c>
      <c r="IJ195" s="102">
        <f t="shared" si="895"/>
        <v>0</v>
      </c>
      <c r="IK195" s="102">
        <f t="shared" si="896"/>
        <v>0</v>
      </c>
      <c r="IL195" s="102">
        <f t="shared" ref="IL195:IL218" si="1038">+HO195-HL195</f>
        <v>0</v>
      </c>
      <c r="IM195" s="102">
        <f t="shared" si="994"/>
        <v>0</v>
      </c>
      <c r="IN195" s="102">
        <f t="shared" ref="IN195:IN213" si="1039">+HP195-HL195</f>
        <v>0</v>
      </c>
      <c r="IP195" s="973"/>
      <c r="IQ195" s="973"/>
      <c r="IR195" s="973"/>
      <c r="IS195" s="973"/>
      <c r="IT195" s="973"/>
      <c r="IU195" s="973"/>
      <c r="IV195" s="973"/>
      <c r="IW195" s="973"/>
      <c r="IX195" s="973"/>
      <c r="IY195" s="973"/>
      <c r="JA195" s="102">
        <f t="shared" si="995"/>
        <v>1308.802553</v>
      </c>
      <c r="JB195" s="102">
        <f t="shared" si="995"/>
        <v>133.33333400000001</v>
      </c>
      <c r="JC195" s="102">
        <f t="shared" si="995"/>
        <v>0</v>
      </c>
      <c r="JD195" s="102">
        <f t="shared" si="995"/>
        <v>0</v>
      </c>
      <c r="JE195" s="102">
        <f t="shared" si="995"/>
        <v>0</v>
      </c>
      <c r="JF195" s="102">
        <f t="shared" si="995"/>
        <v>0</v>
      </c>
      <c r="JG195" s="102">
        <f t="shared" si="995"/>
        <v>0</v>
      </c>
      <c r="JH195" s="102">
        <f t="shared" si="995"/>
        <v>0</v>
      </c>
      <c r="JI195" s="102">
        <f t="shared" si="995"/>
        <v>0</v>
      </c>
      <c r="JJ195" s="102">
        <f t="shared" si="995"/>
        <v>0</v>
      </c>
      <c r="JK195" s="102">
        <f t="shared" si="995"/>
        <v>787.04921000000002</v>
      </c>
      <c r="JL195" s="102">
        <f t="shared" si="996"/>
        <v>787.04921000000002</v>
      </c>
      <c r="JM195" s="102"/>
      <c r="JN195" s="102"/>
      <c r="JP195" s="102">
        <f t="shared" si="997"/>
        <v>0</v>
      </c>
      <c r="JQ195" s="102">
        <f t="shared" si="998"/>
        <v>0</v>
      </c>
      <c r="JR195" s="145"/>
      <c r="JS195" s="929" t="str">
        <f t="shared" si="999"/>
        <v>NA</v>
      </c>
      <c r="JT195" s="930">
        <f t="shared" si="1000"/>
        <v>0</v>
      </c>
      <c r="JV195" s="973"/>
      <c r="JW195" s="973"/>
      <c r="JY195" s="929">
        <f t="shared" si="1023"/>
        <v>-1</v>
      </c>
      <c r="JZ195" s="929" t="str">
        <f t="shared" si="1024"/>
        <v/>
      </c>
      <c r="KA195" s="929" t="str">
        <f t="shared" si="1025"/>
        <v/>
      </c>
      <c r="KB195" s="929" t="str">
        <f t="shared" si="1026"/>
        <v/>
      </c>
      <c r="KC195" s="929" t="str">
        <f t="shared" si="1027"/>
        <v/>
      </c>
      <c r="KD195" s="929" t="str">
        <f t="shared" si="1028"/>
        <v/>
      </c>
      <c r="KE195" s="929" t="str">
        <f t="shared" si="1029"/>
        <v/>
      </c>
      <c r="KF195" s="929" t="str">
        <f t="shared" si="1030"/>
        <v/>
      </c>
      <c r="KH195" s="102">
        <f t="shared" si="1002"/>
        <v>-133.33333400000001</v>
      </c>
      <c r="KI195" s="102">
        <f t="shared" si="1003"/>
        <v>0</v>
      </c>
      <c r="KJ195" s="102">
        <f t="shared" si="1004"/>
        <v>0</v>
      </c>
      <c r="KK195" s="102">
        <f t="shared" si="1005"/>
        <v>0</v>
      </c>
      <c r="KL195" s="102">
        <f t="shared" si="1006"/>
        <v>0</v>
      </c>
      <c r="KM195" s="102">
        <f t="shared" si="1007"/>
        <v>0</v>
      </c>
      <c r="KN195" s="102">
        <f t="shared" si="1008"/>
        <v>0</v>
      </c>
      <c r="KO195" s="102">
        <f t="shared" si="1009"/>
        <v>0</v>
      </c>
      <c r="KQ195" s="973"/>
      <c r="KR195" s="973"/>
      <c r="KS195" s="973"/>
      <c r="KT195" s="973"/>
      <c r="KU195" s="973"/>
      <c r="KV195" s="973"/>
      <c r="KW195" s="973"/>
      <c r="KX195" s="973"/>
      <c r="KY195" s="973"/>
      <c r="KZ195" s="973"/>
      <c r="LB195" s="102">
        <f t="shared" si="1010"/>
        <v>1308.802553</v>
      </c>
      <c r="LC195" s="102">
        <f t="shared" si="1010"/>
        <v>133.33333400000001</v>
      </c>
      <c r="LD195" s="102">
        <f t="shared" si="1010"/>
        <v>0</v>
      </c>
      <c r="LE195" s="102">
        <f t="shared" si="1010"/>
        <v>0</v>
      </c>
      <c r="LF195" s="102">
        <f t="shared" si="1010"/>
        <v>0</v>
      </c>
      <c r="LG195" s="102">
        <f t="shared" si="1010"/>
        <v>0</v>
      </c>
      <c r="LH195" s="102">
        <f t="shared" si="1010"/>
        <v>0</v>
      </c>
      <c r="LI195" s="102">
        <f t="shared" si="1010"/>
        <v>0</v>
      </c>
      <c r="LJ195" s="102">
        <f t="shared" si="1010"/>
        <v>0</v>
      </c>
      <c r="LK195" s="102">
        <f t="shared" si="1010"/>
        <v>0</v>
      </c>
      <c r="LL195" s="102">
        <f t="shared" si="1010"/>
        <v>787.04921000000002</v>
      </c>
      <c r="LM195" s="102">
        <f t="shared" si="1010"/>
        <v>787.04921000000002</v>
      </c>
      <c r="LN195" s="102"/>
      <c r="LO195" s="102"/>
      <c r="LR195" s="32">
        <f t="shared" si="1011"/>
        <v>-1</v>
      </c>
      <c r="LS195" s="32" t="str">
        <f t="shared" si="1012"/>
        <v xml:space="preserve"> </v>
      </c>
      <c r="LT195" s="32" t="str">
        <f t="shared" si="1013"/>
        <v xml:space="preserve"> </v>
      </c>
      <c r="LU195" s="32" t="str">
        <f t="shared" si="1014"/>
        <v xml:space="preserve"> </v>
      </c>
      <c r="LV195" s="32" t="str">
        <f t="shared" si="1015"/>
        <v xml:space="preserve"> </v>
      </c>
      <c r="LW195" s="32" t="str">
        <f t="shared" si="1016"/>
        <v xml:space="preserve"> </v>
      </c>
      <c r="LX195" s="32" t="str">
        <f t="shared" si="963"/>
        <v xml:space="preserve"> </v>
      </c>
      <c r="LZ195" s="102">
        <f t="shared" si="1017"/>
        <v>-133.33333400000001</v>
      </c>
      <c r="MA195" s="102">
        <f t="shared" si="1018"/>
        <v>0</v>
      </c>
      <c r="MB195" s="102">
        <f t="shared" si="1019"/>
        <v>0</v>
      </c>
      <c r="MC195" s="102">
        <f t="shared" si="1020"/>
        <v>0</v>
      </c>
      <c r="MD195" s="102">
        <f t="shared" si="1021"/>
        <v>0</v>
      </c>
      <c r="ME195" s="102">
        <f t="shared" si="1022"/>
        <v>0</v>
      </c>
      <c r="MF195" s="102">
        <f t="shared" si="964"/>
        <v>0</v>
      </c>
      <c r="MH195" s="973"/>
      <c r="MI195" s="973"/>
      <c r="MJ195" s="973"/>
      <c r="MK195" s="973"/>
      <c r="ML195" s="973"/>
      <c r="MM195" s="973"/>
      <c r="MN195" s="973"/>
      <c r="MO195" s="973"/>
      <c r="MP195" s="973"/>
    </row>
    <row r="196" spans="1:354" outlineLevel="1">
      <c r="A196" s="884"/>
      <c r="B196" s="70"/>
      <c r="C196" s="17" t="s">
        <v>93</v>
      </c>
      <c r="D196" s="31"/>
      <c r="E196" s="102">
        <v>-445.35038828280005</v>
      </c>
      <c r="F196" s="102">
        <v>-96.018571515900021</v>
      </c>
      <c r="G196" s="102">
        <v>11.731573362299898</v>
      </c>
      <c r="H196" s="102">
        <v>202.4141376741</v>
      </c>
      <c r="I196" s="102">
        <v>678.38594360130037</v>
      </c>
      <c r="J196" s="102">
        <v>852.38652431460036</v>
      </c>
      <c r="K196" s="102">
        <v>1104.1784653019997</v>
      </c>
      <c r="L196" s="102">
        <v>1595.5921508703009</v>
      </c>
      <c r="M196" s="102">
        <v>2088.3121228827013</v>
      </c>
      <c r="N196" s="102">
        <v>2354.0565306390017</v>
      </c>
      <c r="O196" s="102">
        <v>2930.9575252220989</v>
      </c>
      <c r="P196" s="102">
        <v>2841.49</v>
      </c>
      <c r="Q196" s="102">
        <v>2921.9404121402995</v>
      </c>
      <c r="R196" s="102">
        <v>3532.1459992350997</v>
      </c>
      <c r="S196" s="102">
        <v>3233.2857136783</v>
      </c>
      <c r="T196" s="102">
        <v>175.49530790130075</v>
      </c>
      <c r="U196" s="102">
        <v>678.80278794790081</v>
      </c>
      <c r="V196" s="102">
        <v>1077.9067843460987</v>
      </c>
      <c r="W196" s="102">
        <v>1291.5445826576984</v>
      </c>
      <c r="X196" s="102">
        <v>1621.5757785373005</v>
      </c>
      <c r="Y196" s="102">
        <v>1424.9535813961015</v>
      </c>
      <c r="Z196" s="102">
        <v>1448.7155633570999</v>
      </c>
      <c r="AA196" s="102">
        <v>2300.4712146313</v>
      </c>
      <c r="AB196" s="102">
        <v>3336.9465619299999</v>
      </c>
      <c r="AC196" s="102">
        <v>3380.9587838299999</v>
      </c>
      <c r="AD196" s="102">
        <v>3696.0696568099997</v>
      </c>
      <c r="AE196" s="102">
        <v>3914.8478621819995</v>
      </c>
      <c r="AF196" s="102">
        <v>1200.1674335499999</v>
      </c>
      <c r="AG196" s="102">
        <v>1492.4771436199999</v>
      </c>
      <c r="AH196" s="102">
        <v>1750.7357493538</v>
      </c>
      <c r="AI196" s="102">
        <v>1858.4241727900001</v>
      </c>
      <c r="AJ196" s="102">
        <v>2178.8456283400001</v>
      </c>
      <c r="AK196" s="102">
        <v>2573.2569188699999</v>
      </c>
      <c r="AL196" s="102">
        <v>3152.9604056199996</v>
      </c>
      <c r="AM196" s="102">
        <v>4297.7435941599997</v>
      </c>
      <c r="AN196" s="143">
        <v>6118.2493911000001</v>
      </c>
      <c r="AO196" s="975">
        <v>5981.14335407</v>
      </c>
      <c r="AP196" s="976">
        <v>5624.6589532699991</v>
      </c>
      <c r="AQ196" s="975">
        <v>5439.8771048500003</v>
      </c>
      <c r="AR196" s="975">
        <v>1279.5724204600001</v>
      </c>
      <c r="AS196" s="975">
        <v>549.76006367999992</v>
      </c>
      <c r="AT196" s="975">
        <v>262.05008780000003</v>
      </c>
      <c r="AU196" s="975">
        <v>328.87395050000009</v>
      </c>
      <c r="AV196" s="975">
        <v>399.91897891000008</v>
      </c>
      <c r="AW196" s="975">
        <v>132.33247664999999</v>
      </c>
      <c r="AX196" s="975">
        <v>1343.5889562300001</v>
      </c>
      <c r="AY196" s="975">
        <v>1346.3226199799999</v>
      </c>
      <c r="AZ196" s="102">
        <f>SUM(AZ197:AZ199)</f>
        <v>833.38924363000001</v>
      </c>
      <c r="BA196" s="102">
        <v>656.6566904099999</v>
      </c>
      <c r="BB196" s="102">
        <v>683.37408027999993</v>
      </c>
      <c r="BC196" s="102">
        <v>803.46149165999998</v>
      </c>
      <c r="BD196" s="102">
        <v>713.98746569000002</v>
      </c>
      <c r="BE196" s="102">
        <v>722.65899839999997</v>
      </c>
      <c r="BF196" s="102">
        <v>706.93640616999994</v>
      </c>
      <c r="BG196" s="102">
        <v>832.9387422499999</v>
      </c>
      <c r="BH196" s="102">
        <v>218.77440833</v>
      </c>
      <c r="BI196" s="102">
        <v>258.35095944</v>
      </c>
      <c r="BJ196" s="102">
        <v>277.94568779999997</v>
      </c>
      <c r="BK196" s="102">
        <v>309.49228954</v>
      </c>
      <c r="BL196" s="145">
        <f>SUM(BL197:BL199)</f>
        <v>446.15777888999997</v>
      </c>
      <c r="BM196" s="145">
        <f t="shared" ref="BM196:DX196" si="1040">SUM(BM197:BM199)</f>
        <v>333.83554146999995</v>
      </c>
      <c r="BN196" s="102">
        <f t="shared" si="1040"/>
        <v>320.59103389000001</v>
      </c>
      <c r="BO196" s="102">
        <f t="shared" si="1040"/>
        <v>354.05135038000003</v>
      </c>
      <c r="BP196" s="102">
        <f t="shared" si="1040"/>
        <v>358.01052771000002</v>
      </c>
      <c r="BQ196" s="102">
        <f t="shared" si="1040"/>
        <v>330.76147505000006</v>
      </c>
      <c r="BR196" s="102">
        <f t="shared" si="1040"/>
        <v>356.78706205000003</v>
      </c>
      <c r="BS196" s="102">
        <f t="shared" si="1040"/>
        <v>358.67064227999992</v>
      </c>
      <c r="BT196" s="102">
        <f t="shared" si="1040"/>
        <v>400.77952293000004</v>
      </c>
      <c r="BU196" s="102">
        <f t="shared" si="1040"/>
        <v>392.36790167999999</v>
      </c>
      <c r="BV196" s="102">
        <f t="shared" si="1040"/>
        <v>416.39443822999999</v>
      </c>
      <c r="BW196" s="102">
        <f t="shared" si="1040"/>
        <v>553.71564932000001</v>
      </c>
      <c r="BX196" s="102">
        <f t="shared" si="1040"/>
        <v>0</v>
      </c>
      <c r="BY196" s="102">
        <f t="shared" si="1040"/>
        <v>478.49395566999993</v>
      </c>
      <c r="BZ196" s="102">
        <f t="shared" si="1040"/>
        <v>442.31129582</v>
      </c>
      <c r="CA196" s="102">
        <f t="shared" si="1040"/>
        <v>443.49876301999996</v>
      </c>
      <c r="CB196" s="102">
        <f t="shared" si="1040"/>
        <v>447.83025345999999</v>
      </c>
      <c r="CC196" s="102">
        <f t="shared" si="1040"/>
        <v>454.83857125999998</v>
      </c>
      <c r="CD196" s="102">
        <f t="shared" si="1040"/>
        <v>457.06310266999998</v>
      </c>
      <c r="CE196" s="102">
        <f t="shared" si="1040"/>
        <v>413.81101179999996</v>
      </c>
      <c r="CF196" s="102">
        <f t="shared" si="1040"/>
        <v>414.54948165000002</v>
      </c>
      <c r="CG196" s="102">
        <f t="shared" si="1040"/>
        <v>493.18421059000002</v>
      </c>
      <c r="CH196" s="102">
        <f t="shared" si="1040"/>
        <v>508.22156490000003</v>
      </c>
      <c r="CI196" s="102">
        <f t="shared" si="1040"/>
        <v>616.93658972000003</v>
      </c>
      <c r="CJ196" s="102">
        <f t="shared" si="1040"/>
        <v>-2.1E-7</v>
      </c>
      <c r="CK196" s="102">
        <f t="shared" si="1040"/>
        <v>478.99538267999998</v>
      </c>
      <c r="CL196" s="102">
        <f t="shared" si="1040"/>
        <v>516.94724983000003</v>
      </c>
      <c r="CM196" s="102">
        <f t="shared" si="1040"/>
        <v>447.21244263</v>
      </c>
      <c r="CN196" s="102">
        <f t="shared" si="1040"/>
        <v>491.72305862999997</v>
      </c>
      <c r="CO196" s="102">
        <f t="shared" si="1040"/>
        <v>596.95643265000001</v>
      </c>
      <c r="CP196" s="102">
        <f t="shared" si="1040"/>
        <v>569.72836202999997</v>
      </c>
      <c r="CQ196" s="102">
        <f t="shared" si="1040"/>
        <v>653.67027005</v>
      </c>
      <c r="CR196" s="102">
        <f t="shared" si="1040"/>
        <v>749.34693437999999</v>
      </c>
      <c r="CS196" s="102">
        <f t="shared" si="1040"/>
        <v>627.82112529000005</v>
      </c>
      <c r="CT196" s="102">
        <f t="shared" si="1040"/>
        <v>705.70156672999997</v>
      </c>
      <c r="CU196" s="102">
        <f t="shared" si="1040"/>
        <v>737.15732132999995</v>
      </c>
      <c r="CV196" s="102">
        <f t="shared" si="1040"/>
        <v>0</v>
      </c>
      <c r="CW196" s="102">
        <f t="shared" si="1040"/>
        <v>663.71754195000005</v>
      </c>
      <c r="CX196" s="102">
        <f t="shared" si="1040"/>
        <v>499.13037897000004</v>
      </c>
      <c r="CY196" s="102">
        <f t="shared" si="1040"/>
        <v>595.34857366999995</v>
      </c>
      <c r="CZ196" s="102">
        <f t="shared" si="1040"/>
        <v>341.95440127000001</v>
      </c>
      <c r="DA196" s="102">
        <f t="shared" si="1040"/>
        <v>340.79703089999998</v>
      </c>
      <c r="DB196" s="102">
        <f t="shared" si="1040"/>
        <v>435.79377004000003</v>
      </c>
      <c r="DC196" s="102">
        <f t="shared" si="1040"/>
        <v>567.50021831999993</v>
      </c>
      <c r="DD196" s="102">
        <f t="shared" si="1040"/>
        <v>619.34635460000004</v>
      </c>
      <c r="DE196" s="102">
        <f t="shared" si="1040"/>
        <v>671.24944759999994</v>
      </c>
      <c r="DF196" s="102">
        <f t="shared" si="1040"/>
        <v>605.14228860000003</v>
      </c>
      <c r="DG196" s="102">
        <f t="shared" si="1040"/>
        <v>590.00400146999993</v>
      </c>
      <c r="DH196" s="102">
        <f t="shared" si="1040"/>
        <v>25.436978410000002</v>
      </c>
      <c r="DI196" s="102">
        <f t="shared" si="1040"/>
        <v>569.22755434999999</v>
      </c>
      <c r="DJ196" s="102">
        <f t="shared" si="1040"/>
        <v>486.84175278999999</v>
      </c>
      <c r="DK196" s="102">
        <f t="shared" si="1040"/>
        <v>444.8150296</v>
      </c>
      <c r="DL196" s="102">
        <f t="shared" si="1040"/>
        <v>423.43467004000001</v>
      </c>
      <c r="DM196" s="102">
        <f t="shared" si="1040"/>
        <v>428.42897706000002</v>
      </c>
      <c r="DN196" s="102">
        <f t="shared" si="1040"/>
        <v>389.78129923</v>
      </c>
      <c r="DO196" s="102">
        <f t="shared" si="1040"/>
        <v>460.46534821</v>
      </c>
      <c r="DP196" s="102">
        <f t="shared" si="1040"/>
        <v>357.03086040000005</v>
      </c>
      <c r="DQ196" s="940">
        <f t="shared" si="1040"/>
        <v>439.42182123999999</v>
      </c>
      <c r="DR196" s="940">
        <f t="shared" si="1040"/>
        <v>448.22375237000006</v>
      </c>
      <c r="DS196" s="940">
        <f t="shared" si="1040"/>
        <v>488.21337033999998</v>
      </c>
      <c r="DT196" s="940">
        <f t="shared" si="1040"/>
        <v>223.87945056000001</v>
      </c>
      <c r="DU196" s="940">
        <f t="shared" si="1040"/>
        <v>746.81728275000012</v>
      </c>
      <c r="DV196" s="940">
        <f t="shared" si="1040"/>
        <v>536.27225191000002</v>
      </c>
      <c r="DW196" s="940">
        <f t="shared" si="1040"/>
        <v>380.28302887000001</v>
      </c>
      <c r="DX196" s="940">
        <f t="shared" si="1040"/>
        <v>512.56565215000001</v>
      </c>
      <c r="DY196" s="940">
        <f t="shared" ref="DY196:EF196" si="1041">SUM(DY197:DY199)</f>
        <v>472.90082704000002</v>
      </c>
      <c r="DZ196" s="940">
        <f t="shared" si="1041"/>
        <v>699.32306054999992</v>
      </c>
      <c r="EA196" s="940">
        <f t="shared" si="1041"/>
        <v>806.98947458999999</v>
      </c>
      <c r="EB196" s="940">
        <f t="shared" si="1041"/>
        <v>935.88827605999995</v>
      </c>
      <c r="EC196" s="940">
        <f t="shared" si="1041"/>
        <v>850.01034788000015</v>
      </c>
      <c r="ED196" s="940">
        <f t="shared" si="1041"/>
        <v>1237.85801421</v>
      </c>
      <c r="EE196" s="940">
        <f t="shared" si="1041"/>
        <v>1644.4199522599999</v>
      </c>
      <c r="EF196" s="940">
        <f t="shared" si="1041"/>
        <v>70.437002250000006</v>
      </c>
      <c r="EH196" s="102">
        <f t="shared" ref="EH196:ES196" si="1042">SUM(EH197:EH199)</f>
        <v>663.71754195000005</v>
      </c>
      <c r="EI196" s="102">
        <f t="shared" si="1042"/>
        <v>499.13037897000004</v>
      </c>
      <c r="EJ196" s="102">
        <f t="shared" si="1042"/>
        <v>595.34857366999995</v>
      </c>
      <c r="EK196" s="102">
        <f t="shared" si="1042"/>
        <v>341.95440127000001</v>
      </c>
      <c r="EL196" s="102">
        <f t="shared" si="1042"/>
        <v>340.79703089999998</v>
      </c>
      <c r="EM196" s="102">
        <f t="shared" si="1042"/>
        <v>435.79377004000003</v>
      </c>
      <c r="EN196" s="102">
        <f t="shared" si="1042"/>
        <v>246.218529155</v>
      </c>
      <c r="EO196" s="102">
        <f t="shared" si="1042"/>
        <v>246.218529155</v>
      </c>
      <c r="EP196" s="102">
        <f t="shared" si="1042"/>
        <v>56.643288270000006</v>
      </c>
      <c r="EQ196" s="102">
        <f t="shared" si="1042"/>
        <v>56.643288270000006</v>
      </c>
      <c r="ER196" s="102">
        <f t="shared" si="1042"/>
        <v>56.643288270000006</v>
      </c>
      <c r="ES196" s="102">
        <f t="shared" si="1042"/>
        <v>56.643288270000006</v>
      </c>
      <c r="ET196" s="279"/>
      <c r="EU196" s="102">
        <f t="shared" ref="EU196:FZ196" si="1043">SUM(EU197:EU199)</f>
        <v>4076.9181984490156</v>
      </c>
      <c r="EV196" s="102">
        <f t="shared" si="1043"/>
        <v>3934.2357324010609</v>
      </c>
      <c r="EW196" s="102">
        <f t="shared" si="1043"/>
        <v>3826.4757512802785</v>
      </c>
      <c r="EX196" s="102">
        <f t="shared" si="1043"/>
        <v>161.58567837861585</v>
      </c>
      <c r="EY196" s="102">
        <f t="shared" si="1043"/>
        <v>243.2770795543864</v>
      </c>
      <c r="EZ196" s="102">
        <f t="shared" si="1043"/>
        <v>405.50327953453956</v>
      </c>
      <c r="FA196" s="102">
        <f t="shared" si="1043"/>
        <v>896.66955638598893</v>
      </c>
      <c r="FB196" s="102">
        <f t="shared" si="1043"/>
        <v>1709.2058519279797</v>
      </c>
      <c r="FC196" s="102">
        <f t="shared" si="1043"/>
        <v>2204.6738619272596</v>
      </c>
      <c r="FD196" s="102">
        <f t="shared" si="1043"/>
        <v>2793.7419701068429</v>
      </c>
      <c r="FE196" s="102">
        <f t="shared" si="1043"/>
        <v>3317.531113188873</v>
      </c>
      <c r="FF196" s="102">
        <f t="shared" si="1043"/>
        <v>3685.2689423148227</v>
      </c>
      <c r="FG196" s="102">
        <f t="shared" si="1043"/>
        <v>734.09254548139006</v>
      </c>
      <c r="FH196" s="102">
        <f t="shared" si="1043"/>
        <v>764.48645911981112</v>
      </c>
      <c r="FI196" s="102">
        <f t="shared" si="1043"/>
        <v>765.26943468590707</v>
      </c>
      <c r="FJ196" s="102">
        <f t="shared" si="1043"/>
        <v>766.26331732469328</v>
      </c>
      <c r="FK196" s="102">
        <f t="shared" si="1043"/>
        <v>767.48591934666081</v>
      </c>
      <c r="FL196" s="102">
        <f t="shared" si="1043"/>
        <v>768.55484257182286</v>
      </c>
      <c r="FM196" s="102">
        <f t="shared" si="1043"/>
        <v>769.30045078110288</v>
      </c>
      <c r="FN196" s="102">
        <f t="shared" si="1043"/>
        <v>770.33315909330531</v>
      </c>
      <c r="FO196" s="102">
        <f t="shared" si="1043"/>
        <v>877.95468451561339</v>
      </c>
      <c r="FP196" s="102">
        <f t="shared" si="1043"/>
        <v>1008.4477923863383</v>
      </c>
      <c r="FQ196" s="102">
        <f t="shared" si="1043"/>
        <v>1107.1251989144505</v>
      </c>
      <c r="FR196" s="102">
        <f t="shared" si="1043"/>
        <v>1130.9427640605231</v>
      </c>
      <c r="FS196" s="102">
        <f t="shared" si="1043"/>
        <v>383.14941146124829</v>
      </c>
      <c r="FT196" s="102">
        <f t="shared" si="1043"/>
        <v>336.1586764212484</v>
      </c>
      <c r="FU196" s="102">
        <f t="shared" si="1043"/>
        <v>344.08326680455832</v>
      </c>
      <c r="FV196" s="102">
        <f t="shared" si="1043"/>
        <v>351.27623989720837</v>
      </c>
      <c r="FW196" s="102">
        <f t="shared" si="1043"/>
        <v>358.94599902787832</v>
      </c>
      <c r="FX196" s="102">
        <f t="shared" si="1043"/>
        <v>365.55916499011835</v>
      </c>
      <c r="FY196" s="102">
        <f t="shared" si="1043"/>
        <v>373.00910010301834</v>
      </c>
      <c r="FZ196" s="102">
        <f t="shared" si="1043"/>
        <v>378.04782924301833</v>
      </c>
      <c r="GA196" s="102">
        <f t="shared" ref="GA196:HB196" si="1044">SUM(GA197:GA199)</f>
        <v>381.84783174301833</v>
      </c>
      <c r="GB196" s="102">
        <f t="shared" si="1044"/>
        <v>384.93948024301835</v>
      </c>
      <c r="GC196" s="102">
        <f t="shared" si="1044"/>
        <v>388.54871154301838</v>
      </c>
      <c r="GD196" s="102">
        <f t="shared" si="1044"/>
        <v>391.8337808430183</v>
      </c>
      <c r="GE196" s="102">
        <f t="shared" si="1044"/>
        <v>0</v>
      </c>
      <c r="GF196" s="102">
        <f t="shared" si="1044"/>
        <v>0</v>
      </c>
      <c r="GG196" s="102">
        <f t="shared" si="1044"/>
        <v>0</v>
      </c>
      <c r="GH196" s="102">
        <f t="shared" si="1044"/>
        <v>0</v>
      </c>
      <c r="GI196" s="102">
        <f t="shared" si="1044"/>
        <v>0</v>
      </c>
      <c r="GJ196" s="102">
        <f t="shared" si="1044"/>
        <v>0</v>
      </c>
      <c r="GK196" s="102">
        <f t="shared" si="1044"/>
        <v>0</v>
      </c>
      <c r="GL196" s="102">
        <f t="shared" si="1044"/>
        <v>0</v>
      </c>
      <c r="GM196" s="102">
        <f t="shared" si="1044"/>
        <v>0</v>
      </c>
      <c r="GN196" s="102">
        <f t="shared" si="1044"/>
        <v>0</v>
      </c>
      <c r="GO196" s="102">
        <f t="shared" si="1044"/>
        <v>0</v>
      </c>
      <c r="GP196" s="102">
        <f t="shared" si="1044"/>
        <v>0</v>
      </c>
      <c r="GQ196" s="102">
        <f t="shared" si="1044"/>
        <v>0</v>
      </c>
      <c r="GR196" s="102">
        <f t="shared" si="1044"/>
        <v>0</v>
      </c>
      <c r="GS196" s="102">
        <f t="shared" si="1044"/>
        <v>0</v>
      </c>
      <c r="GT196" s="102">
        <f t="shared" si="1044"/>
        <v>0</v>
      </c>
      <c r="GU196" s="102">
        <f t="shared" si="1044"/>
        <v>0</v>
      </c>
      <c r="GV196" s="102">
        <f t="shared" si="1044"/>
        <v>0</v>
      </c>
      <c r="GW196" s="102">
        <f t="shared" si="1044"/>
        <v>0</v>
      </c>
      <c r="GX196" s="102">
        <f t="shared" si="1044"/>
        <v>0</v>
      </c>
      <c r="GY196" s="102">
        <f t="shared" si="1044"/>
        <v>0</v>
      </c>
      <c r="GZ196" s="102">
        <f t="shared" si="1044"/>
        <v>0</v>
      </c>
      <c r="HA196" s="102">
        <f t="shared" si="1044"/>
        <v>0</v>
      </c>
      <c r="HB196" s="102">
        <f t="shared" si="1044"/>
        <v>0</v>
      </c>
      <c r="HD196" s="102">
        <f t="shared" si="979"/>
        <v>2841.49</v>
      </c>
      <c r="HE196" s="102">
        <f t="shared" si="979"/>
        <v>3336.9465619299999</v>
      </c>
      <c r="HF196" s="102">
        <f t="shared" si="979"/>
        <v>6118.2493911000001</v>
      </c>
      <c r="HG196" s="102">
        <f t="shared" si="979"/>
        <v>833.38924363000001</v>
      </c>
      <c r="HH196" s="102">
        <f t="shared" si="980"/>
        <v>446.15777888999997</v>
      </c>
      <c r="HI196" s="102">
        <f t="shared" si="981"/>
        <v>0</v>
      </c>
      <c r="HJ196" s="102">
        <f t="shared" si="961"/>
        <v>-2.1E-7</v>
      </c>
      <c r="HK196" s="102">
        <f t="shared" si="962"/>
        <v>0</v>
      </c>
      <c r="HL196" s="940">
        <f>+SUMIFS($E196:SEW196,$E$6:SEW$6,HL$7,$E$5:SEW$5,12)</f>
        <v>25.436978410000002</v>
      </c>
      <c r="HM196" s="940">
        <f>+SUMIFS($E196:SEX196,$E$6:SEX$6,HM$7,$E$5:SEX$5,12)</f>
        <v>223.87945056000001</v>
      </c>
      <c r="HN196" s="940">
        <f>+SUMIFS($E196:SEY196,$E$6:SEY$6,HN$7,$E$5:SEY$5,12)</f>
        <v>70.437002250000006</v>
      </c>
      <c r="HO196" s="102"/>
      <c r="HP196" s="102"/>
      <c r="HR196" s="929">
        <f t="shared" si="982"/>
        <v>0.83348737462591238</v>
      </c>
      <c r="HS196" s="929">
        <f t="shared" si="983"/>
        <v>-0.86378632344698114</v>
      </c>
      <c r="HT196" s="929">
        <f t="shared" si="984"/>
        <v>-0.46464658345400878</v>
      </c>
      <c r="HU196" s="929">
        <f t="shared" si="985"/>
        <v>-1</v>
      </c>
      <c r="HV196" s="929" t="str">
        <f t="shared" si="986"/>
        <v/>
      </c>
      <c r="HW196" s="929">
        <f t="shared" si="987"/>
        <v>-1</v>
      </c>
      <c r="HX196" s="929" t="str">
        <f t="shared" si="988"/>
        <v/>
      </c>
      <c r="HY196" s="929">
        <f t="shared" si="988"/>
        <v>7.8013382309585406</v>
      </c>
      <c r="HZ196" s="929">
        <f t="shared" si="988"/>
        <v>-0.68537977883270362</v>
      </c>
      <c r="IA196" s="929">
        <f t="shared" si="1036"/>
        <v>-1</v>
      </c>
      <c r="IB196" s="929" t="str">
        <f t="shared" si="989"/>
        <v/>
      </c>
      <c r="IC196" s="929">
        <f t="shared" si="1037"/>
        <v>-1</v>
      </c>
      <c r="IE196" s="102">
        <f t="shared" si="990"/>
        <v>2781.3028291700002</v>
      </c>
      <c r="IF196" s="102">
        <f t="shared" si="991"/>
        <v>-5284.8601474699999</v>
      </c>
      <c r="IG196" s="102">
        <f t="shared" si="992"/>
        <v>-387.23146474000004</v>
      </c>
      <c r="IH196" s="102">
        <f t="shared" si="993"/>
        <v>-446.15777888999997</v>
      </c>
      <c r="II196" s="102">
        <f t="shared" si="894"/>
        <v>-2.1E-7</v>
      </c>
      <c r="IJ196" s="102">
        <f t="shared" si="895"/>
        <v>2.1E-7</v>
      </c>
      <c r="IK196" s="102">
        <f t="shared" si="896"/>
        <v>25.436978410000002</v>
      </c>
      <c r="IL196" s="102">
        <f t="shared" si="1038"/>
        <v>-25.436978410000002</v>
      </c>
      <c r="IM196" s="102">
        <f t="shared" si="994"/>
        <v>0</v>
      </c>
      <c r="IN196" s="102">
        <f t="shared" si="1039"/>
        <v>-25.436978410000002</v>
      </c>
      <c r="IP196" s="973"/>
      <c r="IQ196" s="973"/>
      <c r="IR196" s="973"/>
      <c r="IS196" s="973"/>
      <c r="IT196" s="973"/>
      <c r="IU196" s="973"/>
      <c r="IV196" s="973"/>
      <c r="IW196" s="973"/>
      <c r="IX196" s="973"/>
      <c r="IY196" s="973"/>
      <c r="JA196" s="102">
        <f t="shared" si="995"/>
        <v>2841.49</v>
      </c>
      <c r="JB196" s="102">
        <f t="shared" si="995"/>
        <v>3336.9465619299999</v>
      </c>
      <c r="JC196" s="102">
        <f t="shared" si="995"/>
        <v>6118.2493911000001</v>
      </c>
      <c r="JD196" s="102">
        <f t="shared" si="995"/>
        <v>833.38924363000001</v>
      </c>
      <c r="JE196" s="102">
        <f t="shared" si="995"/>
        <v>446.15777888999997</v>
      </c>
      <c r="JF196" s="102">
        <f t="shared" si="995"/>
        <v>0</v>
      </c>
      <c r="JG196" s="102">
        <f t="shared" si="995"/>
        <v>-2.1E-7</v>
      </c>
      <c r="JH196" s="102">
        <f t="shared" si="995"/>
        <v>0</v>
      </c>
      <c r="JI196" s="102">
        <f t="shared" si="995"/>
        <v>25.436978410000002</v>
      </c>
      <c r="JJ196" s="102">
        <f t="shared" si="995"/>
        <v>223.87945056000001</v>
      </c>
      <c r="JK196" s="102">
        <f t="shared" si="995"/>
        <v>70.437002250000006</v>
      </c>
      <c r="JL196" s="102">
        <f t="shared" si="996"/>
        <v>70.437002250000006</v>
      </c>
      <c r="JM196" s="102"/>
      <c r="JN196" s="102"/>
      <c r="JP196" s="102">
        <f t="shared" si="997"/>
        <v>0</v>
      </c>
      <c r="JQ196" s="102">
        <f t="shared" si="998"/>
        <v>0</v>
      </c>
      <c r="JR196" s="145"/>
      <c r="JS196" s="929" t="str">
        <f t="shared" si="999"/>
        <v>NA</v>
      </c>
      <c r="JT196" s="930">
        <f t="shared" si="1000"/>
        <v>0</v>
      </c>
      <c r="JV196" s="973"/>
      <c r="JW196" s="973"/>
      <c r="JY196" s="929">
        <f t="shared" si="1023"/>
        <v>0.83348737462591238</v>
      </c>
      <c r="JZ196" s="929">
        <f t="shared" si="1024"/>
        <v>-0.86378632344698114</v>
      </c>
      <c r="KA196" s="929">
        <f t="shared" si="1025"/>
        <v>-0.46464658345400878</v>
      </c>
      <c r="KB196" s="929">
        <f t="shared" si="1026"/>
        <v>-1</v>
      </c>
      <c r="KC196" s="929" t="str">
        <f t="shared" si="1027"/>
        <v/>
      </c>
      <c r="KD196" s="929">
        <f t="shared" si="1028"/>
        <v>-1</v>
      </c>
      <c r="KE196" s="929" t="str">
        <f t="shared" si="1029"/>
        <v/>
      </c>
      <c r="KF196" s="929">
        <f t="shared" si="1030"/>
        <v>-1</v>
      </c>
      <c r="KH196" s="102">
        <f t="shared" si="1002"/>
        <v>2781.3028291700002</v>
      </c>
      <c r="KI196" s="102">
        <f t="shared" si="1003"/>
        <v>-5284.8601474699999</v>
      </c>
      <c r="KJ196" s="102">
        <f t="shared" si="1004"/>
        <v>-387.23146474000004</v>
      </c>
      <c r="KK196" s="102">
        <f t="shared" si="1005"/>
        <v>-446.15777888999997</v>
      </c>
      <c r="KL196" s="102">
        <f t="shared" si="1006"/>
        <v>-2.1E-7</v>
      </c>
      <c r="KM196" s="102">
        <f t="shared" si="1007"/>
        <v>2.1E-7</v>
      </c>
      <c r="KN196" s="102">
        <f t="shared" si="1008"/>
        <v>25.436978410000002</v>
      </c>
      <c r="KO196" s="102">
        <f t="shared" si="1009"/>
        <v>-25.436978410000002</v>
      </c>
      <c r="KQ196" s="973"/>
      <c r="KR196" s="973"/>
      <c r="KS196" s="973"/>
      <c r="KT196" s="973"/>
      <c r="KU196" s="973"/>
      <c r="KV196" s="973"/>
      <c r="KW196" s="973"/>
      <c r="KX196" s="973"/>
      <c r="KY196" s="973"/>
      <c r="KZ196" s="973"/>
      <c r="LB196" s="102">
        <f t="shared" si="1010"/>
        <v>2841.49</v>
      </c>
      <c r="LC196" s="102">
        <f t="shared" si="1010"/>
        <v>3336.9465619299999</v>
      </c>
      <c r="LD196" s="102">
        <f t="shared" si="1010"/>
        <v>6118.2493911000001</v>
      </c>
      <c r="LE196" s="102">
        <f t="shared" si="1010"/>
        <v>833.38924363000001</v>
      </c>
      <c r="LF196" s="102">
        <f t="shared" si="1010"/>
        <v>446.15777888999997</v>
      </c>
      <c r="LG196" s="102">
        <f t="shared" si="1010"/>
        <v>0</v>
      </c>
      <c r="LH196" s="102">
        <f t="shared" si="1010"/>
        <v>-2.1E-7</v>
      </c>
      <c r="LI196" s="102">
        <f t="shared" si="1010"/>
        <v>0</v>
      </c>
      <c r="LJ196" s="102">
        <f t="shared" si="1010"/>
        <v>25.436978410000002</v>
      </c>
      <c r="LK196" s="102">
        <f t="shared" si="1010"/>
        <v>223.87945056000001</v>
      </c>
      <c r="LL196" s="102">
        <f t="shared" si="1010"/>
        <v>70.437002250000006</v>
      </c>
      <c r="LM196" s="102">
        <f t="shared" si="1010"/>
        <v>70.437002250000006</v>
      </c>
      <c r="LN196" s="102"/>
      <c r="LO196" s="102"/>
      <c r="LR196" s="32">
        <f t="shared" si="1011"/>
        <v>0.83348737462591238</v>
      </c>
      <c r="LS196" s="32">
        <f t="shared" si="1012"/>
        <v>-0.86378632344698114</v>
      </c>
      <c r="LT196" s="32">
        <f t="shared" si="1013"/>
        <v>-0.46464658345400878</v>
      </c>
      <c r="LU196" s="32">
        <f t="shared" si="1014"/>
        <v>-1</v>
      </c>
      <c r="LV196" s="32" t="str">
        <f t="shared" si="1015"/>
        <v xml:space="preserve"> </v>
      </c>
      <c r="LW196" s="32">
        <f t="shared" si="1016"/>
        <v>-1</v>
      </c>
      <c r="LX196" s="32" t="str">
        <f t="shared" si="963"/>
        <v xml:space="preserve"> </v>
      </c>
      <c r="LZ196" s="102">
        <f t="shared" si="1017"/>
        <v>2781.3028291700002</v>
      </c>
      <c r="MA196" s="102">
        <f t="shared" si="1018"/>
        <v>-5284.8601474699999</v>
      </c>
      <c r="MB196" s="102">
        <f t="shared" si="1019"/>
        <v>-387.23146474000004</v>
      </c>
      <c r="MC196" s="102">
        <f t="shared" si="1020"/>
        <v>-446.15777888999997</v>
      </c>
      <c r="MD196" s="102">
        <f t="shared" si="1021"/>
        <v>-2.1E-7</v>
      </c>
      <c r="ME196" s="102">
        <f t="shared" si="1022"/>
        <v>2.1E-7</v>
      </c>
      <c r="MF196" s="102">
        <f t="shared" si="964"/>
        <v>0</v>
      </c>
      <c r="MH196" s="973"/>
      <c r="MI196" s="973"/>
      <c r="MJ196" s="973"/>
      <c r="MK196" s="973"/>
      <c r="ML196" s="973"/>
      <c r="MM196" s="973"/>
      <c r="MN196" s="973"/>
      <c r="MO196" s="973"/>
      <c r="MP196" s="973"/>
    </row>
    <row r="197" spans="1:354" outlineLevel="2">
      <c r="A197" s="884">
        <v>2605</v>
      </c>
      <c r="B197" s="70" t="s">
        <v>748</v>
      </c>
      <c r="C197" s="17" t="s">
        <v>749</v>
      </c>
      <c r="D197" s="31"/>
      <c r="E197" s="102">
        <v>0</v>
      </c>
      <c r="F197" s="102">
        <v>0</v>
      </c>
      <c r="G197" s="102">
        <v>0</v>
      </c>
      <c r="H197" s="102">
        <v>0</v>
      </c>
      <c r="I197" s="102">
        <v>0</v>
      </c>
      <c r="J197" s="102">
        <v>0</v>
      </c>
      <c r="K197" s="102">
        <v>0</v>
      </c>
      <c r="L197" s="102">
        <v>0</v>
      </c>
      <c r="M197" s="102">
        <v>0</v>
      </c>
      <c r="N197" s="102">
        <v>0</v>
      </c>
      <c r="O197" s="102">
        <v>0</v>
      </c>
      <c r="P197" s="102">
        <v>0</v>
      </c>
      <c r="Q197" s="102">
        <v>210.25203467</v>
      </c>
      <c r="R197" s="102">
        <v>339.64095644999998</v>
      </c>
      <c r="S197" s="102">
        <v>100.27388103</v>
      </c>
      <c r="T197" s="102">
        <v>73.749476279999996</v>
      </c>
      <c r="U197" s="102">
        <v>44.44213937</v>
      </c>
      <c r="V197" s="102">
        <v>25.857375910000002</v>
      </c>
      <c r="W197" s="102">
        <v>44.012163780000002</v>
      </c>
      <c r="X197" s="102">
        <v>21.012429619999999</v>
      </c>
      <c r="Y197" s="102">
        <v>35.304508100000007</v>
      </c>
      <c r="Z197" s="145">
        <v>25.123910479999999</v>
      </c>
      <c r="AA197" s="145">
        <v>13.8730735</v>
      </c>
      <c r="AB197" s="145">
        <v>17.030091129999999</v>
      </c>
      <c r="AC197" s="145">
        <v>44.693779060000004</v>
      </c>
      <c r="AD197" s="102">
        <v>128.68833646000002</v>
      </c>
      <c r="AE197" s="102">
        <v>242.07632140999999</v>
      </c>
      <c r="AF197" s="102">
        <v>240.61709562999999</v>
      </c>
      <c r="AG197" s="102">
        <v>282.30162815</v>
      </c>
      <c r="AH197" s="102">
        <v>370.71418427000003</v>
      </c>
      <c r="AI197" s="102">
        <v>363.17474319999997</v>
      </c>
      <c r="AJ197" s="102">
        <v>415.72013700000002</v>
      </c>
      <c r="AK197" s="102">
        <v>498.61138847000007</v>
      </c>
      <c r="AL197" s="102">
        <v>639.98229337999999</v>
      </c>
      <c r="AM197" s="102">
        <v>641.84835754999995</v>
      </c>
      <c r="AN197" s="102">
        <v>1668.6483911099999</v>
      </c>
      <c r="AO197" s="102">
        <v>1188.9466110799999</v>
      </c>
      <c r="AP197" s="145">
        <v>1059.5181692799999</v>
      </c>
      <c r="AQ197" s="220">
        <v>1023.6200480800001</v>
      </c>
      <c r="AR197" s="220">
        <v>991.36039669000002</v>
      </c>
      <c r="AS197" s="102">
        <v>1215.1562007499999</v>
      </c>
      <c r="AT197" s="102">
        <v>1365.11390762</v>
      </c>
      <c r="AU197" s="102">
        <v>1389.68195055</v>
      </c>
      <c r="AV197" s="102">
        <v>1467.3656309800001</v>
      </c>
      <c r="AW197" s="102">
        <v>1266.76014403</v>
      </c>
      <c r="AX197" s="102">
        <v>1248.1689211600001</v>
      </c>
      <c r="AY197" s="102">
        <v>1237.4601497399999</v>
      </c>
      <c r="AZ197" s="102">
        <v>833.38924363000001</v>
      </c>
      <c r="BA197" s="102">
        <v>649.91999452999994</v>
      </c>
      <c r="BB197" s="102">
        <v>667.35208190999992</v>
      </c>
      <c r="BC197" s="102">
        <v>787.77884642999993</v>
      </c>
      <c r="BD197" s="102">
        <v>696.56696851000004</v>
      </c>
      <c r="BE197" s="102">
        <v>704.77900804000001</v>
      </c>
      <c r="BF197" s="102">
        <v>686.60214512999994</v>
      </c>
      <c r="BG197" s="102">
        <v>805.53972666999994</v>
      </c>
      <c r="BH197" s="102">
        <v>186.2465211</v>
      </c>
      <c r="BI197" s="102">
        <v>220.9267231</v>
      </c>
      <c r="BJ197" s="102">
        <v>234.94493309999999</v>
      </c>
      <c r="BK197" s="102">
        <v>261.55226189000001</v>
      </c>
      <c r="BL197" s="102">
        <f>328279401.89/1000000+68</f>
        <v>396.27940188999997</v>
      </c>
      <c r="BM197" s="102">
        <v>338.21183538999998</v>
      </c>
      <c r="BN197" s="102">
        <v>310.74789105000002</v>
      </c>
      <c r="BO197" s="102">
        <v>332.14763862000001</v>
      </c>
      <c r="BP197" s="102">
        <v>336.10681595</v>
      </c>
      <c r="BQ197" s="102">
        <v>287.69104536000003</v>
      </c>
      <c r="BR197" s="102">
        <v>301.44663236000002</v>
      </c>
      <c r="BS197" s="102">
        <v>295.38421258999995</v>
      </c>
      <c r="BT197" s="102">
        <v>323.53809324000002</v>
      </c>
      <c r="BU197" s="102">
        <v>308.90058720999997</v>
      </c>
      <c r="BV197" s="102">
        <v>318.68912375999997</v>
      </c>
      <c r="BW197" s="102">
        <v>442.99633485000004</v>
      </c>
      <c r="BX197" s="102">
        <v>0</v>
      </c>
      <c r="BY197" s="102">
        <v>462.80664464999995</v>
      </c>
      <c r="BZ197" s="102">
        <v>420.93891183</v>
      </c>
      <c r="CA197" s="102">
        <v>406.41652500999999</v>
      </c>
      <c r="CB197" s="102">
        <v>403.14705544999998</v>
      </c>
      <c r="CC197" s="102">
        <v>405.61952424999998</v>
      </c>
      <c r="CD197" s="102">
        <v>396.78149325999999</v>
      </c>
      <c r="CE197" s="102">
        <v>346.83040238999996</v>
      </c>
      <c r="CF197" s="102">
        <v>340.74032523</v>
      </c>
      <c r="CG197" s="102">
        <v>419.89080917000001</v>
      </c>
      <c r="CH197" s="102">
        <v>417.57495060000002</v>
      </c>
      <c r="CI197" s="102">
        <v>519.64247841999997</v>
      </c>
      <c r="CJ197" s="102">
        <v>-2.1E-7</v>
      </c>
      <c r="CK197" s="102">
        <v>469.12069167999999</v>
      </c>
      <c r="CL197" s="102">
        <v>482.35036599</v>
      </c>
      <c r="CM197" s="102">
        <v>402.44270079</v>
      </c>
      <c r="CN197" s="102">
        <v>419.67108879</v>
      </c>
      <c r="CO197" s="102">
        <v>508.24318081000001</v>
      </c>
      <c r="CP197" s="102">
        <v>471.25885170999999</v>
      </c>
      <c r="CQ197" s="102">
        <v>542.33644573000004</v>
      </c>
      <c r="CR197" s="102">
        <v>606.55880205999995</v>
      </c>
      <c r="CS197" s="102">
        <v>476.45654556</v>
      </c>
      <c r="CT197" s="102">
        <v>527.83839999999998</v>
      </c>
      <c r="CU197" s="102">
        <v>537.65685459999997</v>
      </c>
      <c r="CV197" s="102">
        <v>0</v>
      </c>
      <c r="CW197" s="102">
        <v>650.95066209000004</v>
      </c>
      <c r="CX197" s="102">
        <v>473.99549811000003</v>
      </c>
      <c r="CY197" s="102">
        <v>550.45316585</v>
      </c>
      <c r="CZ197" s="102">
        <v>292.76487013000002</v>
      </c>
      <c r="DA197" s="102">
        <v>287.83643176999999</v>
      </c>
      <c r="DB197" s="102">
        <v>379.15048177</v>
      </c>
      <c r="DC197" s="102">
        <v>505.48343836999999</v>
      </c>
      <c r="DD197" s="102">
        <v>548.96670564999999</v>
      </c>
      <c r="DE197" s="102">
        <v>590.46217764999994</v>
      </c>
      <c r="DF197" s="102">
        <v>510.24297965</v>
      </c>
      <c r="DG197" s="102">
        <v>487.06877651999997</v>
      </c>
      <c r="DH197" s="102">
        <v>25.436979040000001</v>
      </c>
      <c r="DI197" s="102">
        <v>426.68026235000002</v>
      </c>
      <c r="DJ197" s="102">
        <v>343.71822879000001</v>
      </c>
      <c r="DK197" s="102">
        <v>416.23293029000001</v>
      </c>
      <c r="DL197" s="102">
        <v>380.56820873000004</v>
      </c>
      <c r="DM197" s="102">
        <v>376.19300075000001</v>
      </c>
      <c r="DN197" s="102">
        <v>326.25217292000002</v>
      </c>
      <c r="DO197" s="102">
        <v>382.63884389999998</v>
      </c>
      <c r="DP197" s="102">
        <v>263.80499809000003</v>
      </c>
      <c r="DQ197" s="940">
        <v>331.93114793000001</v>
      </c>
      <c r="DR197" s="940">
        <v>326.78137006000003</v>
      </c>
      <c r="DS197" s="940">
        <v>354.66908202999997</v>
      </c>
      <c r="DT197" s="940">
        <v>70.437002250000006</v>
      </c>
      <c r="DU197" s="940">
        <v>545.52671944000008</v>
      </c>
      <c r="DV197" s="940">
        <v>320.25827560000005</v>
      </c>
      <c r="DW197" s="940">
        <v>327.07029956000002</v>
      </c>
      <c r="DX197" s="940">
        <v>443.30619483999999</v>
      </c>
      <c r="DY197" s="940">
        <v>386.41765773000003</v>
      </c>
      <c r="DZ197" s="940">
        <v>589.46231123999996</v>
      </c>
      <c r="EA197" s="940">
        <v>676.63082327999996</v>
      </c>
      <c r="EB197" s="940">
        <v>778.85016674999997</v>
      </c>
      <c r="EC197" s="940">
        <v>660.92615457000011</v>
      </c>
      <c r="ED197" s="940">
        <v>1002.6544908999999</v>
      </c>
      <c r="EE197" s="940">
        <v>1360.94146095</v>
      </c>
      <c r="EF197" s="940">
        <v>70.437002250000006</v>
      </c>
      <c r="EH197" s="102">
        <v>650.95066209000004</v>
      </c>
      <c r="EI197" s="102">
        <v>473.99549811000003</v>
      </c>
      <c r="EJ197" s="102">
        <v>550.45316585</v>
      </c>
      <c r="EK197" s="102">
        <v>292.76487013000002</v>
      </c>
      <c r="EL197" s="102">
        <v>287.83643176999999</v>
      </c>
      <c r="EM197" s="102">
        <v>379.15048177</v>
      </c>
      <c r="EN197" s="102">
        <v>189.575240885</v>
      </c>
      <c r="EO197" s="102">
        <v>189.575240885</v>
      </c>
      <c r="EP197" s="102">
        <v>0</v>
      </c>
      <c r="EQ197" s="102">
        <v>0</v>
      </c>
      <c r="ER197" s="102">
        <v>0</v>
      </c>
      <c r="ES197" s="102">
        <v>0</v>
      </c>
      <c r="EU197" s="102"/>
      <c r="EV197" s="102"/>
      <c r="EW197" s="102"/>
      <c r="EX197" s="102"/>
      <c r="EY197" s="102"/>
      <c r="EZ197" s="102"/>
      <c r="FA197" s="102"/>
      <c r="FB197" s="102"/>
      <c r="FC197" s="102"/>
      <c r="FD197" s="102"/>
      <c r="FE197" s="102"/>
      <c r="FF197" s="102"/>
      <c r="FG197" s="102">
        <v>732.95363959000008</v>
      </c>
      <c r="FH197" s="102">
        <v>762.95363959000008</v>
      </c>
      <c r="FI197" s="102">
        <v>762.95363959000008</v>
      </c>
      <c r="FJ197" s="102">
        <v>762.95363959000008</v>
      </c>
      <c r="FK197" s="102">
        <v>762.95363959000008</v>
      </c>
      <c r="FL197" s="102">
        <v>762.95363959000008</v>
      </c>
      <c r="FM197" s="102">
        <v>762.95363959000008</v>
      </c>
      <c r="FN197" s="102">
        <v>762.95363959000008</v>
      </c>
      <c r="FO197" s="102">
        <v>762.95363959000008</v>
      </c>
      <c r="FP197" s="102">
        <v>762.95363959000008</v>
      </c>
      <c r="FQ197" s="102">
        <v>762.95363959000008</v>
      </c>
      <c r="FR197" s="102">
        <v>762.95363959000008</v>
      </c>
      <c r="FS197" s="102">
        <v>305.16481089000001</v>
      </c>
      <c r="FT197" s="102">
        <v>305.16481089000001</v>
      </c>
      <c r="FU197" s="102">
        <v>305.16481089000001</v>
      </c>
      <c r="FV197" s="102">
        <v>305.16481089000001</v>
      </c>
      <c r="FW197" s="102">
        <v>305.16481089000001</v>
      </c>
      <c r="FX197" s="102">
        <v>305.16481089000001</v>
      </c>
      <c r="FY197" s="102">
        <v>305.16481089000001</v>
      </c>
      <c r="FZ197" s="102">
        <v>305.16481089000001</v>
      </c>
      <c r="GA197" s="102">
        <v>305.16481089000001</v>
      </c>
      <c r="GB197" s="102">
        <v>305.16481089000001</v>
      </c>
      <c r="GC197" s="102">
        <v>305.16481089000001</v>
      </c>
      <c r="GD197" s="102">
        <v>305.16481089000001</v>
      </c>
      <c r="GE197" s="102">
        <v>0</v>
      </c>
      <c r="GF197" s="102">
        <v>0</v>
      </c>
      <c r="GG197" s="102">
        <v>0</v>
      </c>
      <c r="GH197" s="102">
        <v>0</v>
      </c>
      <c r="GI197" s="102">
        <v>0</v>
      </c>
      <c r="GJ197" s="102">
        <v>0</v>
      </c>
      <c r="GK197" s="102">
        <v>0</v>
      </c>
      <c r="GL197" s="102">
        <v>0</v>
      </c>
      <c r="GM197" s="102">
        <v>0</v>
      </c>
      <c r="GN197" s="102">
        <v>0</v>
      </c>
      <c r="GO197" s="102">
        <v>0</v>
      </c>
      <c r="GP197" s="102">
        <v>0</v>
      </c>
      <c r="GQ197" s="102">
        <v>0</v>
      </c>
      <c r="GR197" s="102">
        <v>0</v>
      </c>
      <c r="GS197" s="102">
        <v>0</v>
      </c>
      <c r="GT197" s="102">
        <v>0</v>
      </c>
      <c r="GU197" s="102">
        <v>0</v>
      </c>
      <c r="GV197" s="102">
        <v>0</v>
      </c>
      <c r="GW197" s="102">
        <v>0</v>
      </c>
      <c r="GX197" s="102">
        <v>0</v>
      </c>
      <c r="GY197" s="102">
        <v>0</v>
      </c>
      <c r="GZ197" s="102">
        <v>0</v>
      </c>
      <c r="HA197" s="102">
        <v>0</v>
      </c>
      <c r="HB197" s="102">
        <v>0</v>
      </c>
      <c r="HD197" s="102">
        <f t="shared" si="979"/>
        <v>0</v>
      </c>
      <c r="HE197" s="102">
        <f t="shared" si="979"/>
        <v>17.030091129999999</v>
      </c>
      <c r="HF197" s="102">
        <f t="shared" si="979"/>
        <v>1668.6483911099999</v>
      </c>
      <c r="HG197" s="102">
        <f t="shared" si="979"/>
        <v>833.38924363000001</v>
      </c>
      <c r="HH197" s="102">
        <f t="shared" si="980"/>
        <v>396.27940188999997</v>
      </c>
      <c r="HI197" s="102">
        <f t="shared" si="981"/>
        <v>0</v>
      </c>
      <c r="HJ197" s="102">
        <f t="shared" si="961"/>
        <v>-2.1E-7</v>
      </c>
      <c r="HK197" s="102">
        <f t="shared" si="962"/>
        <v>0</v>
      </c>
      <c r="HL197" s="940">
        <f>+SUMIFS($E197:SEW197,$E$6:SEW$6,HL$7,$E$5:SEW$5,12)</f>
        <v>25.436979040000001</v>
      </c>
      <c r="HM197" s="940">
        <f>+SUMIFS($E197:SEX197,$E$6:SEX$6,HM$7,$E$5:SEX$5,12)</f>
        <v>70.437002250000006</v>
      </c>
      <c r="HN197" s="940">
        <f>+SUMIFS($E197:SEY197,$E$6:SEY$6,HN$7,$E$5:SEY$5,12)</f>
        <v>70.437002250000006</v>
      </c>
      <c r="HO197" s="102"/>
      <c r="HP197" s="102"/>
      <c r="HR197" s="929">
        <f t="shared" si="982"/>
        <v>96.982352435597335</v>
      </c>
      <c r="HS197" s="929">
        <f t="shared" si="983"/>
        <v>-0.50056030493301107</v>
      </c>
      <c r="HT197" s="929">
        <f t="shared" si="984"/>
        <v>-0.52449662037402511</v>
      </c>
      <c r="HU197" s="929">
        <f t="shared" si="985"/>
        <v>-1</v>
      </c>
      <c r="HV197" s="929" t="str">
        <f t="shared" si="986"/>
        <v/>
      </c>
      <c r="HW197" s="929">
        <f t="shared" si="987"/>
        <v>-1</v>
      </c>
      <c r="HX197" s="929" t="str">
        <f t="shared" si="988"/>
        <v/>
      </c>
      <c r="HY197" s="929">
        <f t="shared" si="988"/>
        <v>1.7690789122103237</v>
      </c>
      <c r="HZ197" s="929">
        <f t="shared" si="988"/>
        <v>0</v>
      </c>
      <c r="IA197" s="929">
        <f t="shared" si="1036"/>
        <v>-1</v>
      </c>
      <c r="IB197" s="929" t="str">
        <f t="shared" si="989"/>
        <v/>
      </c>
      <c r="IC197" s="929">
        <f t="shared" si="1037"/>
        <v>-1</v>
      </c>
      <c r="IE197" s="102">
        <f t="shared" si="990"/>
        <v>1651.6182999799998</v>
      </c>
      <c r="IF197" s="102">
        <f t="shared" si="991"/>
        <v>-835.25914747999991</v>
      </c>
      <c r="IG197" s="102">
        <f t="shared" si="992"/>
        <v>-437.10984174000004</v>
      </c>
      <c r="IH197" s="102">
        <f t="shared" si="993"/>
        <v>-396.27940188999997</v>
      </c>
      <c r="II197" s="102">
        <f t="shared" si="894"/>
        <v>-2.1E-7</v>
      </c>
      <c r="IJ197" s="102">
        <f t="shared" si="895"/>
        <v>2.1E-7</v>
      </c>
      <c r="IK197" s="102">
        <f t="shared" si="896"/>
        <v>25.436979040000001</v>
      </c>
      <c r="IL197" s="102">
        <f t="shared" si="1038"/>
        <v>-25.436979040000001</v>
      </c>
      <c r="IM197" s="102">
        <f t="shared" si="994"/>
        <v>0</v>
      </c>
      <c r="IN197" s="102">
        <f t="shared" si="1039"/>
        <v>-25.436979040000001</v>
      </c>
      <c r="IP197" s="973"/>
      <c r="IQ197" s="973"/>
      <c r="IR197" s="973"/>
      <c r="IS197" s="973"/>
      <c r="IT197" s="973"/>
      <c r="IU197" s="973"/>
      <c r="IV197" s="973"/>
      <c r="IW197" s="973"/>
      <c r="IX197" s="973"/>
      <c r="IY197" s="973"/>
      <c r="JA197" s="102">
        <f t="shared" si="995"/>
        <v>0</v>
      </c>
      <c r="JB197" s="102">
        <f t="shared" si="995"/>
        <v>17.030091129999999</v>
      </c>
      <c r="JC197" s="102">
        <f t="shared" si="995"/>
        <v>1668.6483911099999</v>
      </c>
      <c r="JD197" s="102">
        <f t="shared" si="995"/>
        <v>833.38924363000001</v>
      </c>
      <c r="JE197" s="102">
        <f t="shared" si="995"/>
        <v>396.27940188999997</v>
      </c>
      <c r="JF197" s="102">
        <f t="shared" si="995"/>
        <v>0</v>
      </c>
      <c r="JG197" s="102">
        <f t="shared" si="995"/>
        <v>-2.1E-7</v>
      </c>
      <c r="JH197" s="102">
        <f t="shared" si="995"/>
        <v>0</v>
      </c>
      <c r="JI197" s="102">
        <f t="shared" si="995"/>
        <v>25.436979040000001</v>
      </c>
      <c r="JJ197" s="102">
        <f t="shared" si="995"/>
        <v>70.437002250000006</v>
      </c>
      <c r="JK197" s="102">
        <f t="shared" si="995"/>
        <v>70.437002250000006</v>
      </c>
      <c r="JL197" s="102">
        <f t="shared" si="996"/>
        <v>70.437002250000006</v>
      </c>
      <c r="JM197" s="102"/>
      <c r="JN197" s="102"/>
      <c r="JP197" s="102">
        <f t="shared" si="997"/>
        <v>0</v>
      </c>
      <c r="JQ197" s="102">
        <f t="shared" si="998"/>
        <v>0</v>
      </c>
      <c r="JR197" s="145"/>
      <c r="JS197" s="929" t="str">
        <f t="shared" si="999"/>
        <v>NA</v>
      </c>
      <c r="JT197" s="930">
        <f t="shared" si="1000"/>
        <v>0</v>
      </c>
      <c r="JV197" s="973"/>
      <c r="JW197" s="973"/>
      <c r="JY197" s="929">
        <f t="shared" si="1023"/>
        <v>96.982352435597335</v>
      </c>
      <c r="JZ197" s="929">
        <f t="shared" si="1024"/>
        <v>-0.50056030493301107</v>
      </c>
      <c r="KA197" s="929">
        <f t="shared" si="1025"/>
        <v>-0.52449662037402511</v>
      </c>
      <c r="KB197" s="929">
        <f t="shared" si="1026"/>
        <v>-1</v>
      </c>
      <c r="KC197" s="929" t="str">
        <f t="shared" si="1027"/>
        <v/>
      </c>
      <c r="KD197" s="929">
        <f t="shared" si="1028"/>
        <v>-1</v>
      </c>
      <c r="KE197" s="929" t="str">
        <f t="shared" si="1029"/>
        <v/>
      </c>
      <c r="KF197" s="929">
        <f t="shared" si="1030"/>
        <v>-1</v>
      </c>
      <c r="KH197" s="102">
        <f t="shared" si="1002"/>
        <v>1651.6182999799998</v>
      </c>
      <c r="KI197" s="102">
        <f t="shared" si="1003"/>
        <v>-835.25914747999991</v>
      </c>
      <c r="KJ197" s="102">
        <f t="shared" si="1004"/>
        <v>-437.10984174000004</v>
      </c>
      <c r="KK197" s="102">
        <f t="shared" si="1005"/>
        <v>-396.27940188999997</v>
      </c>
      <c r="KL197" s="102">
        <f t="shared" si="1006"/>
        <v>-2.1E-7</v>
      </c>
      <c r="KM197" s="102">
        <f t="shared" si="1007"/>
        <v>2.1E-7</v>
      </c>
      <c r="KN197" s="102">
        <f t="shared" si="1008"/>
        <v>25.436979040000001</v>
      </c>
      <c r="KO197" s="102">
        <f t="shared" si="1009"/>
        <v>-25.436979040000001</v>
      </c>
      <c r="KQ197" s="973"/>
      <c r="KR197" s="973"/>
      <c r="KS197" s="973"/>
      <c r="KT197" s="973"/>
      <c r="KU197" s="973"/>
      <c r="KV197" s="973"/>
      <c r="KW197" s="973"/>
      <c r="KX197" s="973"/>
      <c r="KY197" s="973"/>
      <c r="KZ197" s="973"/>
      <c r="LB197" s="102">
        <f t="shared" si="1010"/>
        <v>0</v>
      </c>
      <c r="LC197" s="102">
        <f t="shared" si="1010"/>
        <v>17.030091129999999</v>
      </c>
      <c r="LD197" s="102">
        <f t="shared" si="1010"/>
        <v>1668.6483911099999</v>
      </c>
      <c r="LE197" s="102">
        <f t="shared" si="1010"/>
        <v>833.38924363000001</v>
      </c>
      <c r="LF197" s="102">
        <f t="shared" si="1010"/>
        <v>396.27940188999997</v>
      </c>
      <c r="LG197" s="102">
        <f t="shared" si="1010"/>
        <v>0</v>
      </c>
      <c r="LH197" s="102">
        <f t="shared" si="1010"/>
        <v>-2.1E-7</v>
      </c>
      <c r="LI197" s="102">
        <f t="shared" si="1010"/>
        <v>0</v>
      </c>
      <c r="LJ197" s="102">
        <f t="shared" si="1010"/>
        <v>25.436979040000001</v>
      </c>
      <c r="LK197" s="102">
        <f t="shared" si="1010"/>
        <v>70.437002250000006</v>
      </c>
      <c r="LL197" s="102">
        <f t="shared" si="1010"/>
        <v>70.437002250000006</v>
      </c>
      <c r="LM197" s="102">
        <f t="shared" si="1010"/>
        <v>70.437002250000006</v>
      </c>
      <c r="LN197" s="102"/>
      <c r="LO197" s="102"/>
      <c r="LR197" s="32">
        <f t="shared" si="1011"/>
        <v>96.982352435597335</v>
      </c>
      <c r="LS197" s="32">
        <f t="shared" si="1012"/>
        <v>-0.50056030493301107</v>
      </c>
      <c r="LT197" s="32">
        <f t="shared" si="1013"/>
        <v>-0.52449662037402511</v>
      </c>
      <c r="LU197" s="32">
        <f t="shared" si="1014"/>
        <v>-1</v>
      </c>
      <c r="LV197" s="32" t="str">
        <f t="shared" si="1015"/>
        <v xml:space="preserve"> </v>
      </c>
      <c r="LW197" s="32">
        <f t="shared" si="1016"/>
        <v>-1</v>
      </c>
      <c r="LX197" s="32" t="str">
        <f t="shared" si="963"/>
        <v xml:space="preserve"> </v>
      </c>
      <c r="LZ197" s="102">
        <f t="shared" si="1017"/>
        <v>1651.6182999799998</v>
      </c>
      <c r="MA197" s="102">
        <f t="shared" si="1018"/>
        <v>-835.25914747999991</v>
      </c>
      <c r="MB197" s="102">
        <f t="shared" si="1019"/>
        <v>-437.10984174000004</v>
      </c>
      <c r="MC197" s="102">
        <f t="shared" si="1020"/>
        <v>-396.27940188999997</v>
      </c>
      <c r="MD197" s="102">
        <f t="shared" si="1021"/>
        <v>-2.1E-7</v>
      </c>
      <c r="ME197" s="102">
        <f t="shared" si="1022"/>
        <v>2.1E-7</v>
      </c>
      <c r="MF197" s="102">
        <f t="shared" si="964"/>
        <v>0</v>
      </c>
      <c r="MH197" s="973"/>
      <c r="MI197" s="973"/>
      <c r="MJ197" s="973"/>
      <c r="MK197" s="973"/>
      <c r="ML197" s="973"/>
      <c r="MM197" s="973"/>
      <c r="MN197" s="973"/>
      <c r="MO197" s="973"/>
      <c r="MP197" s="973"/>
    </row>
    <row r="198" spans="1:354" outlineLevel="2">
      <c r="A198" s="884">
        <v>2615</v>
      </c>
      <c r="B198" s="70" t="s">
        <v>750</v>
      </c>
      <c r="C198" s="17" t="s">
        <v>751</v>
      </c>
      <c r="D198" s="31"/>
      <c r="E198" s="145">
        <v>-445.35038828280005</v>
      </c>
      <c r="F198" s="145">
        <v>-96.018571515900021</v>
      </c>
      <c r="G198" s="145">
        <v>11.731573362299898</v>
      </c>
      <c r="H198" s="145">
        <v>202.4141376741</v>
      </c>
      <c r="I198" s="145">
        <v>678.38594360130037</v>
      </c>
      <c r="J198" s="145">
        <v>852.38652431460036</v>
      </c>
      <c r="K198" s="145">
        <v>1104.1784653019997</v>
      </c>
      <c r="L198" s="145">
        <v>1595.5921508703009</v>
      </c>
      <c r="M198" s="145">
        <v>2088.3121228827013</v>
      </c>
      <c r="N198" s="145">
        <v>2354.0565306390017</v>
      </c>
      <c r="O198" s="145">
        <v>2930.9575252220989</v>
      </c>
      <c r="P198" s="145">
        <v>2841.49</v>
      </c>
      <c r="Q198" s="145">
        <v>2711.6883774702997</v>
      </c>
      <c r="R198" s="145">
        <v>3192.5050427850997</v>
      </c>
      <c r="S198" s="145">
        <v>3133.0118326482998</v>
      </c>
      <c r="T198" s="145">
        <v>101.74583162130075</v>
      </c>
      <c r="U198" s="145">
        <v>634.36064857790086</v>
      </c>
      <c r="V198" s="145">
        <v>1052.0494084360987</v>
      </c>
      <c r="W198" s="145">
        <v>1247.5324188776983</v>
      </c>
      <c r="X198" s="145">
        <v>1600.5633489173006</v>
      </c>
      <c r="Y198" s="145">
        <v>1389.6490732961015</v>
      </c>
      <c r="Z198" s="145">
        <v>1423.5916528770999</v>
      </c>
      <c r="AA198" s="145">
        <v>2286.5981411313001</v>
      </c>
      <c r="AB198" s="145">
        <v>3319.9164707999998</v>
      </c>
      <c r="AC198" s="145">
        <v>3336.2650047699999</v>
      </c>
      <c r="AD198" s="145">
        <v>3567.3813203499999</v>
      </c>
      <c r="AE198" s="145">
        <v>3672.7715407719998</v>
      </c>
      <c r="AF198" s="145">
        <v>959.55033791999995</v>
      </c>
      <c r="AG198" s="145">
        <v>1210.1755154699999</v>
      </c>
      <c r="AH198" s="145">
        <v>1380.0215650837999</v>
      </c>
      <c r="AI198" s="145">
        <v>1495.2494295900001</v>
      </c>
      <c r="AJ198" s="145">
        <v>1763.1254913400001</v>
      </c>
      <c r="AK198" s="145">
        <v>2074.6455304000001</v>
      </c>
      <c r="AL198" s="145">
        <v>2512.9781122399995</v>
      </c>
      <c r="AM198" s="145">
        <v>3655.8952366099998</v>
      </c>
      <c r="AN198" s="145">
        <v>4449.6009999899998</v>
      </c>
      <c r="AO198" s="145">
        <v>4792.1967429899996</v>
      </c>
      <c r="AP198" s="145">
        <v>4565.1407839899994</v>
      </c>
      <c r="AQ198" s="220">
        <v>4416.2570567700004</v>
      </c>
      <c r="AR198" s="220">
        <v>288.21202376999997</v>
      </c>
      <c r="AS198" s="145">
        <v>-665.39613707000001</v>
      </c>
      <c r="AT198" s="145">
        <v>-1103.0638198199999</v>
      </c>
      <c r="AU198" s="145">
        <v>-1060.8080000499999</v>
      </c>
      <c r="AV198" s="145">
        <v>-1067.44665207</v>
      </c>
      <c r="AW198" s="145">
        <v>-1134.42766738</v>
      </c>
      <c r="AX198" s="145">
        <v>95.420035069999997</v>
      </c>
      <c r="AY198" s="145">
        <v>108.86247023999999</v>
      </c>
      <c r="AZ198" s="974">
        <v>0</v>
      </c>
      <c r="BA198" s="145">
        <v>6.7366958800000001</v>
      </c>
      <c r="BB198" s="145">
        <v>16.021998369999999</v>
      </c>
      <c r="BC198" s="145">
        <v>15.68264523</v>
      </c>
      <c r="BD198" s="145">
        <v>17.420497179999998</v>
      </c>
      <c r="BE198" s="145">
        <v>17.879990360000001</v>
      </c>
      <c r="BF198" s="145">
        <v>20.334261039999998</v>
      </c>
      <c r="BG198" s="145">
        <v>27.399015579999997</v>
      </c>
      <c r="BH198" s="145">
        <v>32.527887229999997</v>
      </c>
      <c r="BI198" s="145">
        <v>37.42423634</v>
      </c>
      <c r="BJ198" s="145">
        <v>43.000754700000002</v>
      </c>
      <c r="BK198" s="145">
        <v>47.940027649999998</v>
      </c>
      <c r="BL198" s="145">
        <f>49878377/1000000</f>
        <v>49.878377</v>
      </c>
      <c r="BM198" s="145">
        <v>-4.3762939200000002</v>
      </c>
      <c r="BN198" s="145">
        <v>9.8431428400000005</v>
      </c>
      <c r="BO198" s="145">
        <v>21.90371176</v>
      </c>
      <c r="BP198" s="145">
        <v>21.90371176</v>
      </c>
      <c r="BQ198" s="145">
        <v>43.070429689999997</v>
      </c>
      <c r="BR198" s="145">
        <v>55.340429690000001</v>
      </c>
      <c r="BS198" s="145">
        <v>63.286429689999999</v>
      </c>
      <c r="BT198" s="145">
        <v>77.241429690000004</v>
      </c>
      <c r="BU198" s="145">
        <v>83.467314470000005</v>
      </c>
      <c r="BV198" s="145">
        <v>97.705314470000005</v>
      </c>
      <c r="BW198" s="145">
        <v>110.71931447</v>
      </c>
      <c r="BX198" s="145">
        <v>0</v>
      </c>
      <c r="BY198" s="145">
        <v>15.687311019999999</v>
      </c>
      <c r="BZ198" s="145">
        <v>21.372383989999999</v>
      </c>
      <c r="CA198" s="145">
        <v>37.082238009999998</v>
      </c>
      <c r="CB198" s="145">
        <v>44.683198009999998</v>
      </c>
      <c r="CC198" s="145">
        <v>49.219047009999997</v>
      </c>
      <c r="CD198" s="145">
        <v>60.281609409999994</v>
      </c>
      <c r="CE198" s="145">
        <v>66.98060941</v>
      </c>
      <c r="CF198" s="145">
        <v>73.809156420000008</v>
      </c>
      <c r="CG198" s="145">
        <v>73.293401419999995</v>
      </c>
      <c r="CH198" s="145">
        <v>90.646614299999996</v>
      </c>
      <c r="CI198" s="145">
        <v>97.294111299999997</v>
      </c>
      <c r="CJ198" s="145">
        <v>0</v>
      </c>
      <c r="CK198" s="145">
        <v>9.8746910000000003</v>
      </c>
      <c r="CL198" s="145">
        <v>34.596883840000004</v>
      </c>
      <c r="CM198" s="145">
        <v>44.769741840000002</v>
      </c>
      <c r="CN198" s="145">
        <v>72.051969839999998</v>
      </c>
      <c r="CO198" s="145">
        <v>88.713251839999998</v>
      </c>
      <c r="CP198" s="145">
        <v>98.469510319999998</v>
      </c>
      <c r="CQ198" s="145">
        <v>111.33382431999999</v>
      </c>
      <c r="CR198" s="145">
        <v>142.78813231999999</v>
      </c>
      <c r="CS198" s="145">
        <v>151.36457973</v>
      </c>
      <c r="CT198" s="145">
        <v>177.86316672999999</v>
      </c>
      <c r="CU198" s="145">
        <v>199.50046673</v>
      </c>
      <c r="CV198" s="145">
        <v>0</v>
      </c>
      <c r="CW198" s="145">
        <v>12.76687986</v>
      </c>
      <c r="CX198" s="145">
        <v>25.134880859999999</v>
      </c>
      <c r="CY198" s="145">
        <v>44.895407820000003</v>
      </c>
      <c r="CZ198" s="145">
        <v>49.18953114</v>
      </c>
      <c r="DA198" s="145">
        <v>52.960599130000006</v>
      </c>
      <c r="DB198" s="145">
        <v>56.643288270000006</v>
      </c>
      <c r="DC198" s="145">
        <v>62.01677995</v>
      </c>
      <c r="DD198" s="145">
        <v>70.379648950000004</v>
      </c>
      <c r="DE198" s="145">
        <v>80.78726995000001</v>
      </c>
      <c r="DF198" s="145">
        <v>94.899308950000005</v>
      </c>
      <c r="DG198" s="145">
        <v>102.93522495000001</v>
      </c>
      <c r="DH198" s="145">
        <v>-6.3E-7</v>
      </c>
      <c r="DI198" s="145">
        <v>142.547292</v>
      </c>
      <c r="DJ198" s="145">
        <v>143.123524</v>
      </c>
      <c r="DK198" s="145">
        <v>28.58209931</v>
      </c>
      <c r="DL198" s="145">
        <v>42.866461310000005</v>
      </c>
      <c r="DM198" s="145">
        <v>52.235976310000005</v>
      </c>
      <c r="DN198" s="145">
        <v>63.529126310000002</v>
      </c>
      <c r="DO198" s="145">
        <v>77.826504310000004</v>
      </c>
      <c r="DP198" s="145">
        <v>93.225862309999997</v>
      </c>
      <c r="DQ198" s="963">
        <v>107.49067331000001</v>
      </c>
      <c r="DR198" s="963">
        <v>121.44238231</v>
      </c>
      <c r="DS198" s="963">
        <v>133.54428831000001</v>
      </c>
      <c r="DT198" s="963">
        <v>153.44244831</v>
      </c>
      <c r="DU198" s="963">
        <v>201.29056331000001</v>
      </c>
      <c r="DV198" s="963">
        <v>216.01397631</v>
      </c>
      <c r="DW198" s="963">
        <v>53.21272931</v>
      </c>
      <c r="DX198" s="963">
        <v>69.259457310000002</v>
      </c>
      <c r="DY198" s="963">
        <v>86.483169310000008</v>
      </c>
      <c r="DZ198" s="963">
        <v>109.86074931</v>
      </c>
      <c r="EA198" s="963">
        <v>130.35865131</v>
      </c>
      <c r="EB198" s="963">
        <v>157.03810931000001</v>
      </c>
      <c r="EC198" s="963">
        <v>189.08419330999999</v>
      </c>
      <c r="ED198" s="963">
        <v>235.20352331000001</v>
      </c>
      <c r="EE198" s="963">
        <v>283.47849130999998</v>
      </c>
      <c r="EF198" s="963">
        <v>0</v>
      </c>
      <c r="EH198" s="145">
        <v>12.76687986</v>
      </c>
      <c r="EI198" s="145">
        <v>25.134880859999999</v>
      </c>
      <c r="EJ198" s="145">
        <v>44.895407820000003</v>
      </c>
      <c r="EK198" s="145">
        <v>49.18953114</v>
      </c>
      <c r="EL198" s="145">
        <v>52.960599130000006</v>
      </c>
      <c r="EM198" s="145">
        <v>56.643288270000006</v>
      </c>
      <c r="EN198" s="145">
        <v>56.643288270000006</v>
      </c>
      <c r="EO198" s="145">
        <v>56.643288270000006</v>
      </c>
      <c r="EP198" s="145">
        <v>56.643288270000006</v>
      </c>
      <c r="EQ198" s="145">
        <v>56.643288270000006</v>
      </c>
      <c r="ER198" s="145">
        <v>56.643288270000006</v>
      </c>
      <c r="ES198" s="145">
        <v>56.643288270000006</v>
      </c>
      <c r="EU198" s="145">
        <v>4076.9181984490156</v>
      </c>
      <c r="EV198" s="145">
        <v>3934.2357324010609</v>
      </c>
      <c r="EW198" s="145">
        <v>3826.4757512802785</v>
      </c>
      <c r="EX198" s="145">
        <v>161.58567837861585</v>
      </c>
      <c r="EY198" s="145">
        <v>243.2770795543864</v>
      </c>
      <c r="EZ198" s="145">
        <v>405.50327953453956</v>
      </c>
      <c r="FA198" s="145">
        <v>896.66955638598893</v>
      </c>
      <c r="FB198" s="145">
        <v>1709.2058519279797</v>
      </c>
      <c r="FC198" s="145">
        <v>2204.6738619272596</v>
      </c>
      <c r="FD198" s="145">
        <v>2793.7419701068429</v>
      </c>
      <c r="FE198" s="145">
        <v>3317.531113188873</v>
      </c>
      <c r="FF198" s="145">
        <v>3685.2689423148227</v>
      </c>
      <c r="FG198" s="145">
        <v>1.1389058913900005</v>
      </c>
      <c r="FH198" s="145">
        <v>1.5328195298110006</v>
      </c>
      <c r="FI198" s="145">
        <v>2.3157950959070002</v>
      </c>
      <c r="FJ198" s="145">
        <v>3.3096777346932504</v>
      </c>
      <c r="FK198" s="145">
        <v>4.53227975666075</v>
      </c>
      <c r="FL198" s="145">
        <v>5.60120298182275</v>
      </c>
      <c r="FM198" s="145">
        <v>6.3468111911027494</v>
      </c>
      <c r="FN198" s="145">
        <v>7.3795195033052501</v>
      </c>
      <c r="FO198" s="145">
        <v>115.00104492561331</v>
      </c>
      <c r="FP198" s="145">
        <v>245.4941527963382</v>
      </c>
      <c r="FQ198" s="145">
        <v>344.17155932445036</v>
      </c>
      <c r="FR198" s="145">
        <v>367.98912447052305</v>
      </c>
      <c r="FS198" s="145">
        <v>61.341091945414995</v>
      </c>
      <c r="FT198" s="145">
        <v>14.350356905415</v>
      </c>
      <c r="FU198" s="145">
        <v>22.274947288724999</v>
      </c>
      <c r="FV198" s="145">
        <v>29.467920381374999</v>
      </c>
      <c r="FW198" s="145">
        <v>37.137679512045004</v>
      </c>
      <c r="FX198" s="145">
        <v>43.750845474285008</v>
      </c>
      <c r="FY198" s="145">
        <v>51.200780587185008</v>
      </c>
      <c r="FZ198" s="145">
        <v>56.239509727185009</v>
      </c>
      <c r="GA198" s="145">
        <v>60.039512227185014</v>
      </c>
      <c r="GB198" s="145">
        <v>63.131160727185012</v>
      </c>
      <c r="GC198" s="145">
        <v>66.74039202718501</v>
      </c>
      <c r="GD198" s="145">
        <v>70.025461327184999</v>
      </c>
      <c r="GE198" s="145">
        <v>0</v>
      </c>
      <c r="GF198" s="145">
        <v>0</v>
      </c>
      <c r="GG198" s="145">
        <v>0</v>
      </c>
      <c r="GH198" s="145">
        <v>0</v>
      </c>
      <c r="GI198" s="145">
        <v>0</v>
      </c>
      <c r="GJ198" s="145">
        <v>0</v>
      </c>
      <c r="GK198" s="145">
        <v>0</v>
      </c>
      <c r="GL198" s="145">
        <v>0</v>
      </c>
      <c r="GM198" s="145">
        <v>0</v>
      </c>
      <c r="GN198" s="145">
        <v>0</v>
      </c>
      <c r="GO198" s="145">
        <v>0</v>
      </c>
      <c r="GP198" s="145">
        <v>0</v>
      </c>
      <c r="GQ198" s="145">
        <v>0</v>
      </c>
      <c r="GR198" s="145">
        <v>0</v>
      </c>
      <c r="GS198" s="145">
        <v>0</v>
      </c>
      <c r="GT198" s="145">
        <v>0</v>
      </c>
      <c r="GU198" s="145">
        <v>0</v>
      </c>
      <c r="GV198" s="145">
        <v>0</v>
      </c>
      <c r="GW198" s="145">
        <v>0</v>
      </c>
      <c r="GX198" s="145">
        <v>0</v>
      </c>
      <c r="GY198" s="145">
        <v>0</v>
      </c>
      <c r="GZ198" s="145">
        <v>0</v>
      </c>
      <c r="HA198" s="145">
        <v>0</v>
      </c>
      <c r="HB198" s="145">
        <v>0</v>
      </c>
      <c r="HD198" s="145">
        <f t="shared" si="979"/>
        <v>2841.49</v>
      </c>
      <c r="HE198" s="145">
        <f t="shared" si="979"/>
        <v>3319.9164707999998</v>
      </c>
      <c r="HF198" s="145">
        <f t="shared" si="979"/>
        <v>4449.6009999899998</v>
      </c>
      <c r="HG198" s="145">
        <f t="shared" si="979"/>
        <v>0</v>
      </c>
      <c r="HH198" s="145">
        <f t="shared" si="980"/>
        <v>49.878377</v>
      </c>
      <c r="HI198" s="145">
        <f t="shared" si="981"/>
        <v>0</v>
      </c>
      <c r="HJ198" s="145">
        <f t="shared" si="961"/>
        <v>0</v>
      </c>
      <c r="HK198" s="145">
        <f t="shared" si="962"/>
        <v>0</v>
      </c>
      <c r="HL198" s="963">
        <f>+SUMIFS($E198:SEW198,$E$6:SEW$6,HL$7,$E$5:SEW$5,12)</f>
        <v>-6.3E-7</v>
      </c>
      <c r="HM198" s="963">
        <f>+SUMIFS($E198:SEX198,$E$6:SEX$6,HM$7,$E$5:SEX$5,12)</f>
        <v>153.44244831</v>
      </c>
      <c r="HN198" s="963">
        <f>+SUMIFS($E198:SEY198,$E$6:SEY$6,HN$7,$E$5:SEY$5,12)</f>
        <v>0</v>
      </c>
      <c r="HO198" s="145"/>
      <c r="HP198" s="145"/>
      <c r="HR198" s="989">
        <f t="shared" si="982"/>
        <v>0.34027498556847124</v>
      </c>
      <c r="HS198" s="989">
        <f t="shared" si="983"/>
        <v>-1</v>
      </c>
      <c r="HT198" s="989" t="str">
        <f t="shared" si="984"/>
        <v/>
      </c>
      <c r="HU198" s="989">
        <f t="shared" si="985"/>
        <v>-1</v>
      </c>
      <c r="HV198" s="989" t="str">
        <f t="shared" si="986"/>
        <v/>
      </c>
      <c r="HW198" s="989" t="str">
        <f t="shared" si="987"/>
        <v/>
      </c>
      <c r="HX198" s="989" t="str">
        <f t="shared" si="988"/>
        <v/>
      </c>
      <c r="HY198" s="989">
        <f t="shared" si="988"/>
        <v>-243559442.76190478</v>
      </c>
      <c r="HZ198" s="989">
        <f t="shared" si="988"/>
        <v>-1</v>
      </c>
      <c r="IA198" s="989">
        <f t="shared" si="1036"/>
        <v>-1</v>
      </c>
      <c r="IB198" s="989" t="str">
        <f t="shared" si="989"/>
        <v/>
      </c>
      <c r="IC198" s="989">
        <f t="shared" si="1037"/>
        <v>-1</v>
      </c>
      <c r="IE198" s="145">
        <f t="shared" si="990"/>
        <v>1129.6845291899999</v>
      </c>
      <c r="IF198" s="145">
        <f t="shared" si="991"/>
        <v>-4449.6009999899998</v>
      </c>
      <c r="IG198" s="145">
        <f t="shared" si="992"/>
        <v>49.878377</v>
      </c>
      <c r="IH198" s="145">
        <f t="shared" si="993"/>
        <v>-49.878377</v>
      </c>
      <c r="II198" s="145">
        <f t="shared" si="894"/>
        <v>0</v>
      </c>
      <c r="IJ198" s="145">
        <f t="shared" si="895"/>
        <v>0</v>
      </c>
      <c r="IK198" s="145">
        <f t="shared" si="896"/>
        <v>-6.3E-7</v>
      </c>
      <c r="IL198" s="145">
        <f t="shared" si="1038"/>
        <v>6.3E-7</v>
      </c>
      <c r="IM198" s="145">
        <f t="shared" si="994"/>
        <v>0</v>
      </c>
      <c r="IN198" s="145">
        <f t="shared" si="1039"/>
        <v>6.3E-7</v>
      </c>
      <c r="JA198" s="145">
        <f t="shared" si="995"/>
        <v>2841.49</v>
      </c>
      <c r="JB198" s="145">
        <f t="shared" si="995"/>
        <v>3319.9164707999998</v>
      </c>
      <c r="JC198" s="145">
        <f t="shared" si="995"/>
        <v>4449.6009999899998</v>
      </c>
      <c r="JD198" s="145">
        <f t="shared" si="995"/>
        <v>0</v>
      </c>
      <c r="JE198" s="145">
        <f t="shared" si="995"/>
        <v>49.878377</v>
      </c>
      <c r="JF198" s="145">
        <f t="shared" si="995"/>
        <v>0</v>
      </c>
      <c r="JG198" s="145">
        <f t="shared" si="995"/>
        <v>0</v>
      </c>
      <c r="JH198" s="145">
        <f t="shared" si="995"/>
        <v>0</v>
      </c>
      <c r="JI198" s="145">
        <f t="shared" si="995"/>
        <v>-6.3E-7</v>
      </c>
      <c r="JJ198" s="145">
        <f t="shared" si="995"/>
        <v>153.44244831</v>
      </c>
      <c r="JK198" s="145">
        <f t="shared" si="995"/>
        <v>0</v>
      </c>
      <c r="JL198" s="145">
        <f t="shared" si="996"/>
        <v>0</v>
      </c>
      <c r="JM198" s="145"/>
      <c r="JN198" s="145"/>
      <c r="JO198" s="95"/>
      <c r="JP198" s="145">
        <f t="shared" si="997"/>
        <v>0</v>
      </c>
      <c r="JQ198" s="145">
        <f t="shared" si="998"/>
        <v>0</v>
      </c>
      <c r="JR198" s="145"/>
      <c r="JS198" s="989" t="str">
        <f t="shared" si="999"/>
        <v>NA</v>
      </c>
      <c r="JT198" s="990">
        <f t="shared" si="1000"/>
        <v>0</v>
      </c>
      <c r="JY198" s="989">
        <f t="shared" si="1023"/>
        <v>0.34027498556847124</v>
      </c>
      <c r="JZ198" s="989">
        <f t="shared" si="1024"/>
        <v>-1</v>
      </c>
      <c r="KA198" s="989" t="str">
        <f t="shared" si="1025"/>
        <v/>
      </c>
      <c r="KB198" s="989">
        <f t="shared" si="1026"/>
        <v>-1</v>
      </c>
      <c r="KC198" s="989" t="str">
        <f t="shared" si="1027"/>
        <v/>
      </c>
      <c r="KD198" s="989" t="str">
        <f t="shared" si="1028"/>
        <v/>
      </c>
      <c r="KE198" s="989" t="str">
        <f t="shared" si="1029"/>
        <v/>
      </c>
      <c r="KF198" s="989">
        <f t="shared" si="1030"/>
        <v>-1</v>
      </c>
      <c r="KH198" s="145">
        <f t="shared" si="1002"/>
        <v>1129.6845291899999</v>
      </c>
      <c r="KI198" s="145">
        <f t="shared" si="1003"/>
        <v>-4449.6009999899998</v>
      </c>
      <c r="KJ198" s="145">
        <f t="shared" si="1004"/>
        <v>49.878377</v>
      </c>
      <c r="KK198" s="145">
        <f t="shared" si="1005"/>
        <v>-49.878377</v>
      </c>
      <c r="KL198" s="145">
        <f t="shared" si="1006"/>
        <v>0</v>
      </c>
      <c r="KM198" s="145">
        <f t="shared" si="1007"/>
        <v>0</v>
      </c>
      <c r="KN198" s="145">
        <f t="shared" si="1008"/>
        <v>-6.3E-7</v>
      </c>
      <c r="KO198" s="145">
        <f t="shared" si="1009"/>
        <v>6.3E-7</v>
      </c>
      <c r="LB198" s="145">
        <f t="shared" si="1010"/>
        <v>2841.49</v>
      </c>
      <c r="LC198" s="145">
        <f t="shared" si="1010"/>
        <v>3319.9164707999998</v>
      </c>
      <c r="LD198" s="145">
        <f t="shared" si="1010"/>
        <v>4449.6009999899998</v>
      </c>
      <c r="LE198" s="145">
        <f t="shared" si="1010"/>
        <v>0</v>
      </c>
      <c r="LF198" s="145">
        <f t="shared" si="1010"/>
        <v>49.878377</v>
      </c>
      <c r="LG198" s="145">
        <f t="shared" si="1010"/>
        <v>0</v>
      </c>
      <c r="LH198" s="145">
        <f t="shared" si="1010"/>
        <v>0</v>
      </c>
      <c r="LI198" s="145">
        <f t="shared" si="1010"/>
        <v>0</v>
      </c>
      <c r="LJ198" s="145">
        <f t="shared" si="1010"/>
        <v>-6.3E-7</v>
      </c>
      <c r="LK198" s="145">
        <f t="shared" si="1010"/>
        <v>153.44244831</v>
      </c>
      <c r="LL198" s="145">
        <f t="shared" si="1010"/>
        <v>0</v>
      </c>
      <c r="LM198" s="145">
        <f t="shared" si="1010"/>
        <v>0</v>
      </c>
      <c r="LN198" s="145"/>
      <c r="LO198" s="145"/>
      <c r="LR198" s="42">
        <f t="shared" si="1011"/>
        <v>0.34027498556847124</v>
      </c>
      <c r="LS198" s="42">
        <f t="shared" si="1012"/>
        <v>-1</v>
      </c>
      <c r="LT198" s="42" t="str">
        <f t="shared" si="1013"/>
        <v xml:space="preserve"> </v>
      </c>
      <c r="LU198" s="42">
        <f t="shared" si="1014"/>
        <v>-1</v>
      </c>
      <c r="LV198" s="42" t="str">
        <f t="shared" si="1015"/>
        <v xml:space="preserve"> </v>
      </c>
      <c r="LW198" s="42" t="str">
        <f t="shared" si="1016"/>
        <v xml:space="preserve"> </v>
      </c>
      <c r="LX198" s="42" t="str">
        <f t="shared" si="963"/>
        <v xml:space="preserve"> </v>
      </c>
      <c r="LZ198" s="145">
        <f t="shared" si="1017"/>
        <v>1129.6845291899999</v>
      </c>
      <c r="MA198" s="145">
        <f t="shared" si="1018"/>
        <v>-4449.6009999899998</v>
      </c>
      <c r="MB198" s="145">
        <f t="shared" si="1019"/>
        <v>49.878377</v>
      </c>
      <c r="MC198" s="145">
        <f t="shared" si="1020"/>
        <v>-49.878377</v>
      </c>
      <c r="MD198" s="145">
        <f t="shared" si="1021"/>
        <v>0</v>
      </c>
      <c r="ME198" s="145">
        <f t="shared" si="1022"/>
        <v>0</v>
      </c>
      <c r="MF198" s="145">
        <f t="shared" si="964"/>
        <v>0</v>
      </c>
    </row>
    <row r="199" spans="1:354" outlineLevel="2">
      <c r="A199" s="884">
        <v>2695</v>
      </c>
      <c r="B199" s="70" t="s">
        <v>752</v>
      </c>
      <c r="D199" s="31"/>
      <c r="E199" s="102">
        <v>0</v>
      </c>
      <c r="F199" s="102">
        <v>0</v>
      </c>
      <c r="G199" s="102">
        <v>0</v>
      </c>
      <c r="H199" s="102">
        <v>0</v>
      </c>
      <c r="I199" s="102">
        <v>0</v>
      </c>
      <c r="J199" s="102">
        <v>0</v>
      </c>
      <c r="K199" s="102">
        <v>0</v>
      </c>
      <c r="L199" s="102">
        <v>0</v>
      </c>
      <c r="M199" s="102">
        <v>0</v>
      </c>
      <c r="N199" s="102">
        <v>0</v>
      </c>
      <c r="O199" s="102">
        <v>0</v>
      </c>
      <c r="P199" s="102">
        <v>0</v>
      </c>
      <c r="Q199" s="102">
        <v>0</v>
      </c>
      <c r="R199" s="102">
        <v>0</v>
      </c>
      <c r="S199" s="102">
        <v>0</v>
      </c>
      <c r="T199" s="102">
        <v>0</v>
      </c>
      <c r="U199" s="102">
        <v>0</v>
      </c>
      <c r="V199" s="102">
        <v>0</v>
      </c>
      <c r="W199" s="102">
        <v>0</v>
      </c>
      <c r="X199" s="102">
        <v>0</v>
      </c>
      <c r="Y199" s="102">
        <v>0</v>
      </c>
      <c r="Z199" s="145">
        <v>0</v>
      </c>
      <c r="AA199" s="145">
        <v>0</v>
      </c>
      <c r="AB199" s="145">
        <v>0</v>
      </c>
      <c r="AC199" s="145">
        <v>0</v>
      </c>
      <c r="AD199" s="102">
        <v>0</v>
      </c>
      <c r="AE199" s="102">
        <v>0</v>
      </c>
      <c r="AF199" s="102">
        <v>0</v>
      </c>
      <c r="AG199" s="102">
        <v>0</v>
      </c>
      <c r="AH199" s="102">
        <v>0</v>
      </c>
      <c r="AI199" s="102">
        <v>0</v>
      </c>
      <c r="AJ199" s="102">
        <v>0</v>
      </c>
      <c r="AK199" s="102">
        <v>0</v>
      </c>
      <c r="AL199" s="102">
        <v>0</v>
      </c>
      <c r="AM199" s="102">
        <v>0</v>
      </c>
      <c r="AN199" s="102">
        <v>0</v>
      </c>
      <c r="AO199" s="102">
        <v>0</v>
      </c>
      <c r="AP199" s="145">
        <v>0</v>
      </c>
      <c r="AQ199" s="220">
        <v>0</v>
      </c>
      <c r="AR199" s="220">
        <v>0</v>
      </c>
      <c r="AS199" s="102">
        <v>0</v>
      </c>
      <c r="AT199" s="102">
        <v>0</v>
      </c>
      <c r="AU199" s="102">
        <v>0</v>
      </c>
      <c r="AV199" s="102">
        <v>0</v>
      </c>
      <c r="AW199" s="102">
        <v>0</v>
      </c>
      <c r="AX199" s="102">
        <v>0</v>
      </c>
      <c r="AY199" s="102">
        <v>0</v>
      </c>
      <c r="AZ199" s="102">
        <v>0</v>
      </c>
      <c r="BA199" s="102">
        <v>0</v>
      </c>
      <c r="BB199" s="102">
        <v>0</v>
      </c>
      <c r="BC199" s="102">
        <v>0</v>
      </c>
      <c r="BD199" s="102">
        <v>0</v>
      </c>
      <c r="BE199" s="102">
        <v>0</v>
      </c>
      <c r="BF199" s="102">
        <v>0</v>
      </c>
      <c r="BG199" s="102">
        <v>0</v>
      </c>
      <c r="BH199" s="102">
        <v>0</v>
      </c>
      <c r="BI199" s="102">
        <v>0</v>
      </c>
      <c r="BJ199" s="102">
        <v>0</v>
      </c>
      <c r="BK199" s="102">
        <v>0</v>
      </c>
      <c r="BL199" s="102">
        <v>0</v>
      </c>
      <c r="BM199" s="102">
        <v>0</v>
      </c>
      <c r="BN199" s="102">
        <v>0</v>
      </c>
      <c r="BO199" s="102">
        <v>0</v>
      </c>
      <c r="BP199" s="102">
        <v>0</v>
      </c>
      <c r="BQ199" s="102">
        <v>0</v>
      </c>
      <c r="BR199" s="102">
        <v>0</v>
      </c>
      <c r="BS199" s="102">
        <v>0</v>
      </c>
      <c r="BT199" s="102">
        <v>0</v>
      </c>
      <c r="BU199" s="102">
        <v>0</v>
      </c>
      <c r="BV199" s="102">
        <v>0</v>
      </c>
      <c r="BW199" s="102">
        <v>0</v>
      </c>
      <c r="BX199" s="102">
        <v>0</v>
      </c>
      <c r="BY199" s="102">
        <v>0</v>
      </c>
      <c r="BZ199" s="102">
        <v>0</v>
      </c>
      <c r="CA199" s="102">
        <v>0</v>
      </c>
      <c r="CB199" s="102">
        <v>0</v>
      </c>
      <c r="CC199" s="102">
        <v>0</v>
      </c>
      <c r="CD199" s="102">
        <v>0</v>
      </c>
      <c r="CE199" s="102">
        <v>0</v>
      </c>
      <c r="CF199" s="102">
        <v>0</v>
      </c>
      <c r="CG199" s="102">
        <v>0</v>
      </c>
      <c r="CH199" s="102">
        <v>0</v>
      </c>
      <c r="CI199" s="102">
        <v>0</v>
      </c>
      <c r="CJ199" s="102">
        <v>0</v>
      </c>
      <c r="CK199" s="102">
        <v>0</v>
      </c>
      <c r="CL199" s="102">
        <v>0</v>
      </c>
      <c r="CM199" s="102">
        <v>0</v>
      </c>
      <c r="CN199" s="102">
        <v>0</v>
      </c>
      <c r="CO199" s="102">
        <v>0</v>
      </c>
      <c r="CP199" s="102">
        <v>0</v>
      </c>
      <c r="CQ199" s="102">
        <v>0</v>
      </c>
      <c r="CR199" s="102">
        <v>0</v>
      </c>
      <c r="CS199" s="102">
        <v>0</v>
      </c>
      <c r="CT199" s="102">
        <v>0</v>
      </c>
      <c r="CU199" s="102">
        <v>0</v>
      </c>
      <c r="CV199" s="102">
        <v>0</v>
      </c>
      <c r="CW199" s="102">
        <v>0</v>
      </c>
      <c r="CX199" s="102">
        <v>0</v>
      </c>
      <c r="CY199" s="102">
        <v>0</v>
      </c>
      <c r="CZ199" s="102">
        <v>0</v>
      </c>
      <c r="DA199" s="102">
        <v>0</v>
      </c>
      <c r="DB199" s="102">
        <v>0</v>
      </c>
      <c r="DC199" s="102">
        <v>0</v>
      </c>
      <c r="DD199" s="102">
        <v>0</v>
      </c>
      <c r="DE199" s="102">
        <v>0</v>
      </c>
      <c r="DF199" s="102">
        <v>0</v>
      </c>
      <c r="DG199" s="102">
        <v>0</v>
      </c>
      <c r="DH199" s="102">
        <v>0</v>
      </c>
      <c r="DI199" s="102">
        <v>0</v>
      </c>
      <c r="DJ199" s="102">
        <v>0</v>
      </c>
      <c r="DK199" s="102">
        <v>0</v>
      </c>
      <c r="DL199" s="102">
        <v>0</v>
      </c>
      <c r="DM199" s="102">
        <v>0</v>
      </c>
      <c r="DN199" s="102">
        <v>0</v>
      </c>
      <c r="DO199" s="102">
        <v>0</v>
      </c>
      <c r="DP199" s="102">
        <v>0</v>
      </c>
      <c r="DQ199" s="940">
        <v>0</v>
      </c>
      <c r="DR199" s="940">
        <v>0</v>
      </c>
      <c r="DS199" s="940">
        <v>0</v>
      </c>
      <c r="DT199" s="940">
        <v>0</v>
      </c>
      <c r="DU199" s="940">
        <v>0</v>
      </c>
      <c r="DV199" s="940">
        <v>0</v>
      </c>
      <c r="DW199" s="940">
        <v>0</v>
      </c>
      <c r="DX199" s="940">
        <v>0</v>
      </c>
      <c r="DY199" s="940">
        <v>0</v>
      </c>
      <c r="DZ199" s="940">
        <v>0</v>
      </c>
      <c r="EA199" s="940">
        <v>0</v>
      </c>
      <c r="EB199" s="940">
        <v>0</v>
      </c>
      <c r="EC199" s="940">
        <v>0</v>
      </c>
      <c r="ED199" s="940">
        <v>0</v>
      </c>
      <c r="EE199" s="940">
        <v>0</v>
      </c>
      <c r="EF199" s="940">
        <v>0</v>
      </c>
      <c r="EH199" s="102">
        <v>0</v>
      </c>
      <c r="EI199" s="102">
        <v>0</v>
      </c>
      <c r="EJ199" s="102">
        <v>0</v>
      </c>
      <c r="EK199" s="102">
        <v>0</v>
      </c>
      <c r="EL199" s="102">
        <v>0</v>
      </c>
      <c r="EM199" s="102">
        <v>0</v>
      </c>
      <c r="EN199" s="102">
        <v>0</v>
      </c>
      <c r="EO199" s="102">
        <v>0</v>
      </c>
      <c r="EP199" s="102">
        <v>0</v>
      </c>
      <c r="EQ199" s="102">
        <v>0</v>
      </c>
      <c r="ER199" s="102">
        <v>0</v>
      </c>
      <c r="ES199" s="102">
        <v>0</v>
      </c>
      <c r="EU199" s="102"/>
      <c r="EV199" s="102"/>
      <c r="EW199" s="102"/>
      <c r="EX199" s="102"/>
      <c r="EY199" s="102"/>
      <c r="EZ199" s="102"/>
      <c r="FA199" s="102"/>
      <c r="FB199" s="102"/>
      <c r="FC199" s="102"/>
      <c r="FD199" s="102"/>
      <c r="FE199" s="102"/>
      <c r="FF199" s="102"/>
      <c r="FG199" s="102">
        <v>0</v>
      </c>
      <c r="FH199" s="102">
        <v>0</v>
      </c>
      <c r="FI199" s="102">
        <v>0</v>
      </c>
      <c r="FJ199" s="102">
        <v>0</v>
      </c>
      <c r="FK199" s="102">
        <v>0</v>
      </c>
      <c r="FL199" s="102">
        <v>0</v>
      </c>
      <c r="FM199" s="102">
        <v>0</v>
      </c>
      <c r="FN199" s="102">
        <v>0</v>
      </c>
      <c r="FO199" s="102">
        <v>0</v>
      </c>
      <c r="FP199" s="102">
        <v>0</v>
      </c>
      <c r="FQ199" s="102">
        <v>0</v>
      </c>
      <c r="FR199" s="102">
        <v>0</v>
      </c>
      <c r="FS199" s="102">
        <v>16.643508625833334</v>
      </c>
      <c r="FT199" s="102">
        <v>16.643508625833334</v>
      </c>
      <c r="FU199" s="102">
        <v>16.643508625833334</v>
      </c>
      <c r="FV199" s="102">
        <v>16.643508625833334</v>
      </c>
      <c r="FW199" s="102">
        <v>16.643508625833334</v>
      </c>
      <c r="FX199" s="102">
        <v>16.643508625833334</v>
      </c>
      <c r="FY199" s="102">
        <v>16.643508625833334</v>
      </c>
      <c r="FZ199" s="102">
        <v>16.643508625833334</v>
      </c>
      <c r="GA199" s="102">
        <v>16.643508625833334</v>
      </c>
      <c r="GB199" s="102">
        <v>16.643508625833334</v>
      </c>
      <c r="GC199" s="102">
        <v>16.643508625833334</v>
      </c>
      <c r="GD199" s="102">
        <v>16.643508625833334</v>
      </c>
      <c r="GE199" s="102">
        <v>0</v>
      </c>
      <c r="GF199" s="102">
        <v>0</v>
      </c>
      <c r="GG199" s="102">
        <v>0</v>
      </c>
      <c r="GH199" s="102">
        <v>0</v>
      </c>
      <c r="GI199" s="102">
        <v>0</v>
      </c>
      <c r="GJ199" s="102">
        <v>0</v>
      </c>
      <c r="GK199" s="102">
        <v>0</v>
      </c>
      <c r="GL199" s="102">
        <v>0</v>
      </c>
      <c r="GM199" s="102">
        <v>0</v>
      </c>
      <c r="GN199" s="102">
        <v>0</v>
      </c>
      <c r="GO199" s="102">
        <v>0</v>
      </c>
      <c r="GP199" s="102">
        <v>0</v>
      </c>
      <c r="GQ199" s="102">
        <v>0</v>
      </c>
      <c r="GR199" s="102">
        <v>0</v>
      </c>
      <c r="GS199" s="102">
        <v>0</v>
      </c>
      <c r="GT199" s="102">
        <v>0</v>
      </c>
      <c r="GU199" s="102">
        <v>0</v>
      </c>
      <c r="GV199" s="102">
        <v>0</v>
      </c>
      <c r="GW199" s="102">
        <v>0</v>
      </c>
      <c r="GX199" s="102">
        <v>0</v>
      </c>
      <c r="GY199" s="102">
        <v>0</v>
      </c>
      <c r="GZ199" s="102">
        <v>0</v>
      </c>
      <c r="HA199" s="102">
        <v>0</v>
      </c>
      <c r="HB199" s="102">
        <v>0</v>
      </c>
      <c r="HD199" s="102">
        <f t="shared" si="979"/>
        <v>0</v>
      </c>
      <c r="HE199" s="102">
        <f t="shared" si="979"/>
        <v>0</v>
      </c>
      <c r="HF199" s="102">
        <f t="shared" si="979"/>
        <v>0</v>
      </c>
      <c r="HG199" s="102">
        <f t="shared" si="979"/>
        <v>0</v>
      </c>
      <c r="HH199" s="102">
        <f t="shared" si="980"/>
        <v>0</v>
      </c>
      <c r="HI199" s="102">
        <f t="shared" si="981"/>
        <v>0</v>
      </c>
      <c r="HJ199" s="102">
        <f t="shared" si="961"/>
        <v>0</v>
      </c>
      <c r="HK199" s="102">
        <f t="shared" si="962"/>
        <v>0</v>
      </c>
      <c r="HL199" s="940">
        <f>+SUMIFS($E199:SEW199,$E$6:SEW$6,HL$7,$E$5:SEW$5,12)</f>
        <v>0</v>
      </c>
      <c r="HM199" s="940">
        <f>+SUMIFS($E199:SEX199,$E$6:SEX$6,HM$7,$E$5:SEX$5,12)</f>
        <v>0</v>
      </c>
      <c r="HN199" s="940">
        <f>+SUMIFS($E199:SEY199,$E$6:SEY$6,HN$7,$E$5:SEY$5,12)</f>
        <v>0</v>
      </c>
      <c r="HO199" s="102"/>
      <c r="HP199" s="102"/>
      <c r="HR199" s="929" t="str">
        <f t="shared" si="982"/>
        <v/>
      </c>
      <c r="HS199" s="929" t="str">
        <f t="shared" si="983"/>
        <v/>
      </c>
      <c r="HT199" s="929" t="str">
        <f t="shared" si="984"/>
        <v/>
      </c>
      <c r="HU199" s="929" t="str">
        <f t="shared" si="985"/>
        <v/>
      </c>
      <c r="HV199" s="929" t="str">
        <f t="shared" si="986"/>
        <v/>
      </c>
      <c r="HW199" s="929" t="str">
        <f t="shared" si="987"/>
        <v/>
      </c>
      <c r="HX199" s="929" t="str">
        <f t="shared" si="988"/>
        <v/>
      </c>
      <c r="HY199" s="929" t="str">
        <f t="shared" si="988"/>
        <v/>
      </c>
      <c r="HZ199" s="929" t="str">
        <f t="shared" si="988"/>
        <v/>
      </c>
      <c r="IA199" s="929" t="str">
        <f t="shared" si="1036"/>
        <v/>
      </c>
      <c r="IB199" s="929" t="str">
        <f t="shared" si="989"/>
        <v/>
      </c>
      <c r="IC199" s="929" t="str">
        <f t="shared" si="1037"/>
        <v/>
      </c>
      <c r="IE199" s="102">
        <f t="shared" si="990"/>
        <v>0</v>
      </c>
      <c r="IF199" s="102">
        <f t="shared" si="991"/>
        <v>0</v>
      </c>
      <c r="IG199" s="102">
        <f t="shared" si="992"/>
        <v>0</v>
      </c>
      <c r="IH199" s="102">
        <f t="shared" si="993"/>
        <v>0</v>
      </c>
      <c r="II199" s="102">
        <f t="shared" si="894"/>
        <v>0</v>
      </c>
      <c r="IJ199" s="102">
        <f t="shared" si="895"/>
        <v>0</v>
      </c>
      <c r="IK199" s="102">
        <f t="shared" si="896"/>
        <v>0</v>
      </c>
      <c r="IL199" s="102">
        <f t="shared" si="1038"/>
        <v>0</v>
      </c>
      <c r="IM199" s="102">
        <f t="shared" si="994"/>
        <v>0</v>
      </c>
      <c r="IN199" s="102">
        <f t="shared" si="1039"/>
        <v>0</v>
      </c>
      <c r="IP199" s="973"/>
      <c r="IQ199" s="973"/>
      <c r="IR199" s="973"/>
      <c r="IS199" s="973"/>
      <c r="IT199" s="973"/>
      <c r="IU199" s="973"/>
      <c r="IV199" s="973"/>
      <c r="IW199" s="973"/>
      <c r="IX199" s="973"/>
      <c r="IY199" s="973"/>
      <c r="JA199" s="102">
        <f t="shared" si="995"/>
        <v>0</v>
      </c>
      <c r="JB199" s="102">
        <f t="shared" si="995"/>
        <v>0</v>
      </c>
      <c r="JC199" s="102">
        <f t="shared" si="995"/>
        <v>0</v>
      </c>
      <c r="JD199" s="102">
        <f t="shared" si="995"/>
        <v>0</v>
      </c>
      <c r="JE199" s="102">
        <f t="shared" si="995"/>
        <v>0</v>
      </c>
      <c r="JF199" s="102">
        <f t="shared" si="995"/>
        <v>0</v>
      </c>
      <c r="JG199" s="102">
        <f t="shared" si="995"/>
        <v>0</v>
      </c>
      <c r="JH199" s="102">
        <f t="shared" si="995"/>
        <v>0</v>
      </c>
      <c r="JI199" s="102">
        <f t="shared" si="995"/>
        <v>0</v>
      </c>
      <c r="JJ199" s="102">
        <f t="shared" si="995"/>
        <v>0</v>
      </c>
      <c r="JK199" s="102">
        <f t="shared" si="995"/>
        <v>0</v>
      </c>
      <c r="JL199" s="102">
        <f t="shared" si="996"/>
        <v>0</v>
      </c>
      <c r="JM199" s="102"/>
      <c r="JN199" s="102"/>
      <c r="JP199" s="102">
        <f t="shared" si="997"/>
        <v>0</v>
      </c>
      <c r="JQ199" s="102">
        <f t="shared" si="998"/>
        <v>0</v>
      </c>
      <c r="JR199" s="145"/>
      <c r="JS199" s="929" t="str">
        <f t="shared" si="999"/>
        <v>NA</v>
      </c>
      <c r="JT199" s="930">
        <f t="shared" si="1000"/>
        <v>0</v>
      </c>
      <c r="JV199" s="973"/>
      <c r="JW199" s="973"/>
      <c r="JY199" s="929" t="str">
        <f t="shared" si="1023"/>
        <v/>
      </c>
      <c r="JZ199" s="929" t="str">
        <f t="shared" si="1024"/>
        <v/>
      </c>
      <c r="KA199" s="929" t="str">
        <f t="shared" si="1025"/>
        <v/>
      </c>
      <c r="KB199" s="929" t="str">
        <f t="shared" si="1026"/>
        <v/>
      </c>
      <c r="KC199" s="929" t="str">
        <f t="shared" si="1027"/>
        <v/>
      </c>
      <c r="KD199" s="929" t="str">
        <f t="shared" si="1028"/>
        <v/>
      </c>
      <c r="KE199" s="929" t="str">
        <f t="shared" si="1029"/>
        <v/>
      </c>
      <c r="KF199" s="929" t="str">
        <f t="shared" si="1030"/>
        <v/>
      </c>
      <c r="KH199" s="102">
        <f t="shared" si="1002"/>
        <v>0</v>
      </c>
      <c r="KI199" s="102">
        <f t="shared" si="1003"/>
        <v>0</v>
      </c>
      <c r="KJ199" s="102">
        <f t="shared" si="1004"/>
        <v>0</v>
      </c>
      <c r="KK199" s="102">
        <f t="shared" si="1005"/>
        <v>0</v>
      </c>
      <c r="KL199" s="102">
        <f t="shared" si="1006"/>
        <v>0</v>
      </c>
      <c r="KM199" s="102">
        <f t="shared" si="1007"/>
        <v>0</v>
      </c>
      <c r="KN199" s="102">
        <f t="shared" si="1008"/>
        <v>0</v>
      </c>
      <c r="KO199" s="102">
        <f t="shared" si="1009"/>
        <v>0</v>
      </c>
      <c r="KQ199" s="973"/>
      <c r="KR199" s="973"/>
      <c r="KS199" s="973"/>
      <c r="KT199" s="973"/>
      <c r="KU199" s="973"/>
      <c r="KV199" s="973"/>
      <c r="KW199" s="973"/>
      <c r="KX199" s="973"/>
      <c r="KY199" s="973"/>
      <c r="KZ199" s="973"/>
      <c r="LB199" s="102">
        <f t="shared" si="1010"/>
        <v>0</v>
      </c>
      <c r="LC199" s="102">
        <f t="shared" si="1010"/>
        <v>0</v>
      </c>
      <c r="LD199" s="102">
        <f t="shared" si="1010"/>
        <v>0</v>
      </c>
      <c r="LE199" s="102">
        <f t="shared" si="1010"/>
        <v>0</v>
      </c>
      <c r="LF199" s="102">
        <f t="shared" si="1010"/>
        <v>0</v>
      </c>
      <c r="LG199" s="102">
        <f t="shared" si="1010"/>
        <v>0</v>
      </c>
      <c r="LH199" s="102">
        <f t="shared" si="1010"/>
        <v>0</v>
      </c>
      <c r="LI199" s="102">
        <f t="shared" si="1010"/>
        <v>0</v>
      </c>
      <c r="LJ199" s="102">
        <f t="shared" si="1010"/>
        <v>0</v>
      </c>
      <c r="LK199" s="102">
        <f t="shared" si="1010"/>
        <v>0</v>
      </c>
      <c r="LL199" s="102">
        <f t="shared" si="1010"/>
        <v>0</v>
      </c>
      <c r="LM199" s="102">
        <f t="shared" si="1010"/>
        <v>0</v>
      </c>
      <c r="LN199" s="102"/>
      <c r="LO199" s="102"/>
      <c r="LR199" s="32" t="str">
        <f t="shared" si="1011"/>
        <v xml:space="preserve"> </v>
      </c>
      <c r="LS199" s="32" t="str">
        <f t="shared" si="1012"/>
        <v xml:space="preserve"> </v>
      </c>
      <c r="LT199" s="32" t="str">
        <f t="shared" si="1013"/>
        <v xml:space="preserve"> </v>
      </c>
      <c r="LU199" s="32" t="str">
        <f t="shared" si="1014"/>
        <v xml:space="preserve"> </v>
      </c>
      <c r="LV199" s="32" t="str">
        <f t="shared" si="1015"/>
        <v xml:space="preserve"> </v>
      </c>
      <c r="LW199" s="32" t="str">
        <f t="shared" si="1016"/>
        <v xml:space="preserve"> </v>
      </c>
      <c r="LX199" s="32" t="str">
        <f t="shared" si="963"/>
        <v xml:space="preserve"> </v>
      </c>
      <c r="LZ199" s="102">
        <f t="shared" si="1017"/>
        <v>0</v>
      </c>
      <c r="MA199" s="102">
        <f t="shared" si="1018"/>
        <v>0</v>
      </c>
      <c r="MB199" s="102">
        <f t="shared" si="1019"/>
        <v>0</v>
      </c>
      <c r="MC199" s="102">
        <f t="shared" si="1020"/>
        <v>0</v>
      </c>
      <c r="MD199" s="102">
        <f t="shared" si="1021"/>
        <v>0</v>
      </c>
      <c r="ME199" s="102">
        <f t="shared" si="1022"/>
        <v>0</v>
      </c>
      <c r="MF199" s="102">
        <f t="shared" si="964"/>
        <v>0</v>
      </c>
      <c r="MH199" s="973"/>
      <c r="MI199" s="973"/>
      <c r="MJ199" s="973"/>
      <c r="MK199" s="973"/>
      <c r="ML199" s="973"/>
      <c r="MM199" s="973"/>
      <c r="MN199" s="973"/>
      <c r="MO199" s="973"/>
      <c r="MP199" s="973"/>
    </row>
    <row r="200" spans="1:354" outlineLevel="1">
      <c r="A200" s="884"/>
      <c r="B200" s="70"/>
      <c r="C200" s="186" t="s">
        <v>151</v>
      </c>
      <c r="D200" s="307" t="s">
        <v>59</v>
      </c>
      <c r="E200" s="931">
        <v>0</v>
      </c>
      <c r="F200" s="931">
        <v>0</v>
      </c>
      <c r="G200" s="931">
        <v>0</v>
      </c>
      <c r="H200" s="931">
        <v>0</v>
      </c>
      <c r="I200" s="931">
        <v>0</v>
      </c>
      <c r="J200" s="931">
        <v>0</v>
      </c>
      <c r="K200" s="931">
        <v>0</v>
      </c>
      <c r="L200" s="931">
        <v>0</v>
      </c>
      <c r="M200" s="931">
        <v>0</v>
      </c>
      <c r="N200" s="931">
        <v>0</v>
      </c>
      <c r="O200" s="931">
        <v>0</v>
      </c>
      <c r="P200" s="931">
        <v>0</v>
      </c>
      <c r="Q200" s="931">
        <v>0</v>
      </c>
      <c r="R200" s="931">
        <v>0</v>
      </c>
      <c r="S200" s="931">
        <v>0</v>
      </c>
      <c r="T200" s="931">
        <v>0</v>
      </c>
      <c r="U200" s="931">
        <v>0</v>
      </c>
      <c r="V200" s="931">
        <v>0</v>
      </c>
      <c r="W200" s="931">
        <v>0</v>
      </c>
      <c r="X200" s="931">
        <v>0</v>
      </c>
      <c r="Y200" s="931">
        <v>0</v>
      </c>
      <c r="Z200" s="931">
        <v>0</v>
      </c>
      <c r="AA200" s="931">
        <v>0</v>
      </c>
      <c r="AB200" s="931">
        <v>0</v>
      </c>
      <c r="AC200" s="931">
        <v>0</v>
      </c>
      <c r="AD200" s="931">
        <v>0</v>
      </c>
      <c r="AE200" s="931">
        <v>0</v>
      </c>
      <c r="AF200" s="931">
        <v>0</v>
      </c>
      <c r="AG200" s="931">
        <v>0</v>
      </c>
      <c r="AH200" s="931">
        <v>0</v>
      </c>
      <c r="AI200" s="931">
        <v>0</v>
      </c>
      <c r="AJ200" s="931">
        <v>0</v>
      </c>
      <c r="AK200" s="931">
        <v>0</v>
      </c>
      <c r="AL200" s="931">
        <v>0</v>
      </c>
      <c r="AM200" s="931">
        <v>0</v>
      </c>
      <c r="AN200" s="931">
        <v>0</v>
      </c>
      <c r="AO200" s="931">
        <v>0</v>
      </c>
      <c r="AP200" s="932">
        <v>0</v>
      </c>
      <c r="AQ200" s="936">
        <v>0</v>
      </c>
      <c r="AR200" s="936">
        <v>0</v>
      </c>
      <c r="AS200" s="931">
        <v>0</v>
      </c>
      <c r="AT200" s="931">
        <v>0</v>
      </c>
      <c r="AU200" s="931">
        <v>0</v>
      </c>
      <c r="AV200" s="931">
        <v>0</v>
      </c>
      <c r="AW200" s="931">
        <v>0</v>
      </c>
      <c r="AX200" s="931">
        <v>0</v>
      </c>
      <c r="AY200" s="931">
        <v>0</v>
      </c>
      <c r="AZ200" s="931"/>
      <c r="BA200" s="931"/>
      <c r="BB200" s="931"/>
      <c r="BC200" s="931"/>
      <c r="BD200" s="931"/>
      <c r="BE200" s="931"/>
      <c r="BF200" s="931"/>
      <c r="BG200" s="931"/>
      <c r="BH200" s="931"/>
      <c r="BI200" s="931"/>
      <c r="BJ200" s="931"/>
      <c r="BK200" s="931"/>
      <c r="BL200" s="931"/>
      <c r="BM200" s="931"/>
      <c r="BN200" s="931"/>
      <c r="BO200" s="931"/>
      <c r="BP200" s="931"/>
      <c r="BQ200" s="931"/>
      <c r="BR200" s="931"/>
      <c r="BS200" s="931"/>
      <c r="BT200" s="931"/>
      <c r="BU200" s="931"/>
      <c r="BV200" s="931"/>
      <c r="BW200" s="931"/>
      <c r="BX200" s="931"/>
      <c r="BY200" s="931"/>
      <c r="BZ200" s="931"/>
      <c r="CA200" s="931"/>
      <c r="CB200" s="931"/>
      <c r="CC200" s="931"/>
      <c r="CD200" s="931"/>
      <c r="CE200" s="931"/>
      <c r="CF200" s="931"/>
      <c r="CG200" s="931"/>
      <c r="CH200" s="931"/>
      <c r="CI200" s="931"/>
      <c r="CJ200" s="931"/>
      <c r="CK200" s="931"/>
      <c r="CL200" s="931"/>
      <c r="CM200" s="931"/>
      <c r="CN200" s="931"/>
      <c r="CO200" s="931"/>
      <c r="CP200" s="931"/>
      <c r="CQ200" s="931"/>
      <c r="CR200" s="931"/>
      <c r="CS200" s="931"/>
      <c r="CT200" s="931"/>
      <c r="CU200" s="931"/>
      <c r="CV200" s="931"/>
      <c r="CW200" s="931"/>
      <c r="CX200" s="931"/>
      <c r="CY200" s="931"/>
      <c r="CZ200" s="931"/>
      <c r="DA200" s="931"/>
      <c r="DB200" s="931"/>
      <c r="DC200" s="931"/>
      <c r="DD200" s="931"/>
      <c r="DE200" s="931"/>
      <c r="DF200" s="931"/>
      <c r="DG200" s="931"/>
      <c r="DH200" s="931"/>
      <c r="DI200" s="931"/>
      <c r="DJ200" s="931"/>
      <c r="DK200" s="931"/>
      <c r="DL200" s="931"/>
      <c r="DM200" s="931"/>
      <c r="DN200" s="931"/>
      <c r="DO200" s="931"/>
      <c r="DP200" s="931"/>
      <c r="DQ200" s="941"/>
      <c r="DR200" s="941"/>
      <c r="DS200" s="941"/>
      <c r="DT200" s="941"/>
      <c r="DU200" s="941"/>
      <c r="DV200" s="941"/>
      <c r="DW200" s="941"/>
      <c r="DX200" s="941"/>
      <c r="DY200" s="941"/>
      <c r="DZ200" s="941"/>
      <c r="EA200" s="941"/>
      <c r="EB200" s="941"/>
      <c r="EC200" s="941"/>
      <c r="ED200" s="941"/>
      <c r="EE200" s="941"/>
      <c r="EF200" s="941"/>
      <c r="EH200" s="931"/>
      <c r="EI200" s="931"/>
      <c r="EJ200" s="931"/>
      <c r="EK200" s="931"/>
      <c r="EL200" s="931"/>
      <c r="EM200" s="931"/>
      <c r="EN200" s="931"/>
      <c r="EO200" s="931"/>
      <c r="EP200" s="931"/>
      <c r="EQ200" s="931"/>
      <c r="ER200" s="931"/>
      <c r="ES200" s="931"/>
      <c r="EU200" s="931"/>
      <c r="EV200" s="931"/>
      <c r="EW200" s="931"/>
      <c r="EX200" s="931"/>
      <c r="EY200" s="931"/>
      <c r="EZ200" s="931"/>
      <c r="FA200" s="931"/>
      <c r="FB200" s="931"/>
      <c r="FC200" s="931"/>
      <c r="FD200" s="931"/>
      <c r="FE200" s="931"/>
      <c r="FF200" s="931"/>
      <c r="FG200" s="931"/>
      <c r="FH200" s="931"/>
      <c r="FI200" s="931"/>
      <c r="FJ200" s="931"/>
      <c r="FK200" s="931"/>
      <c r="FL200" s="931"/>
      <c r="FM200" s="931"/>
      <c r="FN200" s="931"/>
      <c r="FO200" s="931"/>
      <c r="FP200" s="931"/>
      <c r="FQ200" s="931"/>
      <c r="FR200" s="931"/>
      <c r="FS200" s="931"/>
      <c r="FT200" s="931"/>
      <c r="FU200" s="931"/>
      <c r="FV200" s="931"/>
      <c r="FW200" s="931"/>
      <c r="FX200" s="931"/>
      <c r="FY200" s="931"/>
      <c r="FZ200" s="931"/>
      <c r="GA200" s="931"/>
      <c r="GB200" s="931"/>
      <c r="GC200" s="931"/>
      <c r="GD200" s="931"/>
      <c r="GE200" s="931"/>
      <c r="GF200" s="931"/>
      <c r="GG200" s="931"/>
      <c r="GH200" s="931"/>
      <c r="GI200" s="931"/>
      <c r="GJ200" s="931"/>
      <c r="GK200" s="931"/>
      <c r="GL200" s="931"/>
      <c r="GM200" s="931"/>
      <c r="GN200" s="931"/>
      <c r="GO200" s="931"/>
      <c r="GP200" s="931"/>
      <c r="GQ200" s="931"/>
      <c r="GR200" s="931"/>
      <c r="GS200" s="931"/>
      <c r="GT200" s="931"/>
      <c r="GU200" s="931"/>
      <c r="GV200" s="931"/>
      <c r="GW200" s="931"/>
      <c r="GX200" s="931"/>
      <c r="GY200" s="931"/>
      <c r="GZ200" s="931"/>
      <c r="HA200" s="931"/>
      <c r="HB200" s="931"/>
      <c r="HD200" s="931">
        <f t="shared" si="979"/>
        <v>0</v>
      </c>
      <c r="HE200" s="931">
        <f t="shared" si="979"/>
        <v>0</v>
      </c>
      <c r="HF200" s="931">
        <f t="shared" si="979"/>
        <v>0</v>
      </c>
      <c r="HG200" s="931">
        <f t="shared" si="979"/>
        <v>0</v>
      </c>
      <c r="HH200" s="931">
        <f t="shared" si="980"/>
        <v>0</v>
      </c>
      <c r="HI200" s="931">
        <f t="shared" si="981"/>
        <v>0</v>
      </c>
      <c r="HJ200" s="931">
        <f t="shared" si="961"/>
        <v>0</v>
      </c>
      <c r="HK200" s="931">
        <f t="shared" si="962"/>
        <v>0</v>
      </c>
      <c r="HL200" s="941">
        <f>+SUMIFS($E200:SEW200,$E$6:SEW$6,HL$7,$E$5:SEW$5,12)</f>
        <v>0</v>
      </c>
      <c r="HM200" s="941">
        <f>+SUMIFS($E200:SEX200,$E$6:SEX$6,HM$7,$E$5:SEX$5,12)</f>
        <v>0</v>
      </c>
      <c r="HN200" s="941">
        <f>+SUMIFS($E200:SEY200,$E$6:SEY$6,HN$7,$E$5:SEY$5,12)</f>
        <v>0</v>
      </c>
      <c r="HO200" s="931"/>
      <c r="HP200" s="931"/>
      <c r="HR200" s="934" t="str">
        <f t="shared" si="982"/>
        <v/>
      </c>
      <c r="HS200" s="934" t="str">
        <f t="shared" si="983"/>
        <v/>
      </c>
      <c r="HT200" s="934" t="str">
        <f t="shared" si="984"/>
        <v/>
      </c>
      <c r="HU200" s="934" t="str">
        <f t="shared" si="985"/>
        <v/>
      </c>
      <c r="HV200" s="934" t="str">
        <f t="shared" si="986"/>
        <v/>
      </c>
      <c r="HW200" s="934" t="str">
        <f t="shared" si="987"/>
        <v/>
      </c>
      <c r="HX200" s="934" t="str">
        <f t="shared" si="988"/>
        <v/>
      </c>
      <c r="HY200" s="934" t="str">
        <f t="shared" si="988"/>
        <v/>
      </c>
      <c r="HZ200" s="934" t="str">
        <f t="shared" si="988"/>
        <v/>
      </c>
      <c r="IA200" s="934" t="str">
        <f t="shared" si="1036"/>
        <v/>
      </c>
      <c r="IB200" s="934" t="str">
        <f t="shared" si="989"/>
        <v/>
      </c>
      <c r="IC200" s="934" t="str">
        <f t="shared" si="1037"/>
        <v/>
      </c>
      <c r="IE200" s="931">
        <f t="shared" si="990"/>
        <v>0</v>
      </c>
      <c r="IF200" s="931">
        <f t="shared" si="991"/>
        <v>0</v>
      </c>
      <c r="IG200" s="931">
        <f t="shared" si="992"/>
        <v>0</v>
      </c>
      <c r="IH200" s="931">
        <f t="shared" si="993"/>
        <v>0</v>
      </c>
      <c r="II200" s="931">
        <f t="shared" ref="II200:II218" si="1045">+HJ200-HI200</f>
        <v>0</v>
      </c>
      <c r="IJ200" s="931">
        <f t="shared" ref="IJ200:IJ218" si="1046">+HK200-HJ200</f>
        <v>0</v>
      </c>
      <c r="IK200" s="931">
        <f t="shared" ref="IK200:IK218" si="1047">+HL200-HK200</f>
        <v>0</v>
      </c>
      <c r="IL200" s="931">
        <f t="shared" si="1038"/>
        <v>0</v>
      </c>
      <c r="IM200" s="931">
        <f t="shared" si="994"/>
        <v>0</v>
      </c>
      <c r="IN200" s="931">
        <f t="shared" si="1039"/>
        <v>0</v>
      </c>
      <c r="IP200" s="973"/>
      <c r="IQ200" s="973"/>
      <c r="IR200" s="973"/>
      <c r="IS200" s="973"/>
      <c r="IT200" s="973"/>
      <c r="IU200" s="973"/>
      <c r="IV200" s="973"/>
      <c r="IW200" s="973"/>
      <c r="IX200" s="973"/>
      <c r="IY200" s="973"/>
      <c r="JA200" s="931">
        <f t="shared" si="995"/>
        <v>0</v>
      </c>
      <c r="JB200" s="931">
        <f t="shared" si="995"/>
        <v>0</v>
      </c>
      <c r="JC200" s="931">
        <f t="shared" si="995"/>
        <v>0</v>
      </c>
      <c r="JD200" s="931">
        <f t="shared" si="995"/>
        <v>0</v>
      </c>
      <c r="JE200" s="931">
        <f t="shared" si="995"/>
        <v>0</v>
      </c>
      <c r="JF200" s="931">
        <f t="shared" si="995"/>
        <v>0</v>
      </c>
      <c r="JG200" s="931">
        <f t="shared" si="995"/>
        <v>0</v>
      </c>
      <c r="JH200" s="931">
        <f t="shared" si="995"/>
        <v>0</v>
      </c>
      <c r="JI200" s="931">
        <f t="shared" si="995"/>
        <v>0</v>
      </c>
      <c r="JJ200" s="931">
        <f t="shared" si="995"/>
        <v>0</v>
      </c>
      <c r="JK200" s="931">
        <f t="shared" si="995"/>
        <v>0</v>
      </c>
      <c r="JL200" s="931">
        <f t="shared" si="996"/>
        <v>0</v>
      </c>
      <c r="JM200" s="931"/>
      <c r="JN200" s="931"/>
      <c r="JP200" s="931">
        <f t="shared" si="997"/>
        <v>0</v>
      </c>
      <c r="JQ200" s="931">
        <f t="shared" si="998"/>
        <v>0</v>
      </c>
      <c r="JR200" s="145"/>
      <c r="JS200" s="934" t="str">
        <f t="shared" si="999"/>
        <v>NA</v>
      </c>
      <c r="JT200" s="935">
        <f t="shared" si="1000"/>
        <v>0</v>
      </c>
      <c r="JV200" s="973"/>
      <c r="JW200" s="973"/>
      <c r="JY200" s="934" t="str">
        <f t="shared" si="1023"/>
        <v/>
      </c>
      <c r="JZ200" s="934" t="str">
        <f t="shared" si="1024"/>
        <v/>
      </c>
      <c r="KA200" s="934" t="str">
        <f t="shared" si="1025"/>
        <v/>
      </c>
      <c r="KB200" s="934" t="str">
        <f t="shared" si="1026"/>
        <v/>
      </c>
      <c r="KC200" s="934" t="str">
        <f t="shared" si="1027"/>
        <v/>
      </c>
      <c r="KD200" s="934" t="str">
        <f t="shared" si="1028"/>
        <v/>
      </c>
      <c r="KE200" s="934" t="str">
        <f t="shared" si="1029"/>
        <v/>
      </c>
      <c r="KF200" s="934" t="str">
        <f t="shared" si="1030"/>
        <v/>
      </c>
      <c r="KH200" s="931">
        <f t="shared" si="1002"/>
        <v>0</v>
      </c>
      <c r="KI200" s="931">
        <f t="shared" si="1003"/>
        <v>0</v>
      </c>
      <c r="KJ200" s="931">
        <f t="shared" si="1004"/>
        <v>0</v>
      </c>
      <c r="KK200" s="931">
        <f t="shared" si="1005"/>
        <v>0</v>
      </c>
      <c r="KL200" s="931">
        <f t="shared" si="1006"/>
        <v>0</v>
      </c>
      <c r="KM200" s="931">
        <f t="shared" si="1007"/>
        <v>0</v>
      </c>
      <c r="KN200" s="931">
        <f t="shared" si="1008"/>
        <v>0</v>
      </c>
      <c r="KO200" s="931">
        <f t="shared" si="1009"/>
        <v>0</v>
      </c>
      <c r="KQ200" s="973"/>
      <c r="KR200" s="973"/>
      <c r="KS200" s="973"/>
      <c r="KT200" s="973"/>
      <c r="KU200" s="973"/>
      <c r="KV200" s="973"/>
      <c r="KW200" s="973"/>
      <c r="KX200" s="973"/>
      <c r="KY200" s="973"/>
      <c r="KZ200" s="973"/>
      <c r="LB200" s="931">
        <f t="shared" si="1010"/>
        <v>0</v>
      </c>
      <c r="LC200" s="931">
        <f t="shared" si="1010"/>
        <v>0</v>
      </c>
      <c r="LD200" s="931">
        <f t="shared" si="1010"/>
        <v>0</v>
      </c>
      <c r="LE200" s="931">
        <f t="shared" si="1010"/>
        <v>0</v>
      </c>
      <c r="LF200" s="931">
        <f t="shared" si="1010"/>
        <v>0</v>
      </c>
      <c r="LG200" s="931">
        <f t="shared" si="1010"/>
        <v>0</v>
      </c>
      <c r="LH200" s="931">
        <f t="shared" si="1010"/>
        <v>0</v>
      </c>
      <c r="LI200" s="931">
        <f t="shared" si="1010"/>
        <v>0</v>
      </c>
      <c r="LJ200" s="931">
        <f t="shared" si="1010"/>
        <v>0</v>
      </c>
      <c r="LK200" s="931">
        <f t="shared" si="1010"/>
        <v>0</v>
      </c>
      <c r="LL200" s="931">
        <f t="shared" si="1010"/>
        <v>0</v>
      </c>
      <c r="LM200" s="931">
        <f t="shared" si="1010"/>
        <v>0</v>
      </c>
      <c r="LN200" s="931"/>
      <c r="LO200" s="931"/>
      <c r="LR200" s="230" t="str">
        <f t="shared" si="1011"/>
        <v xml:space="preserve"> </v>
      </c>
      <c r="LS200" s="230" t="str">
        <f t="shared" si="1012"/>
        <v xml:space="preserve"> </v>
      </c>
      <c r="LT200" s="230" t="str">
        <f t="shared" si="1013"/>
        <v xml:space="preserve"> </v>
      </c>
      <c r="LU200" s="230" t="str">
        <f t="shared" si="1014"/>
        <v xml:space="preserve"> </v>
      </c>
      <c r="LV200" s="230" t="str">
        <f t="shared" si="1015"/>
        <v xml:space="preserve"> </v>
      </c>
      <c r="LW200" s="230" t="str">
        <f t="shared" si="1016"/>
        <v xml:space="preserve"> </v>
      </c>
      <c r="LX200" s="230" t="str">
        <f t="shared" si="963"/>
        <v xml:space="preserve"> </v>
      </c>
      <c r="LZ200" s="931">
        <f t="shared" si="1017"/>
        <v>0</v>
      </c>
      <c r="MA200" s="931">
        <f t="shared" si="1018"/>
        <v>0</v>
      </c>
      <c r="MB200" s="931">
        <f t="shared" si="1019"/>
        <v>0</v>
      </c>
      <c r="MC200" s="931">
        <f t="shared" si="1020"/>
        <v>0</v>
      </c>
      <c r="MD200" s="931">
        <f t="shared" si="1021"/>
        <v>0</v>
      </c>
      <c r="ME200" s="931">
        <f t="shared" si="1022"/>
        <v>0</v>
      </c>
      <c r="MF200" s="931">
        <f t="shared" si="964"/>
        <v>0</v>
      </c>
      <c r="MH200" s="973"/>
      <c r="MI200" s="973"/>
      <c r="MJ200" s="973"/>
      <c r="MK200" s="973"/>
      <c r="ML200" s="973"/>
      <c r="MM200" s="973"/>
      <c r="MN200" s="973"/>
      <c r="MO200" s="973"/>
      <c r="MP200" s="973"/>
    </row>
    <row r="201" spans="1:354" outlineLevel="1">
      <c r="A201" s="884"/>
      <c r="B201" s="70"/>
      <c r="E201" s="66"/>
      <c r="F201" s="66"/>
      <c r="G201" s="66"/>
      <c r="H201" s="66"/>
      <c r="I201" s="66"/>
      <c r="J201" s="66"/>
      <c r="K201" s="66"/>
      <c r="L201" s="66"/>
      <c r="M201" s="66"/>
      <c r="N201" s="66"/>
      <c r="O201" s="66"/>
      <c r="P201" s="66"/>
      <c r="Q201" s="102"/>
      <c r="R201" s="66"/>
      <c r="S201" s="66"/>
      <c r="T201" s="66"/>
      <c r="U201" s="66"/>
      <c r="V201" s="66"/>
      <c r="W201" s="66"/>
      <c r="X201" s="66"/>
      <c r="Y201" s="66"/>
      <c r="Z201" s="66"/>
      <c r="AA201" s="66"/>
      <c r="AB201" s="66"/>
      <c r="AC201" s="102"/>
      <c r="AD201" s="102"/>
      <c r="AE201" s="102"/>
      <c r="AF201" s="102"/>
      <c r="AG201" s="102"/>
      <c r="AH201" s="102"/>
      <c r="AI201" s="102"/>
      <c r="AJ201" s="102"/>
      <c r="AK201" s="102"/>
      <c r="AL201" s="102"/>
      <c r="AM201" s="102"/>
      <c r="AN201" s="102"/>
      <c r="AO201" s="102"/>
      <c r="AP201" s="145"/>
      <c r="AQ201" s="143"/>
      <c r="AR201" s="143"/>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940"/>
      <c r="DR201" s="940"/>
      <c r="DS201" s="940"/>
      <c r="DT201" s="940"/>
      <c r="DU201" s="940"/>
      <c r="DV201" s="940"/>
      <c r="DW201" s="940"/>
      <c r="DX201" s="940"/>
      <c r="DY201" s="940"/>
      <c r="DZ201" s="940"/>
      <c r="EA201" s="940"/>
      <c r="EB201" s="940"/>
      <c r="EC201" s="940"/>
      <c r="ED201" s="940"/>
      <c r="EE201" s="940"/>
      <c r="EF201" s="940"/>
      <c r="EH201" s="102"/>
      <c r="EI201" s="102"/>
      <c r="EJ201" s="102"/>
      <c r="EK201" s="102"/>
      <c r="EL201" s="102"/>
      <c r="EM201" s="102"/>
      <c r="EN201" s="102"/>
      <c r="EO201" s="102"/>
      <c r="EP201" s="102"/>
      <c r="EQ201" s="102"/>
      <c r="ER201" s="102"/>
      <c r="ES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D201" s="102"/>
      <c r="HE201" s="102"/>
      <c r="HF201" s="102"/>
      <c r="HG201" s="102"/>
      <c r="HH201" s="102"/>
      <c r="HI201" s="102"/>
      <c r="HJ201" s="102">
        <f t="shared" si="961"/>
        <v>0</v>
      </c>
      <c r="HK201" s="102">
        <f t="shared" si="962"/>
        <v>0</v>
      </c>
      <c r="HL201" s="940">
        <f>+SUMIFS($E201:SEW201,$E$6:SEW$6,HL$7,$E$5:SEW$5,12)</f>
        <v>0</v>
      </c>
      <c r="HM201" s="940">
        <f>+SUMIFS($E201:SEX201,$E$6:SEX$6,HM$7,$E$5:SEX$5,12)</f>
        <v>0</v>
      </c>
      <c r="HN201" s="940">
        <f>+SUMIFS($E201:SEY201,$E$6:SEY$6,HN$7,$E$5:SEY$5,12)</f>
        <v>0</v>
      </c>
      <c r="HO201" s="102"/>
      <c r="HP201" s="102"/>
      <c r="HR201" s="32"/>
      <c r="HS201" s="32"/>
      <c r="HT201" s="32"/>
      <c r="HU201" s="929"/>
      <c r="HV201" s="929"/>
      <c r="HW201" s="929"/>
      <c r="HX201" s="929"/>
      <c r="HY201" s="929"/>
      <c r="HZ201" s="929"/>
      <c r="IA201" s="929" t="str">
        <f t="shared" si="1036"/>
        <v/>
      </c>
      <c r="IB201" s="32"/>
      <c r="IC201" s="929" t="str">
        <f t="shared" si="1037"/>
        <v/>
      </c>
      <c r="IE201" s="102"/>
      <c r="IF201" s="102"/>
      <c r="IG201" s="102"/>
      <c r="IH201" s="102"/>
      <c r="II201" s="102">
        <f t="shared" si="1045"/>
        <v>0</v>
      </c>
      <c r="IJ201" s="102">
        <f t="shared" si="1046"/>
        <v>0</v>
      </c>
      <c r="IK201" s="102">
        <f t="shared" si="1047"/>
        <v>0</v>
      </c>
      <c r="IL201" s="102">
        <f t="shared" si="1038"/>
        <v>0</v>
      </c>
      <c r="IM201" s="102"/>
      <c r="IN201" s="102">
        <f t="shared" si="1039"/>
        <v>0</v>
      </c>
      <c r="IP201" s="1450"/>
      <c r="IQ201" s="1450"/>
      <c r="IR201" s="1450"/>
      <c r="IS201" s="1450"/>
      <c r="IT201" s="1450"/>
      <c r="IU201" s="1450"/>
      <c r="IV201" s="1450"/>
      <c r="IW201" s="1450"/>
      <c r="IX201" s="1450"/>
      <c r="IY201" s="1450"/>
      <c r="JA201" s="102"/>
      <c r="JB201" s="102"/>
      <c r="JC201" s="102"/>
      <c r="JD201" s="102"/>
      <c r="JE201" s="102"/>
      <c r="JF201" s="102"/>
      <c r="JG201" s="102"/>
      <c r="JH201" s="102"/>
      <c r="JI201" s="102"/>
      <c r="JJ201" s="102"/>
      <c r="JK201" s="102"/>
      <c r="JL201" s="102"/>
      <c r="JM201" s="102"/>
      <c r="JN201" s="102"/>
      <c r="JP201" s="102"/>
      <c r="JQ201" s="102"/>
      <c r="JR201" s="145"/>
      <c r="JS201" s="32"/>
      <c r="JT201" s="102"/>
      <c r="JY201" s="32"/>
      <c r="JZ201" s="32"/>
      <c r="KA201" s="32"/>
      <c r="KB201" s="32"/>
      <c r="KC201" s="32"/>
      <c r="KD201" s="32"/>
      <c r="KE201" s="32"/>
      <c r="KF201" s="32"/>
      <c r="KH201" s="102"/>
      <c r="KI201" s="102"/>
      <c r="KJ201" s="102"/>
      <c r="KK201" s="102"/>
      <c r="KL201" s="102"/>
      <c r="KM201" s="102"/>
      <c r="KN201" s="102"/>
      <c r="KO201" s="102"/>
      <c r="KQ201" s="1450"/>
      <c r="KR201" s="1450"/>
      <c r="KS201" s="1450"/>
      <c r="KT201" s="1450"/>
      <c r="KU201" s="1450"/>
      <c r="KV201" s="1450"/>
      <c r="KW201" s="1450"/>
      <c r="KX201" s="1450"/>
      <c r="KY201" s="1450"/>
      <c r="KZ201" s="1450"/>
      <c r="LB201" s="102"/>
      <c r="LC201" s="102"/>
      <c r="LD201" s="102"/>
      <c r="LE201" s="102"/>
      <c r="LF201" s="102"/>
      <c r="LG201" s="102"/>
      <c r="LH201" s="102"/>
      <c r="LI201" s="102"/>
      <c r="LJ201" s="102"/>
      <c r="LK201" s="102"/>
      <c r="LL201" s="102"/>
      <c r="LM201" s="102"/>
      <c r="LN201" s="102"/>
      <c r="LO201" s="102"/>
      <c r="LR201" s="32"/>
      <c r="LS201" s="32"/>
      <c r="LT201" s="32"/>
      <c r="LU201" s="32"/>
      <c r="LV201" s="32"/>
      <c r="LW201" s="32"/>
      <c r="LX201" s="32" t="str">
        <f t="shared" si="963"/>
        <v xml:space="preserve"> </v>
      </c>
      <c r="LZ201" s="102"/>
      <c r="MA201" s="102"/>
      <c r="MB201" s="102"/>
      <c r="MC201" s="102"/>
      <c r="MD201" s="102"/>
      <c r="ME201" s="102"/>
      <c r="MF201" s="102">
        <f t="shared" si="964"/>
        <v>0</v>
      </c>
      <c r="MH201" s="1450"/>
      <c r="MI201" s="1450"/>
      <c r="MJ201" s="1450"/>
      <c r="MK201" s="1450"/>
      <c r="ML201" s="1450"/>
      <c r="MM201" s="1450"/>
      <c r="MN201" s="1450"/>
      <c r="MO201" s="1450"/>
      <c r="MP201" s="1450"/>
    </row>
    <row r="202" spans="1:354">
      <c r="A202" s="884"/>
      <c r="B202" s="70"/>
      <c r="C202" s="1552" t="s">
        <v>753</v>
      </c>
      <c r="D202" s="1553"/>
      <c r="E202" s="1526">
        <f t="shared" ref="E202:BP202" si="1048">+E190+E168</f>
        <v>6054.7943562272003</v>
      </c>
      <c r="F202" s="1526">
        <f t="shared" si="1048"/>
        <v>5371.8071228941008</v>
      </c>
      <c r="G202" s="1526">
        <f t="shared" si="1048"/>
        <v>5883.6488603922999</v>
      </c>
      <c r="H202" s="1526">
        <f t="shared" si="1048"/>
        <v>5762.9056668141002</v>
      </c>
      <c r="I202" s="1526">
        <f t="shared" si="1048"/>
        <v>6485.0341073313011</v>
      </c>
      <c r="J202" s="1526">
        <f t="shared" si="1048"/>
        <v>6538.2853510246005</v>
      </c>
      <c r="K202" s="1526">
        <f t="shared" si="1048"/>
        <v>7006.1818189919995</v>
      </c>
      <c r="L202" s="1526">
        <f t="shared" si="1048"/>
        <v>7164.4942299403001</v>
      </c>
      <c r="M202" s="1526">
        <f t="shared" si="1048"/>
        <v>7229.7810720727011</v>
      </c>
      <c r="N202" s="1526">
        <f t="shared" si="1048"/>
        <v>6323.3494033790012</v>
      </c>
      <c r="O202" s="1526">
        <f t="shared" si="1048"/>
        <v>6962.4859564920989</v>
      </c>
      <c r="P202" s="1526">
        <f t="shared" si="1048"/>
        <v>8001.6645650699993</v>
      </c>
      <c r="Q202" s="1526">
        <f t="shared" si="1048"/>
        <v>7644.5202510402996</v>
      </c>
      <c r="R202" s="1526">
        <f t="shared" si="1048"/>
        <v>7431.4126990451005</v>
      </c>
      <c r="S202" s="1526">
        <f t="shared" si="1048"/>
        <v>6846.1284986683004</v>
      </c>
      <c r="T202" s="1526">
        <f t="shared" si="1048"/>
        <v>5394.7432266813012</v>
      </c>
      <c r="U202" s="1526">
        <f t="shared" si="1048"/>
        <v>6121.3882458779008</v>
      </c>
      <c r="V202" s="1526">
        <f t="shared" si="1048"/>
        <v>6263.178431556099</v>
      </c>
      <c r="W202" s="1526">
        <f t="shared" si="1048"/>
        <v>5584.7255682076975</v>
      </c>
      <c r="X202" s="1526">
        <f t="shared" si="1048"/>
        <v>6149.0525989173011</v>
      </c>
      <c r="Y202" s="1526">
        <f t="shared" si="1048"/>
        <v>5253.7412547461017</v>
      </c>
      <c r="Z202" s="1526">
        <f t="shared" si="1048"/>
        <v>5562.4190905370997</v>
      </c>
      <c r="AA202" s="1526">
        <f t="shared" si="1048"/>
        <v>6916.0445541113004</v>
      </c>
      <c r="AB202" s="1526">
        <f t="shared" si="1048"/>
        <v>8789.7131921700002</v>
      </c>
      <c r="AC202" s="1526">
        <f t="shared" si="1048"/>
        <v>7634.6875978700009</v>
      </c>
      <c r="AD202" s="1526">
        <f t="shared" si="1048"/>
        <v>7864.6406997199992</v>
      </c>
      <c r="AE202" s="1526">
        <f t="shared" si="1048"/>
        <v>11958.321794632</v>
      </c>
      <c r="AF202" s="1526">
        <f t="shared" si="1048"/>
        <v>8794.5137202599981</v>
      </c>
      <c r="AG202" s="1526">
        <f t="shared" si="1048"/>
        <v>9194.9242025900003</v>
      </c>
      <c r="AH202" s="1526">
        <f t="shared" si="1048"/>
        <v>8932.3056285137991</v>
      </c>
      <c r="AI202" s="1526">
        <f t="shared" si="1048"/>
        <v>8723.9990179200013</v>
      </c>
      <c r="AJ202" s="1526">
        <f t="shared" si="1048"/>
        <v>10194.872261550001</v>
      </c>
      <c r="AK202" s="1526">
        <f t="shared" si="1048"/>
        <v>10229.48697444</v>
      </c>
      <c r="AL202" s="1526">
        <f t="shared" si="1048"/>
        <v>11396.287981850001</v>
      </c>
      <c r="AM202" s="1526">
        <f t="shared" si="1048"/>
        <v>15873.280150260001</v>
      </c>
      <c r="AN202" s="1526">
        <f t="shared" si="1048"/>
        <v>15685.420615870002</v>
      </c>
      <c r="AO202" s="1526">
        <f t="shared" si="1048"/>
        <v>13423.88557672</v>
      </c>
      <c r="AP202" s="1526">
        <f t="shared" si="1048"/>
        <v>17027.393607829996</v>
      </c>
      <c r="AQ202" s="1526">
        <f t="shared" si="1048"/>
        <v>14339.220584589999</v>
      </c>
      <c r="AR202" s="1526">
        <f t="shared" si="1048"/>
        <v>11109.40089701</v>
      </c>
      <c r="AS202" s="1526">
        <f t="shared" si="1048"/>
        <v>11649.657783119997</v>
      </c>
      <c r="AT202" s="1526">
        <f t="shared" si="1048"/>
        <v>12751.329407009998</v>
      </c>
      <c r="AU202" s="1526">
        <f t="shared" si="1048"/>
        <v>12345.753323609999</v>
      </c>
      <c r="AV202" s="1526">
        <f t="shared" si="1048"/>
        <v>12357.51796506</v>
      </c>
      <c r="AW202" s="1526">
        <f t="shared" si="1048"/>
        <v>12525.710436600002</v>
      </c>
      <c r="AX202" s="1526">
        <f t="shared" si="1048"/>
        <v>14661.696528879998</v>
      </c>
      <c r="AY202" s="1526">
        <f t="shared" si="1048"/>
        <v>14537.705434769998</v>
      </c>
      <c r="AZ202" s="1526">
        <f t="shared" si="1048"/>
        <v>14230.42259029</v>
      </c>
      <c r="BA202" s="1526">
        <f t="shared" si="1048"/>
        <v>13275.71718998</v>
      </c>
      <c r="BB202" s="1526">
        <f t="shared" si="1048"/>
        <v>13196.862414359997</v>
      </c>
      <c r="BC202" s="1526">
        <f t="shared" si="1048"/>
        <v>12791.399842340001</v>
      </c>
      <c r="BD202" s="1526">
        <f t="shared" si="1048"/>
        <v>11962.695064850002</v>
      </c>
      <c r="BE202" s="1526">
        <f t="shared" si="1048"/>
        <v>11736.467476149999</v>
      </c>
      <c r="BF202" s="1526">
        <f t="shared" si="1048"/>
        <v>12144.029851369998</v>
      </c>
      <c r="BG202" s="1526">
        <f t="shared" si="1048"/>
        <v>12433.6284672</v>
      </c>
      <c r="BH202" s="1526">
        <f t="shared" si="1048"/>
        <v>11641.229615949998</v>
      </c>
      <c r="BI202" s="1526">
        <f t="shared" si="1048"/>
        <v>11623.10141347</v>
      </c>
      <c r="BJ202" s="1526">
        <f t="shared" si="1048"/>
        <v>11822.700989710002</v>
      </c>
      <c r="BK202" s="1526">
        <f t="shared" si="1048"/>
        <v>11571.794235689998</v>
      </c>
      <c r="BL202" s="1526">
        <f t="shared" si="1048"/>
        <v>11777.071230910002</v>
      </c>
      <c r="BM202" s="1526">
        <f t="shared" si="1048"/>
        <v>12245.032052710001</v>
      </c>
      <c r="BN202" s="1526">
        <f t="shared" si="1048"/>
        <v>12079.28164191</v>
      </c>
      <c r="BO202" s="1526">
        <f t="shared" si="1048"/>
        <v>12206.460921819998</v>
      </c>
      <c r="BP202" s="1526">
        <f t="shared" si="1048"/>
        <v>12267.149285279998</v>
      </c>
      <c r="BQ202" s="1526">
        <f t="shared" ref="BQ202:EB202" si="1049">+BQ190+BQ168</f>
        <v>11851.42870911</v>
      </c>
      <c r="BR202" s="1526">
        <f t="shared" si="1049"/>
        <v>11716.058086579998</v>
      </c>
      <c r="BS202" s="1526">
        <f t="shared" si="1049"/>
        <v>11754.82373822</v>
      </c>
      <c r="BT202" s="1526">
        <f t="shared" si="1049"/>
        <v>11680.768681739999</v>
      </c>
      <c r="BU202" s="1526">
        <f t="shared" si="1049"/>
        <v>11430.99160865</v>
      </c>
      <c r="BV202" s="1526">
        <f t="shared" si="1049"/>
        <v>11596.375968549999</v>
      </c>
      <c r="BW202" s="1526">
        <f t="shared" si="1049"/>
        <v>11382.670605250001</v>
      </c>
      <c r="BX202" s="1526">
        <f t="shared" si="1049"/>
        <v>10929.13352924</v>
      </c>
      <c r="BY202" s="1526">
        <f t="shared" si="1049"/>
        <v>10995.81173612</v>
      </c>
      <c r="BZ202" s="1526">
        <f t="shared" si="1049"/>
        <v>10868.42291707</v>
      </c>
      <c r="CA202" s="1526">
        <f t="shared" si="1049"/>
        <v>10940.153951419999</v>
      </c>
      <c r="CB202" s="1526">
        <f t="shared" si="1049"/>
        <v>10576.74710594</v>
      </c>
      <c r="CC202" s="1526">
        <f t="shared" si="1049"/>
        <v>10102.283796580003</v>
      </c>
      <c r="CD202" s="1526">
        <f t="shared" si="1049"/>
        <v>10174.19685181</v>
      </c>
      <c r="CE202" s="1526">
        <f t="shared" si="1049"/>
        <v>9921.1175478700006</v>
      </c>
      <c r="CF202" s="1526">
        <f t="shared" si="1049"/>
        <v>9610.9538461899992</v>
      </c>
      <c r="CG202" s="1526">
        <f t="shared" si="1049"/>
        <v>9834.9113761700009</v>
      </c>
      <c r="CH202" s="1526">
        <f t="shared" si="1049"/>
        <v>10364.098950059997</v>
      </c>
      <c r="CI202" s="1526">
        <f t="shared" si="1049"/>
        <v>10588.627755019999</v>
      </c>
      <c r="CJ202" s="1526">
        <f t="shared" si="1049"/>
        <v>10744.2695109</v>
      </c>
      <c r="CK202" s="1526">
        <f t="shared" si="1049"/>
        <v>11035.889138220002</v>
      </c>
      <c r="CL202" s="1526">
        <f t="shared" si="1049"/>
        <v>11031.084413279999</v>
      </c>
      <c r="CM202" s="1526">
        <f t="shared" si="1049"/>
        <v>11015.111884640002</v>
      </c>
      <c r="CN202" s="1526">
        <f t="shared" si="1049"/>
        <v>11192.333874970001</v>
      </c>
      <c r="CO202" s="1526">
        <f t="shared" si="1049"/>
        <v>10899.083497040001</v>
      </c>
      <c r="CP202" s="1526">
        <f t="shared" si="1049"/>
        <v>10934.195035160001</v>
      </c>
      <c r="CQ202" s="1526">
        <f t="shared" si="1049"/>
        <v>10680.067428670001</v>
      </c>
      <c r="CR202" s="1526">
        <f t="shared" si="1049"/>
        <v>11064.94253923</v>
      </c>
      <c r="CS202" s="1526">
        <f t="shared" si="1049"/>
        <v>10961.625238890001</v>
      </c>
      <c r="CT202" s="1526">
        <f t="shared" si="1049"/>
        <v>11607.448094409998</v>
      </c>
      <c r="CU202" s="1526">
        <f t="shared" si="1049"/>
        <v>11364.440285489998</v>
      </c>
      <c r="CV202" s="1526">
        <f t="shared" si="1049"/>
        <v>11842.704123809999</v>
      </c>
      <c r="CW202" s="1526">
        <f t="shared" si="1049"/>
        <v>11528.353375279999</v>
      </c>
      <c r="CX202" s="1526">
        <f t="shared" si="1049"/>
        <v>11566.297644569999</v>
      </c>
      <c r="CY202" s="1526">
        <f t="shared" si="1049"/>
        <v>12157.437937749999</v>
      </c>
      <c r="CZ202" s="1526">
        <f t="shared" si="1049"/>
        <v>11245.965983260001</v>
      </c>
      <c r="DA202" s="1526">
        <f t="shared" si="1049"/>
        <v>9913.3249279800002</v>
      </c>
      <c r="DB202" s="1526">
        <f t="shared" si="1049"/>
        <v>8483.1939335099996</v>
      </c>
      <c r="DC202" s="1526">
        <f t="shared" si="1049"/>
        <v>8386.6054943800009</v>
      </c>
      <c r="DD202" s="1526">
        <f t="shared" si="1049"/>
        <v>8654.1213367300006</v>
      </c>
      <c r="DE202" s="1526">
        <f t="shared" si="1049"/>
        <v>9085.5116928800016</v>
      </c>
      <c r="DF202" s="1526">
        <f t="shared" si="1049"/>
        <v>9182.00838243</v>
      </c>
      <c r="DG202" s="1526">
        <f t="shared" si="1049"/>
        <v>9316.355667509999</v>
      </c>
      <c r="DH202" s="1526">
        <f t="shared" si="1049"/>
        <v>9507.2488007099982</v>
      </c>
      <c r="DI202" s="1526">
        <f t="shared" si="1049"/>
        <v>9289.0609850299988</v>
      </c>
      <c r="DJ202" s="1526">
        <f t="shared" si="1049"/>
        <v>8964.4477821100008</v>
      </c>
      <c r="DK202" s="1526">
        <f t="shared" si="1049"/>
        <v>8627.5520890800017</v>
      </c>
      <c r="DL202" s="1526">
        <f t="shared" si="1049"/>
        <v>8953.5255252400002</v>
      </c>
      <c r="DM202" s="1526">
        <f t="shared" si="1049"/>
        <v>8945.93308153</v>
      </c>
      <c r="DN202" s="1526">
        <f t="shared" si="1049"/>
        <v>8916.1144071800009</v>
      </c>
      <c r="DO202" s="1526">
        <f t="shared" si="1049"/>
        <v>8953.7643373899991</v>
      </c>
      <c r="DP202" s="1526">
        <f t="shared" si="1049"/>
        <v>8938.97956634</v>
      </c>
      <c r="DQ202" s="1527">
        <f t="shared" si="1049"/>
        <v>8636.5389195599982</v>
      </c>
      <c r="DR202" s="1527">
        <f t="shared" si="1049"/>
        <v>8845.3691168400001</v>
      </c>
      <c r="DS202" s="1527">
        <f t="shared" si="1049"/>
        <v>8867.2223127299985</v>
      </c>
      <c r="DT202" s="1527">
        <f t="shared" si="1049"/>
        <v>9399.0712009700019</v>
      </c>
      <c r="DU202" s="1527">
        <f t="shared" si="1049"/>
        <v>9932.59792285</v>
      </c>
      <c r="DV202" s="1527">
        <f t="shared" si="1049"/>
        <v>9876.4264017499991</v>
      </c>
      <c r="DW202" s="1527">
        <f t="shared" si="1049"/>
        <v>9410.4753121400008</v>
      </c>
      <c r="DX202" s="1527">
        <f t="shared" si="1049"/>
        <v>9893.6239233899996</v>
      </c>
      <c r="DY202" s="1527">
        <f t="shared" si="1049"/>
        <v>9881.7577382199997</v>
      </c>
      <c r="DZ202" s="1527">
        <f t="shared" si="1049"/>
        <v>10459.296783400001</v>
      </c>
      <c r="EA202" s="1527">
        <f t="shared" si="1049"/>
        <v>10166.57621445</v>
      </c>
      <c r="EB202" s="1527">
        <f t="shared" si="1049"/>
        <v>10982.94882716</v>
      </c>
      <c r="EC202" s="1527">
        <f>+EC190+EC168</f>
        <v>11936.044956150001</v>
      </c>
      <c r="ED202" s="1527">
        <f t="shared" ref="ED202:EE202" si="1050">+ED190+ED168</f>
        <v>12795.532769070001</v>
      </c>
      <c r="EE202" s="1527">
        <f t="shared" si="1050"/>
        <v>14374.53552677</v>
      </c>
      <c r="EF202" s="1527">
        <f>+EF190+EF168</f>
        <v>15785.317203229999</v>
      </c>
      <c r="EH202" s="1526" t="e">
        <f t="shared" ref="EH202:ES202" si="1051">+EH190+EH168</f>
        <v>#VALUE!</v>
      </c>
      <c r="EI202" s="1526" t="e">
        <f t="shared" si="1051"/>
        <v>#VALUE!</v>
      </c>
      <c r="EJ202" s="1526" t="e">
        <f t="shared" si="1051"/>
        <v>#VALUE!</v>
      </c>
      <c r="EK202" s="1526" t="e">
        <f t="shared" si="1051"/>
        <v>#VALUE!</v>
      </c>
      <c r="EL202" s="1526" t="e">
        <f t="shared" si="1051"/>
        <v>#VALUE!</v>
      </c>
      <c r="EM202" s="1526" t="e">
        <f t="shared" si="1051"/>
        <v>#VALUE!</v>
      </c>
      <c r="EN202" s="1526" t="e">
        <f t="shared" si="1051"/>
        <v>#VALUE!</v>
      </c>
      <c r="EO202" s="1526" t="e">
        <f t="shared" si="1051"/>
        <v>#VALUE!</v>
      </c>
      <c r="EP202" s="1526" t="e">
        <f t="shared" si="1051"/>
        <v>#VALUE!</v>
      </c>
      <c r="EQ202" s="1526" t="e">
        <f t="shared" si="1051"/>
        <v>#VALUE!</v>
      </c>
      <c r="ER202" s="1526" t="e">
        <f t="shared" si="1051"/>
        <v>#VALUE!</v>
      </c>
      <c r="ES202" s="1526" t="e">
        <f t="shared" si="1051"/>
        <v>#VALUE!</v>
      </c>
      <c r="ET202" s="279"/>
      <c r="EU202" s="1526">
        <f t="shared" ref="EU202:FZ202" si="1052">+EU190+EU168</f>
        <v>11731.876715098802</v>
      </c>
      <c r="EV202" s="1526">
        <f t="shared" si="1052"/>
        <v>14197.797240089927</v>
      </c>
      <c r="EW202" s="1526">
        <f t="shared" si="1052"/>
        <v>13910.786587722972</v>
      </c>
      <c r="EX202" s="1526">
        <f t="shared" si="1052"/>
        <v>9580.4051421568602</v>
      </c>
      <c r="EY202" s="1526">
        <f t="shared" si="1052"/>
        <v>9406.156409045725</v>
      </c>
      <c r="EZ202" s="1526">
        <f t="shared" si="1052"/>
        <v>9714.1918428428871</v>
      </c>
      <c r="FA202" s="1526">
        <f t="shared" si="1052"/>
        <v>9825.8735625538884</v>
      </c>
      <c r="FB202" s="1526">
        <f t="shared" si="1052"/>
        <v>11098.251933476295</v>
      </c>
      <c r="FC202" s="1526">
        <f t="shared" si="1052"/>
        <v>11257.84166931274</v>
      </c>
      <c r="FD202" s="1526">
        <f t="shared" si="1052"/>
        <v>12357.323993494716</v>
      </c>
      <c r="FE202" s="1526">
        <f t="shared" si="1052"/>
        <v>12145.132196704948</v>
      </c>
      <c r="FF202" s="1526">
        <f t="shared" si="1052"/>
        <v>13613.007352956876</v>
      </c>
      <c r="FG202" s="1526">
        <f t="shared" si="1052"/>
        <v>13894.048806111648</v>
      </c>
      <c r="FH202" s="1526">
        <f t="shared" si="1052"/>
        <v>13340.012406860447</v>
      </c>
      <c r="FI202" s="1526">
        <f t="shared" si="1052"/>
        <v>12581.936631163608</v>
      </c>
      <c r="FJ202" s="1526">
        <f t="shared" si="1052"/>
        <v>14218.854195356853</v>
      </c>
      <c r="FK202" s="1526">
        <f t="shared" si="1052"/>
        <v>13872.906882610441</v>
      </c>
      <c r="FL202" s="1526">
        <f t="shared" si="1052"/>
        <v>13744.631208186647</v>
      </c>
      <c r="FM202" s="1526">
        <f t="shared" si="1052"/>
        <v>13453.06307957798</v>
      </c>
      <c r="FN202" s="1526">
        <f t="shared" si="1052"/>
        <v>13529.369636293224</v>
      </c>
      <c r="FO202" s="1526">
        <f t="shared" si="1052"/>
        <v>13674.739198028707</v>
      </c>
      <c r="FP202" s="1526">
        <f t="shared" si="1052"/>
        <v>13816.623613714026</v>
      </c>
      <c r="FQ202" s="1526">
        <f t="shared" si="1052"/>
        <v>13742.824915954425</v>
      </c>
      <c r="FR202" s="1526">
        <f t="shared" si="1052"/>
        <v>13365.844978532896</v>
      </c>
      <c r="FS202" s="1526">
        <f t="shared" si="1052"/>
        <v>11662.506471605739</v>
      </c>
      <c r="FT202" s="1526">
        <f t="shared" si="1052"/>
        <v>11713.457859597042</v>
      </c>
      <c r="FU202" s="1526">
        <f t="shared" si="1052"/>
        <v>11923.564935034721</v>
      </c>
      <c r="FV202" s="1526">
        <f t="shared" si="1052"/>
        <v>11897.438608873797</v>
      </c>
      <c r="FW202" s="1526">
        <f t="shared" si="1052"/>
        <v>12098.206881765858</v>
      </c>
      <c r="FX202" s="1526">
        <f t="shared" si="1052"/>
        <v>12188.93468966111</v>
      </c>
      <c r="FY202" s="1526">
        <f t="shared" si="1052"/>
        <v>12392.359719042895</v>
      </c>
      <c r="FZ202" s="1526">
        <f t="shared" si="1052"/>
        <v>12331.847617535252</v>
      </c>
      <c r="GA202" s="1526">
        <f t="shared" ref="GA202:HB202" si="1053">+GA190+GA168</f>
        <v>12194.630120743588</v>
      </c>
      <c r="GB202" s="1526">
        <f t="shared" si="1053"/>
        <v>12084.228704757308</v>
      </c>
      <c r="GC202" s="1526">
        <f t="shared" si="1053"/>
        <v>12055.203830468576</v>
      </c>
      <c r="GD202" s="1526">
        <f t="shared" si="1053"/>
        <v>12022.248187467492</v>
      </c>
      <c r="GE202" s="1526" t="e">
        <f t="shared" si="1053"/>
        <v>#VALUE!</v>
      </c>
      <c r="GF202" s="1526" t="e">
        <f t="shared" si="1053"/>
        <v>#VALUE!</v>
      </c>
      <c r="GG202" s="1526" t="e">
        <f t="shared" si="1053"/>
        <v>#VALUE!</v>
      </c>
      <c r="GH202" s="1526" t="e">
        <f t="shared" si="1053"/>
        <v>#VALUE!</v>
      </c>
      <c r="GI202" s="1526" t="e">
        <f t="shared" si="1053"/>
        <v>#VALUE!</v>
      </c>
      <c r="GJ202" s="1526" t="e">
        <f t="shared" si="1053"/>
        <v>#VALUE!</v>
      </c>
      <c r="GK202" s="1526" t="e">
        <f t="shared" si="1053"/>
        <v>#VALUE!</v>
      </c>
      <c r="GL202" s="1526" t="e">
        <f t="shared" si="1053"/>
        <v>#VALUE!</v>
      </c>
      <c r="GM202" s="1526" t="e">
        <f t="shared" si="1053"/>
        <v>#VALUE!</v>
      </c>
      <c r="GN202" s="1526" t="e">
        <f t="shared" si="1053"/>
        <v>#VALUE!</v>
      </c>
      <c r="GO202" s="1526" t="e">
        <f t="shared" si="1053"/>
        <v>#VALUE!</v>
      </c>
      <c r="GP202" s="1526" t="e">
        <f t="shared" si="1053"/>
        <v>#VALUE!</v>
      </c>
      <c r="GQ202" s="1526" t="e">
        <f t="shared" si="1053"/>
        <v>#VALUE!</v>
      </c>
      <c r="GR202" s="1526" t="e">
        <f t="shared" si="1053"/>
        <v>#VALUE!</v>
      </c>
      <c r="GS202" s="1526" t="e">
        <f t="shared" si="1053"/>
        <v>#VALUE!</v>
      </c>
      <c r="GT202" s="1526" t="e">
        <f t="shared" si="1053"/>
        <v>#VALUE!</v>
      </c>
      <c r="GU202" s="1526" t="e">
        <f t="shared" si="1053"/>
        <v>#VALUE!</v>
      </c>
      <c r="GV202" s="1526" t="e">
        <f t="shared" si="1053"/>
        <v>#VALUE!</v>
      </c>
      <c r="GW202" s="1526" t="e">
        <f t="shared" si="1053"/>
        <v>#VALUE!</v>
      </c>
      <c r="GX202" s="1526" t="e">
        <f t="shared" si="1053"/>
        <v>#VALUE!</v>
      </c>
      <c r="GY202" s="1526" t="e">
        <f t="shared" si="1053"/>
        <v>#VALUE!</v>
      </c>
      <c r="GZ202" s="1526" t="e">
        <f t="shared" si="1053"/>
        <v>#VALUE!</v>
      </c>
      <c r="HA202" s="1526" t="e">
        <f t="shared" si="1053"/>
        <v>#VALUE!</v>
      </c>
      <c r="HB202" s="1526" t="e">
        <f t="shared" si="1053"/>
        <v>#VALUE!</v>
      </c>
      <c r="HD202" s="1526">
        <f>+SUMIFS($E202:$AZ202,$E$6:$AZ$6,HD$7,$E$5:$AZ$5,12)</f>
        <v>8001.6645650699993</v>
      </c>
      <c r="HE202" s="1526">
        <f>+SUMIFS($E202:$AZ202,$E$6:$AZ$6,HE$7,$E$5:$AZ$5,12)</f>
        <v>8789.7131921700002</v>
      </c>
      <c r="HF202" s="1526">
        <f>+SUMIFS($E202:$AZ202,$E$6:$AZ$6,HF$7,$E$5:$AZ$5,12)</f>
        <v>15685.420615870002</v>
      </c>
      <c r="HG202" s="1526">
        <f>+SUMIFS($E202:$AZ202,$E$6:$AZ$6,HG$7,$E$5:$AZ$5,12)</f>
        <v>14230.42259029</v>
      </c>
      <c r="HH202" s="1526">
        <f>+SUMIFS($E202:$BL202,$E$6:$BL$6,HH$7,$E$5:$BL$5,12)</f>
        <v>11777.071230910002</v>
      </c>
      <c r="HI202" s="1526">
        <f>+SUMIFS($E202:$BX202,$E$6:$BX$6,HI$7,$E$5:$BX$5,12)</f>
        <v>10929.13352924</v>
      </c>
      <c r="HJ202" s="1526">
        <f t="shared" si="961"/>
        <v>10744.2695109</v>
      </c>
      <c r="HK202" s="1526">
        <f t="shared" si="962"/>
        <v>11842.704123809999</v>
      </c>
      <c r="HL202" s="1527">
        <f>+SUMIFS($E202:SEW202,$E$6:SEW$6,HL$7,$E$5:SEW$5,12)</f>
        <v>9507.2488007099982</v>
      </c>
      <c r="HM202" s="1527">
        <f>+SUMIFS($E202:SEX202,$E$6:SEX$6,HM$7,$E$5:SEX$5,12)</f>
        <v>9399.0712009700019</v>
      </c>
      <c r="HN202" s="1527">
        <f>+SUMIFS($E202:SEY202,$E$6:SEY$6,HN$7,$E$5:SEY$5,12)</f>
        <v>15785.317203229999</v>
      </c>
      <c r="HO202" s="1526"/>
      <c r="HP202" s="1526"/>
      <c r="HR202" s="1528">
        <f t="shared" ref="HR202:HZ202" si="1054">+IFERROR(HF202/HE202-1,"")</f>
        <v>0.78452018546438973</v>
      </c>
      <c r="HS202" s="1528">
        <f t="shared" si="1054"/>
        <v>-9.2761173653697404E-2</v>
      </c>
      <c r="HT202" s="1528">
        <f t="shared" si="1054"/>
        <v>-0.17240186254581225</v>
      </c>
      <c r="HU202" s="1528">
        <f t="shared" si="1054"/>
        <v>-7.1999029728589181E-2</v>
      </c>
      <c r="HV202" s="1528">
        <f t="shared" si="1054"/>
        <v>-1.6914791812673191E-2</v>
      </c>
      <c r="HW202" s="1528">
        <f t="shared" si="1054"/>
        <v>0.10223446198884378</v>
      </c>
      <c r="HX202" s="1528">
        <f t="shared" si="1054"/>
        <v>-0.19720625447396933</v>
      </c>
      <c r="HY202" s="1528">
        <f t="shared" si="1054"/>
        <v>-1.1378433657055154E-2</v>
      </c>
      <c r="HZ202" s="1528">
        <f t="shared" si="1054"/>
        <v>0.6794550084481672</v>
      </c>
      <c r="IA202" s="1528">
        <f t="shared" si="1036"/>
        <v>-1</v>
      </c>
      <c r="IB202" s="1528" t="str">
        <f>+IFERROR(HP202/HO202-1,"")</f>
        <v/>
      </c>
      <c r="IC202" s="1528">
        <f t="shared" si="1037"/>
        <v>-1</v>
      </c>
      <c r="IE202" s="1526">
        <f>+HF202-HE202</f>
        <v>6895.7074237000015</v>
      </c>
      <c r="IF202" s="1526">
        <f>+HG202-HF202</f>
        <v>-1454.9980255800019</v>
      </c>
      <c r="IG202" s="1526">
        <f>+HH202-HG202</f>
        <v>-2453.351359379998</v>
      </c>
      <c r="IH202" s="1526">
        <f>+HI202-HH202</f>
        <v>-847.93770167000184</v>
      </c>
      <c r="II202" s="1526">
        <f t="shared" si="1045"/>
        <v>-184.86401834000026</v>
      </c>
      <c r="IJ202" s="1526">
        <f t="shared" si="1046"/>
        <v>1098.4346129099995</v>
      </c>
      <c r="IK202" s="1526">
        <f t="shared" si="1047"/>
        <v>-2335.4553231000009</v>
      </c>
      <c r="IL202" s="1526">
        <f t="shared" si="1038"/>
        <v>-9507.2488007099982</v>
      </c>
      <c r="IM202" s="1526">
        <f>+HP202-HO202</f>
        <v>0</v>
      </c>
      <c r="IN202" s="1526">
        <f t="shared" si="1039"/>
        <v>-9507.2488007099982</v>
      </c>
      <c r="IP202" s="1548"/>
      <c r="IQ202" s="1548"/>
      <c r="IR202" s="1548"/>
      <c r="IS202" s="1548"/>
      <c r="IT202" s="1548"/>
      <c r="IU202" s="1548"/>
      <c r="IV202" s="1548"/>
      <c r="IW202" s="1548"/>
      <c r="IX202" s="1548"/>
      <c r="IY202" s="1548"/>
      <c r="JA202" s="1526">
        <f t="shared" ref="JA202:JK202" si="1055">+IFERROR(SUMIFS($E202:$EG202,$E$6:$EG$6,JA$7,$E$5:$EG$5,$JC$5),"NA")</f>
        <v>8001.6645650699993</v>
      </c>
      <c r="JB202" s="1526">
        <f t="shared" si="1055"/>
        <v>8789.7131921700002</v>
      </c>
      <c r="JC202" s="1526">
        <f t="shared" si="1055"/>
        <v>15685.420615870002</v>
      </c>
      <c r="JD202" s="1526">
        <f t="shared" si="1055"/>
        <v>14230.42259029</v>
      </c>
      <c r="JE202" s="1526">
        <f t="shared" si="1055"/>
        <v>11777.071230910002</v>
      </c>
      <c r="JF202" s="1526">
        <f t="shared" si="1055"/>
        <v>10929.13352924</v>
      </c>
      <c r="JG202" s="1526">
        <f t="shared" si="1055"/>
        <v>10744.2695109</v>
      </c>
      <c r="JH202" s="1526">
        <f t="shared" si="1055"/>
        <v>11842.704123809999</v>
      </c>
      <c r="JI202" s="1526">
        <f t="shared" si="1055"/>
        <v>9507.2488007099982</v>
      </c>
      <c r="JJ202" s="1526">
        <f t="shared" si="1055"/>
        <v>9399.0712009700019</v>
      </c>
      <c r="JK202" s="1526">
        <f t="shared" si="1055"/>
        <v>15785.317203229999</v>
      </c>
      <c r="JL202" s="1526">
        <f t="shared" ref="JL202" si="1056">+IFERROR(SUMIFS($E202:$EF202,$E$6:$EF$6,JL$7,$E$5:$EF$5,$JC$5),"NA")</f>
        <v>15785.317203229999</v>
      </c>
      <c r="JM202" s="1526"/>
      <c r="JN202" s="1526"/>
      <c r="JP202" s="1526">
        <f>+JN202</f>
        <v>0</v>
      </c>
      <c r="JQ202" s="1526">
        <f>+JM202</f>
        <v>0</v>
      </c>
      <c r="JR202" s="939"/>
      <c r="JS202" s="1528" t="str">
        <f>+IFERROR(JP202/JQ202,"NA")</f>
        <v>NA</v>
      </c>
      <c r="JT202" s="1530">
        <f>+IFERROR(JP202-JQ202,"NA")</f>
        <v>0</v>
      </c>
      <c r="JV202" s="973"/>
      <c r="JW202" s="973"/>
      <c r="JY202" s="1529">
        <f t="shared" ref="JY202:KE202" si="1057">+IFERROR(JC202/JB202-1,"NA")</f>
        <v>0.78452018546438973</v>
      </c>
      <c r="JZ202" s="1529">
        <f t="shared" si="1057"/>
        <v>-9.2761173653697404E-2</v>
      </c>
      <c r="KA202" s="1529">
        <f t="shared" si="1057"/>
        <v>-0.17240186254581225</v>
      </c>
      <c r="KB202" s="1529">
        <f t="shared" si="1057"/>
        <v>-7.1999029728589181E-2</v>
      </c>
      <c r="KC202" s="1529">
        <f t="shared" si="1057"/>
        <v>-1.6914791812673191E-2</v>
      </c>
      <c r="KD202" s="1529">
        <f t="shared" si="1057"/>
        <v>0.10223446198884378</v>
      </c>
      <c r="KE202" s="1529">
        <f t="shared" si="1057"/>
        <v>-0.19720625447396933</v>
      </c>
      <c r="KF202" s="1529">
        <f>+IFERROR(JN202/JI202-1,"NA")</f>
        <v>-1</v>
      </c>
      <c r="KH202" s="1526">
        <f t="shared" ref="KH202:KN202" si="1058">+JC202-JB202</f>
        <v>6895.7074237000015</v>
      </c>
      <c r="KI202" s="1526">
        <f t="shared" si="1058"/>
        <v>-1454.9980255800019</v>
      </c>
      <c r="KJ202" s="1526">
        <f t="shared" si="1058"/>
        <v>-2453.351359379998</v>
      </c>
      <c r="KK202" s="1526">
        <f t="shared" si="1058"/>
        <v>-847.93770167000184</v>
      </c>
      <c r="KL202" s="1526">
        <f t="shared" si="1058"/>
        <v>-184.86401834000026</v>
      </c>
      <c r="KM202" s="1526">
        <f t="shared" si="1058"/>
        <v>1098.4346129099995</v>
      </c>
      <c r="KN202" s="1526">
        <f t="shared" si="1058"/>
        <v>-2335.4553231000009</v>
      </c>
      <c r="KO202" s="1526">
        <f>+JN202-JI202</f>
        <v>-9507.2488007099982</v>
      </c>
      <c r="KQ202" s="1548"/>
      <c r="KR202" s="1548"/>
      <c r="KS202" s="1548"/>
      <c r="KT202" s="1548"/>
      <c r="KU202" s="1548"/>
      <c r="KV202" s="1548"/>
      <c r="KW202" s="1548"/>
      <c r="KX202" s="1548"/>
      <c r="KY202" s="1548"/>
      <c r="KZ202" s="1548"/>
      <c r="LB202" s="1526">
        <f t="shared" ref="LB202:LM202" si="1059">+SUMIFS($E202:$EG202,$E$6:$EG$6,LB$7,$E$5:$EG$5,$LD$5)</f>
        <v>8001.6645650699993</v>
      </c>
      <c r="LC202" s="1526">
        <f t="shared" si="1059"/>
        <v>8789.7131921700002</v>
      </c>
      <c r="LD202" s="1526">
        <f t="shared" si="1059"/>
        <v>15685.420615870002</v>
      </c>
      <c r="LE202" s="1526">
        <f t="shared" si="1059"/>
        <v>14230.42259029</v>
      </c>
      <c r="LF202" s="1526">
        <f t="shared" si="1059"/>
        <v>11777.071230910002</v>
      </c>
      <c r="LG202" s="1526">
        <f t="shared" si="1059"/>
        <v>10929.13352924</v>
      </c>
      <c r="LH202" s="1526">
        <f t="shared" si="1059"/>
        <v>10744.2695109</v>
      </c>
      <c r="LI202" s="1526">
        <f t="shared" si="1059"/>
        <v>11842.704123809999</v>
      </c>
      <c r="LJ202" s="1526">
        <f t="shared" si="1059"/>
        <v>9507.2488007099982</v>
      </c>
      <c r="LK202" s="1526">
        <f t="shared" si="1059"/>
        <v>9399.0712009700019</v>
      </c>
      <c r="LL202" s="1526">
        <f t="shared" si="1059"/>
        <v>15785.317203229999</v>
      </c>
      <c r="LM202" s="1526">
        <f t="shared" si="1059"/>
        <v>15785.317203229999</v>
      </c>
      <c r="LN202" s="1526"/>
      <c r="LO202" s="1526"/>
      <c r="LR202" s="1529">
        <f t="shared" ref="LR202:LW202" si="1060">+IFERROR(LD202/LC202-1," ")</f>
        <v>0.78452018546438973</v>
      </c>
      <c r="LS202" s="1529">
        <f t="shared" si="1060"/>
        <v>-9.2761173653697404E-2</v>
      </c>
      <c r="LT202" s="1529">
        <f t="shared" si="1060"/>
        <v>-0.17240186254581225</v>
      </c>
      <c r="LU202" s="1529">
        <f t="shared" si="1060"/>
        <v>-7.1999029728589181E-2</v>
      </c>
      <c r="LV202" s="1529">
        <f t="shared" si="1060"/>
        <v>-1.6914791812673191E-2</v>
      </c>
      <c r="LW202" s="1529">
        <f t="shared" si="1060"/>
        <v>0.10223446198884378</v>
      </c>
      <c r="LX202" s="1529">
        <f t="shared" si="963"/>
        <v>-1</v>
      </c>
      <c r="LZ202" s="1526">
        <f t="shared" ref="LZ202:ME202" si="1061">+LD202-LC202</f>
        <v>6895.7074237000015</v>
      </c>
      <c r="MA202" s="1526">
        <f t="shared" si="1061"/>
        <v>-1454.9980255800019</v>
      </c>
      <c r="MB202" s="1526">
        <f t="shared" si="1061"/>
        <v>-2453.351359379998</v>
      </c>
      <c r="MC202" s="1526">
        <f t="shared" si="1061"/>
        <v>-847.93770167000184</v>
      </c>
      <c r="MD202" s="1526">
        <f t="shared" si="1061"/>
        <v>-184.86401834000026</v>
      </c>
      <c r="ME202" s="1526">
        <f t="shared" si="1061"/>
        <v>1098.4346129099995</v>
      </c>
      <c r="MF202" s="1526">
        <f t="shared" si="964"/>
        <v>-11842.704123809999</v>
      </c>
      <c r="MH202" s="1548"/>
      <c r="MI202" s="1548"/>
      <c r="MJ202" s="1548"/>
      <c r="MK202" s="1548"/>
      <c r="ML202" s="1548"/>
      <c r="MM202" s="1548"/>
      <c r="MN202" s="1548"/>
      <c r="MO202" s="1548"/>
      <c r="MP202" s="1548"/>
    </row>
    <row r="203" spans="1:354">
      <c r="A203" s="884"/>
      <c r="B203" s="70"/>
      <c r="E203" s="66"/>
      <c r="F203" s="66"/>
      <c r="G203" s="66"/>
      <c r="H203" s="66"/>
      <c r="I203" s="66"/>
      <c r="J203" s="66"/>
      <c r="K203" s="66"/>
      <c r="L203" s="66"/>
      <c r="M203" s="66"/>
      <c r="N203" s="66"/>
      <c r="O203" s="66"/>
      <c r="P203" s="66"/>
      <c r="Q203" s="102"/>
      <c r="R203" s="66"/>
      <c r="S203" s="66"/>
      <c r="T203" s="66"/>
      <c r="U203" s="66"/>
      <c r="V203" s="66"/>
      <c r="W203" s="66"/>
      <c r="X203" s="66"/>
      <c r="Y203" s="66"/>
      <c r="Z203" s="66"/>
      <c r="AA203" s="66"/>
      <c r="AB203" s="66"/>
      <c r="AC203" s="102"/>
      <c r="AD203" s="102"/>
      <c r="AE203" s="102"/>
      <c r="AF203" s="102"/>
      <c r="AG203" s="102"/>
      <c r="AH203" s="102"/>
      <c r="AI203" s="102"/>
      <c r="AJ203" s="102"/>
      <c r="AK203" s="102"/>
      <c r="AL203" s="102"/>
      <c r="AM203" s="102"/>
      <c r="AN203" s="143"/>
      <c r="AO203" s="102"/>
      <c r="AP203" s="145"/>
      <c r="AQ203" s="143"/>
      <c r="AR203" s="143"/>
      <c r="AS203" s="102"/>
      <c r="AT203" s="102"/>
      <c r="AU203" s="102"/>
      <c r="AV203" s="102"/>
      <c r="AW203" s="102"/>
      <c r="AX203" s="102"/>
      <c r="AY203" s="102"/>
      <c r="AZ203" s="66"/>
      <c r="BA203" s="66"/>
      <c r="BB203" s="66"/>
      <c r="BC203" s="66"/>
      <c r="BD203" s="66"/>
      <c r="BE203" s="66"/>
      <c r="BF203" s="66"/>
      <c r="BG203" s="66"/>
      <c r="BH203" s="66"/>
      <c r="BI203" s="66"/>
      <c r="BJ203" s="66"/>
      <c r="BK203" s="924"/>
      <c r="BL203" s="66"/>
      <c r="BM203" s="66"/>
      <c r="BN203" s="66"/>
      <c r="BO203" s="66"/>
      <c r="BP203" s="66"/>
      <c r="BQ203" s="66"/>
      <c r="BR203" s="66"/>
      <c r="BS203" s="66"/>
      <c r="BT203" s="66"/>
      <c r="BU203" s="66"/>
      <c r="BV203" s="66"/>
      <c r="BW203" s="924"/>
      <c r="BX203" s="924"/>
      <c r="BY203" s="924"/>
      <c r="BZ203" s="924"/>
      <c r="CA203" s="924"/>
      <c r="CB203" s="924"/>
      <c r="CC203" s="924"/>
      <c r="CD203" s="924"/>
      <c r="CE203" s="924"/>
      <c r="CF203" s="924"/>
      <c r="CG203" s="924"/>
      <c r="CH203" s="924"/>
      <c r="CI203" s="924"/>
      <c r="CJ203" s="924"/>
      <c r="CK203" s="924"/>
      <c r="CL203" s="924"/>
      <c r="CM203" s="924"/>
      <c r="CN203" s="924"/>
      <c r="CO203" s="924"/>
      <c r="CP203" s="924"/>
      <c r="CQ203" s="924"/>
      <c r="CR203" s="924"/>
      <c r="CS203" s="924"/>
      <c r="CT203" s="924"/>
      <c r="CU203" s="924"/>
      <c r="CV203" s="924"/>
      <c r="CW203" s="924"/>
      <c r="CX203" s="924"/>
      <c r="CY203" s="924"/>
      <c r="CZ203" s="924"/>
      <c r="DA203" s="924"/>
      <c r="DB203" s="924"/>
      <c r="DC203" s="924"/>
      <c r="DD203" s="924"/>
      <c r="DE203" s="924"/>
      <c r="DF203" s="924"/>
      <c r="DG203" s="924"/>
      <c r="DH203" s="924"/>
      <c r="DI203" s="924"/>
      <c r="DJ203" s="924"/>
      <c r="DK203" s="924"/>
      <c r="DL203" s="924"/>
      <c r="DM203" s="924"/>
      <c r="DN203" s="924"/>
      <c r="DO203" s="924"/>
      <c r="DP203" s="924"/>
      <c r="DQ203" s="960"/>
      <c r="DR203" s="960"/>
      <c r="DS203" s="960"/>
      <c r="DT203" s="960"/>
      <c r="DU203" s="960"/>
      <c r="DV203" s="960"/>
      <c r="DW203" s="960"/>
      <c r="DX203" s="960"/>
      <c r="DY203" s="960"/>
      <c r="DZ203" s="960"/>
      <c r="EA203" s="960"/>
      <c r="EB203" s="960"/>
      <c r="EC203" s="960"/>
      <c r="ED203" s="960"/>
      <c r="EE203" s="960"/>
      <c r="EF203" s="960"/>
      <c r="EH203" s="66"/>
      <c r="EI203" s="66"/>
      <c r="EJ203" s="66"/>
      <c r="EK203" s="66"/>
      <c r="EL203" s="66"/>
      <c r="EM203" s="66"/>
      <c r="EN203" s="66"/>
      <c r="EO203" s="66"/>
      <c r="EP203" s="66"/>
      <c r="EQ203" s="66"/>
      <c r="ER203" s="66"/>
      <c r="ES203" s="66"/>
      <c r="EU203" s="66"/>
      <c r="EV203" s="66"/>
      <c r="EW203" s="66"/>
      <c r="EX203" s="66"/>
      <c r="EY203" s="66"/>
      <c r="EZ203" s="66"/>
      <c r="FA203" s="66"/>
      <c r="FB203" s="66"/>
      <c r="FC203" s="66"/>
      <c r="FD203" s="66"/>
      <c r="FE203" s="66"/>
      <c r="FF203" s="66"/>
      <c r="FG203" s="66"/>
      <c r="FH203" s="66"/>
      <c r="FI203" s="66"/>
      <c r="FJ203" s="66"/>
      <c r="FK203" s="66"/>
      <c r="FL203" s="66"/>
      <c r="FM203" s="66"/>
      <c r="FN203" s="66"/>
      <c r="FO203" s="66"/>
      <c r="FP203" s="66"/>
      <c r="FQ203" s="66"/>
      <c r="FR203" s="66"/>
      <c r="FS203" s="66"/>
      <c r="FT203" s="66"/>
      <c r="FU203" s="66"/>
      <c r="FV203" s="66"/>
      <c r="FW203" s="66"/>
      <c r="FX203" s="66"/>
      <c r="FY203" s="66"/>
      <c r="FZ203" s="66"/>
      <c r="GA203" s="66"/>
      <c r="GB203" s="66"/>
      <c r="GC203" s="66"/>
      <c r="GD203" s="66"/>
      <c r="GE203" s="66"/>
      <c r="GF203" s="66"/>
      <c r="GG203" s="66"/>
      <c r="GH203" s="66"/>
      <c r="GI203" s="66"/>
      <c r="GJ203" s="66"/>
      <c r="GK203" s="66"/>
      <c r="GL203" s="66"/>
      <c r="GM203" s="66"/>
      <c r="GN203" s="66"/>
      <c r="GO203" s="66"/>
      <c r="GP203" s="66"/>
      <c r="GQ203" s="66"/>
      <c r="GR203" s="66"/>
      <c r="GS203" s="66"/>
      <c r="GT203" s="66"/>
      <c r="GU203" s="66"/>
      <c r="GV203" s="66"/>
      <c r="GW203" s="66"/>
      <c r="GX203" s="66"/>
      <c r="GY203" s="66"/>
      <c r="GZ203" s="66"/>
      <c r="HA203" s="66"/>
      <c r="HB203" s="66"/>
      <c r="HD203" s="102"/>
      <c r="HE203" s="102"/>
      <c r="HF203" s="102"/>
      <c r="HG203" s="102"/>
      <c r="HH203" s="102"/>
      <c r="HI203" s="102"/>
      <c r="HJ203" s="102">
        <f t="shared" si="961"/>
        <v>0</v>
      </c>
      <c r="HK203" s="102">
        <f t="shared" si="962"/>
        <v>0</v>
      </c>
      <c r="HL203" s="940">
        <f>+SUMIFS($E203:SEW203,$E$6:SEW$6,HL$7,$E$5:SEW$5,12)</f>
        <v>0</v>
      </c>
      <c r="HM203" s="940">
        <f>+SUMIFS($E203:SEX203,$E$6:SEX$6,HM$7,$E$5:SEX$5,12)</f>
        <v>0</v>
      </c>
      <c r="HN203" s="940">
        <f>+SUMIFS($E203:SEY203,$E$6:SEY$6,HN$7,$E$5:SEY$5,12)</f>
        <v>0</v>
      </c>
      <c r="HO203" s="102"/>
      <c r="HP203" s="102"/>
      <c r="HR203" s="32"/>
      <c r="HS203" s="32"/>
      <c r="HT203" s="32"/>
      <c r="HU203" s="929"/>
      <c r="HV203" s="929"/>
      <c r="HW203" s="929"/>
      <c r="HX203" s="929"/>
      <c r="HY203" s="929"/>
      <c r="HZ203" s="929"/>
      <c r="IA203" s="929" t="str">
        <f t="shared" si="1036"/>
        <v/>
      </c>
      <c r="IB203" s="32"/>
      <c r="IC203" s="929" t="str">
        <f t="shared" si="1037"/>
        <v/>
      </c>
      <c r="IE203" s="102"/>
      <c r="IF203" s="102"/>
      <c r="IG203" s="102"/>
      <c r="IH203" s="102"/>
      <c r="II203" s="102">
        <f t="shared" si="1045"/>
        <v>0</v>
      </c>
      <c r="IJ203" s="102">
        <f t="shared" si="1046"/>
        <v>0</v>
      </c>
      <c r="IK203" s="102">
        <f t="shared" si="1047"/>
        <v>0</v>
      </c>
      <c r="IL203" s="102">
        <f t="shared" si="1038"/>
        <v>0</v>
      </c>
      <c r="IM203" s="102"/>
      <c r="IN203" s="102">
        <f t="shared" si="1039"/>
        <v>0</v>
      </c>
      <c r="JA203" s="102"/>
      <c r="JB203" s="102"/>
      <c r="JC203" s="102"/>
      <c r="JD203" s="102"/>
      <c r="JE203" s="102"/>
      <c r="JF203" s="102"/>
      <c r="JG203" s="102"/>
      <c r="JH203" s="102"/>
      <c r="JI203" s="102"/>
      <c r="JJ203" s="102"/>
      <c r="JK203" s="102"/>
      <c r="JL203" s="102"/>
      <c r="JM203" s="102"/>
      <c r="JN203" s="102"/>
      <c r="JP203" s="102"/>
      <c r="JQ203" s="102"/>
      <c r="JR203" s="145"/>
      <c r="JS203" s="32"/>
      <c r="JT203" s="102"/>
      <c r="JY203" s="32"/>
      <c r="JZ203" s="32"/>
      <c r="KA203" s="32"/>
      <c r="KB203" s="32"/>
      <c r="KC203" s="32"/>
      <c r="KD203" s="32"/>
      <c r="KE203" s="32"/>
      <c r="KF203" s="32"/>
      <c r="KH203" s="102"/>
      <c r="KI203" s="102"/>
      <c r="KJ203" s="102"/>
      <c r="KK203" s="102"/>
      <c r="KL203" s="102"/>
      <c r="KM203" s="102"/>
      <c r="KN203" s="102"/>
      <c r="KO203" s="102"/>
      <c r="LB203" s="102"/>
      <c r="LC203" s="102"/>
      <c r="LD203" s="102"/>
      <c r="LE203" s="102"/>
      <c r="LF203" s="102"/>
      <c r="LG203" s="102"/>
      <c r="LH203" s="102"/>
      <c r="LI203" s="102"/>
      <c r="LJ203" s="102"/>
      <c r="LK203" s="102"/>
      <c r="LL203" s="102"/>
      <c r="LM203" s="102"/>
      <c r="LN203" s="102"/>
      <c r="LO203" s="102"/>
      <c r="LR203" s="32"/>
      <c r="LS203" s="32"/>
      <c r="LT203" s="32"/>
      <c r="LU203" s="32"/>
      <c r="LV203" s="32"/>
      <c r="LW203" s="32"/>
      <c r="LX203" s="32" t="str">
        <f t="shared" si="963"/>
        <v xml:space="preserve"> </v>
      </c>
      <c r="LZ203" s="102"/>
      <c r="MA203" s="102"/>
      <c r="MB203" s="102"/>
      <c r="MC203" s="102"/>
      <c r="MD203" s="102"/>
      <c r="ME203" s="102"/>
      <c r="MF203" s="102">
        <f t="shared" si="964"/>
        <v>0</v>
      </c>
    </row>
    <row r="204" spans="1:354">
      <c r="A204" s="884"/>
      <c r="B204" s="70"/>
      <c r="C204" s="1513" t="s">
        <v>152</v>
      </c>
      <c r="D204" s="1512" t="s">
        <v>59</v>
      </c>
      <c r="E204" s="1515">
        <f t="shared" ref="E204:BP204" si="1062">+SUM(E205:E208,E212:E216)</f>
        <v>5227.3714870528001</v>
      </c>
      <c r="F204" s="1515">
        <f t="shared" si="1062"/>
        <v>5936.6209332158996</v>
      </c>
      <c r="G204" s="1515">
        <f t="shared" si="1062"/>
        <v>6155.3863788776998</v>
      </c>
      <c r="H204" s="1515">
        <f t="shared" si="1062"/>
        <v>6542.5297670259006</v>
      </c>
      <c r="I204" s="1515">
        <f t="shared" si="1062"/>
        <v>7508.8967669387002</v>
      </c>
      <c r="J204" s="1515">
        <f t="shared" si="1062"/>
        <v>7862.1706732354014</v>
      </c>
      <c r="K204" s="1515">
        <f t="shared" si="1062"/>
        <v>8373.3846140279984</v>
      </c>
      <c r="L204" s="1515">
        <f t="shared" si="1062"/>
        <v>9371.1033089697012</v>
      </c>
      <c r="M204" s="1515">
        <f t="shared" si="1062"/>
        <v>25331.474161237304</v>
      </c>
      <c r="N204" s="1515">
        <f t="shared" si="1062"/>
        <v>10911.015837591003</v>
      </c>
      <c r="O204" s="1515">
        <f t="shared" si="1062"/>
        <v>12165.596675077897</v>
      </c>
      <c r="P204" s="1515">
        <f t="shared" si="1062"/>
        <v>11137.424337410004</v>
      </c>
      <c r="Q204" s="1515">
        <f t="shared" si="1062"/>
        <v>10873.8877098497</v>
      </c>
      <c r="R204" s="1515">
        <f t="shared" si="1062"/>
        <v>11732.530606094901</v>
      </c>
      <c r="S204" s="1515">
        <f t="shared" si="1062"/>
        <v>11611.741361271701</v>
      </c>
      <c r="T204" s="1515">
        <f t="shared" si="1062"/>
        <v>8708.7326619287014</v>
      </c>
      <c r="U204" s="1515">
        <f t="shared" si="1062"/>
        <v>9707.7002599921016</v>
      </c>
      <c r="V204" s="1515">
        <f t="shared" si="1062"/>
        <v>10484.861196673897</v>
      </c>
      <c r="W204" s="1515">
        <f t="shared" si="1062"/>
        <v>10706.184706472295</v>
      </c>
      <c r="X204" s="1515">
        <f t="shared" si="1062"/>
        <v>11200.717001372701</v>
      </c>
      <c r="Y204" s="1515">
        <f t="shared" si="1062"/>
        <v>10767.387642813901</v>
      </c>
      <c r="Z204" s="1515">
        <f t="shared" si="1062"/>
        <v>10655.608822882899</v>
      </c>
      <c r="AA204" s="1515">
        <f t="shared" si="1062"/>
        <v>12236.955066258699</v>
      </c>
      <c r="AB204" s="1515">
        <f t="shared" si="1062"/>
        <v>14222.595945220002</v>
      </c>
      <c r="AC204" s="1515">
        <f t="shared" si="1062"/>
        <v>13770.084050359999</v>
      </c>
      <c r="AD204" s="1515">
        <f t="shared" si="1062"/>
        <v>15053.495048749</v>
      </c>
      <c r="AE204" s="1515">
        <f t="shared" si="1062"/>
        <v>11077.119921427</v>
      </c>
      <c r="AF204" s="1515">
        <f t="shared" si="1062"/>
        <v>11570.189227849</v>
      </c>
      <c r="AG204" s="1515">
        <f t="shared" si="1062"/>
        <v>11998.5920751412</v>
      </c>
      <c r="AH204" s="1515">
        <f t="shared" si="1062"/>
        <v>12278.2648146874</v>
      </c>
      <c r="AI204" s="1515">
        <f t="shared" si="1062"/>
        <v>12451.3858705534</v>
      </c>
      <c r="AJ204" s="1515">
        <f t="shared" si="1062"/>
        <v>12906.1077139996</v>
      </c>
      <c r="AK204" s="1515">
        <f t="shared" si="1062"/>
        <v>13459.594273795001</v>
      </c>
      <c r="AL204" s="1515">
        <f t="shared" si="1062"/>
        <v>14236.400109257798</v>
      </c>
      <c r="AM204" s="1515">
        <f t="shared" si="1062"/>
        <v>16336.09805782</v>
      </c>
      <c r="AN204" s="1515">
        <f t="shared" si="1062"/>
        <v>17223.77996226</v>
      </c>
      <c r="AO204" s="1515">
        <f t="shared" si="1062"/>
        <v>18004.708711999996</v>
      </c>
      <c r="AP204" s="1515">
        <f t="shared" si="1062"/>
        <v>17648.787589299998</v>
      </c>
      <c r="AQ204" s="1515">
        <f t="shared" si="1062"/>
        <v>17607.517068269997</v>
      </c>
      <c r="AR204" s="1515">
        <f t="shared" si="1062"/>
        <v>16703.849692499996</v>
      </c>
      <c r="AS204" s="1515">
        <f t="shared" si="1062"/>
        <v>16119.143520429996</v>
      </c>
      <c r="AT204" s="1515">
        <f t="shared" si="1062"/>
        <v>14660.772634979998</v>
      </c>
      <c r="AU204" s="1515">
        <f t="shared" si="1062"/>
        <v>14714.505187529998</v>
      </c>
      <c r="AV204" s="1515">
        <f t="shared" si="1062"/>
        <v>14683.607153329998</v>
      </c>
      <c r="AW204" s="1515">
        <f t="shared" si="1062"/>
        <v>14530.203446889998</v>
      </c>
      <c r="AX204" s="1515">
        <f t="shared" si="1062"/>
        <v>13217.605042449997</v>
      </c>
      <c r="AY204" s="1515">
        <f t="shared" si="1062"/>
        <v>12559.883031509999</v>
      </c>
      <c r="AZ204" s="1515">
        <f t="shared" si="1062"/>
        <v>13193.030241689999</v>
      </c>
      <c r="BA204" s="1515">
        <f t="shared" si="1062"/>
        <v>13217.730389390001</v>
      </c>
      <c r="BB204" s="1515">
        <f t="shared" si="1062"/>
        <v>12567.36329488</v>
      </c>
      <c r="BC204" s="1515">
        <f t="shared" si="1062"/>
        <v>11652.00043554</v>
      </c>
      <c r="BD204" s="1515">
        <f t="shared" si="1062"/>
        <v>10950.021344000001</v>
      </c>
      <c r="BE204" s="1515">
        <f t="shared" si="1062"/>
        <v>10495.508219000001</v>
      </c>
      <c r="BF204" s="1515">
        <f t="shared" si="1062"/>
        <v>9586.6101932500005</v>
      </c>
      <c r="BG204" s="1515">
        <f t="shared" si="1062"/>
        <v>9417.6468521800016</v>
      </c>
      <c r="BH204" s="1515">
        <f t="shared" si="1062"/>
        <v>9003.5524671099993</v>
      </c>
      <c r="BI204" s="1515">
        <f t="shared" si="1062"/>
        <v>8727.774238760001</v>
      </c>
      <c r="BJ204" s="1515">
        <f t="shared" si="1062"/>
        <v>8490.0139556300001</v>
      </c>
      <c r="BK204" s="1515">
        <f t="shared" si="1062"/>
        <v>8418.8622677200001</v>
      </c>
      <c r="BL204" s="1515">
        <f t="shared" si="1062"/>
        <v>8900.8636115000008</v>
      </c>
      <c r="BM204" s="1515">
        <f t="shared" si="1062"/>
        <v>9334.5744370099965</v>
      </c>
      <c r="BN204" s="1515">
        <f t="shared" si="1062"/>
        <v>9474.9226188899956</v>
      </c>
      <c r="BO204" s="1515">
        <f t="shared" si="1062"/>
        <v>9566.8473671299962</v>
      </c>
      <c r="BP204" s="1515">
        <f t="shared" si="1062"/>
        <v>9922.9194318699974</v>
      </c>
      <c r="BQ204" s="1515">
        <f t="shared" ref="BQ204:EB204" si="1063">+SUM(BQ205:BQ208,BQ212:BQ216)</f>
        <v>9911.4371717399972</v>
      </c>
      <c r="BR204" s="1515">
        <f t="shared" si="1063"/>
        <v>10001.572753759996</v>
      </c>
      <c r="BS204" s="1515">
        <f t="shared" si="1063"/>
        <v>10062.629881779996</v>
      </c>
      <c r="BT204" s="1515">
        <f t="shared" si="1063"/>
        <v>10106.652050239996</v>
      </c>
      <c r="BU204" s="1515">
        <f t="shared" si="1063"/>
        <v>10063.498838409996</v>
      </c>
      <c r="BV204" s="1515">
        <f t="shared" si="1063"/>
        <v>10325.479644549996</v>
      </c>
      <c r="BW204" s="1515">
        <f t="shared" si="1063"/>
        <v>10514.334497639997</v>
      </c>
      <c r="BX204" s="1515">
        <f t="shared" si="1063"/>
        <v>10473.074423069997</v>
      </c>
      <c r="BY204" s="1515">
        <f t="shared" si="1063"/>
        <v>10317.677867869999</v>
      </c>
      <c r="BZ204" s="1515">
        <f t="shared" si="1063"/>
        <v>10339.753317329996</v>
      </c>
      <c r="CA204" s="1515">
        <f t="shared" si="1063"/>
        <v>10278.240548159996</v>
      </c>
      <c r="CB204" s="1515">
        <f t="shared" si="1063"/>
        <v>10187.887129819999</v>
      </c>
      <c r="CC204" s="1515">
        <f t="shared" si="1063"/>
        <v>10050.659539879998</v>
      </c>
      <c r="CD204" s="1515">
        <f t="shared" si="1063"/>
        <v>10032.576139189998</v>
      </c>
      <c r="CE204" s="1515">
        <f t="shared" si="1063"/>
        <v>10354.500722269997</v>
      </c>
      <c r="CF204" s="1515">
        <f t="shared" si="1063"/>
        <v>10843.814022069997</v>
      </c>
      <c r="CG204" s="1515">
        <f t="shared" si="1063"/>
        <v>10800.005557009998</v>
      </c>
      <c r="CH204" s="1515">
        <f t="shared" si="1063"/>
        <v>10956.537210349998</v>
      </c>
      <c r="CI204" s="1515">
        <f t="shared" si="1063"/>
        <v>11487.051468799997</v>
      </c>
      <c r="CJ204" s="1515">
        <f t="shared" si="1063"/>
        <v>11263.250033289998</v>
      </c>
      <c r="CK204" s="1515">
        <f t="shared" si="1063"/>
        <v>11377.861565719997</v>
      </c>
      <c r="CL204" s="1515">
        <f t="shared" si="1063"/>
        <v>11210.673996929998</v>
      </c>
      <c r="CM204" s="1515">
        <f t="shared" si="1063"/>
        <v>11617.545870139997</v>
      </c>
      <c r="CN204" s="1515">
        <f t="shared" si="1063"/>
        <v>11749.586865179997</v>
      </c>
      <c r="CO204" s="1515">
        <f t="shared" si="1063"/>
        <v>12179.554758599998</v>
      </c>
      <c r="CP204" s="1515">
        <f t="shared" si="1063"/>
        <v>12131.527924239997</v>
      </c>
      <c r="CQ204" s="1515">
        <f t="shared" si="1063"/>
        <v>12191.338458169997</v>
      </c>
      <c r="CR204" s="1515">
        <f t="shared" si="1063"/>
        <v>12486.959132049997</v>
      </c>
      <c r="CS204" s="1515">
        <f t="shared" si="1063"/>
        <v>12713.824431649997</v>
      </c>
      <c r="CT204" s="1515">
        <f t="shared" si="1063"/>
        <v>13381.448757109998</v>
      </c>
      <c r="CU204" s="1515">
        <f t="shared" si="1063"/>
        <v>13696.111474559997</v>
      </c>
      <c r="CV204" s="1515">
        <f t="shared" si="1063"/>
        <v>12803.352297129997</v>
      </c>
      <c r="CW204" s="1515">
        <f t="shared" si="1063"/>
        <v>13115.009348739997</v>
      </c>
      <c r="CX204" s="1515">
        <f t="shared" si="1063"/>
        <v>13245.417031289999</v>
      </c>
      <c r="CY204" s="1515">
        <f t="shared" si="1063"/>
        <v>14147.808522930001</v>
      </c>
      <c r="CZ204" s="1515">
        <f t="shared" si="1063"/>
        <v>13802.136395460002</v>
      </c>
      <c r="DA204" s="1515">
        <f t="shared" si="1063"/>
        <v>13299.899631610002</v>
      </c>
      <c r="DB204" s="1515">
        <f t="shared" si="1063"/>
        <v>12956.439379080002</v>
      </c>
      <c r="DC204" s="1515">
        <f t="shared" si="1063"/>
        <v>12480.82630131</v>
      </c>
      <c r="DD204" s="1515">
        <f t="shared" si="1063"/>
        <v>12719.171711790001</v>
      </c>
      <c r="DE204" s="1515">
        <f t="shared" si="1063"/>
        <v>12896.00449449</v>
      </c>
      <c r="DF204" s="1515">
        <f t="shared" si="1063"/>
        <v>13157.819448360002</v>
      </c>
      <c r="DG204" s="1515">
        <f t="shared" si="1063"/>
        <v>12876.212261110002</v>
      </c>
      <c r="DH204" s="1515">
        <f t="shared" si="1063"/>
        <v>12602.841468160001</v>
      </c>
      <c r="DI204" s="1515">
        <f t="shared" si="1063"/>
        <v>12662.285972180001</v>
      </c>
      <c r="DJ204" s="1515">
        <f t="shared" si="1063"/>
        <v>12510.541725080002</v>
      </c>
      <c r="DK204" s="1515">
        <f t="shared" si="1063"/>
        <v>12615.719917820001</v>
      </c>
      <c r="DL204" s="1515">
        <f t="shared" si="1063"/>
        <v>12839.095830540002</v>
      </c>
      <c r="DM204" s="1515">
        <f t="shared" si="1063"/>
        <v>12963.724400910001</v>
      </c>
      <c r="DN204" s="1515">
        <f t="shared" si="1063"/>
        <v>12975.945913460002</v>
      </c>
      <c r="DO204" s="1515">
        <f t="shared" si="1063"/>
        <v>13130.248731740001</v>
      </c>
      <c r="DP204" s="1515">
        <f t="shared" si="1063"/>
        <v>13400.078599300001</v>
      </c>
      <c r="DQ204" s="1516">
        <f t="shared" si="1063"/>
        <v>12971.906639560004</v>
      </c>
      <c r="DR204" s="1516">
        <f t="shared" si="1063"/>
        <v>13190.284437680004</v>
      </c>
      <c r="DS204" s="1516">
        <f t="shared" si="1063"/>
        <v>13433.701229000004</v>
      </c>
      <c r="DT204" s="1516">
        <f t="shared" si="1063"/>
        <v>12716.060538820004</v>
      </c>
      <c r="DU204" s="1516">
        <f t="shared" si="1063"/>
        <v>13005.559596980002</v>
      </c>
      <c r="DV204" s="1516">
        <f t="shared" si="1063"/>
        <v>12629.813209210002</v>
      </c>
      <c r="DW204" s="1516">
        <f t="shared" si="1063"/>
        <v>12569.249242860002</v>
      </c>
      <c r="DX204" s="1516">
        <f t="shared" si="1063"/>
        <v>12569.489896570001</v>
      </c>
      <c r="DY204" s="1516">
        <f t="shared" si="1063"/>
        <v>12582.670672550004</v>
      </c>
      <c r="DZ204" s="1516">
        <f t="shared" si="1063"/>
        <v>13023.427852170003</v>
      </c>
      <c r="EA204" s="1516">
        <f t="shared" si="1063"/>
        <v>13362.431370980004</v>
      </c>
      <c r="EB204" s="1516">
        <f t="shared" si="1063"/>
        <v>13879.204692870004</v>
      </c>
      <c r="EC204" s="1516">
        <f t="shared" ref="EC204:EF204" si="1064">+SUM(EC205:EC208,EC212:EC216)</f>
        <v>14584.971562590003</v>
      </c>
      <c r="ED204" s="1516">
        <f t="shared" si="1064"/>
        <v>15991.756746210005</v>
      </c>
      <c r="EE204" s="1516">
        <f t="shared" si="1064"/>
        <v>16708.580233730005</v>
      </c>
      <c r="EF204" s="1516">
        <f t="shared" si="1064"/>
        <v>14111.444075750002</v>
      </c>
      <c r="EH204" s="1515">
        <f t="shared" ref="EH204:ES204" si="1065">+SUM(EH205:EH208,EH212:EH216)</f>
        <v>13115.009348739999</v>
      </c>
      <c r="EI204" s="1515">
        <f t="shared" si="1065"/>
        <v>13245.417031289999</v>
      </c>
      <c r="EJ204" s="1515">
        <f t="shared" si="1065"/>
        <v>14147.808522929998</v>
      </c>
      <c r="EK204" s="1515">
        <f t="shared" si="1065"/>
        <v>13802.136395459998</v>
      </c>
      <c r="EL204" s="1515">
        <f t="shared" si="1065"/>
        <v>13299.899631609998</v>
      </c>
      <c r="EM204" s="1515">
        <f t="shared" si="1065"/>
        <v>12956.439379079999</v>
      </c>
      <c r="EN204" s="1515">
        <f t="shared" si="1065"/>
        <v>12621.630021892195</v>
      </c>
      <c r="EO204" s="1515">
        <f t="shared" si="1065"/>
        <v>12613.960844001665</v>
      </c>
      <c r="EP204" s="1515">
        <f t="shared" si="1065"/>
        <v>12527.992023941641</v>
      </c>
      <c r="EQ204" s="1515">
        <f t="shared" si="1065"/>
        <v>12285.594308400037</v>
      </c>
      <c r="ER204" s="1515">
        <f t="shared" si="1065"/>
        <v>12014.002795682385</v>
      </c>
      <c r="ES204" s="1515">
        <f t="shared" si="1065"/>
        <v>11731.962918894409</v>
      </c>
      <c r="ET204" s="279"/>
      <c r="EU204" s="1515">
        <f t="shared" ref="EU204:FZ204" si="1066">+SUM(EU205:EU208,EU212:EU216)</f>
        <v>17442.500495609747</v>
      </c>
      <c r="EV204" s="1515">
        <f t="shared" si="1066"/>
        <v>18795.73048461166</v>
      </c>
      <c r="EW204" s="1515">
        <f t="shared" si="1066"/>
        <v>18627.182821833001</v>
      </c>
      <c r="EX204" s="1515">
        <f t="shared" si="1066"/>
        <v>18950.808605844246</v>
      </c>
      <c r="EY204" s="1515">
        <f t="shared" si="1066"/>
        <v>19078.582335888401</v>
      </c>
      <c r="EZ204" s="1515">
        <f t="shared" si="1066"/>
        <v>19332.320751241972</v>
      </c>
      <c r="FA204" s="1515">
        <f t="shared" si="1066"/>
        <v>17603.585758472535</v>
      </c>
      <c r="FB204" s="1515">
        <f t="shared" si="1066"/>
        <v>18874.47586175616</v>
      </c>
      <c r="FC204" s="1515">
        <f t="shared" si="1066"/>
        <v>19649.43864662683</v>
      </c>
      <c r="FD204" s="1515">
        <f t="shared" si="1066"/>
        <v>20570.801585061563</v>
      </c>
      <c r="FE204" s="1515">
        <f t="shared" si="1066"/>
        <v>18893.092101011749</v>
      </c>
      <c r="FF204" s="1515">
        <f t="shared" si="1066"/>
        <v>19468.271782465159</v>
      </c>
      <c r="FG204" s="1515">
        <f t="shared" si="1066"/>
        <v>10180.466549790719</v>
      </c>
      <c r="FH204" s="1515">
        <f t="shared" si="1066"/>
        <v>9941.8425945698946</v>
      </c>
      <c r="FI204" s="1515">
        <f t="shared" si="1066"/>
        <v>10241.651856507498</v>
      </c>
      <c r="FJ204" s="1515">
        <f t="shared" si="1066"/>
        <v>9912.0575401032511</v>
      </c>
      <c r="FK204" s="1515">
        <f t="shared" si="1066"/>
        <v>9852.2213991395947</v>
      </c>
      <c r="FL204" s="1515">
        <f t="shared" si="1066"/>
        <v>10010.81122649102</v>
      </c>
      <c r="FM204" s="1515">
        <f t="shared" si="1066"/>
        <v>10240.421100642243</v>
      </c>
      <c r="FN204" s="1515">
        <f t="shared" si="1066"/>
        <v>10547.648435787629</v>
      </c>
      <c r="FO204" s="1515">
        <f t="shared" si="1066"/>
        <v>10732.284951577991</v>
      </c>
      <c r="FP204" s="1515">
        <f t="shared" si="1066"/>
        <v>10934.065969586291</v>
      </c>
      <c r="FQ204" s="1515">
        <f t="shared" si="1066"/>
        <v>11085.8203223952</v>
      </c>
      <c r="FR204" s="1515">
        <f t="shared" si="1066"/>
        <v>11120.642768201405</v>
      </c>
      <c r="FS204" s="1515">
        <f t="shared" si="1066"/>
        <v>8806.6918851277114</v>
      </c>
      <c r="FT204" s="1515">
        <f t="shared" si="1066"/>
        <v>8990.4951752010584</v>
      </c>
      <c r="FU204" s="1515">
        <f t="shared" si="1066"/>
        <v>9152.9224741151502</v>
      </c>
      <c r="FV204" s="1515">
        <f t="shared" si="1066"/>
        <v>9297.4622648125751</v>
      </c>
      <c r="FW204" s="1515">
        <f t="shared" si="1066"/>
        <v>9431.0750175290723</v>
      </c>
      <c r="FX204" s="1515">
        <f t="shared" si="1066"/>
        <v>9568.9803768226975</v>
      </c>
      <c r="FY204" s="1515">
        <f t="shared" si="1066"/>
        <v>9723.4615661144726</v>
      </c>
      <c r="FZ204" s="1515">
        <f t="shared" si="1066"/>
        <v>9630.9975616253305</v>
      </c>
      <c r="GA204" s="1515">
        <f t="shared" ref="GA204:HB204" si="1067">+SUM(GA205:GA208,GA212:GA216)</f>
        <v>9480.2930708950098</v>
      </c>
      <c r="GB204" s="1515">
        <f t="shared" si="1067"/>
        <v>9269.8707335046893</v>
      </c>
      <c r="GC204" s="1515">
        <f t="shared" si="1067"/>
        <v>9116.9794379845789</v>
      </c>
      <c r="GD204" s="1515">
        <f t="shared" si="1067"/>
        <v>8908.2587828986598</v>
      </c>
      <c r="GE204" s="1515">
        <f t="shared" si="1067"/>
        <v>0</v>
      </c>
      <c r="GF204" s="1515">
        <f t="shared" si="1067"/>
        <v>0</v>
      </c>
      <c r="GG204" s="1515">
        <f t="shared" si="1067"/>
        <v>0</v>
      </c>
      <c r="GH204" s="1515">
        <f t="shared" si="1067"/>
        <v>0</v>
      </c>
      <c r="GI204" s="1515">
        <f t="shared" si="1067"/>
        <v>0</v>
      </c>
      <c r="GJ204" s="1515">
        <f t="shared" si="1067"/>
        <v>0</v>
      </c>
      <c r="GK204" s="1515">
        <f t="shared" si="1067"/>
        <v>0</v>
      </c>
      <c r="GL204" s="1515">
        <f t="shared" si="1067"/>
        <v>0</v>
      </c>
      <c r="GM204" s="1515">
        <f t="shared" si="1067"/>
        <v>0</v>
      </c>
      <c r="GN204" s="1515">
        <f t="shared" si="1067"/>
        <v>0</v>
      </c>
      <c r="GO204" s="1515">
        <f t="shared" si="1067"/>
        <v>0</v>
      </c>
      <c r="GP204" s="1515">
        <f t="shared" si="1067"/>
        <v>0</v>
      </c>
      <c r="GQ204" s="1515">
        <f t="shared" si="1067"/>
        <v>0</v>
      </c>
      <c r="GR204" s="1515">
        <f t="shared" si="1067"/>
        <v>0</v>
      </c>
      <c r="GS204" s="1515">
        <f t="shared" si="1067"/>
        <v>0</v>
      </c>
      <c r="GT204" s="1515">
        <f t="shared" si="1067"/>
        <v>0</v>
      </c>
      <c r="GU204" s="1515">
        <f t="shared" si="1067"/>
        <v>0</v>
      </c>
      <c r="GV204" s="1515">
        <f t="shared" si="1067"/>
        <v>0</v>
      </c>
      <c r="GW204" s="1515">
        <f t="shared" si="1067"/>
        <v>0</v>
      </c>
      <c r="GX204" s="1515">
        <f t="shared" si="1067"/>
        <v>0</v>
      </c>
      <c r="GY204" s="1515">
        <f t="shared" si="1067"/>
        <v>0</v>
      </c>
      <c r="GZ204" s="1515">
        <f t="shared" si="1067"/>
        <v>0</v>
      </c>
      <c r="HA204" s="1515">
        <f t="shared" si="1067"/>
        <v>0</v>
      </c>
      <c r="HB204" s="1515">
        <f t="shared" si="1067"/>
        <v>0</v>
      </c>
      <c r="HD204" s="1515">
        <f t="shared" ref="HD204:HG213" si="1068">+SUMIFS($E204:$AZ204,$E$6:$AZ$6,HD$7,$E$5:$AZ$5,12)</f>
        <v>11137.424337410004</v>
      </c>
      <c r="HE204" s="1515">
        <f t="shared" si="1068"/>
        <v>14222.595945220002</v>
      </c>
      <c r="HF204" s="1515">
        <f t="shared" si="1068"/>
        <v>17223.77996226</v>
      </c>
      <c r="HG204" s="1515">
        <f t="shared" si="1068"/>
        <v>13193.030241689999</v>
      </c>
      <c r="HH204" s="1515">
        <f t="shared" ref="HH204:HH213" si="1069">+SUMIFS($E204:$BL204,$E$6:$BL$6,HH$7,$E$5:$BL$5,12)</f>
        <v>8900.8636115000008</v>
      </c>
      <c r="HI204" s="1515">
        <f t="shared" ref="HI204:HI213" si="1070">+SUMIFS($E204:$BX204,$E$6:$BX$6,HI$7,$E$5:$BX$5,12)</f>
        <v>10473.074423069997</v>
      </c>
      <c r="HJ204" s="1515">
        <f t="shared" si="961"/>
        <v>11263.250033289998</v>
      </c>
      <c r="HK204" s="1515">
        <f t="shared" si="962"/>
        <v>12803.352297129997</v>
      </c>
      <c r="HL204" s="1516">
        <f>+SUMIFS($E204:SEW204,$E$6:SEW$6,HL$7,$E$5:SEW$5,12)</f>
        <v>12602.841468160001</v>
      </c>
      <c r="HM204" s="1516">
        <f>+SUMIFS($E204:SEX204,$E$6:SEX$6,HM$7,$E$5:SEX$5,12)</f>
        <v>12716.060538820004</v>
      </c>
      <c r="HN204" s="1516">
        <f>+SUMIFS($E204:SEY204,$E$6:SEY$6,HN$7,$E$5:SEY$5,12)</f>
        <v>14111.444075750002</v>
      </c>
      <c r="HO204" s="1515"/>
      <c r="HP204" s="1515"/>
      <c r="HR204" s="1519">
        <f t="shared" ref="HR204:HR215" si="1071">+IFERROR(HF204/HE204-1,"")</f>
        <v>0.21101520626750636</v>
      </c>
      <c r="HS204" s="1519">
        <f t="shared" ref="HS204:HS215" si="1072">+IFERROR(HG204/HF204-1,"")</f>
        <v>-0.23402236497458773</v>
      </c>
      <c r="HT204" s="1519">
        <f t="shared" ref="HT204:HT215" si="1073">+IFERROR(HH204/HG204-1,"")</f>
        <v>-0.32533591991828714</v>
      </c>
      <c r="HU204" s="1519">
        <f t="shared" ref="HU204:HU215" si="1074">+IFERROR(HI204/HH204-1,"")</f>
        <v>0.17663576032540074</v>
      </c>
      <c r="HV204" s="1519">
        <f t="shared" ref="HV204:HV215" si="1075">+IFERROR(HJ204/HI204-1,"")</f>
        <v>7.5448295151938405E-2</v>
      </c>
      <c r="HW204" s="1519">
        <f t="shared" ref="HW204:HW215" si="1076">+IFERROR(HK204/HJ204-1,"")</f>
        <v>0.13673693288242972</v>
      </c>
      <c r="HX204" s="1519">
        <f t="shared" ref="HX204:HZ215" si="1077">+IFERROR(HL204/HK204-1,"")</f>
        <v>-1.5660806975915431E-2</v>
      </c>
      <c r="HY204" s="1519">
        <f t="shared" si="1077"/>
        <v>8.983614603582879E-3</v>
      </c>
      <c r="HZ204" s="1519">
        <f t="shared" si="1077"/>
        <v>0.10973394886491183</v>
      </c>
      <c r="IA204" s="1519">
        <f t="shared" si="1036"/>
        <v>-1</v>
      </c>
      <c r="IB204" s="1519" t="str">
        <f t="shared" ref="IB204:IB213" si="1078">+IFERROR(HP204/HO204-1,"")</f>
        <v/>
      </c>
      <c r="IC204" s="1519">
        <f t="shared" si="1037"/>
        <v>-1</v>
      </c>
      <c r="IE204" s="1515">
        <f t="shared" ref="IE204:IE215" si="1079">+HF204-HE204</f>
        <v>3001.1840170399973</v>
      </c>
      <c r="IF204" s="1515">
        <f t="shared" ref="IF204:IF215" si="1080">+HG204-HF204</f>
        <v>-4030.7497205700001</v>
      </c>
      <c r="IG204" s="1515">
        <f t="shared" ref="IG204:IG215" si="1081">+HH204-HG204</f>
        <v>-4292.1666301899986</v>
      </c>
      <c r="IH204" s="1515">
        <f t="shared" ref="IH204:IH215" si="1082">+HI204-HH204</f>
        <v>1572.2108115699957</v>
      </c>
      <c r="II204" s="1515">
        <f t="shared" si="1045"/>
        <v>790.17561022000154</v>
      </c>
      <c r="IJ204" s="1515">
        <f t="shared" si="1046"/>
        <v>1540.1022638399991</v>
      </c>
      <c r="IK204" s="1515">
        <f t="shared" si="1047"/>
        <v>-200.51082896999651</v>
      </c>
      <c r="IL204" s="1515">
        <f t="shared" si="1038"/>
        <v>-12602.841468160001</v>
      </c>
      <c r="IM204" s="1515">
        <f t="shared" ref="IM204:IM213" si="1083">+HP204-HO204</f>
        <v>0</v>
      </c>
      <c r="IN204" s="1515">
        <f t="shared" si="1039"/>
        <v>-12602.841468160001</v>
      </c>
      <c r="IP204" s="1548"/>
      <c r="IQ204" s="1548"/>
      <c r="IR204" s="1548"/>
      <c r="IS204" s="1548"/>
      <c r="IT204" s="1548"/>
      <c r="IU204" s="1548"/>
      <c r="IV204" s="1548"/>
      <c r="IW204" s="1548"/>
      <c r="IX204" s="1548"/>
      <c r="IY204" s="1548"/>
      <c r="JA204" s="1515">
        <f t="shared" ref="JA204:JK216" si="1084">+IFERROR(SUMIFS($E204:$EG204,$E$6:$EG$6,JA$7,$E$5:$EG$5,$JC$5),"NA")</f>
        <v>11137.424337410004</v>
      </c>
      <c r="JB204" s="1515">
        <f t="shared" si="1084"/>
        <v>14222.595945220002</v>
      </c>
      <c r="JC204" s="1515">
        <f t="shared" si="1084"/>
        <v>17223.77996226</v>
      </c>
      <c r="JD204" s="1515">
        <f t="shared" si="1084"/>
        <v>13193.030241689999</v>
      </c>
      <c r="JE204" s="1515">
        <f t="shared" si="1084"/>
        <v>8900.8636115000008</v>
      </c>
      <c r="JF204" s="1515">
        <f t="shared" si="1084"/>
        <v>10473.074423069997</v>
      </c>
      <c r="JG204" s="1515">
        <f t="shared" si="1084"/>
        <v>11263.250033289998</v>
      </c>
      <c r="JH204" s="1515">
        <f t="shared" si="1084"/>
        <v>12803.352297129997</v>
      </c>
      <c r="JI204" s="1515">
        <f t="shared" si="1084"/>
        <v>12602.841468160001</v>
      </c>
      <c r="JJ204" s="1515">
        <f t="shared" si="1084"/>
        <v>12716.060538820004</v>
      </c>
      <c r="JK204" s="1515">
        <f t="shared" si="1084"/>
        <v>14111.444075750002</v>
      </c>
      <c r="JL204" s="1515">
        <f t="shared" ref="JL204:JL216" si="1085">+IFERROR(SUMIFS($E204:$EF204,$E$6:$EF$6,JL$7,$E$5:$EF$5,$JC$5),"NA")</f>
        <v>14111.444075750002</v>
      </c>
      <c r="JM204" s="1515"/>
      <c r="JN204" s="1515"/>
      <c r="JP204" s="1515">
        <f t="shared" ref="JP204:JP216" si="1086">+JN204</f>
        <v>0</v>
      </c>
      <c r="JQ204" s="1515">
        <f t="shared" ref="JQ204:JQ216" si="1087">+JM204</f>
        <v>0</v>
      </c>
      <c r="JR204" s="939"/>
      <c r="JS204" s="1519" t="str">
        <f t="shared" ref="JS204:JS215" si="1088">+IFERROR(JP204/JQ204,"NA")</f>
        <v>NA</v>
      </c>
      <c r="JT204" s="1523">
        <f t="shared" ref="JT204:JT215" si="1089">+IFERROR(JP204-JQ204,"NA")</f>
        <v>0</v>
      </c>
      <c r="JV204" s="973"/>
      <c r="JW204" s="973"/>
      <c r="JY204" s="1520">
        <f t="shared" ref="JY204:KE204" si="1090">+IFERROR(JC204/JB204-1,"NA")</f>
        <v>0.21101520626750636</v>
      </c>
      <c r="JZ204" s="1520">
        <f t="shared" si="1090"/>
        <v>-0.23402236497458773</v>
      </c>
      <c r="KA204" s="1520">
        <f t="shared" si="1090"/>
        <v>-0.32533591991828714</v>
      </c>
      <c r="KB204" s="1520">
        <f t="shared" si="1090"/>
        <v>0.17663576032540074</v>
      </c>
      <c r="KC204" s="1520">
        <f t="shared" si="1090"/>
        <v>7.5448295151938405E-2</v>
      </c>
      <c r="KD204" s="1520">
        <f t="shared" si="1090"/>
        <v>0.13673693288242972</v>
      </c>
      <c r="KE204" s="1520">
        <f t="shared" si="1090"/>
        <v>-1.5660806975915431E-2</v>
      </c>
      <c r="KF204" s="1520">
        <f>+IFERROR(JN204/JI204-1,"NA")</f>
        <v>-1</v>
      </c>
      <c r="KH204" s="1515">
        <f t="shared" ref="KH204:KH216" si="1091">+JC204-JB204</f>
        <v>3001.1840170399973</v>
      </c>
      <c r="KI204" s="1515">
        <f t="shared" ref="KI204:KI216" si="1092">+JD204-JC204</f>
        <v>-4030.7497205700001</v>
      </c>
      <c r="KJ204" s="1515">
        <f t="shared" ref="KJ204:KJ216" si="1093">+JE204-JD204</f>
        <v>-4292.1666301899986</v>
      </c>
      <c r="KK204" s="1515">
        <f t="shared" ref="KK204:KK216" si="1094">+JF204-JE204</f>
        <v>1572.2108115699957</v>
      </c>
      <c r="KL204" s="1515">
        <f t="shared" ref="KL204:KL216" si="1095">+JG204-JF204</f>
        <v>790.17561022000154</v>
      </c>
      <c r="KM204" s="1515">
        <f t="shared" ref="KM204:KM216" si="1096">+JH204-JG204</f>
        <v>1540.1022638399991</v>
      </c>
      <c r="KN204" s="1515">
        <f t="shared" ref="KN204:KN216" si="1097">+JI204-JH204</f>
        <v>-200.51082896999651</v>
      </c>
      <c r="KO204" s="1515">
        <f t="shared" ref="KO204:KO216" si="1098">+JN204-JI204</f>
        <v>-12602.841468160001</v>
      </c>
      <c r="KQ204" s="1548"/>
      <c r="KR204" s="1548"/>
      <c r="KS204" s="1548"/>
      <c r="KT204" s="1548"/>
      <c r="KU204" s="1548"/>
      <c r="KV204" s="1548"/>
      <c r="KW204" s="1548"/>
      <c r="KX204" s="1548"/>
      <c r="KY204" s="1548"/>
      <c r="KZ204" s="1548"/>
      <c r="LB204" s="1515">
        <f t="shared" ref="LB204:LM216" si="1099">+SUMIFS($E204:$EG204,$E$6:$EG$6,LB$7,$E$5:$EG$5,$LD$5)</f>
        <v>11137.424337410004</v>
      </c>
      <c r="LC204" s="1515">
        <f t="shared" si="1099"/>
        <v>14222.595945220002</v>
      </c>
      <c r="LD204" s="1515">
        <f t="shared" si="1099"/>
        <v>17223.77996226</v>
      </c>
      <c r="LE204" s="1515">
        <f t="shared" si="1099"/>
        <v>13193.030241689999</v>
      </c>
      <c r="LF204" s="1515">
        <f t="shared" si="1099"/>
        <v>8900.8636115000008</v>
      </c>
      <c r="LG204" s="1515">
        <f t="shared" si="1099"/>
        <v>10473.074423069997</v>
      </c>
      <c r="LH204" s="1515">
        <f t="shared" si="1099"/>
        <v>11263.250033289998</v>
      </c>
      <c r="LI204" s="1515">
        <f t="shared" si="1099"/>
        <v>12803.352297129997</v>
      </c>
      <c r="LJ204" s="1515">
        <f t="shared" si="1099"/>
        <v>12602.841468160001</v>
      </c>
      <c r="LK204" s="1515">
        <f t="shared" si="1099"/>
        <v>12716.060538820004</v>
      </c>
      <c r="LL204" s="1515">
        <f t="shared" si="1099"/>
        <v>14111.444075750002</v>
      </c>
      <c r="LM204" s="1515">
        <f t="shared" si="1099"/>
        <v>14111.444075750002</v>
      </c>
      <c r="LN204" s="1515"/>
      <c r="LO204" s="1515"/>
      <c r="LR204" s="1520">
        <f t="shared" ref="LR204:LR216" si="1100">+IFERROR(LD204/LC204-1," ")</f>
        <v>0.21101520626750636</v>
      </c>
      <c r="LS204" s="1520">
        <f t="shared" ref="LS204:LS216" si="1101">+IFERROR(LE204/LD204-1," ")</f>
        <v>-0.23402236497458773</v>
      </c>
      <c r="LT204" s="1520">
        <f t="shared" ref="LT204:LT216" si="1102">+IFERROR(LF204/LE204-1," ")</f>
        <v>-0.32533591991828714</v>
      </c>
      <c r="LU204" s="1520">
        <f t="shared" ref="LU204:LU216" si="1103">+IFERROR(LG204/LF204-1," ")</f>
        <v>0.17663576032540074</v>
      </c>
      <c r="LV204" s="1520">
        <f t="shared" ref="LV204:LV216" si="1104">+IFERROR(LH204/LG204-1," ")</f>
        <v>7.5448295151938405E-2</v>
      </c>
      <c r="LW204" s="1520">
        <f t="shared" ref="LW204:LW216" si="1105">+IFERROR(LI204/LH204-1," ")</f>
        <v>0.13673693288242972</v>
      </c>
      <c r="LX204" s="1520">
        <f t="shared" si="963"/>
        <v>-1</v>
      </c>
      <c r="LZ204" s="1515">
        <f t="shared" ref="LZ204:LZ216" si="1106">+LD204-LC204</f>
        <v>3001.1840170399973</v>
      </c>
      <c r="MA204" s="1515">
        <f t="shared" ref="MA204:MA216" si="1107">+LE204-LD204</f>
        <v>-4030.7497205700001</v>
      </c>
      <c r="MB204" s="1515">
        <f t="shared" ref="MB204:MB216" si="1108">+LF204-LE204</f>
        <v>-4292.1666301899986</v>
      </c>
      <c r="MC204" s="1515">
        <f t="shared" ref="MC204:MC216" si="1109">+LG204-LF204</f>
        <v>1572.2108115699957</v>
      </c>
      <c r="MD204" s="1515">
        <f t="shared" ref="MD204:MD216" si="1110">+LH204-LG204</f>
        <v>790.17561022000154</v>
      </c>
      <c r="ME204" s="1515">
        <f t="shared" ref="ME204:ME216" si="1111">+LI204-LH204</f>
        <v>1540.1022638399991</v>
      </c>
      <c r="MF204" s="1515">
        <f t="shared" si="964"/>
        <v>-12803.352297129997</v>
      </c>
      <c r="MH204" s="1548"/>
      <c r="MI204" s="1548"/>
      <c r="MJ204" s="1548"/>
      <c r="MK204" s="1548"/>
      <c r="ML204" s="1548"/>
      <c r="MM204" s="1548"/>
      <c r="MN204" s="1548"/>
      <c r="MO204" s="1548"/>
      <c r="MP204" s="1548"/>
    </row>
    <row r="205" spans="1:354" outlineLevel="1">
      <c r="A205" s="884">
        <v>31</v>
      </c>
      <c r="B205" s="70" t="s">
        <v>754</v>
      </c>
      <c r="C205" s="17" t="s">
        <v>153</v>
      </c>
      <c r="D205" s="31" t="s">
        <v>59</v>
      </c>
      <c r="E205" s="924">
        <v>320</v>
      </c>
      <c r="F205" s="924">
        <v>320</v>
      </c>
      <c r="G205" s="924">
        <v>320</v>
      </c>
      <c r="H205" s="924">
        <v>320</v>
      </c>
      <c r="I205" s="924">
        <v>320</v>
      </c>
      <c r="J205" s="924">
        <v>320</v>
      </c>
      <c r="K205" s="924">
        <v>320</v>
      </c>
      <c r="L205" s="924">
        <v>320</v>
      </c>
      <c r="M205" s="924">
        <v>496</v>
      </c>
      <c r="N205" s="924">
        <v>320</v>
      </c>
      <c r="O205" s="924">
        <v>320</v>
      </c>
      <c r="P205" s="924">
        <v>320</v>
      </c>
      <c r="Q205" s="924">
        <v>320</v>
      </c>
      <c r="R205" s="924">
        <v>320</v>
      </c>
      <c r="S205" s="924">
        <v>320</v>
      </c>
      <c r="T205" s="924">
        <v>320</v>
      </c>
      <c r="U205" s="924">
        <v>320</v>
      </c>
      <c r="V205" s="924">
        <v>320</v>
      </c>
      <c r="W205" s="924">
        <v>320</v>
      </c>
      <c r="X205" s="924">
        <v>320</v>
      </c>
      <c r="Y205" s="924">
        <v>320</v>
      </c>
      <c r="Z205" s="924">
        <v>320</v>
      </c>
      <c r="AA205" s="924">
        <v>320</v>
      </c>
      <c r="AB205" s="924">
        <v>4000</v>
      </c>
      <c r="AC205" s="924">
        <v>4000</v>
      </c>
      <c r="AD205" s="924">
        <v>4000</v>
      </c>
      <c r="AE205" s="924">
        <v>4000</v>
      </c>
      <c r="AF205" s="924">
        <v>4000</v>
      </c>
      <c r="AG205" s="924">
        <v>4000</v>
      </c>
      <c r="AH205" s="924">
        <v>4000</v>
      </c>
      <c r="AI205" s="924">
        <v>4000</v>
      </c>
      <c r="AJ205" s="924">
        <v>4000</v>
      </c>
      <c r="AK205" s="924">
        <v>4000</v>
      </c>
      <c r="AL205" s="924">
        <v>4000</v>
      </c>
      <c r="AM205" s="924">
        <v>4000</v>
      </c>
      <c r="AN205" s="102">
        <v>4000</v>
      </c>
      <c r="AO205" s="924">
        <v>4000</v>
      </c>
      <c r="AP205" s="924">
        <v>4000</v>
      </c>
      <c r="AQ205" s="924">
        <v>4000</v>
      </c>
      <c r="AR205" s="924">
        <v>4000</v>
      </c>
      <c r="AS205" s="924">
        <v>4000</v>
      </c>
      <c r="AT205" s="924">
        <v>4000</v>
      </c>
      <c r="AU205" s="924">
        <v>4000</v>
      </c>
      <c r="AV205" s="924">
        <v>4000</v>
      </c>
      <c r="AW205" s="924">
        <v>4000</v>
      </c>
      <c r="AX205" s="924">
        <v>4000</v>
      </c>
      <c r="AY205" s="924">
        <v>4000</v>
      </c>
      <c r="AZ205" s="102">
        <v>4000</v>
      </c>
      <c r="BA205" s="102">
        <v>4000</v>
      </c>
      <c r="BB205" s="102">
        <v>4000</v>
      </c>
      <c r="BC205" s="102">
        <v>4000</v>
      </c>
      <c r="BD205" s="102">
        <v>4000</v>
      </c>
      <c r="BE205" s="924">
        <v>4000</v>
      </c>
      <c r="BF205" s="924">
        <v>4000</v>
      </c>
      <c r="BG205" s="924">
        <v>4340</v>
      </c>
      <c r="BH205" s="924">
        <v>4340</v>
      </c>
      <c r="BI205" s="924">
        <v>4340</v>
      </c>
      <c r="BJ205" s="924">
        <v>4340</v>
      </c>
      <c r="BK205" s="102">
        <v>4340</v>
      </c>
      <c r="BL205" s="102">
        <v>4340</v>
      </c>
      <c r="BM205" s="102">
        <v>4340</v>
      </c>
      <c r="BN205" s="102">
        <v>4340</v>
      </c>
      <c r="BO205" s="102">
        <v>4340</v>
      </c>
      <c r="BP205" s="102">
        <v>4340</v>
      </c>
      <c r="BQ205" s="924">
        <v>4340</v>
      </c>
      <c r="BR205" s="924">
        <v>4340</v>
      </c>
      <c r="BS205" s="924">
        <v>4340</v>
      </c>
      <c r="BT205" s="924">
        <v>4340</v>
      </c>
      <c r="BU205" s="924">
        <v>4340</v>
      </c>
      <c r="BV205" s="924">
        <v>4340</v>
      </c>
      <c r="BW205" s="102">
        <v>4340</v>
      </c>
      <c r="BX205" s="102">
        <v>4340</v>
      </c>
      <c r="BY205" s="102">
        <v>4340</v>
      </c>
      <c r="BZ205" s="102">
        <v>4340</v>
      </c>
      <c r="CA205" s="102">
        <v>4340</v>
      </c>
      <c r="CB205" s="102">
        <v>4340</v>
      </c>
      <c r="CC205" s="102">
        <v>4340</v>
      </c>
      <c r="CD205" s="102">
        <v>4340</v>
      </c>
      <c r="CE205" s="102">
        <v>4761.8440000000001</v>
      </c>
      <c r="CF205" s="102">
        <v>4761.8440000000001</v>
      </c>
      <c r="CG205" s="102">
        <v>4761.8440000000001</v>
      </c>
      <c r="CH205" s="102">
        <v>4761.8440000000001</v>
      </c>
      <c r="CI205" s="102">
        <v>4761.8440000000001</v>
      </c>
      <c r="CJ205" s="102">
        <v>4761.8440000000001</v>
      </c>
      <c r="CK205" s="102">
        <v>4761.8440000000001</v>
      </c>
      <c r="CL205" s="102">
        <v>4761.8440000000001</v>
      </c>
      <c r="CM205" s="102">
        <v>4761.8440000000001</v>
      </c>
      <c r="CN205" s="102">
        <v>4761.8440000000001</v>
      </c>
      <c r="CO205" s="102">
        <v>4761.8440000000001</v>
      </c>
      <c r="CP205" s="102">
        <v>4761.8440000000001</v>
      </c>
      <c r="CQ205" s="102">
        <v>4761.8440000000001</v>
      </c>
      <c r="CR205" s="102">
        <v>4761.8440000000001</v>
      </c>
      <c r="CS205" s="102">
        <v>4761.8440000000001</v>
      </c>
      <c r="CT205" s="102">
        <v>4761.8440000000001</v>
      </c>
      <c r="CU205" s="102">
        <v>4761.8440000000001</v>
      </c>
      <c r="CV205" s="102">
        <v>4761.8440000000001</v>
      </c>
      <c r="CW205" s="102">
        <v>4761.8440000000001</v>
      </c>
      <c r="CX205" s="102">
        <v>4761.8440000000001</v>
      </c>
      <c r="CY205" s="102">
        <v>4761.8440000000001</v>
      </c>
      <c r="CZ205" s="102">
        <v>4761.8440000000001</v>
      </c>
      <c r="DA205" s="102">
        <v>4761.8440000000001</v>
      </c>
      <c r="DB205" s="102">
        <v>4761.8440000000001</v>
      </c>
      <c r="DC205" s="102">
        <v>4761.8440000000001</v>
      </c>
      <c r="DD205" s="102">
        <v>4761.8440000000001</v>
      </c>
      <c r="DE205" s="102">
        <v>4761.8440000000001</v>
      </c>
      <c r="DF205" s="102">
        <v>4761.8440000000001</v>
      </c>
      <c r="DG205" s="102">
        <v>4761.8440000000001</v>
      </c>
      <c r="DH205" s="102">
        <v>4761.8440000000001</v>
      </c>
      <c r="DI205" s="102">
        <v>4761.8440000000001</v>
      </c>
      <c r="DJ205" s="102">
        <v>4761.8440000000001</v>
      </c>
      <c r="DK205" s="102">
        <v>4761.8440000000001</v>
      </c>
      <c r="DL205" s="102">
        <v>4761.8440000000001</v>
      </c>
      <c r="DM205" s="102">
        <v>4761.8440000000001</v>
      </c>
      <c r="DN205" s="102">
        <v>4761.8440000000001</v>
      </c>
      <c r="DO205" s="102">
        <v>4761.8440000000001</v>
      </c>
      <c r="DP205" s="102">
        <v>4761.8440000000001</v>
      </c>
      <c r="DQ205" s="940">
        <v>4761.8440000000001</v>
      </c>
      <c r="DR205" s="940">
        <v>4761.8440000000001</v>
      </c>
      <c r="DS205" s="940">
        <v>4761.8440000000001</v>
      </c>
      <c r="DT205" s="940">
        <v>4761.8440000000001</v>
      </c>
      <c r="DU205" s="940">
        <v>4761.8440000000001</v>
      </c>
      <c r="DV205" s="940">
        <v>4761.8440000000001</v>
      </c>
      <c r="DW205" s="940">
        <v>4761.8440000000001</v>
      </c>
      <c r="DX205" s="940">
        <v>4761.8440000000001</v>
      </c>
      <c r="DY205" s="940">
        <v>4761.8440000000001</v>
      </c>
      <c r="DZ205" s="940">
        <v>4761.8440000000001</v>
      </c>
      <c r="EA205" s="940">
        <v>4761.8440000000001</v>
      </c>
      <c r="EB205" s="940">
        <v>4761.8440000000001</v>
      </c>
      <c r="EC205" s="940">
        <v>4761.8440000000001</v>
      </c>
      <c r="ED205" s="940">
        <v>4761.8440000000001</v>
      </c>
      <c r="EE205" s="940">
        <v>4761.8440000000001</v>
      </c>
      <c r="EF205" s="940">
        <v>4761.8440000000001</v>
      </c>
      <c r="EH205" s="102">
        <v>4761.8440000000001</v>
      </c>
      <c r="EI205" s="102">
        <v>4761.8440000000001</v>
      </c>
      <c r="EJ205" s="102">
        <v>4761.8440000000001</v>
      </c>
      <c r="EK205" s="102">
        <v>4761.8440000000001</v>
      </c>
      <c r="EL205" s="102">
        <v>4761.8440000000001</v>
      </c>
      <c r="EM205" s="102">
        <v>4761.8440000000001</v>
      </c>
      <c r="EN205" s="102">
        <v>4761.8440000000001</v>
      </c>
      <c r="EO205" s="102">
        <v>4761.8440000000001</v>
      </c>
      <c r="EP205" s="102">
        <v>4761.8440000000001</v>
      </c>
      <c r="EQ205" s="102">
        <v>4761.8440000000001</v>
      </c>
      <c r="ER205" s="102">
        <v>4761.8440000000001</v>
      </c>
      <c r="ES205" s="102">
        <v>4761.8440000000001</v>
      </c>
      <c r="EU205" s="924">
        <v>4000</v>
      </c>
      <c r="EV205" s="924">
        <v>4000</v>
      </c>
      <c r="EW205" s="924">
        <v>4000</v>
      </c>
      <c r="EX205" s="924">
        <v>4000</v>
      </c>
      <c r="EY205" s="924">
        <v>4000</v>
      </c>
      <c r="EZ205" s="924">
        <v>4000</v>
      </c>
      <c r="FA205" s="924">
        <v>4000</v>
      </c>
      <c r="FB205" s="924">
        <v>4000</v>
      </c>
      <c r="FC205" s="924">
        <v>4000</v>
      </c>
      <c r="FD205" s="924">
        <v>4000</v>
      </c>
      <c r="FE205" s="924">
        <v>4000</v>
      </c>
      <c r="FF205" s="924">
        <v>4000</v>
      </c>
      <c r="FG205" s="924">
        <v>4000</v>
      </c>
      <c r="FH205" s="924">
        <v>4000</v>
      </c>
      <c r="FI205" s="924">
        <v>4000</v>
      </c>
      <c r="FJ205" s="924">
        <v>4000</v>
      </c>
      <c r="FK205" s="924">
        <v>4000</v>
      </c>
      <c r="FL205" s="924">
        <v>4000</v>
      </c>
      <c r="FM205" s="924">
        <v>4000</v>
      </c>
      <c r="FN205" s="924">
        <v>4000</v>
      </c>
      <c r="FO205" s="924">
        <v>4000</v>
      </c>
      <c r="FP205" s="924">
        <v>4000</v>
      </c>
      <c r="FQ205" s="924">
        <v>4000</v>
      </c>
      <c r="FR205" s="924">
        <v>4000</v>
      </c>
      <c r="FS205" s="924">
        <v>4340</v>
      </c>
      <c r="FT205" s="924">
        <v>4340</v>
      </c>
      <c r="FU205" s="924">
        <v>4340</v>
      </c>
      <c r="FV205" s="924">
        <v>4340</v>
      </c>
      <c r="FW205" s="924">
        <v>4340</v>
      </c>
      <c r="FX205" s="924">
        <v>4340</v>
      </c>
      <c r="FY205" s="924">
        <v>4340</v>
      </c>
      <c r="FZ205" s="924">
        <v>4340</v>
      </c>
      <c r="GA205" s="924">
        <v>4340</v>
      </c>
      <c r="GB205" s="924">
        <v>4340</v>
      </c>
      <c r="GC205" s="924">
        <v>4340</v>
      </c>
      <c r="GD205" s="924">
        <v>4340</v>
      </c>
      <c r="GE205" s="102">
        <v>0</v>
      </c>
      <c r="GF205" s="102">
        <v>0</v>
      </c>
      <c r="GG205" s="102">
        <v>0</v>
      </c>
      <c r="GH205" s="102">
        <v>0</v>
      </c>
      <c r="GI205" s="102">
        <v>0</v>
      </c>
      <c r="GJ205" s="102">
        <v>0</v>
      </c>
      <c r="GK205" s="102">
        <v>0</v>
      </c>
      <c r="GL205" s="102">
        <v>0</v>
      </c>
      <c r="GM205" s="102">
        <v>0</v>
      </c>
      <c r="GN205" s="102">
        <v>0</v>
      </c>
      <c r="GO205" s="102">
        <v>0</v>
      </c>
      <c r="GP205" s="102">
        <v>0</v>
      </c>
      <c r="GQ205" s="102">
        <v>0</v>
      </c>
      <c r="GR205" s="102">
        <v>0</v>
      </c>
      <c r="GS205" s="102">
        <v>0</v>
      </c>
      <c r="GT205" s="102">
        <v>0</v>
      </c>
      <c r="GU205" s="102">
        <v>0</v>
      </c>
      <c r="GV205" s="102">
        <v>0</v>
      </c>
      <c r="GW205" s="102">
        <v>0</v>
      </c>
      <c r="GX205" s="102">
        <v>0</v>
      </c>
      <c r="GY205" s="102">
        <v>0</v>
      </c>
      <c r="GZ205" s="102">
        <v>0</v>
      </c>
      <c r="HA205" s="102">
        <v>0</v>
      </c>
      <c r="HB205" s="102">
        <v>0</v>
      </c>
      <c r="HD205" s="924">
        <f t="shared" si="1068"/>
        <v>320</v>
      </c>
      <c r="HE205" s="924">
        <f t="shared" si="1068"/>
        <v>4000</v>
      </c>
      <c r="HF205" s="924">
        <f t="shared" si="1068"/>
        <v>4000</v>
      </c>
      <c r="HG205" s="924">
        <f t="shared" si="1068"/>
        <v>4000</v>
      </c>
      <c r="HH205" s="924">
        <f t="shared" si="1069"/>
        <v>4340</v>
      </c>
      <c r="HI205" s="924">
        <f t="shared" si="1070"/>
        <v>4340</v>
      </c>
      <c r="HJ205" s="924">
        <f t="shared" si="961"/>
        <v>4761.8440000000001</v>
      </c>
      <c r="HK205" s="924">
        <f t="shared" si="962"/>
        <v>4761.8440000000001</v>
      </c>
      <c r="HL205" s="960">
        <f>+SUMIFS($E205:SEW205,$E$6:SEW$6,HL$7,$E$5:SEW$5,12)</f>
        <v>4761.8440000000001</v>
      </c>
      <c r="HM205" s="960">
        <f>+SUMIFS($E205:SEX205,$E$6:SEX$6,HM$7,$E$5:SEX$5,12)</f>
        <v>4761.8440000000001</v>
      </c>
      <c r="HN205" s="960">
        <f>+SUMIFS($E205:SEY205,$E$6:SEY$6,HN$7,$E$5:SEY$5,12)</f>
        <v>4761.8440000000001</v>
      </c>
      <c r="HO205" s="924"/>
      <c r="HP205" s="924"/>
      <c r="HR205" s="927">
        <f t="shared" si="1071"/>
        <v>0</v>
      </c>
      <c r="HS205" s="927">
        <f t="shared" si="1072"/>
        <v>0</v>
      </c>
      <c r="HT205" s="927">
        <f t="shared" si="1073"/>
        <v>8.4999999999999964E-2</v>
      </c>
      <c r="HU205" s="927">
        <f t="shared" si="1074"/>
        <v>0</v>
      </c>
      <c r="HV205" s="927">
        <f t="shared" si="1075"/>
        <v>9.7199078341013934E-2</v>
      </c>
      <c r="HW205" s="927">
        <f t="shared" si="1076"/>
        <v>0</v>
      </c>
      <c r="HX205" s="927">
        <f t="shared" si="1077"/>
        <v>0</v>
      </c>
      <c r="HY205" s="927">
        <f t="shared" si="1077"/>
        <v>0</v>
      </c>
      <c r="HZ205" s="927">
        <f t="shared" si="1077"/>
        <v>0</v>
      </c>
      <c r="IA205" s="927">
        <f t="shared" si="1036"/>
        <v>-1</v>
      </c>
      <c r="IB205" s="927" t="str">
        <f t="shared" si="1078"/>
        <v/>
      </c>
      <c r="IC205" s="927">
        <f t="shared" si="1037"/>
        <v>-1</v>
      </c>
      <c r="IE205" s="924">
        <f t="shared" si="1079"/>
        <v>0</v>
      </c>
      <c r="IF205" s="924">
        <f t="shared" si="1080"/>
        <v>0</v>
      </c>
      <c r="IG205" s="924">
        <f t="shared" si="1081"/>
        <v>340</v>
      </c>
      <c r="IH205" s="924">
        <f t="shared" si="1082"/>
        <v>0</v>
      </c>
      <c r="II205" s="924">
        <f t="shared" si="1045"/>
        <v>421.84400000000005</v>
      </c>
      <c r="IJ205" s="924">
        <f t="shared" si="1046"/>
        <v>0</v>
      </c>
      <c r="IK205" s="924">
        <f t="shared" si="1047"/>
        <v>0</v>
      </c>
      <c r="IL205" s="924">
        <f t="shared" si="1038"/>
        <v>-4761.8440000000001</v>
      </c>
      <c r="IM205" s="924">
        <f t="shared" si="1083"/>
        <v>0</v>
      </c>
      <c r="IN205" s="924">
        <f t="shared" si="1039"/>
        <v>-4761.8440000000001</v>
      </c>
      <c r="IP205" s="973"/>
      <c r="IQ205" s="973"/>
      <c r="IR205" s="973"/>
      <c r="IS205" s="973"/>
      <c r="IT205" s="973"/>
      <c r="IU205" s="973"/>
      <c r="IV205" s="973"/>
      <c r="IW205" s="973"/>
      <c r="IX205" s="973"/>
      <c r="IY205" s="973"/>
      <c r="JA205" s="924">
        <f t="shared" si="1084"/>
        <v>320</v>
      </c>
      <c r="JB205" s="924">
        <f t="shared" si="1084"/>
        <v>4000</v>
      </c>
      <c r="JC205" s="924">
        <f t="shared" si="1084"/>
        <v>4000</v>
      </c>
      <c r="JD205" s="924">
        <f t="shared" si="1084"/>
        <v>4000</v>
      </c>
      <c r="JE205" s="924">
        <f t="shared" si="1084"/>
        <v>4340</v>
      </c>
      <c r="JF205" s="924">
        <f t="shared" si="1084"/>
        <v>4340</v>
      </c>
      <c r="JG205" s="924">
        <f t="shared" si="1084"/>
        <v>4761.8440000000001</v>
      </c>
      <c r="JH205" s="924">
        <f t="shared" si="1084"/>
        <v>4761.8440000000001</v>
      </c>
      <c r="JI205" s="924">
        <f t="shared" si="1084"/>
        <v>4761.8440000000001</v>
      </c>
      <c r="JJ205" s="924">
        <f t="shared" si="1084"/>
        <v>4761.8440000000001</v>
      </c>
      <c r="JK205" s="924">
        <f t="shared" si="1084"/>
        <v>4761.8440000000001</v>
      </c>
      <c r="JL205" s="924">
        <f t="shared" si="1085"/>
        <v>4761.8440000000001</v>
      </c>
      <c r="JM205" s="924"/>
      <c r="JN205" s="924"/>
      <c r="JP205" s="924">
        <f t="shared" si="1086"/>
        <v>0</v>
      </c>
      <c r="JQ205" s="924">
        <f t="shared" si="1087"/>
        <v>0</v>
      </c>
      <c r="JR205" s="145"/>
      <c r="JS205" s="927" t="str">
        <f t="shared" si="1088"/>
        <v>NA</v>
      </c>
      <c r="JT205" s="928">
        <f t="shared" si="1089"/>
        <v>0</v>
      </c>
      <c r="JV205" s="973"/>
      <c r="JW205" s="973"/>
      <c r="JY205" s="927">
        <f t="shared" ref="JY205:JY216" si="1112">+IFERROR(JC205/JB205-1,"")</f>
        <v>0</v>
      </c>
      <c r="JZ205" s="927">
        <f t="shared" ref="JZ205:JZ216" si="1113">+IFERROR(JD205/JC205-1,"")</f>
        <v>0</v>
      </c>
      <c r="KA205" s="927">
        <f t="shared" ref="KA205:KA216" si="1114">+IFERROR(JE205/JD205-1,"")</f>
        <v>8.4999999999999964E-2</v>
      </c>
      <c r="KB205" s="927">
        <f t="shared" ref="KB205:KB216" si="1115">+IFERROR(JF205/JE205-1,"")</f>
        <v>0</v>
      </c>
      <c r="KC205" s="927">
        <f t="shared" ref="KC205:KC216" si="1116">+IFERROR(JG205/JF205-1,"")</f>
        <v>9.7199078341013934E-2</v>
      </c>
      <c r="KD205" s="927">
        <f t="shared" ref="KD205:KD216" si="1117">+IFERROR(JH205/JG205-1,"")</f>
        <v>0</v>
      </c>
      <c r="KE205" s="927">
        <f t="shared" ref="KE205:KE216" si="1118">+IFERROR(JI205/JH205-1,"")</f>
        <v>0</v>
      </c>
      <c r="KF205" s="927">
        <f t="shared" ref="KF205:KF216" si="1119">+IFERROR(JN205/JI205-1,"")</f>
        <v>-1</v>
      </c>
      <c r="KH205" s="924">
        <f t="shared" si="1091"/>
        <v>0</v>
      </c>
      <c r="KI205" s="924">
        <f t="shared" si="1092"/>
        <v>0</v>
      </c>
      <c r="KJ205" s="924">
        <f t="shared" si="1093"/>
        <v>340</v>
      </c>
      <c r="KK205" s="924">
        <f t="shared" si="1094"/>
        <v>0</v>
      </c>
      <c r="KL205" s="924">
        <f t="shared" si="1095"/>
        <v>421.84400000000005</v>
      </c>
      <c r="KM205" s="924">
        <f t="shared" si="1096"/>
        <v>0</v>
      </c>
      <c r="KN205" s="924">
        <f t="shared" si="1097"/>
        <v>0</v>
      </c>
      <c r="KO205" s="924">
        <f t="shared" si="1098"/>
        <v>-4761.8440000000001</v>
      </c>
      <c r="KQ205" s="973"/>
      <c r="KR205" s="973"/>
      <c r="KS205" s="973"/>
      <c r="KT205" s="973"/>
      <c r="KU205" s="973"/>
      <c r="KV205" s="973"/>
      <c r="KW205" s="973"/>
      <c r="KX205" s="973"/>
      <c r="KY205" s="973"/>
      <c r="KZ205" s="973"/>
      <c r="LB205" s="924">
        <f t="shared" si="1099"/>
        <v>320</v>
      </c>
      <c r="LC205" s="924">
        <f t="shared" si="1099"/>
        <v>4000</v>
      </c>
      <c r="LD205" s="924">
        <f t="shared" si="1099"/>
        <v>4000</v>
      </c>
      <c r="LE205" s="924">
        <f t="shared" si="1099"/>
        <v>4000</v>
      </c>
      <c r="LF205" s="924">
        <f t="shared" si="1099"/>
        <v>4340</v>
      </c>
      <c r="LG205" s="924">
        <f t="shared" si="1099"/>
        <v>4340</v>
      </c>
      <c r="LH205" s="924">
        <f t="shared" si="1099"/>
        <v>4761.8440000000001</v>
      </c>
      <c r="LI205" s="924">
        <f t="shared" si="1099"/>
        <v>4761.8440000000001</v>
      </c>
      <c r="LJ205" s="924">
        <f t="shared" si="1099"/>
        <v>4761.8440000000001</v>
      </c>
      <c r="LK205" s="924">
        <f t="shared" si="1099"/>
        <v>4761.8440000000001</v>
      </c>
      <c r="LL205" s="924">
        <f t="shared" si="1099"/>
        <v>4761.8440000000001</v>
      </c>
      <c r="LM205" s="924">
        <f t="shared" si="1099"/>
        <v>4761.8440000000001</v>
      </c>
      <c r="LN205" s="924"/>
      <c r="LO205" s="924"/>
      <c r="LR205" s="76">
        <f t="shared" si="1100"/>
        <v>0</v>
      </c>
      <c r="LS205" s="76">
        <f t="shared" si="1101"/>
        <v>0</v>
      </c>
      <c r="LT205" s="76">
        <f t="shared" si="1102"/>
        <v>8.4999999999999964E-2</v>
      </c>
      <c r="LU205" s="76">
        <f t="shared" si="1103"/>
        <v>0</v>
      </c>
      <c r="LV205" s="76">
        <f t="shared" si="1104"/>
        <v>9.7199078341013934E-2</v>
      </c>
      <c r="LW205" s="76">
        <f t="shared" si="1105"/>
        <v>0</v>
      </c>
      <c r="LX205" s="76">
        <f t="shared" si="963"/>
        <v>-1</v>
      </c>
      <c r="LZ205" s="924">
        <f t="shared" si="1106"/>
        <v>0</v>
      </c>
      <c r="MA205" s="924">
        <f t="shared" si="1107"/>
        <v>0</v>
      </c>
      <c r="MB205" s="924">
        <f t="shared" si="1108"/>
        <v>340</v>
      </c>
      <c r="MC205" s="924">
        <f t="shared" si="1109"/>
        <v>0</v>
      </c>
      <c r="MD205" s="924">
        <f t="shared" si="1110"/>
        <v>421.84400000000005</v>
      </c>
      <c r="ME205" s="924">
        <f t="shared" si="1111"/>
        <v>0</v>
      </c>
      <c r="MF205" s="924">
        <f t="shared" si="964"/>
        <v>-4761.8440000000001</v>
      </c>
      <c r="MH205" s="973"/>
      <c r="MI205" s="973"/>
      <c r="MJ205" s="973"/>
      <c r="MK205" s="973"/>
      <c r="ML205" s="973"/>
      <c r="MM205" s="973"/>
      <c r="MN205" s="973"/>
      <c r="MO205" s="973"/>
      <c r="MP205" s="973"/>
    </row>
    <row r="206" spans="1:354" outlineLevel="1">
      <c r="A206" s="884">
        <v>32</v>
      </c>
      <c r="B206" s="70" t="s">
        <v>755</v>
      </c>
      <c r="C206" s="17" t="s">
        <v>154</v>
      </c>
      <c r="D206" s="31" t="s">
        <v>59</v>
      </c>
      <c r="E206" s="102">
        <v>0</v>
      </c>
      <c r="F206" s="102">
        <v>0</v>
      </c>
      <c r="G206" s="102">
        <v>0</v>
      </c>
      <c r="H206" s="102">
        <v>0</v>
      </c>
      <c r="I206" s="102">
        <v>0</v>
      </c>
      <c r="J206" s="102">
        <v>0</v>
      </c>
      <c r="K206" s="102">
        <v>0</v>
      </c>
      <c r="L206" s="102">
        <v>0</v>
      </c>
      <c r="M206" s="102">
        <v>14784</v>
      </c>
      <c r="N206" s="102">
        <v>0</v>
      </c>
      <c r="O206" s="102">
        <v>0</v>
      </c>
      <c r="P206" s="102">
        <v>0</v>
      </c>
      <c r="Q206" s="102">
        <v>0</v>
      </c>
      <c r="R206" s="102">
        <v>0</v>
      </c>
      <c r="S206" s="102">
        <v>0</v>
      </c>
      <c r="T206" s="102">
        <v>0</v>
      </c>
      <c r="U206" s="102">
        <v>0</v>
      </c>
      <c r="V206" s="102">
        <v>0</v>
      </c>
      <c r="W206" s="102">
        <v>0</v>
      </c>
      <c r="X206" s="102">
        <v>0</v>
      </c>
      <c r="Y206" s="102">
        <v>0</v>
      </c>
      <c r="Z206" s="102">
        <v>0</v>
      </c>
      <c r="AA206" s="102">
        <v>0</v>
      </c>
      <c r="AB206" s="102">
        <v>0</v>
      </c>
      <c r="AC206" s="102">
        <v>0</v>
      </c>
      <c r="AD206" s="102">
        <v>0</v>
      </c>
      <c r="AE206" s="102">
        <v>0</v>
      </c>
      <c r="AF206" s="102">
        <v>0</v>
      </c>
      <c r="AG206" s="102">
        <v>0</v>
      </c>
      <c r="AH206" s="102">
        <v>0</v>
      </c>
      <c r="AI206" s="102">
        <v>0</v>
      </c>
      <c r="AJ206" s="102">
        <v>0</v>
      </c>
      <c r="AK206" s="102">
        <v>0</v>
      </c>
      <c r="AL206" s="102">
        <v>0</v>
      </c>
      <c r="AM206" s="102">
        <v>0</v>
      </c>
      <c r="AN206" s="102">
        <v>139.035572</v>
      </c>
      <c r="AO206" s="102">
        <v>139.035572</v>
      </c>
      <c r="AP206" s="102">
        <v>139.035572</v>
      </c>
      <c r="AQ206" s="102">
        <v>139.035572</v>
      </c>
      <c r="AR206" s="102">
        <v>139.035572</v>
      </c>
      <c r="AS206" s="102">
        <v>139.035572</v>
      </c>
      <c r="AT206" s="102">
        <v>139.035572</v>
      </c>
      <c r="AU206" s="102">
        <v>139.035572</v>
      </c>
      <c r="AV206" s="102">
        <v>139.035572</v>
      </c>
      <c r="AW206" s="102">
        <v>139.035572</v>
      </c>
      <c r="AX206" s="102">
        <v>139.035572</v>
      </c>
      <c r="AY206" s="102">
        <v>139.035572</v>
      </c>
      <c r="AZ206" s="102">
        <v>139.035572</v>
      </c>
      <c r="BA206" s="102">
        <v>139.035572</v>
      </c>
      <c r="BB206" s="102">
        <v>139.035572</v>
      </c>
      <c r="BC206" s="102">
        <v>139.035572</v>
      </c>
      <c r="BD206" s="102">
        <v>139.035572</v>
      </c>
      <c r="BE206" s="102">
        <v>139.035572</v>
      </c>
      <c r="BF206" s="102">
        <v>139.035572</v>
      </c>
      <c r="BG206" s="102">
        <v>139.035572</v>
      </c>
      <c r="BH206" s="102">
        <v>139.035572</v>
      </c>
      <c r="BI206" s="102">
        <v>139.035572</v>
      </c>
      <c r="BJ206" s="102">
        <v>139.035572</v>
      </c>
      <c r="BK206" s="102">
        <v>139.035572</v>
      </c>
      <c r="BL206" s="102">
        <v>139.035572</v>
      </c>
      <c r="BM206" s="102">
        <v>139.035572</v>
      </c>
      <c r="BN206" s="102">
        <v>139.035572</v>
      </c>
      <c r="BO206" s="102">
        <v>139.035572</v>
      </c>
      <c r="BP206" s="102">
        <v>139.035572</v>
      </c>
      <c r="BQ206" s="102">
        <v>139.035572</v>
      </c>
      <c r="BR206" s="102">
        <v>139.035572</v>
      </c>
      <c r="BS206" s="102">
        <v>139.035572</v>
      </c>
      <c r="BT206" s="102">
        <v>139.035572</v>
      </c>
      <c r="BU206" s="102">
        <v>139.035572</v>
      </c>
      <c r="BV206" s="102">
        <v>139.035572</v>
      </c>
      <c r="BW206" s="102">
        <v>139.035572</v>
      </c>
      <c r="BX206" s="102">
        <v>139.035572</v>
      </c>
      <c r="BY206" s="102">
        <v>139.035572</v>
      </c>
      <c r="BZ206" s="102">
        <v>139.035572</v>
      </c>
      <c r="CA206" s="102">
        <v>139.035572</v>
      </c>
      <c r="CB206" s="102">
        <v>139.035572</v>
      </c>
      <c r="CC206" s="102">
        <v>139.035572</v>
      </c>
      <c r="CD206" s="102">
        <v>139.035572</v>
      </c>
      <c r="CE206" s="102">
        <v>199.59157200000001</v>
      </c>
      <c r="CF206" s="102">
        <v>199.59157200000001</v>
      </c>
      <c r="CG206" s="102">
        <v>199.59157200000001</v>
      </c>
      <c r="CH206" s="102">
        <v>199.59157200000001</v>
      </c>
      <c r="CI206" s="102">
        <v>199.59157200000001</v>
      </c>
      <c r="CJ206" s="102">
        <v>199.59157200000001</v>
      </c>
      <c r="CK206" s="102">
        <v>199.59157200000001</v>
      </c>
      <c r="CL206" s="102">
        <v>199.59157200000001</v>
      </c>
      <c r="CM206" s="102">
        <v>199.59157200000001</v>
      </c>
      <c r="CN206" s="102">
        <v>199.59157200000001</v>
      </c>
      <c r="CO206" s="102">
        <v>199.59157200000001</v>
      </c>
      <c r="CP206" s="102">
        <v>199.59157200000001</v>
      </c>
      <c r="CQ206" s="102">
        <v>199.59157200000001</v>
      </c>
      <c r="CR206" s="102">
        <v>199.59157200000001</v>
      </c>
      <c r="CS206" s="102">
        <v>199.59157200000001</v>
      </c>
      <c r="CT206" s="102">
        <v>199.59157200000001</v>
      </c>
      <c r="CU206" s="102">
        <v>199.59157200000001</v>
      </c>
      <c r="CV206" s="102">
        <v>199.59157200000001</v>
      </c>
      <c r="CW206" s="102">
        <v>199.59157200000001</v>
      </c>
      <c r="CX206" s="102">
        <v>199.59157200000001</v>
      </c>
      <c r="CY206" s="102">
        <v>199.59157200000001</v>
      </c>
      <c r="CZ206" s="102">
        <v>199.59157200000001</v>
      </c>
      <c r="DA206" s="102">
        <v>199.59157200000001</v>
      </c>
      <c r="DB206" s="102">
        <v>199.59157200000001</v>
      </c>
      <c r="DC206" s="102">
        <v>199.59157200000001</v>
      </c>
      <c r="DD206" s="102">
        <v>199.59157200000001</v>
      </c>
      <c r="DE206" s="102">
        <v>199.59157200000001</v>
      </c>
      <c r="DF206" s="102">
        <v>199.59157200000001</v>
      </c>
      <c r="DG206" s="102">
        <v>199.59157200000001</v>
      </c>
      <c r="DH206" s="102">
        <v>199.59157200000001</v>
      </c>
      <c r="DI206" s="102">
        <v>199.59157200000001</v>
      </c>
      <c r="DJ206" s="102">
        <v>199.59157200000001</v>
      </c>
      <c r="DK206" s="102">
        <v>199.59157200000001</v>
      </c>
      <c r="DL206" s="102">
        <v>199.59157200000001</v>
      </c>
      <c r="DM206" s="102">
        <v>199.59157200000001</v>
      </c>
      <c r="DN206" s="102">
        <v>199.59157200000001</v>
      </c>
      <c r="DO206" s="102">
        <v>199.59157200000001</v>
      </c>
      <c r="DP206" s="102">
        <v>199.59157200000001</v>
      </c>
      <c r="DQ206" s="940">
        <v>199.59157200000001</v>
      </c>
      <c r="DR206" s="940">
        <v>199.59157200000001</v>
      </c>
      <c r="DS206" s="940">
        <v>199.59157200000001</v>
      </c>
      <c r="DT206" s="940">
        <v>199.59157200000001</v>
      </c>
      <c r="DU206" s="940">
        <v>199.59157200000001</v>
      </c>
      <c r="DV206" s="940">
        <v>199.59157200000001</v>
      </c>
      <c r="DW206" s="940">
        <v>199.59157200000001</v>
      </c>
      <c r="DX206" s="940">
        <v>199.59157200000001</v>
      </c>
      <c r="DY206" s="940">
        <v>199.59157200000001</v>
      </c>
      <c r="DZ206" s="940">
        <v>199.59157200000001</v>
      </c>
      <c r="EA206" s="940">
        <v>199.59157200000001</v>
      </c>
      <c r="EB206" s="940">
        <v>199.59157200000001</v>
      </c>
      <c r="EC206" s="940">
        <v>199.59157200000001</v>
      </c>
      <c r="ED206" s="940">
        <v>199.59157200000001</v>
      </c>
      <c r="EE206" s="940">
        <v>199.59157200000001</v>
      </c>
      <c r="EF206" s="940">
        <v>199.59157200000001</v>
      </c>
      <c r="EH206" s="102">
        <v>199.59157200000001</v>
      </c>
      <c r="EI206" s="102">
        <v>199.59157200000001</v>
      </c>
      <c r="EJ206" s="102">
        <v>199.59157200000001</v>
      </c>
      <c r="EK206" s="102">
        <v>199.59157200000001</v>
      </c>
      <c r="EL206" s="102">
        <v>199.59157200000001</v>
      </c>
      <c r="EM206" s="102">
        <v>199.59157200000001</v>
      </c>
      <c r="EN206" s="102">
        <v>199.59157200000001</v>
      </c>
      <c r="EO206" s="102">
        <v>199.59157200000001</v>
      </c>
      <c r="EP206" s="102">
        <v>199.59157200000001</v>
      </c>
      <c r="EQ206" s="102">
        <v>199.59157200000001</v>
      </c>
      <c r="ER206" s="102">
        <v>199.59157200000001</v>
      </c>
      <c r="ES206" s="102">
        <v>199.59157200000001</v>
      </c>
      <c r="EU206" s="102"/>
      <c r="EV206" s="102"/>
      <c r="EW206" s="102"/>
      <c r="EX206" s="102"/>
      <c r="EY206" s="102"/>
      <c r="EZ206" s="102"/>
      <c r="FA206" s="102"/>
      <c r="FB206" s="102"/>
      <c r="FC206" s="102"/>
      <c r="FD206" s="102"/>
      <c r="FE206" s="102"/>
      <c r="FF206" s="102"/>
      <c r="FG206" s="102">
        <v>139.035572</v>
      </c>
      <c r="FH206" s="102">
        <v>139.035572</v>
      </c>
      <c r="FI206" s="102">
        <v>139.035572</v>
      </c>
      <c r="FJ206" s="102">
        <v>139.035572</v>
      </c>
      <c r="FK206" s="102">
        <v>139.035572</v>
      </c>
      <c r="FL206" s="102">
        <v>139.035572</v>
      </c>
      <c r="FM206" s="102">
        <v>139.035572</v>
      </c>
      <c r="FN206" s="102">
        <v>139.035572</v>
      </c>
      <c r="FO206" s="102">
        <v>139.035572</v>
      </c>
      <c r="FP206" s="102">
        <v>139.035572</v>
      </c>
      <c r="FQ206" s="102">
        <v>139.035572</v>
      </c>
      <c r="FR206" s="102">
        <v>139.035572</v>
      </c>
      <c r="FS206" s="102">
        <v>139.035572</v>
      </c>
      <c r="FT206" s="102">
        <v>139.035572</v>
      </c>
      <c r="FU206" s="102">
        <v>139.035572</v>
      </c>
      <c r="FV206" s="102">
        <v>139.035572</v>
      </c>
      <c r="FW206" s="102">
        <v>139.035572</v>
      </c>
      <c r="FX206" s="102">
        <v>139.035572</v>
      </c>
      <c r="FY206" s="102">
        <v>139.035572</v>
      </c>
      <c r="FZ206" s="102">
        <v>139.035572</v>
      </c>
      <c r="GA206" s="102">
        <v>139.035572</v>
      </c>
      <c r="GB206" s="102">
        <v>139.035572</v>
      </c>
      <c r="GC206" s="102">
        <v>139.035572</v>
      </c>
      <c r="GD206" s="102">
        <v>139.035572</v>
      </c>
      <c r="GE206" s="102">
        <v>0</v>
      </c>
      <c r="GF206" s="102">
        <v>0</v>
      </c>
      <c r="GG206" s="102">
        <v>0</v>
      </c>
      <c r="GH206" s="102">
        <v>0</v>
      </c>
      <c r="GI206" s="102">
        <v>0</v>
      </c>
      <c r="GJ206" s="102">
        <v>0</v>
      </c>
      <c r="GK206" s="102">
        <v>0</v>
      </c>
      <c r="GL206" s="102">
        <v>0</v>
      </c>
      <c r="GM206" s="102">
        <v>0</v>
      </c>
      <c r="GN206" s="102">
        <v>0</v>
      </c>
      <c r="GO206" s="102">
        <v>0</v>
      </c>
      <c r="GP206" s="102">
        <v>0</v>
      </c>
      <c r="GQ206" s="102">
        <v>0</v>
      </c>
      <c r="GR206" s="102">
        <v>0</v>
      </c>
      <c r="GS206" s="102">
        <v>0</v>
      </c>
      <c r="GT206" s="102">
        <v>0</v>
      </c>
      <c r="GU206" s="102">
        <v>0</v>
      </c>
      <c r="GV206" s="102">
        <v>0</v>
      </c>
      <c r="GW206" s="102">
        <v>0</v>
      </c>
      <c r="GX206" s="102">
        <v>0</v>
      </c>
      <c r="GY206" s="102">
        <v>0</v>
      </c>
      <c r="GZ206" s="102">
        <v>0</v>
      </c>
      <c r="HA206" s="102">
        <v>0</v>
      </c>
      <c r="HB206" s="102">
        <v>0</v>
      </c>
      <c r="HD206" s="102">
        <f t="shared" si="1068"/>
        <v>0</v>
      </c>
      <c r="HE206" s="102">
        <f t="shared" si="1068"/>
        <v>0</v>
      </c>
      <c r="HF206" s="102">
        <f t="shared" si="1068"/>
        <v>139.035572</v>
      </c>
      <c r="HG206" s="102">
        <f t="shared" si="1068"/>
        <v>139.035572</v>
      </c>
      <c r="HH206" s="102">
        <f t="shared" si="1069"/>
        <v>139.035572</v>
      </c>
      <c r="HI206" s="102">
        <f t="shared" si="1070"/>
        <v>139.035572</v>
      </c>
      <c r="HJ206" s="102">
        <f t="shared" si="961"/>
        <v>199.59157200000001</v>
      </c>
      <c r="HK206" s="102">
        <f t="shared" si="962"/>
        <v>199.59157200000001</v>
      </c>
      <c r="HL206" s="940">
        <f>+SUMIFS($E206:SEW206,$E$6:SEW$6,HL$7,$E$5:SEW$5,12)</f>
        <v>199.59157200000001</v>
      </c>
      <c r="HM206" s="940">
        <f>+SUMIFS($E206:SEX206,$E$6:SEX$6,HM$7,$E$5:SEX$5,12)</f>
        <v>199.59157200000001</v>
      </c>
      <c r="HN206" s="940">
        <f>+SUMIFS($E206:SEY206,$E$6:SEY$6,HN$7,$E$5:SEY$5,12)</f>
        <v>199.59157200000001</v>
      </c>
      <c r="HO206" s="102"/>
      <c r="HP206" s="102"/>
      <c r="HR206" s="929" t="str">
        <f t="shared" si="1071"/>
        <v/>
      </c>
      <c r="HS206" s="929">
        <f t="shared" si="1072"/>
        <v>0</v>
      </c>
      <c r="HT206" s="929">
        <f t="shared" si="1073"/>
        <v>0</v>
      </c>
      <c r="HU206" s="929">
        <f t="shared" si="1074"/>
        <v>0</v>
      </c>
      <c r="HV206" s="929">
        <f t="shared" si="1075"/>
        <v>0.43554321479685787</v>
      </c>
      <c r="HW206" s="929">
        <f t="shared" si="1076"/>
        <v>0</v>
      </c>
      <c r="HX206" s="929">
        <f t="shared" si="1077"/>
        <v>0</v>
      </c>
      <c r="HY206" s="929">
        <f t="shared" si="1077"/>
        <v>0</v>
      </c>
      <c r="HZ206" s="929">
        <f t="shared" si="1077"/>
        <v>0</v>
      </c>
      <c r="IA206" s="929">
        <f t="shared" si="1036"/>
        <v>-1</v>
      </c>
      <c r="IB206" s="929" t="str">
        <f t="shared" si="1078"/>
        <v/>
      </c>
      <c r="IC206" s="929">
        <f t="shared" si="1037"/>
        <v>-1</v>
      </c>
      <c r="IE206" s="102">
        <f t="shared" si="1079"/>
        <v>139.035572</v>
      </c>
      <c r="IF206" s="102">
        <f t="shared" si="1080"/>
        <v>0</v>
      </c>
      <c r="IG206" s="102">
        <f t="shared" si="1081"/>
        <v>0</v>
      </c>
      <c r="IH206" s="102">
        <f t="shared" si="1082"/>
        <v>0</v>
      </c>
      <c r="II206" s="102">
        <f t="shared" si="1045"/>
        <v>60.556000000000012</v>
      </c>
      <c r="IJ206" s="102">
        <f t="shared" si="1046"/>
        <v>0</v>
      </c>
      <c r="IK206" s="102">
        <f t="shared" si="1047"/>
        <v>0</v>
      </c>
      <c r="IL206" s="102">
        <f t="shared" si="1038"/>
        <v>-199.59157200000001</v>
      </c>
      <c r="IM206" s="102">
        <f t="shared" si="1083"/>
        <v>0</v>
      </c>
      <c r="IN206" s="102">
        <f t="shared" si="1039"/>
        <v>-199.59157200000001</v>
      </c>
      <c r="IP206" s="973"/>
      <c r="IQ206" s="973"/>
      <c r="IR206" s="973"/>
      <c r="IS206" s="973"/>
      <c r="IT206" s="973"/>
      <c r="IU206" s="973"/>
      <c r="IV206" s="973"/>
      <c r="IW206" s="973"/>
      <c r="IX206" s="973"/>
      <c r="IY206" s="973"/>
      <c r="JA206" s="102">
        <f t="shared" si="1084"/>
        <v>0</v>
      </c>
      <c r="JB206" s="102">
        <f t="shared" si="1084"/>
        <v>0</v>
      </c>
      <c r="JC206" s="102">
        <f t="shared" si="1084"/>
        <v>139.035572</v>
      </c>
      <c r="JD206" s="102">
        <f t="shared" si="1084"/>
        <v>139.035572</v>
      </c>
      <c r="JE206" s="102">
        <f t="shared" si="1084"/>
        <v>139.035572</v>
      </c>
      <c r="JF206" s="102">
        <f t="shared" si="1084"/>
        <v>139.035572</v>
      </c>
      <c r="JG206" s="102">
        <f t="shared" si="1084"/>
        <v>199.59157200000001</v>
      </c>
      <c r="JH206" s="102">
        <f t="shared" si="1084"/>
        <v>199.59157200000001</v>
      </c>
      <c r="JI206" s="102">
        <f t="shared" si="1084"/>
        <v>199.59157200000001</v>
      </c>
      <c r="JJ206" s="102">
        <f t="shared" si="1084"/>
        <v>199.59157200000001</v>
      </c>
      <c r="JK206" s="102">
        <f t="shared" si="1084"/>
        <v>199.59157200000001</v>
      </c>
      <c r="JL206" s="102">
        <f t="shared" si="1085"/>
        <v>199.59157200000001</v>
      </c>
      <c r="JM206" s="102"/>
      <c r="JN206" s="102"/>
      <c r="JP206" s="102">
        <f t="shared" si="1086"/>
        <v>0</v>
      </c>
      <c r="JQ206" s="102">
        <f t="shared" si="1087"/>
        <v>0</v>
      </c>
      <c r="JR206" s="145"/>
      <c r="JS206" s="929" t="str">
        <f t="shared" si="1088"/>
        <v>NA</v>
      </c>
      <c r="JT206" s="930">
        <f t="shared" si="1089"/>
        <v>0</v>
      </c>
      <c r="JV206" s="973"/>
      <c r="JW206" s="973"/>
      <c r="JY206" s="929" t="str">
        <f t="shared" si="1112"/>
        <v/>
      </c>
      <c r="JZ206" s="929">
        <f t="shared" si="1113"/>
        <v>0</v>
      </c>
      <c r="KA206" s="929">
        <f t="shared" si="1114"/>
        <v>0</v>
      </c>
      <c r="KB206" s="929">
        <f t="shared" si="1115"/>
        <v>0</v>
      </c>
      <c r="KC206" s="929">
        <f t="shared" si="1116"/>
        <v>0.43554321479685787</v>
      </c>
      <c r="KD206" s="929">
        <f t="shared" si="1117"/>
        <v>0</v>
      </c>
      <c r="KE206" s="929">
        <f t="shared" si="1118"/>
        <v>0</v>
      </c>
      <c r="KF206" s="929">
        <f t="shared" si="1119"/>
        <v>-1</v>
      </c>
      <c r="KH206" s="102">
        <f t="shared" si="1091"/>
        <v>139.035572</v>
      </c>
      <c r="KI206" s="102">
        <f t="shared" si="1092"/>
        <v>0</v>
      </c>
      <c r="KJ206" s="102">
        <f t="shared" si="1093"/>
        <v>0</v>
      </c>
      <c r="KK206" s="102">
        <f t="shared" si="1094"/>
        <v>0</v>
      </c>
      <c r="KL206" s="102">
        <f t="shared" si="1095"/>
        <v>60.556000000000012</v>
      </c>
      <c r="KM206" s="102">
        <f t="shared" si="1096"/>
        <v>0</v>
      </c>
      <c r="KN206" s="102">
        <f t="shared" si="1097"/>
        <v>0</v>
      </c>
      <c r="KO206" s="102">
        <f t="shared" si="1098"/>
        <v>-199.59157200000001</v>
      </c>
      <c r="KQ206" s="973"/>
      <c r="KR206" s="973"/>
      <c r="KS206" s="973"/>
      <c r="KT206" s="973"/>
      <c r="KU206" s="973"/>
      <c r="KV206" s="973"/>
      <c r="KW206" s="973"/>
      <c r="KX206" s="973"/>
      <c r="KY206" s="973"/>
      <c r="KZ206" s="973"/>
      <c r="LB206" s="102">
        <f t="shared" si="1099"/>
        <v>0</v>
      </c>
      <c r="LC206" s="102">
        <f t="shared" si="1099"/>
        <v>0</v>
      </c>
      <c r="LD206" s="102">
        <f t="shared" si="1099"/>
        <v>139.035572</v>
      </c>
      <c r="LE206" s="102">
        <f t="shared" si="1099"/>
        <v>139.035572</v>
      </c>
      <c r="LF206" s="102">
        <f t="shared" si="1099"/>
        <v>139.035572</v>
      </c>
      <c r="LG206" s="102">
        <f t="shared" si="1099"/>
        <v>139.035572</v>
      </c>
      <c r="LH206" s="102">
        <f t="shared" si="1099"/>
        <v>199.59157200000001</v>
      </c>
      <c r="LI206" s="102">
        <f t="shared" si="1099"/>
        <v>199.59157200000001</v>
      </c>
      <c r="LJ206" s="102">
        <f t="shared" si="1099"/>
        <v>199.59157200000001</v>
      </c>
      <c r="LK206" s="102">
        <f t="shared" si="1099"/>
        <v>199.59157200000001</v>
      </c>
      <c r="LL206" s="102">
        <f t="shared" si="1099"/>
        <v>199.59157200000001</v>
      </c>
      <c r="LM206" s="102">
        <f t="shared" si="1099"/>
        <v>199.59157200000001</v>
      </c>
      <c r="LN206" s="102"/>
      <c r="LO206" s="102"/>
      <c r="LR206" s="32" t="str">
        <f t="shared" si="1100"/>
        <v xml:space="preserve"> </v>
      </c>
      <c r="LS206" s="32">
        <f t="shared" si="1101"/>
        <v>0</v>
      </c>
      <c r="LT206" s="32">
        <f t="shared" si="1102"/>
        <v>0</v>
      </c>
      <c r="LU206" s="32">
        <f t="shared" si="1103"/>
        <v>0</v>
      </c>
      <c r="LV206" s="32">
        <f t="shared" si="1104"/>
        <v>0.43554321479685787</v>
      </c>
      <c r="LW206" s="32">
        <f t="shared" si="1105"/>
        <v>0</v>
      </c>
      <c r="LX206" s="32">
        <f t="shared" si="963"/>
        <v>-1</v>
      </c>
      <c r="LZ206" s="102">
        <f t="shared" si="1106"/>
        <v>139.035572</v>
      </c>
      <c r="MA206" s="102">
        <f t="shared" si="1107"/>
        <v>0</v>
      </c>
      <c r="MB206" s="102">
        <f t="shared" si="1108"/>
        <v>0</v>
      </c>
      <c r="MC206" s="102">
        <f t="shared" si="1109"/>
        <v>0</v>
      </c>
      <c r="MD206" s="102">
        <f t="shared" si="1110"/>
        <v>60.556000000000012</v>
      </c>
      <c r="ME206" s="102">
        <f t="shared" si="1111"/>
        <v>0</v>
      </c>
      <c r="MF206" s="102">
        <f t="shared" si="964"/>
        <v>-199.59157200000001</v>
      </c>
      <c r="MH206" s="973"/>
      <c r="MI206" s="973"/>
      <c r="MJ206" s="973"/>
      <c r="MK206" s="973"/>
      <c r="ML206" s="973"/>
      <c r="MM206" s="973"/>
      <c r="MN206" s="973"/>
      <c r="MO206" s="973"/>
      <c r="MP206" s="973"/>
    </row>
    <row r="207" spans="1:354" outlineLevel="1">
      <c r="A207" s="884">
        <v>330505</v>
      </c>
      <c r="B207" s="70" t="s">
        <v>756</v>
      </c>
      <c r="C207" s="17" t="s">
        <v>156</v>
      </c>
      <c r="D207" s="31" t="s">
        <v>59</v>
      </c>
      <c r="E207" s="102">
        <v>413.01156430999998</v>
      </c>
      <c r="F207" s="102">
        <v>413.01156430999998</v>
      </c>
      <c r="G207" s="102">
        <v>413.01156430999998</v>
      </c>
      <c r="H207" s="102">
        <v>413.01156430999998</v>
      </c>
      <c r="I207" s="102">
        <v>413.01156430999998</v>
      </c>
      <c r="J207" s="102">
        <v>413.01156430999998</v>
      </c>
      <c r="K207" s="102">
        <v>413.01156430999998</v>
      </c>
      <c r="L207" s="102">
        <v>413.01156430999998</v>
      </c>
      <c r="M207" s="102">
        <v>413.01156430999998</v>
      </c>
      <c r="N207" s="102">
        <v>413.01156430999998</v>
      </c>
      <c r="O207" s="102">
        <v>413.01156430999998</v>
      </c>
      <c r="P207" s="102">
        <v>740.21220130999995</v>
      </c>
      <c r="Q207" s="145">
        <v>740.21220130999995</v>
      </c>
      <c r="R207" s="102">
        <v>740.21220130999995</v>
      </c>
      <c r="S207" s="102">
        <v>740.21220130999995</v>
      </c>
      <c r="T207" s="102">
        <v>740.21220130999995</v>
      </c>
      <c r="U207" s="102">
        <v>740.21220130999995</v>
      </c>
      <c r="V207" s="102">
        <v>740.21220130999995</v>
      </c>
      <c r="W207" s="102">
        <v>740.21220130999995</v>
      </c>
      <c r="X207" s="102">
        <v>740.21220130999995</v>
      </c>
      <c r="Y207" s="102">
        <v>740.21220130999995</v>
      </c>
      <c r="Z207" s="102">
        <v>740.21220130999995</v>
      </c>
      <c r="AA207" s="102">
        <v>740.21220130999995</v>
      </c>
      <c r="AB207" s="102">
        <v>740.21220130999995</v>
      </c>
      <c r="AC207" s="102">
        <v>740.21220130999995</v>
      </c>
      <c r="AD207" s="102">
        <v>740.21220130999995</v>
      </c>
      <c r="AE207" s="102">
        <v>1345.2296688399999</v>
      </c>
      <c r="AF207" s="102">
        <v>1345.2296688399999</v>
      </c>
      <c r="AG207" s="102">
        <v>1345.2296688399999</v>
      </c>
      <c r="AH207" s="102">
        <v>1345.2296688399999</v>
      </c>
      <c r="AI207" s="102">
        <v>1345.2296688399999</v>
      </c>
      <c r="AJ207" s="102">
        <v>1345.2296688399999</v>
      </c>
      <c r="AK207" s="102">
        <v>1345.2296688399999</v>
      </c>
      <c r="AL207" s="102">
        <v>1345.2296688399999</v>
      </c>
      <c r="AM207" s="102">
        <v>1345.2296688399999</v>
      </c>
      <c r="AN207" s="102">
        <v>1345.2296688399999</v>
      </c>
      <c r="AO207" s="102">
        <v>1345.2296688399999</v>
      </c>
      <c r="AP207" s="102">
        <v>1345.2296688399999</v>
      </c>
      <c r="AQ207" s="102">
        <v>1345.2296688399999</v>
      </c>
      <c r="AR207" s="102">
        <v>1345.2296688399999</v>
      </c>
      <c r="AS207" s="102">
        <v>1345.2296688399999</v>
      </c>
      <c r="AT207" s="102">
        <v>1345.2296688399999</v>
      </c>
      <c r="AU207" s="102">
        <v>1345.2296688399999</v>
      </c>
      <c r="AV207" s="102">
        <v>1345.2296688399999</v>
      </c>
      <c r="AW207" s="102">
        <v>1345.2296688399999</v>
      </c>
      <c r="AX207" s="102">
        <v>1345.2296688399999</v>
      </c>
      <c r="AY207" s="102">
        <v>1345.2296688399999</v>
      </c>
      <c r="AZ207" s="102">
        <v>1345.2296688399999</v>
      </c>
      <c r="BA207" s="102">
        <v>1345.2296688399999</v>
      </c>
      <c r="BB207" s="102">
        <v>1345.2296688399999</v>
      </c>
      <c r="BC207" s="102">
        <v>1345.2296688399999</v>
      </c>
      <c r="BD207" s="102">
        <v>1345.2296688399999</v>
      </c>
      <c r="BE207" s="66">
        <v>1345.2296688399999</v>
      </c>
      <c r="BF207" s="66">
        <v>1345.2296688399999</v>
      </c>
      <c r="BG207" s="66">
        <v>1345.2296688399999</v>
      </c>
      <c r="BH207" s="66">
        <v>1345.2296688399999</v>
      </c>
      <c r="BI207" s="66">
        <v>1345.2296688399999</v>
      </c>
      <c r="BJ207" s="66">
        <v>1345.2296688399999</v>
      </c>
      <c r="BK207" s="102">
        <v>1345.2296688399999</v>
      </c>
      <c r="BL207" s="102">
        <v>1345.2296688399999</v>
      </c>
      <c r="BM207" s="102">
        <v>1345.2296688399999</v>
      </c>
      <c r="BN207" s="102">
        <v>1345.2296688399999</v>
      </c>
      <c r="BO207" s="102">
        <v>1345.2296688399999</v>
      </c>
      <c r="BP207" s="102">
        <v>1345.2296688399999</v>
      </c>
      <c r="BQ207" s="66">
        <v>1345.2296688399999</v>
      </c>
      <c r="BR207" s="66">
        <v>1345.2296688399999</v>
      </c>
      <c r="BS207" s="66">
        <v>1345.2296688399999</v>
      </c>
      <c r="BT207" s="66">
        <v>1345.2296688399999</v>
      </c>
      <c r="BU207" s="66">
        <v>1345.2296688399999</v>
      </c>
      <c r="BV207" s="66">
        <v>1345.2296688399999</v>
      </c>
      <c r="BW207" s="102">
        <v>1345.2296688399999</v>
      </c>
      <c r="BX207" s="102">
        <v>1345.2296688399999</v>
      </c>
      <c r="BY207" s="102">
        <v>1345.2296688399999</v>
      </c>
      <c r="BZ207" s="102">
        <v>1345.2296688399999</v>
      </c>
      <c r="CA207" s="102">
        <v>1345.2296688399999</v>
      </c>
      <c r="CB207" s="102">
        <v>1345.2296688399999</v>
      </c>
      <c r="CC207" s="102">
        <v>1345.2296688399999</v>
      </c>
      <c r="CD207" s="102">
        <v>1345.2296688399999</v>
      </c>
      <c r="CE207" s="102">
        <v>1345.2296688399999</v>
      </c>
      <c r="CF207" s="102">
        <v>1345.2296688399999</v>
      </c>
      <c r="CG207" s="102">
        <v>1345.2296688399999</v>
      </c>
      <c r="CH207" s="102">
        <v>1345.2296688399999</v>
      </c>
      <c r="CI207" s="102">
        <v>1345.2296688399999</v>
      </c>
      <c r="CJ207" s="102">
        <v>1345.2296688399999</v>
      </c>
      <c r="CK207" s="102">
        <v>1345.2296688399999</v>
      </c>
      <c r="CL207" s="102">
        <v>1345.2296688399999</v>
      </c>
      <c r="CM207" s="102">
        <v>1345.2296688399999</v>
      </c>
      <c r="CN207" s="102">
        <v>1345.2296688399999</v>
      </c>
      <c r="CO207" s="102">
        <v>1345.2296688399999</v>
      </c>
      <c r="CP207" s="102">
        <v>1345.2296688399999</v>
      </c>
      <c r="CQ207" s="102">
        <v>1345.2296688399999</v>
      </c>
      <c r="CR207" s="102">
        <v>1345.2296688399999</v>
      </c>
      <c r="CS207" s="102">
        <v>1345.2296688399999</v>
      </c>
      <c r="CT207" s="102">
        <v>1345.2296688399999</v>
      </c>
      <c r="CU207" s="102">
        <v>1345.2296688399999</v>
      </c>
      <c r="CV207" s="102">
        <v>1345.2296688399999</v>
      </c>
      <c r="CW207" s="102">
        <v>1345.2296688399999</v>
      </c>
      <c r="CX207" s="102">
        <v>1345.2296688399999</v>
      </c>
      <c r="CY207" s="102">
        <v>1345.2296688399999</v>
      </c>
      <c r="CZ207" s="102">
        <v>1345.2296688399999</v>
      </c>
      <c r="DA207" s="102">
        <v>1345.2296688399999</v>
      </c>
      <c r="DB207" s="102">
        <v>1345.2296688399999</v>
      </c>
      <c r="DC207" s="102">
        <v>1345.2296688399999</v>
      </c>
      <c r="DD207" s="102">
        <v>1345.2296688399999</v>
      </c>
      <c r="DE207" s="102">
        <v>1345.2296688399999</v>
      </c>
      <c r="DF207" s="102">
        <v>1345.2296688399999</v>
      </c>
      <c r="DG207" s="102">
        <v>1345.2296688399999</v>
      </c>
      <c r="DH207" s="102">
        <v>1345.2296688399999</v>
      </c>
      <c r="DI207" s="102">
        <v>1345.2296688399999</v>
      </c>
      <c r="DJ207" s="102">
        <v>1345.2296688399999</v>
      </c>
      <c r="DK207" s="102">
        <v>1345.2296688399999</v>
      </c>
      <c r="DL207" s="102">
        <v>1345.2296688399999</v>
      </c>
      <c r="DM207" s="102">
        <v>1345.2296688399999</v>
      </c>
      <c r="DN207" s="102">
        <v>1345.2296688399999</v>
      </c>
      <c r="DO207" s="102">
        <v>1345.2296688399999</v>
      </c>
      <c r="DP207" s="102">
        <v>1345.2296688399999</v>
      </c>
      <c r="DQ207" s="940">
        <v>1345.2296688399999</v>
      </c>
      <c r="DR207" s="940">
        <v>1345.2296688399999</v>
      </c>
      <c r="DS207" s="940">
        <v>1345.2296688399999</v>
      </c>
      <c r="DT207" s="940">
        <v>1345.2296688399999</v>
      </c>
      <c r="DU207" s="940">
        <v>1345.2296688399999</v>
      </c>
      <c r="DV207" s="940">
        <v>1345.2296688399999</v>
      </c>
      <c r="DW207" s="940">
        <v>1345.2296688399999</v>
      </c>
      <c r="DX207" s="940">
        <v>1345.2296688399999</v>
      </c>
      <c r="DY207" s="940">
        <v>1345.2296688399999</v>
      </c>
      <c r="DZ207" s="940">
        <v>1345.2296688399999</v>
      </c>
      <c r="EA207" s="940">
        <v>1345.2296688399999</v>
      </c>
      <c r="EB207" s="940">
        <v>1345.2296688399999</v>
      </c>
      <c r="EC207" s="940">
        <v>1345.2296688399999</v>
      </c>
      <c r="ED207" s="940">
        <v>1345.2296688399999</v>
      </c>
      <c r="EE207" s="940">
        <v>1345.2296688399999</v>
      </c>
      <c r="EF207" s="940">
        <v>1345.2296688399999</v>
      </c>
      <c r="EH207" s="102">
        <v>1345.2296688399999</v>
      </c>
      <c r="EI207" s="102">
        <v>1345.2296688399999</v>
      </c>
      <c r="EJ207" s="102">
        <v>1345.2296688399999</v>
      </c>
      <c r="EK207" s="102">
        <v>1345.2296688399999</v>
      </c>
      <c r="EL207" s="102">
        <v>1345.2296688399999</v>
      </c>
      <c r="EM207" s="102">
        <v>1345.2296688399999</v>
      </c>
      <c r="EN207" s="102">
        <v>1345.2296688399999</v>
      </c>
      <c r="EO207" s="102">
        <v>1345.2296688399999</v>
      </c>
      <c r="EP207" s="102">
        <v>1345.2296688399999</v>
      </c>
      <c r="EQ207" s="102">
        <v>1345.2296688399999</v>
      </c>
      <c r="ER207" s="102">
        <v>1345.2296688399999</v>
      </c>
      <c r="ES207" s="102">
        <v>1345.2296688399999</v>
      </c>
      <c r="EU207" s="66">
        <v>1345.2296688399999</v>
      </c>
      <c r="EV207" s="66">
        <v>1345.2296688399999</v>
      </c>
      <c r="EW207" s="66">
        <v>1345.2296688399999</v>
      </c>
      <c r="EX207" s="66">
        <v>1345.2296688399999</v>
      </c>
      <c r="EY207" s="66">
        <v>1345.2296688399999</v>
      </c>
      <c r="EZ207" s="66">
        <v>1345.2296688399999</v>
      </c>
      <c r="FA207" s="66">
        <v>1345.2296688399999</v>
      </c>
      <c r="FB207" s="66">
        <v>1345.2296688399999</v>
      </c>
      <c r="FC207" s="66">
        <v>1345.2296688399999</v>
      </c>
      <c r="FD207" s="66">
        <v>1345.2296688399999</v>
      </c>
      <c r="FE207" s="66">
        <v>1345.2296688399999</v>
      </c>
      <c r="FF207" s="66">
        <v>1345.2296688399999</v>
      </c>
      <c r="FG207" s="66">
        <v>1345.2296688399999</v>
      </c>
      <c r="FH207" s="66">
        <v>1345.2296688399999</v>
      </c>
      <c r="FI207" s="66">
        <v>1345.2296688399999</v>
      </c>
      <c r="FJ207" s="66">
        <v>1345.2296688399999</v>
      </c>
      <c r="FK207" s="66">
        <v>1345.2296688399999</v>
      </c>
      <c r="FL207" s="66">
        <v>1345.2296688399999</v>
      </c>
      <c r="FM207" s="66">
        <v>1345.2296688399999</v>
      </c>
      <c r="FN207" s="66">
        <v>1345.2296688399999</v>
      </c>
      <c r="FO207" s="66">
        <v>1345.2296688399999</v>
      </c>
      <c r="FP207" s="66">
        <v>1345.2296688399999</v>
      </c>
      <c r="FQ207" s="66">
        <v>1345.2296688399999</v>
      </c>
      <c r="FR207" s="66">
        <v>1345.2296688399999</v>
      </c>
      <c r="FS207" s="66">
        <v>1345.2296688399999</v>
      </c>
      <c r="FT207" s="66">
        <v>1345.2296688399999</v>
      </c>
      <c r="FU207" s="66">
        <v>1345.2296688399999</v>
      </c>
      <c r="FV207" s="66">
        <v>1345.2296688399999</v>
      </c>
      <c r="FW207" s="66">
        <v>1345.2296688399999</v>
      </c>
      <c r="FX207" s="66">
        <v>1345.2296688399999</v>
      </c>
      <c r="FY207" s="66">
        <v>1345.2296688399999</v>
      </c>
      <c r="FZ207" s="66">
        <v>1345.2296688399999</v>
      </c>
      <c r="GA207" s="66">
        <v>1345.2296688399999</v>
      </c>
      <c r="GB207" s="66">
        <v>1345.2296688399999</v>
      </c>
      <c r="GC207" s="66">
        <v>1345.2296688399999</v>
      </c>
      <c r="GD207" s="66">
        <v>1345.2296688399999</v>
      </c>
      <c r="GE207" s="102">
        <v>0</v>
      </c>
      <c r="GF207" s="102">
        <v>0</v>
      </c>
      <c r="GG207" s="102">
        <v>0</v>
      </c>
      <c r="GH207" s="102">
        <v>0</v>
      </c>
      <c r="GI207" s="102">
        <v>0</v>
      </c>
      <c r="GJ207" s="102">
        <v>0</v>
      </c>
      <c r="GK207" s="102">
        <v>0</v>
      </c>
      <c r="GL207" s="102">
        <v>0</v>
      </c>
      <c r="GM207" s="102">
        <v>0</v>
      </c>
      <c r="GN207" s="102">
        <v>0</v>
      </c>
      <c r="GO207" s="102">
        <v>0</v>
      </c>
      <c r="GP207" s="102">
        <v>0</v>
      </c>
      <c r="GQ207" s="102">
        <v>0</v>
      </c>
      <c r="GR207" s="102">
        <v>0</v>
      </c>
      <c r="GS207" s="102">
        <v>0</v>
      </c>
      <c r="GT207" s="102">
        <v>0</v>
      </c>
      <c r="GU207" s="102">
        <v>0</v>
      </c>
      <c r="GV207" s="102">
        <v>0</v>
      </c>
      <c r="GW207" s="102">
        <v>0</v>
      </c>
      <c r="GX207" s="102">
        <v>0</v>
      </c>
      <c r="GY207" s="102">
        <v>0</v>
      </c>
      <c r="GZ207" s="102">
        <v>0</v>
      </c>
      <c r="HA207" s="102">
        <v>0</v>
      </c>
      <c r="HB207" s="102">
        <v>0</v>
      </c>
      <c r="HD207" s="102">
        <f t="shared" si="1068"/>
        <v>740.21220130999995</v>
      </c>
      <c r="HE207" s="102">
        <f t="shared" si="1068"/>
        <v>740.21220130999995</v>
      </c>
      <c r="HF207" s="102">
        <f t="shared" si="1068"/>
        <v>1345.2296688399999</v>
      </c>
      <c r="HG207" s="102">
        <f t="shared" si="1068"/>
        <v>1345.2296688399999</v>
      </c>
      <c r="HH207" s="102">
        <f t="shared" si="1069"/>
        <v>1345.2296688399999</v>
      </c>
      <c r="HI207" s="102">
        <f t="shared" si="1070"/>
        <v>1345.2296688399999</v>
      </c>
      <c r="HJ207" s="102">
        <f t="shared" si="961"/>
        <v>1345.2296688399999</v>
      </c>
      <c r="HK207" s="102">
        <f t="shared" si="962"/>
        <v>1345.2296688399999</v>
      </c>
      <c r="HL207" s="940">
        <f>+SUMIFS($E207:SEW207,$E$6:SEW$6,HL$7,$E$5:SEW$5,12)</f>
        <v>1345.2296688399999</v>
      </c>
      <c r="HM207" s="940">
        <f>+SUMIFS($E207:SEX207,$E$6:SEX$6,HM$7,$E$5:SEX$5,12)</f>
        <v>1345.2296688399999</v>
      </c>
      <c r="HN207" s="940">
        <f>+SUMIFS($E207:SEY207,$E$6:SEY$6,HN$7,$E$5:SEY$5,12)</f>
        <v>1345.2296688399999</v>
      </c>
      <c r="HO207" s="102"/>
      <c r="HP207" s="102"/>
      <c r="HR207" s="929">
        <f t="shared" si="1071"/>
        <v>0.8173567883091668</v>
      </c>
      <c r="HS207" s="929">
        <f t="shared" si="1072"/>
        <v>0</v>
      </c>
      <c r="HT207" s="929">
        <f t="shared" si="1073"/>
        <v>0</v>
      </c>
      <c r="HU207" s="929">
        <f t="shared" si="1074"/>
        <v>0</v>
      </c>
      <c r="HV207" s="929">
        <f t="shared" si="1075"/>
        <v>0</v>
      </c>
      <c r="HW207" s="929">
        <f t="shared" si="1076"/>
        <v>0</v>
      </c>
      <c r="HX207" s="929">
        <f t="shared" si="1077"/>
        <v>0</v>
      </c>
      <c r="HY207" s="929">
        <f t="shared" si="1077"/>
        <v>0</v>
      </c>
      <c r="HZ207" s="929">
        <f t="shared" si="1077"/>
        <v>0</v>
      </c>
      <c r="IA207" s="929">
        <f t="shared" si="1036"/>
        <v>-1</v>
      </c>
      <c r="IB207" s="929" t="str">
        <f t="shared" si="1078"/>
        <v/>
      </c>
      <c r="IC207" s="929">
        <f t="shared" si="1037"/>
        <v>-1</v>
      </c>
      <c r="IE207" s="102">
        <f t="shared" si="1079"/>
        <v>605.01746752999998</v>
      </c>
      <c r="IF207" s="102">
        <f t="shared" si="1080"/>
        <v>0</v>
      </c>
      <c r="IG207" s="102">
        <f t="shared" si="1081"/>
        <v>0</v>
      </c>
      <c r="IH207" s="102">
        <f t="shared" si="1082"/>
        <v>0</v>
      </c>
      <c r="II207" s="102">
        <f t="shared" si="1045"/>
        <v>0</v>
      </c>
      <c r="IJ207" s="102">
        <f t="shared" si="1046"/>
        <v>0</v>
      </c>
      <c r="IK207" s="102">
        <f t="shared" si="1047"/>
        <v>0</v>
      </c>
      <c r="IL207" s="102">
        <f t="shared" si="1038"/>
        <v>-1345.2296688399999</v>
      </c>
      <c r="IM207" s="102">
        <f t="shared" si="1083"/>
        <v>0</v>
      </c>
      <c r="IN207" s="102">
        <f t="shared" si="1039"/>
        <v>-1345.2296688399999</v>
      </c>
      <c r="IP207" s="973"/>
      <c r="IQ207" s="973"/>
      <c r="IR207" s="973"/>
      <c r="IS207" s="973"/>
      <c r="IT207" s="973"/>
      <c r="IU207" s="973"/>
      <c r="IV207" s="973"/>
      <c r="IW207" s="973"/>
      <c r="IX207" s="973"/>
      <c r="IY207" s="973"/>
      <c r="JA207" s="102">
        <f t="shared" si="1084"/>
        <v>740.21220130999995</v>
      </c>
      <c r="JB207" s="102">
        <f t="shared" si="1084"/>
        <v>740.21220130999995</v>
      </c>
      <c r="JC207" s="102">
        <f t="shared" si="1084"/>
        <v>1345.2296688399999</v>
      </c>
      <c r="JD207" s="102">
        <f t="shared" si="1084"/>
        <v>1345.2296688399999</v>
      </c>
      <c r="JE207" s="102">
        <f t="shared" si="1084"/>
        <v>1345.2296688399999</v>
      </c>
      <c r="JF207" s="102">
        <f t="shared" si="1084"/>
        <v>1345.2296688399999</v>
      </c>
      <c r="JG207" s="102">
        <f t="shared" si="1084"/>
        <v>1345.2296688399999</v>
      </c>
      <c r="JH207" s="102">
        <f t="shared" si="1084"/>
        <v>1345.2296688399999</v>
      </c>
      <c r="JI207" s="102">
        <f t="shared" si="1084"/>
        <v>1345.2296688399999</v>
      </c>
      <c r="JJ207" s="102">
        <f t="shared" si="1084"/>
        <v>1345.2296688399999</v>
      </c>
      <c r="JK207" s="102">
        <f t="shared" si="1084"/>
        <v>1345.2296688399999</v>
      </c>
      <c r="JL207" s="102">
        <f t="shared" si="1085"/>
        <v>1345.2296688399999</v>
      </c>
      <c r="JM207" s="102"/>
      <c r="JN207" s="102"/>
      <c r="JP207" s="102">
        <f t="shared" si="1086"/>
        <v>0</v>
      </c>
      <c r="JQ207" s="102">
        <f t="shared" si="1087"/>
        <v>0</v>
      </c>
      <c r="JR207" s="145"/>
      <c r="JS207" s="929" t="str">
        <f t="shared" si="1088"/>
        <v>NA</v>
      </c>
      <c r="JT207" s="930">
        <f t="shared" si="1089"/>
        <v>0</v>
      </c>
      <c r="JV207" s="973"/>
      <c r="JW207" s="973"/>
      <c r="JY207" s="929">
        <f t="shared" si="1112"/>
        <v>0.8173567883091668</v>
      </c>
      <c r="JZ207" s="929">
        <f t="shared" si="1113"/>
        <v>0</v>
      </c>
      <c r="KA207" s="929">
        <f t="shared" si="1114"/>
        <v>0</v>
      </c>
      <c r="KB207" s="929">
        <f t="shared" si="1115"/>
        <v>0</v>
      </c>
      <c r="KC207" s="929">
        <f t="shared" si="1116"/>
        <v>0</v>
      </c>
      <c r="KD207" s="929">
        <f t="shared" si="1117"/>
        <v>0</v>
      </c>
      <c r="KE207" s="929">
        <f t="shared" si="1118"/>
        <v>0</v>
      </c>
      <c r="KF207" s="929">
        <f t="shared" si="1119"/>
        <v>-1</v>
      </c>
      <c r="KH207" s="102">
        <f t="shared" si="1091"/>
        <v>605.01746752999998</v>
      </c>
      <c r="KI207" s="102">
        <f t="shared" si="1092"/>
        <v>0</v>
      </c>
      <c r="KJ207" s="102">
        <f t="shared" si="1093"/>
        <v>0</v>
      </c>
      <c r="KK207" s="102">
        <f t="shared" si="1094"/>
        <v>0</v>
      </c>
      <c r="KL207" s="102">
        <f t="shared" si="1095"/>
        <v>0</v>
      </c>
      <c r="KM207" s="102">
        <f t="shared" si="1096"/>
        <v>0</v>
      </c>
      <c r="KN207" s="102">
        <f t="shared" si="1097"/>
        <v>0</v>
      </c>
      <c r="KO207" s="102">
        <f t="shared" si="1098"/>
        <v>-1345.2296688399999</v>
      </c>
      <c r="KQ207" s="973"/>
      <c r="KR207" s="973"/>
      <c r="KS207" s="973"/>
      <c r="KT207" s="973"/>
      <c r="KU207" s="973"/>
      <c r="KV207" s="973"/>
      <c r="KW207" s="973"/>
      <c r="KX207" s="973"/>
      <c r="KY207" s="973"/>
      <c r="KZ207" s="973"/>
      <c r="LB207" s="102">
        <f t="shared" si="1099"/>
        <v>740.21220130999995</v>
      </c>
      <c r="LC207" s="102">
        <f t="shared" si="1099"/>
        <v>740.21220130999995</v>
      </c>
      <c r="LD207" s="102">
        <f t="shared" si="1099"/>
        <v>1345.2296688399999</v>
      </c>
      <c r="LE207" s="102">
        <f t="shared" si="1099"/>
        <v>1345.2296688399999</v>
      </c>
      <c r="LF207" s="102">
        <f t="shared" si="1099"/>
        <v>1345.2296688399999</v>
      </c>
      <c r="LG207" s="102">
        <f t="shared" si="1099"/>
        <v>1345.2296688399999</v>
      </c>
      <c r="LH207" s="102">
        <f t="shared" si="1099"/>
        <v>1345.2296688399999</v>
      </c>
      <c r="LI207" s="102">
        <f t="shared" si="1099"/>
        <v>1345.2296688399999</v>
      </c>
      <c r="LJ207" s="102">
        <f t="shared" si="1099"/>
        <v>1345.2296688399999</v>
      </c>
      <c r="LK207" s="102">
        <f t="shared" si="1099"/>
        <v>1345.2296688399999</v>
      </c>
      <c r="LL207" s="102">
        <f t="shared" si="1099"/>
        <v>1345.2296688399999</v>
      </c>
      <c r="LM207" s="102">
        <f t="shared" si="1099"/>
        <v>1345.2296688399999</v>
      </c>
      <c r="LN207" s="102"/>
      <c r="LO207" s="102"/>
      <c r="LR207" s="32">
        <f t="shared" si="1100"/>
        <v>0.8173567883091668</v>
      </c>
      <c r="LS207" s="32">
        <f t="shared" si="1101"/>
        <v>0</v>
      </c>
      <c r="LT207" s="32">
        <f t="shared" si="1102"/>
        <v>0</v>
      </c>
      <c r="LU207" s="32">
        <f t="shared" si="1103"/>
        <v>0</v>
      </c>
      <c r="LV207" s="32">
        <f t="shared" si="1104"/>
        <v>0</v>
      </c>
      <c r="LW207" s="32">
        <f t="shared" si="1105"/>
        <v>0</v>
      </c>
      <c r="LX207" s="32">
        <f t="shared" si="963"/>
        <v>-1</v>
      </c>
      <c r="LZ207" s="102">
        <f t="shared" si="1106"/>
        <v>605.01746752999998</v>
      </c>
      <c r="MA207" s="102">
        <f t="shared" si="1107"/>
        <v>0</v>
      </c>
      <c r="MB207" s="102">
        <f t="shared" si="1108"/>
        <v>0</v>
      </c>
      <c r="MC207" s="102">
        <f t="shared" si="1109"/>
        <v>0</v>
      </c>
      <c r="MD207" s="102">
        <f t="shared" si="1110"/>
        <v>0</v>
      </c>
      <c r="ME207" s="102">
        <f t="shared" si="1111"/>
        <v>0</v>
      </c>
      <c r="MF207" s="102">
        <f t="shared" si="964"/>
        <v>-1345.2296688399999</v>
      </c>
      <c r="MH207" s="973"/>
      <c r="MI207" s="973"/>
      <c r="MJ207" s="973"/>
      <c r="MK207" s="973"/>
      <c r="ML207" s="973"/>
      <c r="MM207" s="973"/>
      <c r="MN207" s="973"/>
      <c r="MO207" s="973"/>
      <c r="MP207" s="973"/>
    </row>
    <row r="208" spans="1:354" outlineLevel="1">
      <c r="A208" s="884"/>
      <c r="B208" s="70"/>
      <c r="C208" s="17" t="s">
        <v>157</v>
      </c>
      <c r="D208" s="31" t="s">
        <v>59</v>
      </c>
      <c r="E208" s="102">
        <v>1633.2</v>
      </c>
      <c r="F208" s="102">
        <v>1633.2</v>
      </c>
      <c r="G208" s="102">
        <v>1633.2</v>
      </c>
      <c r="H208" s="102">
        <v>1633.2</v>
      </c>
      <c r="I208" s="102">
        <v>1633.2</v>
      </c>
      <c r="J208" s="102">
        <v>1633.2</v>
      </c>
      <c r="K208" s="102">
        <v>1633.2</v>
      </c>
      <c r="L208" s="102">
        <v>1633.2</v>
      </c>
      <c r="M208" s="102">
        <v>1633.2</v>
      </c>
      <c r="N208" s="102">
        <v>1633.2</v>
      </c>
      <c r="O208" s="102">
        <v>1633.2</v>
      </c>
      <c r="P208" s="102">
        <v>3269.2031886300001</v>
      </c>
      <c r="Q208" s="102">
        <v>3269.2031886300001</v>
      </c>
      <c r="R208" s="102">
        <v>3269.2031886300001</v>
      </c>
      <c r="S208" s="102">
        <v>3269.2031886300001</v>
      </c>
      <c r="T208" s="102">
        <v>6923.2434163199996</v>
      </c>
      <c r="U208" s="102">
        <v>6923.2434163199996</v>
      </c>
      <c r="V208" s="102">
        <v>6923.2434163199996</v>
      </c>
      <c r="W208" s="102">
        <v>6789.9100823199997</v>
      </c>
      <c r="X208" s="102">
        <v>6656.5767483199998</v>
      </c>
      <c r="Y208" s="102">
        <v>6656.5767483199998</v>
      </c>
      <c r="Z208" s="102">
        <v>6523.2434143199998</v>
      </c>
      <c r="AA208" s="102">
        <v>6523.2434143199998</v>
      </c>
      <c r="AB208" s="102">
        <v>3203.2598673100001</v>
      </c>
      <c r="AC208" s="102">
        <v>3203.2598673100001</v>
      </c>
      <c r="AD208" s="102">
        <v>3203.2598673100001</v>
      </c>
      <c r="AE208" s="102">
        <v>4413.29480238</v>
      </c>
      <c r="AF208" s="102">
        <v>4413.29480238</v>
      </c>
      <c r="AG208" s="102">
        <v>4413.29480238</v>
      </c>
      <c r="AH208" s="102">
        <v>4413.29480238</v>
      </c>
      <c r="AI208" s="102">
        <v>4413.29480238</v>
      </c>
      <c r="AJ208" s="102">
        <v>4413.29480238</v>
      </c>
      <c r="AK208" s="102">
        <v>4413.29480238</v>
      </c>
      <c r="AL208" s="102">
        <v>4413.29480238</v>
      </c>
      <c r="AM208" s="102">
        <v>4413.29480238</v>
      </c>
      <c r="AN208" s="143">
        <v>4413.29480238</v>
      </c>
      <c r="AO208" s="975">
        <v>4413.29480238</v>
      </c>
      <c r="AP208" s="976">
        <v>4413.29480238</v>
      </c>
      <c r="AQ208" s="975">
        <v>4413.29480238</v>
      </c>
      <c r="AR208" s="975">
        <v>4413.29480238</v>
      </c>
      <c r="AS208" s="975">
        <v>4413.29480238</v>
      </c>
      <c r="AT208" s="975">
        <v>4413.29480238</v>
      </c>
      <c r="AU208" s="975">
        <v>4413.29480238</v>
      </c>
      <c r="AV208" s="975">
        <v>4413.29480238</v>
      </c>
      <c r="AW208" s="975">
        <v>4413.29480238</v>
      </c>
      <c r="AX208" s="975">
        <v>4413.29480238</v>
      </c>
      <c r="AY208" s="975">
        <v>4413.29480238</v>
      </c>
      <c r="AZ208" s="102">
        <f>SUM(AZ209:AZ211)</f>
        <v>4413</v>
      </c>
      <c r="BA208" s="146">
        <v>4413.29480238</v>
      </c>
      <c r="BB208" s="146">
        <v>4413.29480238</v>
      </c>
      <c r="BC208" s="146">
        <v>4413.29480238</v>
      </c>
      <c r="BD208" s="146">
        <v>4413.29480238</v>
      </c>
      <c r="BE208" s="146">
        <v>4413.29480238</v>
      </c>
      <c r="BF208" s="146">
        <v>4413.29480238</v>
      </c>
      <c r="BG208" s="146">
        <v>4413.29480238</v>
      </c>
      <c r="BH208" s="146">
        <v>4413.29480238</v>
      </c>
      <c r="BI208" s="146">
        <v>4413.29480238</v>
      </c>
      <c r="BJ208" s="146">
        <v>4413.29480238</v>
      </c>
      <c r="BK208" s="146">
        <v>4413.29480238</v>
      </c>
      <c r="BL208" s="146">
        <f>SUM(BL209:BL211)</f>
        <v>4413.29480238</v>
      </c>
      <c r="BM208" s="146">
        <f t="shared" ref="BM208:DX208" si="1120">SUM(BM209:BM211)</f>
        <v>4413.29480238</v>
      </c>
      <c r="BN208" s="146">
        <f t="shared" si="1120"/>
        <v>4413.29480238</v>
      </c>
      <c r="BO208" s="146">
        <f t="shared" si="1120"/>
        <v>4413.29480238</v>
      </c>
      <c r="BP208" s="146">
        <f t="shared" si="1120"/>
        <v>4413.29480238</v>
      </c>
      <c r="BQ208" s="146">
        <f t="shared" si="1120"/>
        <v>4413.29480238</v>
      </c>
      <c r="BR208" s="146">
        <f t="shared" si="1120"/>
        <v>4413.29480238</v>
      </c>
      <c r="BS208" s="146">
        <f t="shared" si="1120"/>
        <v>4413.29480238</v>
      </c>
      <c r="BT208" s="146">
        <f t="shared" si="1120"/>
        <v>4413.29480238</v>
      </c>
      <c r="BU208" s="146">
        <f t="shared" si="1120"/>
        <v>4413.29480238</v>
      </c>
      <c r="BV208" s="146">
        <f t="shared" si="1120"/>
        <v>4413.29480238</v>
      </c>
      <c r="BW208" s="146">
        <f t="shared" si="1120"/>
        <v>4413.29480238</v>
      </c>
      <c r="BX208" s="146">
        <f t="shared" si="1120"/>
        <v>4413.29480238</v>
      </c>
      <c r="BY208" s="146">
        <f t="shared" si="1120"/>
        <v>4413.29480238</v>
      </c>
      <c r="BZ208" s="146">
        <f t="shared" si="1120"/>
        <v>4413.29480238</v>
      </c>
      <c r="CA208" s="146">
        <f t="shared" si="1120"/>
        <v>4413.29480238</v>
      </c>
      <c r="CB208" s="146">
        <f t="shared" si="1120"/>
        <v>4413.29480238</v>
      </c>
      <c r="CC208" s="146">
        <f t="shared" si="1120"/>
        <v>4413.29480238</v>
      </c>
      <c r="CD208" s="146">
        <f t="shared" si="1120"/>
        <v>4413.29480238</v>
      </c>
      <c r="CE208" s="146">
        <f t="shared" si="1120"/>
        <v>4413.29480238</v>
      </c>
      <c r="CF208" s="146">
        <f t="shared" si="1120"/>
        <v>4413.29480238</v>
      </c>
      <c r="CG208" s="146">
        <f t="shared" si="1120"/>
        <v>4413.29480238</v>
      </c>
      <c r="CH208" s="146">
        <f t="shared" si="1120"/>
        <v>4413.29480238</v>
      </c>
      <c r="CI208" s="146">
        <f t="shared" si="1120"/>
        <v>4413.29480238</v>
      </c>
      <c r="CJ208" s="146">
        <f t="shared" si="1120"/>
        <v>4413.29480238</v>
      </c>
      <c r="CK208" s="146">
        <f t="shared" si="1120"/>
        <v>4413.29480238</v>
      </c>
      <c r="CL208" s="146">
        <f t="shared" si="1120"/>
        <v>4413.29480238</v>
      </c>
      <c r="CM208" s="146">
        <f t="shared" si="1120"/>
        <v>4413.29480238</v>
      </c>
      <c r="CN208" s="146">
        <f t="shared" si="1120"/>
        <v>4413.29480238</v>
      </c>
      <c r="CO208" s="146">
        <f t="shared" si="1120"/>
        <v>4413.29480238</v>
      </c>
      <c r="CP208" s="146">
        <f t="shared" si="1120"/>
        <v>4413.29480238</v>
      </c>
      <c r="CQ208" s="146">
        <f t="shared" si="1120"/>
        <v>4413.29480238</v>
      </c>
      <c r="CR208" s="146">
        <f t="shared" si="1120"/>
        <v>4413.29480238</v>
      </c>
      <c r="CS208" s="146">
        <f t="shared" si="1120"/>
        <v>4413.29480238</v>
      </c>
      <c r="CT208" s="146">
        <f t="shared" si="1120"/>
        <v>4413.29480238</v>
      </c>
      <c r="CU208" s="146">
        <f t="shared" si="1120"/>
        <v>4413.29480238</v>
      </c>
      <c r="CV208" s="146">
        <f t="shared" si="1120"/>
        <v>4413.29480238</v>
      </c>
      <c r="CW208" s="146">
        <f t="shared" si="1120"/>
        <v>4413.29480238</v>
      </c>
      <c r="CX208" s="146">
        <f t="shared" si="1120"/>
        <v>4413.29480238</v>
      </c>
      <c r="CY208" s="146">
        <f t="shared" si="1120"/>
        <v>4413.29480238</v>
      </c>
      <c r="CZ208" s="146">
        <f t="shared" si="1120"/>
        <v>4413.29480238</v>
      </c>
      <c r="DA208" s="146">
        <f t="shared" si="1120"/>
        <v>4413.29480238</v>
      </c>
      <c r="DB208" s="146">
        <f t="shared" si="1120"/>
        <v>4413.29480238</v>
      </c>
      <c r="DC208" s="146">
        <f t="shared" si="1120"/>
        <v>4413.29480238</v>
      </c>
      <c r="DD208" s="146">
        <f t="shared" si="1120"/>
        <v>4413.29480238</v>
      </c>
      <c r="DE208" s="146">
        <f t="shared" si="1120"/>
        <v>4413.29480238</v>
      </c>
      <c r="DF208" s="146">
        <f t="shared" si="1120"/>
        <v>4413.29480238</v>
      </c>
      <c r="DG208" s="146">
        <f t="shared" si="1120"/>
        <v>4413.29480238</v>
      </c>
      <c r="DH208" s="146">
        <f t="shared" si="1120"/>
        <v>4413.29480238</v>
      </c>
      <c r="DI208" s="146">
        <f t="shared" si="1120"/>
        <v>4413.29480238</v>
      </c>
      <c r="DJ208" s="146">
        <f t="shared" si="1120"/>
        <v>4413.29480238</v>
      </c>
      <c r="DK208" s="146">
        <f t="shared" si="1120"/>
        <v>4413.29480238</v>
      </c>
      <c r="DL208" s="146">
        <f t="shared" si="1120"/>
        <v>4413.29480238</v>
      </c>
      <c r="DM208" s="146">
        <f t="shared" si="1120"/>
        <v>4413.29480238</v>
      </c>
      <c r="DN208" s="146">
        <f t="shared" si="1120"/>
        <v>4413.29480238</v>
      </c>
      <c r="DO208" s="146">
        <f t="shared" si="1120"/>
        <v>4413.29480238</v>
      </c>
      <c r="DP208" s="146">
        <f t="shared" si="1120"/>
        <v>4413.29480238</v>
      </c>
      <c r="DQ208" s="1231">
        <f t="shared" si="1120"/>
        <v>4413.29480238</v>
      </c>
      <c r="DR208" s="1231">
        <f t="shared" si="1120"/>
        <v>4413.29480238</v>
      </c>
      <c r="DS208" s="1231">
        <f t="shared" si="1120"/>
        <v>4413.29480238</v>
      </c>
      <c r="DT208" s="1231">
        <f t="shared" si="1120"/>
        <v>4413.29480238</v>
      </c>
      <c r="DU208" s="1231">
        <f t="shared" si="1120"/>
        <v>4413.29480238</v>
      </c>
      <c r="DV208" s="1231">
        <f t="shared" si="1120"/>
        <v>4413.29480238</v>
      </c>
      <c r="DW208" s="1231">
        <f t="shared" si="1120"/>
        <v>4413.29480238</v>
      </c>
      <c r="DX208" s="1231">
        <f t="shared" si="1120"/>
        <v>4413.29480238</v>
      </c>
      <c r="DY208" s="1231">
        <f t="shared" ref="DY208:EF208" si="1121">SUM(DY209:DY211)</f>
        <v>4413.29480238</v>
      </c>
      <c r="DZ208" s="1231">
        <f t="shared" si="1121"/>
        <v>4413.29480238</v>
      </c>
      <c r="EA208" s="1231">
        <f t="shared" si="1121"/>
        <v>4413.29480238</v>
      </c>
      <c r="EB208" s="1231">
        <f t="shared" si="1121"/>
        <v>4413.29480238</v>
      </c>
      <c r="EC208" s="1231">
        <f t="shared" si="1121"/>
        <v>4413.29480238</v>
      </c>
      <c r="ED208" s="1231">
        <f t="shared" si="1121"/>
        <v>4413.29480238</v>
      </c>
      <c r="EE208" s="1231">
        <f t="shared" si="1121"/>
        <v>4413.29480238</v>
      </c>
      <c r="EF208" s="1231">
        <f t="shared" si="1121"/>
        <v>4413.29480238</v>
      </c>
      <c r="EH208" s="102">
        <f t="shared" ref="EH208:ES208" si="1122">SUM(EH209:EH211)</f>
        <v>4413.294801688754</v>
      </c>
      <c r="EI208" s="102">
        <f t="shared" si="1122"/>
        <v>4413.294801688754</v>
      </c>
      <c r="EJ208" s="102">
        <f t="shared" si="1122"/>
        <v>4413.294801688754</v>
      </c>
      <c r="EK208" s="102">
        <f t="shared" si="1122"/>
        <v>4413.294801688754</v>
      </c>
      <c r="EL208" s="102">
        <f t="shared" si="1122"/>
        <v>4413.294801688754</v>
      </c>
      <c r="EM208" s="102">
        <f t="shared" si="1122"/>
        <v>4413.294801688754</v>
      </c>
      <c r="EN208" s="102">
        <f t="shared" si="1122"/>
        <v>4413.294801688754</v>
      </c>
      <c r="EO208" s="102">
        <f t="shared" si="1122"/>
        <v>4413.294801688754</v>
      </c>
      <c r="EP208" s="102">
        <f t="shared" si="1122"/>
        <v>4413.294801688754</v>
      </c>
      <c r="EQ208" s="102">
        <f t="shared" si="1122"/>
        <v>4413.294801688754</v>
      </c>
      <c r="ER208" s="102">
        <f t="shared" si="1122"/>
        <v>4413.294801688754</v>
      </c>
      <c r="ES208" s="102">
        <f t="shared" si="1122"/>
        <v>4413.294801688754</v>
      </c>
      <c r="ET208" s="279"/>
      <c r="EU208" s="102">
        <f t="shared" ref="EU208:FZ208" si="1123">SUM(EU209:EU211)</f>
        <v>4413.29480238</v>
      </c>
      <c r="EV208" s="102">
        <f t="shared" si="1123"/>
        <v>4413.29480238</v>
      </c>
      <c r="EW208" s="102">
        <f t="shared" si="1123"/>
        <v>4413.29480238</v>
      </c>
      <c r="EX208" s="102">
        <f t="shared" si="1123"/>
        <v>4413.29480238</v>
      </c>
      <c r="EY208" s="102">
        <f t="shared" si="1123"/>
        <v>4413.29480238</v>
      </c>
      <c r="EZ208" s="102">
        <f t="shared" si="1123"/>
        <v>4413.29480238</v>
      </c>
      <c r="FA208" s="102">
        <f t="shared" si="1123"/>
        <v>4413.29480238</v>
      </c>
      <c r="FB208" s="102">
        <f t="shared" si="1123"/>
        <v>4413.29480238</v>
      </c>
      <c r="FC208" s="102">
        <f t="shared" si="1123"/>
        <v>4413.29480238</v>
      </c>
      <c r="FD208" s="102">
        <f t="shared" si="1123"/>
        <v>4413.29480238</v>
      </c>
      <c r="FE208" s="102">
        <f t="shared" si="1123"/>
        <v>4413.29480238</v>
      </c>
      <c r="FF208" s="102">
        <f t="shared" si="1123"/>
        <v>4413.29480238</v>
      </c>
      <c r="FG208" s="102">
        <f t="shared" si="1123"/>
        <v>4413.29480238</v>
      </c>
      <c r="FH208" s="102">
        <f t="shared" si="1123"/>
        <v>4413.29480238</v>
      </c>
      <c r="FI208" s="102">
        <f t="shared" si="1123"/>
        <v>4413.29480238</v>
      </c>
      <c r="FJ208" s="102">
        <f t="shared" si="1123"/>
        <v>4413.29480238</v>
      </c>
      <c r="FK208" s="102">
        <f t="shared" si="1123"/>
        <v>4413.29480238</v>
      </c>
      <c r="FL208" s="102">
        <f t="shared" si="1123"/>
        <v>4413.29480238</v>
      </c>
      <c r="FM208" s="102">
        <f t="shared" si="1123"/>
        <v>4413.29480238</v>
      </c>
      <c r="FN208" s="102">
        <f t="shared" si="1123"/>
        <v>4413.29480238</v>
      </c>
      <c r="FO208" s="102">
        <f t="shared" si="1123"/>
        <v>4413.29480238</v>
      </c>
      <c r="FP208" s="102">
        <f t="shared" si="1123"/>
        <v>4413.29480238</v>
      </c>
      <c r="FQ208" s="102">
        <f t="shared" si="1123"/>
        <v>4413.29480238</v>
      </c>
      <c r="FR208" s="102">
        <f t="shared" si="1123"/>
        <v>4413.29480238</v>
      </c>
      <c r="FS208" s="102">
        <f t="shared" si="1123"/>
        <v>4413.29480238</v>
      </c>
      <c r="FT208" s="102">
        <f t="shared" si="1123"/>
        <v>4413.29480238</v>
      </c>
      <c r="FU208" s="102">
        <f t="shared" si="1123"/>
        <v>4413.29480238</v>
      </c>
      <c r="FV208" s="102">
        <f t="shared" si="1123"/>
        <v>4413.29480238</v>
      </c>
      <c r="FW208" s="102">
        <f t="shared" si="1123"/>
        <v>4413.29480238</v>
      </c>
      <c r="FX208" s="102">
        <f t="shared" si="1123"/>
        <v>4413.29480238</v>
      </c>
      <c r="FY208" s="102">
        <f t="shared" si="1123"/>
        <v>4413.29480238</v>
      </c>
      <c r="FZ208" s="102">
        <f t="shared" si="1123"/>
        <v>4413.29480238</v>
      </c>
      <c r="GA208" s="102">
        <f t="shared" ref="GA208:HB208" si="1124">SUM(GA209:GA211)</f>
        <v>4413.29480238</v>
      </c>
      <c r="GB208" s="102">
        <f t="shared" si="1124"/>
        <v>4413.29480238</v>
      </c>
      <c r="GC208" s="102">
        <f t="shared" si="1124"/>
        <v>4413.29480238</v>
      </c>
      <c r="GD208" s="102">
        <f t="shared" si="1124"/>
        <v>4413.29480238</v>
      </c>
      <c r="GE208" s="102">
        <f t="shared" si="1124"/>
        <v>0</v>
      </c>
      <c r="GF208" s="102">
        <f t="shared" si="1124"/>
        <v>0</v>
      </c>
      <c r="GG208" s="102">
        <f t="shared" si="1124"/>
        <v>0</v>
      </c>
      <c r="GH208" s="102">
        <f t="shared" si="1124"/>
        <v>0</v>
      </c>
      <c r="GI208" s="102">
        <f t="shared" si="1124"/>
        <v>0</v>
      </c>
      <c r="GJ208" s="102">
        <f t="shared" si="1124"/>
        <v>0</v>
      </c>
      <c r="GK208" s="102">
        <f t="shared" si="1124"/>
        <v>0</v>
      </c>
      <c r="GL208" s="102">
        <f t="shared" si="1124"/>
        <v>0</v>
      </c>
      <c r="GM208" s="102">
        <f t="shared" si="1124"/>
        <v>0</v>
      </c>
      <c r="GN208" s="102">
        <f t="shared" si="1124"/>
        <v>0</v>
      </c>
      <c r="GO208" s="102">
        <f t="shared" si="1124"/>
        <v>0</v>
      </c>
      <c r="GP208" s="102">
        <f t="shared" si="1124"/>
        <v>0</v>
      </c>
      <c r="GQ208" s="102">
        <f t="shared" si="1124"/>
        <v>0</v>
      </c>
      <c r="GR208" s="102">
        <f t="shared" si="1124"/>
        <v>0</v>
      </c>
      <c r="GS208" s="102">
        <f t="shared" si="1124"/>
        <v>0</v>
      </c>
      <c r="GT208" s="102">
        <f t="shared" si="1124"/>
        <v>0</v>
      </c>
      <c r="GU208" s="102">
        <f t="shared" si="1124"/>
        <v>0</v>
      </c>
      <c r="GV208" s="102">
        <f t="shared" si="1124"/>
        <v>0</v>
      </c>
      <c r="GW208" s="102">
        <f t="shared" si="1124"/>
        <v>0</v>
      </c>
      <c r="GX208" s="102">
        <f t="shared" si="1124"/>
        <v>0</v>
      </c>
      <c r="GY208" s="102">
        <f t="shared" si="1124"/>
        <v>0</v>
      </c>
      <c r="GZ208" s="102">
        <f t="shared" si="1124"/>
        <v>0</v>
      </c>
      <c r="HA208" s="102">
        <f t="shared" si="1124"/>
        <v>0</v>
      </c>
      <c r="HB208" s="102">
        <f t="shared" si="1124"/>
        <v>0</v>
      </c>
      <c r="HD208" s="102">
        <f t="shared" si="1068"/>
        <v>3269.2031886300001</v>
      </c>
      <c r="HE208" s="102">
        <f t="shared" si="1068"/>
        <v>3203.2598673100001</v>
      </c>
      <c r="HF208" s="102">
        <f t="shared" si="1068"/>
        <v>4413.29480238</v>
      </c>
      <c r="HG208" s="102">
        <f t="shared" si="1068"/>
        <v>4413</v>
      </c>
      <c r="HH208" s="102">
        <f t="shared" si="1069"/>
        <v>4413.29480238</v>
      </c>
      <c r="HI208" s="102">
        <f t="shared" si="1070"/>
        <v>4413.29480238</v>
      </c>
      <c r="HJ208" s="102">
        <f t="shared" si="961"/>
        <v>4413.29480238</v>
      </c>
      <c r="HK208" s="102">
        <f t="shared" si="962"/>
        <v>4413.29480238</v>
      </c>
      <c r="HL208" s="940">
        <f>+SUMIFS($E208:SEW208,$E$6:SEW$6,HL$7,$E$5:SEW$5,12)</f>
        <v>4413.29480238</v>
      </c>
      <c r="HM208" s="940">
        <f>+SUMIFS($E208:SEX208,$E$6:SEX$6,HM$7,$E$5:SEX$5,12)</f>
        <v>4413.29480238</v>
      </c>
      <c r="HN208" s="940">
        <f>+SUMIFS($E208:SEY208,$E$6:SEY$6,HN$7,$E$5:SEY$5,12)</f>
        <v>4413.29480238</v>
      </c>
      <c r="HO208" s="102"/>
      <c r="HP208" s="102"/>
      <c r="HR208" s="929">
        <f t="shared" si="1071"/>
        <v>0.37775109894101422</v>
      </c>
      <c r="HS208" s="929">
        <f t="shared" si="1072"/>
        <v>-6.6798705547821413E-5</v>
      </c>
      <c r="HT208" s="929">
        <f t="shared" si="1073"/>
        <v>6.6803167912965478E-5</v>
      </c>
      <c r="HU208" s="929">
        <f t="shared" si="1074"/>
        <v>0</v>
      </c>
      <c r="HV208" s="929">
        <f t="shared" si="1075"/>
        <v>0</v>
      </c>
      <c r="HW208" s="929">
        <f t="shared" si="1076"/>
        <v>0</v>
      </c>
      <c r="HX208" s="929">
        <f t="shared" si="1077"/>
        <v>0</v>
      </c>
      <c r="HY208" s="929">
        <f t="shared" si="1077"/>
        <v>0</v>
      </c>
      <c r="HZ208" s="929">
        <f t="shared" si="1077"/>
        <v>0</v>
      </c>
      <c r="IA208" s="929">
        <f t="shared" si="1036"/>
        <v>-1</v>
      </c>
      <c r="IB208" s="929" t="str">
        <f t="shared" si="1078"/>
        <v/>
      </c>
      <c r="IC208" s="929">
        <f t="shared" si="1037"/>
        <v>-1</v>
      </c>
      <c r="IE208" s="102">
        <f t="shared" si="1079"/>
        <v>1210.0349350699998</v>
      </c>
      <c r="IF208" s="102">
        <f t="shared" si="1080"/>
        <v>-0.29480237999996461</v>
      </c>
      <c r="IG208" s="102">
        <f t="shared" si="1081"/>
        <v>0.29480237999996461</v>
      </c>
      <c r="IH208" s="102">
        <f t="shared" si="1082"/>
        <v>0</v>
      </c>
      <c r="II208" s="102">
        <f t="shared" si="1045"/>
        <v>0</v>
      </c>
      <c r="IJ208" s="102">
        <f t="shared" si="1046"/>
        <v>0</v>
      </c>
      <c r="IK208" s="102">
        <f t="shared" si="1047"/>
        <v>0</v>
      </c>
      <c r="IL208" s="102">
        <f t="shared" si="1038"/>
        <v>-4413.29480238</v>
      </c>
      <c r="IM208" s="102">
        <f t="shared" si="1083"/>
        <v>0</v>
      </c>
      <c r="IN208" s="102">
        <f t="shared" si="1039"/>
        <v>-4413.29480238</v>
      </c>
      <c r="IP208" s="973"/>
      <c r="IQ208" s="973"/>
      <c r="IR208" s="973"/>
      <c r="IS208" s="973"/>
      <c r="IT208" s="973"/>
      <c r="IU208" s="973"/>
      <c r="IV208" s="973"/>
      <c r="IW208" s="973"/>
      <c r="IX208" s="973"/>
      <c r="IY208" s="973"/>
      <c r="JA208" s="102">
        <f t="shared" si="1084"/>
        <v>3269.2031886300001</v>
      </c>
      <c r="JB208" s="102">
        <f t="shared" si="1084"/>
        <v>3203.2598673100001</v>
      </c>
      <c r="JC208" s="102">
        <f t="shared" si="1084"/>
        <v>4413.29480238</v>
      </c>
      <c r="JD208" s="102">
        <f t="shared" si="1084"/>
        <v>4413</v>
      </c>
      <c r="JE208" s="102">
        <f t="shared" si="1084"/>
        <v>4413.29480238</v>
      </c>
      <c r="JF208" s="102">
        <f t="shared" si="1084"/>
        <v>4413.29480238</v>
      </c>
      <c r="JG208" s="102">
        <f t="shared" si="1084"/>
        <v>4413.29480238</v>
      </c>
      <c r="JH208" s="102">
        <f t="shared" si="1084"/>
        <v>4413.29480238</v>
      </c>
      <c r="JI208" s="102">
        <f t="shared" si="1084"/>
        <v>4413.29480238</v>
      </c>
      <c r="JJ208" s="102">
        <f t="shared" si="1084"/>
        <v>4413.29480238</v>
      </c>
      <c r="JK208" s="102">
        <f t="shared" si="1084"/>
        <v>4413.29480238</v>
      </c>
      <c r="JL208" s="102">
        <f t="shared" si="1085"/>
        <v>4413.29480238</v>
      </c>
      <c r="JM208" s="102"/>
      <c r="JN208" s="102"/>
      <c r="JP208" s="102">
        <f t="shared" si="1086"/>
        <v>0</v>
      </c>
      <c r="JQ208" s="102">
        <f t="shared" si="1087"/>
        <v>0</v>
      </c>
      <c r="JR208" s="145"/>
      <c r="JS208" s="929" t="str">
        <f t="shared" si="1088"/>
        <v>NA</v>
      </c>
      <c r="JT208" s="930">
        <f t="shared" si="1089"/>
        <v>0</v>
      </c>
      <c r="JV208" s="973"/>
      <c r="JW208" s="973"/>
      <c r="JY208" s="929">
        <f t="shared" si="1112"/>
        <v>0.37775109894101422</v>
      </c>
      <c r="JZ208" s="929">
        <f t="shared" si="1113"/>
        <v>-6.6798705547821413E-5</v>
      </c>
      <c r="KA208" s="929">
        <f t="shared" si="1114"/>
        <v>6.6803167912965478E-5</v>
      </c>
      <c r="KB208" s="929">
        <f t="shared" si="1115"/>
        <v>0</v>
      </c>
      <c r="KC208" s="929">
        <f t="shared" si="1116"/>
        <v>0</v>
      </c>
      <c r="KD208" s="929">
        <f t="shared" si="1117"/>
        <v>0</v>
      </c>
      <c r="KE208" s="929">
        <f t="shared" si="1118"/>
        <v>0</v>
      </c>
      <c r="KF208" s="929">
        <f t="shared" si="1119"/>
        <v>-1</v>
      </c>
      <c r="KH208" s="102">
        <f t="shared" si="1091"/>
        <v>1210.0349350699998</v>
      </c>
      <c r="KI208" s="102">
        <f t="shared" si="1092"/>
        <v>-0.29480237999996461</v>
      </c>
      <c r="KJ208" s="102">
        <f t="shared" si="1093"/>
        <v>0.29480237999996461</v>
      </c>
      <c r="KK208" s="102">
        <f t="shared" si="1094"/>
        <v>0</v>
      </c>
      <c r="KL208" s="102">
        <f t="shared" si="1095"/>
        <v>0</v>
      </c>
      <c r="KM208" s="102">
        <f t="shared" si="1096"/>
        <v>0</v>
      </c>
      <c r="KN208" s="102">
        <f t="shared" si="1097"/>
        <v>0</v>
      </c>
      <c r="KO208" s="102">
        <f t="shared" si="1098"/>
        <v>-4413.29480238</v>
      </c>
      <c r="KQ208" s="973"/>
      <c r="KR208" s="973"/>
      <c r="KS208" s="973"/>
      <c r="KT208" s="973"/>
      <c r="KU208" s="973"/>
      <c r="KV208" s="973"/>
      <c r="KW208" s="973"/>
      <c r="KX208" s="973"/>
      <c r="KY208" s="973"/>
      <c r="KZ208" s="973"/>
      <c r="LB208" s="102">
        <f t="shared" si="1099"/>
        <v>3269.2031886300001</v>
      </c>
      <c r="LC208" s="102">
        <f t="shared" si="1099"/>
        <v>3203.2598673100001</v>
      </c>
      <c r="LD208" s="102">
        <f t="shared" si="1099"/>
        <v>4413.29480238</v>
      </c>
      <c r="LE208" s="102">
        <f t="shared" si="1099"/>
        <v>4413</v>
      </c>
      <c r="LF208" s="102">
        <f t="shared" si="1099"/>
        <v>4413.29480238</v>
      </c>
      <c r="LG208" s="102">
        <f t="shared" si="1099"/>
        <v>4413.29480238</v>
      </c>
      <c r="LH208" s="102">
        <f t="shared" si="1099"/>
        <v>4413.29480238</v>
      </c>
      <c r="LI208" s="102">
        <f t="shared" si="1099"/>
        <v>4413.29480238</v>
      </c>
      <c r="LJ208" s="102">
        <f t="shared" si="1099"/>
        <v>4413.29480238</v>
      </c>
      <c r="LK208" s="102">
        <f t="shared" si="1099"/>
        <v>4413.29480238</v>
      </c>
      <c r="LL208" s="102">
        <f t="shared" si="1099"/>
        <v>4413.29480238</v>
      </c>
      <c r="LM208" s="102">
        <f t="shared" si="1099"/>
        <v>4413.29480238</v>
      </c>
      <c r="LN208" s="102"/>
      <c r="LO208" s="102"/>
      <c r="LR208" s="32">
        <f t="shared" si="1100"/>
        <v>0.37775109894101422</v>
      </c>
      <c r="LS208" s="32">
        <f t="shared" si="1101"/>
        <v>-6.6798705547821413E-5</v>
      </c>
      <c r="LT208" s="32">
        <f t="shared" si="1102"/>
        <v>6.6803167912965478E-5</v>
      </c>
      <c r="LU208" s="32">
        <f t="shared" si="1103"/>
        <v>0</v>
      </c>
      <c r="LV208" s="32">
        <f t="shared" si="1104"/>
        <v>0</v>
      </c>
      <c r="LW208" s="32">
        <f t="shared" si="1105"/>
        <v>0</v>
      </c>
      <c r="LX208" s="32">
        <f t="shared" si="963"/>
        <v>-1</v>
      </c>
      <c r="LZ208" s="102">
        <f t="shared" si="1106"/>
        <v>1210.0349350699998</v>
      </c>
      <c r="MA208" s="102">
        <f t="shared" si="1107"/>
        <v>-0.29480237999996461</v>
      </c>
      <c r="MB208" s="102">
        <f t="shared" si="1108"/>
        <v>0.29480237999996461</v>
      </c>
      <c r="MC208" s="102">
        <f t="shared" si="1109"/>
        <v>0</v>
      </c>
      <c r="MD208" s="102">
        <f t="shared" si="1110"/>
        <v>0</v>
      </c>
      <c r="ME208" s="102">
        <f t="shared" si="1111"/>
        <v>0</v>
      </c>
      <c r="MF208" s="102">
        <f t="shared" si="964"/>
        <v>-4413.29480238</v>
      </c>
      <c r="MH208" s="973"/>
      <c r="MI208" s="973"/>
      <c r="MJ208" s="973"/>
      <c r="MK208" s="973"/>
      <c r="ML208" s="973"/>
      <c r="MM208" s="973"/>
      <c r="MN208" s="973"/>
      <c r="MO208" s="973"/>
      <c r="MP208" s="973"/>
    </row>
    <row r="209" spans="1:354" outlineLevel="2">
      <c r="A209" s="884">
        <v>330515</v>
      </c>
      <c r="B209" s="70" t="s">
        <v>757</v>
      </c>
      <c r="D209" s="31"/>
      <c r="E209" s="102">
        <v>0</v>
      </c>
      <c r="F209" s="102">
        <v>0</v>
      </c>
      <c r="G209" s="102">
        <v>0</v>
      </c>
      <c r="H209" s="102">
        <v>0</v>
      </c>
      <c r="I209" s="102">
        <v>0</v>
      </c>
      <c r="J209" s="102">
        <v>0</v>
      </c>
      <c r="K209" s="102">
        <v>0</v>
      </c>
      <c r="L209" s="102">
        <v>0</v>
      </c>
      <c r="M209" s="102">
        <v>0</v>
      </c>
      <c r="N209" s="102">
        <v>0</v>
      </c>
      <c r="O209" s="102">
        <v>0</v>
      </c>
      <c r="P209" s="102">
        <v>0</v>
      </c>
      <c r="Q209" s="102">
        <v>1633.2</v>
      </c>
      <c r="R209" s="102">
        <v>1633.2</v>
      </c>
      <c r="S209" s="102">
        <v>1633.2</v>
      </c>
      <c r="T209" s="102">
        <v>1633.2</v>
      </c>
      <c r="U209" s="102">
        <v>1633.2</v>
      </c>
      <c r="V209" s="102">
        <v>1633.2</v>
      </c>
      <c r="W209" s="102">
        <v>1633.2</v>
      </c>
      <c r="X209" s="102">
        <v>1633.2</v>
      </c>
      <c r="Y209" s="102">
        <v>1633.2</v>
      </c>
      <c r="Z209" s="102">
        <v>1633.2</v>
      </c>
      <c r="AA209" s="102">
        <v>1633.2</v>
      </c>
      <c r="AB209" s="102">
        <v>0</v>
      </c>
      <c r="AC209" s="102">
        <v>0</v>
      </c>
      <c r="AD209" s="102">
        <v>0</v>
      </c>
      <c r="AE209" s="102">
        <v>0</v>
      </c>
      <c r="AF209" s="102">
        <v>0</v>
      </c>
      <c r="AG209" s="102">
        <v>0</v>
      </c>
      <c r="AH209" s="102">
        <v>0</v>
      </c>
      <c r="AI209" s="102">
        <v>0</v>
      </c>
      <c r="AJ209" s="102">
        <v>0</v>
      </c>
      <c r="AK209" s="102">
        <v>0</v>
      </c>
      <c r="AL209" s="102">
        <v>0</v>
      </c>
      <c r="AM209" s="102">
        <v>0</v>
      </c>
      <c r="AN209" s="102">
        <v>0</v>
      </c>
      <c r="AO209" s="102">
        <v>0</v>
      </c>
      <c r="AP209" s="145">
        <v>0</v>
      </c>
      <c r="AQ209" s="143">
        <v>0</v>
      </c>
      <c r="AR209" s="143">
        <v>0</v>
      </c>
      <c r="AS209" s="102">
        <v>0</v>
      </c>
      <c r="AT209" s="102">
        <v>0</v>
      </c>
      <c r="AU209" s="102">
        <v>0</v>
      </c>
      <c r="AV209" s="102">
        <v>0</v>
      </c>
      <c r="AW209" s="102">
        <v>0</v>
      </c>
      <c r="AX209" s="102">
        <v>0</v>
      </c>
      <c r="AY209" s="102">
        <v>0</v>
      </c>
      <c r="AZ209" s="102">
        <v>0</v>
      </c>
      <c r="BA209" s="102">
        <v>0</v>
      </c>
      <c r="BB209" s="102">
        <v>0</v>
      </c>
      <c r="BC209" s="102">
        <v>0</v>
      </c>
      <c r="BD209" s="102">
        <v>0</v>
      </c>
      <c r="BE209" s="102">
        <v>0</v>
      </c>
      <c r="BF209" s="102">
        <v>0</v>
      </c>
      <c r="BG209" s="102">
        <v>0</v>
      </c>
      <c r="BH209" s="102">
        <v>0</v>
      </c>
      <c r="BI209" s="102">
        <v>0</v>
      </c>
      <c r="BJ209" s="102">
        <v>0</v>
      </c>
      <c r="BK209" s="102">
        <v>0</v>
      </c>
      <c r="BL209" s="102">
        <v>0</v>
      </c>
      <c r="BM209" s="102">
        <v>0</v>
      </c>
      <c r="BN209" s="102">
        <v>0</v>
      </c>
      <c r="BO209" s="102">
        <v>0</v>
      </c>
      <c r="BP209" s="102">
        <v>0</v>
      </c>
      <c r="BQ209" s="102">
        <v>0</v>
      </c>
      <c r="BR209" s="102">
        <v>0</v>
      </c>
      <c r="BS209" s="102">
        <v>0</v>
      </c>
      <c r="BT209" s="102">
        <v>0</v>
      </c>
      <c r="BU209" s="102">
        <v>0</v>
      </c>
      <c r="BV209" s="102">
        <v>0</v>
      </c>
      <c r="BW209" s="102">
        <v>0</v>
      </c>
      <c r="BX209" s="102">
        <v>0</v>
      </c>
      <c r="BY209" s="102">
        <v>0</v>
      </c>
      <c r="BZ209" s="102">
        <v>0</v>
      </c>
      <c r="CA209" s="102">
        <v>0</v>
      </c>
      <c r="CB209" s="102">
        <v>0</v>
      </c>
      <c r="CC209" s="102">
        <v>0</v>
      </c>
      <c r="CD209" s="102">
        <v>0</v>
      </c>
      <c r="CE209" s="102">
        <v>0</v>
      </c>
      <c r="CF209" s="102">
        <v>0</v>
      </c>
      <c r="CG209" s="102">
        <v>0</v>
      </c>
      <c r="CH209" s="102">
        <v>0</v>
      </c>
      <c r="CI209" s="102">
        <v>0</v>
      </c>
      <c r="CJ209" s="102">
        <v>0</v>
      </c>
      <c r="CK209" s="102">
        <v>0</v>
      </c>
      <c r="CL209" s="102">
        <v>0</v>
      </c>
      <c r="CM209" s="102">
        <v>0</v>
      </c>
      <c r="CN209" s="102">
        <v>0</v>
      </c>
      <c r="CO209" s="102">
        <v>0</v>
      </c>
      <c r="CP209" s="102">
        <v>0</v>
      </c>
      <c r="CQ209" s="102">
        <v>0</v>
      </c>
      <c r="CR209" s="102">
        <v>0</v>
      </c>
      <c r="CS209" s="102">
        <v>0</v>
      </c>
      <c r="CT209" s="102">
        <v>0</v>
      </c>
      <c r="CU209" s="102">
        <v>0</v>
      </c>
      <c r="CV209" s="102">
        <v>0</v>
      </c>
      <c r="CW209" s="102">
        <v>0</v>
      </c>
      <c r="CX209" s="102">
        <v>0</v>
      </c>
      <c r="CY209" s="102">
        <v>0</v>
      </c>
      <c r="CZ209" s="102">
        <v>0</v>
      </c>
      <c r="DA209" s="102">
        <v>0</v>
      </c>
      <c r="DB209" s="102">
        <v>0</v>
      </c>
      <c r="DC209" s="102">
        <v>0</v>
      </c>
      <c r="DD209" s="102">
        <v>0</v>
      </c>
      <c r="DE209" s="102">
        <v>0</v>
      </c>
      <c r="DF209" s="102">
        <v>0</v>
      </c>
      <c r="DG209" s="102">
        <v>0</v>
      </c>
      <c r="DH209" s="102">
        <v>0</v>
      </c>
      <c r="DI209" s="102">
        <v>0</v>
      </c>
      <c r="DJ209" s="102">
        <v>0</v>
      </c>
      <c r="DK209" s="102">
        <v>0</v>
      </c>
      <c r="DL209" s="102">
        <v>0</v>
      </c>
      <c r="DM209" s="102">
        <v>0</v>
      </c>
      <c r="DN209" s="102">
        <v>0</v>
      </c>
      <c r="DO209" s="102">
        <v>0</v>
      </c>
      <c r="DP209" s="102">
        <v>0</v>
      </c>
      <c r="DQ209" s="940">
        <v>0</v>
      </c>
      <c r="DR209" s="940">
        <v>0</v>
      </c>
      <c r="DS209" s="940">
        <v>0</v>
      </c>
      <c r="DT209" s="940">
        <v>0</v>
      </c>
      <c r="DU209" s="940">
        <v>0</v>
      </c>
      <c r="DV209" s="940">
        <v>0</v>
      </c>
      <c r="DW209" s="940">
        <v>0</v>
      </c>
      <c r="DX209" s="940">
        <v>0</v>
      </c>
      <c r="DY209" s="940">
        <v>0</v>
      </c>
      <c r="DZ209" s="940">
        <v>0</v>
      </c>
      <c r="EA209" s="940">
        <v>0</v>
      </c>
      <c r="EB209" s="940">
        <v>0</v>
      </c>
      <c r="EC209" s="940">
        <v>0</v>
      </c>
      <c r="ED209" s="940">
        <v>0</v>
      </c>
      <c r="EE209" s="940">
        <v>0</v>
      </c>
      <c r="EF209" s="940">
        <v>0</v>
      </c>
      <c r="EH209" s="102">
        <v>0</v>
      </c>
      <c r="EI209" s="102">
        <v>0</v>
      </c>
      <c r="EJ209" s="102">
        <v>0</v>
      </c>
      <c r="EK209" s="102">
        <v>0</v>
      </c>
      <c r="EL209" s="102">
        <v>0</v>
      </c>
      <c r="EM209" s="102">
        <v>0</v>
      </c>
      <c r="EN209" s="102">
        <v>0</v>
      </c>
      <c r="EO209" s="102">
        <v>0</v>
      </c>
      <c r="EP209" s="102">
        <v>0</v>
      </c>
      <c r="EQ209" s="102">
        <v>0</v>
      </c>
      <c r="ER209" s="102">
        <v>0</v>
      </c>
      <c r="ES209" s="102">
        <v>0</v>
      </c>
      <c r="EU209" s="102"/>
      <c r="EV209" s="102"/>
      <c r="EW209" s="102"/>
      <c r="EX209" s="102"/>
      <c r="EY209" s="102"/>
      <c r="EZ209" s="102"/>
      <c r="FA209" s="102"/>
      <c r="FB209" s="102"/>
      <c r="FC209" s="102"/>
      <c r="FD209" s="102"/>
      <c r="FE209" s="102"/>
      <c r="FF209" s="102"/>
      <c r="FG209" s="102">
        <v>0</v>
      </c>
      <c r="FH209" s="102">
        <v>0</v>
      </c>
      <c r="FI209" s="102">
        <v>0</v>
      </c>
      <c r="FJ209" s="102">
        <v>0</v>
      </c>
      <c r="FK209" s="102">
        <v>0</v>
      </c>
      <c r="FL209" s="102">
        <v>0</v>
      </c>
      <c r="FM209" s="102">
        <v>0</v>
      </c>
      <c r="FN209" s="102">
        <v>0</v>
      </c>
      <c r="FO209" s="102">
        <v>0</v>
      </c>
      <c r="FP209" s="102">
        <v>0</v>
      </c>
      <c r="FQ209" s="102">
        <v>0</v>
      </c>
      <c r="FR209" s="102">
        <v>0</v>
      </c>
      <c r="FS209" s="102"/>
      <c r="FT209" s="102"/>
      <c r="FU209" s="102"/>
      <c r="FV209" s="102"/>
      <c r="FW209" s="102"/>
      <c r="FX209" s="102"/>
      <c r="FY209" s="102"/>
      <c r="FZ209" s="102"/>
      <c r="GA209" s="102"/>
      <c r="GB209" s="102"/>
      <c r="GC209" s="102"/>
      <c r="GD209" s="102"/>
      <c r="GE209" s="102">
        <v>0</v>
      </c>
      <c r="GF209" s="102">
        <v>0</v>
      </c>
      <c r="GG209" s="102">
        <v>0</v>
      </c>
      <c r="GH209" s="102">
        <v>0</v>
      </c>
      <c r="GI209" s="102">
        <v>0</v>
      </c>
      <c r="GJ209" s="102">
        <v>0</v>
      </c>
      <c r="GK209" s="102">
        <v>0</v>
      </c>
      <c r="GL209" s="102">
        <v>0</v>
      </c>
      <c r="GM209" s="102">
        <v>0</v>
      </c>
      <c r="GN209" s="102">
        <v>0</v>
      </c>
      <c r="GO209" s="102">
        <v>0</v>
      </c>
      <c r="GP209" s="102">
        <v>0</v>
      </c>
      <c r="GQ209" s="102">
        <v>0</v>
      </c>
      <c r="GR209" s="102">
        <v>0</v>
      </c>
      <c r="GS209" s="102">
        <v>0</v>
      </c>
      <c r="GT209" s="102">
        <v>0</v>
      </c>
      <c r="GU209" s="102">
        <v>0</v>
      </c>
      <c r="GV209" s="102">
        <v>0</v>
      </c>
      <c r="GW209" s="102">
        <v>0</v>
      </c>
      <c r="GX209" s="102">
        <v>0</v>
      </c>
      <c r="GY209" s="102">
        <v>0</v>
      </c>
      <c r="GZ209" s="102">
        <v>0</v>
      </c>
      <c r="HA209" s="102">
        <v>0</v>
      </c>
      <c r="HB209" s="102">
        <v>0</v>
      </c>
      <c r="HD209" s="102">
        <f t="shared" si="1068"/>
        <v>0</v>
      </c>
      <c r="HE209" s="102">
        <f t="shared" si="1068"/>
        <v>0</v>
      </c>
      <c r="HF209" s="102">
        <f t="shared" si="1068"/>
        <v>0</v>
      </c>
      <c r="HG209" s="102">
        <f t="shared" si="1068"/>
        <v>0</v>
      </c>
      <c r="HH209" s="102">
        <f t="shared" si="1069"/>
        <v>0</v>
      </c>
      <c r="HI209" s="102">
        <f t="shared" si="1070"/>
        <v>0</v>
      </c>
      <c r="HJ209" s="102">
        <f t="shared" si="961"/>
        <v>0</v>
      </c>
      <c r="HK209" s="102">
        <f t="shared" si="962"/>
        <v>0</v>
      </c>
      <c r="HL209" s="940">
        <f>+SUMIFS($E209:SEW209,$E$6:SEW$6,HL$7,$E$5:SEW$5,12)</f>
        <v>0</v>
      </c>
      <c r="HM209" s="940">
        <f>+SUMIFS($E209:SEX209,$E$6:SEX$6,HM$7,$E$5:SEX$5,12)</f>
        <v>0</v>
      </c>
      <c r="HN209" s="940">
        <f>+SUMIFS($E209:SEY209,$E$6:SEY$6,HN$7,$E$5:SEY$5,12)</f>
        <v>0</v>
      </c>
      <c r="HO209" s="102"/>
      <c r="HP209" s="102"/>
      <c r="HR209" s="929" t="str">
        <f t="shared" si="1071"/>
        <v/>
      </c>
      <c r="HS209" s="929" t="str">
        <f t="shared" si="1072"/>
        <v/>
      </c>
      <c r="HT209" s="929" t="str">
        <f t="shared" si="1073"/>
        <v/>
      </c>
      <c r="HU209" s="929" t="str">
        <f t="shared" si="1074"/>
        <v/>
      </c>
      <c r="HV209" s="929" t="str">
        <f t="shared" si="1075"/>
        <v/>
      </c>
      <c r="HW209" s="929" t="str">
        <f t="shared" si="1076"/>
        <v/>
      </c>
      <c r="HX209" s="929" t="str">
        <f t="shared" si="1077"/>
        <v/>
      </c>
      <c r="HY209" s="929" t="str">
        <f t="shared" si="1077"/>
        <v/>
      </c>
      <c r="HZ209" s="929" t="str">
        <f t="shared" si="1077"/>
        <v/>
      </c>
      <c r="IA209" s="929" t="str">
        <f t="shared" si="1036"/>
        <v/>
      </c>
      <c r="IB209" s="929" t="str">
        <f t="shared" si="1078"/>
        <v/>
      </c>
      <c r="IC209" s="929" t="str">
        <f t="shared" si="1037"/>
        <v/>
      </c>
      <c r="IE209" s="102">
        <f t="shared" si="1079"/>
        <v>0</v>
      </c>
      <c r="IF209" s="102">
        <f t="shared" si="1080"/>
        <v>0</v>
      </c>
      <c r="IG209" s="102">
        <f t="shared" si="1081"/>
        <v>0</v>
      </c>
      <c r="IH209" s="102">
        <f t="shared" si="1082"/>
        <v>0</v>
      </c>
      <c r="II209" s="102">
        <f t="shared" si="1045"/>
        <v>0</v>
      </c>
      <c r="IJ209" s="102">
        <f t="shared" si="1046"/>
        <v>0</v>
      </c>
      <c r="IK209" s="102">
        <f t="shared" si="1047"/>
        <v>0</v>
      </c>
      <c r="IL209" s="102">
        <f t="shared" si="1038"/>
        <v>0</v>
      </c>
      <c r="IM209" s="102">
        <f t="shared" si="1083"/>
        <v>0</v>
      </c>
      <c r="IN209" s="102">
        <f t="shared" si="1039"/>
        <v>0</v>
      </c>
      <c r="IP209" s="973"/>
      <c r="IQ209" s="973"/>
      <c r="IR209" s="973"/>
      <c r="IS209" s="973"/>
      <c r="IT209" s="973"/>
      <c r="IU209" s="973"/>
      <c r="IV209" s="973"/>
      <c r="IW209" s="973"/>
      <c r="IX209" s="973"/>
      <c r="IY209" s="973"/>
      <c r="JA209" s="102">
        <f t="shared" si="1084"/>
        <v>0</v>
      </c>
      <c r="JB209" s="102">
        <f t="shared" si="1084"/>
        <v>0</v>
      </c>
      <c r="JC209" s="102">
        <f t="shared" si="1084"/>
        <v>0</v>
      </c>
      <c r="JD209" s="102">
        <f t="shared" si="1084"/>
        <v>0</v>
      </c>
      <c r="JE209" s="102">
        <f t="shared" si="1084"/>
        <v>0</v>
      </c>
      <c r="JF209" s="102">
        <f t="shared" si="1084"/>
        <v>0</v>
      </c>
      <c r="JG209" s="102">
        <f t="shared" si="1084"/>
        <v>0</v>
      </c>
      <c r="JH209" s="102">
        <f t="shared" si="1084"/>
        <v>0</v>
      </c>
      <c r="JI209" s="102">
        <f t="shared" si="1084"/>
        <v>0</v>
      </c>
      <c r="JJ209" s="102">
        <f t="shared" si="1084"/>
        <v>0</v>
      </c>
      <c r="JK209" s="102">
        <f t="shared" si="1084"/>
        <v>0</v>
      </c>
      <c r="JL209" s="102">
        <f t="shared" si="1085"/>
        <v>0</v>
      </c>
      <c r="JM209" s="102"/>
      <c r="JN209" s="102"/>
      <c r="JP209" s="102">
        <f t="shared" si="1086"/>
        <v>0</v>
      </c>
      <c r="JQ209" s="102">
        <f t="shared" si="1087"/>
        <v>0</v>
      </c>
      <c r="JR209" s="145"/>
      <c r="JS209" s="929" t="str">
        <f t="shared" si="1088"/>
        <v>NA</v>
      </c>
      <c r="JT209" s="930">
        <f t="shared" si="1089"/>
        <v>0</v>
      </c>
      <c r="JV209" s="973"/>
      <c r="JW209" s="973"/>
      <c r="JY209" s="929" t="str">
        <f t="shared" si="1112"/>
        <v/>
      </c>
      <c r="JZ209" s="929" t="str">
        <f t="shared" si="1113"/>
        <v/>
      </c>
      <c r="KA209" s="929" t="str">
        <f t="shared" si="1114"/>
        <v/>
      </c>
      <c r="KB209" s="929" t="str">
        <f t="shared" si="1115"/>
        <v/>
      </c>
      <c r="KC209" s="929" t="str">
        <f t="shared" si="1116"/>
        <v/>
      </c>
      <c r="KD209" s="929" t="str">
        <f t="shared" si="1117"/>
        <v/>
      </c>
      <c r="KE209" s="929" t="str">
        <f t="shared" si="1118"/>
        <v/>
      </c>
      <c r="KF209" s="929" t="str">
        <f t="shared" si="1119"/>
        <v/>
      </c>
      <c r="KH209" s="102">
        <f t="shared" si="1091"/>
        <v>0</v>
      </c>
      <c r="KI209" s="102">
        <f t="shared" si="1092"/>
        <v>0</v>
      </c>
      <c r="KJ209" s="102">
        <f t="shared" si="1093"/>
        <v>0</v>
      </c>
      <c r="KK209" s="102">
        <f t="shared" si="1094"/>
        <v>0</v>
      </c>
      <c r="KL209" s="102">
        <f t="shared" si="1095"/>
        <v>0</v>
      </c>
      <c r="KM209" s="102">
        <f t="shared" si="1096"/>
        <v>0</v>
      </c>
      <c r="KN209" s="102">
        <f t="shared" si="1097"/>
        <v>0</v>
      </c>
      <c r="KO209" s="102">
        <f t="shared" si="1098"/>
        <v>0</v>
      </c>
      <c r="KQ209" s="973"/>
      <c r="KR209" s="973"/>
      <c r="KS209" s="973"/>
      <c r="KT209" s="973"/>
      <c r="KU209" s="973"/>
      <c r="KV209" s="973"/>
      <c r="KW209" s="973"/>
      <c r="KX209" s="973"/>
      <c r="KY209" s="973"/>
      <c r="KZ209" s="973"/>
      <c r="LB209" s="102">
        <f t="shared" si="1099"/>
        <v>0</v>
      </c>
      <c r="LC209" s="102">
        <f t="shared" si="1099"/>
        <v>0</v>
      </c>
      <c r="LD209" s="102">
        <f t="shared" si="1099"/>
        <v>0</v>
      </c>
      <c r="LE209" s="102">
        <f t="shared" si="1099"/>
        <v>0</v>
      </c>
      <c r="LF209" s="102">
        <f t="shared" si="1099"/>
        <v>0</v>
      </c>
      <c r="LG209" s="102">
        <f t="shared" si="1099"/>
        <v>0</v>
      </c>
      <c r="LH209" s="102">
        <f t="shared" si="1099"/>
        <v>0</v>
      </c>
      <c r="LI209" s="102">
        <f t="shared" si="1099"/>
        <v>0</v>
      </c>
      <c r="LJ209" s="102">
        <f t="shared" si="1099"/>
        <v>0</v>
      </c>
      <c r="LK209" s="102">
        <f t="shared" si="1099"/>
        <v>0</v>
      </c>
      <c r="LL209" s="102">
        <f t="shared" si="1099"/>
        <v>0</v>
      </c>
      <c r="LM209" s="102">
        <f t="shared" si="1099"/>
        <v>0</v>
      </c>
      <c r="LN209" s="102"/>
      <c r="LO209" s="102"/>
      <c r="LR209" s="32" t="str">
        <f t="shared" si="1100"/>
        <v xml:space="preserve"> </v>
      </c>
      <c r="LS209" s="32" t="str">
        <f t="shared" si="1101"/>
        <v xml:space="preserve"> </v>
      </c>
      <c r="LT209" s="32" t="str">
        <f t="shared" si="1102"/>
        <v xml:space="preserve"> </v>
      </c>
      <c r="LU209" s="32" t="str">
        <f t="shared" si="1103"/>
        <v xml:space="preserve"> </v>
      </c>
      <c r="LV209" s="32" t="str">
        <f t="shared" si="1104"/>
        <v xml:space="preserve"> </v>
      </c>
      <c r="LW209" s="32" t="str">
        <f t="shared" si="1105"/>
        <v xml:space="preserve"> </v>
      </c>
      <c r="LX209" s="32" t="str">
        <f t="shared" si="963"/>
        <v xml:space="preserve"> </v>
      </c>
      <c r="LZ209" s="102">
        <f t="shared" si="1106"/>
        <v>0</v>
      </c>
      <c r="MA209" s="102">
        <f t="shared" si="1107"/>
        <v>0</v>
      </c>
      <c r="MB209" s="102">
        <f t="shared" si="1108"/>
        <v>0</v>
      </c>
      <c r="MC209" s="102">
        <f t="shared" si="1109"/>
        <v>0</v>
      </c>
      <c r="MD209" s="102">
        <f t="shared" si="1110"/>
        <v>0</v>
      </c>
      <c r="ME209" s="102">
        <f t="shared" si="1111"/>
        <v>0</v>
      </c>
      <c r="MF209" s="102">
        <f t="shared" si="964"/>
        <v>0</v>
      </c>
      <c r="MH209" s="973"/>
      <c r="MI209" s="973"/>
      <c r="MJ209" s="973"/>
      <c r="MK209" s="973"/>
      <c r="ML209" s="973"/>
      <c r="MM209" s="973"/>
      <c r="MN209" s="973"/>
      <c r="MO209" s="973"/>
      <c r="MP209" s="973"/>
    </row>
    <row r="210" spans="1:354" outlineLevel="2">
      <c r="A210" s="884">
        <v>330517</v>
      </c>
      <c r="B210" s="70" t="s">
        <v>758</v>
      </c>
      <c r="D210" s="31"/>
      <c r="E210" s="102">
        <v>1633.2</v>
      </c>
      <c r="F210" s="102">
        <v>1633.2</v>
      </c>
      <c r="G210" s="102">
        <v>1633.2</v>
      </c>
      <c r="H210" s="102">
        <v>1633.2</v>
      </c>
      <c r="I210" s="102">
        <v>1633.2</v>
      </c>
      <c r="J210" s="102">
        <v>1633.2</v>
      </c>
      <c r="K210" s="102">
        <v>1633.2</v>
      </c>
      <c r="L210" s="102">
        <v>1633.2</v>
      </c>
      <c r="M210" s="102">
        <v>1633.2</v>
      </c>
      <c r="N210" s="102">
        <v>1633.2</v>
      </c>
      <c r="O210" s="102">
        <v>1633.2</v>
      </c>
      <c r="P210" s="102">
        <v>1633.2</v>
      </c>
      <c r="Q210" s="102">
        <v>0</v>
      </c>
      <c r="R210" s="102">
        <v>0</v>
      </c>
      <c r="S210" s="102">
        <v>0</v>
      </c>
      <c r="T210" s="102">
        <v>0</v>
      </c>
      <c r="U210" s="102">
        <v>0</v>
      </c>
      <c r="V210" s="102">
        <v>0</v>
      </c>
      <c r="W210" s="102">
        <v>0</v>
      </c>
      <c r="X210" s="102">
        <v>0</v>
      </c>
      <c r="Y210" s="102">
        <v>0</v>
      </c>
      <c r="Z210" s="102">
        <v>0</v>
      </c>
      <c r="AA210" s="102">
        <v>0</v>
      </c>
      <c r="AB210" s="102">
        <v>0</v>
      </c>
      <c r="AC210" s="102">
        <v>0</v>
      </c>
      <c r="AD210" s="102">
        <v>0</v>
      </c>
      <c r="AE210" s="102">
        <v>0</v>
      </c>
      <c r="AF210" s="102">
        <v>0</v>
      </c>
      <c r="AG210" s="102">
        <v>0</v>
      </c>
      <c r="AH210" s="102">
        <v>0</v>
      </c>
      <c r="AI210" s="102">
        <v>0</v>
      </c>
      <c r="AJ210" s="102">
        <v>0</v>
      </c>
      <c r="AK210" s="102">
        <v>0</v>
      </c>
      <c r="AL210" s="102">
        <v>0</v>
      </c>
      <c r="AM210" s="102">
        <v>0</v>
      </c>
      <c r="AN210" s="102">
        <v>0</v>
      </c>
      <c r="AO210" s="102">
        <v>0</v>
      </c>
      <c r="AP210" s="145">
        <v>0</v>
      </c>
      <c r="AQ210" s="143">
        <v>0</v>
      </c>
      <c r="AR210" s="143">
        <v>0</v>
      </c>
      <c r="AS210" s="102">
        <v>0</v>
      </c>
      <c r="AT210" s="102">
        <v>0</v>
      </c>
      <c r="AU210" s="102">
        <v>0</v>
      </c>
      <c r="AV210" s="102">
        <v>0</v>
      </c>
      <c r="AW210" s="102">
        <v>0</v>
      </c>
      <c r="AX210" s="102">
        <v>0</v>
      </c>
      <c r="AY210" s="102">
        <v>0</v>
      </c>
      <c r="AZ210" s="102">
        <v>0</v>
      </c>
      <c r="BA210" s="102">
        <v>0</v>
      </c>
      <c r="BB210" s="102">
        <v>0</v>
      </c>
      <c r="BC210" s="102">
        <v>0</v>
      </c>
      <c r="BD210" s="102">
        <v>0</v>
      </c>
      <c r="BE210" s="102">
        <v>0</v>
      </c>
      <c r="BF210" s="102">
        <v>0</v>
      </c>
      <c r="BG210" s="102">
        <v>0</v>
      </c>
      <c r="BH210" s="102">
        <v>0</v>
      </c>
      <c r="BI210" s="102">
        <v>0</v>
      </c>
      <c r="BJ210" s="102">
        <v>0</v>
      </c>
      <c r="BK210" s="102">
        <v>0</v>
      </c>
      <c r="BL210" s="102">
        <v>0</v>
      </c>
      <c r="BM210" s="102">
        <v>0</v>
      </c>
      <c r="BN210" s="102">
        <v>0</v>
      </c>
      <c r="BO210" s="102">
        <v>0</v>
      </c>
      <c r="BP210" s="102">
        <v>0</v>
      </c>
      <c r="BQ210" s="102">
        <v>0</v>
      </c>
      <c r="BR210" s="102">
        <v>0</v>
      </c>
      <c r="BS210" s="102">
        <v>0</v>
      </c>
      <c r="BT210" s="102">
        <v>0</v>
      </c>
      <c r="BU210" s="102">
        <v>0</v>
      </c>
      <c r="BV210" s="102">
        <v>0</v>
      </c>
      <c r="BW210" s="102">
        <v>0</v>
      </c>
      <c r="BX210" s="102">
        <v>0</v>
      </c>
      <c r="BY210" s="102">
        <v>0</v>
      </c>
      <c r="BZ210" s="102">
        <v>0</v>
      </c>
      <c r="CA210" s="102">
        <v>0</v>
      </c>
      <c r="CB210" s="102">
        <v>0</v>
      </c>
      <c r="CC210" s="102">
        <v>0</v>
      </c>
      <c r="CD210" s="102">
        <v>0</v>
      </c>
      <c r="CE210" s="102">
        <v>0</v>
      </c>
      <c r="CF210" s="102">
        <v>0</v>
      </c>
      <c r="CG210" s="102">
        <v>0</v>
      </c>
      <c r="CH210" s="102">
        <v>0</v>
      </c>
      <c r="CI210" s="102">
        <v>0</v>
      </c>
      <c r="CJ210" s="102">
        <v>0</v>
      </c>
      <c r="CK210" s="102">
        <v>0</v>
      </c>
      <c r="CL210" s="102">
        <v>0</v>
      </c>
      <c r="CM210" s="102">
        <v>0</v>
      </c>
      <c r="CN210" s="102">
        <v>0</v>
      </c>
      <c r="CO210" s="102">
        <v>0</v>
      </c>
      <c r="CP210" s="102">
        <v>0</v>
      </c>
      <c r="CQ210" s="102">
        <v>0</v>
      </c>
      <c r="CR210" s="102">
        <v>0</v>
      </c>
      <c r="CS210" s="102">
        <v>0</v>
      </c>
      <c r="CT210" s="102">
        <v>0</v>
      </c>
      <c r="CU210" s="102">
        <v>0</v>
      </c>
      <c r="CV210" s="102">
        <v>0</v>
      </c>
      <c r="CW210" s="102">
        <v>0</v>
      </c>
      <c r="CX210" s="102">
        <v>0</v>
      </c>
      <c r="CY210" s="102">
        <v>0</v>
      </c>
      <c r="CZ210" s="102">
        <v>0</v>
      </c>
      <c r="DA210" s="102">
        <v>0</v>
      </c>
      <c r="DB210" s="102">
        <v>0</v>
      </c>
      <c r="DC210" s="102">
        <v>0</v>
      </c>
      <c r="DD210" s="102">
        <v>0</v>
      </c>
      <c r="DE210" s="102">
        <v>0</v>
      </c>
      <c r="DF210" s="102">
        <v>0</v>
      </c>
      <c r="DG210" s="102">
        <v>0</v>
      </c>
      <c r="DH210" s="102">
        <v>0</v>
      </c>
      <c r="DI210" s="102">
        <v>0</v>
      </c>
      <c r="DJ210" s="102">
        <v>0</v>
      </c>
      <c r="DK210" s="102">
        <v>0</v>
      </c>
      <c r="DL210" s="102">
        <v>0</v>
      </c>
      <c r="DM210" s="102">
        <v>0</v>
      </c>
      <c r="DN210" s="102">
        <v>0</v>
      </c>
      <c r="DO210" s="102">
        <v>0</v>
      </c>
      <c r="DP210" s="102">
        <v>0</v>
      </c>
      <c r="DQ210" s="940">
        <v>0</v>
      </c>
      <c r="DR210" s="940">
        <v>0</v>
      </c>
      <c r="DS210" s="940">
        <v>0</v>
      </c>
      <c r="DT210" s="940">
        <v>0</v>
      </c>
      <c r="DU210" s="940">
        <v>0</v>
      </c>
      <c r="DV210" s="940">
        <v>0</v>
      </c>
      <c r="DW210" s="940">
        <v>0</v>
      </c>
      <c r="DX210" s="940">
        <v>0</v>
      </c>
      <c r="DY210" s="940">
        <v>0</v>
      </c>
      <c r="DZ210" s="940">
        <v>0</v>
      </c>
      <c r="EA210" s="940">
        <v>0</v>
      </c>
      <c r="EB210" s="940">
        <v>0</v>
      </c>
      <c r="EC210" s="940">
        <v>0</v>
      </c>
      <c r="ED210" s="940">
        <v>0</v>
      </c>
      <c r="EE210" s="940">
        <v>0</v>
      </c>
      <c r="EF210" s="940">
        <v>0</v>
      </c>
      <c r="EH210" s="102">
        <v>0</v>
      </c>
      <c r="EI210" s="102">
        <v>0</v>
      </c>
      <c r="EJ210" s="102">
        <v>0</v>
      </c>
      <c r="EK210" s="102">
        <v>0</v>
      </c>
      <c r="EL210" s="102">
        <v>0</v>
      </c>
      <c r="EM210" s="102">
        <v>0</v>
      </c>
      <c r="EN210" s="102">
        <v>0</v>
      </c>
      <c r="EO210" s="102">
        <v>0</v>
      </c>
      <c r="EP210" s="102">
        <v>0</v>
      </c>
      <c r="EQ210" s="102">
        <v>0</v>
      </c>
      <c r="ER210" s="102">
        <v>0</v>
      </c>
      <c r="ES210" s="102">
        <v>0</v>
      </c>
      <c r="EU210" s="102"/>
      <c r="EV210" s="102"/>
      <c r="EW210" s="102"/>
      <c r="EX210" s="102"/>
      <c r="EY210" s="102"/>
      <c r="EZ210" s="102"/>
      <c r="FA210" s="102"/>
      <c r="FB210" s="102"/>
      <c r="FC210" s="102"/>
      <c r="FD210" s="102"/>
      <c r="FE210" s="102"/>
      <c r="FF210" s="102"/>
      <c r="FG210" s="102">
        <v>0</v>
      </c>
      <c r="FH210" s="102">
        <v>0</v>
      </c>
      <c r="FI210" s="102">
        <v>0</v>
      </c>
      <c r="FJ210" s="102">
        <v>0</v>
      </c>
      <c r="FK210" s="102">
        <v>0</v>
      </c>
      <c r="FL210" s="102">
        <v>0</v>
      </c>
      <c r="FM210" s="102">
        <v>0</v>
      </c>
      <c r="FN210" s="102">
        <v>0</v>
      </c>
      <c r="FO210" s="102">
        <v>0</v>
      </c>
      <c r="FP210" s="102">
        <v>0</v>
      </c>
      <c r="FQ210" s="102">
        <v>0</v>
      </c>
      <c r="FR210" s="102">
        <v>0</v>
      </c>
      <c r="FS210" s="102"/>
      <c r="FT210" s="102"/>
      <c r="FU210" s="102"/>
      <c r="FV210" s="102"/>
      <c r="FW210" s="102"/>
      <c r="FX210" s="102"/>
      <c r="FY210" s="102"/>
      <c r="FZ210" s="102"/>
      <c r="GA210" s="102"/>
      <c r="GB210" s="102"/>
      <c r="GC210" s="102"/>
      <c r="GD210" s="102"/>
      <c r="GE210" s="102">
        <v>0</v>
      </c>
      <c r="GF210" s="102">
        <v>0</v>
      </c>
      <c r="GG210" s="102">
        <v>0</v>
      </c>
      <c r="GH210" s="102">
        <v>0</v>
      </c>
      <c r="GI210" s="102">
        <v>0</v>
      </c>
      <c r="GJ210" s="102">
        <v>0</v>
      </c>
      <c r="GK210" s="102">
        <v>0</v>
      </c>
      <c r="GL210" s="102">
        <v>0</v>
      </c>
      <c r="GM210" s="102">
        <v>0</v>
      </c>
      <c r="GN210" s="102">
        <v>0</v>
      </c>
      <c r="GO210" s="102">
        <v>0</v>
      </c>
      <c r="GP210" s="102">
        <v>0</v>
      </c>
      <c r="GQ210" s="102">
        <v>0</v>
      </c>
      <c r="GR210" s="102">
        <v>0</v>
      </c>
      <c r="GS210" s="102">
        <v>0</v>
      </c>
      <c r="GT210" s="102">
        <v>0</v>
      </c>
      <c r="GU210" s="102">
        <v>0</v>
      </c>
      <c r="GV210" s="102">
        <v>0</v>
      </c>
      <c r="GW210" s="102">
        <v>0</v>
      </c>
      <c r="GX210" s="102">
        <v>0</v>
      </c>
      <c r="GY210" s="102">
        <v>0</v>
      </c>
      <c r="GZ210" s="102">
        <v>0</v>
      </c>
      <c r="HA210" s="102">
        <v>0</v>
      </c>
      <c r="HB210" s="102">
        <v>0</v>
      </c>
      <c r="HD210" s="102">
        <f t="shared" si="1068"/>
        <v>1633.2</v>
      </c>
      <c r="HE210" s="102">
        <f t="shared" si="1068"/>
        <v>0</v>
      </c>
      <c r="HF210" s="102">
        <f t="shared" si="1068"/>
        <v>0</v>
      </c>
      <c r="HG210" s="102">
        <f t="shared" si="1068"/>
        <v>0</v>
      </c>
      <c r="HH210" s="102">
        <f t="shared" si="1069"/>
        <v>0</v>
      </c>
      <c r="HI210" s="102">
        <f t="shared" si="1070"/>
        <v>0</v>
      </c>
      <c r="HJ210" s="102">
        <f t="shared" si="961"/>
        <v>0</v>
      </c>
      <c r="HK210" s="102">
        <f t="shared" si="962"/>
        <v>0</v>
      </c>
      <c r="HL210" s="940">
        <f>+SUMIFS($E210:SEW210,$E$6:SEW$6,HL$7,$E$5:SEW$5,12)</f>
        <v>0</v>
      </c>
      <c r="HM210" s="940">
        <f>+SUMIFS($E210:SEX210,$E$6:SEX$6,HM$7,$E$5:SEX$5,12)</f>
        <v>0</v>
      </c>
      <c r="HN210" s="940">
        <f>+SUMIFS($E210:SEY210,$E$6:SEY$6,HN$7,$E$5:SEY$5,12)</f>
        <v>0</v>
      </c>
      <c r="HO210" s="102"/>
      <c r="HP210" s="102"/>
      <c r="HR210" s="929" t="str">
        <f t="shared" si="1071"/>
        <v/>
      </c>
      <c r="HS210" s="929" t="str">
        <f t="shared" si="1072"/>
        <v/>
      </c>
      <c r="HT210" s="929" t="str">
        <f t="shared" si="1073"/>
        <v/>
      </c>
      <c r="HU210" s="929" t="str">
        <f t="shared" si="1074"/>
        <v/>
      </c>
      <c r="HV210" s="929" t="str">
        <f t="shared" si="1075"/>
        <v/>
      </c>
      <c r="HW210" s="929" t="str">
        <f t="shared" si="1076"/>
        <v/>
      </c>
      <c r="HX210" s="929" t="str">
        <f t="shared" si="1077"/>
        <v/>
      </c>
      <c r="HY210" s="929" t="str">
        <f t="shared" si="1077"/>
        <v/>
      </c>
      <c r="HZ210" s="929" t="str">
        <f t="shared" si="1077"/>
        <v/>
      </c>
      <c r="IA210" s="929" t="str">
        <f t="shared" si="1036"/>
        <v/>
      </c>
      <c r="IB210" s="929" t="str">
        <f t="shared" si="1078"/>
        <v/>
      </c>
      <c r="IC210" s="929" t="str">
        <f t="shared" si="1037"/>
        <v/>
      </c>
      <c r="IE210" s="102">
        <f t="shared" si="1079"/>
        <v>0</v>
      </c>
      <c r="IF210" s="102">
        <f t="shared" si="1080"/>
        <v>0</v>
      </c>
      <c r="IG210" s="102">
        <f t="shared" si="1081"/>
        <v>0</v>
      </c>
      <c r="IH210" s="102">
        <f t="shared" si="1082"/>
        <v>0</v>
      </c>
      <c r="II210" s="102">
        <f t="shared" si="1045"/>
        <v>0</v>
      </c>
      <c r="IJ210" s="102">
        <f t="shared" si="1046"/>
        <v>0</v>
      </c>
      <c r="IK210" s="102">
        <f t="shared" si="1047"/>
        <v>0</v>
      </c>
      <c r="IL210" s="102">
        <f t="shared" si="1038"/>
        <v>0</v>
      </c>
      <c r="IM210" s="102">
        <f t="shared" si="1083"/>
        <v>0</v>
      </c>
      <c r="IN210" s="102">
        <f t="shared" si="1039"/>
        <v>0</v>
      </c>
      <c r="IP210" s="973"/>
      <c r="IQ210" s="973"/>
      <c r="IR210" s="973"/>
      <c r="IS210" s="973"/>
      <c r="IT210" s="973"/>
      <c r="IU210" s="973"/>
      <c r="IV210" s="973"/>
      <c r="IW210" s="973"/>
      <c r="IX210" s="973"/>
      <c r="IY210" s="973"/>
      <c r="JA210" s="102">
        <f t="shared" si="1084"/>
        <v>1633.2</v>
      </c>
      <c r="JB210" s="102">
        <f t="shared" si="1084"/>
        <v>0</v>
      </c>
      <c r="JC210" s="102">
        <f t="shared" si="1084"/>
        <v>0</v>
      </c>
      <c r="JD210" s="102">
        <f t="shared" si="1084"/>
        <v>0</v>
      </c>
      <c r="JE210" s="102">
        <f t="shared" si="1084"/>
        <v>0</v>
      </c>
      <c r="JF210" s="102">
        <f t="shared" si="1084"/>
        <v>0</v>
      </c>
      <c r="JG210" s="102">
        <f t="shared" si="1084"/>
        <v>0</v>
      </c>
      <c r="JH210" s="102">
        <f t="shared" si="1084"/>
        <v>0</v>
      </c>
      <c r="JI210" s="102">
        <f t="shared" si="1084"/>
        <v>0</v>
      </c>
      <c r="JJ210" s="102">
        <f t="shared" si="1084"/>
        <v>0</v>
      </c>
      <c r="JK210" s="102">
        <f t="shared" si="1084"/>
        <v>0</v>
      </c>
      <c r="JL210" s="102">
        <f t="shared" si="1085"/>
        <v>0</v>
      </c>
      <c r="JM210" s="102"/>
      <c r="JN210" s="102"/>
      <c r="JP210" s="102">
        <f t="shared" si="1086"/>
        <v>0</v>
      </c>
      <c r="JQ210" s="102">
        <f t="shared" si="1087"/>
        <v>0</v>
      </c>
      <c r="JR210" s="145"/>
      <c r="JS210" s="929" t="str">
        <f t="shared" si="1088"/>
        <v>NA</v>
      </c>
      <c r="JT210" s="930">
        <f t="shared" si="1089"/>
        <v>0</v>
      </c>
      <c r="JV210" s="973"/>
      <c r="JW210" s="973"/>
      <c r="JY210" s="929" t="str">
        <f t="shared" si="1112"/>
        <v/>
      </c>
      <c r="JZ210" s="929" t="str">
        <f t="shared" si="1113"/>
        <v/>
      </c>
      <c r="KA210" s="929" t="str">
        <f t="shared" si="1114"/>
        <v/>
      </c>
      <c r="KB210" s="929" t="str">
        <f t="shared" si="1115"/>
        <v/>
      </c>
      <c r="KC210" s="929" t="str">
        <f t="shared" si="1116"/>
        <v/>
      </c>
      <c r="KD210" s="929" t="str">
        <f t="shared" si="1117"/>
        <v/>
      </c>
      <c r="KE210" s="929" t="str">
        <f t="shared" si="1118"/>
        <v/>
      </c>
      <c r="KF210" s="929" t="str">
        <f t="shared" si="1119"/>
        <v/>
      </c>
      <c r="KH210" s="102">
        <f t="shared" si="1091"/>
        <v>0</v>
      </c>
      <c r="KI210" s="102">
        <f t="shared" si="1092"/>
        <v>0</v>
      </c>
      <c r="KJ210" s="102">
        <f t="shared" si="1093"/>
        <v>0</v>
      </c>
      <c r="KK210" s="102">
        <f t="shared" si="1094"/>
        <v>0</v>
      </c>
      <c r="KL210" s="102">
        <f t="shared" si="1095"/>
        <v>0</v>
      </c>
      <c r="KM210" s="102">
        <f t="shared" si="1096"/>
        <v>0</v>
      </c>
      <c r="KN210" s="102">
        <f t="shared" si="1097"/>
        <v>0</v>
      </c>
      <c r="KO210" s="102">
        <f t="shared" si="1098"/>
        <v>0</v>
      </c>
      <c r="KQ210" s="973"/>
      <c r="KR210" s="973"/>
      <c r="KS210" s="973"/>
      <c r="KT210" s="973"/>
      <c r="KU210" s="973"/>
      <c r="KV210" s="973"/>
      <c r="KW210" s="973"/>
      <c r="KX210" s="973"/>
      <c r="KY210" s="973"/>
      <c r="KZ210" s="973"/>
      <c r="LB210" s="102">
        <f t="shared" si="1099"/>
        <v>1633.2</v>
      </c>
      <c r="LC210" s="102">
        <f t="shared" si="1099"/>
        <v>0</v>
      </c>
      <c r="LD210" s="102">
        <f t="shared" si="1099"/>
        <v>0</v>
      </c>
      <c r="LE210" s="102">
        <f t="shared" si="1099"/>
        <v>0</v>
      </c>
      <c r="LF210" s="102">
        <f t="shared" si="1099"/>
        <v>0</v>
      </c>
      <c r="LG210" s="102">
        <f t="shared" si="1099"/>
        <v>0</v>
      </c>
      <c r="LH210" s="102">
        <f t="shared" si="1099"/>
        <v>0</v>
      </c>
      <c r="LI210" s="102">
        <f t="shared" si="1099"/>
        <v>0</v>
      </c>
      <c r="LJ210" s="102">
        <f t="shared" si="1099"/>
        <v>0</v>
      </c>
      <c r="LK210" s="102">
        <f t="shared" si="1099"/>
        <v>0</v>
      </c>
      <c r="LL210" s="102">
        <f t="shared" si="1099"/>
        <v>0</v>
      </c>
      <c r="LM210" s="102">
        <f t="shared" si="1099"/>
        <v>0</v>
      </c>
      <c r="LN210" s="102"/>
      <c r="LO210" s="102"/>
      <c r="LR210" s="32" t="str">
        <f t="shared" si="1100"/>
        <v xml:space="preserve"> </v>
      </c>
      <c r="LS210" s="32" t="str">
        <f t="shared" si="1101"/>
        <v xml:space="preserve"> </v>
      </c>
      <c r="LT210" s="32" t="str">
        <f t="shared" si="1102"/>
        <v xml:space="preserve"> </v>
      </c>
      <c r="LU210" s="32" t="str">
        <f t="shared" si="1103"/>
        <v xml:space="preserve"> </v>
      </c>
      <c r="LV210" s="32" t="str">
        <f t="shared" si="1104"/>
        <v xml:space="preserve"> </v>
      </c>
      <c r="LW210" s="32" t="str">
        <f t="shared" si="1105"/>
        <v xml:space="preserve"> </v>
      </c>
      <c r="LX210" s="32" t="str">
        <f t="shared" si="963"/>
        <v xml:space="preserve"> </v>
      </c>
      <c r="LZ210" s="102">
        <f t="shared" si="1106"/>
        <v>0</v>
      </c>
      <c r="MA210" s="102">
        <f t="shared" si="1107"/>
        <v>0</v>
      </c>
      <c r="MB210" s="102">
        <f t="shared" si="1108"/>
        <v>0</v>
      </c>
      <c r="MC210" s="102">
        <f t="shared" si="1109"/>
        <v>0</v>
      </c>
      <c r="MD210" s="102">
        <f t="shared" si="1110"/>
        <v>0</v>
      </c>
      <c r="ME210" s="102">
        <f t="shared" si="1111"/>
        <v>0</v>
      </c>
      <c r="MF210" s="102">
        <f t="shared" si="964"/>
        <v>0</v>
      </c>
      <c r="MH210" s="973"/>
      <c r="MI210" s="973"/>
      <c r="MJ210" s="973"/>
      <c r="MK210" s="973"/>
      <c r="ML210" s="973"/>
      <c r="MM210" s="973"/>
      <c r="MN210" s="973"/>
      <c r="MO210" s="973"/>
      <c r="MP210" s="973"/>
    </row>
    <row r="211" spans="1:354" outlineLevel="2">
      <c r="A211" s="884">
        <v>3315</v>
      </c>
      <c r="B211" s="70" t="s">
        <v>759</v>
      </c>
      <c r="D211" s="31"/>
      <c r="E211" s="102">
        <v>0</v>
      </c>
      <c r="F211" s="102">
        <v>0</v>
      </c>
      <c r="G211" s="102">
        <v>0</v>
      </c>
      <c r="H211" s="102">
        <v>0</v>
      </c>
      <c r="I211" s="102">
        <v>0</v>
      </c>
      <c r="J211" s="102">
        <v>0</v>
      </c>
      <c r="K211" s="102">
        <v>0</v>
      </c>
      <c r="L211" s="102">
        <v>0</v>
      </c>
      <c r="M211" s="102">
        <v>0</v>
      </c>
      <c r="N211" s="102">
        <v>0</v>
      </c>
      <c r="O211" s="102">
        <v>0</v>
      </c>
      <c r="P211" s="102">
        <v>1636.0031886300001</v>
      </c>
      <c r="Q211" s="102">
        <v>1636.0031886300001</v>
      </c>
      <c r="R211" s="102">
        <v>1636.0031886300001</v>
      </c>
      <c r="S211" s="102">
        <v>1636.0031886300001</v>
      </c>
      <c r="T211" s="102">
        <v>5290.0434163199998</v>
      </c>
      <c r="U211" s="102">
        <v>5290.0434163199998</v>
      </c>
      <c r="V211" s="102">
        <v>5290.0434163199998</v>
      </c>
      <c r="W211" s="102">
        <v>5156.7100823199999</v>
      </c>
      <c r="X211" s="102">
        <v>5023.3767483199999</v>
      </c>
      <c r="Y211" s="102">
        <v>5023.3767483199999</v>
      </c>
      <c r="Z211" s="102">
        <v>4890.04341432</v>
      </c>
      <c r="AA211" s="102">
        <v>4890.04341432</v>
      </c>
      <c r="AB211" s="102">
        <v>3203.2598673100001</v>
      </c>
      <c r="AC211" s="102">
        <v>3203.2598673100001</v>
      </c>
      <c r="AD211" s="102">
        <v>3203.2598673100001</v>
      </c>
      <c r="AE211" s="102">
        <v>4413.29480238</v>
      </c>
      <c r="AF211" s="102">
        <v>4413.29480238</v>
      </c>
      <c r="AG211" s="102">
        <v>4413.29480238</v>
      </c>
      <c r="AH211" s="102">
        <v>4413.29480238</v>
      </c>
      <c r="AI211" s="102">
        <v>4413.29480238</v>
      </c>
      <c r="AJ211" s="102">
        <v>4413.29480238</v>
      </c>
      <c r="AK211" s="102">
        <v>4413.29480238</v>
      </c>
      <c r="AL211" s="102">
        <v>4413.29480238</v>
      </c>
      <c r="AM211" s="102">
        <v>4413.29480238</v>
      </c>
      <c r="AN211" s="102">
        <v>4413.29480238</v>
      </c>
      <c r="AO211" s="102">
        <v>4413.29480238</v>
      </c>
      <c r="AP211" s="145">
        <v>4413.29480238</v>
      </c>
      <c r="AQ211" s="143">
        <v>4413.29480238</v>
      </c>
      <c r="AR211" s="143">
        <v>4413.29480238</v>
      </c>
      <c r="AS211" s="102">
        <v>4413.29480238</v>
      </c>
      <c r="AT211" s="102">
        <v>4413.29480238</v>
      </c>
      <c r="AU211" s="102">
        <v>4413.29480238</v>
      </c>
      <c r="AV211" s="102">
        <v>4413.29480238</v>
      </c>
      <c r="AW211" s="102">
        <v>4413.29480238</v>
      </c>
      <c r="AX211" s="102">
        <v>4413.29480238</v>
      </c>
      <c r="AY211" s="102">
        <v>4413.29480238</v>
      </c>
      <c r="AZ211" s="102">
        <v>4413</v>
      </c>
      <c r="BA211" s="102">
        <v>4413.29480238</v>
      </c>
      <c r="BB211" s="102">
        <v>4413.29480238</v>
      </c>
      <c r="BC211" s="102">
        <v>4413.29480238</v>
      </c>
      <c r="BD211" s="102">
        <v>4413.29480238</v>
      </c>
      <c r="BE211" s="66">
        <v>4413.29480238</v>
      </c>
      <c r="BF211" s="66">
        <v>4413.29480238</v>
      </c>
      <c r="BG211" s="66">
        <v>4413.29480238</v>
      </c>
      <c r="BH211" s="66">
        <v>4413.29480238</v>
      </c>
      <c r="BI211" s="66">
        <v>4413.29480238</v>
      </c>
      <c r="BJ211" s="66">
        <v>4413.29480238</v>
      </c>
      <c r="BK211" s="102">
        <v>4413.29480238</v>
      </c>
      <c r="BL211" s="102">
        <v>4413.29480238</v>
      </c>
      <c r="BM211" s="102">
        <v>4413.29480238</v>
      </c>
      <c r="BN211" s="102">
        <v>4413.29480238</v>
      </c>
      <c r="BO211" s="102">
        <v>4413.29480238</v>
      </c>
      <c r="BP211" s="102">
        <v>4413.29480238</v>
      </c>
      <c r="BQ211" s="66">
        <v>4413.29480238</v>
      </c>
      <c r="BR211" s="66">
        <v>4413.29480238</v>
      </c>
      <c r="BS211" s="66">
        <v>4413.29480238</v>
      </c>
      <c r="BT211" s="66">
        <v>4413.29480238</v>
      </c>
      <c r="BU211" s="66">
        <v>4413.29480238</v>
      </c>
      <c r="BV211" s="66">
        <v>4413.29480238</v>
      </c>
      <c r="BW211" s="102">
        <v>4413.29480238</v>
      </c>
      <c r="BX211" s="102">
        <v>4413.29480238</v>
      </c>
      <c r="BY211" s="102">
        <v>4413.29480238</v>
      </c>
      <c r="BZ211" s="102">
        <v>4413.29480238</v>
      </c>
      <c r="CA211" s="102">
        <v>4413.29480238</v>
      </c>
      <c r="CB211" s="102">
        <v>4413.29480238</v>
      </c>
      <c r="CC211" s="102">
        <v>4413.29480238</v>
      </c>
      <c r="CD211" s="102">
        <v>4413.29480238</v>
      </c>
      <c r="CE211" s="102">
        <v>4413.29480238</v>
      </c>
      <c r="CF211" s="102">
        <v>4413.29480238</v>
      </c>
      <c r="CG211" s="102">
        <v>4413.29480238</v>
      </c>
      <c r="CH211" s="102">
        <v>4413.29480238</v>
      </c>
      <c r="CI211" s="102">
        <v>4413.29480238</v>
      </c>
      <c r="CJ211" s="102">
        <v>4413.29480238</v>
      </c>
      <c r="CK211" s="102">
        <v>4413.29480238</v>
      </c>
      <c r="CL211" s="102">
        <v>4413.29480238</v>
      </c>
      <c r="CM211" s="102">
        <v>4413.29480238</v>
      </c>
      <c r="CN211" s="102">
        <v>4413.29480238</v>
      </c>
      <c r="CO211" s="102">
        <v>4413.29480238</v>
      </c>
      <c r="CP211" s="102">
        <v>4413.29480238</v>
      </c>
      <c r="CQ211" s="102">
        <v>4413.29480238</v>
      </c>
      <c r="CR211" s="102">
        <v>4413.29480238</v>
      </c>
      <c r="CS211" s="102">
        <v>4413.29480238</v>
      </c>
      <c r="CT211" s="102">
        <v>4413.29480238</v>
      </c>
      <c r="CU211" s="102">
        <v>4413.29480238</v>
      </c>
      <c r="CV211" s="102">
        <v>4413.29480238</v>
      </c>
      <c r="CW211" s="102">
        <v>4413.29480238</v>
      </c>
      <c r="CX211" s="102">
        <v>4413.29480238</v>
      </c>
      <c r="CY211" s="102">
        <v>4413.29480238</v>
      </c>
      <c r="CZ211" s="102">
        <v>4413.29480238</v>
      </c>
      <c r="DA211" s="102">
        <v>4413.29480238</v>
      </c>
      <c r="DB211" s="102">
        <v>4413.29480238</v>
      </c>
      <c r="DC211" s="102">
        <v>4413.29480238</v>
      </c>
      <c r="DD211" s="102">
        <v>4413.29480238</v>
      </c>
      <c r="DE211" s="102">
        <v>4413.29480238</v>
      </c>
      <c r="DF211" s="102">
        <v>4413.29480238</v>
      </c>
      <c r="DG211" s="102">
        <v>4413.29480238</v>
      </c>
      <c r="DH211" s="102">
        <v>4413.29480238</v>
      </c>
      <c r="DI211" s="102">
        <v>4413.29480238</v>
      </c>
      <c r="DJ211" s="102">
        <v>4413.29480238</v>
      </c>
      <c r="DK211" s="102">
        <v>4413.29480238</v>
      </c>
      <c r="DL211" s="102">
        <v>4413.29480238</v>
      </c>
      <c r="DM211" s="102">
        <v>4413.29480238</v>
      </c>
      <c r="DN211" s="102">
        <v>4413.29480238</v>
      </c>
      <c r="DO211" s="102">
        <v>4413.29480238</v>
      </c>
      <c r="DP211" s="102">
        <v>4413.29480238</v>
      </c>
      <c r="DQ211" s="940">
        <v>4413.29480238</v>
      </c>
      <c r="DR211" s="940">
        <v>4413.29480238</v>
      </c>
      <c r="DS211" s="940">
        <v>4413.29480238</v>
      </c>
      <c r="DT211" s="940">
        <v>4413.29480238</v>
      </c>
      <c r="DU211" s="940">
        <v>4413.29480238</v>
      </c>
      <c r="DV211" s="940">
        <v>4413.29480238</v>
      </c>
      <c r="DW211" s="940">
        <v>4413.29480238</v>
      </c>
      <c r="DX211" s="940">
        <v>4413.29480238</v>
      </c>
      <c r="DY211" s="940">
        <v>4413.29480238</v>
      </c>
      <c r="DZ211" s="940">
        <v>4413.29480238</v>
      </c>
      <c r="EA211" s="940">
        <v>4413.29480238</v>
      </c>
      <c r="EB211" s="940">
        <v>4413.29480238</v>
      </c>
      <c r="EC211" s="940">
        <v>4413.29480238</v>
      </c>
      <c r="ED211" s="940">
        <v>4413.29480238</v>
      </c>
      <c r="EE211" s="940">
        <v>4413.29480238</v>
      </c>
      <c r="EF211" s="940">
        <v>4413.29480238</v>
      </c>
      <c r="EH211" s="102">
        <v>4413.294801688754</v>
      </c>
      <c r="EI211" s="102">
        <v>4413.294801688754</v>
      </c>
      <c r="EJ211" s="102">
        <v>4413.294801688754</v>
      </c>
      <c r="EK211" s="102">
        <v>4413.294801688754</v>
      </c>
      <c r="EL211" s="102">
        <v>4413.294801688754</v>
      </c>
      <c r="EM211" s="102">
        <v>4413.294801688754</v>
      </c>
      <c r="EN211" s="102">
        <v>4413.294801688754</v>
      </c>
      <c r="EO211" s="102">
        <v>4413.294801688754</v>
      </c>
      <c r="EP211" s="102">
        <v>4413.294801688754</v>
      </c>
      <c r="EQ211" s="102">
        <v>4413.294801688754</v>
      </c>
      <c r="ER211" s="102">
        <v>4413.294801688754</v>
      </c>
      <c r="ES211" s="102">
        <v>4413.294801688754</v>
      </c>
      <c r="EU211" s="66">
        <v>4413.29480238</v>
      </c>
      <c r="EV211" s="66">
        <v>4413.29480238</v>
      </c>
      <c r="EW211" s="66">
        <v>4413.29480238</v>
      </c>
      <c r="EX211" s="66">
        <v>4413.29480238</v>
      </c>
      <c r="EY211" s="66">
        <v>4413.29480238</v>
      </c>
      <c r="EZ211" s="66">
        <v>4413.29480238</v>
      </c>
      <c r="FA211" s="66">
        <v>4413.29480238</v>
      </c>
      <c r="FB211" s="66">
        <v>4413.29480238</v>
      </c>
      <c r="FC211" s="66">
        <v>4413.29480238</v>
      </c>
      <c r="FD211" s="66">
        <v>4413.29480238</v>
      </c>
      <c r="FE211" s="66">
        <v>4413.29480238</v>
      </c>
      <c r="FF211" s="66">
        <v>4413.29480238</v>
      </c>
      <c r="FG211" s="66">
        <v>4413.29480238</v>
      </c>
      <c r="FH211" s="66">
        <v>4413.29480238</v>
      </c>
      <c r="FI211" s="66">
        <v>4413.29480238</v>
      </c>
      <c r="FJ211" s="66">
        <v>4413.29480238</v>
      </c>
      <c r="FK211" s="66">
        <v>4413.29480238</v>
      </c>
      <c r="FL211" s="66">
        <v>4413.29480238</v>
      </c>
      <c r="FM211" s="66">
        <v>4413.29480238</v>
      </c>
      <c r="FN211" s="66">
        <v>4413.29480238</v>
      </c>
      <c r="FO211" s="66">
        <v>4413.29480238</v>
      </c>
      <c r="FP211" s="66">
        <v>4413.29480238</v>
      </c>
      <c r="FQ211" s="66">
        <v>4413.29480238</v>
      </c>
      <c r="FR211" s="66">
        <v>4413.29480238</v>
      </c>
      <c r="FS211" s="66">
        <v>4413.29480238</v>
      </c>
      <c r="FT211" s="66">
        <v>4413.29480238</v>
      </c>
      <c r="FU211" s="66">
        <v>4413.29480238</v>
      </c>
      <c r="FV211" s="66">
        <v>4413.29480238</v>
      </c>
      <c r="FW211" s="66">
        <v>4413.29480238</v>
      </c>
      <c r="FX211" s="66">
        <v>4413.29480238</v>
      </c>
      <c r="FY211" s="66">
        <v>4413.29480238</v>
      </c>
      <c r="FZ211" s="66">
        <v>4413.29480238</v>
      </c>
      <c r="GA211" s="66">
        <v>4413.29480238</v>
      </c>
      <c r="GB211" s="66">
        <v>4413.29480238</v>
      </c>
      <c r="GC211" s="66">
        <v>4413.29480238</v>
      </c>
      <c r="GD211" s="66">
        <v>4413.29480238</v>
      </c>
      <c r="GE211" s="102">
        <v>0</v>
      </c>
      <c r="GF211" s="102">
        <v>0</v>
      </c>
      <c r="GG211" s="102">
        <v>0</v>
      </c>
      <c r="GH211" s="102">
        <v>0</v>
      </c>
      <c r="GI211" s="102">
        <v>0</v>
      </c>
      <c r="GJ211" s="102">
        <v>0</v>
      </c>
      <c r="GK211" s="102">
        <v>0</v>
      </c>
      <c r="GL211" s="102">
        <v>0</v>
      </c>
      <c r="GM211" s="102">
        <v>0</v>
      </c>
      <c r="GN211" s="102">
        <v>0</v>
      </c>
      <c r="GO211" s="102">
        <v>0</v>
      </c>
      <c r="GP211" s="102">
        <v>0</v>
      </c>
      <c r="GQ211" s="102">
        <v>0</v>
      </c>
      <c r="GR211" s="102">
        <v>0</v>
      </c>
      <c r="GS211" s="102">
        <v>0</v>
      </c>
      <c r="GT211" s="102">
        <v>0</v>
      </c>
      <c r="GU211" s="102">
        <v>0</v>
      </c>
      <c r="GV211" s="102">
        <v>0</v>
      </c>
      <c r="GW211" s="102">
        <v>0</v>
      </c>
      <c r="GX211" s="102">
        <v>0</v>
      </c>
      <c r="GY211" s="102">
        <v>0</v>
      </c>
      <c r="GZ211" s="102">
        <v>0</v>
      </c>
      <c r="HA211" s="102">
        <v>0</v>
      </c>
      <c r="HB211" s="102">
        <v>0</v>
      </c>
      <c r="HD211" s="102">
        <f t="shared" si="1068"/>
        <v>1636.0031886300001</v>
      </c>
      <c r="HE211" s="102">
        <f t="shared" si="1068"/>
        <v>3203.2598673100001</v>
      </c>
      <c r="HF211" s="102">
        <f t="shared" si="1068"/>
        <v>4413.29480238</v>
      </c>
      <c r="HG211" s="102">
        <f t="shared" si="1068"/>
        <v>4413</v>
      </c>
      <c r="HH211" s="102">
        <f t="shared" si="1069"/>
        <v>4413.29480238</v>
      </c>
      <c r="HI211" s="102">
        <f t="shared" si="1070"/>
        <v>4413.29480238</v>
      </c>
      <c r="HJ211" s="102">
        <f t="shared" si="961"/>
        <v>4413.29480238</v>
      </c>
      <c r="HK211" s="102">
        <f t="shared" si="962"/>
        <v>4413.29480238</v>
      </c>
      <c r="HL211" s="940">
        <f>+SUMIFS($E211:SEW211,$E$6:SEW$6,HL$7,$E$5:SEW$5,12)</f>
        <v>4413.29480238</v>
      </c>
      <c r="HM211" s="940">
        <f>+SUMIFS($E211:SEX211,$E$6:SEX$6,HM$7,$E$5:SEX$5,12)</f>
        <v>4413.29480238</v>
      </c>
      <c r="HN211" s="940">
        <f>+SUMIFS($E211:SEY211,$E$6:SEY$6,HN$7,$E$5:SEY$5,12)</f>
        <v>4413.29480238</v>
      </c>
      <c r="HO211" s="102"/>
      <c r="HP211" s="102"/>
      <c r="HR211" s="929">
        <f t="shared" si="1071"/>
        <v>0.37775109894101422</v>
      </c>
      <c r="HS211" s="929">
        <f t="shared" si="1072"/>
        <v>-6.6798705547821413E-5</v>
      </c>
      <c r="HT211" s="929">
        <f t="shared" si="1073"/>
        <v>6.6803167912965478E-5</v>
      </c>
      <c r="HU211" s="929">
        <f t="shared" si="1074"/>
        <v>0</v>
      </c>
      <c r="HV211" s="929">
        <f t="shared" si="1075"/>
        <v>0</v>
      </c>
      <c r="HW211" s="929">
        <f t="shared" si="1076"/>
        <v>0</v>
      </c>
      <c r="HX211" s="929">
        <f t="shared" si="1077"/>
        <v>0</v>
      </c>
      <c r="HY211" s="929">
        <f t="shared" si="1077"/>
        <v>0</v>
      </c>
      <c r="HZ211" s="929">
        <f t="shared" si="1077"/>
        <v>0</v>
      </c>
      <c r="IA211" s="929">
        <f t="shared" si="1036"/>
        <v>-1</v>
      </c>
      <c r="IB211" s="929" t="str">
        <f t="shared" si="1078"/>
        <v/>
      </c>
      <c r="IC211" s="929">
        <f t="shared" si="1037"/>
        <v>-1</v>
      </c>
      <c r="IE211" s="102">
        <f t="shared" si="1079"/>
        <v>1210.0349350699998</v>
      </c>
      <c r="IF211" s="102">
        <f t="shared" si="1080"/>
        <v>-0.29480237999996461</v>
      </c>
      <c r="IG211" s="102">
        <f t="shared" si="1081"/>
        <v>0.29480237999996461</v>
      </c>
      <c r="IH211" s="102">
        <f t="shared" si="1082"/>
        <v>0</v>
      </c>
      <c r="II211" s="102">
        <f t="shared" si="1045"/>
        <v>0</v>
      </c>
      <c r="IJ211" s="102">
        <f t="shared" si="1046"/>
        <v>0</v>
      </c>
      <c r="IK211" s="102">
        <f t="shared" si="1047"/>
        <v>0</v>
      </c>
      <c r="IL211" s="102">
        <f t="shared" si="1038"/>
        <v>-4413.29480238</v>
      </c>
      <c r="IM211" s="102">
        <f t="shared" si="1083"/>
        <v>0</v>
      </c>
      <c r="IN211" s="102">
        <f t="shared" si="1039"/>
        <v>-4413.29480238</v>
      </c>
      <c r="IP211" s="973"/>
      <c r="IQ211" s="973"/>
      <c r="IR211" s="973"/>
      <c r="IS211" s="973"/>
      <c r="IT211" s="973"/>
      <c r="IU211" s="973"/>
      <c r="IV211" s="973"/>
      <c r="IW211" s="973"/>
      <c r="IX211" s="973"/>
      <c r="IY211" s="973"/>
      <c r="JA211" s="102">
        <f t="shared" si="1084"/>
        <v>1636.0031886300001</v>
      </c>
      <c r="JB211" s="102">
        <f t="shared" si="1084"/>
        <v>3203.2598673100001</v>
      </c>
      <c r="JC211" s="102">
        <f t="shared" si="1084"/>
        <v>4413.29480238</v>
      </c>
      <c r="JD211" s="102">
        <f t="shared" si="1084"/>
        <v>4413</v>
      </c>
      <c r="JE211" s="102">
        <f t="shared" si="1084"/>
        <v>4413.29480238</v>
      </c>
      <c r="JF211" s="102">
        <f t="shared" si="1084"/>
        <v>4413.29480238</v>
      </c>
      <c r="JG211" s="102">
        <f t="shared" si="1084"/>
        <v>4413.29480238</v>
      </c>
      <c r="JH211" s="102">
        <f t="shared" si="1084"/>
        <v>4413.29480238</v>
      </c>
      <c r="JI211" s="102">
        <f t="shared" si="1084"/>
        <v>4413.29480238</v>
      </c>
      <c r="JJ211" s="102">
        <f t="shared" si="1084"/>
        <v>4413.29480238</v>
      </c>
      <c r="JK211" s="102">
        <f t="shared" si="1084"/>
        <v>4413.29480238</v>
      </c>
      <c r="JL211" s="102">
        <f t="shared" si="1085"/>
        <v>4413.29480238</v>
      </c>
      <c r="JM211" s="102"/>
      <c r="JN211" s="102"/>
      <c r="JP211" s="102">
        <f t="shared" si="1086"/>
        <v>0</v>
      </c>
      <c r="JQ211" s="102">
        <f t="shared" si="1087"/>
        <v>0</v>
      </c>
      <c r="JR211" s="145"/>
      <c r="JS211" s="929" t="str">
        <f t="shared" si="1088"/>
        <v>NA</v>
      </c>
      <c r="JT211" s="930">
        <f t="shared" si="1089"/>
        <v>0</v>
      </c>
      <c r="JV211" s="973"/>
      <c r="JW211" s="973"/>
      <c r="JY211" s="929">
        <f t="shared" si="1112"/>
        <v>0.37775109894101422</v>
      </c>
      <c r="JZ211" s="929">
        <f t="shared" si="1113"/>
        <v>-6.6798705547821413E-5</v>
      </c>
      <c r="KA211" s="929">
        <f t="shared" si="1114"/>
        <v>6.6803167912965478E-5</v>
      </c>
      <c r="KB211" s="929">
        <f t="shared" si="1115"/>
        <v>0</v>
      </c>
      <c r="KC211" s="929">
        <f t="shared" si="1116"/>
        <v>0</v>
      </c>
      <c r="KD211" s="929">
        <f t="shared" si="1117"/>
        <v>0</v>
      </c>
      <c r="KE211" s="929">
        <f t="shared" si="1118"/>
        <v>0</v>
      </c>
      <c r="KF211" s="929">
        <f t="shared" si="1119"/>
        <v>-1</v>
      </c>
      <c r="KH211" s="102">
        <f t="shared" si="1091"/>
        <v>1210.0349350699998</v>
      </c>
      <c r="KI211" s="102">
        <f t="shared" si="1092"/>
        <v>-0.29480237999996461</v>
      </c>
      <c r="KJ211" s="102">
        <f t="shared" si="1093"/>
        <v>0.29480237999996461</v>
      </c>
      <c r="KK211" s="102">
        <f t="shared" si="1094"/>
        <v>0</v>
      </c>
      <c r="KL211" s="102">
        <f t="shared" si="1095"/>
        <v>0</v>
      </c>
      <c r="KM211" s="102">
        <f t="shared" si="1096"/>
        <v>0</v>
      </c>
      <c r="KN211" s="102">
        <f t="shared" si="1097"/>
        <v>0</v>
      </c>
      <c r="KO211" s="102">
        <f t="shared" si="1098"/>
        <v>-4413.29480238</v>
      </c>
      <c r="KQ211" s="973"/>
      <c r="KR211" s="973"/>
      <c r="KS211" s="973"/>
      <c r="KT211" s="973"/>
      <c r="KU211" s="973"/>
      <c r="KV211" s="973"/>
      <c r="KW211" s="973"/>
      <c r="KX211" s="973"/>
      <c r="KY211" s="973"/>
      <c r="KZ211" s="973"/>
      <c r="LB211" s="102">
        <f t="shared" si="1099"/>
        <v>1636.0031886300001</v>
      </c>
      <c r="LC211" s="102">
        <f t="shared" si="1099"/>
        <v>3203.2598673100001</v>
      </c>
      <c r="LD211" s="102">
        <f t="shared" si="1099"/>
        <v>4413.29480238</v>
      </c>
      <c r="LE211" s="102">
        <f t="shared" si="1099"/>
        <v>4413</v>
      </c>
      <c r="LF211" s="102">
        <f t="shared" si="1099"/>
        <v>4413.29480238</v>
      </c>
      <c r="LG211" s="102">
        <f t="shared" si="1099"/>
        <v>4413.29480238</v>
      </c>
      <c r="LH211" s="102">
        <f t="shared" si="1099"/>
        <v>4413.29480238</v>
      </c>
      <c r="LI211" s="102">
        <f t="shared" si="1099"/>
        <v>4413.29480238</v>
      </c>
      <c r="LJ211" s="102">
        <f t="shared" si="1099"/>
        <v>4413.29480238</v>
      </c>
      <c r="LK211" s="102">
        <f t="shared" si="1099"/>
        <v>4413.29480238</v>
      </c>
      <c r="LL211" s="102">
        <f t="shared" si="1099"/>
        <v>4413.29480238</v>
      </c>
      <c r="LM211" s="102">
        <f t="shared" si="1099"/>
        <v>4413.29480238</v>
      </c>
      <c r="LN211" s="102"/>
      <c r="LO211" s="102"/>
      <c r="LR211" s="32">
        <f t="shared" si="1100"/>
        <v>0.37775109894101422</v>
      </c>
      <c r="LS211" s="32">
        <f t="shared" si="1101"/>
        <v>-6.6798705547821413E-5</v>
      </c>
      <c r="LT211" s="32">
        <f t="shared" si="1102"/>
        <v>6.6803167912965478E-5</v>
      </c>
      <c r="LU211" s="32">
        <f t="shared" si="1103"/>
        <v>0</v>
      </c>
      <c r="LV211" s="32">
        <f t="shared" si="1104"/>
        <v>0</v>
      </c>
      <c r="LW211" s="32">
        <f t="shared" si="1105"/>
        <v>0</v>
      </c>
      <c r="LX211" s="32">
        <f t="shared" si="963"/>
        <v>-1</v>
      </c>
      <c r="LZ211" s="102">
        <f t="shared" si="1106"/>
        <v>1210.0349350699998</v>
      </c>
      <c r="MA211" s="102">
        <f t="shared" si="1107"/>
        <v>-0.29480237999996461</v>
      </c>
      <c r="MB211" s="102">
        <f t="shared" si="1108"/>
        <v>0.29480237999996461</v>
      </c>
      <c r="MC211" s="102">
        <f t="shared" si="1109"/>
        <v>0</v>
      </c>
      <c r="MD211" s="102">
        <f t="shared" si="1110"/>
        <v>0</v>
      </c>
      <c r="ME211" s="102">
        <f t="shared" si="1111"/>
        <v>0</v>
      </c>
      <c r="MF211" s="102">
        <f t="shared" si="964"/>
        <v>-4413.29480238</v>
      </c>
      <c r="MH211" s="973"/>
      <c r="MI211" s="973"/>
      <c r="MJ211" s="973"/>
      <c r="MK211" s="973"/>
      <c r="ML211" s="973"/>
      <c r="MM211" s="973"/>
      <c r="MN211" s="973"/>
      <c r="MO211" s="973"/>
      <c r="MP211" s="973"/>
    </row>
    <row r="212" spans="1:354" outlineLevel="1">
      <c r="A212" s="884">
        <v>34</v>
      </c>
      <c r="B212" s="70" t="s">
        <v>760</v>
      </c>
      <c r="C212" s="17" t="s">
        <v>155</v>
      </c>
      <c r="D212" s="31" t="s">
        <v>59</v>
      </c>
      <c r="E212" s="102">
        <v>493.34978698999998</v>
      </c>
      <c r="F212" s="102">
        <v>493.34978698999998</v>
      </c>
      <c r="G212" s="102">
        <v>493.34978698999998</v>
      </c>
      <c r="H212" s="102">
        <v>493.34978698999998</v>
      </c>
      <c r="I212" s="102">
        <v>493.34978698999998</v>
      </c>
      <c r="J212" s="102">
        <v>493.34978698999998</v>
      </c>
      <c r="K212" s="102">
        <v>493.34978698999998</v>
      </c>
      <c r="L212" s="102">
        <v>493.34978698999998</v>
      </c>
      <c r="M212" s="102">
        <v>493.34978698999998</v>
      </c>
      <c r="N212" s="102">
        <v>493.34978698999998</v>
      </c>
      <c r="O212" s="102">
        <v>493.34978698999998</v>
      </c>
      <c r="P212" s="102">
        <v>493.34978698999998</v>
      </c>
      <c r="Q212" s="102">
        <v>493.34978699000004</v>
      </c>
      <c r="R212" s="102">
        <v>493.34978699000004</v>
      </c>
      <c r="S212" s="102">
        <v>493.34978699000004</v>
      </c>
      <c r="T212" s="102">
        <v>493.34978699000004</v>
      </c>
      <c r="U212" s="102">
        <v>493.34978699000004</v>
      </c>
      <c r="V212" s="102">
        <v>493.34978699000004</v>
      </c>
      <c r="W212" s="102">
        <v>493.34978699000004</v>
      </c>
      <c r="X212" s="102">
        <v>493.34978699000004</v>
      </c>
      <c r="Y212" s="102">
        <v>493.34978699000004</v>
      </c>
      <c r="Z212" s="102">
        <v>493.34978699000004</v>
      </c>
      <c r="AA212" s="102">
        <v>493.34978699000004</v>
      </c>
      <c r="AB212" s="102">
        <v>0</v>
      </c>
      <c r="AC212" s="102">
        <v>0</v>
      </c>
      <c r="AD212" s="102">
        <v>0</v>
      </c>
      <c r="AE212" s="102">
        <v>0</v>
      </c>
      <c r="AF212" s="102">
        <v>0</v>
      </c>
      <c r="AG212" s="102">
        <v>0</v>
      </c>
      <c r="AH212" s="102">
        <v>0</v>
      </c>
      <c r="AI212" s="102">
        <v>0</v>
      </c>
      <c r="AJ212" s="102">
        <v>0</v>
      </c>
      <c r="AK212" s="102">
        <v>0</v>
      </c>
      <c r="AL212" s="102">
        <v>0</v>
      </c>
      <c r="AM212" s="102">
        <v>0</v>
      </c>
      <c r="AN212" s="102">
        <v>0</v>
      </c>
      <c r="AO212" s="102">
        <v>0</v>
      </c>
      <c r="AP212" s="145">
        <v>0</v>
      </c>
      <c r="AQ212" s="143">
        <v>0</v>
      </c>
      <c r="AR212" s="143">
        <v>0</v>
      </c>
      <c r="AS212" s="102">
        <v>0</v>
      </c>
      <c r="AT212" s="102">
        <v>0</v>
      </c>
      <c r="AU212" s="102">
        <v>0</v>
      </c>
      <c r="AV212" s="102">
        <v>0</v>
      </c>
      <c r="AW212" s="102">
        <v>0</v>
      </c>
      <c r="AX212" s="102">
        <v>0</v>
      </c>
      <c r="AY212" s="102">
        <v>0</v>
      </c>
      <c r="AZ212" s="102">
        <v>0</v>
      </c>
      <c r="BA212" s="102">
        <v>0</v>
      </c>
      <c r="BB212" s="102">
        <v>0</v>
      </c>
      <c r="BC212" s="102">
        <v>0</v>
      </c>
      <c r="BD212" s="102">
        <v>0</v>
      </c>
      <c r="BE212" s="102">
        <v>0</v>
      </c>
      <c r="BF212" s="102">
        <v>0</v>
      </c>
      <c r="BG212" s="102">
        <v>0</v>
      </c>
      <c r="BH212" s="102">
        <v>0</v>
      </c>
      <c r="BI212" s="102">
        <v>0</v>
      </c>
      <c r="BJ212" s="102">
        <v>0</v>
      </c>
      <c r="BK212" s="102">
        <v>0</v>
      </c>
      <c r="BL212" s="102">
        <v>0</v>
      </c>
      <c r="BM212" s="102">
        <v>0</v>
      </c>
      <c r="BN212" s="102">
        <v>0</v>
      </c>
      <c r="BO212" s="102">
        <v>0</v>
      </c>
      <c r="BP212" s="102">
        <v>0</v>
      </c>
      <c r="BQ212" s="102">
        <v>0</v>
      </c>
      <c r="BR212" s="102">
        <v>0</v>
      </c>
      <c r="BS212" s="102">
        <v>0</v>
      </c>
      <c r="BT212" s="102">
        <v>0</v>
      </c>
      <c r="BU212" s="102">
        <v>0</v>
      </c>
      <c r="BV212" s="102">
        <v>0</v>
      </c>
      <c r="BW212" s="102">
        <v>0</v>
      </c>
      <c r="BX212" s="102">
        <v>0</v>
      </c>
      <c r="BY212" s="102">
        <v>0</v>
      </c>
      <c r="BZ212" s="102">
        <v>0</v>
      </c>
      <c r="CA212" s="102">
        <v>0</v>
      </c>
      <c r="CB212" s="102">
        <v>0</v>
      </c>
      <c r="CC212" s="102">
        <v>0</v>
      </c>
      <c r="CD212" s="102">
        <v>0</v>
      </c>
      <c r="CE212" s="102">
        <v>0</v>
      </c>
      <c r="CF212" s="102">
        <v>0</v>
      </c>
      <c r="CG212" s="102">
        <v>0</v>
      </c>
      <c r="CH212" s="102">
        <v>0</v>
      </c>
      <c r="CI212" s="102">
        <v>0</v>
      </c>
      <c r="CJ212" s="102">
        <v>0</v>
      </c>
      <c r="CK212" s="102">
        <v>0</v>
      </c>
      <c r="CL212" s="102">
        <v>0</v>
      </c>
      <c r="CM212" s="102">
        <v>0</v>
      </c>
      <c r="CN212" s="102">
        <v>0</v>
      </c>
      <c r="CO212" s="102">
        <v>0</v>
      </c>
      <c r="CP212" s="102">
        <v>0</v>
      </c>
      <c r="CQ212" s="102">
        <v>0</v>
      </c>
      <c r="CR212" s="102">
        <v>0</v>
      </c>
      <c r="CS212" s="102">
        <v>0</v>
      </c>
      <c r="CT212" s="102">
        <v>0</v>
      </c>
      <c r="CU212" s="102">
        <v>0</v>
      </c>
      <c r="CV212" s="102">
        <v>0</v>
      </c>
      <c r="CW212" s="102">
        <v>0</v>
      </c>
      <c r="CX212" s="102">
        <v>0</v>
      </c>
      <c r="CY212" s="102">
        <v>0</v>
      </c>
      <c r="CZ212" s="102">
        <v>0</v>
      </c>
      <c r="DA212" s="102">
        <v>0</v>
      </c>
      <c r="DB212" s="102">
        <v>0</v>
      </c>
      <c r="DC212" s="102">
        <v>0</v>
      </c>
      <c r="DD212" s="102">
        <v>0</v>
      </c>
      <c r="DE212" s="102">
        <v>0</v>
      </c>
      <c r="DF212" s="102">
        <v>0</v>
      </c>
      <c r="DG212" s="102">
        <v>0</v>
      </c>
      <c r="DH212" s="102">
        <v>0</v>
      </c>
      <c r="DI212" s="102">
        <v>0</v>
      </c>
      <c r="DJ212" s="102">
        <v>0</v>
      </c>
      <c r="DK212" s="102">
        <v>0</v>
      </c>
      <c r="DL212" s="102">
        <v>0</v>
      </c>
      <c r="DM212" s="102">
        <v>0</v>
      </c>
      <c r="DN212" s="102">
        <v>0</v>
      </c>
      <c r="DO212" s="102">
        <v>0</v>
      </c>
      <c r="DP212" s="102">
        <v>0</v>
      </c>
      <c r="DQ212" s="940">
        <v>0</v>
      </c>
      <c r="DR212" s="940">
        <v>0</v>
      </c>
      <c r="DS212" s="940">
        <v>0</v>
      </c>
      <c r="DT212" s="940">
        <v>0</v>
      </c>
      <c r="DU212" s="940">
        <v>0</v>
      </c>
      <c r="DV212" s="940">
        <v>0</v>
      </c>
      <c r="DW212" s="940">
        <v>0</v>
      </c>
      <c r="DX212" s="940">
        <v>0</v>
      </c>
      <c r="DY212" s="940">
        <v>0</v>
      </c>
      <c r="DZ212" s="940">
        <v>0</v>
      </c>
      <c r="EA212" s="940">
        <v>0</v>
      </c>
      <c r="EB212" s="940">
        <v>0</v>
      </c>
      <c r="EC212" s="940">
        <v>0</v>
      </c>
      <c r="ED212" s="940">
        <v>0</v>
      </c>
      <c r="EE212" s="940">
        <v>0</v>
      </c>
      <c r="EF212" s="940">
        <v>0</v>
      </c>
      <c r="EH212" s="102">
        <v>0</v>
      </c>
      <c r="EI212" s="102">
        <v>0</v>
      </c>
      <c r="EJ212" s="102">
        <v>0</v>
      </c>
      <c r="EK212" s="102">
        <v>0</v>
      </c>
      <c r="EL212" s="102">
        <v>0</v>
      </c>
      <c r="EM212" s="102">
        <v>0</v>
      </c>
      <c r="EN212" s="102">
        <v>0</v>
      </c>
      <c r="EO212" s="102">
        <v>0</v>
      </c>
      <c r="EP212" s="102">
        <v>0</v>
      </c>
      <c r="EQ212" s="102">
        <v>0</v>
      </c>
      <c r="ER212" s="102">
        <v>0</v>
      </c>
      <c r="ES212" s="102">
        <v>0</v>
      </c>
      <c r="EU212" s="102"/>
      <c r="EV212" s="102"/>
      <c r="EW212" s="102"/>
      <c r="EX212" s="102"/>
      <c r="EY212" s="102"/>
      <c r="EZ212" s="102"/>
      <c r="FA212" s="102"/>
      <c r="FB212" s="102"/>
      <c r="FC212" s="102"/>
      <c r="FD212" s="102"/>
      <c r="FE212" s="102"/>
      <c r="FF212" s="102"/>
      <c r="FG212" s="102">
        <v>0</v>
      </c>
      <c r="FH212" s="102">
        <v>0</v>
      </c>
      <c r="FI212" s="102">
        <v>0</v>
      </c>
      <c r="FJ212" s="102">
        <v>0</v>
      </c>
      <c r="FK212" s="102">
        <v>0</v>
      </c>
      <c r="FL212" s="102">
        <v>0</v>
      </c>
      <c r="FM212" s="102">
        <v>0</v>
      </c>
      <c r="FN212" s="102">
        <v>0</v>
      </c>
      <c r="FO212" s="102">
        <v>0</v>
      </c>
      <c r="FP212" s="102">
        <v>0</v>
      </c>
      <c r="FQ212" s="102">
        <v>0</v>
      </c>
      <c r="FR212" s="102">
        <v>0</v>
      </c>
      <c r="FS212" s="102"/>
      <c r="FT212" s="102"/>
      <c r="FU212" s="102"/>
      <c r="FV212" s="102"/>
      <c r="FW212" s="102"/>
      <c r="FX212" s="102"/>
      <c r="FY212" s="102"/>
      <c r="FZ212" s="102"/>
      <c r="GA212" s="102"/>
      <c r="GB212" s="102"/>
      <c r="GC212" s="102"/>
      <c r="GD212" s="102"/>
      <c r="GE212" s="102">
        <v>0</v>
      </c>
      <c r="GF212" s="102">
        <v>0</v>
      </c>
      <c r="GG212" s="102">
        <v>0</v>
      </c>
      <c r="GH212" s="102">
        <v>0</v>
      </c>
      <c r="GI212" s="102">
        <v>0</v>
      </c>
      <c r="GJ212" s="102">
        <v>0</v>
      </c>
      <c r="GK212" s="102">
        <v>0</v>
      </c>
      <c r="GL212" s="102">
        <v>0</v>
      </c>
      <c r="GM212" s="102">
        <v>0</v>
      </c>
      <c r="GN212" s="102">
        <v>0</v>
      </c>
      <c r="GO212" s="102">
        <v>0</v>
      </c>
      <c r="GP212" s="102">
        <v>0</v>
      </c>
      <c r="GQ212" s="102">
        <v>0</v>
      </c>
      <c r="GR212" s="102">
        <v>0</v>
      </c>
      <c r="GS212" s="102">
        <v>0</v>
      </c>
      <c r="GT212" s="102">
        <v>0</v>
      </c>
      <c r="GU212" s="102">
        <v>0</v>
      </c>
      <c r="GV212" s="102">
        <v>0</v>
      </c>
      <c r="GW212" s="102">
        <v>0</v>
      </c>
      <c r="GX212" s="102">
        <v>0</v>
      </c>
      <c r="GY212" s="102">
        <v>0</v>
      </c>
      <c r="GZ212" s="102">
        <v>0</v>
      </c>
      <c r="HA212" s="102">
        <v>0</v>
      </c>
      <c r="HB212" s="102">
        <v>0</v>
      </c>
      <c r="HD212" s="102">
        <f t="shared" si="1068"/>
        <v>493.34978698999998</v>
      </c>
      <c r="HE212" s="102">
        <f t="shared" si="1068"/>
        <v>0</v>
      </c>
      <c r="HF212" s="102">
        <f t="shared" si="1068"/>
        <v>0</v>
      </c>
      <c r="HG212" s="102">
        <f t="shared" si="1068"/>
        <v>0</v>
      </c>
      <c r="HH212" s="102">
        <f t="shared" si="1069"/>
        <v>0</v>
      </c>
      <c r="HI212" s="102">
        <f t="shared" si="1070"/>
        <v>0</v>
      </c>
      <c r="HJ212" s="102">
        <f t="shared" si="961"/>
        <v>0</v>
      </c>
      <c r="HK212" s="102">
        <f t="shared" si="962"/>
        <v>0</v>
      </c>
      <c r="HL212" s="940">
        <f>+SUMIFS($E212:SEW212,$E$6:SEW$6,HL$7,$E$5:SEW$5,12)</f>
        <v>0</v>
      </c>
      <c r="HM212" s="940">
        <f>+SUMIFS($E212:SEX212,$E$6:SEX$6,HM$7,$E$5:SEX$5,12)</f>
        <v>0</v>
      </c>
      <c r="HN212" s="940">
        <f>+SUMIFS($E212:SEY212,$E$6:SEY$6,HN$7,$E$5:SEY$5,12)</f>
        <v>0</v>
      </c>
      <c r="HO212" s="102"/>
      <c r="HP212" s="102"/>
      <c r="HR212" s="929" t="str">
        <f t="shared" si="1071"/>
        <v/>
      </c>
      <c r="HS212" s="929" t="str">
        <f t="shared" si="1072"/>
        <v/>
      </c>
      <c r="HT212" s="929" t="str">
        <f t="shared" si="1073"/>
        <v/>
      </c>
      <c r="HU212" s="929" t="str">
        <f t="shared" si="1074"/>
        <v/>
      </c>
      <c r="HV212" s="929" t="str">
        <f t="shared" si="1075"/>
        <v/>
      </c>
      <c r="HW212" s="929" t="str">
        <f t="shared" si="1076"/>
        <v/>
      </c>
      <c r="HX212" s="929" t="str">
        <f t="shared" si="1077"/>
        <v/>
      </c>
      <c r="HY212" s="929" t="str">
        <f t="shared" si="1077"/>
        <v/>
      </c>
      <c r="HZ212" s="929" t="str">
        <f t="shared" si="1077"/>
        <v/>
      </c>
      <c r="IA212" s="929" t="str">
        <f t="shared" si="1036"/>
        <v/>
      </c>
      <c r="IB212" s="929" t="str">
        <f t="shared" si="1078"/>
        <v/>
      </c>
      <c r="IC212" s="929" t="str">
        <f t="shared" si="1037"/>
        <v/>
      </c>
      <c r="IE212" s="102">
        <f t="shared" si="1079"/>
        <v>0</v>
      </c>
      <c r="IF212" s="102">
        <f t="shared" si="1080"/>
        <v>0</v>
      </c>
      <c r="IG212" s="102">
        <f t="shared" si="1081"/>
        <v>0</v>
      </c>
      <c r="IH212" s="102">
        <f t="shared" si="1082"/>
        <v>0</v>
      </c>
      <c r="II212" s="102">
        <f t="shared" si="1045"/>
        <v>0</v>
      </c>
      <c r="IJ212" s="102">
        <f t="shared" si="1046"/>
        <v>0</v>
      </c>
      <c r="IK212" s="102">
        <f t="shared" si="1047"/>
        <v>0</v>
      </c>
      <c r="IL212" s="102">
        <f t="shared" si="1038"/>
        <v>0</v>
      </c>
      <c r="IM212" s="102">
        <f t="shared" si="1083"/>
        <v>0</v>
      </c>
      <c r="IN212" s="102">
        <f t="shared" si="1039"/>
        <v>0</v>
      </c>
      <c r="IP212" s="973"/>
      <c r="IQ212" s="973"/>
      <c r="IR212" s="973"/>
      <c r="IS212" s="973"/>
      <c r="IT212" s="973"/>
      <c r="IU212" s="973"/>
      <c r="IV212" s="973"/>
      <c r="IW212" s="973"/>
      <c r="IX212" s="973"/>
      <c r="IY212" s="973"/>
      <c r="JA212" s="102">
        <f t="shared" si="1084"/>
        <v>493.34978698999998</v>
      </c>
      <c r="JB212" s="102">
        <f t="shared" si="1084"/>
        <v>0</v>
      </c>
      <c r="JC212" s="102">
        <f t="shared" si="1084"/>
        <v>0</v>
      </c>
      <c r="JD212" s="102">
        <f t="shared" si="1084"/>
        <v>0</v>
      </c>
      <c r="JE212" s="102">
        <f t="shared" si="1084"/>
        <v>0</v>
      </c>
      <c r="JF212" s="102">
        <f t="shared" si="1084"/>
        <v>0</v>
      </c>
      <c r="JG212" s="102">
        <f t="shared" si="1084"/>
        <v>0</v>
      </c>
      <c r="JH212" s="102">
        <f t="shared" si="1084"/>
        <v>0</v>
      </c>
      <c r="JI212" s="102">
        <f t="shared" si="1084"/>
        <v>0</v>
      </c>
      <c r="JJ212" s="102">
        <f t="shared" si="1084"/>
        <v>0</v>
      </c>
      <c r="JK212" s="102">
        <f t="shared" si="1084"/>
        <v>0</v>
      </c>
      <c r="JL212" s="102">
        <f t="shared" si="1085"/>
        <v>0</v>
      </c>
      <c r="JM212" s="102"/>
      <c r="JN212" s="102"/>
      <c r="JP212" s="102">
        <f t="shared" si="1086"/>
        <v>0</v>
      </c>
      <c r="JQ212" s="102">
        <f t="shared" si="1087"/>
        <v>0</v>
      </c>
      <c r="JR212" s="145"/>
      <c r="JS212" s="929" t="str">
        <f t="shared" si="1088"/>
        <v>NA</v>
      </c>
      <c r="JT212" s="930">
        <f t="shared" si="1089"/>
        <v>0</v>
      </c>
      <c r="JV212" s="973"/>
      <c r="JW212" s="973"/>
      <c r="JY212" s="929" t="str">
        <f t="shared" si="1112"/>
        <v/>
      </c>
      <c r="JZ212" s="929" t="str">
        <f t="shared" si="1113"/>
        <v/>
      </c>
      <c r="KA212" s="929" t="str">
        <f t="shared" si="1114"/>
        <v/>
      </c>
      <c r="KB212" s="929" t="str">
        <f t="shared" si="1115"/>
        <v/>
      </c>
      <c r="KC212" s="929" t="str">
        <f t="shared" si="1116"/>
        <v/>
      </c>
      <c r="KD212" s="929" t="str">
        <f t="shared" si="1117"/>
        <v/>
      </c>
      <c r="KE212" s="929" t="str">
        <f t="shared" si="1118"/>
        <v/>
      </c>
      <c r="KF212" s="929" t="str">
        <f t="shared" si="1119"/>
        <v/>
      </c>
      <c r="KH212" s="102">
        <f t="shared" si="1091"/>
        <v>0</v>
      </c>
      <c r="KI212" s="102">
        <f t="shared" si="1092"/>
        <v>0</v>
      </c>
      <c r="KJ212" s="102">
        <f t="shared" si="1093"/>
        <v>0</v>
      </c>
      <c r="KK212" s="102">
        <f t="shared" si="1094"/>
        <v>0</v>
      </c>
      <c r="KL212" s="102">
        <f t="shared" si="1095"/>
        <v>0</v>
      </c>
      <c r="KM212" s="102">
        <f t="shared" si="1096"/>
        <v>0</v>
      </c>
      <c r="KN212" s="102">
        <f t="shared" si="1097"/>
        <v>0</v>
      </c>
      <c r="KO212" s="102">
        <f t="shared" si="1098"/>
        <v>0</v>
      </c>
      <c r="KQ212" s="973"/>
      <c r="KR212" s="973"/>
      <c r="KS212" s="973"/>
      <c r="KT212" s="973"/>
      <c r="KU212" s="973"/>
      <c r="KV212" s="973"/>
      <c r="KW212" s="973"/>
      <c r="KX212" s="973"/>
      <c r="KY212" s="973"/>
      <c r="KZ212" s="973"/>
      <c r="LB212" s="102">
        <f t="shared" si="1099"/>
        <v>493.34978698999998</v>
      </c>
      <c r="LC212" s="102">
        <f t="shared" si="1099"/>
        <v>0</v>
      </c>
      <c r="LD212" s="102">
        <f t="shared" si="1099"/>
        <v>0</v>
      </c>
      <c r="LE212" s="102">
        <f t="shared" si="1099"/>
        <v>0</v>
      </c>
      <c r="LF212" s="102">
        <f t="shared" si="1099"/>
        <v>0</v>
      </c>
      <c r="LG212" s="102">
        <f t="shared" si="1099"/>
        <v>0</v>
      </c>
      <c r="LH212" s="102">
        <f t="shared" si="1099"/>
        <v>0</v>
      </c>
      <c r="LI212" s="102">
        <f t="shared" si="1099"/>
        <v>0</v>
      </c>
      <c r="LJ212" s="102">
        <f t="shared" si="1099"/>
        <v>0</v>
      </c>
      <c r="LK212" s="102">
        <f t="shared" si="1099"/>
        <v>0</v>
      </c>
      <c r="LL212" s="102">
        <f t="shared" si="1099"/>
        <v>0</v>
      </c>
      <c r="LM212" s="102">
        <f t="shared" si="1099"/>
        <v>0</v>
      </c>
      <c r="LN212" s="102"/>
      <c r="LO212" s="102"/>
      <c r="LR212" s="32" t="str">
        <f t="shared" si="1100"/>
        <v xml:space="preserve"> </v>
      </c>
      <c r="LS212" s="32" t="str">
        <f t="shared" si="1101"/>
        <v xml:space="preserve"> </v>
      </c>
      <c r="LT212" s="32" t="str">
        <f t="shared" si="1102"/>
        <v xml:space="preserve"> </v>
      </c>
      <c r="LU212" s="32" t="str">
        <f t="shared" si="1103"/>
        <v xml:space="preserve"> </v>
      </c>
      <c r="LV212" s="32" t="str">
        <f t="shared" si="1104"/>
        <v xml:space="preserve"> </v>
      </c>
      <c r="LW212" s="32" t="str">
        <f t="shared" si="1105"/>
        <v xml:space="preserve"> </v>
      </c>
      <c r="LX212" s="32" t="str">
        <f t="shared" si="963"/>
        <v xml:space="preserve"> </v>
      </c>
      <c r="LZ212" s="102">
        <f t="shared" si="1106"/>
        <v>0</v>
      </c>
      <c r="MA212" s="102">
        <f t="shared" si="1107"/>
        <v>0</v>
      </c>
      <c r="MB212" s="102">
        <f t="shared" si="1108"/>
        <v>0</v>
      </c>
      <c r="MC212" s="102">
        <f t="shared" si="1109"/>
        <v>0</v>
      </c>
      <c r="MD212" s="102">
        <f t="shared" si="1110"/>
        <v>0</v>
      </c>
      <c r="ME212" s="102">
        <f t="shared" si="1111"/>
        <v>0</v>
      </c>
      <c r="MF212" s="102">
        <f t="shared" si="964"/>
        <v>0</v>
      </c>
      <c r="MH212" s="973"/>
      <c r="MI212" s="973"/>
      <c r="MJ212" s="973"/>
      <c r="MK212" s="973"/>
      <c r="ML212" s="973"/>
      <c r="MM212" s="973"/>
      <c r="MN212" s="973"/>
      <c r="MO212" s="973"/>
      <c r="MP212" s="973"/>
    </row>
    <row r="213" spans="1:354" outlineLevel="1">
      <c r="A213" s="884">
        <v>36</v>
      </c>
      <c r="B213" s="70" t="s">
        <v>761</v>
      </c>
      <c r="C213" s="17" t="s">
        <v>159</v>
      </c>
      <c r="D213" s="31" t="s">
        <v>59</v>
      </c>
      <c r="E213" s="102">
        <v>-904.19624287720001</v>
      </c>
      <c r="F213" s="102">
        <v>-194.94679671409995</v>
      </c>
      <c r="G213" s="102">
        <v>23.818648947699842</v>
      </c>
      <c r="H213" s="102">
        <v>410.96203709590003</v>
      </c>
      <c r="I213" s="102">
        <v>1377.3290370087007</v>
      </c>
      <c r="J213" s="102">
        <v>1730.6029433054007</v>
      </c>
      <c r="K213" s="102">
        <v>2241.8168840979993</v>
      </c>
      <c r="L213" s="102">
        <v>3239.5355790397016</v>
      </c>
      <c r="M213" s="102">
        <v>4239.9064313073022</v>
      </c>
      <c r="N213" s="102">
        <v>4779.4481076610036</v>
      </c>
      <c r="O213" s="102">
        <v>5950.7319451478979</v>
      </c>
      <c r="P213" s="102">
        <v>6090.0670461600048</v>
      </c>
      <c r="Q213" s="102">
        <v>-263.53662756029985</v>
      </c>
      <c r="R213" s="102">
        <v>595.10626868490033</v>
      </c>
      <c r="S213" s="102">
        <v>474.31702386170093</v>
      </c>
      <c r="T213" s="102">
        <v>7.3351429887018185</v>
      </c>
      <c r="U213" s="102">
        <v>1006.302741052102</v>
      </c>
      <c r="V213" s="102">
        <v>1783.4636777338974</v>
      </c>
      <c r="W213" s="102">
        <v>2138.1205215322971</v>
      </c>
      <c r="X213" s="102">
        <v>2765.9861504327014</v>
      </c>
      <c r="Y213" s="102">
        <v>2332.6567918739029</v>
      </c>
      <c r="Z213" s="102">
        <v>2354.2113059428998</v>
      </c>
      <c r="AA213" s="102">
        <v>3935.5575493186998</v>
      </c>
      <c r="AB213" s="102">
        <v>6050.1746752600029</v>
      </c>
      <c r="AC213" s="102">
        <v>5597.6627804</v>
      </c>
      <c r="AD213" s="102">
        <v>6881.0737787890002</v>
      </c>
      <c r="AE213" s="102">
        <v>1089.6462488669997</v>
      </c>
      <c r="AF213" s="102">
        <v>1582.7155552890003</v>
      </c>
      <c r="AG213" s="102">
        <v>2011.1184025812006</v>
      </c>
      <c r="AH213" s="102">
        <v>2290.7911421274007</v>
      </c>
      <c r="AI213" s="102">
        <v>2463.9121979934007</v>
      </c>
      <c r="AJ213" s="102">
        <v>2918.6340414396004</v>
      </c>
      <c r="AK213" s="102">
        <v>3472.1206012350003</v>
      </c>
      <c r="AL213" s="102">
        <v>4248.9264366977995</v>
      </c>
      <c r="AM213" s="102">
        <v>6348.6243852600001</v>
      </c>
      <c r="AN213" s="102">
        <v>6759.5068970399998</v>
      </c>
      <c r="AO213" s="102">
        <v>7540.4356467799971</v>
      </c>
      <c r="AP213" s="145">
        <v>7184.5145240799993</v>
      </c>
      <c r="AQ213" s="143">
        <v>7143.2440030499965</v>
      </c>
      <c r="AR213" s="143">
        <v>6239.5766272799947</v>
      </c>
      <c r="AS213" s="102">
        <v>5654.8704552099953</v>
      </c>
      <c r="AT213" s="102">
        <v>4196.499569759997</v>
      </c>
      <c r="AU213" s="102">
        <v>4250.2321223099962</v>
      </c>
      <c r="AV213" s="102">
        <v>4219.3340881099975</v>
      </c>
      <c r="AW213" s="102">
        <v>4065.9303816699967</v>
      </c>
      <c r="AX213" s="102">
        <v>2753.331977229996</v>
      </c>
      <c r="AY213" s="102">
        <v>2095.6099662899978</v>
      </c>
      <c r="AZ213" s="102">
        <f>SUM(AO111:AZ111)</f>
        <v>-3054.6221226499993</v>
      </c>
      <c r="BA213" s="102">
        <v>24.359585170000017</v>
      </c>
      <c r="BB213" s="145">
        <v>-626.00750976000006</v>
      </c>
      <c r="BC213" s="145">
        <v>-1541.3703691000001</v>
      </c>
      <c r="BD213" s="145">
        <v>-2243.34946064</v>
      </c>
      <c r="BE213" s="102">
        <v>-2697.8625856399999</v>
      </c>
      <c r="BF213" s="102">
        <v>-3606.7606113899997</v>
      </c>
      <c r="BG213" s="102">
        <v>-4115.72395246</v>
      </c>
      <c r="BH213" s="102">
        <v>-4529.8183375300005</v>
      </c>
      <c r="BI213" s="102">
        <v>-4663.6469218800003</v>
      </c>
      <c r="BJ213" s="102">
        <v>-4901.4072050100003</v>
      </c>
      <c r="BK213" s="102">
        <v>-4972.5588929200003</v>
      </c>
      <c r="BL213" s="102">
        <v>-4730.5575491399995</v>
      </c>
      <c r="BM213" s="102">
        <f>+BM111</f>
        <v>123.44698306999993</v>
      </c>
      <c r="BN213" s="145">
        <f t="shared" ref="BN213:BX213" si="1125">+BM213+BN111</f>
        <v>263.7951649499999</v>
      </c>
      <c r="BO213" s="145">
        <f>+BN213+BO111</f>
        <v>355.71991318999983</v>
      </c>
      <c r="BP213" s="963">
        <f t="shared" si="1125"/>
        <v>711.79197793000026</v>
      </c>
      <c r="BQ213" s="102">
        <f t="shared" si="1125"/>
        <v>700.30971780000016</v>
      </c>
      <c r="BR213" s="102">
        <f t="shared" si="1125"/>
        <v>790.44529982000017</v>
      </c>
      <c r="BS213" s="102">
        <f t="shared" si="1125"/>
        <v>851.50242784000022</v>
      </c>
      <c r="BT213" s="102">
        <f t="shared" si="1125"/>
        <v>895.52459630000044</v>
      </c>
      <c r="BU213" s="102">
        <f t="shared" si="1125"/>
        <v>852.37138447000052</v>
      </c>
      <c r="BV213" s="102">
        <f t="shared" si="1125"/>
        <v>1114.3521906100002</v>
      </c>
      <c r="BW213" s="102">
        <f t="shared" si="1125"/>
        <v>1303.2070437000007</v>
      </c>
      <c r="BX213" s="102">
        <f t="shared" si="1125"/>
        <v>1261.946969130001</v>
      </c>
      <c r="BY213" s="102">
        <f t="shared" ref="BY213" si="1126">+BY111</f>
        <v>-155.39655519999991</v>
      </c>
      <c r="BZ213" s="102">
        <f t="shared" ref="BZ213:CJ213" si="1127">+BZ111+BY213</f>
        <v>-133.32110573999975</v>
      </c>
      <c r="CA213" s="102">
        <f t="shared" si="1127"/>
        <v>-194.83387490999962</v>
      </c>
      <c r="CB213" s="102">
        <f t="shared" si="1127"/>
        <v>-285.18729324999953</v>
      </c>
      <c r="CC213" s="102">
        <f t="shared" si="1127"/>
        <v>-422.41488318999944</v>
      </c>
      <c r="CD213" s="102">
        <f t="shared" si="1127"/>
        <v>-440.49828387999963</v>
      </c>
      <c r="CE213" s="102">
        <f t="shared" si="1127"/>
        <v>-600.97370079999973</v>
      </c>
      <c r="CF213" s="102">
        <f t="shared" si="1127"/>
        <v>-111.66040099999952</v>
      </c>
      <c r="CG213" s="102">
        <f t="shared" si="1127"/>
        <v>-155.46886605999956</v>
      </c>
      <c r="CH213" s="102">
        <f t="shared" si="1127"/>
        <v>1.062787280000606</v>
      </c>
      <c r="CI213" s="102">
        <f t="shared" si="1127"/>
        <v>531.57704573000069</v>
      </c>
      <c r="CJ213" s="102">
        <f t="shared" si="1127"/>
        <v>307.77561022000054</v>
      </c>
      <c r="CK213" s="102">
        <f t="shared" ref="CK213" si="1128">+CK111</f>
        <v>114.61153242999967</v>
      </c>
      <c r="CL213" s="102">
        <f t="shared" ref="CL213:CV213" si="1129">+CL111+CK213</f>
        <v>-52.576036360000529</v>
      </c>
      <c r="CM213" s="102">
        <f t="shared" si="1129"/>
        <v>354.29583684999943</v>
      </c>
      <c r="CN213" s="102">
        <f t="shared" si="1129"/>
        <v>486.33683188999942</v>
      </c>
      <c r="CO213" s="102">
        <f t="shared" si="1129"/>
        <v>916.30472530999918</v>
      </c>
      <c r="CP213" s="102">
        <f t="shared" si="1129"/>
        <v>868.277890949999</v>
      </c>
      <c r="CQ213" s="102">
        <f t="shared" si="1129"/>
        <v>928.08842487999902</v>
      </c>
      <c r="CR213" s="102">
        <f t="shared" si="1129"/>
        <v>1223.7090987599991</v>
      </c>
      <c r="CS213" s="102">
        <f t="shared" si="1129"/>
        <v>1450.5743983599989</v>
      </c>
      <c r="CT213" s="102">
        <f t="shared" si="1129"/>
        <v>2118.198723819999</v>
      </c>
      <c r="CU213" s="102">
        <f t="shared" si="1129"/>
        <v>2432.861441269999</v>
      </c>
      <c r="CV213" s="102">
        <f t="shared" si="1129"/>
        <v>1540.1022638399986</v>
      </c>
      <c r="CW213" s="102">
        <f t="shared" ref="CW213" si="1130">+CW111</f>
        <v>311.65705161000005</v>
      </c>
      <c r="CX213" s="102">
        <f t="shared" ref="CX213:EE213" si="1131">+CX111+CW213</f>
        <v>442.05898729999956</v>
      </c>
      <c r="CY213" s="102">
        <f t="shared" si="1131"/>
        <v>1344.4504789399998</v>
      </c>
      <c r="CZ213" s="102">
        <f t="shared" si="1131"/>
        <v>998.77835146999996</v>
      </c>
      <c r="DA213" s="102">
        <f t="shared" si="1131"/>
        <v>496.54158762000009</v>
      </c>
      <c r="DB213" s="102">
        <f t="shared" si="1131"/>
        <v>153.08133509000004</v>
      </c>
      <c r="DC213" s="102">
        <f t="shared" si="1131"/>
        <v>-322.53174267999998</v>
      </c>
      <c r="DD213" s="102">
        <f t="shared" si="1131"/>
        <v>-84.186332199999896</v>
      </c>
      <c r="DE213" s="102">
        <f t="shared" si="1131"/>
        <v>92.646450499999958</v>
      </c>
      <c r="DF213" s="102">
        <f t="shared" si="1131"/>
        <v>354.46140437000003</v>
      </c>
      <c r="DG213" s="102">
        <f t="shared" si="1131"/>
        <v>72.85421711999976</v>
      </c>
      <c r="DH213" s="102">
        <f t="shared" si="1131"/>
        <v>-200.51657583000036</v>
      </c>
      <c r="DI213" s="102">
        <f>+DI111</f>
        <v>59.444504020000124</v>
      </c>
      <c r="DJ213" s="102">
        <f t="shared" si="1131"/>
        <v>-92.299743079999587</v>
      </c>
      <c r="DK213" s="102">
        <f t="shared" si="1131"/>
        <v>12.878449660000541</v>
      </c>
      <c r="DL213" s="102">
        <f t="shared" si="1131"/>
        <v>236.25436238000052</v>
      </c>
      <c r="DM213" s="102">
        <f t="shared" si="1131"/>
        <v>360.88293275000035</v>
      </c>
      <c r="DN213" s="102">
        <f t="shared" si="1131"/>
        <v>373.10444530000063</v>
      </c>
      <c r="DO213" s="102">
        <f t="shared" si="1131"/>
        <v>527.40726358000029</v>
      </c>
      <c r="DP213" s="102">
        <f t="shared" si="1131"/>
        <v>797.2371311400002</v>
      </c>
      <c r="DQ213" s="940">
        <f t="shared" si="1131"/>
        <v>954.28828740000006</v>
      </c>
      <c r="DR213" s="940">
        <f t="shared" si="1131"/>
        <v>1172.6660855200003</v>
      </c>
      <c r="DS213" s="940">
        <f t="shared" si="1131"/>
        <v>1416.0828768400002</v>
      </c>
      <c r="DT213" s="940">
        <f t="shared" si="1131"/>
        <v>698.44218665999961</v>
      </c>
      <c r="DU213" s="940">
        <f>+DU111</f>
        <v>289.49905815999983</v>
      </c>
      <c r="DV213" s="940">
        <f t="shared" si="1131"/>
        <v>-86.247329610000349</v>
      </c>
      <c r="DW213" s="940">
        <f t="shared" si="1131"/>
        <v>-146.81129596000022</v>
      </c>
      <c r="DX213" s="940">
        <f t="shared" si="1131"/>
        <v>-146.57064225000028</v>
      </c>
      <c r="DY213" s="940">
        <f t="shared" si="1131"/>
        <v>-133.38986627000011</v>
      </c>
      <c r="DZ213" s="940">
        <f t="shared" si="1131"/>
        <v>307.36731335000036</v>
      </c>
      <c r="EA213" s="940">
        <f t="shared" si="1131"/>
        <v>646.37083215999996</v>
      </c>
      <c r="EB213" s="940">
        <f t="shared" si="1131"/>
        <v>1163.14415405</v>
      </c>
      <c r="EC213" s="940">
        <f t="shared" si="1131"/>
        <v>1868.9110237700006</v>
      </c>
      <c r="ED213" s="940">
        <f t="shared" si="1131"/>
        <v>3275.6962073900008</v>
      </c>
      <c r="EE213" s="940">
        <f t="shared" si="1131"/>
        <v>3992.5196949100009</v>
      </c>
      <c r="EF213" s="940">
        <f>+EF111+EE213</f>
        <v>2393.4340359300008</v>
      </c>
      <c r="EH213" s="102">
        <v>0</v>
      </c>
      <c r="EI213" s="102">
        <v>0</v>
      </c>
      <c r="EJ213" s="102">
        <v>0</v>
      </c>
      <c r="EK213" s="102">
        <v>0</v>
      </c>
      <c r="EL213" s="102">
        <v>0</v>
      </c>
      <c r="EM213" s="102">
        <v>0</v>
      </c>
      <c r="EN213" s="102">
        <v>0</v>
      </c>
      <c r="EO213" s="102">
        <v>0</v>
      </c>
      <c r="EP213" s="102">
        <v>0</v>
      </c>
      <c r="EQ213" s="102">
        <v>0</v>
      </c>
      <c r="ER213" s="102">
        <v>0</v>
      </c>
      <c r="ES213" s="102">
        <v>0</v>
      </c>
      <c r="EU213" s="102">
        <v>320.82846363974249</v>
      </c>
      <c r="EV213" s="102">
        <v>97.658452641659849</v>
      </c>
      <c r="EW213" s="102">
        <v>-70.889210136999964</v>
      </c>
      <c r="EX213" s="102">
        <v>252.73657387424515</v>
      </c>
      <c r="EY213" s="102">
        <v>380.51030391839907</v>
      </c>
      <c r="EZ213" s="102">
        <v>634.24871927197194</v>
      </c>
      <c r="FA213" s="102">
        <v>1402.4831522960339</v>
      </c>
      <c r="FB213" s="102">
        <v>2673.3732555796605</v>
      </c>
      <c r="FC213" s="102">
        <v>3448.3360404503287</v>
      </c>
      <c r="FD213" s="102">
        <v>4369.6989788850633</v>
      </c>
      <c r="FE213" s="102">
        <v>5188.958920628751</v>
      </c>
      <c r="FF213" s="102">
        <v>5764.1386020821592</v>
      </c>
      <c r="FG213" s="102">
        <v>102.06970981999588</v>
      </c>
      <c r="FH213" s="102">
        <v>102.06970981999588</v>
      </c>
      <c r="FI213" s="102">
        <v>102.06970981999588</v>
      </c>
      <c r="FJ213" s="102">
        <v>102.06970981999588</v>
      </c>
      <c r="FK213" s="102">
        <v>102.06970981999588</v>
      </c>
      <c r="FL213" s="102">
        <v>102.06970981999588</v>
      </c>
      <c r="FM213" s="102">
        <v>102.06970981999588</v>
      </c>
      <c r="FN213" s="102">
        <v>102.06970981999588</v>
      </c>
      <c r="FO213" s="102">
        <v>102.06970981999588</v>
      </c>
      <c r="FP213" s="102">
        <v>102.06970981999588</v>
      </c>
      <c r="FQ213" s="102">
        <v>102.06970981999588</v>
      </c>
      <c r="FR213" s="102">
        <v>102.06970981999588</v>
      </c>
      <c r="FS213" s="102">
        <v>-170.32869399228827</v>
      </c>
      <c r="FT213" s="102">
        <v>13.474596081058502</v>
      </c>
      <c r="FU213" s="102">
        <v>175.90189499514938</v>
      </c>
      <c r="FV213" s="102">
        <v>320.44168569257459</v>
      </c>
      <c r="FW213" s="102">
        <v>454.05443840907191</v>
      </c>
      <c r="FX213" s="102">
        <v>591.95979770269741</v>
      </c>
      <c r="FY213" s="102">
        <v>746.44098699447284</v>
      </c>
      <c r="FZ213" s="102">
        <v>653.97698250533074</v>
      </c>
      <c r="GA213" s="102">
        <v>503.27249177500966</v>
      </c>
      <c r="GB213" s="102">
        <v>292.85015438468855</v>
      </c>
      <c r="GC213" s="102">
        <v>139.95885886457748</v>
      </c>
      <c r="GD213" s="102">
        <v>-68.761796221340475</v>
      </c>
      <c r="GE213" s="102">
        <v>0</v>
      </c>
      <c r="GF213" s="102">
        <v>0</v>
      </c>
      <c r="GG213" s="102">
        <v>0</v>
      </c>
      <c r="GH213" s="102">
        <v>0</v>
      </c>
      <c r="GI213" s="102">
        <v>0</v>
      </c>
      <c r="GJ213" s="102">
        <v>0</v>
      </c>
      <c r="GK213" s="102">
        <v>0</v>
      </c>
      <c r="GL213" s="102">
        <v>0</v>
      </c>
      <c r="GM213" s="102">
        <v>0</v>
      </c>
      <c r="GN213" s="102">
        <v>0</v>
      </c>
      <c r="GO213" s="102">
        <v>0</v>
      </c>
      <c r="GP213" s="102">
        <v>0</v>
      </c>
      <c r="GQ213" s="102">
        <v>0</v>
      </c>
      <c r="GR213" s="102">
        <v>0</v>
      </c>
      <c r="GS213" s="102">
        <v>0</v>
      </c>
      <c r="GT213" s="102">
        <v>0</v>
      </c>
      <c r="GU213" s="102">
        <v>0</v>
      </c>
      <c r="GV213" s="102">
        <v>0</v>
      </c>
      <c r="GW213" s="102">
        <v>0</v>
      </c>
      <c r="GX213" s="102">
        <v>0</v>
      </c>
      <c r="GY213" s="102">
        <v>0</v>
      </c>
      <c r="GZ213" s="102">
        <v>0</v>
      </c>
      <c r="HA213" s="102">
        <v>0</v>
      </c>
      <c r="HB213" s="102">
        <v>0</v>
      </c>
      <c r="HD213" s="102">
        <f t="shared" si="1068"/>
        <v>6090.0670461600048</v>
      </c>
      <c r="HE213" s="102">
        <f t="shared" si="1068"/>
        <v>6050.1746752600029</v>
      </c>
      <c r="HF213" s="102">
        <f t="shared" si="1068"/>
        <v>6759.5068970399998</v>
      </c>
      <c r="HG213" s="102">
        <f t="shared" si="1068"/>
        <v>-3054.6221226499993</v>
      </c>
      <c r="HH213" s="102">
        <f t="shared" si="1069"/>
        <v>-4730.5575491399995</v>
      </c>
      <c r="HI213" s="102">
        <f t="shared" si="1070"/>
        <v>1261.946969130001</v>
      </c>
      <c r="HJ213" s="102">
        <f t="shared" si="961"/>
        <v>307.77561022000054</v>
      </c>
      <c r="HK213" s="102">
        <f t="shared" si="962"/>
        <v>1540.1022638399986</v>
      </c>
      <c r="HL213" s="940">
        <f>+SUMIFS($E213:SEW213,$E$6:SEW$6,HL$7,$E$5:SEW$5,12)</f>
        <v>-200.51657583000036</v>
      </c>
      <c r="HM213" s="940">
        <f>+SUMIFS($E213:SEX213,$E$6:SEX$6,HM$7,$E$5:SEX$5,12)</f>
        <v>698.44218665999961</v>
      </c>
      <c r="HN213" s="940">
        <f>+SUMIFS($E213:SEY213,$E$6:SEY$6,HN$7,$E$5:SEY$5,12)</f>
        <v>2393.4340359300008</v>
      </c>
      <c r="HO213" s="102"/>
      <c r="HP213" s="102"/>
      <c r="HR213" s="929">
        <f t="shared" si="1071"/>
        <v>0.1172416103423517</v>
      </c>
      <c r="HS213" s="929">
        <f t="shared" si="1072"/>
        <v>-1.4519001414123305</v>
      </c>
      <c r="HT213" s="929">
        <f t="shared" si="1073"/>
        <v>0.54865556497576318</v>
      </c>
      <c r="HU213" s="929">
        <f t="shared" si="1074"/>
        <v>-1.2667649544522335</v>
      </c>
      <c r="HV213" s="929">
        <f t="shared" si="1075"/>
        <v>-0.75611050404742119</v>
      </c>
      <c r="HW213" s="929">
        <f t="shared" si="1076"/>
        <v>4.0039776145326158</v>
      </c>
      <c r="HX213" s="929">
        <f t="shared" si="1077"/>
        <v>-1.1301969229822728</v>
      </c>
      <c r="HY213" s="929">
        <f t="shared" si="1077"/>
        <v>-4.4832142119369962</v>
      </c>
      <c r="HZ213" s="929">
        <f t="shared" si="1077"/>
        <v>2.4268176831865973</v>
      </c>
      <c r="IA213" s="929">
        <f t="shared" si="1036"/>
        <v>-1</v>
      </c>
      <c r="IB213" s="929" t="str">
        <f t="shared" si="1078"/>
        <v/>
      </c>
      <c r="IC213" s="929">
        <f t="shared" si="1037"/>
        <v>-1</v>
      </c>
      <c r="IE213" s="102">
        <f t="shared" si="1079"/>
        <v>709.33222177999687</v>
      </c>
      <c r="IF213" s="102">
        <f t="shared" si="1080"/>
        <v>-9814.129019689999</v>
      </c>
      <c r="IG213" s="102">
        <f t="shared" si="1081"/>
        <v>-1675.9354264900003</v>
      </c>
      <c r="IH213" s="102">
        <f t="shared" si="1082"/>
        <v>5992.5045182700005</v>
      </c>
      <c r="II213" s="102">
        <f t="shared" si="1045"/>
        <v>-954.17135891000044</v>
      </c>
      <c r="IJ213" s="102">
        <f t="shared" si="1046"/>
        <v>1232.3266536199981</v>
      </c>
      <c r="IK213" s="102">
        <f t="shared" si="1047"/>
        <v>-1740.618839669999</v>
      </c>
      <c r="IL213" s="102">
        <f t="shared" si="1038"/>
        <v>200.51657583000036</v>
      </c>
      <c r="IM213" s="102">
        <f t="shared" si="1083"/>
        <v>0</v>
      </c>
      <c r="IN213" s="102">
        <f t="shared" si="1039"/>
        <v>200.51657583000036</v>
      </c>
      <c r="IP213" s="973"/>
      <c r="IQ213" s="973"/>
      <c r="IR213" s="973"/>
      <c r="IS213" s="973"/>
      <c r="IT213" s="973"/>
      <c r="IU213" s="973"/>
      <c r="IV213" s="973"/>
      <c r="IW213" s="973"/>
      <c r="IX213" s="973"/>
      <c r="IY213" s="973"/>
      <c r="JA213" s="102">
        <f t="shared" si="1084"/>
        <v>6090.0670461600048</v>
      </c>
      <c r="JB213" s="102">
        <f t="shared" si="1084"/>
        <v>6050.1746752600029</v>
      </c>
      <c r="JC213" s="102">
        <f t="shared" si="1084"/>
        <v>6759.5068970399998</v>
      </c>
      <c r="JD213" s="102">
        <f t="shared" si="1084"/>
        <v>-3054.6221226499993</v>
      </c>
      <c r="JE213" s="102">
        <f t="shared" si="1084"/>
        <v>-4730.5575491399995</v>
      </c>
      <c r="JF213" s="102">
        <f t="shared" si="1084"/>
        <v>1261.946969130001</v>
      </c>
      <c r="JG213" s="102">
        <f t="shared" si="1084"/>
        <v>307.77561022000054</v>
      </c>
      <c r="JH213" s="102">
        <f t="shared" si="1084"/>
        <v>1540.1022638399986</v>
      </c>
      <c r="JI213" s="102">
        <f t="shared" si="1084"/>
        <v>-200.51657583000036</v>
      </c>
      <c r="JJ213" s="102">
        <f t="shared" si="1084"/>
        <v>698.44218665999961</v>
      </c>
      <c r="JK213" s="102">
        <f t="shared" si="1084"/>
        <v>2393.4340359300008</v>
      </c>
      <c r="JL213" s="102">
        <f t="shared" si="1085"/>
        <v>2393.4340359300008</v>
      </c>
      <c r="JM213" s="102"/>
      <c r="JN213" s="102"/>
      <c r="JP213" s="102">
        <f t="shared" si="1086"/>
        <v>0</v>
      </c>
      <c r="JQ213" s="102">
        <f t="shared" si="1087"/>
        <v>0</v>
      </c>
      <c r="JR213" s="145"/>
      <c r="JS213" s="929" t="str">
        <f t="shared" si="1088"/>
        <v>NA</v>
      </c>
      <c r="JT213" s="930">
        <f t="shared" si="1089"/>
        <v>0</v>
      </c>
      <c r="JV213" s="973"/>
      <c r="JW213" s="973"/>
      <c r="JY213" s="929">
        <f t="shared" si="1112"/>
        <v>0.1172416103423517</v>
      </c>
      <c r="JZ213" s="929">
        <f t="shared" si="1113"/>
        <v>-1.4519001414123305</v>
      </c>
      <c r="KA213" s="929">
        <f t="shared" si="1114"/>
        <v>0.54865556497576318</v>
      </c>
      <c r="KB213" s="929">
        <f t="shared" si="1115"/>
        <v>-1.2667649544522335</v>
      </c>
      <c r="KC213" s="929">
        <f t="shared" si="1116"/>
        <v>-0.75611050404742119</v>
      </c>
      <c r="KD213" s="929">
        <f t="shared" si="1117"/>
        <v>4.0039776145326158</v>
      </c>
      <c r="KE213" s="929">
        <f t="shared" si="1118"/>
        <v>-1.1301969229822728</v>
      </c>
      <c r="KF213" s="929">
        <f t="shared" si="1119"/>
        <v>-1</v>
      </c>
      <c r="KH213" s="102">
        <f t="shared" si="1091"/>
        <v>709.33222177999687</v>
      </c>
      <c r="KI213" s="102">
        <f t="shared" si="1092"/>
        <v>-9814.129019689999</v>
      </c>
      <c r="KJ213" s="102">
        <f t="shared" si="1093"/>
        <v>-1675.9354264900003</v>
      </c>
      <c r="KK213" s="102">
        <f t="shared" si="1094"/>
        <v>5992.5045182700005</v>
      </c>
      <c r="KL213" s="102">
        <f t="shared" si="1095"/>
        <v>-954.17135891000044</v>
      </c>
      <c r="KM213" s="102">
        <f t="shared" si="1096"/>
        <v>1232.3266536199981</v>
      </c>
      <c r="KN213" s="102">
        <f t="shared" si="1097"/>
        <v>-1740.618839669999</v>
      </c>
      <c r="KO213" s="102">
        <f t="shared" si="1098"/>
        <v>200.51657583000036</v>
      </c>
      <c r="KQ213" s="973"/>
      <c r="KR213" s="973"/>
      <c r="KS213" s="973"/>
      <c r="KT213" s="973"/>
      <c r="KU213" s="973"/>
      <c r="KV213" s="973"/>
      <c r="KW213" s="973"/>
      <c r="KX213" s="973"/>
      <c r="KY213" s="973"/>
      <c r="KZ213" s="973"/>
      <c r="LB213" s="102">
        <f t="shared" si="1099"/>
        <v>6090.0670461600048</v>
      </c>
      <c r="LC213" s="102">
        <f t="shared" si="1099"/>
        <v>6050.1746752600029</v>
      </c>
      <c r="LD213" s="102">
        <f t="shared" si="1099"/>
        <v>6759.5068970399998</v>
      </c>
      <c r="LE213" s="102">
        <f t="shared" si="1099"/>
        <v>-3054.6221226499993</v>
      </c>
      <c r="LF213" s="102">
        <f t="shared" si="1099"/>
        <v>-4730.5575491399995</v>
      </c>
      <c r="LG213" s="102">
        <f t="shared" si="1099"/>
        <v>1261.946969130001</v>
      </c>
      <c r="LH213" s="102">
        <f t="shared" si="1099"/>
        <v>307.77561022000054</v>
      </c>
      <c r="LI213" s="102">
        <f t="shared" si="1099"/>
        <v>1540.1022638399986</v>
      </c>
      <c r="LJ213" s="102">
        <f t="shared" si="1099"/>
        <v>-200.51657583000036</v>
      </c>
      <c r="LK213" s="102">
        <f t="shared" si="1099"/>
        <v>698.44218665999961</v>
      </c>
      <c r="LL213" s="102">
        <f t="shared" si="1099"/>
        <v>2393.4340359300008</v>
      </c>
      <c r="LM213" s="102">
        <f t="shared" si="1099"/>
        <v>2393.4340359300008</v>
      </c>
      <c r="LN213" s="102"/>
      <c r="LO213" s="102"/>
      <c r="LR213" s="32">
        <f t="shared" si="1100"/>
        <v>0.1172416103423517</v>
      </c>
      <c r="LS213" s="32">
        <f t="shared" si="1101"/>
        <v>-1.4519001414123305</v>
      </c>
      <c r="LT213" s="32">
        <f t="shared" si="1102"/>
        <v>0.54865556497576318</v>
      </c>
      <c r="LU213" s="32">
        <f t="shared" si="1103"/>
        <v>-1.2667649544522335</v>
      </c>
      <c r="LV213" s="32">
        <f t="shared" si="1104"/>
        <v>-0.75611050404742119</v>
      </c>
      <c r="LW213" s="32">
        <f t="shared" si="1105"/>
        <v>4.0039776145326158</v>
      </c>
      <c r="LX213" s="32">
        <f t="shared" ref="LX213:LX218" si="1132">+IFERROR(LO213/LI213-1," ")</f>
        <v>-1</v>
      </c>
      <c r="LZ213" s="102">
        <f t="shared" si="1106"/>
        <v>709.33222177999687</v>
      </c>
      <c r="MA213" s="102">
        <f t="shared" si="1107"/>
        <v>-9814.129019689999</v>
      </c>
      <c r="MB213" s="102">
        <f t="shared" si="1108"/>
        <v>-1675.9354264900003</v>
      </c>
      <c r="MC213" s="102">
        <f t="shared" si="1109"/>
        <v>5992.5045182700005</v>
      </c>
      <c r="MD213" s="102">
        <f t="shared" si="1110"/>
        <v>-954.17135891000044</v>
      </c>
      <c r="ME213" s="102">
        <f t="shared" si="1111"/>
        <v>1232.3266536199981</v>
      </c>
      <c r="MF213" s="102">
        <f t="shared" ref="MF213:MF219" si="1133">+LO213-LI213</f>
        <v>-1540.1022638399986</v>
      </c>
      <c r="MH213" s="973"/>
      <c r="MI213" s="973"/>
      <c r="MJ213" s="973"/>
      <c r="MK213" s="973"/>
      <c r="ML213" s="973"/>
      <c r="MM213" s="973"/>
      <c r="MN213" s="973"/>
      <c r="MO213" s="973"/>
      <c r="MP213" s="973"/>
    </row>
    <row r="214" spans="1:354" outlineLevel="1">
      <c r="A214" s="884">
        <v>37</v>
      </c>
      <c r="B214" s="70" t="s">
        <v>762</v>
      </c>
      <c r="C214" s="17" t="s">
        <v>158</v>
      </c>
      <c r="D214" s="31" t="s">
        <v>59</v>
      </c>
      <c r="E214" s="102">
        <v>3272.0063786300002</v>
      </c>
      <c r="F214" s="102">
        <v>3272.0063786300002</v>
      </c>
      <c r="G214" s="102">
        <v>3272.0063786300002</v>
      </c>
      <c r="H214" s="102">
        <v>3272.0063786300002</v>
      </c>
      <c r="I214" s="102">
        <v>3272.0063786300002</v>
      </c>
      <c r="J214" s="102">
        <v>3272.0063786300002</v>
      </c>
      <c r="K214" s="102">
        <v>3272.0063786300002</v>
      </c>
      <c r="L214" s="102">
        <v>3272.0063786300002</v>
      </c>
      <c r="M214" s="102">
        <v>3272.0063786300002</v>
      </c>
      <c r="N214" s="102">
        <v>3272.0063786300002</v>
      </c>
      <c r="O214" s="102">
        <v>3272.0063786300002</v>
      </c>
      <c r="P214" s="102">
        <v>0</v>
      </c>
      <c r="Q214" s="102">
        <v>6090.0670461600002</v>
      </c>
      <c r="R214" s="102">
        <v>6090.0670461600002</v>
      </c>
      <c r="S214" s="102">
        <v>6090.0670461600002</v>
      </c>
      <c r="T214" s="102">
        <v>0</v>
      </c>
      <c r="U214" s="102">
        <v>0</v>
      </c>
      <c r="V214" s="102">
        <v>0</v>
      </c>
      <c r="W214" s="102">
        <v>0</v>
      </c>
      <c r="X214" s="102">
        <v>0</v>
      </c>
      <c r="Y214" s="102">
        <v>0</v>
      </c>
      <c r="Z214" s="102">
        <v>0</v>
      </c>
      <c r="AA214" s="102">
        <v>0</v>
      </c>
      <c r="AB214" s="102">
        <v>0</v>
      </c>
      <c r="AC214" s="102">
        <v>0</v>
      </c>
      <c r="AD214" s="102">
        <v>0</v>
      </c>
      <c r="AE214" s="102">
        <v>0</v>
      </c>
      <c r="AF214" s="102">
        <v>0</v>
      </c>
      <c r="AG214" s="102">
        <v>0</v>
      </c>
      <c r="AH214" s="102">
        <v>0</v>
      </c>
      <c r="AI214" s="102">
        <v>0</v>
      </c>
      <c r="AJ214" s="102">
        <v>0</v>
      </c>
      <c r="AK214" s="102">
        <v>0</v>
      </c>
      <c r="AL214" s="102">
        <v>0</v>
      </c>
      <c r="AM214" s="102">
        <v>0</v>
      </c>
      <c r="AN214" s="102">
        <v>0</v>
      </c>
      <c r="AO214" s="102">
        <v>0</v>
      </c>
      <c r="AP214" s="145">
        <v>0</v>
      </c>
      <c r="AQ214" s="143">
        <v>0</v>
      </c>
      <c r="AR214" s="143">
        <v>0</v>
      </c>
      <c r="AS214" s="102">
        <v>0</v>
      </c>
      <c r="AT214" s="102">
        <v>0</v>
      </c>
      <c r="AU214" s="102">
        <v>0</v>
      </c>
      <c r="AV214" s="102">
        <v>0</v>
      </c>
      <c r="AW214" s="102">
        <v>0</v>
      </c>
      <c r="AX214" s="102">
        <v>0</v>
      </c>
      <c r="AY214" s="102">
        <v>0</v>
      </c>
      <c r="AZ214" s="102">
        <v>6350.3871234999997</v>
      </c>
      <c r="BA214" s="102">
        <v>3295.8107610000002</v>
      </c>
      <c r="BB214" s="102">
        <v>3295.8107614199998</v>
      </c>
      <c r="BC214" s="102">
        <v>3295.8107614199998</v>
      </c>
      <c r="BD214" s="102">
        <v>3295.8107614199998</v>
      </c>
      <c r="BE214" s="102">
        <v>3295.8107614199998</v>
      </c>
      <c r="BF214" s="102">
        <v>3295.8107614199998</v>
      </c>
      <c r="BG214" s="102">
        <v>3295.8107614199998</v>
      </c>
      <c r="BH214" s="102">
        <v>3295.8107614199998</v>
      </c>
      <c r="BI214" s="102">
        <v>3153.86111742</v>
      </c>
      <c r="BJ214" s="102">
        <v>3153.86111742</v>
      </c>
      <c r="BK214" s="102">
        <v>3153.86111742</v>
      </c>
      <c r="BL214" s="102">
        <v>3393.86111742</v>
      </c>
      <c r="BM214" s="102">
        <v>-1026.4325892800043</v>
      </c>
      <c r="BN214" s="102">
        <f>+BM214</f>
        <v>-1026.4325892800043</v>
      </c>
      <c r="BO214" s="102">
        <f>+BN214</f>
        <v>-1026.4325892800043</v>
      </c>
      <c r="BP214" s="102">
        <f>+BO214</f>
        <v>-1026.4325892800043</v>
      </c>
      <c r="BQ214" s="102">
        <f>+BP214</f>
        <v>-1026.4325892800043</v>
      </c>
      <c r="BR214" s="102">
        <f>+BQ214</f>
        <v>-1026.4325892800043</v>
      </c>
      <c r="BS214" s="102">
        <f t="shared" ref="BS214:BX214" si="1134">+BR214</f>
        <v>-1026.4325892800043</v>
      </c>
      <c r="BT214" s="102">
        <f t="shared" si="1134"/>
        <v>-1026.4325892800043</v>
      </c>
      <c r="BU214" s="102">
        <f t="shared" si="1134"/>
        <v>-1026.4325892800043</v>
      </c>
      <c r="BV214" s="102">
        <f t="shared" si="1134"/>
        <v>-1026.4325892800043</v>
      </c>
      <c r="BW214" s="102">
        <f t="shared" si="1134"/>
        <v>-1026.4325892800043</v>
      </c>
      <c r="BX214" s="102">
        <f t="shared" si="1134"/>
        <v>-1026.4325892800043</v>
      </c>
      <c r="BY214" s="102">
        <f t="shared" ref="BY214" si="1135">+BX213+BX214</f>
        <v>235.51437984999666</v>
      </c>
      <c r="BZ214" s="102">
        <f t="shared" ref="BZ214:CJ214" si="1136">+BY214</f>
        <v>235.51437984999666</v>
      </c>
      <c r="CA214" s="102">
        <f t="shared" si="1136"/>
        <v>235.51437984999666</v>
      </c>
      <c r="CB214" s="102">
        <f t="shared" si="1136"/>
        <v>235.51437984999666</v>
      </c>
      <c r="CC214" s="102">
        <f t="shared" si="1136"/>
        <v>235.51437984999666</v>
      </c>
      <c r="CD214" s="102">
        <f t="shared" si="1136"/>
        <v>235.51437984999666</v>
      </c>
      <c r="CE214" s="102">
        <f t="shared" si="1136"/>
        <v>235.51437984999666</v>
      </c>
      <c r="CF214" s="102">
        <f t="shared" si="1136"/>
        <v>235.51437984999666</v>
      </c>
      <c r="CG214" s="102">
        <f t="shared" si="1136"/>
        <v>235.51437984999666</v>
      </c>
      <c r="CH214" s="102">
        <f t="shared" si="1136"/>
        <v>235.51437984999666</v>
      </c>
      <c r="CI214" s="102">
        <f t="shared" si="1136"/>
        <v>235.51437984999666</v>
      </c>
      <c r="CJ214" s="102">
        <f t="shared" si="1136"/>
        <v>235.51437984999666</v>
      </c>
      <c r="CK214" s="102">
        <f t="shared" ref="CK214" si="1137">+CJ213+CJ214</f>
        <v>543.2899900699972</v>
      </c>
      <c r="CL214" s="102">
        <f t="shared" ref="CL214:CV214" si="1138">+CK214</f>
        <v>543.2899900699972</v>
      </c>
      <c r="CM214" s="102">
        <f t="shared" si="1138"/>
        <v>543.2899900699972</v>
      </c>
      <c r="CN214" s="102">
        <f t="shared" si="1138"/>
        <v>543.2899900699972</v>
      </c>
      <c r="CO214" s="102">
        <f t="shared" si="1138"/>
        <v>543.2899900699972</v>
      </c>
      <c r="CP214" s="102">
        <f t="shared" si="1138"/>
        <v>543.2899900699972</v>
      </c>
      <c r="CQ214" s="102">
        <f t="shared" si="1138"/>
        <v>543.2899900699972</v>
      </c>
      <c r="CR214" s="102">
        <f t="shared" si="1138"/>
        <v>543.2899900699972</v>
      </c>
      <c r="CS214" s="102">
        <f t="shared" si="1138"/>
        <v>543.2899900699972</v>
      </c>
      <c r="CT214" s="102">
        <f t="shared" si="1138"/>
        <v>543.2899900699972</v>
      </c>
      <c r="CU214" s="102">
        <f t="shared" si="1138"/>
        <v>543.2899900699972</v>
      </c>
      <c r="CV214" s="102">
        <f t="shared" si="1138"/>
        <v>543.2899900699972</v>
      </c>
      <c r="CW214" s="102">
        <f>+CV214+CV213</f>
        <v>2083.3922539099958</v>
      </c>
      <c r="CX214" s="102">
        <f>(+CW214)+0.00574686000436486</f>
        <v>2083.3980007700002</v>
      </c>
      <c r="CY214" s="102">
        <f t="shared" ref="CY214:DP214" si="1139">+CX214</f>
        <v>2083.3980007700002</v>
      </c>
      <c r="CZ214" s="102">
        <f t="shared" si="1139"/>
        <v>2083.3980007700002</v>
      </c>
      <c r="DA214" s="102">
        <f t="shared" si="1139"/>
        <v>2083.3980007700002</v>
      </c>
      <c r="DB214" s="102">
        <f t="shared" si="1139"/>
        <v>2083.3980007700002</v>
      </c>
      <c r="DC214" s="102">
        <f t="shared" si="1139"/>
        <v>2083.3980007700002</v>
      </c>
      <c r="DD214" s="102">
        <f t="shared" si="1139"/>
        <v>2083.3980007700002</v>
      </c>
      <c r="DE214" s="102">
        <f t="shared" si="1139"/>
        <v>2083.3980007700002</v>
      </c>
      <c r="DF214" s="102">
        <f t="shared" si="1139"/>
        <v>2083.3980007700002</v>
      </c>
      <c r="DG214" s="102">
        <f t="shared" si="1139"/>
        <v>2083.3980007700002</v>
      </c>
      <c r="DH214" s="102">
        <f t="shared" si="1139"/>
        <v>2083.3980007700002</v>
      </c>
      <c r="DI214" s="102">
        <f>+DH214+DH213</f>
        <v>1882.8814249399998</v>
      </c>
      <c r="DJ214" s="102">
        <f t="shared" si="1139"/>
        <v>1882.8814249399998</v>
      </c>
      <c r="DK214" s="102">
        <f t="shared" si="1139"/>
        <v>1882.8814249399998</v>
      </c>
      <c r="DL214" s="102">
        <f t="shared" si="1139"/>
        <v>1882.8814249399998</v>
      </c>
      <c r="DM214" s="102">
        <f t="shared" si="1139"/>
        <v>1882.8814249399998</v>
      </c>
      <c r="DN214" s="102">
        <f t="shared" si="1139"/>
        <v>1882.8814249399998</v>
      </c>
      <c r="DO214" s="102">
        <f t="shared" si="1139"/>
        <v>1882.8814249399998</v>
      </c>
      <c r="DP214" s="102">
        <f t="shared" si="1139"/>
        <v>1882.8814249399998</v>
      </c>
      <c r="DQ214" s="940">
        <v>1297.6583089400028</v>
      </c>
      <c r="DR214" s="940">
        <f t="shared" ref="DR214:EE214" si="1140">+DQ214</f>
        <v>1297.6583089400028</v>
      </c>
      <c r="DS214" s="940">
        <f t="shared" si="1140"/>
        <v>1297.6583089400028</v>
      </c>
      <c r="DT214" s="940">
        <f t="shared" si="1140"/>
        <v>1297.6583089400028</v>
      </c>
      <c r="DU214" s="940">
        <f>DT214+DT213</f>
        <v>1996.1004956000024</v>
      </c>
      <c r="DV214" s="940">
        <f t="shared" si="1140"/>
        <v>1996.1004956000024</v>
      </c>
      <c r="DW214" s="940">
        <f t="shared" si="1140"/>
        <v>1996.1004956000024</v>
      </c>
      <c r="DX214" s="940">
        <f t="shared" si="1140"/>
        <v>1996.1004956000024</v>
      </c>
      <c r="DY214" s="940">
        <f t="shared" si="1140"/>
        <v>1996.1004956000024</v>
      </c>
      <c r="DZ214" s="940">
        <f t="shared" si="1140"/>
        <v>1996.1004956000024</v>
      </c>
      <c r="EA214" s="940">
        <f t="shared" si="1140"/>
        <v>1996.1004956000024</v>
      </c>
      <c r="EB214" s="940">
        <f t="shared" si="1140"/>
        <v>1996.1004956000024</v>
      </c>
      <c r="EC214" s="940">
        <f t="shared" si="1140"/>
        <v>1996.1004956000024</v>
      </c>
      <c r="ED214" s="940">
        <f t="shared" si="1140"/>
        <v>1996.1004956000024</v>
      </c>
      <c r="EE214" s="940">
        <f t="shared" si="1140"/>
        <v>1996.1004956000024</v>
      </c>
      <c r="EF214" s="940">
        <f>(+EE214)+-998.050499000001</f>
        <v>998.04999660000146</v>
      </c>
      <c r="EH214" s="102">
        <v>0</v>
      </c>
      <c r="EI214" s="102">
        <v>0</v>
      </c>
      <c r="EJ214" s="102">
        <v>0</v>
      </c>
      <c r="EK214" s="102">
        <v>0</v>
      </c>
      <c r="EL214" s="102">
        <v>0</v>
      </c>
      <c r="EM214" s="102">
        <v>0</v>
      </c>
      <c r="EN214" s="102">
        <v>0</v>
      </c>
      <c r="EO214" s="102">
        <v>0</v>
      </c>
      <c r="EP214" s="102">
        <v>0</v>
      </c>
      <c r="EQ214" s="102">
        <v>0</v>
      </c>
      <c r="ER214" s="102">
        <v>0</v>
      </c>
      <c r="ES214" s="102">
        <v>0</v>
      </c>
      <c r="EU214" s="102">
        <v>7134.198359410002</v>
      </c>
      <c r="EV214" s="102">
        <v>7134.198359410002</v>
      </c>
      <c r="EW214" s="102">
        <v>7134.198359410002</v>
      </c>
      <c r="EX214" s="102">
        <v>7134.198359410002</v>
      </c>
      <c r="EY214" s="102">
        <v>7134.198359410002</v>
      </c>
      <c r="EZ214" s="102">
        <v>7134.198359410002</v>
      </c>
      <c r="FA214" s="102">
        <v>4637.2289336165013</v>
      </c>
      <c r="FB214" s="102">
        <v>4637.2289336165013</v>
      </c>
      <c r="FC214" s="102">
        <v>4637.2289336165013</v>
      </c>
      <c r="FD214" s="102">
        <v>4637.2289336165013</v>
      </c>
      <c r="FE214" s="102">
        <v>2140.2595078230006</v>
      </c>
      <c r="FF214" s="102">
        <v>2140.2595078230006</v>
      </c>
      <c r="FG214" s="102">
        <v>-385.87622524927878</v>
      </c>
      <c r="FH214" s="102">
        <v>-624.50018047010155</v>
      </c>
      <c r="FI214" s="102">
        <v>-324.69091853249898</v>
      </c>
      <c r="FJ214" s="102">
        <v>-654.28523493674606</v>
      </c>
      <c r="FK214" s="102">
        <v>-714.12137590040163</v>
      </c>
      <c r="FL214" s="102">
        <v>-555.53154854897741</v>
      </c>
      <c r="FM214" s="102">
        <v>-325.92167439775386</v>
      </c>
      <c r="FN214" s="102">
        <v>-18.694339252367197</v>
      </c>
      <c r="FO214" s="102">
        <v>165.94217653799404</v>
      </c>
      <c r="FP214" s="102">
        <v>367.72319454629343</v>
      </c>
      <c r="FQ214" s="102">
        <v>519.47754735520391</v>
      </c>
      <c r="FR214" s="102">
        <v>554.29999316140891</v>
      </c>
      <c r="FS214" s="102">
        <v>-2917.1515339999996</v>
      </c>
      <c r="FT214" s="102">
        <v>-2917.1515339999996</v>
      </c>
      <c r="FU214" s="102">
        <v>-2917.1515339999996</v>
      </c>
      <c r="FV214" s="102">
        <v>-2917.1515339999996</v>
      </c>
      <c r="FW214" s="102">
        <v>-2917.1515339999996</v>
      </c>
      <c r="FX214" s="102">
        <v>-2917.1515339999996</v>
      </c>
      <c r="FY214" s="102">
        <v>-2917.1515339999996</v>
      </c>
      <c r="FZ214" s="102">
        <v>-2917.1515339999996</v>
      </c>
      <c r="GA214" s="102">
        <v>-2917.1515339999996</v>
      </c>
      <c r="GB214" s="102">
        <v>-2917.1515339999996</v>
      </c>
      <c r="GC214" s="102">
        <v>-2917.1515339999996</v>
      </c>
      <c r="GD214" s="102">
        <v>-2917.1515339999996</v>
      </c>
      <c r="GE214" s="102">
        <v>0</v>
      </c>
      <c r="GF214" s="102">
        <v>0</v>
      </c>
      <c r="GG214" s="102">
        <v>0</v>
      </c>
      <c r="GH214" s="102">
        <v>0</v>
      </c>
      <c r="GI214" s="102">
        <v>0</v>
      </c>
      <c r="GJ214" s="102">
        <v>0</v>
      </c>
      <c r="GK214" s="102">
        <v>0</v>
      </c>
      <c r="GL214" s="102">
        <v>0</v>
      </c>
      <c r="GM214" s="102">
        <v>0</v>
      </c>
      <c r="GN214" s="102">
        <v>0</v>
      </c>
      <c r="GO214" s="102">
        <v>0</v>
      </c>
      <c r="GP214" s="102">
        <v>0</v>
      </c>
      <c r="GQ214" s="102">
        <v>0</v>
      </c>
      <c r="GR214" s="102">
        <v>0</v>
      </c>
      <c r="GS214" s="102">
        <v>0</v>
      </c>
      <c r="GT214" s="102">
        <v>0</v>
      </c>
      <c r="GU214" s="102">
        <v>0</v>
      </c>
      <c r="GV214" s="102">
        <v>0</v>
      </c>
      <c r="GW214" s="102">
        <v>0</v>
      </c>
      <c r="GX214" s="102">
        <v>0</v>
      </c>
      <c r="GY214" s="102">
        <v>0</v>
      </c>
      <c r="GZ214" s="102">
        <v>0</v>
      </c>
      <c r="HA214" s="102">
        <v>0</v>
      </c>
      <c r="HB214" s="102">
        <v>0</v>
      </c>
      <c r="HD214" s="102">
        <f t="shared" ref="HD214:HG215" si="1141">+SUMIFS($E214:$AZ214,$E$6:$AZ$6,HD$7,$E$5:$AZ$5,12)</f>
        <v>0</v>
      </c>
      <c r="HE214" s="102">
        <f t="shared" si="1141"/>
        <v>0</v>
      </c>
      <c r="HF214" s="102">
        <f t="shared" si="1141"/>
        <v>0</v>
      </c>
      <c r="HG214" s="102">
        <f t="shared" si="1141"/>
        <v>6350.3871234999997</v>
      </c>
      <c r="HH214" s="102">
        <f>+SUMIFS($E214:$BL214,$E$6:$BL$6,HH$7,$E$5:$BL$5,12)</f>
        <v>3393.86111742</v>
      </c>
      <c r="HI214" s="102">
        <f>+SUMIFS($E214:$BX214,$E$6:$BX$6,HI$7,$E$5:$BX$5,12)</f>
        <v>-1026.4325892800043</v>
      </c>
      <c r="HJ214" s="102">
        <f>+SUMIFS($E214:$CJ214,$E$6:$CJ$6,HJ$7,$E$5:$CJ$5,12)</f>
        <v>235.51437984999666</v>
      </c>
      <c r="HK214" s="102">
        <f>+SUMIFS($E214:$CV214,$E$6:$CV$6,HK$7,$E$5:$CV$5,12)</f>
        <v>543.2899900699972</v>
      </c>
      <c r="HL214" s="940">
        <f>+SUMIFS($E214:SEW214,$E$6:SEW$6,HL$7,$E$5:SEW$5,12)</f>
        <v>2083.3980007700002</v>
      </c>
      <c r="HM214" s="940">
        <f>+SUMIFS($E214:SEX214,$E$6:SEX$6,HM$7,$E$5:SEX$5,12)</f>
        <v>1297.6583089400028</v>
      </c>
      <c r="HN214" s="940">
        <f>+SUMIFS($E214:SEY214,$E$6:SEY$6,HN$7,$E$5:SEY$5,12)</f>
        <v>998.04999660000146</v>
      </c>
      <c r="HO214" s="102"/>
      <c r="HP214" s="102"/>
      <c r="HR214" s="929" t="str">
        <f t="shared" si="1071"/>
        <v/>
      </c>
      <c r="HS214" s="929" t="str">
        <f t="shared" si="1072"/>
        <v/>
      </c>
      <c r="HT214" s="929">
        <f t="shared" si="1073"/>
        <v>-0.46556626369110521</v>
      </c>
      <c r="HU214" s="929">
        <f t="shared" si="1074"/>
        <v>-1.3024380060844369</v>
      </c>
      <c r="HV214" s="929">
        <f t="shared" si="1075"/>
        <v>-1.229449437118125</v>
      </c>
      <c r="HW214" s="929">
        <f t="shared" si="1076"/>
        <v>1.3068230076483158</v>
      </c>
      <c r="HX214" s="929">
        <f t="shared" si="1077"/>
        <v>2.8347807595379702</v>
      </c>
      <c r="HY214" s="929">
        <f t="shared" si="1077"/>
        <v>-0.37714334540956496</v>
      </c>
      <c r="HZ214" s="929">
        <f t="shared" si="1077"/>
        <v>-0.23088382378928207</v>
      </c>
      <c r="IA214" s="929">
        <f t="shared" si="1036"/>
        <v>-1</v>
      </c>
      <c r="IB214" s="929" t="str">
        <f>+IFERROR(#REF!/HO214-1,"")</f>
        <v/>
      </c>
      <c r="IC214" s="929" t="str">
        <f>+IFERROR(#REF!/HL214-1,"")</f>
        <v/>
      </c>
      <c r="IE214" s="102">
        <f t="shared" si="1079"/>
        <v>0</v>
      </c>
      <c r="IF214" s="102">
        <f t="shared" si="1080"/>
        <v>6350.3871234999997</v>
      </c>
      <c r="IG214" s="102">
        <f t="shared" si="1081"/>
        <v>-2956.5260060799997</v>
      </c>
      <c r="IH214" s="102">
        <f t="shared" si="1082"/>
        <v>-4420.2937067000039</v>
      </c>
      <c r="II214" s="102">
        <f t="shared" si="1045"/>
        <v>1261.946969130001</v>
      </c>
      <c r="IJ214" s="102">
        <f t="shared" si="1046"/>
        <v>307.77561022000054</v>
      </c>
      <c r="IK214" s="102">
        <f t="shared" si="1047"/>
        <v>1540.108010700003</v>
      </c>
      <c r="IL214" s="102">
        <f t="shared" si="1038"/>
        <v>-2083.3980007700002</v>
      </c>
      <c r="IM214" s="102" t="e">
        <f>+#REF!-HO214</f>
        <v>#REF!</v>
      </c>
      <c r="IN214" s="102" t="e">
        <f>+#REF!-HL214</f>
        <v>#REF!</v>
      </c>
      <c r="IP214" s="973"/>
      <c r="IQ214" s="973"/>
      <c r="IR214" s="973"/>
      <c r="IS214" s="973"/>
      <c r="IT214" s="973"/>
      <c r="IU214" s="973"/>
      <c r="IV214" s="973"/>
      <c r="IW214" s="973"/>
      <c r="IX214" s="973"/>
      <c r="IY214" s="973"/>
      <c r="JA214" s="102">
        <f t="shared" si="1084"/>
        <v>0</v>
      </c>
      <c r="JB214" s="102">
        <f t="shared" si="1084"/>
        <v>0</v>
      </c>
      <c r="JC214" s="102">
        <f t="shared" si="1084"/>
        <v>0</v>
      </c>
      <c r="JD214" s="102">
        <f t="shared" si="1084"/>
        <v>6350.3871234999997</v>
      </c>
      <c r="JE214" s="102">
        <f t="shared" si="1084"/>
        <v>3393.86111742</v>
      </c>
      <c r="JF214" s="102">
        <f t="shared" si="1084"/>
        <v>-1026.4325892800043</v>
      </c>
      <c r="JG214" s="102">
        <f t="shared" si="1084"/>
        <v>235.51437984999666</v>
      </c>
      <c r="JH214" s="102">
        <f t="shared" si="1084"/>
        <v>543.2899900699972</v>
      </c>
      <c r="JI214" s="102">
        <f t="shared" si="1084"/>
        <v>2083.3980007700002</v>
      </c>
      <c r="JJ214" s="102">
        <f t="shared" si="1084"/>
        <v>1297.6583089400028</v>
      </c>
      <c r="JK214" s="102">
        <f t="shared" si="1084"/>
        <v>998.04999660000146</v>
      </c>
      <c r="JL214" s="102">
        <f t="shared" si="1085"/>
        <v>998.04999660000146</v>
      </c>
      <c r="JM214" s="102"/>
      <c r="JN214" s="102"/>
      <c r="JP214" s="102">
        <f t="shared" si="1086"/>
        <v>0</v>
      </c>
      <c r="JQ214" s="102">
        <f t="shared" si="1087"/>
        <v>0</v>
      </c>
      <c r="JR214" s="145"/>
      <c r="JS214" s="929" t="str">
        <f t="shared" si="1088"/>
        <v>NA</v>
      </c>
      <c r="JT214" s="930">
        <f t="shared" si="1089"/>
        <v>0</v>
      </c>
      <c r="JV214" s="973"/>
      <c r="JW214" s="973"/>
      <c r="JY214" s="929" t="str">
        <f t="shared" si="1112"/>
        <v/>
      </c>
      <c r="JZ214" s="929" t="str">
        <f t="shared" si="1113"/>
        <v/>
      </c>
      <c r="KA214" s="929">
        <f t="shared" si="1114"/>
        <v>-0.46556626369110521</v>
      </c>
      <c r="KB214" s="929">
        <f t="shared" si="1115"/>
        <v>-1.3024380060844369</v>
      </c>
      <c r="KC214" s="929">
        <f t="shared" si="1116"/>
        <v>-1.229449437118125</v>
      </c>
      <c r="KD214" s="929">
        <f t="shared" si="1117"/>
        <v>1.3068230076483158</v>
      </c>
      <c r="KE214" s="929">
        <f t="shared" si="1118"/>
        <v>2.8347807595379702</v>
      </c>
      <c r="KF214" s="929">
        <f t="shared" si="1119"/>
        <v>-1</v>
      </c>
      <c r="KH214" s="102">
        <f t="shared" si="1091"/>
        <v>0</v>
      </c>
      <c r="KI214" s="102">
        <f t="shared" si="1092"/>
        <v>6350.3871234999997</v>
      </c>
      <c r="KJ214" s="102">
        <f t="shared" si="1093"/>
        <v>-2956.5260060799997</v>
      </c>
      <c r="KK214" s="102">
        <f t="shared" si="1094"/>
        <v>-4420.2937067000039</v>
      </c>
      <c r="KL214" s="102">
        <f t="shared" si="1095"/>
        <v>1261.946969130001</v>
      </c>
      <c r="KM214" s="102">
        <f t="shared" si="1096"/>
        <v>307.77561022000054</v>
      </c>
      <c r="KN214" s="102">
        <f t="shared" si="1097"/>
        <v>1540.108010700003</v>
      </c>
      <c r="KO214" s="102">
        <f t="shared" si="1098"/>
        <v>-2083.3980007700002</v>
      </c>
      <c r="KQ214" s="973"/>
      <c r="KR214" s="973"/>
      <c r="KS214" s="973"/>
      <c r="KT214" s="973"/>
      <c r="KU214" s="973"/>
      <c r="KV214" s="973"/>
      <c r="KW214" s="973"/>
      <c r="KX214" s="973"/>
      <c r="KY214" s="973"/>
      <c r="KZ214" s="973"/>
      <c r="LB214" s="102">
        <f t="shared" si="1099"/>
        <v>0</v>
      </c>
      <c r="LC214" s="102">
        <f t="shared" si="1099"/>
        <v>0</v>
      </c>
      <c r="LD214" s="102">
        <f t="shared" si="1099"/>
        <v>0</v>
      </c>
      <c r="LE214" s="102">
        <f t="shared" si="1099"/>
        <v>6350.3871234999997</v>
      </c>
      <c r="LF214" s="102">
        <f t="shared" si="1099"/>
        <v>3393.86111742</v>
      </c>
      <c r="LG214" s="102">
        <f t="shared" si="1099"/>
        <v>-1026.4325892800043</v>
      </c>
      <c r="LH214" s="102">
        <f t="shared" si="1099"/>
        <v>235.51437984999666</v>
      </c>
      <c r="LI214" s="102">
        <f t="shared" si="1099"/>
        <v>543.2899900699972</v>
      </c>
      <c r="LJ214" s="102">
        <f t="shared" si="1099"/>
        <v>2083.3980007700002</v>
      </c>
      <c r="LK214" s="102">
        <f t="shared" si="1099"/>
        <v>1297.6583089400028</v>
      </c>
      <c r="LL214" s="102">
        <f t="shared" si="1099"/>
        <v>998.04999660000146</v>
      </c>
      <c r="LM214" s="102">
        <f t="shared" si="1099"/>
        <v>998.04999660000146</v>
      </c>
      <c r="LN214" s="102"/>
      <c r="LO214" s="102"/>
      <c r="LR214" s="32" t="str">
        <f t="shared" si="1100"/>
        <v xml:space="preserve"> </v>
      </c>
      <c r="LS214" s="32" t="str">
        <f t="shared" si="1101"/>
        <v xml:space="preserve"> </v>
      </c>
      <c r="LT214" s="32">
        <f t="shared" si="1102"/>
        <v>-0.46556626369110521</v>
      </c>
      <c r="LU214" s="32">
        <f t="shared" si="1103"/>
        <v>-1.3024380060844369</v>
      </c>
      <c r="LV214" s="32">
        <f t="shared" si="1104"/>
        <v>-1.229449437118125</v>
      </c>
      <c r="LW214" s="32">
        <f t="shared" si="1105"/>
        <v>1.3068230076483158</v>
      </c>
      <c r="LX214" s="32">
        <f t="shared" si="1132"/>
        <v>-1</v>
      </c>
      <c r="LZ214" s="102">
        <f t="shared" si="1106"/>
        <v>0</v>
      </c>
      <c r="MA214" s="102">
        <f t="shared" si="1107"/>
        <v>6350.3871234999997</v>
      </c>
      <c r="MB214" s="102">
        <f t="shared" si="1108"/>
        <v>-2956.5260060799997</v>
      </c>
      <c r="MC214" s="102">
        <f t="shared" si="1109"/>
        <v>-4420.2937067000039</v>
      </c>
      <c r="MD214" s="102">
        <f t="shared" si="1110"/>
        <v>1261.946969130001</v>
      </c>
      <c r="ME214" s="102">
        <f t="shared" si="1111"/>
        <v>307.77561022000054</v>
      </c>
      <c r="MF214" s="102">
        <f t="shared" si="1133"/>
        <v>-543.2899900699972</v>
      </c>
      <c r="MH214" s="973"/>
      <c r="MI214" s="973"/>
      <c r="MJ214" s="973"/>
      <c r="MK214" s="973"/>
      <c r="ML214" s="973"/>
      <c r="MM214" s="973"/>
      <c r="MN214" s="973"/>
      <c r="MO214" s="973"/>
      <c r="MP214" s="973"/>
    </row>
    <row r="215" spans="1:354" outlineLevel="1">
      <c r="A215" s="884">
        <v>38</v>
      </c>
      <c r="B215" s="70" t="s">
        <v>763</v>
      </c>
      <c r="C215" s="17" t="s">
        <v>138</v>
      </c>
      <c r="D215" s="31" t="s">
        <v>59</v>
      </c>
      <c r="E215" s="102">
        <v>0</v>
      </c>
      <c r="F215" s="102">
        <v>0</v>
      </c>
      <c r="G215" s="102">
        <v>0</v>
      </c>
      <c r="H215" s="102">
        <v>0</v>
      </c>
      <c r="I215" s="102">
        <v>0</v>
      </c>
      <c r="J215" s="102">
        <v>0</v>
      </c>
      <c r="K215" s="102">
        <v>0</v>
      </c>
      <c r="L215" s="102">
        <v>0</v>
      </c>
      <c r="M215" s="102">
        <v>0</v>
      </c>
      <c r="N215" s="102">
        <v>0</v>
      </c>
      <c r="O215" s="102">
        <v>83.296999999999997</v>
      </c>
      <c r="P215" s="102">
        <v>224.59211431999998</v>
      </c>
      <c r="Q215" s="102">
        <v>224.59211431999998</v>
      </c>
      <c r="R215" s="102">
        <v>224.59211431999998</v>
      </c>
      <c r="S215" s="102">
        <v>224.59211431999998</v>
      </c>
      <c r="T215" s="102">
        <v>224.59211431999998</v>
      </c>
      <c r="U215" s="102">
        <v>224.59211431999998</v>
      </c>
      <c r="V215" s="102">
        <v>224.59211431999998</v>
      </c>
      <c r="W215" s="102">
        <v>224.59211431999998</v>
      </c>
      <c r="X215" s="102">
        <v>224.59211431999998</v>
      </c>
      <c r="Y215" s="102">
        <v>224.59211431999998</v>
      </c>
      <c r="Z215" s="102">
        <v>224.59211431999998</v>
      </c>
      <c r="AA215" s="102">
        <v>224.59211431999998</v>
      </c>
      <c r="AB215" s="102">
        <v>228.94920134</v>
      </c>
      <c r="AC215" s="102">
        <v>228.94920134</v>
      </c>
      <c r="AD215" s="102">
        <v>228.94920134</v>
      </c>
      <c r="AE215" s="102">
        <v>228.94920134</v>
      </c>
      <c r="AF215" s="102">
        <v>228.94920134</v>
      </c>
      <c r="AG215" s="102">
        <v>228.94920134</v>
      </c>
      <c r="AH215" s="102">
        <v>228.94920134</v>
      </c>
      <c r="AI215" s="102">
        <v>228.94920134</v>
      </c>
      <c r="AJ215" s="102">
        <v>228.94920134</v>
      </c>
      <c r="AK215" s="102">
        <v>228.94920134</v>
      </c>
      <c r="AL215" s="102">
        <v>228.94920134</v>
      </c>
      <c r="AM215" s="102">
        <v>228.94920134</v>
      </c>
      <c r="AN215" s="102">
        <v>566.71302199999991</v>
      </c>
      <c r="AO215" s="102">
        <v>566.71302200000002</v>
      </c>
      <c r="AP215" s="145">
        <v>566.71302200000002</v>
      </c>
      <c r="AQ215" s="143">
        <v>566.71302200000002</v>
      </c>
      <c r="AR215" s="143">
        <v>566.71302200000002</v>
      </c>
      <c r="AS215" s="102">
        <v>566.71302200000002</v>
      </c>
      <c r="AT215" s="102">
        <v>566.71302200000002</v>
      </c>
      <c r="AU215" s="102">
        <v>566.71302200000002</v>
      </c>
      <c r="AV215" s="102">
        <v>566.71302200000002</v>
      </c>
      <c r="AW215" s="102">
        <v>566.71302200000002</v>
      </c>
      <c r="AX215" s="102">
        <v>566.71302200000002</v>
      </c>
      <c r="AY215" s="102">
        <v>566.71302200000002</v>
      </c>
      <c r="AZ215" s="102">
        <v>0</v>
      </c>
      <c r="BA215" s="102">
        <v>0</v>
      </c>
      <c r="BB215" s="102">
        <v>0</v>
      </c>
      <c r="BC215" s="102">
        <v>0</v>
      </c>
      <c r="BD215" s="102">
        <v>0</v>
      </c>
      <c r="BE215" s="102">
        <v>0</v>
      </c>
      <c r="BF215" s="102">
        <v>0</v>
      </c>
      <c r="BG215" s="102">
        <v>0</v>
      </c>
      <c r="BH215" s="102">
        <v>0</v>
      </c>
      <c r="BI215" s="102">
        <v>0</v>
      </c>
      <c r="BJ215" s="102">
        <v>0</v>
      </c>
      <c r="BK215" s="102">
        <v>0</v>
      </c>
      <c r="BL215" s="102">
        <v>0</v>
      </c>
      <c r="BM215" s="102">
        <v>0</v>
      </c>
      <c r="BN215" s="102">
        <v>0</v>
      </c>
      <c r="BO215" s="102">
        <v>0</v>
      </c>
      <c r="BP215" s="102">
        <v>0</v>
      </c>
      <c r="BQ215" s="102">
        <v>0</v>
      </c>
      <c r="BR215" s="102">
        <v>0</v>
      </c>
      <c r="BS215" s="102">
        <v>0</v>
      </c>
      <c r="BT215" s="102">
        <v>0</v>
      </c>
      <c r="BU215" s="102">
        <v>0</v>
      </c>
      <c r="BV215" s="102">
        <v>0</v>
      </c>
      <c r="BW215" s="102">
        <v>0</v>
      </c>
      <c r="BX215" s="102">
        <v>0</v>
      </c>
      <c r="BY215" s="102">
        <v>0</v>
      </c>
      <c r="BZ215" s="102">
        <v>0</v>
      </c>
      <c r="CA215" s="102">
        <v>0</v>
      </c>
      <c r="CB215" s="102">
        <v>0</v>
      </c>
      <c r="CC215" s="102">
        <v>0</v>
      </c>
      <c r="CD215" s="102">
        <v>0</v>
      </c>
      <c r="CE215" s="102">
        <v>0</v>
      </c>
      <c r="CF215" s="102">
        <v>0</v>
      </c>
      <c r="CG215" s="102">
        <v>0</v>
      </c>
      <c r="CH215" s="102">
        <v>0</v>
      </c>
      <c r="CI215" s="102">
        <v>0</v>
      </c>
      <c r="CJ215" s="102">
        <v>0</v>
      </c>
      <c r="CK215" s="102">
        <v>0</v>
      </c>
      <c r="CL215" s="102">
        <v>0</v>
      </c>
      <c r="CM215" s="102">
        <v>0</v>
      </c>
      <c r="CN215" s="102">
        <v>0</v>
      </c>
      <c r="CO215" s="102">
        <v>0</v>
      </c>
      <c r="CP215" s="102">
        <v>0</v>
      </c>
      <c r="CQ215" s="102">
        <v>0</v>
      </c>
      <c r="CR215" s="102">
        <v>0</v>
      </c>
      <c r="CS215" s="102">
        <v>0</v>
      </c>
      <c r="CT215" s="102">
        <v>0</v>
      </c>
      <c r="CU215" s="102">
        <v>0</v>
      </c>
      <c r="CV215" s="102">
        <v>0</v>
      </c>
      <c r="CW215" s="102">
        <v>0</v>
      </c>
      <c r="CX215" s="102">
        <v>0</v>
      </c>
      <c r="CY215" s="102">
        <v>0</v>
      </c>
      <c r="CZ215" s="102">
        <v>0</v>
      </c>
      <c r="DA215" s="102">
        <v>0</v>
      </c>
      <c r="DB215" s="102">
        <v>0</v>
      </c>
      <c r="DC215" s="102">
        <v>0</v>
      </c>
      <c r="DD215" s="102">
        <v>0</v>
      </c>
      <c r="DE215" s="102">
        <v>0</v>
      </c>
      <c r="DF215" s="102">
        <v>0</v>
      </c>
      <c r="DG215" s="102">
        <v>0</v>
      </c>
      <c r="DH215" s="102">
        <v>0</v>
      </c>
      <c r="DI215" s="102">
        <v>0</v>
      </c>
      <c r="DJ215" s="102">
        <v>0</v>
      </c>
      <c r="DK215" s="102">
        <v>0</v>
      </c>
      <c r="DL215" s="102">
        <v>0</v>
      </c>
      <c r="DM215" s="102">
        <v>0</v>
      </c>
      <c r="DN215" s="102">
        <v>0</v>
      </c>
      <c r="DO215" s="102">
        <v>0</v>
      </c>
      <c r="DP215" s="102">
        <v>0</v>
      </c>
      <c r="DQ215" s="940">
        <v>0</v>
      </c>
      <c r="DR215" s="940">
        <v>0</v>
      </c>
      <c r="DS215" s="940">
        <v>0</v>
      </c>
      <c r="DT215" s="940">
        <v>0</v>
      </c>
      <c r="DU215" s="940">
        <v>0</v>
      </c>
      <c r="DV215" s="940">
        <v>0</v>
      </c>
      <c r="DW215" s="940">
        <v>0</v>
      </c>
      <c r="DX215" s="940">
        <v>0</v>
      </c>
      <c r="DY215" s="940">
        <v>0</v>
      </c>
      <c r="DZ215" s="940">
        <v>0</v>
      </c>
      <c r="EA215" s="940">
        <v>0</v>
      </c>
      <c r="EB215" s="940">
        <v>0</v>
      </c>
      <c r="EC215" s="940">
        <v>0</v>
      </c>
      <c r="ED215" s="940">
        <v>0</v>
      </c>
      <c r="EE215" s="940">
        <v>0</v>
      </c>
      <c r="EF215" s="940">
        <v>0</v>
      </c>
      <c r="EH215" s="102">
        <v>2083.3922546012454</v>
      </c>
      <c r="EI215" s="102">
        <v>2083.3922546012454</v>
      </c>
      <c r="EJ215" s="102">
        <v>2083.3922546012454</v>
      </c>
      <c r="EK215" s="102">
        <v>2083.3922546012454</v>
      </c>
      <c r="EL215" s="102">
        <v>2083.3922546012454</v>
      </c>
      <c r="EM215" s="102">
        <v>2083.3922546012454</v>
      </c>
      <c r="EN215" s="102">
        <v>2083.3922546012454</v>
      </c>
      <c r="EO215" s="102">
        <v>2083.3922546012454</v>
      </c>
      <c r="EP215" s="102">
        <v>2083.3922546012454</v>
      </c>
      <c r="EQ215" s="102">
        <v>2083.3922546012454</v>
      </c>
      <c r="ER215" s="102">
        <v>2083.3922546012454</v>
      </c>
      <c r="ES215" s="102">
        <v>2083.3922546012454</v>
      </c>
      <c r="EU215" s="102">
        <v>228.94920134</v>
      </c>
      <c r="EV215" s="102">
        <v>1805.3492013399998</v>
      </c>
      <c r="EW215" s="102">
        <v>1805.3492013399998</v>
      </c>
      <c r="EX215" s="102">
        <v>1805.3492013399998</v>
      </c>
      <c r="EY215" s="102">
        <v>1805.3492013399998</v>
      </c>
      <c r="EZ215" s="102">
        <v>1805.3492013399998</v>
      </c>
      <c r="FA215" s="102">
        <v>1805.3492013399998</v>
      </c>
      <c r="FB215" s="102">
        <v>1805.3492013399998</v>
      </c>
      <c r="FC215" s="102">
        <v>1805.3492013399998</v>
      </c>
      <c r="FD215" s="102">
        <v>1805.3492013399998</v>
      </c>
      <c r="FE215" s="102">
        <v>1805.3492013399998</v>
      </c>
      <c r="FF215" s="102">
        <v>1805.3492013399998</v>
      </c>
      <c r="FG215" s="102">
        <v>566.71302200000002</v>
      </c>
      <c r="FH215" s="102">
        <v>566.71302200000002</v>
      </c>
      <c r="FI215" s="102">
        <v>566.71302200000002</v>
      </c>
      <c r="FJ215" s="102">
        <v>566.71302200000002</v>
      </c>
      <c r="FK215" s="102">
        <v>566.71302200000002</v>
      </c>
      <c r="FL215" s="102">
        <v>566.71302200000002</v>
      </c>
      <c r="FM215" s="102">
        <v>566.71302200000002</v>
      </c>
      <c r="FN215" s="102">
        <v>566.71302200000002</v>
      </c>
      <c r="FO215" s="102">
        <v>566.71302200000002</v>
      </c>
      <c r="FP215" s="102">
        <v>566.71302200000002</v>
      </c>
      <c r="FQ215" s="102">
        <v>566.71302200000002</v>
      </c>
      <c r="FR215" s="102">
        <v>566.71302200000002</v>
      </c>
      <c r="FS215" s="102"/>
      <c r="FT215" s="102"/>
      <c r="FU215" s="102"/>
      <c r="FV215" s="102"/>
      <c r="FW215" s="102"/>
      <c r="FX215" s="102"/>
      <c r="FY215" s="102"/>
      <c r="FZ215" s="102"/>
      <c r="GA215" s="102"/>
      <c r="GB215" s="102"/>
      <c r="GC215" s="102"/>
      <c r="GD215" s="102"/>
      <c r="GE215" s="102">
        <v>0</v>
      </c>
      <c r="GF215" s="102">
        <v>0</v>
      </c>
      <c r="GG215" s="102">
        <v>0</v>
      </c>
      <c r="GH215" s="102">
        <v>0</v>
      </c>
      <c r="GI215" s="102">
        <v>0</v>
      </c>
      <c r="GJ215" s="102">
        <v>0</v>
      </c>
      <c r="GK215" s="102">
        <v>0</v>
      </c>
      <c r="GL215" s="102">
        <v>0</v>
      </c>
      <c r="GM215" s="102">
        <v>0</v>
      </c>
      <c r="GN215" s="102">
        <v>0</v>
      </c>
      <c r="GO215" s="102">
        <v>0</v>
      </c>
      <c r="GP215" s="102">
        <v>0</v>
      </c>
      <c r="GQ215" s="102">
        <v>0</v>
      </c>
      <c r="GR215" s="102">
        <v>0</v>
      </c>
      <c r="GS215" s="102">
        <v>0</v>
      </c>
      <c r="GT215" s="102">
        <v>0</v>
      </c>
      <c r="GU215" s="102">
        <v>0</v>
      </c>
      <c r="GV215" s="102">
        <v>0</v>
      </c>
      <c r="GW215" s="102">
        <v>0</v>
      </c>
      <c r="GX215" s="102">
        <v>0</v>
      </c>
      <c r="GY215" s="102">
        <v>0</v>
      </c>
      <c r="GZ215" s="102">
        <v>0</v>
      </c>
      <c r="HA215" s="102">
        <v>0</v>
      </c>
      <c r="HB215" s="102">
        <v>0</v>
      </c>
      <c r="HD215" s="102">
        <f t="shared" si="1141"/>
        <v>224.59211431999998</v>
      </c>
      <c r="HE215" s="102">
        <f t="shared" si="1141"/>
        <v>228.94920134</v>
      </c>
      <c r="HF215" s="102">
        <f t="shared" si="1141"/>
        <v>566.71302199999991</v>
      </c>
      <c r="HG215" s="102">
        <f t="shared" si="1141"/>
        <v>0</v>
      </c>
      <c r="HH215" s="102">
        <f>+SUMIFS($E215:$BL215,$E$6:$BL$6,HH$7,$E$5:$BL$5,12)</f>
        <v>0</v>
      </c>
      <c r="HI215" s="102">
        <f>+SUMIFS($E215:$BX215,$E$6:$BX$6,HI$7,$E$5:$BX$5,12)</f>
        <v>0</v>
      </c>
      <c r="HJ215" s="102">
        <f>+SUMIFS($E215:$CJ215,$E$6:$CJ$6,HJ$7,$E$5:$CJ$5,12)</f>
        <v>0</v>
      </c>
      <c r="HK215" s="102">
        <f>+SUMIFS($E215:$CV215,$E$6:$CV$6,HK$7,$E$5:$CV$5,12)</f>
        <v>0</v>
      </c>
      <c r="HL215" s="940">
        <f>+SUMIFS($E215:SEW215,$E$6:SEW$6,HL$7,$E$5:SEW$5,12)</f>
        <v>0</v>
      </c>
      <c r="HM215" s="940">
        <f>+SUMIFS($E215:SEX215,$E$6:SEX$6,HM$7,$E$5:SEX$5,12)</f>
        <v>0</v>
      </c>
      <c r="HN215" s="940">
        <f>+SUMIFS($E215:SEY215,$E$6:SEY$6,HN$7,$E$5:SEY$5,12)</f>
        <v>0</v>
      </c>
      <c r="HO215" s="102"/>
      <c r="HR215" s="929">
        <f t="shared" si="1071"/>
        <v>1.4752784402964796</v>
      </c>
      <c r="HS215" s="929">
        <f t="shared" si="1072"/>
        <v>-1</v>
      </c>
      <c r="HT215" s="929" t="str">
        <f t="shared" si="1073"/>
        <v/>
      </c>
      <c r="HU215" s="929" t="str">
        <f t="shared" si="1074"/>
        <v/>
      </c>
      <c r="HV215" s="929" t="str">
        <f t="shared" si="1075"/>
        <v/>
      </c>
      <c r="HW215" s="929" t="str">
        <f t="shared" si="1076"/>
        <v/>
      </c>
      <c r="HX215" s="929" t="str">
        <f t="shared" si="1077"/>
        <v/>
      </c>
      <c r="HY215" s="929" t="str">
        <f t="shared" si="1077"/>
        <v/>
      </c>
      <c r="HZ215" s="929" t="str">
        <f t="shared" si="1077"/>
        <v/>
      </c>
      <c r="IA215" s="929" t="str">
        <f t="shared" si="1036"/>
        <v/>
      </c>
      <c r="IB215" s="929" t="str">
        <f>+IFERROR(HP214/HO215-1,"")</f>
        <v/>
      </c>
      <c r="IC215" s="929" t="str">
        <f>+IFERROR(HP214/HL215-1,"")</f>
        <v/>
      </c>
      <c r="IE215" s="102">
        <f t="shared" si="1079"/>
        <v>337.76382065999991</v>
      </c>
      <c r="IF215" s="102">
        <f t="shared" si="1080"/>
        <v>-566.71302199999991</v>
      </c>
      <c r="IG215" s="102">
        <f t="shared" si="1081"/>
        <v>0</v>
      </c>
      <c r="IH215" s="102">
        <f t="shared" si="1082"/>
        <v>0</v>
      </c>
      <c r="II215" s="102">
        <f t="shared" si="1045"/>
        <v>0</v>
      </c>
      <c r="IJ215" s="102">
        <f t="shared" si="1046"/>
        <v>0</v>
      </c>
      <c r="IK215" s="102">
        <f t="shared" si="1047"/>
        <v>0</v>
      </c>
      <c r="IL215" s="102">
        <f t="shared" si="1038"/>
        <v>0</v>
      </c>
      <c r="IM215" s="102">
        <f>+HP214-HO215</f>
        <v>0</v>
      </c>
      <c r="IN215" s="102">
        <f>+HP214-HL215</f>
        <v>0</v>
      </c>
      <c r="IP215" s="973"/>
      <c r="IQ215" s="973"/>
      <c r="IR215" s="973"/>
      <c r="IS215" s="973"/>
      <c r="IT215" s="973"/>
      <c r="IU215" s="973"/>
      <c r="IV215" s="973"/>
      <c r="IW215" s="973"/>
      <c r="IX215" s="973"/>
      <c r="IY215" s="973"/>
      <c r="JA215" s="102">
        <f t="shared" si="1084"/>
        <v>224.59211431999998</v>
      </c>
      <c r="JB215" s="102">
        <f t="shared" si="1084"/>
        <v>228.94920134</v>
      </c>
      <c r="JC215" s="102">
        <f t="shared" si="1084"/>
        <v>566.71302199999991</v>
      </c>
      <c r="JD215" s="102">
        <f t="shared" si="1084"/>
        <v>0</v>
      </c>
      <c r="JE215" s="102">
        <f t="shared" si="1084"/>
        <v>0</v>
      </c>
      <c r="JF215" s="102">
        <f t="shared" si="1084"/>
        <v>0</v>
      </c>
      <c r="JG215" s="102">
        <f t="shared" si="1084"/>
        <v>0</v>
      </c>
      <c r="JH215" s="102">
        <f t="shared" si="1084"/>
        <v>0</v>
      </c>
      <c r="JI215" s="102">
        <f t="shared" si="1084"/>
        <v>0</v>
      </c>
      <c r="JJ215" s="102">
        <f t="shared" si="1084"/>
        <v>0</v>
      </c>
      <c r="JK215" s="102">
        <f t="shared" si="1084"/>
        <v>0</v>
      </c>
      <c r="JL215" s="102">
        <f t="shared" si="1085"/>
        <v>0</v>
      </c>
      <c r="JM215" s="102"/>
      <c r="JN215" s="102"/>
      <c r="JO215" s="32"/>
      <c r="JP215" s="102">
        <f t="shared" si="1086"/>
        <v>0</v>
      </c>
      <c r="JQ215" s="102">
        <f t="shared" si="1087"/>
        <v>0</v>
      </c>
      <c r="JR215" s="145"/>
      <c r="JS215" s="929" t="str">
        <f t="shared" si="1088"/>
        <v>NA</v>
      </c>
      <c r="JT215" s="930">
        <f t="shared" si="1089"/>
        <v>0</v>
      </c>
      <c r="JV215" s="973"/>
      <c r="JW215" s="973"/>
      <c r="JY215" s="929">
        <f t="shared" si="1112"/>
        <v>1.4752784402964796</v>
      </c>
      <c r="JZ215" s="929">
        <f t="shared" si="1113"/>
        <v>-1</v>
      </c>
      <c r="KA215" s="929" t="str">
        <f t="shared" si="1114"/>
        <v/>
      </c>
      <c r="KB215" s="929" t="str">
        <f t="shared" si="1115"/>
        <v/>
      </c>
      <c r="KC215" s="929" t="str">
        <f t="shared" si="1116"/>
        <v/>
      </c>
      <c r="KD215" s="929" t="str">
        <f t="shared" si="1117"/>
        <v/>
      </c>
      <c r="KE215" s="929" t="str">
        <f t="shared" si="1118"/>
        <v/>
      </c>
      <c r="KF215" s="929" t="str">
        <f t="shared" si="1119"/>
        <v/>
      </c>
      <c r="KH215" s="102">
        <f t="shared" si="1091"/>
        <v>337.76382065999991</v>
      </c>
      <c r="KI215" s="102">
        <f t="shared" si="1092"/>
        <v>-566.71302199999991</v>
      </c>
      <c r="KJ215" s="102">
        <f t="shared" si="1093"/>
        <v>0</v>
      </c>
      <c r="KK215" s="102">
        <f t="shared" si="1094"/>
        <v>0</v>
      </c>
      <c r="KL215" s="102">
        <f t="shared" si="1095"/>
        <v>0</v>
      </c>
      <c r="KM215" s="102">
        <f t="shared" si="1096"/>
        <v>0</v>
      </c>
      <c r="KN215" s="102">
        <f t="shared" si="1097"/>
        <v>0</v>
      </c>
      <c r="KO215" s="102">
        <f t="shared" si="1098"/>
        <v>0</v>
      </c>
      <c r="KQ215" s="973"/>
      <c r="KR215" s="973"/>
      <c r="KS215" s="973"/>
      <c r="KT215" s="973"/>
      <c r="KU215" s="973"/>
      <c r="KV215" s="973"/>
      <c r="KW215" s="973"/>
      <c r="KX215" s="973"/>
      <c r="KY215" s="973"/>
      <c r="KZ215" s="973"/>
      <c r="LB215" s="102">
        <f t="shared" si="1099"/>
        <v>224.59211431999998</v>
      </c>
      <c r="LC215" s="102">
        <f t="shared" si="1099"/>
        <v>228.94920134</v>
      </c>
      <c r="LD215" s="102">
        <f t="shared" si="1099"/>
        <v>566.71302199999991</v>
      </c>
      <c r="LE215" s="102">
        <f t="shared" si="1099"/>
        <v>0</v>
      </c>
      <c r="LF215" s="102">
        <f t="shared" si="1099"/>
        <v>0</v>
      </c>
      <c r="LG215" s="102">
        <f t="shared" si="1099"/>
        <v>0</v>
      </c>
      <c r="LH215" s="102">
        <f t="shared" si="1099"/>
        <v>0</v>
      </c>
      <c r="LI215" s="102">
        <f t="shared" si="1099"/>
        <v>0</v>
      </c>
      <c r="LJ215" s="102">
        <f t="shared" si="1099"/>
        <v>0</v>
      </c>
      <c r="LK215" s="102">
        <f t="shared" si="1099"/>
        <v>0</v>
      </c>
      <c r="LL215" s="102">
        <f t="shared" si="1099"/>
        <v>0</v>
      </c>
      <c r="LM215" s="102">
        <f t="shared" si="1099"/>
        <v>0</v>
      </c>
      <c r="LN215" s="102"/>
      <c r="LO215" s="102"/>
      <c r="LR215" s="32">
        <f t="shared" si="1100"/>
        <v>1.4752784402964796</v>
      </c>
      <c r="LS215" s="32">
        <f t="shared" si="1101"/>
        <v>-1</v>
      </c>
      <c r="LT215" s="32" t="str">
        <f t="shared" si="1102"/>
        <v xml:space="preserve"> </v>
      </c>
      <c r="LU215" s="32" t="str">
        <f t="shared" si="1103"/>
        <v xml:space="preserve"> </v>
      </c>
      <c r="LV215" s="32" t="str">
        <f t="shared" si="1104"/>
        <v xml:space="preserve"> </v>
      </c>
      <c r="LW215" s="32" t="str">
        <f t="shared" si="1105"/>
        <v xml:space="preserve"> </v>
      </c>
      <c r="LX215" s="32" t="str">
        <f t="shared" si="1132"/>
        <v xml:space="preserve"> </v>
      </c>
      <c r="LZ215" s="102">
        <f t="shared" si="1106"/>
        <v>337.76382065999991</v>
      </c>
      <c r="MA215" s="102">
        <f t="shared" si="1107"/>
        <v>-566.71302199999991</v>
      </c>
      <c r="MB215" s="102">
        <f t="shared" si="1108"/>
        <v>0</v>
      </c>
      <c r="MC215" s="102">
        <f t="shared" si="1109"/>
        <v>0</v>
      </c>
      <c r="MD215" s="102">
        <f t="shared" si="1110"/>
        <v>0</v>
      </c>
      <c r="ME215" s="102">
        <f t="shared" si="1111"/>
        <v>0</v>
      </c>
      <c r="MF215" s="102">
        <f t="shared" si="1133"/>
        <v>0</v>
      </c>
      <c r="MH215" s="973"/>
      <c r="MI215" s="973"/>
      <c r="MJ215" s="973"/>
      <c r="MK215" s="973"/>
      <c r="ML215" s="973"/>
      <c r="MM215" s="973"/>
      <c r="MN215" s="973"/>
      <c r="MO215" s="973"/>
      <c r="MP215" s="973"/>
    </row>
    <row r="216" spans="1:354" outlineLevel="1">
      <c r="A216" s="884">
        <v>39</v>
      </c>
      <c r="B216" s="70"/>
      <c r="C216" s="186" t="s">
        <v>764</v>
      </c>
      <c r="D216" s="31" t="s">
        <v>59</v>
      </c>
      <c r="E216" s="931">
        <v>0</v>
      </c>
      <c r="F216" s="931">
        <v>0</v>
      </c>
      <c r="G216" s="931">
        <v>0</v>
      </c>
      <c r="H216" s="931">
        <v>0</v>
      </c>
      <c r="I216" s="931">
        <v>0</v>
      </c>
      <c r="J216" s="931">
        <v>0</v>
      </c>
      <c r="K216" s="931">
        <v>0</v>
      </c>
      <c r="L216" s="931">
        <v>0</v>
      </c>
      <c r="M216" s="931">
        <v>0</v>
      </c>
      <c r="N216" s="931">
        <v>0</v>
      </c>
      <c r="O216" s="931">
        <v>0</v>
      </c>
      <c r="P216" s="931">
        <v>0</v>
      </c>
      <c r="Q216" s="931">
        <v>0</v>
      </c>
      <c r="R216" s="931">
        <v>0</v>
      </c>
      <c r="S216" s="931">
        <v>0</v>
      </c>
      <c r="T216" s="931">
        <v>0</v>
      </c>
      <c r="U216" s="931">
        <v>0</v>
      </c>
      <c r="V216" s="931">
        <v>0</v>
      </c>
      <c r="W216" s="931">
        <v>0</v>
      </c>
      <c r="X216" s="931">
        <v>0</v>
      </c>
      <c r="Y216" s="931">
        <v>0</v>
      </c>
      <c r="Z216" s="931">
        <v>0</v>
      </c>
      <c r="AA216" s="931">
        <v>0</v>
      </c>
      <c r="AB216" s="931">
        <v>0</v>
      </c>
      <c r="AC216" s="931">
        <v>0</v>
      </c>
      <c r="AD216" s="931">
        <v>0</v>
      </c>
      <c r="AE216" s="931">
        <v>0</v>
      </c>
      <c r="AF216" s="931">
        <v>0</v>
      </c>
      <c r="AG216" s="931">
        <v>0</v>
      </c>
      <c r="AH216" s="931">
        <v>0</v>
      </c>
      <c r="AI216" s="931">
        <v>0</v>
      </c>
      <c r="AJ216" s="931">
        <v>0</v>
      </c>
      <c r="AK216" s="931">
        <v>0</v>
      </c>
      <c r="AL216" s="931">
        <v>0</v>
      </c>
      <c r="AM216" s="931">
        <v>0</v>
      </c>
      <c r="AN216" s="931">
        <v>0</v>
      </c>
      <c r="AO216" s="931">
        <v>0</v>
      </c>
      <c r="AP216" s="931">
        <v>0</v>
      </c>
      <c r="AQ216" s="931">
        <v>0</v>
      </c>
      <c r="AR216" s="931">
        <v>0</v>
      </c>
      <c r="AS216" s="931">
        <v>0</v>
      </c>
      <c r="AT216" s="931">
        <v>0</v>
      </c>
      <c r="AU216" s="931">
        <v>0</v>
      </c>
      <c r="AV216" s="931">
        <v>0</v>
      </c>
      <c r="AW216" s="931">
        <v>0</v>
      </c>
      <c r="AX216" s="931">
        <v>0</v>
      </c>
      <c r="AY216" s="931">
        <v>0</v>
      </c>
      <c r="AZ216" s="931">
        <v>0</v>
      </c>
      <c r="BA216" s="932"/>
      <c r="BB216" s="932"/>
      <c r="BC216" s="932"/>
      <c r="BD216" s="932"/>
      <c r="BE216" s="931"/>
      <c r="BF216" s="931"/>
      <c r="BG216" s="931"/>
      <c r="BH216" s="931"/>
      <c r="BI216" s="931"/>
      <c r="BJ216" s="931"/>
      <c r="BK216" s="931"/>
      <c r="BL216" s="931"/>
      <c r="BM216" s="102">
        <v>0</v>
      </c>
      <c r="BN216" s="932">
        <v>0</v>
      </c>
      <c r="BO216" s="932">
        <v>0</v>
      </c>
      <c r="BP216" s="932">
        <v>0</v>
      </c>
      <c r="BQ216" s="931">
        <v>0</v>
      </c>
      <c r="BR216" s="931">
        <v>0</v>
      </c>
      <c r="BS216" s="931">
        <v>0</v>
      </c>
      <c r="BT216" s="931">
        <v>0</v>
      </c>
      <c r="BU216" s="931">
        <v>0</v>
      </c>
      <c r="BV216" s="931">
        <v>0</v>
      </c>
      <c r="BW216" s="931">
        <v>0</v>
      </c>
      <c r="BX216" s="931">
        <v>0</v>
      </c>
      <c r="BY216" s="931"/>
      <c r="BZ216" s="931"/>
      <c r="CA216" s="931"/>
      <c r="CB216" s="931"/>
      <c r="CC216" s="931"/>
      <c r="CD216" s="931"/>
      <c r="CE216" s="931"/>
      <c r="CF216" s="931"/>
      <c r="CG216" s="931"/>
      <c r="CH216" s="931"/>
      <c r="CI216" s="931"/>
      <c r="CJ216" s="931"/>
      <c r="CK216" s="931"/>
      <c r="CL216" s="931"/>
      <c r="CM216" s="931"/>
      <c r="CN216" s="931"/>
      <c r="CO216" s="931"/>
      <c r="CP216" s="931"/>
      <c r="CQ216" s="931"/>
      <c r="CR216" s="931"/>
      <c r="CS216" s="931"/>
      <c r="CT216" s="931"/>
      <c r="CU216" s="931"/>
      <c r="CV216" s="931"/>
      <c r="CW216" s="931"/>
      <c r="CX216" s="931"/>
      <c r="CY216" s="931"/>
      <c r="CZ216" s="931"/>
      <c r="DA216" s="931"/>
      <c r="DB216" s="931"/>
      <c r="DC216" s="931"/>
      <c r="DD216" s="931"/>
      <c r="DE216" s="931"/>
      <c r="DF216" s="931"/>
      <c r="DG216" s="931"/>
      <c r="DH216" s="931"/>
      <c r="DI216" s="931"/>
      <c r="DJ216" s="931"/>
      <c r="DK216" s="931"/>
      <c r="DL216" s="931"/>
      <c r="DM216" s="931"/>
      <c r="DN216" s="931"/>
      <c r="DO216" s="931"/>
      <c r="DP216" s="931"/>
      <c r="DQ216" s="941"/>
      <c r="DR216" s="941"/>
      <c r="DS216" s="941"/>
      <c r="DT216" s="941"/>
      <c r="DU216" s="941"/>
      <c r="DV216" s="941"/>
      <c r="DW216" s="941"/>
      <c r="DX216" s="941"/>
      <c r="DY216" s="941"/>
      <c r="DZ216" s="941"/>
      <c r="EA216" s="941"/>
      <c r="EB216" s="941"/>
      <c r="EC216" s="941"/>
      <c r="ED216" s="941"/>
      <c r="EE216" s="941"/>
      <c r="EF216" s="941"/>
      <c r="EH216" s="931">
        <v>311.65705160999966</v>
      </c>
      <c r="EI216" s="931">
        <v>442.06473415999938</v>
      </c>
      <c r="EJ216" s="931">
        <v>1344.4562257999992</v>
      </c>
      <c r="EK216" s="931">
        <v>998.78409832999921</v>
      </c>
      <c r="EL216" s="931">
        <v>496.54733447999922</v>
      </c>
      <c r="EM216" s="931">
        <v>153.0870819499992</v>
      </c>
      <c r="EN216" s="931">
        <v>-181.72227523780464</v>
      </c>
      <c r="EO216" s="931">
        <v>-189.39145312833273</v>
      </c>
      <c r="EP216" s="931">
        <v>-275.36027318835914</v>
      </c>
      <c r="EQ216" s="931">
        <v>-517.75798872996154</v>
      </c>
      <c r="ER216" s="931">
        <v>-789.34950144761376</v>
      </c>
      <c r="ES216" s="931">
        <v>-1071.3893782355901</v>
      </c>
      <c r="EU216" s="931"/>
      <c r="EV216" s="931"/>
      <c r="EW216" s="931"/>
      <c r="EX216" s="931"/>
      <c r="EY216" s="931"/>
      <c r="EZ216" s="931"/>
      <c r="FA216" s="931"/>
      <c r="FB216" s="931"/>
      <c r="FC216" s="931"/>
      <c r="FD216" s="931"/>
      <c r="FE216" s="931"/>
      <c r="FF216" s="931"/>
      <c r="FG216" s="931"/>
      <c r="FH216" s="931"/>
      <c r="FI216" s="931"/>
      <c r="FJ216" s="931"/>
      <c r="FK216" s="931"/>
      <c r="FL216" s="931"/>
      <c r="FM216" s="931"/>
      <c r="FN216" s="931"/>
      <c r="FO216" s="931"/>
      <c r="FP216" s="931"/>
      <c r="FQ216" s="931"/>
      <c r="FR216" s="931"/>
      <c r="FS216" s="931">
        <v>1656.6120699000001</v>
      </c>
      <c r="FT216" s="931">
        <v>1656.6120699000001</v>
      </c>
      <c r="FU216" s="931">
        <v>1656.6120699000001</v>
      </c>
      <c r="FV216" s="931">
        <v>1656.6120699000001</v>
      </c>
      <c r="FW216" s="931">
        <v>1656.6120699000001</v>
      </c>
      <c r="FX216" s="931">
        <v>1656.6120699000001</v>
      </c>
      <c r="FY216" s="931">
        <v>1656.6120699000001</v>
      </c>
      <c r="FZ216" s="931">
        <v>1656.6120699000001</v>
      </c>
      <c r="GA216" s="931">
        <v>1656.6120699000001</v>
      </c>
      <c r="GB216" s="931">
        <v>1656.6120699000001</v>
      </c>
      <c r="GC216" s="931">
        <v>1656.6120699000001</v>
      </c>
      <c r="GD216" s="931">
        <v>1656.6120699000001</v>
      </c>
      <c r="GE216" s="931">
        <v>0</v>
      </c>
      <c r="GF216" s="931">
        <v>0</v>
      </c>
      <c r="GG216" s="931">
        <v>0</v>
      </c>
      <c r="GH216" s="931">
        <v>0</v>
      </c>
      <c r="GI216" s="931">
        <v>0</v>
      </c>
      <c r="GJ216" s="931">
        <v>0</v>
      </c>
      <c r="GK216" s="931">
        <v>0</v>
      </c>
      <c r="GL216" s="931">
        <v>0</v>
      </c>
      <c r="GM216" s="931">
        <v>0</v>
      </c>
      <c r="GN216" s="931">
        <v>0</v>
      </c>
      <c r="GO216" s="931">
        <v>0</v>
      </c>
      <c r="GP216" s="931">
        <v>0</v>
      </c>
      <c r="GQ216" s="931">
        <v>0</v>
      </c>
      <c r="GR216" s="931">
        <v>0</v>
      </c>
      <c r="GS216" s="931">
        <v>0</v>
      </c>
      <c r="GT216" s="931">
        <v>0</v>
      </c>
      <c r="GU216" s="931">
        <v>0</v>
      </c>
      <c r="GV216" s="931">
        <v>0</v>
      </c>
      <c r="GW216" s="931">
        <v>0</v>
      </c>
      <c r="GX216" s="931">
        <v>0</v>
      </c>
      <c r="GY216" s="931">
        <v>0</v>
      </c>
      <c r="GZ216" s="931">
        <v>0</v>
      </c>
      <c r="HA216" s="931">
        <v>0</v>
      </c>
      <c r="HB216" s="931">
        <v>0</v>
      </c>
      <c r="HD216" s="931"/>
      <c r="HE216" s="931"/>
      <c r="HF216" s="931"/>
      <c r="HG216" s="931"/>
      <c r="HH216" s="931">
        <f>+SUMIFS($E216:$BL216,$E$6:$BL$6,HH$7,$E$5:$BL$5,12)</f>
        <v>0</v>
      </c>
      <c r="HI216" s="931">
        <f>+SUMIFS($E216:$BX216,$E$6:$BX$6,HI$7,$E$5:$BX$5,12)</f>
        <v>0</v>
      </c>
      <c r="HJ216" s="931">
        <f>+SUMIFS($E216:$CJ216,$E$6:$CJ$6,HJ$7,$E$5:$CJ$5,12)</f>
        <v>0</v>
      </c>
      <c r="HK216" s="931">
        <f>+SUMIFS($E216:$CV216,$E$6:$CV$6,HK$7,$E$5:$CV$5,12)</f>
        <v>0</v>
      </c>
      <c r="HL216" s="941">
        <f>+SUMIFS($E216:SEW216,$E$6:SEW$6,HL$7,$E$5:SEW$5,12)</f>
        <v>0</v>
      </c>
      <c r="HM216" s="941">
        <f>+SUMIFS($E216:SEX216,$E$6:SEX$6,HM$7,$E$5:SEX$5,12)</f>
        <v>0</v>
      </c>
      <c r="HN216" s="941">
        <f>+SUMIFS($E216:SEY216,$E$6:SEY$6,HN$7,$E$5:SEY$5,12)</f>
        <v>0</v>
      </c>
      <c r="HO216" s="931"/>
      <c r="HP216" s="931"/>
      <c r="HR216" s="230"/>
      <c r="HS216" s="230"/>
      <c r="HT216" s="230"/>
      <c r="HU216" s="934" t="str">
        <f t="shared" ref="HU216:HZ216" si="1142">+IFERROR(HI216/HH216-1,"")</f>
        <v/>
      </c>
      <c r="HV216" s="934" t="str">
        <f t="shared" si="1142"/>
        <v/>
      </c>
      <c r="HW216" s="934" t="str">
        <f t="shared" si="1142"/>
        <v/>
      </c>
      <c r="HX216" s="934" t="str">
        <f t="shared" si="1142"/>
        <v/>
      </c>
      <c r="HY216" s="934" t="str">
        <f t="shared" si="1142"/>
        <v/>
      </c>
      <c r="HZ216" s="934" t="str">
        <f t="shared" si="1142"/>
        <v/>
      </c>
      <c r="IA216" s="934" t="str">
        <f t="shared" si="1036"/>
        <v/>
      </c>
      <c r="IB216" s="230"/>
      <c r="IC216" s="934" t="str">
        <f>+IFERROR(HP216/HL216-1,"")</f>
        <v/>
      </c>
      <c r="IE216" s="931"/>
      <c r="IF216" s="931"/>
      <c r="IG216" s="931"/>
      <c r="IH216" s="931">
        <f>+HI216-HH216</f>
        <v>0</v>
      </c>
      <c r="II216" s="931">
        <f t="shared" si="1045"/>
        <v>0</v>
      </c>
      <c r="IJ216" s="931">
        <f t="shared" si="1046"/>
        <v>0</v>
      </c>
      <c r="IK216" s="931">
        <f t="shared" si="1047"/>
        <v>0</v>
      </c>
      <c r="IL216" s="931">
        <f t="shared" si="1038"/>
        <v>0</v>
      </c>
      <c r="IM216" s="931"/>
      <c r="IN216" s="931">
        <f>+HP216-HL216</f>
        <v>0</v>
      </c>
      <c r="IP216" s="978"/>
      <c r="IQ216" s="978"/>
      <c r="IR216" s="978"/>
      <c r="IS216" s="978"/>
      <c r="IT216" s="978"/>
      <c r="IU216" s="978"/>
      <c r="IV216" s="978"/>
      <c r="IW216" s="978"/>
      <c r="IX216" s="978"/>
      <c r="IY216" s="978"/>
      <c r="JA216" s="931">
        <f t="shared" si="1084"/>
        <v>0</v>
      </c>
      <c r="JB216" s="931">
        <f t="shared" si="1084"/>
        <v>0</v>
      </c>
      <c r="JC216" s="931">
        <f t="shared" si="1084"/>
        <v>0</v>
      </c>
      <c r="JD216" s="931">
        <f t="shared" si="1084"/>
        <v>0</v>
      </c>
      <c r="JE216" s="931">
        <f t="shared" si="1084"/>
        <v>0</v>
      </c>
      <c r="JF216" s="931">
        <f t="shared" si="1084"/>
        <v>0</v>
      </c>
      <c r="JG216" s="931">
        <f t="shared" si="1084"/>
        <v>0</v>
      </c>
      <c r="JH216" s="931">
        <f t="shared" si="1084"/>
        <v>0</v>
      </c>
      <c r="JI216" s="931">
        <f t="shared" si="1084"/>
        <v>0</v>
      </c>
      <c r="JJ216" s="931">
        <f t="shared" si="1084"/>
        <v>0</v>
      </c>
      <c r="JK216" s="931">
        <f t="shared" si="1084"/>
        <v>0</v>
      </c>
      <c r="JL216" s="931">
        <f t="shared" si="1085"/>
        <v>0</v>
      </c>
      <c r="JM216" s="931"/>
      <c r="JN216" s="931"/>
      <c r="JP216" s="931">
        <f t="shared" si="1086"/>
        <v>0</v>
      </c>
      <c r="JQ216" s="931">
        <f t="shared" si="1087"/>
        <v>0</v>
      </c>
      <c r="JR216" s="145"/>
      <c r="JS216" s="934"/>
      <c r="JT216" s="935"/>
      <c r="JV216" s="973"/>
      <c r="JW216" s="973"/>
      <c r="JY216" s="934" t="str">
        <f t="shared" si="1112"/>
        <v/>
      </c>
      <c r="JZ216" s="934" t="str">
        <f t="shared" si="1113"/>
        <v/>
      </c>
      <c r="KA216" s="934" t="str">
        <f t="shared" si="1114"/>
        <v/>
      </c>
      <c r="KB216" s="934" t="str">
        <f t="shared" si="1115"/>
        <v/>
      </c>
      <c r="KC216" s="934" t="str">
        <f t="shared" si="1116"/>
        <v/>
      </c>
      <c r="KD216" s="934" t="str">
        <f t="shared" si="1117"/>
        <v/>
      </c>
      <c r="KE216" s="934" t="str">
        <f t="shared" si="1118"/>
        <v/>
      </c>
      <c r="KF216" s="934" t="str">
        <f t="shared" si="1119"/>
        <v/>
      </c>
      <c r="KH216" s="931">
        <f t="shared" si="1091"/>
        <v>0</v>
      </c>
      <c r="KI216" s="931">
        <f t="shared" si="1092"/>
        <v>0</v>
      </c>
      <c r="KJ216" s="931">
        <f t="shared" si="1093"/>
        <v>0</v>
      </c>
      <c r="KK216" s="931">
        <f t="shared" si="1094"/>
        <v>0</v>
      </c>
      <c r="KL216" s="931">
        <f t="shared" si="1095"/>
        <v>0</v>
      </c>
      <c r="KM216" s="931">
        <f t="shared" si="1096"/>
        <v>0</v>
      </c>
      <c r="KN216" s="931">
        <f t="shared" si="1097"/>
        <v>0</v>
      </c>
      <c r="KO216" s="931">
        <f t="shared" si="1098"/>
        <v>0</v>
      </c>
      <c r="KQ216" s="978"/>
      <c r="KR216" s="978"/>
      <c r="KS216" s="978"/>
      <c r="KT216" s="978"/>
      <c r="KU216" s="978"/>
      <c r="KV216" s="978"/>
      <c r="KW216" s="978"/>
      <c r="KX216" s="978"/>
      <c r="KY216" s="978"/>
      <c r="KZ216" s="978"/>
      <c r="LB216" s="931">
        <f t="shared" si="1099"/>
        <v>0</v>
      </c>
      <c r="LC216" s="931">
        <f t="shared" si="1099"/>
        <v>0</v>
      </c>
      <c r="LD216" s="931">
        <f t="shared" si="1099"/>
        <v>0</v>
      </c>
      <c r="LE216" s="931">
        <f t="shared" si="1099"/>
        <v>0</v>
      </c>
      <c r="LF216" s="931">
        <f t="shared" si="1099"/>
        <v>0</v>
      </c>
      <c r="LG216" s="931">
        <f t="shared" si="1099"/>
        <v>0</v>
      </c>
      <c r="LH216" s="931">
        <f t="shared" si="1099"/>
        <v>0</v>
      </c>
      <c r="LI216" s="931">
        <f t="shared" si="1099"/>
        <v>0</v>
      </c>
      <c r="LJ216" s="931">
        <f t="shared" si="1099"/>
        <v>0</v>
      </c>
      <c r="LK216" s="931">
        <f t="shared" si="1099"/>
        <v>0</v>
      </c>
      <c r="LL216" s="931">
        <f t="shared" si="1099"/>
        <v>0</v>
      </c>
      <c r="LM216" s="931">
        <f t="shared" si="1099"/>
        <v>0</v>
      </c>
      <c r="LN216" s="931"/>
      <c r="LO216" s="931"/>
      <c r="LR216" s="230" t="str">
        <f t="shared" si="1100"/>
        <v xml:space="preserve"> </v>
      </c>
      <c r="LS216" s="230" t="str">
        <f t="shared" si="1101"/>
        <v xml:space="preserve"> </v>
      </c>
      <c r="LT216" s="230" t="str">
        <f t="shared" si="1102"/>
        <v xml:space="preserve"> </v>
      </c>
      <c r="LU216" s="230" t="str">
        <f t="shared" si="1103"/>
        <v xml:space="preserve"> </v>
      </c>
      <c r="LV216" s="230" t="str">
        <f t="shared" si="1104"/>
        <v xml:space="preserve"> </v>
      </c>
      <c r="LW216" s="230" t="str">
        <f t="shared" si="1105"/>
        <v xml:space="preserve"> </v>
      </c>
      <c r="LX216" s="230" t="str">
        <f t="shared" si="1132"/>
        <v xml:space="preserve"> </v>
      </c>
      <c r="LZ216" s="931">
        <f t="shared" si="1106"/>
        <v>0</v>
      </c>
      <c r="MA216" s="931">
        <f t="shared" si="1107"/>
        <v>0</v>
      </c>
      <c r="MB216" s="931">
        <f t="shared" si="1108"/>
        <v>0</v>
      </c>
      <c r="MC216" s="931">
        <f t="shared" si="1109"/>
        <v>0</v>
      </c>
      <c r="MD216" s="931">
        <f t="shared" si="1110"/>
        <v>0</v>
      </c>
      <c r="ME216" s="931">
        <f t="shared" si="1111"/>
        <v>0</v>
      </c>
      <c r="MF216" s="931">
        <f t="shared" si="1133"/>
        <v>0</v>
      </c>
      <c r="MH216" s="978"/>
      <c r="MI216" s="978"/>
      <c r="MJ216" s="978"/>
      <c r="MK216" s="978"/>
      <c r="ML216" s="978"/>
      <c r="MM216" s="978"/>
      <c r="MN216" s="978"/>
      <c r="MO216" s="978"/>
      <c r="MP216" s="978"/>
    </row>
    <row r="217" spans="1:354" s="657" customFormat="1" outlineLevel="1">
      <c r="E217" s="472"/>
      <c r="F217" s="472"/>
      <c r="G217" s="472"/>
      <c r="H217" s="472"/>
      <c r="I217" s="472"/>
      <c r="J217" s="472"/>
      <c r="K217" s="472"/>
      <c r="L217" s="472"/>
      <c r="M217" s="472"/>
      <c r="N217" s="472"/>
      <c r="O217" s="472"/>
      <c r="P217" s="472"/>
      <c r="Q217" s="220"/>
      <c r="R217" s="472"/>
      <c r="S217" s="472"/>
      <c r="T217" s="472"/>
      <c r="U217" s="472"/>
      <c r="V217" s="472"/>
      <c r="W217" s="472"/>
      <c r="X217" s="472"/>
      <c r="Y217" s="472"/>
      <c r="Z217" s="472"/>
      <c r="AA217" s="472"/>
      <c r="AB217" s="472"/>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20"/>
      <c r="BK217" s="220"/>
      <c r="BL217" s="220"/>
      <c r="BM217" s="1554"/>
      <c r="BN217" s="220"/>
      <c r="BO217" s="220"/>
      <c r="BP217" s="220"/>
      <c r="BQ217" s="220"/>
      <c r="BR217" s="220"/>
      <c r="BS217" s="220"/>
      <c r="BT217" s="220"/>
      <c r="BU217" s="220"/>
      <c r="BV217" s="220"/>
      <c r="BW217" s="220"/>
      <c r="BX217" s="220"/>
      <c r="BY217" s="220"/>
      <c r="BZ217" s="220"/>
      <c r="CA217" s="220"/>
      <c r="CB217" s="220"/>
      <c r="CC217" s="220"/>
      <c r="CD217" s="220"/>
      <c r="CE217" s="220"/>
      <c r="CF217" s="220"/>
      <c r="CG217" s="220"/>
      <c r="CH217" s="220"/>
      <c r="CI217" s="220"/>
      <c r="CJ217" s="220"/>
      <c r="CK217" s="220"/>
      <c r="CL217" s="220"/>
      <c r="CM217" s="220"/>
      <c r="CN217" s="220"/>
      <c r="CO217" s="220"/>
      <c r="CP217" s="220"/>
      <c r="CQ217" s="220"/>
      <c r="CR217" s="220"/>
      <c r="CS217" s="220"/>
      <c r="CT217" s="220"/>
      <c r="CU217" s="220"/>
      <c r="CV217" s="220"/>
      <c r="CW217" s="220"/>
      <c r="CX217" s="220"/>
      <c r="CY217" s="220"/>
      <c r="CZ217" s="220"/>
      <c r="DA217" s="220"/>
      <c r="DB217" s="220"/>
      <c r="DC217" s="220"/>
      <c r="DD217" s="220"/>
      <c r="DE217" s="220"/>
      <c r="DF217" s="220"/>
      <c r="DG217" s="220"/>
      <c r="DH217" s="220"/>
      <c r="DI217" s="220"/>
      <c r="DJ217" s="220"/>
      <c r="DK217" s="220"/>
      <c r="DL217" s="220"/>
      <c r="DM217" s="220"/>
      <c r="DN217" s="220"/>
      <c r="DO217" s="220"/>
      <c r="DP217" s="220"/>
      <c r="DQ217" s="662"/>
      <c r="DR217" s="662"/>
      <c r="DS217" s="662"/>
      <c r="DT217" s="662"/>
      <c r="DU217" s="662"/>
      <c r="DV217" s="662"/>
      <c r="DW217" s="662"/>
      <c r="DX217" s="662"/>
      <c r="DY217" s="662"/>
      <c r="DZ217" s="662"/>
      <c r="EA217" s="662"/>
      <c r="EB217" s="662"/>
      <c r="EC217" s="662"/>
      <c r="ED217" s="662"/>
      <c r="EE217" s="662"/>
      <c r="EF217" s="662"/>
      <c r="EH217" s="220"/>
      <c r="EI217" s="220"/>
      <c r="EJ217" s="220"/>
      <c r="EK217" s="220"/>
      <c r="EL217" s="220"/>
      <c r="EM217" s="220"/>
      <c r="EN217" s="220"/>
      <c r="EO217" s="220"/>
      <c r="EP217" s="220"/>
      <c r="EQ217" s="220"/>
      <c r="ER217" s="220"/>
      <c r="ES217" s="220"/>
      <c r="ET217"/>
      <c r="EU217" s="220"/>
      <c r="EV217" s="220"/>
      <c r="EW217" s="220"/>
      <c r="EX217" s="220"/>
      <c r="EY217" s="220"/>
      <c r="EZ217" s="220"/>
      <c r="FA217" s="220"/>
      <c r="FB217" s="220"/>
      <c r="FC217" s="220"/>
      <c r="FD217" s="220"/>
      <c r="FE217" s="220"/>
      <c r="FF217" s="220"/>
      <c r="FG217" s="220"/>
      <c r="FH217" s="220"/>
      <c r="FI217" s="220"/>
      <c r="FJ217" s="220"/>
      <c r="FK217" s="220"/>
      <c r="FL217" s="220"/>
      <c r="FM217" s="220"/>
      <c r="FN217" s="220"/>
      <c r="FO217" s="220"/>
      <c r="FP217" s="220"/>
      <c r="FQ217" s="220"/>
      <c r="FR217" s="220"/>
      <c r="FS217" s="220"/>
      <c r="FT217" s="220"/>
      <c r="FU217" s="220"/>
      <c r="FV217" s="220"/>
      <c r="FW217" s="220"/>
      <c r="FX217" s="220"/>
      <c r="FY217" s="220"/>
      <c r="FZ217" s="220"/>
      <c r="GA217" s="220"/>
      <c r="GB217" s="220"/>
      <c r="GC217" s="220"/>
      <c r="GD217" s="220"/>
      <c r="GE217" s="220"/>
      <c r="GF217" s="220"/>
      <c r="GG217" s="220"/>
      <c r="GH217" s="220"/>
      <c r="GI217" s="220"/>
      <c r="GJ217" s="220"/>
      <c r="GK217" s="220"/>
      <c r="GL217" s="220"/>
      <c r="GM217" s="220"/>
      <c r="GN217" s="220"/>
      <c r="GO217" s="220"/>
      <c r="GP217" s="220"/>
      <c r="GQ217" s="220"/>
      <c r="GR217" s="220"/>
      <c r="GS217" s="220"/>
      <c r="GT217" s="220"/>
      <c r="GU217" s="220"/>
      <c r="GV217" s="220"/>
      <c r="GW217" s="220"/>
      <c r="GX217" s="220"/>
      <c r="GY217" s="220"/>
      <c r="GZ217" s="220"/>
      <c r="HA217" s="220"/>
      <c r="HB217" s="220"/>
      <c r="HD217" s="220"/>
      <c r="HE217" s="220"/>
      <c r="HF217" s="220"/>
      <c r="HG217" s="220"/>
      <c r="HH217" s="220"/>
      <c r="HI217" s="220"/>
      <c r="HJ217" s="220">
        <f>+SUMIFS($E217:$CJ217,$E$6:$CJ$6,HJ$7,$E$5:$CJ$5,12)</f>
        <v>0</v>
      </c>
      <c r="HK217" s="220">
        <f>+SUMIFS($E217:$CV217,$E$6:$CV$6,HK$7,$E$5:$CV$5,12)</f>
        <v>0</v>
      </c>
      <c r="HL217" s="662">
        <f>+SUMIFS($E217:SEW217,$E$6:SEW$6,HL$7,$E$5:SEW$5,12)</f>
        <v>0</v>
      </c>
      <c r="HM217" s="662">
        <f>+SUMIFS($E217:SEX217,$E$6:SEX$6,HM$7,$E$5:SEX$5,12)</f>
        <v>0</v>
      </c>
      <c r="HN217" s="662">
        <f>+SUMIFS($E217:SEY217,$E$6:SEY$6,HN$7,$E$5:SEY$5,12)</f>
        <v>0</v>
      </c>
      <c r="HO217" s="220"/>
      <c r="HP217" s="220"/>
      <c r="HR217" s="85"/>
      <c r="HS217" s="85"/>
      <c r="HT217" s="85"/>
      <c r="HU217" s="991"/>
      <c r="HV217" s="991"/>
      <c r="HW217" s="991"/>
      <c r="HX217" s="991"/>
      <c r="HY217" s="991"/>
      <c r="HZ217" s="991"/>
      <c r="IA217" s="991" t="str">
        <f t="shared" si="1036"/>
        <v/>
      </c>
      <c r="IB217" s="85"/>
      <c r="IC217" s="991" t="str">
        <f>+IFERROR(HP217/HL217-1,"")</f>
        <v/>
      </c>
      <c r="IE217" s="220"/>
      <c r="IF217" s="220"/>
      <c r="IG217" s="220"/>
      <c r="IH217" s="220"/>
      <c r="II217" s="220">
        <f t="shared" si="1045"/>
        <v>0</v>
      </c>
      <c r="IJ217" s="220">
        <f t="shared" si="1046"/>
        <v>0</v>
      </c>
      <c r="IK217" s="220">
        <f t="shared" si="1047"/>
        <v>0</v>
      </c>
      <c r="IL217" s="220">
        <f t="shared" si="1038"/>
        <v>0</v>
      </c>
      <c r="IM217" s="220"/>
      <c r="IN217" s="220">
        <f>+HP217-HL217</f>
        <v>0</v>
      </c>
      <c r="JA217" s="220"/>
      <c r="JB217" s="220"/>
      <c r="JC217" s="220"/>
      <c r="JD217" s="220"/>
      <c r="JE217" s="220"/>
      <c r="JF217" s="220"/>
      <c r="JG217" s="220"/>
      <c r="JH217" s="220"/>
      <c r="JI217" s="220"/>
      <c r="JJ217" s="220"/>
      <c r="JK217" s="220"/>
      <c r="JL217" s="220"/>
      <c r="JM217" s="220"/>
      <c r="JN217" s="220"/>
      <c r="JO217" s="992"/>
      <c r="JP217" s="220"/>
      <c r="JQ217" s="220"/>
      <c r="JR217" s="220"/>
      <c r="JS217" s="85"/>
      <c r="JT217" s="220"/>
      <c r="JY217" s="85"/>
      <c r="JZ217" s="85"/>
      <c r="KA217" s="85"/>
      <c r="KB217" s="85"/>
      <c r="KC217" s="85"/>
      <c r="KD217" s="85"/>
      <c r="KE217" s="85"/>
      <c r="KF217" s="85"/>
      <c r="KH217" s="220"/>
      <c r="KI217" s="220"/>
      <c r="KJ217" s="220"/>
      <c r="KK217" s="220"/>
      <c r="KL217" s="220"/>
      <c r="KM217" s="220"/>
      <c r="KN217" s="220"/>
      <c r="KO217" s="220"/>
      <c r="LB217" s="220"/>
      <c r="LC217" s="220"/>
      <c r="LD217" s="220"/>
      <c r="LE217" s="220"/>
      <c r="LF217" s="220"/>
      <c r="LG217" s="220"/>
      <c r="LH217" s="220"/>
      <c r="LI217" s="220"/>
      <c r="LJ217" s="220"/>
      <c r="LK217" s="220"/>
      <c r="LL217" s="220"/>
      <c r="LM217" s="220"/>
      <c r="LN217" s="220"/>
      <c r="LO217" s="220"/>
      <c r="LR217" s="85"/>
      <c r="LS217" s="85"/>
      <c r="LT217" s="85"/>
      <c r="LU217" s="85"/>
      <c r="LV217" s="85"/>
      <c r="LW217" s="85"/>
      <c r="LX217" s="85" t="str">
        <f t="shared" si="1132"/>
        <v xml:space="preserve"> </v>
      </c>
      <c r="LZ217" s="220"/>
      <c r="MA217" s="220"/>
      <c r="MB217" s="220"/>
      <c r="MC217" s="220"/>
      <c r="MD217" s="220"/>
      <c r="ME217" s="220"/>
      <c r="MF217" s="220">
        <f t="shared" si="1133"/>
        <v>0</v>
      </c>
    </row>
    <row r="218" spans="1:354">
      <c r="A218" s="657"/>
      <c r="B218" s="657"/>
      <c r="C218" s="1555" t="s">
        <v>765</v>
      </c>
      <c r="D218" s="1556" t="s">
        <v>59</v>
      </c>
      <c r="E218" s="1557">
        <f t="shared" ref="E218:AY218" si="1143">+E202+E204</f>
        <v>11282.16584328</v>
      </c>
      <c r="F218" s="1557">
        <f t="shared" si="1143"/>
        <v>11308.42805611</v>
      </c>
      <c r="G218" s="1557">
        <f t="shared" si="1143"/>
        <v>12039.035239270001</v>
      </c>
      <c r="H218" s="1557">
        <f t="shared" si="1143"/>
        <v>12305.435433840001</v>
      </c>
      <c r="I218" s="1557">
        <f t="shared" si="1143"/>
        <v>13993.930874270001</v>
      </c>
      <c r="J218" s="1557">
        <f t="shared" si="1143"/>
        <v>14400.456024260002</v>
      </c>
      <c r="K218" s="1557">
        <f t="shared" si="1143"/>
        <v>15379.566433019998</v>
      </c>
      <c r="L218" s="1557">
        <f t="shared" si="1143"/>
        <v>16535.597538910002</v>
      </c>
      <c r="M218" s="1557">
        <f t="shared" si="1143"/>
        <v>32561.255233310003</v>
      </c>
      <c r="N218" s="1557">
        <f t="shared" si="1143"/>
        <v>17234.365240970004</v>
      </c>
      <c r="O218" s="1557">
        <f t="shared" si="1143"/>
        <v>19128.082631569996</v>
      </c>
      <c r="P218" s="1557">
        <f t="shared" si="1143"/>
        <v>19139.088902480005</v>
      </c>
      <c r="Q218" s="1557">
        <f t="shared" si="1143"/>
        <v>18518.407960889999</v>
      </c>
      <c r="R218" s="1557">
        <f t="shared" si="1143"/>
        <v>19163.943305140001</v>
      </c>
      <c r="S218" s="1557">
        <f t="shared" si="1143"/>
        <v>18457.869859940001</v>
      </c>
      <c r="T218" s="1557">
        <f t="shared" si="1143"/>
        <v>14103.475888610003</v>
      </c>
      <c r="U218" s="1557">
        <f t="shared" si="1143"/>
        <v>15829.088505870002</v>
      </c>
      <c r="V218" s="1557">
        <f t="shared" si="1143"/>
        <v>16748.039628229995</v>
      </c>
      <c r="W218" s="1557">
        <f t="shared" si="1143"/>
        <v>16290.910274679993</v>
      </c>
      <c r="X218" s="1557">
        <f t="shared" si="1143"/>
        <v>17349.769600290001</v>
      </c>
      <c r="Y218" s="1557">
        <f t="shared" si="1143"/>
        <v>16021.128897560004</v>
      </c>
      <c r="Z218" s="1557">
        <f t="shared" si="1143"/>
        <v>16218.027913419999</v>
      </c>
      <c r="AA218" s="1557">
        <f t="shared" si="1143"/>
        <v>19152.999620369999</v>
      </c>
      <c r="AB218" s="1557">
        <f t="shared" si="1143"/>
        <v>23012.309137390002</v>
      </c>
      <c r="AC218" s="1557">
        <f t="shared" si="1143"/>
        <v>21404.771648230002</v>
      </c>
      <c r="AD218" s="1557">
        <f t="shared" si="1143"/>
        <v>22918.135748469002</v>
      </c>
      <c r="AE218" s="1557">
        <f t="shared" si="1143"/>
        <v>23035.441716059002</v>
      </c>
      <c r="AF218" s="1557">
        <f t="shared" si="1143"/>
        <v>20364.702948108999</v>
      </c>
      <c r="AG218" s="1557">
        <f t="shared" si="1143"/>
        <v>21193.5162777312</v>
      </c>
      <c r="AH218" s="1557">
        <f t="shared" si="1143"/>
        <v>21210.570443201199</v>
      </c>
      <c r="AI218" s="1557">
        <f t="shared" si="1143"/>
        <v>21175.384888473403</v>
      </c>
      <c r="AJ218" s="1557">
        <f t="shared" si="1143"/>
        <v>23100.979975549599</v>
      </c>
      <c r="AK218" s="1557">
        <f t="shared" si="1143"/>
        <v>23689.081248235001</v>
      </c>
      <c r="AL218" s="1557">
        <f t="shared" si="1143"/>
        <v>25632.688091107797</v>
      </c>
      <c r="AM218" s="1557">
        <f t="shared" si="1143"/>
        <v>32209.378208080001</v>
      </c>
      <c r="AN218" s="1557">
        <f t="shared" si="1143"/>
        <v>32909.200578130003</v>
      </c>
      <c r="AO218" s="1557">
        <f t="shared" si="1143"/>
        <v>31428.594288719996</v>
      </c>
      <c r="AP218" s="1557">
        <f t="shared" si="1143"/>
        <v>34676.18119712999</v>
      </c>
      <c r="AQ218" s="1557">
        <f t="shared" si="1143"/>
        <v>31946.737652859996</v>
      </c>
      <c r="AR218" s="1557">
        <f t="shared" si="1143"/>
        <v>27813.250589509997</v>
      </c>
      <c r="AS218" s="1557">
        <f t="shared" si="1143"/>
        <v>27768.801303549993</v>
      </c>
      <c r="AT218" s="1557">
        <f t="shared" si="1143"/>
        <v>27412.102041989994</v>
      </c>
      <c r="AU218" s="1557">
        <f t="shared" si="1143"/>
        <v>27060.258511139997</v>
      </c>
      <c r="AV218" s="1557">
        <f t="shared" si="1143"/>
        <v>27041.125118389999</v>
      </c>
      <c r="AW218" s="1557">
        <f t="shared" si="1143"/>
        <v>27055.91388349</v>
      </c>
      <c r="AX218" s="1557">
        <f t="shared" si="1143"/>
        <v>27879.301571329997</v>
      </c>
      <c r="AY218" s="1557">
        <f t="shared" si="1143"/>
        <v>27097.588466279994</v>
      </c>
      <c r="AZ218" s="1557">
        <f>+AZ202+AZ204</f>
        <v>27423.452831980001</v>
      </c>
      <c r="BA218" s="1557">
        <f t="shared" ref="BA218:DE218" si="1144">+BA202+BA204</f>
        <v>26493.44757937</v>
      </c>
      <c r="BB218" s="1557">
        <f t="shared" si="1144"/>
        <v>25764.225709239996</v>
      </c>
      <c r="BC218" s="1557">
        <f t="shared" si="1144"/>
        <v>24443.400277879999</v>
      </c>
      <c r="BD218" s="1557">
        <f t="shared" si="1144"/>
        <v>22912.716408850003</v>
      </c>
      <c r="BE218" s="1557">
        <f t="shared" si="1144"/>
        <v>22231.975695150002</v>
      </c>
      <c r="BF218" s="1557">
        <f t="shared" si="1144"/>
        <v>21730.640044619999</v>
      </c>
      <c r="BG218" s="1557">
        <f t="shared" si="1144"/>
        <v>21851.275319380002</v>
      </c>
      <c r="BH218" s="1557">
        <f t="shared" si="1144"/>
        <v>20644.782083059996</v>
      </c>
      <c r="BI218" s="1557">
        <f t="shared" si="1144"/>
        <v>20350.875652230003</v>
      </c>
      <c r="BJ218" s="1557">
        <f t="shared" si="1144"/>
        <v>20312.714945340002</v>
      </c>
      <c r="BK218" s="1557">
        <f t="shared" si="1144"/>
        <v>19990.656503409999</v>
      </c>
      <c r="BL218" s="1557">
        <f t="shared" si="1144"/>
        <v>20677.934842410003</v>
      </c>
      <c r="BM218" s="1557">
        <f t="shared" si="1144"/>
        <v>21579.606489719998</v>
      </c>
      <c r="BN218" s="1557">
        <f t="shared" si="1144"/>
        <v>21554.204260799997</v>
      </c>
      <c r="BO218" s="1557">
        <f t="shared" si="1144"/>
        <v>21773.308288949993</v>
      </c>
      <c r="BP218" s="1557">
        <f t="shared" si="1144"/>
        <v>22190.068717149996</v>
      </c>
      <c r="BQ218" s="1557">
        <f t="shared" si="1144"/>
        <v>21762.865880849997</v>
      </c>
      <c r="BR218" s="1557">
        <f t="shared" si="1144"/>
        <v>21717.630840339996</v>
      </c>
      <c r="BS218" s="1557">
        <f t="shared" si="1144"/>
        <v>21817.453619999997</v>
      </c>
      <c r="BT218" s="1557">
        <f t="shared" si="1144"/>
        <v>21787.420731979997</v>
      </c>
      <c r="BU218" s="1557">
        <f t="shared" si="1144"/>
        <v>21494.490447059994</v>
      </c>
      <c r="BV218" s="1557">
        <f t="shared" si="1144"/>
        <v>21921.855613099993</v>
      </c>
      <c r="BW218" s="1557">
        <f t="shared" si="1144"/>
        <v>21897.005102889998</v>
      </c>
      <c r="BX218" s="1557">
        <f t="shared" si="1144"/>
        <v>21402.207952309996</v>
      </c>
      <c r="BY218" s="1557">
        <f t="shared" si="1144"/>
        <v>21313.489603989998</v>
      </c>
      <c r="BZ218" s="1557">
        <f t="shared" si="1144"/>
        <v>21208.176234399994</v>
      </c>
      <c r="CA218" s="1557">
        <f t="shared" si="1144"/>
        <v>21218.394499579998</v>
      </c>
      <c r="CB218" s="1557">
        <f t="shared" si="1144"/>
        <v>20764.634235760001</v>
      </c>
      <c r="CC218" s="1557">
        <f t="shared" si="1144"/>
        <v>20152.943336460001</v>
      </c>
      <c r="CD218" s="1557">
        <f t="shared" si="1144"/>
        <v>20206.772990999998</v>
      </c>
      <c r="CE218" s="1557">
        <f t="shared" si="1144"/>
        <v>20275.618270139996</v>
      </c>
      <c r="CF218" s="1557">
        <f t="shared" si="1144"/>
        <v>20454.767868259994</v>
      </c>
      <c r="CG218" s="1557">
        <f t="shared" si="1144"/>
        <v>20634.91693318</v>
      </c>
      <c r="CH218" s="1557">
        <f t="shared" si="1144"/>
        <v>21320.636160409995</v>
      </c>
      <c r="CI218" s="1557">
        <f t="shared" si="1144"/>
        <v>22075.679223819996</v>
      </c>
      <c r="CJ218" s="1557">
        <f t="shared" si="1144"/>
        <v>22007.51954419</v>
      </c>
      <c r="CK218" s="1557">
        <f t="shared" si="1144"/>
        <v>22413.750703940001</v>
      </c>
      <c r="CL218" s="1557">
        <f t="shared" si="1144"/>
        <v>22241.758410209997</v>
      </c>
      <c r="CM218" s="1557">
        <f t="shared" si="1144"/>
        <v>22632.657754779997</v>
      </c>
      <c r="CN218" s="1557">
        <f t="shared" si="1144"/>
        <v>22941.920740149999</v>
      </c>
      <c r="CO218" s="1557">
        <f t="shared" si="1144"/>
        <v>23078.638255639999</v>
      </c>
      <c r="CP218" s="1557">
        <f t="shared" si="1144"/>
        <v>23065.722959399998</v>
      </c>
      <c r="CQ218" s="1557">
        <f t="shared" si="1144"/>
        <v>22871.405886839999</v>
      </c>
      <c r="CR218" s="1557">
        <f t="shared" si="1144"/>
        <v>23551.901671279997</v>
      </c>
      <c r="CS218" s="1557">
        <f t="shared" si="1144"/>
        <v>23675.449670539998</v>
      </c>
      <c r="CT218" s="1557">
        <f t="shared" si="1144"/>
        <v>24988.896851519996</v>
      </c>
      <c r="CU218" s="1557">
        <f t="shared" si="1144"/>
        <v>25060.551760049995</v>
      </c>
      <c r="CV218" s="1557">
        <f t="shared" si="1144"/>
        <v>24646.056420939996</v>
      </c>
      <c r="CW218" s="1557">
        <f t="shared" si="1144"/>
        <v>24643.362724019997</v>
      </c>
      <c r="CX218" s="1557">
        <f t="shared" si="1144"/>
        <v>24811.714675859999</v>
      </c>
      <c r="CY218" s="1557">
        <f t="shared" si="1144"/>
        <v>26305.246460679999</v>
      </c>
      <c r="CZ218" s="1557">
        <f t="shared" si="1144"/>
        <v>25048.102378720003</v>
      </c>
      <c r="DA218" s="1557">
        <f t="shared" si="1144"/>
        <v>23213.224559590002</v>
      </c>
      <c r="DB218" s="1557">
        <f t="shared" si="1144"/>
        <v>21439.633312590002</v>
      </c>
      <c r="DC218" s="1557">
        <f t="shared" si="1144"/>
        <v>20867.431795690001</v>
      </c>
      <c r="DD218" s="1557">
        <f t="shared" si="1144"/>
        <v>21373.293048520001</v>
      </c>
      <c r="DE218" s="1557">
        <f t="shared" si="1144"/>
        <v>21981.516187370002</v>
      </c>
      <c r="DF218" s="1557">
        <f>+DF202+DF204</f>
        <v>22339.827830790004</v>
      </c>
      <c r="DG218" s="1557">
        <f t="shared" ref="DG218:EF218" si="1145">+DG202+DG204</f>
        <v>22192.567928620003</v>
      </c>
      <c r="DH218" s="1557">
        <f t="shared" si="1145"/>
        <v>22110.090268870001</v>
      </c>
      <c r="DI218" s="1557">
        <f t="shared" si="1145"/>
        <v>21951.34695721</v>
      </c>
      <c r="DJ218" s="1557">
        <f t="shared" si="1145"/>
        <v>21474.989507190003</v>
      </c>
      <c r="DK218" s="1557">
        <f t="shared" si="1145"/>
        <v>21243.272006900002</v>
      </c>
      <c r="DL218" s="1557">
        <f t="shared" si="1145"/>
        <v>21792.62135578</v>
      </c>
      <c r="DM218" s="1557">
        <f t="shared" si="1145"/>
        <v>21909.657482440001</v>
      </c>
      <c r="DN218" s="1557">
        <f t="shared" si="1145"/>
        <v>21892.060320640005</v>
      </c>
      <c r="DO218" s="1557">
        <f t="shared" si="1145"/>
        <v>22084.01306913</v>
      </c>
      <c r="DP218" s="1557">
        <f t="shared" si="1145"/>
        <v>22339.058165640003</v>
      </c>
      <c r="DQ218" s="1558">
        <f t="shared" si="1145"/>
        <v>21608.445559120002</v>
      </c>
      <c r="DR218" s="1558">
        <f t="shared" si="1145"/>
        <v>22035.653554520002</v>
      </c>
      <c r="DS218" s="1558">
        <f t="shared" si="1145"/>
        <v>22300.923541730001</v>
      </c>
      <c r="DT218" s="1558">
        <f t="shared" si="1145"/>
        <v>22115.131739790006</v>
      </c>
      <c r="DU218" s="1558">
        <f t="shared" si="1145"/>
        <v>22938.157519830002</v>
      </c>
      <c r="DV218" s="1558">
        <f t="shared" si="1145"/>
        <v>22506.239610960001</v>
      </c>
      <c r="DW218" s="1558">
        <f t="shared" si="1145"/>
        <v>21979.724555000001</v>
      </c>
      <c r="DX218" s="1558">
        <f t="shared" si="1145"/>
        <v>22463.113819960003</v>
      </c>
      <c r="DY218" s="1558">
        <f t="shared" si="1145"/>
        <v>22464.428410770004</v>
      </c>
      <c r="DZ218" s="1558">
        <f t="shared" si="1145"/>
        <v>23482.724635570004</v>
      </c>
      <c r="EA218" s="1558">
        <f t="shared" si="1145"/>
        <v>23529.007585430005</v>
      </c>
      <c r="EB218" s="1558">
        <f t="shared" si="1145"/>
        <v>24862.153520030006</v>
      </c>
      <c r="EC218" s="1558">
        <f t="shared" si="1145"/>
        <v>26521.016518740005</v>
      </c>
      <c r="ED218" s="1558">
        <f t="shared" si="1145"/>
        <v>28787.289515280005</v>
      </c>
      <c r="EE218" s="1558">
        <f t="shared" si="1145"/>
        <v>31083.115760500004</v>
      </c>
      <c r="EF218" s="1558">
        <f t="shared" si="1145"/>
        <v>29896.76127898</v>
      </c>
      <c r="EH218" s="1557" t="e">
        <f t="shared" ref="EH218:ES218" si="1146">+EH202+EH204</f>
        <v>#VALUE!</v>
      </c>
      <c r="EI218" s="1557" t="e">
        <f t="shared" si="1146"/>
        <v>#VALUE!</v>
      </c>
      <c r="EJ218" s="1557" t="e">
        <f t="shared" si="1146"/>
        <v>#VALUE!</v>
      </c>
      <c r="EK218" s="1557" t="e">
        <f t="shared" si="1146"/>
        <v>#VALUE!</v>
      </c>
      <c r="EL218" s="1557" t="e">
        <f t="shared" si="1146"/>
        <v>#VALUE!</v>
      </c>
      <c r="EM218" s="1557" t="e">
        <f t="shared" si="1146"/>
        <v>#VALUE!</v>
      </c>
      <c r="EN218" s="1557" t="e">
        <f t="shared" si="1146"/>
        <v>#VALUE!</v>
      </c>
      <c r="EO218" s="1557" t="e">
        <f t="shared" si="1146"/>
        <v>#VALUE!</v>
      </c>
      <c r="EP218" s="1557" t="e">
        <f t="shared" si="1146"/>
        <v>#VALUE!</v>
      </c>
      <c r="EQ218" s="1557" t="e">
        <f t="shared" si="1146"/>
        <v>#VALUE!</v>
      </c>
      <c r="ER218" s="1557" t="e">
        <f t="shared" si="1146"/>
        <v>#VALUE!</v>
      </c>
      <c r="ES218" s="1557" t="e">
        <f t="shared" si="1146"/>
        <v>#VALUE!</v>
      </c>
      <c r="ET218" s="279"/>
      <c r="EU218" s="1557">
        <f t="shared" ref="EU218:FZ218" si="1147">+EU202+EU204</f>
        <v>29174.37721070855</v>
      </c>
      <c r="EV218" s="1557">
        <f t="shared" si="1147"/>
        <v>32993.527724701591</v>
      </c>
      <c r="EW218" s="1557">
        <f t="shared" si="1147"/>
        <v>32537.969409555975</v>
      </c>
      <c r="EX218" s="1557">
        <f t="shared" si="1147"/>
        <v>28531.213748001108</v>
      </c>
      <c r="EY218" s="1557">
        <f t="shared" si="1147"/>
        <v>28484.738744934126</v>
      </c>
      <c r="EZ218" s="1557">
        <f t="shared" si="1147"/>
        <v>29046.512594084859</v>
      </c>
      <c r="FA218" s="1557">
        <f t="shared" si="1147"/>
        <v>27429.459321026421</v>
      </c>
      <c r="FB218" s="1557">
        <f t="shared" si="1147"/>
        <v>29972.727795232455</v>
      </c>
      <c r="FC218" s="1557">
        <f t="shared" si="1147"/>
        <v>30907.28031593957</v>
      </c>
      <c r="FD218" s="1557">
        <f t="shared" si="1147"/>
        <v>32928.125578556283</v>
      </c>
      <c r="FE218" s="1557">
        <f t="shared" si="1147"/>
        <v>31038.224297716697</v>
      </c>
      <c r="FF218" s="1557">
        <f t="shared" si="1147"/>
        <v>33081.279135422039</v>
      </c>
      <c r="FG218" s="1557">
        <f t="shared" si="1147"/>
        <v>24074.515355902367</v>
      </c>
      <c r="FH218" s="1557">
        <f t="shared" si="1147"/>
        <v>23281.85500143034</v>
      </c>
      <c r="FI218" s="1557">
        <f t="shared" si="1147"/>
        <v>22823.588487671106</v>
      </c>
      <c r="FJ218" s="1557">
        <f t="shared" si="1147"/>
        <v>24130.911735460104</v>
      </c>
      <c r="FK218" s="1557">
        <f t="shared" si="1147"/>
        <v>23725.128281750036</v>
      </c>
      <c r="FL218" s="1557">
        <f t="shared" si="1147"/>
        <v>23755.442434677665</v>
      </c>
      <c r="FM218" s="1557">
        <f t="shared" si="1147"/>
        <v>23693.484180220221</v>
      </c>
      <c r="FN218" s="1557">
        <f t="shared" si="1147"/>
        <v>24077.018072080853</v>
      </c>
      <c r="FO218" s="1557">
        <f t="shared" si="1147"/>
        <v>24407.024149606696</v>
      </c>
      <c r="FP218" s="1557">
        <f t="shared" si="1147"/>
        <v>24750.689583300315</v>
      </c>
      <c r="FQ218" s="1557">
        <f t="shared" si="1147"/>
        <v>24828.645238349625</v>
      </c>
      <c r="FR218" s="1557">
        <f t="shared" si="1147"/>
        <v>24486.487746734303</v>
      </c>
      <c r="FS218" s="1557">
        <f t="shared" si="1147"/>
        <v>20469.19835673345</v>
      </c>
      <c r="FT218" s="1557">
        <f t="shared" si="1147"/>
        <v>20703.953034798098</v>
      </c>
      <c r="FU218" s="1557">
        <f t="shared" si="1147"/>
        <v>21076.487409149871</v>
      </c>
      <c r="FV218" s="1557">
        <f t="shared" si="1147"/>
        <v>21194.900873686373</v>
      </c>
      <c r="FW218" s="1557">
        <f t="shared" si="1147"/>
        <v>21529.281899294932</v>
      </c>
      <c r="FX218" s="1557">
        <f t="shared" si="1147"/>
        <v>21757.915066483809</v>
      </c>
      <c r="FY218" s="1557">
        <f t="shared" si="1147"/>
        <v>22115.82128515737</v>
      </c>
      <c r="FZ218" s="1557">
        <f t="shared" si="1147"/>
        <v>21962.845179160584</v>
      </c>
      <c r="GA218" s="1557">
        <f t="shared" ref="GA218:HB218" si="1148">+GA202+GA204</f>
        <v>21674.923191638598</v>
      </c>
      <c r="GB218" s="1557">
        <f t="shared" si="1148"/>
        <v>21354.099438261997</v>
      </c>
      <c r="GC218" s="1557">
        <f t="shared" si="1148"/>
        <v>21172.183268453155</v>
      </c>
      <c r="GD218" s="1557">
        <f t="shared" si="1148"/>
        <v>20930.50697036615</v>
      </c>
      <c r="GE218" s="1557" t="e">
        <f t="shared" si="1148"/>
        <v>#VALUE!</v>
      </c>
      <c r="GF218" s="1557" t="e">
        <f t="shared" si="1148"/>
        <v>#VALUE!</v>
      </c>
      <c r="GG218" s="1557" t="e">
        <f t="shared" si="1148"/>
        <v>#VALUE!</v>
      </c>
      <c r="GH218" s="1557" t="e">
        <f t="shared" si="1148"/>
        <v>#VALUE!</v>
      </c>
      <c r="GI218" s="1557" t="e">
        <f t="shared" si="1148"/>
        <v>#VALUE!</v>
      </c>
      <c r="GJ218" s="1557" t="e">
        <f t="shared" si="1148"/>
        <v>#VALUE!</v>
      </c>
      <c r="GK218" s="1557" t="e">
        <f t="shared" si="1148"/>
        <v>#VALUE!</v>
      </c>
      <c r="GL218" s="1557" t="e">
        <f t="shared" si="1148"/>
        <v>#VALUE!</v>
      </c>
      <c r="GM218" s="1557" t="e">
        <f t="shared" si="1148"/>
        <v>#VALUE!</v>
      </c>
      <c r="GN218" s="1557" t="e">
        <f t="shared" si="1148"/>
        <v>#VALUE!</v>
      </c>
      <c r="GO218" s="1557" t="e">
        <f t="shared" si="1148"/>
        <v>#VALUE!</v>
      </c>
      <c r="GP218" s="1557" t="e">
        <f t="shared" si="1148"/>
        <v>#VALUE!</v>
      </c>
      <c r="GQ218" s="1557" t="e">
        <f t="shared" si="1148"/>
        <v>#VALUE!</v>
      </c>
      <c r="GR218" s="1557" t="e">
        <f t="shared" si="1148"/>
        <v>#VALUE!</v>
      </c>
      <c r="GS218" s="1557" t="e">
        <f t="shared" si="1148"/>
        <v>#VALUE!</v>
      </c>
      <c r="GT218" s="1557" t="e">
        <f t="shared" si="1148"/>
        <v>#VALUE!</v>
      </c>
      <c r="GU218" s="1557" t="e">
        <f t="shared" si="1148"/>
        <v>#VALUE!</v>
      </c>
      <c r="GV218" s="1557" t="e">
        <f t="shared" si="1148"/>
        <v>#VALUE!</v>
      </c>
      <c r="GW218" s="1557" t="e">
        <f t="shared" si="1148"/>
        <v>#VALUE!</v>
      </c>
      <c r="GX218" s="1557" t="e">
        <f t="shared" si="1148"/>
        <v>#VALUE!</v>
      </c>
      <c r="GY218" s="1557" t="e">
        <f t="shared" si="1148"/>
        <v>#VALUE!</v>
      </c>
      <c r="GZ218" s="1557" t="e">
        <f t="shared" si="1148"/>
        <v>#VALUE!</v>
      </c>
      <c r="HA218" s="1557" t="e">
        <f t="shared" si="1148"/>
        <v>#VALUE!</v>
      </c>
      <c r="HB218" s="1557" t="e">
        <f t="shared" si="1148"/>
        <v>#VALUE!</v>
      </c>
      <c r="HD218" s="1558">
        <f t="shared" ref="HD218:HP218" si="1149">+HD202+HD204</f>
        <v>19139.088902480005</v>
      </c>
      <c r="HE218" s="1558">
        <f t="shared" si="1149"/>
        <v>23012.309137390002</v>
      </c>
      <c r="HF218" s="1558">
        <f t="shared" si="1149"/>
        <v>32909.200578130003</v>
      </c>
      <c r="HG218" s="1558">
        <f t="shared" si="1149"/>
        <v>27423.452831980001</v>
      </c>
      <c r="HH218" s="1558">
        <f t="shared" si="1149"/>
        <v>20677.934842410003</v>
      </c>
      <c r="HI218" s="1558">
        <f t="shared" si="1149"/>
        <v>21402.207952309996</v>
      </c>
      <c r="HJ218" s="1558">
        <f t="shared" si="1149"/>
        <v>22007.51954419</v>
      </c>
      <c r="HK218" s="1558">
        <f t="shared" si="1149"/>
        <v>24646.056420939996</v>
      </c>
      <c r="HL218" s="1558">
        <f t="shared" si="1149"/>
        <v>22110.090268870001</v>
      </c>
      <c r="HM218" s="1558">
        <f t="shared" si="1149"/>
        <v>22115.131739790006</v>
      </c>
      <c r="HN218" s="1558">
        <f t="shared" si="1149"/>
        <v>29896.76127898</v>
      </c>
      <c r="HO218" s="1558">
        <f t="shared" si="1149"/>
        <v>0</v>
      </c>
      <c r="HP218" s="1558">
        <f t="shared" si="1149"/>
        <v>0</v>
      </c>
      <c r="HR218" s="1559">
        <f t="shared" ref="HR218:HZ218" si="1150">+IFERROR(HF218/HE218-1,"")</f>
        <v>0.43006946333167861</v>
      </c>
      <c r="HS218" s="1559">
        <f t="shared" si="1150"/>
        <v>-0.16669343678301285</v>
      </c>
      <c r="HT218" s="1559">
        <f t="shared" si="1150"/>
        <v>-0.24597624635011961</v>
      </c>
      <c r="HU218" s="1559">
        <f t="shared" si="1150"/>
        <v>3.5026375478006022E-2</v>
      </c>
      <c r="HV218" s="1559">
        <f t="shared" si="1150"/>
        <v>2.8282670331435167E-2</v>
      </c>
      <c r="HW218" s="1559">
        <f t="shared" si="1150"/>
        <v>0.11989251544009516</v>
      </c>
      <c r="HX218" s="1559">
        <f t="shared" si="1150"/>
        <v>-0.10289541291138837</v>
      </c>
      <c r="HY218" s="1559">
        <f t="shared" si="1150"/>
        <v>2.2801674975991837E-4</v>
      </c>
      <c r="HZ218" s="1559">
        <f t="shared" si="1150"/>
        <v>0.35186901126115044</v>
      </c>
      <c r="IA218" s="1559">
        <f t="shared" si="1036"/>
        <v>-1</v>
      </c>
      <c r="IB218" s="1559" t="str">
        <f>+IFERROR(HP218/HO218-1,"")</f>
        <v/>
      </c>
      <c r="IC218" s="1559">
        <f>+IFERROR(HP218/HL218-1,"")</f>
        <v>-1</v>
      </c>
      <c r="IE218" s="1557">
        <f>+HF218-HE218</f>
        <v>9896.8914407400007</v>
      </c>
      <c r="IF218" s="1557">
        <f>+HG218-HF218</f>
        <v>-5485.7477461500021</v>
      </c>
      <c r="IG218" s="1557">
        <f>+HH218-HG218</f>
        <v>-6745.5179895699985</v>
      </c>
      <c r="IH218" s="1557">
        <f>+HI218-HH218</f>
        <v>724.27310989999387</v>
      </c>
      <c r="II218" s="1557">
        <f t="shared" si="1045"/>
        <v>605.31159188000311</v>
      </c>
      <c r="IJ218" s="1557">
        <f t="shared" si="1046"/>
        <v>2638.5368767499967</v>
      </c>
      <c r="IK218" s="1557">
        <f t="shared" si="1047"/>
        <v>-2535.9661520699956</v>
      </c>
      <c r="IL218" s="1557">
        <f t="shared" si="1038"/>
        <v>-22110.090268870001</v>
      </c>
      <c r="IM218" s="1557">
        <f>+HP218-HO218</f>
        <v>0</v>
      </c>
      <c r="IN218" s="1557">
        <f>+HP218-HL218</f>
        <v>-22110.090268870001</v>
      </c>
      <c r="IP218" s="1548"/>
      <c r="IQ218" s="1548"/>
      <c r="IR218" s="1548"/>
      <c r="IS218" s="1548"/>
      <c r="IT218" s="1548"/>
      <c r="IU218" s="1548"/>
      <c r="IV218" s="1548"/>
      <c r="IW218" s="1548"/>
      <c r="IX218" s="1548"/>
      <c r="IY218" s="1548"/>
      <c r="JA218" s="1558">
        <f t="shared" ref="JA218:JL218" si="1151">+JA202+JA204</f>
        <v>19139.088902480005</v>
      </c>
      <c r="JB218" s="1558">
        <f t="shared" si="1151"/>
        <v>23012.309137390002</v>
      </c>
      <c r="JC218" s="1558">
        <f t="shared" si="1151"/>
        <v>32909.200578130003</v>
      </c>
      <c r="JD218" s="1558">
        <f t="shared" si="1151"/>
        <v>27423.452831980001</v>
      </c>
      <c r="JE218" s="1558">
        <f t="shared" si="1151"/>
        <v>20677.934842410003</v>
      </c>
      <c r="JF218" s="1558">
        <f t="shared" si="1151"/>
        <v>21402.207952309996</v>
      </c>
      <c r="JG218" s="1558">
        <f t="shared" si="1151"/>
        <v>22007.51954419</v>
      </c>
      <c r="JH218" s="1558">
        <f t="shared" si="1151"/>
        <v>24646.056420939996</v>
      </c>
      <c r="JI218" s="1558">
        <f t="shared" si="1151"/>
        <v>22110.090268870001</v>
      </c>
      <c r="JJ218" s="1558">
        <f t="shared" si="1151"/>
        <v>22115.131739790006</v>
      </c>
      <c r="JK218" s="1558">
        <f t="shared" si="1151"/>
        <v>29896.76127898</v>
      </c>
      <c r="JL218" s="1558">
        <f t="shared" si="1151"/>
        <v>29896.76127898</v>
      </c>
      <c r="JM218" s="1557"/>
      <c r="JN218" s="1557"/>
      <c r="JO218" s="95"/>
      <c r="JP218" s="1557">
        <f>+JN218</f>
        <v>0</v>
      </c>
      <c r="JQ218" s="1557">
        <f>+JM218</f>
        <v>0</v>
      </c>
      <c r="JR218" s="939"/>
      <c r="JS218" s="1559" t="str">
        <f>+IFERROR(JP218/JQ218,"NA")</f>
        <v>NA</v>
      </c>
      <c r="JT218" s="1560">
        <f>+IFERROR(JP218-JQ218,"NA")</f>
        <v>0</v>
      </c>
      <c r="JV218" s="973"/>
      <c r="JW218" s="973"/>
      <c r="JY218" s="1561">
        <f t="shared" ref="JY218:KE218" si="1152">+IFERROR(JC218/JB218-1,"NA")</f>
        <v>0.43006946333167861</v>
      </c>
      <c r="JZ218" s="1561">
        <f t="shared" si="1152"/>
        <v>-0.16669343678301285</v>
      </c>
      <c r="KA218" s="1561">
        <f t="shared" si="1152"/>
        <v>-0.24597624635011961</v>
      </c>
      <c r="KB218" s="1561">
        <f t="shared" si="1152"/>
        <v>3.5026375478006022E-2</v>
      </c>
      <c r="KC218" s="1561">
        <f t="shared" si="1152"/>
        <v>2.8282670331435167E-2</v>
      </c>
      <c r="KD218" s="1561">
        <f t="shared" si="1152"/>
        <v>0.11989251544009516</v>
      </c>
      <c r="KE218" s="1561">
        <f t="shared" si="1152"/>
        <v>-0.10289541291138837</v>
      </c>
      <c r="KF218" s="1561">
        <f>+IFERROR(JN218/JI218-1,"NA")</f>
        <v>-1</v>
      </c>
      <c r="KH218" s="1557">
        <f t="shared" ref="KH218:KN218" si="1153">+JC218-JB218</f>
        <v>9896.8914407400007</v>
      </c>
      <c r="KI218" s="1557">
        <f t="shared" si="1153"/>
        <v>-5485.7477461500021</v>
      </c>
      <c r="KJ218" s="1557">
        <f t="shared" si="1153"/>
        <v>-6745.5179895699985</v>
      </c>
      <c r="KK218" s="1557">
        <f t="shared" si="1153"/>
        <v>724.27310989999387</v>
      </c>
      <c r="KL218" s="1557">
        <f t="shared" si="1153"/>
        <v>605.31159188000311</v>
      </c>
      <c r="KM218" s="1557">
        <f t="shared" si="1153"/>
        <v>2638.5368767499967</v>
      </c>
      <c r="KN218" s="1557">
        <f t="shared" si="1153"/>
        <v>-2535.9661520699956</v>
      </c>
      <c r="KO218" s="1557">
        <f>+JN218-JI218</f>
        <v>-22110.090268870001</v>
      </c>
      <c r="KQ218" s="1548"/>
      <c r="KR218" s="1548"/>
      <c r="KS218" s="1548"/>
      <c r="KT218" s="1548"/>
      <c r="KU218" s="1548"/>
      <c r="KV218" s="1548"/>
      <c r="KW218" s="1548"/>
      <c r="KX218" s="1548"/>
      <c r="KY218" s="1548"/>
      <c r="KZ218" s="1548"/>
      <c r="LB218" s="1557">
        <f t="shared" ref="LB218:LM218" si="1154">+SUMIFS($E218:$EG218,$E$6:$EG$6,LB$7,$E$5:$EG$5,$LD$5)</f>
        <v>19139.088902480005</v>
      </c>
      <c r="LC218" s="1557">
        <f t="shared" si="1154"/>
        <v>23012.309137390002</v>
      </c>
      <c r="LD218" s="1557">
        <f t="shared" si="1154"/>
        <v>32909.200578130003</v>
      </c>
      <c r="LE218" s="1557">
        <f t="shared" si="1154"/>
        <v>27423.452831980001</v>
      </c>
      <c r="LF218" s="1557">
        <f t="shared" si="1154"/>
        <v>20677.934842410003</v>
      </c>
      <c r="LG218" s="1557">
        <f t="shared" si="1154"/>
        <v>21402.207952309996</v>
      </c>
      <c r="LH218" s="1557">
        <f t="shared" si="1154"/>
        <v>22007.51954419</v>
      </c>
      <c r="LI218" s="1557">
        <f t="shared" si="1154"/>
        <v>24646.056420939996</v>
      </c>
      <c r="LJ218" s="1557">
        <f t="shared" si="1154"/>
        <v>22110.090268870001</v>
      </c>
      <c r="LK218" s="1557">
        <f t="shared" si="1154"/>
        <v>22115.131739790006</v>
      </c>
      <c r="LL218" s="1557">
        <f t="shared" si="1154"/>
        <v>29896.76127898</v>
      </c>
      <c r="LM218" s="1557">
        <f t="shared" si="1154"/>
        <v>29896.76127898</v>
      </c>
      <c r="LN218" s="1557"/>
      <c r="LO218" s="1557"/>
      <c r="LR218" s="1561">
        <f t="shared" ref="LR218:LW218" si="1155">+IFERROR(LD218/LC218-1," ")</f>
        <v>0.43006946333167861</v>
      </c>
      <c r="LS218" s="1561">
        <f t="shared" si="1155"/>
        <v>-0.16669343678301285</v>
      </c>
      <c r="LT218" s="1561">
        <f t="shared" si="1155"/>
        <v>-0.24597624635011961</v>
      </c>
      <c r="LU218" s="1561">
        <f t="shared" si="1155"/>
        <v>3.5026375478006022E-2</v>
      </c>
      <c r="LV218" s="1561">
        <f t="shared" si="1155"/>
        <v>2.8282670331435167E-2</v>
      </c>
      <c r="LW218" s="1561">
        <f t="shared" si="1155"/>
        <v>0.11989251544009516</v>
      </c>
      <c r="LX218" s="1561">
        <f t="shared" si="1132"/>
        <v>-1</v>
      </c>
      <c r="LZ218" s="1557">
        <f t="shared" ref="LZ218:ME218" si="1156">+LD218-LC218</f>
        <v>9896.8914407400007</v>
      </c>
      <c r="MA218" s="1557">
        <f t="shared" si="1156"/>
        <v>-5485.7477461500021</v>
      </c>
      <c r="MB218" s="1557">
        <f t="shared" si="1156"/>
        <v>-6745.5179895699985</v>
      </c>
      <c r="MC218" s="1557">
        <f t="shared" si="1156"/>
        <v>724.27310989999387</v>
      </c>
      <c r="MD218" s="1557">
        <f t="shared" si="1156"/>
        <v>605.31159188000311</v>
      </c>
      <c r="ME218" s="1557">
        <f t="shared" si="1156"/>
        <v>2638.5368767499967</v>
      </c>
      <c r="MF218" s="1557">
        <f t="shared" si="1133"/>
        <v>-24646.056420939996</v>
      </c>
      <c r="MH218" s="1548"/>
      <c r="MI218" s="1548"/>
      <c r="MJ218" s="1548"/>
      <c r="MK218" s="1548"/>
      <c r="ML218" s="1548"/>
      <c r="MM218" s="1548"/>
      <c r="MN218" s="1548"/>
      <c r="MO218" s="1548"/>
      <c r="MP218" s="1548"/>
    </row>
    <row r="219" spans="1:354">
      <c r="A219" s="657"/>
      <c r="B219" s="657"/>
      <c r="E219" s="88"/>
      <c r="F219" s="88"/>
      <c r="G219" s="88"/>
      <c r="H219" s="88"/>
      <c r="I219" s="88"/>
      <c r="J219" s="88"/>
      <c r="K219" s="88"/>
      <c r="L219" s="88"/>
      <c r="M219" s="88"/>
      <c r="N219" s="88"/>
      <c r="O219" s="88"/>
      <c r="P219" s="88"/>
      <c r="Q219" s="145"/>
      <c r="R219" s="88"/>
      <c r="S219" s="88"/>
      <c r="T219" s="88"/>
      <c r="U219" s="88"/>
      <c r="V219" s="88"/>
      <c r="W219" s="88"/>
      <c r="X219" s="88"/>
      <c r="Y219" s="88"/>
      <c r="Z219" s="88"/>
      <c r="AA219" s="88"/>
      <c r="AB219" s="88"/>
      <c r="AC219" s="145"/>
      <c r="AD219" s="145"/>
      <c r="AE219" s="145"/>
      <c r="AF219" s="145"/>
      <c r="AG219" s="145"/>
      <c r="AH219" s="145"/>
      <c r="AI219" s="145"/>
      <c r="AJ219" s="145"/>
      <c r="AL219" s="145"/>
      <c r="AM219" s="145"/>
      <c r="AN219" s="145"/>
      <c r="AO219" s="145"/>
      <c r="AP219" s="145"/>
      <c r="AQ219" s="220"/>
      <c r="AR219" s="220"/>
      <c r="AS219" s="145"/>
      <c r="AT219" s="145"/>
      <c r="AU219" s="145"/>
      <c r="AV219" s="145"/>
      <c r="AW219" s="145"/>
      <c r="AX219" s="145"/>
      <c r="AY219" s="145"/>
      <c r="AZ219" s="949"/>
      <c r="BA219" s="993"/>
      <c r="BB219" s="993"/>
      <c r="BC219" s="993"/>
      <c r="BD219" s="993"/>
      <c r="BE219" s="145"/>
      <c r="BF219" s="145"/>
      <c r="BG219" s="145"/>
      <c r="BH219" s="145"/>
      <c r="BI219" s="145"/>
      <c r="BJ219" s="145"/>
      <c r="BK219" s="145"/>
      <c r="BL219" s="145"/>
      <c r="BM219" s="963"/>
      <c r="BN219" s="145"/>
      <c r="BO219" s="145"/>
      <c r="BP219" s="963"/>
      <c r="BQ219" s="963"/>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963"/>
      <c r="DR219" s="963"/>
      <c r="DS219" s="963"/>
      <c r="DT219" s="963"/>
      <c r="DU219" s="963"/>
      <c r="DV219" s="963"/>
      <c r="DW219" s="963"/>
      <c r="DX219" s="963"/>
      <c r="DY219" s="963"/>
      <c r="DZ219" s="963"/>
      <c r="EA219" s="963"/>
      <c r="EB219" s="963"/>
      <c r="EC219" s="963"/>
      <c r="ED219" s="963"/>
      <c r="EE219" s="963"/>
      <c r="EF219" s="963"/>
      <c r="EH219" s="963"/>
      <c r="EI219" s="963"/>
      <c r="EJ219" s="1183"/>
      <c r="EK219" s="1183"/>
      <c r="EL219" s="1183"/>
      <c r="EM219" s="1183"/>
      <c r="EN219" s="1183"/>
      <c r="EO219" s="1183"/>
      <c r="EP219" s="1183"/>
      <c r="EQ219" s="1183"/>
      <c r="ER219" s="1183"/>
      <c r="ES219" s="1183"/>
      <c r="EU219" s="145"/>
      <c r="EV219" s="145"/>
      <c r="EW219" s="145"/>
      <c r="EX219" s="145"/>
      <c r="EY219" s="145"/>
      <c r="EZ219" s="145"/>
      <c r="FA219" s="145"/>
      <c r="FB219" s="145"/>
      <c r="FC219" s="145"/>
      <c r="FD219" s="145"/>
      <c r="FE219" s="145"/>
      <c r="FF219" s="145"/>
      <c r="FG219" s="145"/>
      <c r="FH219" s="145"/>
      <c r="FI219" s="145"/>
      <c r="FJ219" s="145"/>
      <c r="FK219" s="145"/>
      <c r="FL219" s="145"/>
      <c r="FM219" s="145"/>
      <c r="FN219" s="145"/>
      <c r="FO219" s="145"/>
      <c r="FP219" s="145"/>
      <c r="FQ219" s="145"/>
      <c r="FR219" s="145"/>
      <c r="FS219" s="145"/>
      <c r="FT219" s="145"/>
      <c r="FU219" s="145"/>
      <c r="FV219" s="145"/>
      <c r="FW219" s="145"/>
      <c r="FX219" s="145"/>
      <c r="FY219" s="145"/>
      <c r="FZ219" s="145"/>
      <c r="GA219" s="145"/>
      <c r="GB219" s="145"/>
      <c r="GC219" s="145"/>
      <c r="GD219" s="145"/>
      <c r="GE219" s="145"/>
      <c r="GF219" s="145"/>
      <c r="GG219" s="145"/>
      <c r="GH219" s="145"/>
      <c r="GI219" s="145"/>
      <c r="GJ219" s="145"/>
      <c r="GK219" s="145"/>
      <c r="GL219" s="145"/>
      <c r="GM219" s="145"/>
      <c r="GN219" s="145"/>
      <c r="GO219" s="145"/>
      <c r="GP219" s="145"/>
      <c r="GQ219" s="145"/>
      <c r="GR219" s="145"/>
      <c r="GS219" s="145"/>
      <c r="GT219" s="145"/>
      <c r="GU219" s="145"/>
      <c r="GV219" s="145"/>
      <c r="GW219" s="145"/>
      <c r="GX219" s="145"/>
      <c r="GY219" s="145"/>
      <c r="GZ219" s="145"/>
      <c r="HA219" s="145"/>
      <c r="HB219" s="145"/>
      <c r="HD219" s="963"/>
      <c r="HE219" s="963"/>
      <c r="HF219" s="963"/>
      <c r="HG219" s="963"/>
      <c r="HH219" s="963"/>
      <c r="HI219" s="963"/>
      <c r="HJ219" s="963"/>
      <c r="HK219" s="963"/>
      <c r="HL219" s="963"/>
      <c r="HM219" s="963"/>
      <c r="HN219" s="963"/>
      <c r="HO219" s="963"/>
      <c r="HP219" s="963"/>
      <c r="JA219" s="963"/>
      <c r="JB219" s="963"/>
      <c r="JC219" s="963"/>
      <c r="JD219" s="963"/>
      <c r="JE219" s="963"/>
      <c r="JF219" s="963"/>
      <c r="JG219" s="963"/>
      <c r="JH219" s="963"/>
      <c r="JI219" s="963"/>
      <c r="JJ219" s="963"/>
      <c r="JK219" s="963"/>
      <c r="JL219" s="963"/>
      <c r="JO219" s="95"/>
      <c r="MF219" s="77">
        <f t="shared" si="1133"/>
        <v>0</v>
      </c>
    </row>
    <row r="220" spans="1:354">
      <c r="A220" s="884" t="s">
        <v>194</v>
      </c>
      <c r="B220" s="53"/>
      <c r="C220" s="53"/>
      <c r="D220" s="53"/>
      <c r="E220" s="995">
        <f t="shared" ref="E220:BP220" si="1157">E166-E202-E204</f>
        <v>0</v>
      </c>
      <c r="F220" s="995">
        <f t="shared" si="1157"/>
        <v>0</v>
      </c>
      <c r="G220" s="995">
        <f t="shared" si="1157"/>
        <v>0</v>
      </c>
      <c r="H220" s="995">
        <f t="shared" si="1157"/>
        <v>0</v>
      </c>
      <c r="I220" s="995">
        <f t="shared" si="1157"/>
        <v>0</v>
      </c>
      <c r="J220" s="995">
        <f t="shared" si="1157"/>
        <v>0</v>
      </c>
      <c r="K220" s="995">
        <f t="shared" si="1157"/>
        <v>0</v>
      </c>
      <c r="L220" s="995">
        <f t="shared" si="1157"/>
        <v>0</v>
      </c>
      <c r="M220" s="995">
        <f t="shared" si="1157"/>
        <v>0</v>
      </c>
      <c r="N220" s="995">
        <f t="shared" si="1157"/>
        <v>0</v>
      </c>
      <c r="O220" s="995">
        <f t="shared" si="1157"/>
        <v>0</v>
      </c>
      <c r="P220" s="995">
        <f t="shared" si="1157"/>
        <v>0</v>
      </c>
      <c r="Q220" s="995">
        <f t="shared" si="1157"/>
        <v>-71.149375999997574</v>
      </c>
      <c r="R220" s="995">
        <f t="shared" si="1157"/>
        <v>-71.149375999997574</v>
      </c>
      <c r="S220" s="995">
        <f t="shared" si="1157"/>
        <v>1.6240000004472677E-3</v>
      </c>
      <c r="T220" s="995">
        <f t="shared" si="1157"/>
        <v>1.6239999968092889E-3</v>
      </c>
      <c r="U220" s="995">
        <f t="shared" si="1157"/>
        <v>1.6239999986282783E-3</v>
      </c>
      <c r="V220" s="995">
        <f t="shared" si="1157"/>
        <v>1.6240000040852465E-3</v>
      </c>
      <c r="W220" s="995">
        <f t="shared" si="1157"/>
        <v>1.6240000095422147E-3</v>
      </c>
      <c r="X220" s="995">
        <f t="shared" si="1157"/>
        <v>0</v>
      </c>
      <c r="Y220" s="995">
        <f t="shared" si="1157"/>
        <v>0</v>
      </c>
      <c r="Z220" s="995">
        <f t="shared" si="1157"/>
        <v>0</v>
      </c>
      <c r="AA220" s="995">
        <f t="shared" si="1157"/>
        <v>0</v>
      </c>
      <c r="AB220" s="995">
        <f t="shared" si="1157"/>
        <v>0</v>
      </c>
      <c r="AC220" s="995">
        <f t="shared" si="1157"/>
        <v>0</v>
      </c>
      <c r="AD220" s="995">
        <f t="shared" si="1157"/>
        <v>1.0022631613537669E-9</v>
      </c>
      <c r="AE220" s="995">
        <f t="shared" si="1157"/>
        <v>9.9862518254667521E-10</v>
      </c>
      <c r="AF220" s="995">
        <f t="shared" si="1157"/>
        <v>-8.998540579341352E-9</v>
      </c>
      <c r="AG220" s="995">
        <f t="shared" si="1157"/>
        <v>-1.2005330063402653E-9</v>
      </c>
      <c r="AH220" s="995">
        <f t="shared" si="1157"/>
        <v>-1.2005330063402653E-9</v>
      </c>
      <c r="AI220" s="995">
        <f t="shared" si="1157"/>
        <v>-3.3996911952272058E-9</v>
      </c>
      <c r="AJ220" s="995">
        <f t="shared" si="1157"/>
        <v>-9.5988070825114846E-9</v>
      </c>
      <c r="AK220" s="995">
        <f t="shared" si="1157"/>
        <v>-4.9985828809440136E-9</v>
      </c>
      <c r="AL220" s="995">
        <f t="shared" si="1157"/>
        <v>-7.8016455518081784E-9</v>
      </c>
      <c r="AM220" s="995">
        <f t="shared" si="1157"/>
        <v>0</v>
      </c>
      <c r="AN220" s="995">
        <f t="shared" si="1157"/>
        <v>0</v>
      </c>
      <c r="AO220" s="995">
        <f t="shared" si="1157"/>
        <v>0</v>
      </c>
      <c r="AP220" s="995">
        <f t="shared" si="1157"/>
        <v>0</v>
      </c>
      <c r="AQ220" s="995">
        <f t="shared" si="1157"/>
        <v>0</v>
      </c>
      <c r="AR220" s="995">
        <f t="shared" si="1157"/>
        <v>0</v>
      </c>
      <c r="AS220" s="995">
        <f t="shared" si="1157"/>
        <v>0</v>
      </c>
      <c r="AT220" s="995">
        <f t="shared" si="1157"/>
        <v>0</v>
      </c>
      <c r="AU220" s="995">
        <f t="shared" si="1157"/>
        <v>0</v>
      </c>
      <c r="AV220" s="995">
        <f t="shared" si="1157"/>
        <v>0</v>
      </c>
      <c r="AW220" s="995">
        <f t="shared" si="1157"/>
        <v>0</v>
      </c>
      <c r="AX220" s="995">
        <f t="shared" si="1157"/>
        <v>0</v>
      </c>
      <c r="AY220" s="995">
        <f t="shared" si="1157"/>
        <v>0</v>
      </c>
      <c r="AZ220" s="995">
        <f t="shared" si="1157"/>
        <v>0</v>
      </c>
      <c r="BA220" s="995">
        <f t="shared" si="1157"/>
        <v>-6.3359995692735538E-5</v>
      </c>
      <c r="BB220" s="995">
        <f t="shared" si="1157"/>
        <v>-6.3649998992332257E-5</v>
      </c>
      <c r="BC220" s="995">
        <f t="shared" si="1157"/>
        <v>-6.2449997130897827E-5</v>
      </c>
      <c r="BD220" s="995">
        <f t="shared" si="1157"/>
        <v>-6.2610004533780739E-5</v>
      </c>
      <c r="BE220" s="995">
        <f t="shared" si="1157"/>
        <v>-6.2609999076812528E-5</v>
      </c>
      <c r="BF220" s="995">
        <f t="shared" si="1157"/>
        <v>-6.2610000895801932E-5</v>
      </c>
      <c r="BG220" s="995">
        <f t="shared" si="1157"/>
        <v>-6.2610004533780739E-5</v>
      </c>
      <c r="BH220" s="995">
        <f t="shared" si="1157"/>
        <v>-6.2479995904141106E-5</v>
      </c>
      <c r="BI220" s="995">
        <f t="shared" si="1157"/>
        <v>-6.3100002080318518E-5</v>
      </c>
      <c r="BJ220" s="995">
        <f t="shared" si="1157"/>
        <v>-6.2640003307024017E-5</v>
      </c>
      <c r="BK220" s="995">
        <f t="shared" si="1157"/>
        <v>-6.2179999076761305E-5</v>
      </c>
      <c r="BL220" s="995">
        <f t="shared" si="1157"/>
        <v>-0.15153480000299169</v>
      </c>
      <c r="BM220" s="996">
        <f t="shared" si="1157"/>
        <v>0</v>
      </c>
      <c r="BN220" s="996">
        <f t="shared" si="1157"/>
        <v>0</v>
      </c>
      <c r="BO220" s="996">
        <f t="shared" si="1157"/>
        <v>0</v>
      </c>
      <c r="BP220" s="996">
        <f t="shared" si="1157"/>
        <v>0</v>
      </c>
      <c r="BQ220" s="996">
        <f t="shared" ref="BQ220:EB220" si="1158">BQ166-BQ202-BQ204</f>
        <v>0</v>
      </c>
      <c r="BR220" s="996">
        <f t="shared" si="1158"/>
        <v>0</v>
      </c>
      <c r="BS220" s="996">
        <f t="shared" si="1158"/>
        <v>0</v>
      </c>
      <c r="BT220" s="996">
        <f t="shared" si="1158"/>
        <v>0</v>
      </c>
      <c r="BU220" s="996">
        <f t="shared" si="1158"/>
        <v>0</v>
      </c>
      <c r="BV220" s="996">
        <f t="shared" si="1158"/>
        <v>0</v>
      </c>
      <c r="BW220" s="996">
        <f t="shared" si="1158"/>
        <v>0</v>
      </c>
      <c r="BX220" s="996">
        <f t="shared" si="1158"/>
        <v>0</v>
      </c>
      <c r="BY220" s="996">
        <f t="shared" si="1158"/>
        <v>0</v>
      </c>
      <c r="BZ220" s="996">
        <f t="shared" si="1158"/>
        <v>0</v>
      </c>
      <c r="CA220" s="996">
        <f t="shared" si="1158"/>
        <v>0</v>
      </c>
      <c r="CB220" s="996">
        <f t="shared" si="1158"/>
        <v>0</v>
      </c>
      <c r="CC220" s="996">
        <f t="shared" si="1158"/>
        <v>0</v>
      </c>
      <c r="CD220" s="996">
        <f t="shared" si="1158"/>
        <v>0</v>
      </c>
      <c r="CE220" s="996">
        <f t="shared" si="1158"/>
        <v>0</v>
      </c>
      <c r="CF220" s="996">
        <f t="shared" si="1158"/>
        <v>0</v>
      </c>
      <c r="CG220" s="996">
        <f t="shared" si="1158"/>
        <v>0</v>
      </c>
      <c r="CH220" s="996">
        <f t="shared" si="1158"/>
        <v>0</v>
      </c>
      <c r="CI220" s="996">
        <f t="shared" si="1158"/>
        <v>0</v>
      </c>
      <c r="CJ220" s="996">
        <f t="shared" si="1158"/>
        <v>0</v>
      </c>
      <c r="CK220" s="996">
        <f t="shared" si="1158"/>
        <v>0</v>
      </c>
      <c r="CL220" s="996">
        <f t="shared" si="1158"/>
        <v>0</v>
      </c>
      <c r="CM220" s="996">
        <f t="shared" si="1158"/>
        <v>0</v>
      </c>
      <c r="CN220" s="996">
        <f t="shared" si="1158"/>
        <v>0</v>
      </c>
      <c r="CO220" s="996">
        <f t="shared" si="1158"/>
        <v>0</v>
      </c>
      <c r="CP220" s="1182">
        <f t="shared" si="1158"/>
        <v>0</v>
      </c>
      <c r="CQ220" s="1182">
        <f t="shared" si="1158"/>
        <v>0</v>
      </c>
      <c r="CR220" s="1182">
        <f t="shared" si="1158"/>
        <v>0</v>
      </c>
      <c r="CS220" s="1182">
        <f t="shared" si="1158"/>
        <v>0</v>
      </c>
      <c r="CT220" s="1182">
        <f t="shared" si="1158"/>
        <v>0</v>
      </c>
      <c r="CU220" s="1182">
        <f t="shared" si="1158"/>
        <v>0</v>
      </c>
      <c r="CV220" s="1182">
        <f t="shared" si="1158"/>
        <v>0</v>
      </c>
      <c r="CW220" s="1182">
        <f t="shared" si="1158"/>
        <v>0</v>
      </c>
      <c r="CX220" s="1182">
        <f t="shared" si="1158"/>
        <v>0</v>
      </c>
      <c r="CY220" s="1182">
        <f t="shared" si="1158"/>
        <v>0</v>
      </c>
      <c r="CZ220" s="1182">
        <f t="shared" si="1158"/>
        <v>0</v>
      </c>
      <c r="DA220" s="1182">
        <f t="shared" si="1158"/>
        <v>0</v>
      </c>
      <c r="DB220" s="1182">
        <f t="shared" si="1158"/>
        <v>0</v>
      </c>
      <c r="DC220" s="1182">
        <f t="shared" si="1158"/>
        <v>0</v>
      </c>
      <c r="DD220" s="1182">
        <f t="shared" si="1158"/>
        <v>0</v>
      </c>
      <c r="DE220" s="1182">
        <f t="shared" si="1158"/>
        <v>0</v>
      </c>
      <c r="DF220" s="1182">
        <f t="shared" si="1158"/>
        <v>0</v>
      </c>
      <c r="DG220" s="1182">
        <f t="shared" si="1158"/>
        <v>0</v>
      </c>
      <c r="DH220" s="1182">
        <f t="shared" si="1158"/>
        <v>0</v>
      </c>
      <c r="DI220" s="1182">
        <f t="shared" si="1158"/>
        <v>0</v>
      </c>
      <c r="DJ220" s="1182">
        <f t="shared" si="1158"/>
        <v>0</v>
      </c>
      <c r="DK220" s="1182">
        <f t="shared" si="1158"/>
        <v>0</v>
      </c>
      <c r="DL220" s="1182">
        <f t="shared" si="1158"/>
        <v>0</v>
      </c>
      <c r="DM220" s="997">
        <f t="shared" si="1158"/>
        <v>0</v>
      </c>
      <c r="DN220" s="997">
        <f t="shared" si="1158"/>
        <v>0</v>
      </c>
      <c r="DO220" s="1232">
        <f t="shared" si="1158"/>
        <v>0</v>
      </c>
      <c r="DP220" s="1232">
        <f t="shared" si="1158"/>
        <v>0</v>
      </c>
      <c r="DQ220" s="997">
        <f t="shared" si="1158"/>
        <v>0</v>
      </c>
      <c r="DR220" s="997">
        <f t="shared" si="1158"/>
        <v>0</v>
      </c>
      <c r="DS220" s="997">
        <f t="shared" si="1158"/>
        <v>0</v>
      </c>
      <c r="DT220" s="997">
        <f t="shared" si="1158"/>
        <v>0</v>
      </c>
      <c r="DU220" s="997">
        <f t="shared" si="1158"/>
        <v>0</v>
      </c>
      <c r="DV220" s="997">
        <f t="shared" si="1158"/>
        <v>0</v>
      </c>
      <c r="DW220" s="997">
        <f t="shared" si="1158"/>
        <v>0</v>
      </c>
      <c r="DX220" s="997">
        <f t="shared" si="1158"/>
        <v>0</v>
      </c>
      <c r="DY220" s="997">
        <f t="shared" si="1158"/>
        <v>0</v>
      </c>
      <c r="DZ220" s="997">
        <f t="shared" si="1158"/>
        <v>0</v>
      </c>
      <c r="EA220" s="997">
        <f t="shared" si="1158"/>
        <v>0</v>
      </c>
      <c r="EB220" s="997">
        <f t="shared" si="1158"/>
        <v>0</v>
      </c>
      <c r="EC220" s="997">
        <f t="shared" ref="EC220:EE220" si="1159">EC166-EC202-EC204</f>
        <v>0</v>
      </c>
      <c r="ED220" s="997">
        <f t="shared" si="1159"/>
        <v>0</v>
      </c>
      <c r="EE220" s="997">
        <f t="shared" si="1159"/>
        <v>0</v>
      </c>
      <c r="EF220" s="997">
        <f>EF166-EF202-EF204</f>
        <v>9.579799989296589E-4</v>
      </c>
      <c r="EG220" s="999"/>
      <c r="EH220" s="1181" t="e">
        <f t="shared" ref="EH220:ES220" si="1160">ROUND(+(EH117+EH137-EH168-EH190-EH204)*1000000,0)</f>
        <v>#VALUE!</v>
      </c>
      <c r="EI220" s="1181" t="e">
        <f t="shared" si="1160"/>
        <v>#VALUE!</v>
      </c>
      <c r="EJ220" s="1181" t="e">
        <f t="shared" si="1160"/>
        <v>#VALUE!</v>
      </c>
      <c r="EK220" s="1181" t="e">
        <f t="shared" si="1160"/>
        <v>#VALUE!</v>
      </c>
      <c r="EL220" s="1181" t="e">
        <f t="shared" si="1160"/>
        <v>#VALUE!</v>
      </c>
      <c r="EM220" s="1181" t="e">
        <f t="shared" si="1160"/>
        <v>#VALUE!</v>
      </c>
      <c r="EN220" s="1181" t="e">
        <f t="shared" si="1160"/>
        <v>#VALUE!</v>
      </c>
      <c r="EO220" s="1181" t="e">
        <f t="shared" si="1160"/>
        <v>#VALUE!</v>
      </c>
      <c r="EP220" s="1181" t="e">
        <f t="shared" si="1160"/>
        <v>#VALUE!</v>
      </c>
      <c r="EQ220" s="1181" t="e">
        <f t="shared" si="1160"/>
        <v>#VALUE!</v>
      </c>
      <c r="ER220" s="1181" t="e">
        <f t="shared" si="1160"/>
        <v>#VALUE!</v>
      </c>
      <c r="ES220" s="1181" t="e">
        <f t="shared" si="1160"/>
        <v>#VALUE!</v>
      </c>
      <c r="EU220" s="1000">
        <f t="shared" ref="EU220:FZ220" si="1161">ROUND(+(EU117+EU137-EU168-EU190-EU204)*1000000,0)</f>
        <v>0</v>
      </c>
      <c r="EV220" s="1000">
        <f t="shared" si="1161"/>
        <v>0</v>
      </c>
      <c r="EW220" s="1000">
        <f t="shared" si="1161"/>
        <v>0</v>
      </c>
      <c r="EX220" s="1000">
        <f t="shared" si="1161"/>
        <v>0</v>
      </c>
      <c r="EY220" s="1000">
        <f t="shared" si="1161"/>
        <v>0</v>
      </c>
      <c r="EZ220" s="1000">
        <f t="shared" si="1161"/>
        <v>0</v>
      </c>
      <c r="FA220" s="1000">
        <f t="shared" si="1161"/>
        <v>0</v>
      </c>
      <c r="FB220" s="1000">
        <f t="shared" si="1161"/>
        <v>0</v>
      </c>
      <c r="FC220" s="1000">
        <f t="shared" si="1161"/>
        <v>0</v>
      </c>
      <c r="FD220" s="1000">
        <f t="shared" si="1161"/>
        <v>0</v>
      </c>
      <c r="FE220" s="1000">
        <f t="shared" si="1161"/>
        <v>0</v>
      </c>
      <c r="FF220" s="1000">
        <f t="shared" si="1161"/>
        <v>0</v>
      </c>
      <c r="FG220" s="1000">
        <f t="shared" si="1161"/>
        <v>0</v>
      </c>
      <c r="FH220" s="1000">
        <f t="shared" si="1161"/>
        <v>0</v>
      </c>
      <c r="FI220" s="1000">
        <f t="shared" si="1161"/>
        <v>0</v>
      </c>
      <c r="FJ220" s="1000">
        <f t="shared" si="1161"/>
        <v>0</v>
      </c>
      <c r="FK220" s="1000">
        <f t="shared" si="1161"/>
        <v>0</v>
      </c>
      <c r="FL220" s="1000">
        <f t="shared" si="1161"/>
        <v>0</v>
      </c>
      <c r="FM220" s="1000">
        <f t="shared" si="1161"/>
        <v>0</v>
      </c>
      <c r="FN220" s="1000">
        <f t="shared" si="1161"/>
        <v>0</v>
      </c>
      <c r="FO220" s="1000">
        <f t="shared" si="1161"/>
        <v>0</v>
      </c>
      <c r="FP220" s="1000">
        <f t="shared" si="1161"/>
        <v>0</v>
      </c>
      <c r="FQ220" s="1000">
        <f t="shared" si="1161"/>
        <v>0</v>
      </c>
      <c r="FR220" s="1000">
        <f t="shared" si="1161"/>
        <v>0</v>
      </c>
      <c r="FS220" s="1000">
        <f t="shared" si="1161"/>
        <v>0</v>
      </c>
      <c r="FT220" s="1000">
        <f t="shared" si="1161"/>
        <v>0</v>
      </c>
      <c r="FU220" s="1000">
        <f t="shared" si="1161"/>
        <v>0</v>
      </c>
      <c r="FV220" s="1000">
        <f t="shared" si="1161"/>
        <v>0</v>
      </c>
      <c r="FW220" s="1000">
        <f t="shared" si="1161"/>
        <v>0</v>
      </c>
      <c r="FX220" s="1000">
        <f t="shared" si="1161"/>
        <v>0</v>
      </c>
      <c r="FY220" s="1000">
        <f t="shared" si="1161"/>
        <v>0</v>
      </c>
      <c r="FZ220" s="1000">
        <f t="shared" si="1161"/>
        <v>0</v>
      </c>
      <c r="GA220" s="1000">
        <f t="shared" ref="GA220:HB220" si="1162">ROUND(+(GA117+GA137-GA168-GA190-GA204)*1000000,0)</f>
        <v>0</v>
      </c>
      <c r="GB220" s="1000">
        <f t="shared" si="1162"/>
        <v>0</v>
      </c>
      <c r="GC220" s="1000">
        <f t="shared" si="1162"/>
        <v>0</v>
      </c>
      <c r="GD220" s="1000">
        <f t="shared" si="1162"/>
        <v>0</v>
      </c>
      <c r="GE220" s="1001" t="e">
        <f t="shared" si="1162"/>
        <v>#VALUE!</v>
      </c>
      <c r="GF220" s="1001" t="e">
        <f t="shared" si="1162"/>
        <v>#VALUE!</v>
      </c>
      <c r="GG220" s="1001" t="e">
        <f t="shared" si="1162"/>
        <v>#VALUE!</v>
      </c>
      <c r="GH220" s="1001" t="e">
        <f t="shared" si="1162"/>
        <v>#VALUE!</v>
      </c>
      <c r="GI220" s="1001" t="e">
        <f t="shared" si="1162"/>
        <v>#VALUE!</v>
      </c>
      <c r="GJ220" s="1001" t="e">
        <f t="shared" si="1162"/>
        <v>#VALUE!</v>
      </c>
      <c r="GK220" s="1001" t="e">
        <f t="shared" si="1162"/>
        <v>#VALUE!</v>
      </c>
      <c r="GL220" s="1001" t="e">
        <f t="shared" si="1162"/>
        <v>#VALUE!</v>
      </c>
      <c r="GM220" s="1001" t="e">
        <f t="shared" si="1162"/>
        <v>#VALUE!</v>
      </c>
      <c r="GN220" s="1001" t="e">
        <f t="shared" si="1162"/>
        <v>#VALUE!</v>
      </c>
      <c r="GO220" s="1001" t="e">
        <f t="shared" si="1162"/>
        <v>#VALUE!</v>
      </c>
      <c r="GP220" s="1001" t="e">
        <f t="shared" si="1162"/>
        <v>#VALUE!</v>
      </c>
      <c r="GQ220" s="1001" t="e">
        <f t="shared" si="1162"/>
        <v>#VALUE!</v>
      </c>
      <c r="GR220" s="1001" t="e">
        <f t="shared" si="1162"/>
        <v>#VALUE!</v>
      </c>
      <c r="GS220" s="1001" t="e">
        <f t="shared" si="1162"/>
        <v>#VALUE!</v>
      </c>
      <c r="GT220" s="1001" t="e">
        <f t="shared" si="1162"/>
        <v>#VALUE!</v>
      </c>
      <c r="GU220" s="1001" t="e">
        <f t="shared" si="1162"/>
        <v>#VALUE!</v>
      </c>
      <c r="GV220" s="1001" t="e">
        <f t="shared" si="1162"/>
        <v>#VALUE!</v>
      </c>
      <c r="GW220" s="1001" t="e">
        <f t="shared" si="1162"/>
        <v>#VALUE!</v>
      </c>
      <c r="GX220" s="1001" t="e">
        <f t="shared" si="1162"/>
        <v>#VALUE!</v>
      </c>
      <c r="GY220" s="1001" t="e">
        <f t="shared" si="1162"/>
        <v>#VALUE!</v>
      </c>
      <c r="GZ220" s="1001" t="e">
        <f t="shared" si="1162"/>
        <v>#VALUE!</v>
      </c>
      <c r="HA220" s="1001" t="e">
        <f t="shared" si="1162"/>
        <v>#VALUE!</v>
      </c>
      <c r="HB220" s="1001" t="e">
        <f t="shared" si="1162"/>
        <v>#VALUE!</v>
      </c>
      <c r="HC220" s="999"/>
      <c r="HD220" s="997">
        <f t="shared" ref="HD220:HP220" si="1163">HD166-HD202-HD204</f>
        <v>0</v>
      </c>
      <c r="HE220" s="997">
        <f t="shared" si="1163"/>
        <v>0</v>
      </c>
      <c r="HF220" s="997">
        <f t="shared" si="1163"/>
        <v>0</v>
      </c>
      <c r="HG220" s="997">
        <f t="shared" si="1163"/>
        <v>0</v>
      </c>
      <c r="HH220" s="997">
        <f t="shared" si="1163"/>
        <v>-0.15153480000299169</v>
      </c>
      <c r="HI220" s="997">
        <f t="shared" si="1163"/>
        <v>0</v>
      </c>
      <c r="HJ220" s="997">
        <f t="shared" si="1163"/>
        <v>0</v>
      </c>
      <c r="HK220" s="997">
        <f t="shared" si="1163"/>
        <v>0</v>
      </c>
      <c r="HL220" s="997">
        <f t="shared" si="1163"/>
        <v>0</v>
      </c>
      <c r="HM220" s="997">
        <f t="shared" si="1163"/>
        <v>0</v>
      </c>
      <c r="HN220" s="997">
        <f t="shared" si="1163"/>
        <v>9.579799989296589E-4</v>
      </c>
      <c r="HO220" s="997">
        <f t="shared" si="1163"/>
        <v>0</v>
      </c>
      <c r="HP220" s="997">
        <f t="shared" si="1163"/>
        <v>0</v>
      </c>
      <c r="HQ220" s="1000"/>
      <c r="HR220" s="1000"/>
      <c r="HS220" s="1000"/>
      <c r="HT220" s="1000"/>
      <c r="HU220" s="1000"/>
      <c r="HV220" s="1000"/>
      <c r="HW220" s="1000"/>
      <c r="HX220" s="1000"/>
      <c r="HY220" s="1000"/>
      <c r="HZ220" s="1000"/>
      <c r="IA220" s="1000"/>
      <c r="IB220" s="1000"/>
      <c r="IC220" s="1000"/>
      <c r="ID220" s="1000"/>
      <c r="IE220" s="1000"/>
      <c r="IF220" s="1000"/>
      <c r="IG220" s="1000"/>
      <c r="IH220" s="1000"/>
      <c r="II220" s="1000"/>
      <c r="IJ220" s="1000"/>
      <c r="IK220" s="1000"/>
      <c r="IL220" s="1000"/>
      <c r="IM220" s="1000"/>
      <c r="IN220" s="1000"/>
      <c r="IO220" s="1000"/>
      <c r="IP220" s="1000"/>
      <c r="IQ220" s="1000"/>
      <c r="IR220" s="1000"/>
      <c r="IS220" s="1000"/>
      <c r="IT220" s="1000"/>
      <c r="IU220" s="1000"/>
      <c r="IV220" s="1000"/>
      <c r="IW220" s="1000"/>
      <c r="IX220" s="1000"/>
      <c r="IY220" s="1000"/>
      <c r="IZ220" s="999"/>
      <c r="JA220" s="997">
        <f t="shared" ref="JA220:JL220" si="1164">JA166-JA202-JA204</f>
        <v>0</v>
      </c>
      <c r="JB220" s="997">
        <f t="shared" si="1164"/>
        <v>0</v>
      </c>
      <c r="JC220" s="997">
        <f t="shared" si="1164"/>
        <v>0</v>
      </c>
      <c r="JD220" s="997">
        <f t="shared" si="1164"/>
        <v>0</v>
      </c>
      <c r="JE220" s="997">
        <f>JE166-JE202-JE204</f>
        <v>-0.15153480000299169</v>
      </c>
      <c r="JF220" s="997">
        <f t="shared" si="1164"/>
        <v>0</v>
      </c>
      <c r="JG220" s="997">
        <f t="shared" si="1164"/>
        <v>0</v>
      </c>
      <c r="JH220" s="997">
        <f t="shared" si="1164"/>
        <v>0</v>
      </c>
      <c r="JI220" s="997">
        <f t="shared" si="1164"/>
        <v>0</v>
      </c>
      <c r="JJ220" s="997">
        <f t="shared" si="1164"/>
        <v>0</v>
      </c>
      <c r="JK220" s="997">
        <f t="shared" si="1164"/>
        <v>9.579799989296589E-4</v>
      </c>
      <c r="JL220" s="997">
        <f t="shared" si="1164"/>
        <v>9.579799989296589E-4</v>
      </c>
      <c r="JM220" s="1000"/>
      <c r="JN220" s="1000"/>
      <c r="JO220" s="1002"/>
      <c r="JP220" s="1000">
        <f>+JP166-JP218</f>
        <v>0</v>
      </c>
      <c r="JQ220" s="1000">
        <f>+JQ166-JQ218</f>
        <v>0</v>
      </c>
      <c r="JR220" s="999"/>
      <c r="JW220" s="1000"/>
      <c r="LB220" s="1000">
        <f t="shared" ref="LB220:LP220" si="1165">LB166-LB202-LB204</f>
        <v>0</v>
      </c>
      <c r="LC220" s="1000">
        <f t="shared" ref="LC220:LL220" si="1166">LC166-LC202-LC204</f>
        <v>0</v>
      </c>
      <c r="LD220" s="1000">
        <f t="shared" si="1166"/>
        <v>0</v>
      </c>
      <c r="LE220" s="1000">
        <f t="shared" si="1166"/>
        <v>0</v>
      </c>
      <c r="LF220" s="1000">
        <f t="shared" si="1166"/>
        <v>-0.15153480000299169</v>
      </c>
      <c r="LG220" s="1000">
        <f t="shared" si="1166"/>
        <v>0</v>
      </c>
      <c r="LH220" s="1000">
        <f t="shared" si="1166"/>
        <v>0</v>
      </c>
      <c r="LI220" s="1000">
        <f t="shared" si="1166"/>
        <v>0</v>
      </c>
      <c r="LJ220" s="1000">
        <f t="shared" si="1166"/>
        <v>0</v>
      </c>
      <c r="LK220" s="1000">
        <f t="shared" si="1166"/>
        <v>0</v>
      </c>
      <c r="LL220" s="1000">
        <f t="shared" si="1166"/>
        <v>9.579799989296589E-4</v>
      </c>
      <c r="LM220" s="1000">
        <f t="shared" ref="LM220" si="1167">LM166-LM202-LM204</f>
        <v>9.579799989296589E-4</v>
      </c>
      <c r="LN220" s="1000">
        <f t="shared" si="1165"/>
        <v>0</v>
      </c>
      <c r="LO220" s="1000">
        <f t="shared" si="1165"/>
        <v>0</v>
      </c>
      <c r="LP220" s="77">
        <f t="shared" si="1165"/>
        <v>0</v>
      </c>
    </row>
    <row r="221" spans="1:354">
      <c r="A221" s="884"/>
      <c r="B221" s="53"/>
      <c r="C221" s="53"/>
      <c r="D221" s="53"/>
      <c r="E221" s="995"/>
      <c r="F221" s="995"/>
      <c r="G221" s="995"/>
      <c r="H221" s="995"/>
      <c r="I221" s="995"/>
      <c r="J221" s="995"/>
      <c r="K221" s="995"/>
      <c r="L221" s="995"/>
      <c r="M221" s="995"/>
      <c r="N221" s="995"/>
      <c r="O221" s="995"/>
      <c r="P221" s="995"/>
      <c r="Q221" s="1000"/>
      <c r="R221" s="995"/>
      <c r="S221" s="995"/>
      <c r="T221" s="995"/>
      <c r="U221" s="995"/>
      <c r="V221" s="995"/>
      <c r="W221" s="995"/>
      <c r="X221" s="995"/>
      <c r="Y221" s="995"/>
      <c r="Z221" s="995"/>
      <c r="AA221" s="995"/>
      <c r="AB221" s="995"/>
      <c r="AC221" s="1000"/>
      <c r="AD221" s="1000"/>
      <c r="AE221" s="1000"/>
      <c r="AF221" s="1000"/>
      <c r="AG221" s="1000"/>
      <c r="AH221" s="1000"/>
      <c r="AI221" s="1000"/>
      <c r="AJ221" s="1000"/>
      <c r="AO221" s="77"/>
      <c r="AP221" s="77"/>
      <c r="AR221" s="657"/>
      <c r="AU221" s="77"/>
      <c r="AV221" s="972"/>
      <c r="AW221" s="972"/>
      <c r="AX221" s="972"/>
      <c r="AY221" s="972"/>
      <c r="AZ221" s="77"/>
      <c r="BA221" s="77"/>
      <c r="BB221" s="77"/>
      <c r="BC221" s="77"/>
      <c r="BD221" s="77"/>
      <c r="BE221" s="77"/>
      <c r="BF221" s="77"/>
      <c r="BG221" s="77"/>
      <c r="BH221" s="77"/>
      <c r="BI221" s="77"/>
      <c r="BJ221" s="77"/>
      <c r="BK221" s="77"/>
      <c r="BL221" s="77"/>
      <c r="BM221" s="77">
        <v>0</v>
      </c>
      <c r="BN221" s="77">
        <v>0</v>
      </c>
      <c r="BO221" s="77">
        <v>0</v>
      </c>
      <c r="BP221" s="77">
        <v>0</v>
      </c>
      <c r="BQ221" s="77">
        <v>0</v>
      </c>
      <c r="BR221" s="77">
        <v>0</v>
      </c>
      <c r="BS221" s="77">
        <v>0</v>
      </c>
      <c r="BT221" s="77">
        <v>0</v>
      </c>
      <c r="BU221" s="77">
        <v>0</v>
      </c>
      <c r="BV221" s="77">
        <v>0</v>
      </c>
      <c r="BW221" s="77">
        <v>0</v>
      </c>
      <c r="BX221" s="77">
        <v>0</v>
      </c>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77"/>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873"/>
      <c r="DR221" s="873"/>
      <c r="DS221" s="873"/>
      <c r="DT221" s="873"/>
      <c r="DU221" s="873"/>
      <c r="DV221" s="873"/>
      <c r="DW221" s="873"/>
      <c r="DX221" s="873"/>
      <c r="DY221" s="873"/>
      <c r="DZ221" s="873"/>
      <c r="EA221" s="873"/>
      <c r="EB221" s="873"/>
      <c r="EC221" s="873"/>
      <c r="ED221" s="873"/>
      <c r="EE221" s="873"/>
      <c r="EF221" s="873"/>
      <c r="EU221" s="77"/>
      <c r="EV221" s="77"/>
      <c r="EW221" s="77"/>
      <c r="EX221" s="77"/>
      <c r="EY221" s="77"/>
      <c r="EZ221" s="77"/>
      <c r="FA221" s="77"/>
      <c r="FB221" s="77"/>
      <c r="FC221" s="77"/>
      <c r="FD221" s="77"/>
      <c r="FE221" s="77"/>
      <c r="FF221" s="77"/>
      <c r="FG221" s="77"/>
      <c r="FH221" s="77"/>
      <c r="FI221" s="77"/>
      <c r="FJ221" s="77"/>
      <c r="FK221" s="77"/>
      <c r="FL221" s="77"/>
      <c r="FM221" s="77"/>
      <c r="FN221" s="77"/>
      <c r="FO221" s="77"/>
      <c r="FP221" s="77"/>
      <c r="FQ221" s="77"/>
      <c r="FR221" s="77"/>
      <c r="FS221" s="77"/>
      <c r="FT221" s="77"/>
      <c r="FU221" s="77"/>
      <c r="FV221" s="77"/>
      <c r="FW221" s="77"/>
      <c r="FX221" s="77"/>
      <c r="FY221" s="77"/>
      <c r="FZ221" s="77"/>
      <c r="GA221" s="77"/>
      <c r="GB221" s="77"/>
      <c r="GC221" s="77"/>
      <c r="GD221" s="77"/>
      <c r="GE221" s="77"/>
      <c r="GF221" s="77"/>
      <c r="GG221" s="77"/>
      <c r="GH221" s="77"/>
      <c r="GI221" s="77"/>
      <c r="GJ221" s="77"/>
      <c r="GK221" s="77"/>
      <c r="GL221" s="77"/>
      <c r="GM221" s="77"/>
      <c r="GN221" s="77"/>
      <c r="GO221" s="77"/>
      <c r="GP221" s="77"/>
      <c r="GQ221" s="77"/>
      <c r="GR221" s="77"/>
      <c r="GS221" s="77"/>
      <c r="GT221" s="77"/>
      <c r="GU221" s="77"/>
      <c r="GV221" s="77"/>
      <c r="GW221" s="77"/>
      <c r="GX221" s="77"/>
      <c r="GY221" s="77"/>
      <c r="GZ221" s="77"/>
      <c r="HA221" s="77"/>
      <c r="HB221" s="77"/>
    </row>
    <row r="222" spans="1:354">
      <c r="A222" s="917" t="s">
        <v>618</v>
      </c>
      <c r="C222" s="1003" t="s">
        <v>766</v>
      </c>
      <c r="AR222" s="657"/>
      <c r="AV222" s="972"/>
      <c r="AW222" s="972"/>
      <c r="AX222" s="972"/>
      <c r="AY222" s="972"/>
      <c r="BM222" s="77">
        <v>0</v>
      </c>
      <c r="BN222" s="77">
        <v>0</v>
      </c>
      <c r="BO222" s="77">
        <v>0</v>
      </c>
      <c r="BP222" s="77">
        <v>0</v>
      </c>
      <c r="BQ222" s="77">
        <v>0</v>
      </c>
      <c r="BR222" s="77">
        <v>0</v>
      </c>
      <c r="BS222" s="77">
        <v>0</v>
      </c>
      <c r="BT222" s="77">
        <v>0</v>
      </c>
      <c r="BU222" s="77">
        <v>0</v>
      </c>
      <c r="BV222" s="77">
        <v>0</v>
      </c>
      <c r="BW222" s="77">
        <v>0</v>
      </c>
      <c r="BX222" s="77">
        <v>0</v>
      </c>
      <c r="DQ222" s="873"/>
      <c r="DR222" s="873"/>
      <c r="DS222" s="873"/>
      <c r="DT222" s="873"/>
      <c r="DU222" s="873"/>
      <c r="DV222" s="873"/>
      <c r="DW222" s="873"/>
      <c r="DX222" s="873"/>
      <c r="DY222" s="873"/>
      <c r="DZ222" s="873"/>
      <c r="EA222" s="873"/>
      <c r="EB222" s="873"/>
      <c r="EC222" s="873"/>
      <c r="ED222" s="873"/>
      <c r="EE222" s="873"/>
      <c r="EF222" s="873"/>
      <c r="EO222" s="972"/>
      <c r="ES222" s="972"/>
    </row>
    <row r="223" spans="1:354" ht="15" thickBot="1">
      <c r="A223" s="867"/>
      <c r="C223" s="1004" t="s">
        <v>89</v>
      </c>
      <c r="D223" s="662"/>
      <c r="E223" s="1005"/>
      <c r="F223" s="1005"/>
      <c r="G223" s="1005"/>
      <c r="H223" s="1005"/>
      <c r="I223" s="1005"/>
      <c r="J223" s="1005"/>
      <c r="K223" s="1005"/>
      <c r="L223" s="1005"/>
      <c r="M223" s="1005"/>
      <c r="N223" s="1005"/>
      <c r="O223" s="1005"/>
      <c r="P223" s="1005"/>
      <c r="Q223" s="1005"/>
      <c r="R223" s="1005"/>
      <c r="S223" s="1005"/>
      <c r="T223" s="1005"/>
      <c r="U223" s="1005"/>
      <c r="V223" s="1005"/>
      <c r="W223" s="1005"/>
      <c r="X223" s="1005"/>
      <c r="Y223" s="1005"/>
      <c r="Z223" s="1005"/>
      <c r="AA223" s="1005"/>
      <c r="AB223" s="1005"/>
      <c r="AC223" s="1005"/>
      <c r="AD223" s="1005"/>
      <c r="AE223" s="1005"/>
      <c r="AF223" s="1005"/>
      <c r="AG223" s="1005"/>
      <c r="AH223" s="1005"/>
      <c r="AI223" s="1005"/>
      <c r="AJ223" s="1005"/>
      <c r="AK223" s="1005"/>
      <c r="AL223" s="1005"/>
      <c r="AM223" s="1005"/>
      <c r="AN223" s="1005"/>
      <c r="AO223" s="1006">
        <v>1182.6425198700003</v>
      </c>
      <c r="AP223" s="1006">
        <v>-502.45394305999992</v>
      </c>
      <c r="AQ223" s="1006">
        <v>-115.84278654000025</v>
      </c>
      <c r="AR223" s="1006">
        <v>-279.20173565000027</v>
      </c>
      <c r="AS223" s="1006">
        <v>-1193.8856324500002</v>
      </c>
      <c r="AT223" s="1006">
        <v>-896.8379936</v>
      </c>
      <c r="AU223" s="1006">
        <v>64.577150560000405</v>
      </c>
      <c r="AV223" s="1006">
        <v>117.15924510000002</v>
      </c>
      <c r="AW223" s="1006">
        <v>99.175554559999568</v>
      </c>
      <c r="AX223" s="1006">
        <v>165.92813243000001</v>
      </c>
      <c r="AY223" s="1006">
        <v>-477.05186212000012</v>
      </c>
      <c r="AZ223" s="1006">
        <v>-709.14602855999976</v>
      </c>
      <c r="BA223" s="1006">
        <v>-85.18649240000002</v>
      </c>
      <c r="BB223" s="1006">
        <v>-486.73272715000007</v>
      </c>
      <c r="BC223" s="1006">
        <v>-612.62095697000007</v>
      </c>
      <c r="BD223" s="1006">
        <v>-551.92600721000008</v>
      </c>
      <c r="BE223" s="1006">
        <v>-303.62123017000005</v>
      </c>
      <c r="BF223" s="1006">
        <v>-625.75990720000004</v>
      </c>
      <c r="BG223" s="1006">
        <v>-255.60210060000006</v>
      </c>
      <c r="BH223" s="1006">
        <v>-41.503246360000134</v>
      </c>
      <c r="BI223" s="1006">
        <v>-273.82705851000014</v>
      </c>
      <c r="BJ223" s="1006">
        <v>-155.15025009999994</v>
      </c>
      <c r="BK223" s="1006">
        <v>262.10076186000003</v>
      </c>
      <c r="BL223" s="1006">
        <v>318.45397365000019</v>
      </c>
      <c r="BM223" s="1006">
        <f t="shared" ref="BM223:DX223" si="1168">+BM60</f>
        <v>284.99773750999992</v>
      </c>
      <c r="BN223" s="1006">
        <f t="shared" si="1168"/>
        <v>274.87844790999998</v>
      </c>
      <c r="BO223" s="1006">
        <f t="shared" si="1168"/>
        <v>274.09652492999993</v>
      </c>
      <c r="BP223" s="1006">
        <f t="shared" si="1168"/>
        <v>491.81107157000031</v>
      </c>
      <c r="BQ223" s="1006">
        <f t="shared" si="1168"/>
        <v>101.0106898599999</v>
      </c>
      <c r="BR223" s="1006">
        <f t="shared" si="1168"/>
        <v>214.58035303000005</v>
      </c>
      <c r="BS223" s="1006">
        <f t="shared" si="1168"/>
        <v>199.57417014000006</v>
      </c>
      <c r="BT223" s="1006">
        <f t="shared" si="1168"/>
        <v>244.65305585000016</v>
      </c>
      <c r="BU223" s="1006">
        <f t="shared" si="1168"/>
        <v>149.61818370000015</v>
      </c>
      <c r="BV223" s="1006">
        <f t="shared" si="1168"/>
        <v>402.43456421999974</v>
      </c>
      <c r="BW223" s="1006">
        <f t="shared" si="1168"/>
        <v>416.45949804000037</v>
      </c>
      <c r="BX223" s="1006">
        <f t="shared" si="1168"/>
        <v>87.972332930000277</v>
      </c>
      <c r="BY223" s="1007">
        <f t="shared" si="1168"/>
        <v>88.905493470000096</v>
      </c>
      <c r="BZ223" s="1007">
        <f t="shared" si="1168"/>
        <v>127.08420186000018</v>
      </c>
      <c r="CA223" s="1007">
        <f t="shared" si="1168"/>
        <v>122.08167013000011</v>
      </c>
      <c r="CB223" s="1007">
        <f t="shared" si="1168"/>
        <v>9.0989087200000824</v>
      </c>
      <c r="CC223" s="1007">
        <f t="shared" si="1168"/>
        <v>-47.546363889999924</v>
      </c>
      <c r="CD223" s="1007">
        <f t="shared" si="1168"/>
        <v>61.99229477999981</v>
      </c>
      <c r="CE223" s="1007">
        <f t="shared" si="1168"/>
        <v>-47.182758750000062</v>
      </c>
      <c r="CF223" s="1007">
        <f t="shared" si="1168"/>
        <v>586.86624984000025</v>
      </c>
      <c r="CG223" s="1007">
        <f t="shared" si="1168"/>
        <v>69.60389392999997</v>
      </c>
      <c r="CH223" s="1007">
        <f t="shared" si="1168"/>
        <v>219.79665008000018</v>
      </c>
      <c r="CI223" s="1007">
        <f t="shared" si="1168"/>
        <v>613.85130763000006</v>
      </c>
      <c r="CJ223" s="1007">
        <f t="shared" si="1168"/>
        <v>232.11366712999984</v>
      </c>
      <c r="CK223" s="1007">
        <f t="shared" si="1168"/>
        <v>239.36214853999965</v>
      </c>
      <c r="CL223" s="1007">
        <f t="shared" si="1168"/>
        <v>42.08422452999983</v>
      </c>
      <c r="CM223" s="1007">
        <f t="shared" si="1168"/>
        <v>509.51494679000001</v>
      </c>
      <c r="CN223" s="1007">
        <f t="shared" si="1168"/>
        <v>238.32084363999996</v>
      </c>
      <c r="CO223" s="1007">
        <f t="shared" si="1168"/>
        <v>504.47375250999983</v>
      </c>
      <c r="CP223" s="1007">
        <f t="shared" si="1168"/>
        <v>161.1802761199998</v>
      </c>
      <c r="CQ223" s="1007">
        <f t="shared" si="1168"/>
        <v>235.32571399000005</v>
      </c>
      <c r="CR223" s="1007">
        <f t="shared" si="1168"/>
        <v>402.38942390000011</v>
      </c>
      <c r="CS223" s="1007">
        <f t="shared" si="1168"/>
        <v>454.89161486999978</v>
      </c>
      <c r="CT223" s="1007">
        <f t="shared" si="1168"/>
        <v>801.0160215100002</v>
      </c>
      <c r="CU223" s="1007">
        <f t="shared" si="1168"/>
        <v>485.8993579800001</v>
      </c>
      <c r="CV223" s="1007">
        <f t="shared" si="1168"/>
        <v>164.42237050999967</v>
      </c>
      <c r="CW223" s="1007">
        <f t="shared" si="1168"/>
        <v>461.04943822000007</v>
      </c>
      <c r="CX223" s="1007">
        <f t="shared" si="1168"/>
        <v>247.6483856399995</v>
      </c>
      <c r="CY223" s="1007">
        <f t="shared" si="1168"/>
        <v>679.93009857000038</v>
      </c>
      <c r="CZ223" s="1007">
        <f t="shared" si="1168"/>
        <v>-73.111713319999836</v>
      </c>
      <c r="DA223" s="1007">
        <f t="shared" si="1168"/>
        <v>31.675038400000091</v>
      </c>
      <c r="DB223" s="1007">
        <f t="shared" si="1168"/>
        <v>-201.98600461000004</v>
      </c>
      <c r="DC223" s="1007">
        <f t="shared" si="1168"/>
        <v>-218.01837403999997</v>
      </c>
      <c r="DD223" s="1007">
        <f t="shared" si="1168"/>
        <v>333.00444980000009</v>
      </c>
      <c r="DE223" s="1007">
        <f t="shared" si="1168"/>
        <v>245.11800161999989</v>
      </c>
      <c r="DF223" s="1007">
        <f t="shared" si="1168"/>
        <v>391.95039173000004</v>
      </c>
      <c r="DG223" s="1007">
        <f t="shared" si="1168"/>
        <v>-41.539388670000221</v>
      </c>
      <c r="DH223" s="1007">
        <f t="shared" si="1168"/>
        <v>152.48098350999987</v>
      </c>
      <c r="DI223" s="1007">
        <f t="shared" si="1168"/>
        <v>121.43567959000012</v>
      </c>
      <c r="DJ223" s="1007">
        <f t="shared" si="1168"/>
        <v>-90.876278649999733</v>
      </c>
      <c r="DK223" s="1007">
        <f t="shared" si="1168"/>
        <v>201.94079329000013</v>
      </c>
      <c r="DL223" s="1007">
        <f t="shared" si="1168"/>
        <v>320.90941712999995</v>
      </c>
      <c r="DM223" s="1007">
        <f t="shared" si="1168"/>
        <v>176.37271704999984</v>
      </c>
      <c r="DN223" s="1007">
        <f t="shared" si="1168"/>
        <v>140.56880583000031</v>
      </c>
      <c r="DO223" s="1007">
        <f t="shared" si="1168"/>
        <v>227.98479070999963</v>
      </c>
      <c r="DP223" s="1007">
        <f t="shared" si="1168"/>
        <v>407.48147771999993</v>
      </c>
      <c r="DQ223" s="1006">
        <f t="shared" si="1168"/>
        <v>298.39846114999989</v>
      </c>
      <c r="DR223" s="1006">
        <f t="shared" si="1168"/>
        <v>387.15433903000007</v>
      </c>
      <c r="DS223" s="1006">
        <f t="shared" si="1168"/>
        <v>242.5764488299998</v>
      </c>
      <c r="DT223" s="1006">
        <f t="shared" si="1168"/>
        <v>446.69637108999962</v>
      </c>
      <c r="DU223" s="1006">
        <f t="shared" si="1168"/>
        <v>405.89299257999983</v>
      </c>
      <c r="DV223" s="1006">
        <f t="shared" si="1168"/>
        <v>-169.26952538000018</v>
      </c>
      <c r="DW223" s="1006">
        <f t="shared" si="1168"/>
        <v>233.13307968000012</v>
      </c>
      <c r="DX223" s="1006">
        <f t="shared" si="1168"/>
        <v>82.971072759999942</v>
      </c>
      <c r="DY223" s="1006">
        <f t="shared" ref="DY223:EF223" si="1169">+DY60</f>
        <v>194.32062318000015</v>
      </c>
      <c r="DZ223" s="1006">
        <f t="shared" si="1169"/>
        <v>545.1202077300004</v>
      </c>
      <c r="EA223" s="1006">
        <f t="shared" si="1169"/>
        <v>481.25150238999964</v>
      </c>
      <c r="EB223" s="1006">
        <f t="shared" si="1169"/>
        <v>657.25072771000009</v>
      </c>
      <c r="EC223" s="1006">
        <f t="shared" si="1169"/>
        <v>783.46495703000051</v>
      </c>
      <c r="ED223" s="1006">
        <f t="shared" si="1169"/>
        <v>1446.8150178100002</v>
      </c>
      <c r="EE223" s="1006">
        <f t="shared" si="1169"/>
        <v>1189.5434701599997</v>
      </c>
      <c r="EF223" s="1006">
        <f t="shared" si="1169"/>
        <v>38.737134939999805</v>
      </c>
      <c r="EH223" s="1008"/>
      <c r="EI223" s="1008"/>
      <c r="EJ223" s="1008"/>
      <c r="EK223" s="1008"/>
      <c r="EL223" s="1008"/>
      <c r="EM223" s="1008"/>
      <c r="EN223" s="1008"/>
      <c r="EO223" s="1008"/>
      <c r="EP223" s="1006"/>
      <c r="EQ223" s="1006"/>
      <c r="ER223" s="1006"/>
      <c r="ES223" s="1006"/>
      <c r="EU223" s="1008">
        <v>622.14621517750743</v>
      </c>
      <c r="EV223" s="1008">
        <v>-334.30978869575904</v>
      </c>
      <c r="EW223" s="1008">
        <v>-237.03258232916494</v>
      </c>
      <c r="EX223" s="1006">
        <v>679.73743309430438</v>
      </c>
      <c r="EY223" s="1006">
        <v>341.29701632089694</v>
      </c>
      <c r="EZ223" s="1006">
        <v>543.28880961178197</v>
      </c>
      <c r="FA223" s="1006">
        <v>1387.7846263757888</v>
      </c>
      <c r="FB223" s="1006">
        <v>2209.845037548117</v>
      </c>
      <c r="FC223" s="1006">
        <v>1396.2980447035595</v>
      </c>
      <c r="FD223" s="1006">
        <v>1637.0219075590401</v>
      </c>
      <c r="FE223" s="1006">
        <v>1468.0107791037726</v>
      </c>
      <c r="FF223" s="1006">
        <v>1066.8667048574132</v>
      </c>
      <c r="FG223" s="1008">
        <f t="shared" ref="FG223:GD223" si="1170">+FG60</f>
        <v>-182.82359112956044</v>
      </c>
      <c r="FH223" s="1008">
        <f t="shared" si="1170"/>
        <v>-45.584436750366365</v>
      </c>
      <c r="FI223" s="1008">
        <f t="shared" si="1170"/>
        <v>-29.45856852470331</v>
      </c>
      <c r="FJ223" s="1006">
        <f t="shared" si="1170"/>
        <v>-97.639009168528958</v>
      </c>
      <c r="FK223" s="1006">
        <f t="shared" si="1170"/>
        <v>109.24490857162789</v>
      </c>
      <c r="FL223" s="1006">
        <f t="shared" si="1170"/>
        <v>320.89010179358502</v>
      </c>
      <c r="FM223" s="1006">
        <f t="shared" si="1170"/>
        <v>383.86049724361192</v>
      </c>
      <c r="FN223" s="1006">
        <f t="shared" si="1170"/>
        <v>453.85232322619459</v>
      </c>
      <c r="FO223" s="1006">
        <f t="shared" si="1170"/>
        <v>419.57474811203338</v>
      </c>
      <c r="FP223" s="1006">
        <f t="shared" si="1170"/>
        <v>478.60959561466711</v>
      </c>
      <c r="FQ223" s="1006">
        <f t="shared" si="1170"/>
        <v>369.93309816674247</v>
      </c>
      <c r="FR223" s="1006">
        <f t="shared" si="1170"/>
        <v>170.06329953912251</v>
      </c>
      <c r="FS223" s="1008">
        <f t="shared" si="1170"/>
        <v>135.05859800000002</v>
      </c>
      <c r="FT223" s="1008">
        <f t="shared" si="1170"/>
        <v>336.8367549100002</v>
      </c>
      <c r="FU223" s="1008">
        <f t="shared" si="1170"/>
        <v>341.36084599999981</v>
      </c>
      <c r="FV223" s="1006">
        <f t="shared" si="1170"/>
        <v>297.18355891000004</v>
      </c>
      <c r="FW223" s="1006">
        <f t="shared" si="1170"/>
        <v>314.96711791000018</v>
      </c>
      <c r="FX223" s="1006">
        <f t="shared" si="1170"/>
        <v>282.30310291000006</v>
      </c>
      <c r="FY223" s="1006">
        <f t="shared" si="1170"/>
        <v>307.20153890999984</v>
      </c>
      <c r="FZ223" s="1006">
        <f t="shared" si="1170"/>
        <v>101.67076090999996</v>
      </c>
      <c r="GA223" s="1006">
        <f t="shared" si="1170"/>
        <v>-6.2338200000000938</v>
      </c>
      <c r="GB223" s="1006">
        <f t="shared" si="1170"/>
        <v>-83.64703609</v>
      </c>
      <c r="GC223" s="1006">
        <f t="shared" si="1170"/>
        <v>-26.128150090000162</v>
      </c>
      <c r="GD223" s="1006">
        <f t="shared" si="1170"/>
        <v>-82.266508000000073</v>
      </c>
      <c r="GE223" s="1006"/>
      <c r="GF223" s="1006"/>
      <c r="GG223" s="1006"/>
      <c r="GH223" s="1006"/>
      <c r="GI223" s="1006"/>
      <c r="GJ223" s="1006"/>
      <c r="GK223" s="1006"/>
      <c r="GL223" s="1006"/>
      <c r="GM223" s="1006"/>
      <c r="GN223" s="1006"/>
      <c r="GO223" s="1006"/>
      <c r="GP223" s="1006"/>
      <c r="GQ223" s="1006"/>
      <c r="GR223" s="1006"/>
      <c r="GS223" s="1006"/>
      <c r="GT223" s="1006"/>
      <c r="GU223" s="1006"/>
      <c r="GV223" s="1006"/>
      <c r="GW223" s="1006"/>
      <c r="GX223" s="1006"/>
      <c r="GY223" s="1006"/>
      <c r="GZ223" s="1006"/>
      <c r="HA223" s="1006"/>
      <c r="HB223" s="1006"/>
      <c r="HD223" s="1009"/>
      <c r="HE223" s="1009"/>
      <c r="HF223" s="1009"/>
      <c r="HG223" s="1009"/>
      <c r="HH223" s="1009"/>
      <c r="HI223" s="1009"/>
      <c r="HJ223" s="1009"/>
      <c r="HK223" s="1009"/>
      <c r="HL223" s="1009"/>
      <c r="HM223" s="1009"/>
      <c r="HN223" s="1009"/>
      <c r="HO223" s="1009"/>
      <c r="HP223" s="1009"/>
      <c r="JA223" s="1009"/>
      <c r="JB223" s="1009"/>
      <c r="JC223" s="1009"/>
      <c r="JD223" s="1009"/>
      <c r="JE223" s="1009"/>
      <c r="JF223" s="1009"/>
      <c r="JG223" s="1009"/>
      <c r="JH223" s="1009"/>
      <c r="JI223" s="1009"/>
      <c r="JJ223" s="1009"/>
      <c r="JK223" s="1009"/>
      <c r="JL223" s="1009"/>
      <c r="JM223" s="1009"/>
      <c r="JN223" s="1009"/>
      <c r="JY223" s="1009"/>
      <c r="JZ223" s="1009"/>
      <c r="KA223" s="1009"/>
      <c r="KB223" s="1009"/>
      <c r="KC223" s="1009"/>
      <c r="KD223" s="1009"/>
      <c r="KE223" s="1009"/>
      <c r="KF223" s="1009"/>
      <c r="KH223" s="1009"/>
      <c r="KI223" s="1009"/>
      <c r="KJ223" s="1009"/>
      <c r="KK223" s="1009"/>
      <c r="KL223" s="1009"/>
      <c r="KM223" s="1009"/>
      <c r="KN223" s="1009"/>
      <c r="KO223" s="1009"/>
      <c r="LB223" s="1009"/>
      <c r="LC223" s="1009"/>
      <c r="LD223" s="1009"/>
      <c r="LE223" s="1009"/>
      <c r="LF223" s="1009"/>
      <c r="LG223" s="1009"/>
      <c r="LH223" s="1009"/>
      <c r="LI223" s="1009"/>
      <c r="LJ223" s="1009"/>
      <c r="LK223" s="1009"/>
      <c r="LL223" s="1009"/>
      <c r="LM223" s="1009"/>
      <c r="LN223" s="1009"/>
      <c r="LO223" s="1009"/>
      <c r="LR223" s="1009"/>
      <c r="LS223" s="1009"/>
      <c r="LT223" s="1009"/>
      <c r="LU223" s="1009"/>
      <c r="LV223" s="1009"/>
      <c r="LW223" s="1009"/>
      <c r="LX223" s="1009"/>
      <c r="LZ223" s="1009"/>
      <c r="MA223" s="1009"/>
      <c r="MB223" s="1009"/>
      <c r="MC223" s="1009"/>
      <c r="MD223" s="1009"/>
      <c r="ME223" s="1009"/>
      <c r="MF223" s="1009"/>
      <c r="MH223" s="1009"/>
      <c r="MI223" s="1009"/>
      <c r="MJ223" s="1009"/>
      <c r="MK223" s="1009"/>
      <c r="ML223" s="1009"/>
      <c r="MM223" s="1009"/>
      <c r="MN223" s="1009"/>
      <c r="MO223" s="1009"/>
      <c r="MP223" s="1009"/>
    </row>
    <row r="224" spans="1:354" ht="15" thickTop="1">
      <c r="A224" s="867"/>
      <c r="C224" s="1010" t="s">
        <v>767</v>
      </c>
      <c r="D224" s="662"/>
      <c r="E224" s="1011"/>
      <c r="F224" s="1011"/>
      <c r="G224" s="1011"/>
      <c r="H224" s="1011"/>
      <c r="I224" s="1011"/>
      <c r="J224" s="1011"/>
      <c r="K224" s="1011"/>
      <c r="L224" s="1011"/>
      <c r="M224" s="1011"/>
      <c r="N224" s="1011"/>
      <c r="O224" s="1011"/>
      <c r="P224" s="1011"/>
      <c r="Q224" s="1011"/>
      <c r="R224" s="1011"/>
      <c r="S224" s="1011"/>
      <c r="T224" s="1011"/>
      <c r="U224" s="1011"/>
      <c r="V224" s="1011"/>
      <c r="W224" s="1011"/>
      <c r="X224" s="1011"/>
      <c r="Y224" s="1011"/>
      <c r="Z224" s="1011"/>
      <c r="AA224" s="1011"/>
      <c r="AB224" s="1011"/>
      <c r="AC224" s="1011"/>
      <c r="AD224" s="1011"/>
      <c r="AE224" s="1011"/>
      <c r="AF224" s="1011"/>
      <c r="AG224" s="1011"/>
      <c r="AH224" s="1011"/>
      <c r="AI224" s="1011"/>
      <c r="AJ224" s="1011"/>
      <c r="AK224" s="1011"/>
      <c r="AL224" s="1011"/>
      <c r="AM224" s="1011"/>
      <c r="AN224" s="1011"/>
      <c r="AO224" s="873">
        <v>-38.67646263999896</v>
      </c>
      <c r="AP224" s="920">
        <v>-3559.3162761700028</v>
      </c>
      <c r="AQ224" s="1010">
        <v>-112.92521699999769</v>
      </c>
      <c r="AR224" s="1010">
        <v>-419.59703848000078</v>
      </c>
      <c r="AS224" s="873">
        <v>-452.54874905999804</v>
      </c>
      <c r="AT224" s="873">
        <v>2870.8404983700002</v>
      </c>
      <c r="AU224" s="873">
        <v>-35.954589920001922</v>
      </c>
      <c r="AV224" s="873">
        <v>-101.78064611999957</v>
      </c>
      <c r="AW224" s="873">
        <v>918.50350398000126</v>
      </c>
      <c r="AX224" s="873">
        <v>-92.279038200000599</v>
      </c>
      <c r="AY224" s="873">
        <v>-250.85020299999968</v>
      </c>
      <c r="AZ224" s="873">
        <v>5.4003566399999841</v>
      </c>
      <c r="BA224" s="873">
        <v>15.737443000002372</v>
      </c>
      <c r="BB224" s="873">
        <v>4.0925593200008166</v>
      </c>
      <c r="BC224" s="873">
        <v>14.961303520000115</v>
      </c>
      <c r="BD224" s="873">
        <v>1264.94295285</v>
      </c>
      <c r="BE224" s="873">
        <v>-164.88918677000038</v>
      </c>
      <c r="BF224" s="873">
        <v>-12.073455530000629</v>
      </c>
      <c r="BG224" s="873">
        <v>10.647527259999393</v>
      </c>
      <c r="BH224" s="873">
        <v>14.959467780000736</v>
      </c>
      <c r="BI224" s="873">
        <v>61.972401860000744</v>
      </c>
      <c r="BJ224" s="873">
        <v>5.1599538499984021</v>
      </c>
      <c r="BK224" s="873">
        <v>11.669987580001077</v>
      </c>
      <c r="BL224" s="873">
        <v>-22.353760299998882</v>
      </c>
      <c r="BM224" s="873">
        <f t="shared" ref="BM224:DX224" si="1171">-BM139-BM156+BL139+BL156+BM64</f>
        <v>-336.99119606999818</v>
      </c>
      <c r="BN224" s="873">
        <f t="shared" si="1171"/>
        <v>-6.6854200000014785</v>
      </c>
      <c r="BO224" s="873">
        <f t="shared" si="1171"/>
        <v>-37.527826969999651</v>
      </c>
      <c r="BP224" s="873">
        <f t="shared" si="1171"/>
        <v>-34.011229000000725</v>
      </c>
      <c r="BQ224" s="873">
        <f t="shared" si="1171"/>
        <v>-27.447587059999201</v>
      </c>
      <c r="BR224" s="873">
        <f t="shared" si="1171"/>
        <v>-36.36828500000118</v>
      </c>
      <c r="BS224" s="873">
        <f t="shared" si="1171"/>
        <v>-34.111449999999216</v>
      </c>
      <c r="BT224" s="873">
        <f t="shared" si="1171"/>
        <v>-12.516527780000359</v>
      </c>
      <c r="BU224" s="873">
        <f t="shared" si="1171"/>
        <v>-23.633399999997771</v>
      </c>
      <c r="BV224" s="873">
        <f t="shared" si="1171"/>
        <v>-25.726051230002476</v>
      </c>
      <c r="BW224" s="873">
        <f t="shared" si="1171"/>
        <v>-71.081247729998779</v>
      </c>
      <c r="BX224" s="873">
        <f t="shared" si="1171"/>
        <v>-77.99527406000135</v>
      </c>
      <c r="BY224" s="1012">
        <f t="shared" si="1171"/>
        <v>-166.04385760000019</v>
      </c>
      <c r="BZ224" s="1012">
        <f t="shared" si="1171"/>
        <v>-199.97985457999823</v>
      </c>
      <c r="CA224" s="1012">
        <f t="shared" si="1171"/>
        <v>-216.00607800000097</v>
      </c>
      <c r="CB224" s="1012">
        <f t="shared" si="1171"/>
        <v>-32.685908999999647</v>
      </c>
      <c r="CC224" s="1012">
        <f t="shared" si="1171"/>
        <v>-35.449900750001774</v>
      </c>
      <c r="CD224" s="1012">
        <f t="shared" si="1171"/>
        <v>-20.413090009999294</v>
      </c>
      <c r="CE224" s="1012">
        <f t="shared" si="1171"/>
        <v>-110.00830968999936</v>
      </c>
      <c r="CF224" s="1012">
        <f t="shared" si="1171"/>
        <v>-68.308337689999391</v>
      </c>
      <c r="CG224" s="1012">
        <f t="shared" si="1171"/>
        <v>-119.75724093000117</v>
      </c>
      <c r="CH224" s="1012">
        <f t="shared" si="1171"/>
        <v>-199.48889110000141</v>
      </c>
      <c r="CI224" s="1012">
        <f t="shared" si="1171"/>
        <v>-268.45049636000078</v>
      </c>
      <c r="CJ224" s="1012">
        <f t="shared" si="1171"/>
        <v>-141.13019540999852</v>
      </c>
      <c r="CK224" s="1012">
        <f t="shared" si="1171"/>
        <v>-33.806595239999979</v>
      </c>
      <c r="CL224" s="1012">
        <f t="shared" si="1171"/>
        <v>-87.457662079998016</v>
      </c>
      <c r="CM224" s="1012">
        <f t="shared" si="1171"/>
        <v>-8.768074930002733</v>
      </c>
      <c r="CN224" s="1012">
        <f t="shared" si="1171"/>
        <v>-39.259460750000272</v>
      </c>
      <c r="CO224" s="1012">
        <f t="shared" si="1171"/>
        <v>-81.305840119997725</v>
      </c>
      <c r="CP224" s="1012">
        <f t="shared" si="1171"/>
        <v>-198.51245062999959</v>
      </c>
      <c r="CQ224" s="1012">
        <f t="shared" si="1171"/>
        <v>-87.28418907000119</v>
      </c>
      <c r="CR224" s="1012">
        <f t="shared" si="1171"/>
        <v>-74.700494609996952</v>
      </c>
      <c r="CS224" s="1012">
        <f t="shared" si="1171"/>
        <v>-17.843460770000171</v>
      </c>
      <c r="CT224" s="1012">
        <f t="shared" si="1171"/>
        <v>-127.51877196000191</v>
      </c>
      <c r="CU224" s="1012">
        <f t="shared" si="1171"/>
        <v>-102.63932080999764</v>
      </c>
      <c r="CV224" s="1012">
        <f t="shared" si="1171"/>
        <v>-106.92994710000106</v>
      </c>
      <c r="CW224" s="1012">
        <f t="shared" si="1171"/>
        <v>-15.918868530000196</v>
      </c>
      <c r="CX224" s="1012">
        <f t="shared" si="1171"/>
        <v>-106.55366799999986</v>
      </c>
      <c r="CY224" s="1012">
        <f t="shared" si="1171"/>
        <v>-103.06503900000038</v>
      </c>
      <c r="CZ224" s="1012">
        <f t="shared" si="1171"/>
        <v>-23.928797000001303</v>
      </c>
      <c r="DA224" s="1012">
        <f t="shared" si="1171"/>
        <v>-19.708026399999312</v>
      </c>
      <c r="DB224" s="1012">
        <f t="shared" si="1171"/>
        <v>41.357230040000964</v>
      </c>
      <c r="DC224" s="1012">
        <f t="shared" si="1171"/>
        <v>26.683835259998183</v>
      </c>
      <c r="DD224" s="1012">
        <f t="shared" si="1171"/>
        <v>-57.784863949997089</v>
      </c>
      <c r="DE224" s="1012">
        <f t="shared" si="1171"/>
        <v>-8.8994602200025668</v>
      </c>
      <c r="DF224" s="1012">
        <f t="shared" si="1171"/>
        <v>3.2575459999964949</v>
      </c>
      <c r="DG224" s="1012">
        <f t="shared" si="1171"/>
        <v>-56.849242000002228</v>
      </c>
      <c r="DH224" s="1012">
        <f t="shared" si="1171"/>
        <v>-20.097753899998381</v>
      </c>
      <c r="DI224" s="1012">
        <f>-DI139-DI156+DH139+DH156+DI64</f>
        <v>-22.854717000001294</v>
      </c>
      <c r="DJ224" s="1012">
        <f t="shared" si="1171"/>
        <v>-10.710440429997433</v>
      </c>
      <c r="DK224" s="1012">
        <f t="shared" si="1171"/>
        <v>-44.669482860001452</v>
      </c>
      <c r="DL224" s="1012">
        <f t="shared" si="1171"/>
        <v>-59.896683500001366</v>
      </c>
      <c r="DM224" s="1012">
        <f t="shared" si="1171"/>
        <v>-74.977509450001662</v>
      </c>
      <c r="DN224" s="1012">
        <f t="shared" si="1171"/>
        <v>-21.008926059998949</v>
      </c>
      <c r="DO224" s="1012">
        <f t="shared" si="1171"/>
        <v>-20.144190999998642</v>
      </c>
      <c r="DP224" s="1012">
        <f t="shared" si="1171"/>
        <v>-19.762466239998439</v>
      </c>
      <c r="DQ224" s="873">
        <f t="shared" si="1171"/>
        <v>-41.241799000001613</v>
      </c>
      <c r="DR224" s="873">
        <f t="shared" si="1171"/>
        <v>-230.74852886999702</v>
      </c>
      <c r="DS224" s="873">
        <f t="shared" si="1171"/>
        <v>-148.65955539000061</v>
      </c>
      <c r="DT224" s="873">
        <f t="shared" si="1171"/>
        <v>-85.656812229997243</v>
      </c>
      <c r="DU224" s="873">
        <f t="shared" si="1171"/>
        <v>-44.69854999999977</v>
      </c>
      <c r="DV224" s="873">
        <f t="shared" si="1171"/>
        <v>-108.22835500000289</v>
      </c>
      <c r="DW224" s="873">
        <f t="shared" si="1171"/>
        <v>-229.0123436599996</v>
      </c>
      <c r="DX224" s="873">
        <f t="shared" si="1171"/>
        <v>-227.63463526999894</v>
      </c>
      <c r="DY224" s="873">
        <f t="shared" ref="DY224:EF224" si="1172">-DY139-DY156+DX139+DX156+DY64</f>
        <v>-55.850017139995373</v>
      </c>
      <c r="DZ224" s="873">
        <f t="shared" si="1172"/>
        <v>-332.76077680999799</v>
      </c>
      <c r="EA224" s="873">
        <f t="shared" si="1172"/>
        <v>-441.65426600000359</v>
      </c>
      <c r="EB224" s="873">
        <f t="shared" si="1172"/>
        <v>-501.15695087000142</v>
      </c>
      <c r="EC224" s="873">
        <f t="shared" si="1172"/>
        <v>-430.53935298000238</v>
      </c>
      <c r="ED224" s="873">
        <f t="shared" si="1172"/>
        <v>-433.56298924999771</v>
      </c>
      <c r="EE224" s="873">
        <f t="shared" si="1172"/>
        <v>-199.52909149000413</v>
      </c>
      <c r="EF224" s="873">
        <f t="shared" si="1172"/>
        <v>238.8162594600046</v>
      </c>
      <c r="EH224" s="1010"/>
      <c r="EI224" s="1010"/>
      <c r="EJ224" s="1010"/>
      <c r="EK224" s="1010"/>
      <c r="EL224" s="1010"/>
      <c r="EM224" s="1010"/>
      <c r="EN224" s="1010"/>
      <c r="EO224" s="1010"/>
      <c r="EP224" s="873"/>
      <c r="EQ224" s="873"/>
      <c r="ER224" s="873"/>
      <c r="ES224" s="873"/>
      <c r="EU224" s="1010">
        <v>898.83302715999878</v>
      </c>
      <c r="EV224" s="1010">
        <v>-5326.8533869999992</v>
      </c>
      <c r="EW224" s="1010">
        <v>-802.46076366666614</v>
      </c>
      <c r="EX224" s="873">
        <v>-140.13466666666483</v>
      </c>
      <c r="EY224" s="873">
        <v>-624.90298566666763</v>
      </c>
      <c r="EZ224" s="873">
        <v>987.36533333333364</v>
      </c>
      <c r="FA224" s="873">
        <v>-167.48466666666602</v>
      </c>
      <c r="FB224" s="873">
        <v>-105.08466666666766</v>
      </c>
      <c r="FC224" s="873">
        <v>-107.08466666666675</v>
      </c>
      <c r="FD224" s="873">
        <v>-165.08466666666757</v>
      </c>
      <c r="FE224" s="873">
        <v>-116.48466666666518</v>
      </c>
      <c r="FF224" s="873">
        <v>-100.18466666666694</v>
      </c>
      <c r="FG224" s="1010"/>
      <c r="FH224" s="1010"/>
      <c r="FI224" s="1010"/>
      <c r="FJ224" s="873"/>
      <c r="FK224" s="873"/>
      <c r="FL224" s="873"/>
      <c r="FM224" s="873"/>
      <c r="FN224" s="873"/>
      <c r="FO224" s="873"/>
      <c r="FP224" s="873"/>
      <c r="FQ224" s="873"/>
      <c r="FR224" s="873"/>
      <c r="FS224" s="1010"/>
      <c r="FT224" s="1010"/>
      <c r="FU224" s="1010"/>
      <c r="FV224" s="873"/>
      <c r="FW224" s="873"/>
      <c r="FX224" s="873"/>
      <c r="FY224" s="873"/>
      <c r="FZ224" s="873"/>
      <c r="GA224" s="873"/>
      <c r="GB224" s="873"/>
      <c r="GC224" s="873"/>
      <c r="GD224" s="873"/>
      <c r="GE224" s="873"/>
      <c r="GF224" s="873"/>
      <c r="GG224" s="873"/>
      <c r="GH224" s="873"/>
      <c r="GI224" s="873"/>
      <c r="GJ224" s="873"/>
      <c r="GK224" s="873"/>
      <c r="GL224" s="873"/>
      <c r="GM224" s="873"/>
      <c r="GN224" s="873"/>
      <c r="GO224" s="873"/>
      <c r="GP224" s="873"/>
      <c r="GQ224" s="873"/>
      <c r="GR224" s="873"/>
      <c r="GS224" s="873"/>
      <c r="GT224" s="873"/>
      <c r="GU224" s="873"/>
      <c r="GV224" s="873"/>
      <c r="GW224" s="873"/>
      <c r="GX224" s="873"/>
      <c r="GY224" s="873"/>
      <c r="GZ224" s="873"/>
      <c r="HA224" s="873"/>
      <c r="HB224" s="873"/>
      <c r="HD224" s="1013"/>
      <c r="HE224" s="1013"/>
      <c r="HF224" s="1013"/>
      <c r="HG224" s="1013"/>
      <c r="HH224" s="1013"/>
      <c r="HI224" s="1013"/>
      <c r="HJ224" s="1013"/>
      <c r="HK224" s="1013"/>
      <c r="HL224" s="1013"/>
      <c r="HM224" s="1013"/>
      <c r="HN224" s="1013"/>
      <c r="HO224" s="1013"/>
      <c r="HP224" s="1013"/>
      <c r="JA224" s="1013"/>
      <c r="JB224" s="1013"/>
      <c r="JC224" s="1013"/>
      <c r="JD224" s="1013"/>
      <c r="JE224" s="1013"/>
      <c r="JF224" s="1013"/>
      <c r="JG224" s="1013"/>
      <c r="JH224" s="1013"/>
      <c r="JI224" s="1013"/>
      <c r="JJ224" s="1013"/>
      <c r="JK224" s="1013"/>
      <c r="JL224" s="1013"/>
      <c r="JM224" s="1013"/>
      <c r="JN224" s="1013"/>
      <c r="JY224" s="1013"/>
      <c r="JZ224" s="1013"/>
      <c r="KA224" s="1013"/>
      <c r="KB224" s="1013"/>
      <c r="KC224" s="1013"/>
      <c r="KD224" s="1013"/>
      <c r="KE224" s="1013"/>
      <c r="KF224" s="1013"/>
      <c r="KH224" s="1013"/>
      <c r="KI224" s="1013"/>
      <c r="KJ224" s="1013"/>
      <c r="KK224" s="1013"/>
      <c r="KL224" s="1013"/>
      <c r="KM224" s="1013"/>
      <c r="KN224" s="1013"/>
      <c r="KO224" s="1013"/>
      <c r="LB224" s="1013"/>
      <c r="LC224" s="1013"/>
      <c r="LD224" s="1013"/>
      <c r="LE224" s="1013"/>
      <c r="LF224" s="1013"/>
      <c r="LG224" s="1013"/>
      <c r="LH224" s="1013"/>
      <c r="LI224" s="1013"/>
      <c r="LJ224" s="1013"/>
      <c r="LK224" s="1013"/>
      <c r="LL224" s="1013"/>
      <c r="LM224" s="1013"/>
      <c r="LN224" s="1013"/>
      <c r="LO224" s="1013"/>
      <c r="LR224" s="1013"/>
      <c r="LS224" s="1013"/>
      <c r="LT224" s="1013"/>
      <c r="LU224" s="1013"/>
      <c r="LV224" s="1013"/>
      <c r="LW224" s="1013"/>
      <c r="LX224" s="1013"/>
      <c r="LZ224" s="1013"/>
      <c r="MA224" s="1013"/>
      <c r="MB224" s="1013"/>
      <c r="MC224" s="1013"/>
      <c r="MD224" s="1013"/>
      <c r="ME224" s="1013"/>
      <c r="MF224" s="1013"/>
      <c r="MH224" s="1013"/>
      <c r="MI224" s="1013"/>
      <c r="MJ224" s="1013"/>
      <c r="MK224" s="1013"/>
      <c r="ML224" s="1013"/>
      <c r="MM224" s="1013"/>
      <c r="MN224" s="1013"/>
      <c r="MO224" s="1013"/>
      <c r="MP224" s="1013"/>
    </row>
    <row r="225" spans="1:354">
      <c r="A225" s="867"/>
      <c r="C225" s="1010" t="s">
        <v>314</v>
      </c>
      <c r="D225" s="662"/>
      <c r="E225" s="1011"/>
      <c r="F225" s="1011"/>
      <c r="G225" s="1011"/>
      <c r="H225" s="1011"/>
      <c r="I225" s="1011"/>
      <c r="J225" s="1011"/>
      <c r="K225" s="1011"/>
      <c r="L225" s="1011"/>
      <c r="M225" s="1011"/>
      <c r="N225" s="1011"/>
      <c r="O225" s="1011"/>
      <c r="P225" s="1011"/>
      <c r="Q225" s="1011"/>
      <c r="R225" s="1011"/>
      <c r="S225" s="1011"/>
      <c r="T225" s="1011"/>
      <c r="U225" s="1011"/>
      <c r="V225" s="1011"/>
      <c r="W225" s="1011"/>
      <c r="X225" s="1011"/>
      <c r="Y225" s="1011"/>
      <c r="Z225" s="1011"/>
      <c r="AA225" s="1011"/>
      <c r="AB225" s="1011"/>
      <c r="AC225" s="1011"/>
      <c r="AD225" s="1011"/>
      <c r="AE225" s="1011"/>
      <c r="AF225" s="1011"/>
      <c r="AG225" s="1011"/>
      <c r="AH225" s="1011"/>
      <c r="AI225" s="1011"/>
      <c r="AJ225" s="1011"/>
      <c r="AK225" s="1011"/>
      <c r="AL225" s="1011"/>
      <c r="AM225" s="1011"/>
      <c r="AN225" s="1011"/>
      <c r="AO225" s="873">
        <v>-105.52537949000074</v>
      </c>
      <c r="AP225" s="920">
        <v>-81.495222659999257</v>
      </c>
      <c r="AQ225" s="1010">
        <v>-67.159770699999029</v>
      </c>
      <c r="AR225" s="1010">
        <v>-1.5712710399996936</v>
      </c>
      <c r="AS225" s="873">
        <v>-114.63203071000257</v>
      </c>
      <c r="AT225" s="873">
        <v>-3394.1527148999999</v>
      </c>
      <c r="AU225" s="873">
        <v>64.997319240001033</v>
      </c>
      <c r="AV225" s="873">
        <v>0.17894081999900635</v>
      </c>
      <c r="AW225" s="873">
        <v>-1152.7777069399988</v>
      </c>
      <c r="AX225" s="873">
        <v>302.78931083000055</v>
      </c>
      <c r="AY225" s="873">
        <v>-6.4224657400003196</v>
      </c>
      <c r="AZ225" s="873">
        <v>-55.572645030000004</v>
      </c>
      <c r="BA225" s="873">
        <v>-96.012026420003295</v>
      </c>
      <c r="BB225" s="873">
        <v>-14.942952999997622</v>
      </c>
      <c r="BC225" s="873">
        <v>-38.133494950001015</v>
      </c>
      <c r="BD225" s="873">
        <v>-18.189930409999931</v>
      </c>
      <c r="BE225" s="873">
        <v>-283.66083269000052</v>
      </c>
      <c r="BF225" s="873">
        <v>129.70830782000087</v>
      </c>
      <c r="BG225" s="873">
        <v>-14.94295217999921</v>
      </c>
      <c r="BH225" s="873">
        <v>-14.942952180000582</v>
      </c>
      <c r="BI225" s="873">
        <v>-9.1339588600017727</v>
      </c>
      <c r="BJ225" s="873">
        <v>-12.467717849998529</v>
      </c>
      <c r="BK225" s="873">
        <v>297.16170828999907</v>
      </c>
      <c r="BL225" s="873">
        <v>-37.81995104999956</v>
      </c>
      <c r="BM225" s="873">
        <f t="shared" ref="BM225:DX225" si="1173">-(BM137-BM139-BM156)+(BL137-BL139-BL156)+BM67</f>
        <v>-159.65400957999594</v>
      </c>
      <c r="BN225" s="873">
        <f t="shared" si="1173"/>
        <v>-21.479838050002122</v>
      </c>
      <c r="BO225" s="873">
        <f t="shared" si="1173"/>
        <v>-80.845569540000582</v>
      </c>
      <c r="BP225" s="873">
        <f t="shared" si="1173"/>
        <v>1.7251619500000448</v>
      </c>
      <c r="BQ225" s="873">
        <f t="shared" si="1173"/>
        <v>1.4826779500020155</v>
      </c>
      <c r="BR225" s="873">
        <f t="shared" si="1173"/>
        <v>-6.8077128900006958</v>
      </c>
      <c r="BS225" s="873">
        <f t="shared" si="1173"/>
        <v>1.5603039500000957</v>
      </c>
      <c r="BT225" s="873">
        <f t="shared" si="1173"/>
        <v>1.7251619499994746</v>
      </c>
      <c r="BU225" s="873">
        <f t="shared" si="1173"/>
        <v>0.55116194999916246</v>
      </c>
      <c r="BV225" s="873">
        <f t="shared" si="1173"/>
        <v>-4.079700049998582</v>
      </c>
      <c r="BW225" s="873">
        <f t="shared" si="1173"/>
        <v>1.7251619499994035</v>
      </c>
      <c r="BX225" s="873">
        <f t="shared" si="1173"/>
        <v>437.31141099000018</v>
      </c>
      <c r="BY225" s="1012">
        <f t="shared" si="1173"/>
        <v>-31.146038540001655</v>
      </c>
      <c r="BZ225" s="1012">
        <f t="shared" si="1173"/>
        <v>-1.2380939999970835</v>
      </c>
      <c r="CA225" s="1012">
        <f t="shared" si="1173"/>
        <v>-0.49480200000126473</v>
      </c>
      <c r="CB225" s="1012">
        <f t="shared" si="1173"/>
        <v>-0.52142999999873041</v>
      </c>
      <c r="CC225" s="1012">
        <f t="shared" si="1173"/>
        <v>-25.660526000002353</v>
      </c>
      <c r="CD225" s="1012">
        <f t="shared" si="1173"/>
        <v>-18.030591999998617</v>
      </c>
      <c r="CE225" s="1012">
        <f t="shared" si="1173"/>
        <v>1.3018000000300844E-2</v>
      </c>
      <c r="CF225" s="1012">
        <f t="shared" si="1173"/>
        <v>-5.0623939999997205</v>
      </c>
      <c r="CG225" s="1012">
        <f t="shared" si="1173"/>
        <v>-8.8280300000015224</v>
      </c>
      <c r="CH225" s="1012">
        <f t="shared" si="1173"/>
        <v>-4.3750900000005686</v>
      </c>
      <c r="CI225" s="1012">
        <f t="shared" si="1173"/>
        <v>-5.4254015999966754</v>
      </c>
      <c r="CJ225" s="1012">
        <f t="shared" si="1173"/>
        <v>148.26982434999758</v>
      </c>
      <c r="CK225" s="1012">
        <f t="shared" si="1173"/>
        <v>-38.352212999999765</v>
      </c>
      <c r="CL225" s="1012">
        <f t="shared" si="1173"/>
        <v>-29.813740000000443</v>
      </c>
      <c r="CM225" s="1012">
        <f t="shared" si="1173"/>
        <v>2.2623700000004376</v>
      </c>
      <c r="CN225" s="1012">
        <f t="shared" si="1173"/>
        <v>-10.949515999999115</v>
      </c>
      <c r="CO225" s="1012">
        <f t="shared" si="1173"/>
        <v>-11.819156400000796</v>
      </c>
      <c r="CP225" s="1012">
        <f t="shared" si="1173"/>
        <v>0.37635100000202115</v>
      </c>
      <c r="CQ225" s="1012">
        <f t="shared" si="1173"/>
        <v>-1.6775790000013515</v>
      </c>
      <c r="CR225" s="1012">
        <f t="shared" si="1173"/>
        <v>3.2807860000017897</v>
      </c>
      <c r="CS225" s="1012">
        <f t="shared" si="1173"/>
        <v>2.6698519999969719</v>
      </c>
      <c r="CT225" s="1012">
        <f t="shared" si="1173"/>
        <v>0.67903659999920052</v>
      </c>
      <c r="CU225" s="1012">
        <f t="shared" si="1173"/>
        <v>-33.673488999997758</v>
      </c>
      <c r="CV225" s="1012">
        <f t="shared" si="1173"/>
        <v>519.33549983999944</v>
      </c>
      <c r="CW225" s="1012">
        <f t="shared" si="1173"/>
        <v>-38.427088000001248</v>
      </c>
      <c r="CX225" s="1012">
        <f t="shared" si="1173"/>
        <v>3.9836420000032486</v>
      </c>
      <c r="CY225" s="1012">
        <f t="shared" si="1173"/>
        <v>-44.48207552000121</v>
      </c>
      <c r="CZ225" s="1012">
        <f t="shared" si="1173"/>
        <v>3.9836420000000867</v>
      </c>
      <c r="DA225" s="1012">
        <f t="shared" si="1173"/>
        <v>-15.873741700000595</v>
      </c>
      <c r="DB225" s="1012">
        <f t="shared" si="1173"/>
        <v>-1699.4243579999988</v>
      </c>
      <c r="DC225" s="1012">
        <f t="shared" si="1173"/>
        <v>2.9791917399988677</v>
      </c>
      <c r="DD225" s="1012">
        <f t="shared" si="1173"/>
        <v>-18.662432019999823</v>
      </c>
      <c r="DE225" s="1012">
        <f t="shared" si="1173"/>
        <v>-38.151675000002115</v>
      </c>
      <c r="DF225" s="1012">
        <f t="shared" si="1173"/>
        <v>-1.505612339998585</v>
      </c>
      <c r="DG225" s="1012">
        <f t="shared" si="1173"/>
        <v>300.51673499999913</v>
      </c>
      <c r="DH225" s="1012">
        <f t="shared" si="1173"/>
        <v>710.28743005999934</v>
      </c>
      <c r="DI225" s="1012">
        <f>-(DI137-DI139-DI156)+(DH137-DH139-DH156)+DI67</f>
        <v>-41.002995979996399</v>
      </c>
      <c r="DJ225" s="1012">
        <f t="shared" si="1173"/>
        <v>99.995305999998067</v>
      </c>
      <c r="DK225" s="1012">
        <f t="shared" si="1173"/>
        <v>-14.960231999998978</v>
      </c>
      <c r="DL225" s="1012">
        <f t="shared" si="1173"/>
        <v>650.52630299999976</v>
      </c>
      <c r="DM225" s="1012">
        <f t="shared" si="1173"/>
        <v>-16.8143382000017</v>
      </c>
      <c r="DN225" s="1012">
        <f t="shared" si="1173"/>
        <v>-7.7425479999981945</v>
      </c>
      <c r="DO225" s="1012">
        <f t="shared" si="1173"/>
        <v>1.6995679999971962</v>
      </c>
      <c r="DP225" s="1012">
        <f t="shared" si="1173"/>
        <v>-8.010933999998457</v>
      </c>
      <c r="DQ225" s="873">
        <f t="shared" si="1173"/>
        <v>-637.26543200000106</v>
      </c>
      <c r="DR225" s="873">
        <f t="shared" si="1173"/>
        <v>-3.8672240599980032</v>
      </c>
      <c r="DS225" s="873">
        <f t="shared" si="1173"/>
        <v>-43.093325630000933</v>
      </c>
      <c r="DT225" s="873">
        <f t="shared" si="1173"/>
        <v>347.10517345999995</v>
      </c>
      <c r="DU225" s="873">
        <f t="shared" si="1173"/>
        <v>450.34465024000122</v>
      </c>
      <c r="DV225" s="873">
        <f t="shared" si="1173"/>
        <v>83.516281759998847</v>
      </c>
      <c r="DW225" s="873">
        <f t="shared" si="1173"/>
        <v>2.2013319599998731</v>
      </c>
      <c r="DX225" s="873">
        <f t="shared" si="1173"/>
        <v>2.7432689599998739</v>
      </c>
      <c r="DY225" s="873">
        <f t="shared" ref="DY225:EF225" si="1174">-(DY137-DY139-DY156)+(DX137-DX139-DX156)+DY67</f>
        <v>-17.809713439999793</v>
      </c>
      <c r="DZ225" s="873">
        <f t="shared" si="1174"/>
        <v>-14.468394389999462</v>
      </c>
      <c r="EA225" s="873">
        <f t="shared" si="1174"/>
        <v>-8.4772276100007673</v>
      </c>
      <c r="EB225" s="873">
        <f t="shared" si="1174"/>
        <v>-14.439000040000796</v>
      </c>
      <c r="EC225" s="873">
        <f t="shared" si="1174"/>
        <v>-5.5128706399999814</v>
      </c>
      <c r="ED225" s="873">
        <f t="shared" si="1174"/>
        <v>-0.47800145999955745</v>
      </c>
      <c r="EE225" s="873">
        <f t="shared" si="1174"/>
        <v>-43.321227039999854</v>
      </c>
      <c r="EF225" s="873">
        <f t="shared" si="1174"/>
        <v>-11.92555311999994</v>
      </c>
      <c r="EH225" s="1010"/>
      <c r="EI225" s="1010"/>
      <c r="EJ225" s="1010"/>
      <c r="EK225" s="1010"/>
      <c r="EL225" s="1010"/>
      <c r="EM225" s="1010"/>
      <c r="EN225" s="1010"/>
      <c r="EO225" s="1010"/>
      <c r="EP225" s="873"/>
      <c r="EQ225" s="873"/>
      <c r="ER225" s="873"/>
      <c r="ES225" s="873"/>
      <c r="EU225" s="1010">
        <v>692.6859137499996</v>
      </c>
      <c r="EV225" s="1010">
        <v>-1652.3280400841663</v>
      </c>
      <c r="EW225" s="1010">
        <v>46.631926512363009</v>
      </c>
      <c r="EX225" s="873">
        <v>57.664908140450791</v>
      </c>
      <c r="EY225" s="873">
        <v>57.664908140450791</v>
      </c>
      <c r="EZ225" s="873">
        <v>48.470756783709078</v>
      </c>
      <c r="FA225" s="873">
        <v>34.679529748596963</v>
      </c>
      <c r="FB225" s="873">
        <v>21.271392353347494</v>
      </c>
      <c r="FC225" s="873">
        <v>11.438758263498642</v>
      </c>
      <c r="FD225" s="873">
        <v>5.8520343488135609</v>
      </c>
      <c r="FE225" s="873">
        <v>3.4311206524485556</v>
      </c>
      <c r="FF225" s="873">
        <v>2.686224130488938</v>
      </c>
      <c r="FG225" s="1010"/>
      <c r="FH225" s="1010"/>
      <c r="FI225" s="1010"/>
      <c r="FJ225" s="873"/>
      <c r="FK225" s="873"/>
      <c r="FL225" s="873"/>
      <c r="FM225" s="873"/>
      <c r="FN225" s="873"/>
      <c r="FO225" s="873"/>
      <c r="FP225" s="873"/>
      <c r="FQ225" s="873"/>
      <c r="FR225" s="873"/>
      <c r="FS225" s="1010"/>
      <c r="FT225" s="1010"/>
      <c r="FU225" s="1010"/>
      <c r="FV225" s="873"/>
      <c r="FW225" s="873"/>
      <c r="FX225" s="873"/>
      <c r="FY225" s="873"/>
      <c r="FZ225" s="873"/>
      <c r="GA225" s="873"/>
      <c r="GB225" s="873"/>
      <c r="GC225" s="873"/>
      <c r="GD225" s="873"/>
      <c r="GE225" s="873"/>
      <c r="GF225" s="873"/>
      <c r="GG225" s="873"/>
      <c r="GH225" s="873"/>
      <c r="GI225" s="873"/>
      <c r="GJ225" s="873"/>
      <c r="GK225" s="873"/>
      <c r="GL225" s="873"/>
      <c r="GM225" s="873"/>
      <c r="GN225" s="873"/>
      <c r="GO225" s="873"/>
      <c r="GP225" s="873"/>
      <c r="GQ225" s="873"/>
      <c r="GR225" s="873"/>
      <c r="GS225" s="873"/>
      <c r="GT225" s="873"/>
      <c r="GU225" s="873"/>
      <c r="GV225" s="873"/>
      <c r="GW225" s="873"/>
      <c r="GX225" s="873"/>
      <c r="GY225" s="873"/>
      <c r="GZ225" s="873"/>
      <c r="HA225" s="873"/>
      <c r="HB225" s="873"/>
      <c r="HD225" s="1013"/>
      <c r="HE225" s="1013"/>
      <c r="HF225" s="1013"/>
      <c r="HG225" s="1013"/>
      <c r="HH225" s="1013"/>
      <c r="HI225" s="1013"/>
      <c r="HJ225" s="1013"/>
      <c r="HK225" s="1013"/>
      <c r="HL225" s="1013"/>
      <c r="HM225" s="1013"/>
      <c r="HN225" s="1013"/>
      <c r="HO225" s="1013"/>
      <c r="HP225" s="1013"/>
      <c r="JA225" s="1013"/>
      <c r="JB225" s="1013"/>
      <c r="JC225" s="1013"/>
      <c r="JD225" s="1013"/>
      <c r="JE225" s="1013"/>
      <c r="JF225" s="1013"/>
      <c r="JG225" s="1013"/>
      <c r="JH225" s="1013"/>
      <c r="JI225" s="1013"/>
      <c r="JJ225" s="1013"/>
      <c r="JK225" s="1013"/>
      <c r="JL225" s="1013"/>
      <c r="JM225" s="1013"/>
      <c r="JN225" s="1013"/>
      <c r="JY225" s="1013"/>
      <c r="JZ225" s="1013"/>
      <c r="KA225" s="1013"/>
      <c r="KB225" s="1013"/>
      <c r="KC225" s="1013"/>
      <c r="KD225" s="1013"/>
      <c r="KE225" s="1013"/>
      <c r="KF225" s="1013"/>
      <c r="KH225" s="1013"/>
      <c r="KI225" s="1013"/>
      <c r="KJ225" s="1013"/>
      <c r="KK225" s="1013"/>
      <c r="KL225" s="1013"/>
      <c r="KM225" s="1013"/>
      <c r="KN225" s="1013"/>
      <c r="KO225" s="1013"/>
      <c r="LB225" s="1013"/>
      <c r="LC225" s="1013"/>
      <c r="LD225" s="1013"/>
      <c r="LE225" s="1013"/>
      <c r="LF225" s="1013"/>
      <c r="LG225" s="1013"/>
      <c r="LH225" s="1013"/>
      <c r="LI225" s="1013"/>
      <c r="LJ225" s="1013"/>
      <c r="LK225" s="1013"/>
      <c r="LL225" s="1013"/>
      <c r="LM225" s="1013"/>
      <c r="LN225" s="1013"/>
      <c r="LO225" s="1013"/>
      <c r="LR225" s="1013"/>
      <c r="LS225" s="1013"/>
      <c r="LT225" s="1013"/>
      <c r="LU225" s="1013"/>
      <c r="LV225" s="1013"/>
      <c r="LW225" s="1013"/>
      <c r="LX225" s="1013"/>
      <c r="LZ225" s="1013"/>
      <c r="MA225" s="1013"/>
      <c r="MB225" s="1013"/>
      <c r="MC225" s="1013"/>
      <c r="MD225" s="1013"/>
      <c r="ME225" s="1013"/>
      <c r="MF225" s="1013"/>
      <c r="MH225" s="1013"/>
      <c r="MI225" s="1013"/>
      <c r="MJ225" s="1013"/>
      <c r="MK225" s="1013"/>
      <c r="ML225" s="1013"/>
      <c r="MM225" s="1013"/>
      <c r="MN225" s="1013"/>
      <c r="MO225" s="1013"/>
      <c r="MP225" s="1013"/>
    </row>
    <row r="226" spans="1:354">
      <c r="A226" s="867"/>
      <c r="C226" s="1010" t="s">
        <v>161</v>
      </c>
      <c r="D226" s="662"/>
      <c r="E226" s="1011"/>
      <c r="F226" s="1011"/>
      <c r="G226" s="1011"/>
      <c r="H226" s="1011"/>
      <c r="I226" s="1011"/>
      <c r="J226" s="1011"/>
      <c r="K226" s="1011"/>
      <c r="L226" s="1011"/>
      <c r="M226" s="1011"/>
      <c r="N226" s="1011"/>
      <c r="O226" s="1011"/>
      <c r="P226" s="1011"/>
      <c r="Q226" s="1011"/>
      <c r="R226" s="1011"/>
      <c r="S226" s="1011"/>
      <c r="T226" s="1011"/>
      <c r="U226" s="1011"/>
      <c r="V226" s="1011"/>
      <c r="W226" s="1011"/>
      <c r="X226" s="1011"/>
      <c r="Y226" s="1011"/>
      <c r="Z226" s="1011"/>
      <c r="AA226" s="1011"/>
      <c r="AB226" s="1011"/>
      <c r="AC226" s="1011"/>
      <c r="AD226" s="1011"/>
      <c r="AE226" s="1011"/>
      <c r="AF226" s="1011"/>
      <c r="AG226" s="1011"/>
      <c r="AH226" s="1011"/>
      <c r="AI226" s="1011"/>
      <c r="AJ226" s="1011"/>
      <c r="AK226" s="1011"/>
      <c r="AL226" s="1011"/>
      <c r="AM226" s="1011"/>
      <c r="AN226" s="1011"/>
      <c r="AO226" s="873">
        <v>-3316.0129222299911</v>
      </c>
      <c r="AP226" s="920">
        <v>2165.3217750199938</v>
      </c>
      <c r="AQ226" s="1010">
        <v>-1233.8115386399977</v>
      </c>
      <c r="AR226" s="1010">
        <v>403.85597325000072</v>
      </c>
      <c r="AS226" s="873">
        <v>-1074.4756410100044</v>
      </c>
      <c r="AT226" s="873">
        <v>71.96679370000129</v>
      </c>
      <c r="AU226" s="873">
        <v>-26.419518530001369</v>
      </c>
      <c r="AV226" s="873">
        <v>-396.82361839999612</v>
      </c>
      <c r="AW226" s="873">
        <v>-632.73556050000298</v>
      </c>
      <c r="AX226" s="873">
        <v>1605.2676251700013</v>
      </c>
      <c r="AY226" s="873">
        <v>816.49610374999884</v>
      </c>
      <c r="AZ226" s="873">
        <v>0</v>
      </c>
      <c r="BA226" s="873">
        <v>-506.94535942000402</v>
      </c>
      <c r="BB226" s="873">
        <v>962.81982907999918</v>
      </c>
      <c r="BC226" s="873">
        <v>696.64973381000345</v>
      </c>
      <c r="BD226" s="873">
        <v>387.86415023000109</v>
      </c>
      <c r="BE226" s="873">
        <v>-222.85715555000161</v>
      </c>
      <c r="BF226" s="873">
        <v>337.18727177999926</v>
      </c>
      <c r="BG226" s="873">
        <v>-195.54539240999975</v>
      </c>
      <c r="BH226" s="873">
        <v>42.116563880000285</v>
      </c>
      <c r="BI226" s="873">
        <v>396.24637154000084</v>
      </c>
      <c r="BJ226" s="873">
        <v>62.36542043000145</v>
      </c>
      <c r="BK226" s="873">
        <v>659.52328255999828</v>
      </c>
      <c r="BL226" s="873">
        <v>-544.72756111000172</v>
      </c>
      <c r="BM226" s="873">
        <f t="shared" ref="BM226:BX226" si="1175">+SUM(BM227:BM228)</f>
        <v>-289.38787289999982</v>
      </c>
      <c r="BN226" s="873">
        <f t="shared" si="1175"/>
        <v>-778.43928524000103</v>
      </c>
      <c r="BO226" s="873">
        <f t="shared" si="1175"/>
        <v>390.06049391999932</v>
      </c>
      <c r="BP226" s="873">
        <f t="shared" si="1175"/>
        <v>-635.44211511000094</v>
      </c>
      <c r="BQ226" s="873">
        <f t="shared" si="1175"/>
        <v>511.72436348000156</v>
      </c>
      <c r="BR226" s="873">
        <f t="shared" si="1175"/>
        <v>-163.41911133000212</v>
      </c>
      <c r="BS226" s="873">
        <f t="shared" si="1175"/>
        <v>-372.24308233999818</v>
      </c>
      <c r="BT226" s="873">
        <f t="shared" si="1175"/>
        <v>107.38938185000006</v>
      </c>
      <c r="BU226" s="873">
        <f t="shared" si="1175"/>
        <v>-354.33452192999903</v>
      </c>
      <c r="BV226" s="873">
        <f t="shared" si="1175"/>
        <v>543.00662648999787</v>
      </c>
      <c r="BW226" s="873">
        <f t="shared" si="1175"/>
        <v>-271.09140225999636</v>
      </c>
      <c r="BX226" s="873">
        <f t="shared" si="1175"/>
        <v>134.06960367999682</v>
      </c>
      <c r="BY226" s="1012">
        <f t="shared" ref="BY226:CC226" si="1176">+SUM(BY227:BY228)</f>
        <v>-432.51457412999935</v>
      </c>
      <c r="BZ226" s="1012">
        <f t="shared" si="1176"/>
        <v>446.76566004000051</v>
      </c>
      <c r="CA226" s="1012">
        <f t="shared" si="1176"/>
        <v>41.924054149998938</v>
      </c>
      <c r="CB226" s="1012">
        <f t="shared" si="1176"/>
        <v>222.74091910000061</v>
      </c>
      <c r="CC226" s="1012">
        <f t="shared" si="1176"/>
        <v>213.23113099000375</v>
      </c>
      <c r="CD226" s="1012">
        <f t="shared" ref="CD226:EF226" si="1177">+SUM(CD227:CD228)</f>
        <v>-107.92456730000185</v>
      </c>
      <c r="CE226" s="1012">
        <f t="shared" si="1177"/>
        <v>1187.9883138099985</v>
      </c>
      <c r="CF226" s="1012">
        <f t="shared" si="1177"/>
        <v>-132.95310011000038</v>
      </c>
      <c r="CG226" s="1012">
        <f t="shared" si="1177"/>
        <v>-624.15285634999873</v>
      </c>
      <c r="CH226" s="1012">
        <f t="shared" si="1177"/>
        <v>-380.87965195000425</v>
      </c>
      <c r="CI226" s="1012">
        <f t="shared" si="1177"/>
        <v>-338.15603872999827</v>
      </c>
      <c r="CJ226" s="1012">
        <f t="shared" si="1177"/>
        <v>350.45433228000093</v>
      </c>
      <c r="CK226" s="1012">
        <f t="shared" si="1177"/>
        <v>-522.89932889999864</v>
      </c>
      <c r="CL226" s="1012">
        <f t="shared" si="1177"/>
        <v>535.9662278099986</v>
      </c>
      <c r="CM226" s="1012">
        <f t="shared" si="1177"/>
        <v>-125.74211144999708</v>
      </c>
      <c r="CN226" s="1012">
        <f t="shared" si="1177"/>
        <v>-205.84447720000117</v>
      </c>
      <c r="CO226" s="1012">
        <f t="shared" si="1177"/>
        <v>-247.90914208000049</v>
      </c>
      <c r="CP226" s="1012">
        <f t="shared" si="1177"/>
        <v>372.77454750000015</v>
      </c>
      <c r="CQ226" s="1012">
        <f t="shared" si="1177"/>
        <v>411.10068321000062</v>
      </c>
      <c r="CR226" s="1012">
        <f t="shared" si="1177"/>
        <v>532.26567517999911</v>
      </c>
      <c r="CS226" s="1012">
        <f t="shared" si="1177"/>
        <v>-343.65825115999905</v>
      </c>
      <c r="CT226" s="1012">
        <f t="shared" si="1177"/>
        <v>-1031.9620659600023</v>
      </c>
      <c r="CU226" s="1012">
        <f t="shared" si="1177"/>
        <v>-633.79116629999953</v>
      </c>
      <c r="CV226" s="1012">
        <f t="shared" si="1177"/>
        <v>1154.3825814599977</v>
      </c>
      <c r="CW226" s="1012">
        <f t="shared" si="1177"/>
        <v>-644.99053687999913</v>
      </c>
      <c r="CX226" s="1012">
        <f t="shared" si="1177"/>
        <v>-791.58580999999776</v>
      </c>
      <c r="CY226" s="1012">
        <f t="shared" si="1177"/>
        <v>-1213.3483033900002</v>
      </c>
      <c r="CZ226" s="1012">
        <f t="shared" si="1177"/>
        <v>1630.7987829300018</v>
      </c>
      <c r="DA226" s="1012">
        <f t="shared" si="1177"/>
        <v>124.194797809997</v>
      </c>
      <c r="DB226" s="1012">
        <f t="shared" si="1177"/>
        <v>2418.5002181500017</v>
      </c>
      <c r="DC226" s="1012">
        <f t="shared" si="1177"/>
        <v>51.049517449999485</v>
      </c>
      <c r="DD226" s="1012">
        <f t="shared" si="1177"/>
        <v>-718.83743887000014</v>
      </c>
      <c r="DE226" s="1012">
        <f t="shared" si="1177"/>
        <v>-740.36422520999895</v>
      </c>
      <c r="DF226" s="1012">
        <f t="shared" si="1177"/>
        <v>-225.20139608000136</v>
      </c>
      <c r="DG226" s="1012">
        <f t="shared" si="1177"/>
        <v>76.617336019999584</v>
      </c>
      <c r="DH226" s="1012">
        <f t="shared" si="1177"/>
        <v>532.26461331999917</v>
      </c>
      <c r="DI226" s="1012">
        <f t="shared" si="1177"/>
        <v>-689.44394356999919</v>
      </c>
      <c r="DJ226" s="1012">
        <f t="shared" si="1177"/>
        <v>393.2106534500017</v>
      </c>
      <c r="DK226" s="1012">
        <f t="shared" si="1177"/>
        <v>-434.21555814000067</v>
      </c>
      <c r="DL226" s="1012">
        <f t="shared" si="1177"/>
        <v>-285.66108638000014</v>
      </c>
      <c r="DM226" s="1012">
        <f t="shared" si="1177"/>
        <v>-239.74941453999918</v>
      </c>
      <c r="DN226" s="1012">
        <f t="shared" si="1177"/>
        <v>-95.063151450000078</v>
      </c>
      <c r="DO226" s="1012">
        <f t="shared" si="1177"/>
        <v>-382.86147635000225</v>
      </c>
      <c r="DP226" s="1012">
        <f t="shared" si="1177"/>
        <v>-269.8870424100005</v>
      </c>
      <c r="DQ226" s="873">
        <f t="shared" si="1177"/>
        <v>1493.4782484000007</v>
      </c>
      <c r="DR226" s="873">
        <f t="shared" si="1177"/>
        <v>653.51435305000132</v>
      </c>
      <c r="DS226" s="873">
        <f t="shared" si="1177"/>
        <v>-891.27025695000066</v>
      </c>
      <c r="DT226" s="873">
        <f t="shared" si="1177"/>
        <v>222.52577942000198</v>
      </c>
      <c r="DU226" s="873">
        <f t="shared" si="1177"/>
        <v>-1080.5772209100001</v>
      </c>
      <c r="DV226" s="873">
        <f t="shared" si="1177"/>
        <v>939.97123957999702</v>
      </c>
      <c r="DW226" s="873">
        <f t="shared" si="1177"/>
        <v>-382.70591832999844</v>
      </c>
      <c r="DX226" s="873">
        <f t="shared" si="1177"/>
        <v>-55.67392148999761</v>
      </c>
      <c r="DY226" s="873">
        <f t="shared" si="1177"/>
        <v>332.21945691999736</v>
      </c>
      <c r="DZ226" s="873">
        <f t="shared" si="1177"/>
        <v>469.57539695000105</v>
      </c>
      <c r="EA226" s="873">
        <f t="shared" si="1177"/>
        <v>-188.14574877999894</v>
      </c>
      <c r="EB226" s="873">
        <f t="shared" si="1177"/>
        <v>527.78707017999932</v>
      </c>
      <c r="EC226" s="873">
        <f t="shared" si="1177"/>
        <v>-1014.7567194299982</v>
      </c>
      <c r="ED226" s="873">
        <f t="shared" si="1177"/>
        <v>-982.4174101200033</v>
      </c>
      <c r="EE226" s="873">
        <f t="shared" si="1177"/>
        <v>-375.25807147999694</v>
      </c>
      <c r="EF226" s="873">
        <f t="shared" si="1177"/>
        <v>3488.6768606899968</v>
      </c>
      <c r="EH226" s="1010"/>
      <c r="EI226" s="1010"/>
      <c r="EJ226" s="1010"/>
      <c r="EK226" s="1010"/>
      <c r="EL226" s="1010"/>
      <c r="EM226" s="1010"/>
      <c r="EN226" s="1010"/>
      <c r="EO226" s="1010"/>
      <c r="EP226" s="873"/>
      <c r="EQ226" s="873"/>
      <c r="ER226" s="873"/>
      <c r="ES226" s="873"/>
      <c r="EU226" s="1010">
        <v>-1018.2646833884955</v>
      </c>
      <c r="EV226" s="1010">
        <v>4819.8924948359745</v>
      </c>
      <c r="EW226" s="1010">
        <v>1235.6367326896871</v>
      </c>
      <c r="EX226" s="873">
        <v>645.11962607247915</v>
      </c>
      <c r="EY226" s="873">
        <v>-876.17569378113785</v>
      </c>
      <c r="EZ226" s="873">
        <v>-846.21710423457444</v>
      </c>
      <c r="FA226" s="873">
        <v>125.07373549074055</v>
      </c>
      <c r="FB226" s="873">
        <v>-1687.0775733637283</v>
      </c>
      <c r="FC226" s="873">
        <v>-67.530888955231603</v>
      </c>
      <c r="FD226" s="873">
        <v>419.07973926884188</v>
      </c>
      <c r="FE226" s="873">
        <v>35.703318808893528</v>
      </c>
      <c r="FF226" s="873">
        <v>-340.32894219278478</v>
      </c>
      <c r="FG226" s="1010"/>
      <c r="FH226" s="1010"/>
      <c r="FI226" s="1010"/>
      <c r="FJ226" s="873"/>
      <c r="FK226" s="873"/>
      <c r="FL226" s="873"/>
      <c r="FM226" s="873"/>
      <c r="FN226" s="873"/>
      <c r="FO226" s="873"/>
      <c r="FP226" s="873"/>
      <c r="FQ226" s="873"/>
      <c r="FR226" s="873"/>
      <c r="FS226" s="1010"/>
      <c r="FT226" s="1010"/>
      <c r="FU226" s="1010"/>
      <c r="FV226" s="873"/>
      <c r="FW226" s="873"/>
      <c r="FX226" s="873"/>
      <c r="FY226" s="873"/>
      <c r="FZ226" s="873"/>
      <c r="GA226" s="873"/>
      <c r="GB226" s="873"/>
      <c r="GC226" s="873"/>
      <c r="GD226" s="873"/>
      <c r="GE226" s="873"/>
      <c r="GF226" s="873"/>
      <c r="GG226" s="873"/>
      <c r="GH226" s="873"/>
      <c r="GI226" s="873"/>
      <c r="GJ226" s="873"/>
      <c r="GK226" s="873"/>
      <c r="GL226" s="873"/>
      <c r="GM226" s="873"/>
      <c r="GN226" s="873"/>
      <c r="GO226" s="873"/>
      <c r="GP226" s="873"/>
      <c r="GQ226" s="873"/>
      <c r="GR226" s="873"/>
      <c r="GS226" s="873"/>
      <c r="GT226" s="873"/>
      <c r="GU226" s="873"/>
      <c r="GV226" s="873"/>
      <c r="GW226" s="873"/>
      <c r="GX226" s="873"/>
      <c r="GY226" s="873"/>
      <c r="GZ226" s="873"/>
      <c r="HA226" s="873"/>
      <c r="HB226" s="873"/>
      <c r="HD226" s="1013"/>
      <c r="HE226" s="1013"/>
      <c r="HF226" s="1013"/>
      <c r="HG226" s="1013"/>
      <c r="HH226" s="1013"/>
      <c r="HI226" s="1013"/>
      <c r="HJ226" s="1013"/>
      <c r="HK226" s="1013"/>
      <c r="HL226" s="1013"/>
      <c r="HM226" s="1013"/>
      <c r="HN226" s="1013"/>
      <c r="HO226" s="1013"/>
      <c r="HP226" s="1013"/>
      <c r="JA226" s="1013"/>
      <c r="JB226" s="1013"/>
      <c r="JC226" s="1013"/>
      <c r="JD226" s="1013"/>
      <c r="JE226" s="1013"/>
      <c r="JF226" s="1013"/>
      <c r="JG226" s="1013"/>
      <c r="JH226" s="1013"/>
      <c r="JI226" s="1013"/>
      <c r="JJ226" s="1013"/>
      <c r="JK226" s="1013"/>
      <c r="JL226" s="1013"/>
      <c r="JM226" s="1013"/>
      <c r="JN226" s="1013"/>
      <c r="JY226" s="1013"/>
      <c r="JZ226" s="1013"/>
      <c r="KA226" s="1013"/>
      <c r="KB226" s="1013"/>
      <c r="KC226" s="1013"/>
      <c r="KD226" s="1013"/>
      <c r="KE226" s="1013"/>
      <c r="KF226" s="1013"/>
      <c r="KH226" s="1013"/>
      <c r="KI226" s="1013"/>
      <c r="KJ226" s="1013"/>
      <c r="KK226" s="1013"/>
      <c r="KL226" s="1013"/>
      <c r="KM226" s="1013"/>
      <c r="KN226" s="1013"/>
      <c r="KO226" s="1013"/>
      <c r="LB226" s="1013"/>
      <c r="LC226" s="1013"/>
      <c r="LD226" s="1013"/>
      <c r="LE226" s="1013"/>
      <c r="LF226" s="1013"/>
      <c r="LG226" s="1013"/>
      <c r="LH226" s="1013"/>
      <c r="LI226" s="1013"/>
      <c r="LJ226" s="1013"/>
      <c r="LK226" s="1013"/>
      <c r="LL226" s="1013"/>
      <c r="LM226" s="1013"/>
      <c r="LN226" s="1013"/>
      <c r="LO226" s="1013"/>
      <c r="LR226" s="1013"/>
      <c r="LS226" s="1013"/>
      <c r="LT226" s="1013"/>
      <c r="LU226" s="1013"/>
      <c r="LV226" s="1013"/>
      <c r="LW226" s="1013"/>
      <c r="LX226" s="1013"/>
      <c r="LZ226" s="1013"/>
      <c r="MA226" s="1013"/>
      <c r="MB226" s="1013"/>
      <c r="MC226" s="1013"/>
      <c r="MD226" s="1013"/>
      <c r="ME226" s="1013"/>
      <c r="MF226" s="1013"/>
      <c r="MH226" s="1013"/>
      <c r="MI226" s="1013"/>
      <c r="MJ226" s="1013"/>
      <c r="MK226" s="1013"/>
      <c r="ML226" s="1013"/>
      <c r="MM226" s="1013"/>
      <c r="MN226" s="1013"/>
      <c r="MO226" s="1013"/>
      <c r="MP226" s="1013"/>
    </row>
    <row r="227" spans="1:354" outlineLevel="1">
      <c r="A227" s="867"/>
      <c r="C227" s="1014" t="s">
        <v>768</v>
      </c>
      <c r="D227" s="662"/>
      <c r="E227" s="1011"/>
      <c r="F227" s="1011"/>
      <c r="G227" s="1011"/>
      <c r="H227" s="1011"/>
      <c r="I227" s="1011"/>
      <c r="J227" s="1011"/>
      <c r="K227" s="1011"/>
      <c r="L227" s="1011"/>
      <c r="M227" s="1011"/>
      <c r="N227" s="1011"/>
      <c r="O227" s="1011"/>
      <c r="P227" s="1011"/>
      <c r="Q227" s="1011"/>
      <c r="R227" s="1011"/>
      <c r="S227" s="1011"/>
      <c r="T227" s="1011"/>
      <c r="U227" s="1011"/>
      <c r="V227" s="1011"/>
      <c r="W227" s="1011"/>
      <c r="X227" s="1011"/>
      <c r="Y227" s="1011"/>
      <c r="Z227" s="1011"/>
      <c r="AA227" s="1011"/>
      <c r="AB227" s="1011"/>
      <c r="AC227" s="1011"/>
      <c r="AD227" s="1011"/>
      <c r="AE227" s="1011"/>
      <c r="AF227" s="1011"/>
      <c r="AG227" s="1011"/>
      <c r="AH227" s="1011"/>
      <c r="AI227" s="1011"/>
      <c r="AJ227" s="1011"/>
      <c r="AK227" s="1011"/>
      <c r="AL227" s="1011"/>
      <c r="AM227" s="1011"/>
      <c r="AN227" s="1011"/>
      <c r="AO227" s="873"/>
      <c r="AP227" s="920"/>
      <c r="AQ227" s="1010"/>
      <c r="AR227" s="1010"/>
      <c r="AS227" s="873"/>
      <c r="AT227" s="873"/>
      <c r="AU227" s="873"/>
      <c r="AV227" s="873"/>
      <c r="AW227" s="873"/>
      <c r="AX227" s="873"/>
      <c r="AY227" s="873"/>
      <c r="AZ227" s="873"/>
      <c r="BA227" s="873"/>
      <c r="BB227" s="873"/>
      <c r="BC227" s="873"/>
      <c r="BD227" s="873"/>
      <c r="BE227" s="873"/>
      <c r="BF227" s="873"/>
      <c r="BG227" s="873"/>
      <c r="BH227" s="873"/>
      <c r="BI227" s="873"/>
      <c r="BJ227" s="873"/>
      <c r="BK227" s="873"/>
      <c r="BL227" s="873"/>
      <c r="BM227" s="873">
        <f t="shared" ref="BM227:DX227" si="1178">-SUM(BM121,BM122,BM123,BM124,BM134,BM135)+SUM(BL121,BL122,BL123,BL124,BL134,BL135)</f>
        <v>-758.82859339000061</v>
      </c>
      <c r="BN227" s="873">
        <f t="shared" si="1178"/>
        <v>-616.98183821999919</v>
      </c>
      <c r="BO227" s="873">
        <f t="shared" si="1178"/>
        <v>260.33281307999914</v>
      </c>
      <c r="BP227" s="873">
        <f t="shared" si="1178"/>
        <v>-703.41242908000095</v>
      </c>
      <c r="BQ227" s="873">
        <f t="shared" si="1178"/>
        <v>928.80325578000065</v>
      </c>
      <c r="BR227" s="873">
        <f t="shared" si="1178"/>
        <v>-20.92282768000041</v>
      </c>
      <c r="BS227" s="873">
        <f t="shared" si="1178"/>
        <v>-411.96305970999947</v>
      </c>
      <c r="BT227" s="873">
        <f t="shared" si="1178"/>
        <v>86.149679600000127</v>
      </c>
      <c r="BU227" s="873">
        <f t="shared" si="1178"/>
        <v>-103.74763808999978</v>
      </c>
      <c r="BV227" s="873">
        <f t="shared" si="1178"/>
        <v>382.03318362000027</v>
      </c>
      <c r="BW227" s="873">
        <f t="shared" si="1178"/>
        <v>-130.26211907000015</v>
      </c>
      <c r="BX227" s="873">
        <f t="shared" si="1178"/>
        <v>592.58084937999865</v>
      </c>
      <c r="BY227" s="1012">
        <f t="shared" si="1178"/>
        <v>-486.3104513899998</v>
      </c>
      <c r="BZ227" s="1012">
        <f t="shared" si="1178"/>
        <v>287.74409474000095</v>
      </c>
      <c r="CA227" s="1012">
        <f t="shared" si="1178"/>
        <v>-39.844408250000015</v>
      </c>
      <c r="CB227" s="1012">
        <f t="shared" si="1178"/>
        <v>595.59321345999979</v>
      </c>
      <c r="CC227" s="1012">
        <f t="shared" si="1178"/>
        <v>687.40200717000062</v>
      </c>
      <c r="CD227" s="1012">
        <f t="shared" si="1178"/>
        <v>-178.00524251999923</v>
      </c>
      <c r="CE227" s="1012">
        <f t="shared" si="1178"/>
        <v>1075.2236127499991</v>
      </c>
      <c r="CF227" s="1012">
        <f t="shared" si="1178"/>
        <v>-366.15002075000029</v>
      </c>
      <c r="CG227" s="1012">
        <f t="shared" si="1178"/>
        <v>-840.7047050000001</v>
      </c>
      <c r="CH227" s="1012">
        <f t="shared" si="1178"/>
        <v>-896.20232253000086</v>
      </c>
      <c r="CI227" s="1012">
        <f t="shared" si="1178"/>
        <v>-559.53619460000027</v>
      </c>
      <c r="CJ227" s="1012">
        <f t="shared" si="1178"/>
        <v>162.4405738100013</v>
      </c>
      <c r="CK227" s="1012">
        <f t="shared" si="1178"/>
        <v>-807.76840684000035</v>
      </c>
      <c r="CL227" s="1012">
        <f t="shared" si="1178"/>
        <v>551.3874357499999</v>
      </c>
      <c r="CM227" s="1012">
        <f t="shared" si="1178"/>
        <v>-402.40273572999922</v>
      </c>
      <c r="CN227" s="1012">
        <f t="shared" si="1178"/>
        <v>-378.32615966999947</v>
      </c>
      <c r="CO227" s="1012">
        <f t="shared" si="1178"/>
        <v>-27.131304870001259</v>
      </c>
      <c r="CP227" s="1012">
        <f t="shared" si="1178"/>
        <v>360.84916752000026</v>
      </c>
      <c r="CQ227" s="1012">
        <f t="shared" si="1178"/>
        <v>670.37385622000056</v>
      </c>
      <c r="CR227" s="1012">
        <f t="shared" si="1178"/>
        <v>108.67522138000004</v>
      </c>
      <c r="CS227" s="1012">
        <f t="shared" si="1178"/>
        <v>-245.65500415000133</v>
      </c>
      <c r="CT227" s="1012">
        <f t="shared" si="1178"/>
        <v>-1695.4400813099983</v>
      </c>
      <c r="CU227" s="1012">
        <f t="shared" si="1178"/>
        <v>-439.87948458000028</v>
      </c>
      <c r="CV227" s="1012">
        <f t="shared" si="1178"/>
        <v>683.88849040999776</v>
      </c>
      <c r="CW227" s="1012">
        <f t="shared" si="1178"/>
        <v>-338.68926198000008</v>
      </c>
      <c r="CX227" s="1012">
        <f t="shared" si="1178"/>
        <v>-872.45321458999751</v>
      </c>
      <c r="CY227" s="1012">
        <f t="shared" si="1178"/>
        <v>-1804.5276046500003</v>
      </c>
      <c r="CZ227" s="1012">
        <f t="shared" si="1178"/>
        <v>2525.8470650100007</v>
      </c>
      <c r="DA227" s="1012">
        <f t="shared" si="1178"/>
        <v>1442.5101517199982</v>
      </c>
      <c r="DB227" s="1012">
        <f t="shared" si="1178"/>
        <v>3850.4919303600018</v>
      </c>
      <c r="DC227" s="1012">
        <f t="shared" si="1178"/>
        <v>137.6449021799981</v>
      </c>
      <c r="DD227" s="1012">
        <f>-SUM(DD121,DD122,DD123,DD124,DD134,DD135)+SUM(DC121,DC122,DC123,DC124,DC134,DC135)</f>
        <v>-992.78113928999937</v>
      </c>
      <c r="DE227" s="1012">
        <f t="shared" si="1178"/>
        <v>-1171.6885952799994</v>
      </c>
      <c r="DF227" s="1012">
        <f t="shared" si="1178"/>
        <v>-315.19712988000083</v>
      </c>
      <c r="DG227" s="1012">
        <f t="shared" si="1178"/>
        <v>-165.21555912999884</v>
      </c>
      <c r="DH227" s="1012">
        <f t="shared" si="1178"/>
        <v>342.06571017999886</v>
      </c>
      <c r="DI227" s="1012">
        <f>-SUM(DI121,DI122,DI123,DI124,DI134,DI135)+SUM(DH121,DH122,DH123,DH124,DH134,DH135)</f>
        <v>-472.15506980000009</v>
      </c>
      <c r="DJ227" s="1012">
        <f t="shared" si="1178"/>
        <v>603.40164112000093</v>
      </c>
      <c r="DK227" s="1012">
        <f t="shared" si="1178"/>
        <v>-95.597593810000944</v>
      </c>
      <c r="DL227" s="1012">
        <f t="shared" si="1178"/>
        <v>-616.80333293999956</v>
      </c>
      <c r="DM227" s="1012">
        <f t="shared" si="1178"/>
        <v>-354.80649033000009</v>
      </c>
      <c r="DN227" s="1012">
        <f t="shared" si="1178"/>
        <v>-64.057558349999454</v>
      </c>
      <c r="DO227" s="1012">
        <f t="shared" si="1178"/>
        <v>-416.24343261000195</v>
      </c>
      <c r="DP227" s="1012">
        <f t="shared" si="1178"/>
        <v>-355.94979810000041</v>
      </c>
      <c r="DQ227" s="873">
        <f t="shared" si="1178"/>
        <v>1426.4226392100018</v>
      </c>
      <c r="DR227" s="873">
        <f t="shared" si="1178"/>
        <v>430.02833412000018</v>
      </c>
      <c r="DS227" s="873">
        <f t="shared" si="1178"/>
        <v>-906.50397390000035</v>
      </c>
      <c r="DT227" s="873">
        <f t="shared" si="1178"/>
        <v>-324.03233292000004</v>
      </c>
      <c r="DU227" s="873">
        <f t="shared" si="1178"/>
        <v>-1617.0444957699983</v>
      </c>
      <c r="DV227" s="873">
        <f t="shared" si="1178"/>
        <v>950.33017993999783</v>
      </c>
      <c r="DW227" s="873">
        <f t="shared" si="1178"/>
        <v>89.001105249999455</v>
      </c>
      <c r="DX227" s="873">
        <f t="shared" si="1178"/>
        <v>-539.29871173999709</v>
      </c>
      <c r="DY227" s="873">
        <f t="shared" ref="DY227:EF227" si="1179">-SUM(DY121,DY122,DY123,DY124,DY134,DY135)+SUM(DX121,DX122,DX123,DX124,DX134,DX135)</f>
        <v>125.94728087999829</v>
      </c>
      <c r="DZ227" s="873">
        <f t="shared" si="1179"/>
        <v>-97.318461270000626</v>
      </c>
      <c r="EA227" s="873">
        <f t="shared" si="1179"/>
        <v>104.69863847000306</v>
      </c>
      <c r="EB227" s="873">
        <f t="shared" si="1179"/>
        <v>-498.25788492000174</v>
      </c>
      <c r="EC227" s="873">
        <f t="shared" si="1179"/>
        <v>-1917.5154491199992</v>
      </c>
      <c r="ED227" s="873">
        <f t="shared" si="1179"/>
        <v>-1829.3219909700019</v>
      </c>
      <c r="EE227" s="873">
        <f t="shared" si="1179"/>
        <v>-2182.5345557099972</v>
      </c>
      <c r="EF227" s="873">
        <f t="shared" si="1179"/>
        <v>2065.328547879999</v>
      </c>
      <c r="EH227" s="1010"/>
      <c r="EI227" s="1010"/>
      <c r="EJ227" s="1010"/>
      <c r="EK227" s="1010"/>
      <c r="EL227" s="1010"/>
      <c r="EM227" s="1010"/>
      <c r="EN227" s="1010"/>
      <c r="EO227" s="1010"/>
      <c r="EP227" s="873"/>
      <c r="EQ227" s="873"/>
      <c r="ER227" s="873"/>
      <c r="ES227" s="873"/>
      <c r="EU227" s="1010"/>
      <c r="EV227" s="1010"/>
      <c r="EW227" s="1010"/>
      <c r="EX227" s="873"/>
      <c r="EY227" s="873"/>
      <c r="EZ227" s="873"/>
      <c r="FA227" s="873"/>
      <c r="FB227" s="873"/>
      <c r="FC227" s="873"/>
      <c r="FD227" s="873"/>
      <c r="FE227" s="873"/>
      <c r="FF227" s="873"/>
      <c r="FG227" s="1010"/>
      <c r="FH227" s="1010"/>
      <c r="FI227" s="1010"/>
      <c r="FJ227" s="873"/>
      <c r="FK227" s="873"/>
      <c r="FL227" s="873"/>
      <c r="FM227" s="873"/>
      <c r="FN227" s="873"/>
      <c r="FO227" s="873"/>
      <c r="FP227" s="873"/>
      <c r="FQ227" s="873"/>
      <c r="FR227" s="873"/>
      <c r="FS227" s="1010"/>
      <c r="FT227" s="1010"/>
      <c r="FU227" s="1010"/>
      <c r="FV227" s="873"/>
      <c r="FW227" s="873"/>
      <c r="FX227" s="873"/>
      <c r="FY227" s="873"/>
      <c r="FZ227" s="873"/>
      <c r="GA227" s="873"/>
      <c r="GB227" s="873"/>
      <c r="GC227" s="873"/>
      <c r="GD227" s="873"/>
      <c r="GE227" s="873"/>
      <c r="GF227" s="873"/>
      <c r="GG227" s="873"/>
      <c r="GH227" s="873"/>
      <c r="GI227" s="873"/>
      <c r="GJ227" s="873"/>
      <c r="GK227" s="873"/>
      <c r="GL227" s="873"/>
      <c r="GM227" s="873"/>
      <c r="GN227" s="873"/>
      <c r="GO227" s="873"/>
      <c r="GP227" s="873"/>
      <c r="GQ227" s="873"/>
      <c r="GR227" s="873"/>
      <c r="GS227" s="873"/>
      <c r="GT227" s="873"/>
      <c r="GU227" s="873"/>
      <c r="GV227" s="873"/>
      <c r="GW227" s="873"/>
      <c r="GX227" s="873"/>
      <c r="GY227" s="873"/>
      <c r="GZ227" s="873"/>
      <c r="HA227" s="873"/>
      <c r="HB227" s="873"/>
      <c r="HD227" s="1013"/>
      <c r="HE227" s="1013"/>
      <c r="HF227" s="1013"/>
      <c r="HG227" s="1013"/>
      <c r="HH227" s="1013"/>
      <c r="HI227" s="1013"/>
      <c r="HJ227" s="1013"/>
      <c r="HK227" s="1013"/>
      <c r="HL227" s="1013"/>
      <c r="HM227" s="1013"/>
      <c r="HN227" s="1013"/>
      <c r="HO227" s="1013"/>
      <c r="HP227" s="1013"/>
      <c r="JA227" s="1013"/>
      <c r="JB227" s="1013"/>
      <c r="JC227" s="1013"/>
      <c r="JD227" s="1013"/>
      <c r="JE227" s="1013"/>
      <c r="JF227" s="1013"/>
      <c r="JG227" s="1013"/>
      <c r="JH227" s="1013"/>
      <c r="JI227" s="1013"/>
      <c r="JJ227" s="1013"/>
      <c r="JK227" s="1013"/>
      <c r="JL227" s="1013"/>
      <c r="JM227" s="1013"/>
      <c r="JN227" s="1013"/>
      <c r="JY227" s="1013"/>
      <c r="JZ227" s="1013"/>
      <c r="KA227" s="1013"/>
      <c r="KB227" s="1013"/>
      <c r="KC227" s="1013"/>
      <c r="KD227" s="1013"/>
      <c r="KE227" s="1013"/>
      <c r="KF227" s="1013"/>
      <c r="KH227" s="1013"/>
      <c r="KI227" s="1013"/>
      <c r="KJ227" s="1013"/>
      <c r="KK227" s="1013"/>
      <c r="KL227" s="1013"/>
      <c r="KM227" s="1013"/>
      <c r="KN227" s="1013"/>
      <c r="KO227" s="1013"/>
      <c r="LB227" s="1013"/>
      <c r="LC227" s="1013"/>
      <c r="LD227" s="1013"/>
      <c r="LE227" s="1013"/>
      <c r="LF227" s="1013"/>
      <c r="LG227" s="1013"/>
      <c r="LH227" s="1013"/>
      <c r="LI227" s="1013"/>
      <c r="LJ227" s="1013"/>
      <c r="LK227" s="1013"/>
      <c r="LL227" s="1013"/>
      <c r="LM227" s="1013"/>
      <c r="LN227" s="1013"/>
      <c r="LO227" s="1013"/>
      <c r="LR227" s="1013"/>
      <c r="LS227" s="1013"/>
      <c r="LT227" s="1013"/>
      <c r="LU227" s="1013"/>
      <c r="LV227" s="1013"/>
      <c r="LW227" s="1013"/>
      <c r="LX227" s="1013"/>
      <c r="LZ227" s="1013"/>
      <c r="MA227" s="1013"/>
      <c r="MB227" s="1013"/>
      <c r="MC227" s="1013"/>
      <c r="MD227" s="1013"/>
      <c r="ME227" s="1013"/>
      <c r="MF227" s="1013"/>
      <c r="MH227" s="1013"/>
      <c r="MI227" s="1013"/>
      <c r="MJ227" s="1013"/>
      <c r="MK227" s="1013"/>
      <c r="ML227" s="1013"/>
      <c r="MM227" s="1013"/>
      <c r="MN227" s="1013"/>
      <c r="MO227" s="1013"/>
      <c r="MP227" s="1013"/>
    </row>
    <row r="228" spans="1:354" outlineLevel="1">
      <c r="A228" s="867"/>
      <c r="C228" s="1014" t="s">
        <v>769</v>
      </c>
      <c r="D228" s="662"/>
      <c r="E228" s="1011"/>
      <c r="F228" s="1011"/>
      <c r="G228" s="1011"/>
      <c r="H228" s="1011"/>
      <c r="I228" s="1011"/>
      <c r="J228" s="1011"/>
      <c r="K228" s="1011"/>
      <c r="L228" s="1011"/>
      <c r="M228" s="1011"/>
      <c r="N228" s="1011"/>
      <c r="O228" s="1011"/>
      <c r="P228" s="1011"/>
      <c r="Q228" s="1011"/>
      <c r="R228" s="1011"/>
      <c r="S228" s="1011"/>
      <c r="T228" s="1011"/>
      <c r="U228" s="1011"/>
      <c r="V228" s="1011"/>
      <c r="W228" s="1011"/>
      <c r="X228" s="1011"/>
      <c r="Y228" s="1011"/>
      <c r="Z228" s="1011"/>
      <c r="AA228" s="1011"/>
      <c r="AB228" s="1011"/>
      <c r="AC228" s="1011"/>
      <c r="AD228" s="1011"/>
      <c r="AE228" s="1011"/>
      <c r="AF228" s="1011"/>
      <c r="AG228" s="1011"/>
      <c r="AH228" s="1011"/>
      <c r="AI228" s="1011"/>
      <c r="AJ228" s="1011"/>
      <c r="AK228" s="1011"/>
      <c r="AL228" s="1011"/>
      <c r="AM228" s="1011"/>
      <c r="AN228" s="1011"/>
      <c r="AO228" s="873"/>
      <c r="AP228" s="920"/>
      <c r="AQ228" s="1010"/>
      <c r="AR228" s="1010"/>
      <c r="AS228" s="873"/>
      <c r="AT228" s="873"/>
      <c r="AU228" s="873"/>
      <c r="AV228" s="873"/>
      <c r="AW228" s="873"/>
      <c r="AX228" s="873"/>
      <c r="AY228" s="873"/>
      <c r="AZ228" s="873"/>
      <c r="BA228" s="873"/>
      <c r="BB228" s="873"/>
      <c r="BC228" s="873"/>
      <c r="BD228" s="873"/>
      <c r="BE228" s="873"/>
      <c r="BF228" s="873"/>
      <c r="BG228" s="873"/>
      <c r="BH228" s="873"/>
      <c r="BI228" s="873"/>
      <c r="BJ228" s="873"/>
      <c r="BK228" s="873"/>
      <c r="BL228" s="873"/>
      <c r="BM228" s="873">
        <f t="shared" ref="BM228:DX228" si="1180">+(BM168-BM169+BM190)-(BL168-BL169+BL190)</f>
        <v>469.44072049000079</v>
      </c>
      <c r="BN228" s="873">
        <f t="shared" si="1180"/>
        <v>-161.45744702000184</v>
      </c>
      <c r="BO228" s="873">
        <f t="shared" si="1180"/>
        <v>129.72768084000018</v>
      </c>
      <c r="BP228" s="873">
        <f t="shared" si="1180"/>
        <v>67.970313970000007</v>
      </c>
      <c r="BQ228" s="873">
        <f t="shared" si="1180"/>
        <v>-417.0788922999991</v>
      </c>
      <c r="BR228" s="873">
        <f t="shared" si="1180"/>
        <v>-142.49628365000171</v>
      </c>
      <c r="BS228" s="873">
        <f t="shared" si="1180"/>
        <v>39.719977370001288</v>
      </c>
      <c r="BT228" s="873">
        <f t="shared" si="1180"/>
        <v>21.239702249999937</v>
      </c>
      <c r="BU228" s="873">
        <f t="shared" si="1180"/>
        <v>-250.58688383999925</v>
      </c>
      <c r="BV228" s="873">
        <f t="shared" si="1180"/>
        <v>160.9734428699976</v>
      </c>
      <c r="BW228" s="873">
        <f t="shared" si="1180"/>
        <v>-140.8292831899962</v>
      </c>
      <c r="BX228" s="873">
        <f t="shared" si="1180"/>
        <v>-458.51124570000184</v>
      </c>
      <c r="BY228" s="1012">
        <f t="shared" si="1180"/>
        <v>53.795877260000452</v>
      </c>
      <c r="BZ228" s="1012">
        <f t="shared" si="1180"/>
        <v>159.02156529999957</v>
      </c>
      <c r="CA228" s="1012">
        <f t="shared" si="1180"/>
        <v>81.768462399998953</v>
      </c>
      <c r="CB228" s="1012">
        <f t="shared" si="1180"/>
        <v>-372.85229435999918</v>
      </c>
      <c r="CC228" s="1012">
        <f t="shared" si="1180"/>
        <v>-474.17087617999687</v>
      </c>
      <c r="CD228" s="1012">
        <f t="shared" si="1180"/>
        <v>70.080675219997374</v>
      </c>
      <c r="CE228" s="1012">
        <f t="shared" si="1180"/>
        <v>112.76470105999942</v>
      </c>
      <c r="CF228" s="1012">
        <f t="shared" si="1180"/>
        <v>233.19692063999992</v>
      </c>
      <c r="CG228" s="1012">
        <f t="shared" si="1180"/>
        <v>216.55184865000138</v>
      </c>
      <c r="CH228" s="1012">
        <f t="shared" si="1180"/>
        <v>515.32267057999661</v>
      </c>
      <c r="CI228" s="1012">
        <f t="shared" si="1180"/>
        <v>221.380155870002</v>
      </c>
      <c r="CJ228" s="1012">
        <f t="shared" si="1180"/>
        <v>188.01375846999963</v>
      </c>
      <c r="CK228" s="1012">
        <f t="shared" si="1180"/>
        <v>284.86907794000172</v>
      </c>
      <c r="CL228" s="1012">
        <f t="shared" si="1180"/>
        <v>-15.421207940001295</v>
      </c>
      <c r="CM228" s="1012">
        <f t="shared" si="1180"/>
        <v>276.66062428000214</v>
      </c>
      <c r="CN228" s="1012">
        <f t="shared" si="1180"/>
        <v>172.4816824699983</v>
      </c>
      <c r="CO228" s="1012">
        <f t="shared" si="1180"/>
        <v>-220.77783720999923</v>
      </c>
      <c r="CP228" s="1012">
        <f t="shared" si="1180"/>
        <v>11.925379979999889</v>
      </c>
      <c r="CQ228" s="1012">
        <f t="shared" si="1180"/>
        <v>-259.27317300999994</v>
      </c>
      <c r="CR228" s="1012">
        <f t="shared" si="1180"/>
        <v>423.59045379999907</v>
      </c>
      <c r="CS228" s="1012">
        <f t="shared" si="1180"/>
        <v>-98.003247009997722</v>
      </c>
      <c r="CT228" s="1012">
        <f t="shared" si="1180"/>
        <v>663.47801534999599</v>
      </c>
      <c r="CU228" s="1012">
        <f t="shared" si="1180"/>
        <v>-193.91168171999925</v>
      </c>
      <c r="CV228" s="1012">
        <f t="shared" si="1180"/>
        <v>470.49409104999995</v>
      </c>
      <c r="CW228" s="1012">
        <f t="shared" si="1180"/>
        <v>-306.30127489999904</v>
      </c>
      <c r="CX228" s="1012">
        <f t="shared" si="1180"/>
        <v>80.867404589999751</v>
      </c>
      <c r="CY228" s="1012">
        <f t="shared" si="1180"/>
        <v>591.1793012600001</v>
      </c>
      <c r="CZ228" s="1012">
        <f t="shared" si="1180"/>
        <v>-895.0482820799989</v>
      </c>
      <c r="DA228" s="1012">
        <f t="shared" si="1180"/>
        <v>-1318.3153539100012</v>
      </c>
      <c r="DB228" s="1012">
        <f t="shared" si="1180"/>
        <v>-1431.9917122100001</v>
      </c>
      <c r="DC228" s="1012">
        <f t="shared" si="1180"/>
        <v>-86.595384729998614</v>
      </c>
      <c r="DD228" s="1012">
        <f t="shared" si="1180"/>
        <v>273.94370041999923</v>
      </c>
      <c r="DE228" s="1012">
        <f t="shared" si="1180"/>
        <v>431.32437007000044</v>
      </c>
      <c r="DF228" s="1012">
        <f t="shared" si="1180"/>
        <v>89.995733799999471</v>
      </c>
      <c r="DG228" s="1012">
        <f t="shared" si="1180"/>
        <v>241.83289514999842</v>
      </c>
      <c r="DH228" s="1012">
        <f t="shared" si="1180"/>
        <v>190.19890314000031</v>
      </c>
      <c r="DI228" s="1012">
        <f>+(DI168-DI169+DI190)-(DH168-DH169+DH190)</f>
        <v>-217.2888737699991</v>
      </c>
      <c r="DJ228" s="1012">
        <f t="shared" si="1180"/>
        <v>-210.19098766999923</v>
      </c>
      <c r="DK228" s="1012">
        <f t="shared" si="1180"/>
        <v>-338.61796432999972</v>
      </c>
      <c r="DL228" s="1012">
        <f t="shared" si="1180"/>
        <v>331.14224655999942</v>
      </c>
      <c r="DM228" s="1012">
        <f t="shared" si="1180"/>
        <v>115.05707579000091</v>
      </c>
      <c r="DN228" s="1012">
        <f t="shared" si="1180"/>
        <v>-31.005593100000624</v>
      </c>
      <c r="DO228" s="1012">
        <f t="shared" si="1180"/>
        <v>33.381956259999697</v>
      </c>
      <c r="DP228" s="1012">
        <f t="shared" si="1180"/>
        <v>86.062755689999904</v>
      </c>
      <c r="DQ228" s="873">
        <f t="shared" si="1180"/>
        <v>67.055609189998904</v>
      </c>
      <c r="DR228" s="873">
        <f t="shared" si="1180"/>
        <v>223.48601893000114</v>
      </c>
      <c r="DS228" s="873">
        <f t="shared" si="1180"/>
        <v>15.233716949999689</v>
      </c>
      <c r="DT228" s="873">
        <f t="shared" si="1180"/>
        <v>546.55811234000203</v>
      </c>
      <c r="DU228" s="873">
        <f t="shared" si="1180"/>
        <v>536.46727485999827</v>
      </c>
      <c r="DV228" s="873">
        <f t="shared" si="1180"/>
        <v>-10.358940360000815</v>
      </c>
      <c r="DW228" s="873">
        <f t="shared" si="1180"/>
        <v>-471.70702357999789</v>
      </c>
      <c r="DX228" s="873">
        <f t="shared" si="1180"/>
        <v>483.62479024999948</v>
      </c>
      <c r="DY228" s="873">
        <f t="shared" ref="DY228:EF228" si="1181">+(DY168-DY169+DY190)-(DX168-DX169+DX190)</f>
        <v>206.27217603999907</v>
      </c>
      <c r="DZ228" s="873">
        <f t="shared" si="1181"/>
        <v>566.89385822000168</v>
      </c>
      <c r="EA228" s="873">
        <f t="shared" si="1181"/>
        <v>-292.844387250002</v>
      </c>
      <c r="EB228" s="873">
        <f t="shared" si="1181"/>
        <v>1026.0449551000011</v>
      </c>
      <c r="EC228" s="873">
        <f t="shared" si="1181"/>
        <v>902.75872969000102</v>
      </c>
      <c r="ED228" s="873">
        <f t="shared" si="1181"/>
        <v>846.90458084999864</v>
      </c>
      <c r="EE228" s="873">
        <f t="shared" si="1181"/>
        <v>1807.2764842300003</v>
      </c>
      <c r="EF228" s="873">
        <f t="shared" si="1181"/>
        <v>1423.3483128099979</v>
      </c>
      <c r="EH228" s="1010"/>
      <c r="EI228" s="1010"/>
      <c r="EJ228" s="1010"/>
      <c r="EK228" s="1010"/>
      <c r="EL228" s="1010"/>
      <c r="EM228" s="1010"/>
      <c r="EN228" s="1010"/>
      <c r="EO228" s="1010"/>
      <c r="EP228" s="873"/>
      <c r="EQ228" s="873"/>
      <c r="ER228" s="873"/>
      <c r="ES228" s="873"/>
      <c r="EU228" s="1010"/>
      <c r="EV228" s="1010"/>
      <c r="EW228" s="1010"/>
      <c r="EX228" s="873"/>
      <c r="EY228" s="873"/>
      <c r="EZ228" s="873"/>
      <c r="FA228" s="873"/>
      <c r="FB228" s="873"/>
      <c r="FC228" s="873"/>
      <c r="FD228" s="873"/>
      <c r="FE228" s="873"/>
      <c r="FF228" s="873"/>
      <c r="FG228" s="1010"/>
      <c r="FH228" s="1010"/>
      <c r="FI228" s="1010"/>
      <c r="FJ228" s="873"/>
      <c r="FK228" s="873"/>
      <c r="FL228" s="873"/>
      <c r="FM228" s="873"/>
      <c r="FN228" s="873"/>
      <c r="FO228" s="873"/>
      <c r="FP228" s="873"/>
      <c r="FQ228" s="873"/>
      <c r="FR228" s="873"/>
      <c r="FS228" s="1010"/>
      <c r="FT228" s="1010"/>
      <c r="FU228" s="1010"/>
      <c r="FV228" s="873"/>
      <c r="FW228" s="873"/>
      <c r="FX228" s="873"/>
      <c r="FY228" s="873"/>
      <c r="FZ228" s="873"/>
      <c r="GA228" s="873"/>
      <c r="GB228" s="873"/>
      <c r="GC228" s="873"/>
      <c r="GD228" s="873"/>
      <c r="GE228" s="873"/>
      <c r="GF228" s="873"/>
      <c r="GG228" s="873"/>
      <c r="GH228" s="873"/>
      <c r="GI228" s="873"/>
      <c r="GJ228" s="873"/>
      <c r="GK228" s="873"/>
      <c r="GL228" s="873"/>
      <c r="GM228" s="873"/>
      <c r="GN228" s="873"/>
      <c r="GO228" s="873"/>
      <c r="GP228" s="873"/>
      <c r="GQ228" s="873"/>
      <c r="GR228" s="873"/>
      <c r="GS228" s="873"/>
      <c r="GT228" s="873"/>
      <c r="GU228" s="873"/>
      <c r="GV228" s="873"/>
      <c r="GW228" s="873"/>
      <c r="GX228" s="873"/>
      <c r="GY228" s="873"/>
      <c r="GZ228" s="873"/>
      <c r="HA228" s="873"/>
      <c r="HB228" s="873"/>
      <c r="HD228" s="1013"/>
      <c r="HE228" s="1013"/>
      <c r="HF228" s="1013"/>
      <c r="HG228" s="1013"/>
      <c r="HH228" s="1013"/>
      <c r="HI228" s="1013"/>
      <c r="HJ228" s="1013"/>
      <c r="HK228" s="1013"/>
      <c r="HL228" s="1013"/>
      <c r="HM228" s="1013"/>
      <c r="HN228" s="1013"/>
      <c r="HO228" s="1013"/>
      <c r="HP228" s="1013"/>
      <c r="JA228" s="1013"/>
      <c r="JB228" s="1013"/>
      <c r="JC228" s="1013"/>
      <c r="JD228" s="1013"/>
      <c r="JE228" s="1013"/>
      <c r="JF228" s="1013"/>
      <c r="JG228" s="1013"/>
      <c r="JH228" s="1013"/>
      <c r="JI228" s="1013"/>
      <c r="JJ228" s="1013"/>
      <c r="JK228" s="1013"/>
      <c r="JL228" s="1013"/>
      <c r="JM228" s="1013"/>
      <c r="JN228" s="1013"/>
      <c r="JY228" s="1013"/>
      <c r="JZ228" s="1013"/>
      <c r="KA228" s="1013"/>
      <c r="KB228" s="1013"/>
      <c r="KC228" s="1013"/>
      <c r="KD228" s="1013"/>
      <c r="KE228" s="1013"/>
      <c r="KF228" s="1013"/>
      <c r="KH228" s="1013"/>
      <c r="KI228" s="1013"/>
      <c r="KJ228" s="1013"/>
      <c r="KK228" s="1013"/>
      <c r="KL228" s="1013"/>
      <c r="KM228" s="1013"/>
      <c r="KN228" s="1013"/>
      <c r="KO228" s="1013"/>
      <c r="LB228" s="1013"/>
      <c r="LC228" s="1013"/>
      <c r="LD228" s="1013"/>
      <c r="LE228" s="1013"/>
      <c r="LF228" s="1013"/>
      <c r="LG228" s="1013"/>
      <c r="LH228" s="1013"/>
      <c r="LI228" s="1013"/>
      <c r="LJ228" s="1013"/>
      <c r="LK228" s="1013"/>
      <c r="LL228" s="1013"/>
      <c r="LM228" s="1013"/>
      <c r="LN228" s="1013"/>
      <c r="LO228" s="1013"/>
      <c r="LR228" s="1013"/>
      <c r="LS228" s="1013"/>
      <c r="LT228" s="1013"/>
      <c r="LU228" s="1013"/>
      <c r="LV228" s="1013"/>
      <c r="LW228" s="1013"/>
      <c r="LX228" s="1013"/>
      <c r="LZ228" s="1013"/>
      <c r="MA228" s="1013"/>
      <c r="MB228" s="1013"/>
      <c r="MC228" s="1013"/>
      <c r="MD228" s="1013"/>
      <c r="ME228" s="1013"/>
      <c r="MF228" s="1013"/>
      <c r="MH228" s="1013"/>
      <c r="MI228" s="1013"/>
      <c r="MJ228" s="1013"/>
      <c r="MK228" s="1013"/>
      <c r="ML228" s="1013"/>
      <c r="MM228" s="1013"/>
      <c r="MN228" s="1013"/>
      <c r="MO228" s="1013"/>
      <c r="MP228" s="1013"/>
    </row>
    <row r="229" spans="1:354">
      <c r="A229" s="867"/>
      <c r="C229" s="1010" t="s">
        <v>105</v>
      </c>
      <c r="D229" s="662"/>
      <c r="E229" s="1011"/>
      <c r="F229" s="1011"/>
      <c r="G229" s="1011"/>
      <c r="H229" s="1011"/>
      <c r="I229" s="1011"/>
      <c r="J229" s="1011"/>
      <c r="K229" s="1011"/>
      <c r="L229" s="1011"/>
      <c r="M229" s="1011"/>
      <c r="N229" s="1011"/>
      <c r="O229" s="1011"/>
      <c r="P229" s="1011"/>
      <c r="Q229" s="1011"/>
      <c r="R229" s="1011"/>
      <c r="S229" s="1011"/>
      <c r="T229" s="1011"/>
      <c r="U229" s="1011"/>
      <c r="V229" s="1011"/>
      <c r="W229" s="1011"/>
      <c r="X229" s="1011"/>
      <c r="Y229" s="1011"/>
      <c r="Z229" s="1011"/>
      <c r="AA229" s="1011"/>
      <c r="AB229" s="1011"/>
      <c r="AC229" s="1011"/>
      <c r="AD229" s="1011"/>
      <c r="AE229" s="1011"/>
      <c r="AF229" s="1011"/>
      <c r="AG229" s="1011"/>
      <c r="AH229" s="1011"/>
      <c r="AI229" s="1011"/>
      <c r="AJ229" s="1011"/>
      <c r="AK229" s="1011"/>
      <c r="AL229" s="1011"/>
      <c r="AM229" s="1011"/>
      <c r="AN229" s="1011"/>
      <c r="AO229" s="873">
        <v>-342.59574300000003</v>
      </c>
      <c r="AP229" s="920">
        <v>227.055959</v>
      </c>
      <c r="AQ229" s="1010">
        <v>154.76459399999999</v>
      </c>
      <c r="AR229" s="1010">
        <v>-173.50996699999999</v>
      </c>
      <c r="AS229" s="873">
        <v>836.84692299999995</v>
      </c>
      <c r="AT229" s="873">
        <v>449.49954535000006</v>
      </c>
      <c r="AU229" s="873">
        <v>-34.353543250000001</v>
      </c>
      <c r="AV229" s="873">
        <v>19.073401</v>
      </c>
      <c r="AW229" s="873">
        <v>82.199792340000002</v>
      </c>
      <c r="AX229" s="873">
        <v>-1218.98096145</v>
      </c>
      <c r="AY229" s="873">
        <v>0</v>
      </c>
      <c r="AZ229" s="873">
        <v>-185.08647999999999</v>
      </c>
      <c r="BA229" s="873">
        <v>0</v>
      </c>
      <c r="BB229" s="873">
        <v>0</v>
      </c>
      <c r="BC229" s="873">
        <v>0</v>
      </c>
      <c r="BD229" s="873">
        <v>0</v>
      </c>
      <c r="BE229" s="873">
        <v>0</v>
      </c>
      <c r="BF229" s="873">
        <v>0</v>
      </c>
      <c r="BG229" s="873">
        <v>0</v>
      </c>
      <c r="BH229" s="873">
        <v>0</v>
      </c>
      <c r="BI229" s="873">
        <v>0</v>
      </c>
      <c r="BJ229" s="873">
        <v>0</v>
      </c>
      <c r="BK229" s="873">
        <v>0</v>
      </c>
      <c r="BL229" s="873">
        <v>0</v>
      </c>
      <c r="BM229" s="873">
        <f t="shared" ref="BM229:BX229" si="1182">-BM108</f>
        <v>0</v>
      </c>
      <c r="BN229" s="873">
        <f t="shared" si="1182"/>
        <v>0</v>
      </c>
      <c r="BO229" s="873">
        <f t="shared" si="1182"/>
        <v>0</v>
      </c>
      <c r="BP229" s="873">
        <f t="shared" si="1182"/>
        <v>-60.463429759999997</v>
      </c>
      <c r="BQ229" s="873">
        <f t="shared" si="1182"/>
        <v>0</v>
      </c>
      <c r="BR229" s="873">
        <f t="shared" si="1182"/>
        <v>0</v>
      </c>
      <c r="BS229" s="873">
        <f t="shared" si="1182"/>
        <v>0</v>
      </c>
      <c r="BT229" s="873">
        <f t="shared" si="1182"/>
        <v>0</v>
      </c>
      <c r="BU229" s="873">
        <f t="shared" si="1182"/>
        <v>0</v>
      </c>
      <c r="BV229" s="873">
        <f t="shared" si="1182"/>
        <v>0</v>
      </c>
      <c r="BW229" s="873">
        <f t="shared" si="1182"/>
        <v>0</v>
      </c>
      <c r="BX229" s="873">
        <f t="shared" si="1182"/>
        <v>-23.250530999999999</v>
      </c>
      <c r="BY229" s="1012">
        <f t="shared" ref="BY229:EF229" si="1183">BY108</f>
        <v>0</v>
      </c>
      <c r="BZ229" s="1012">
        <f t="shared" si="1183"/>
        <v>0</v>
      </c>
      <c r="CA229" s="1012">
        <f t="shared" si="1183"/>
        <v>0</v>
      </c>
      <c r="CB229" s="1012">
        <f t="shared" si="1183"/>
        <v>0</v>
      </c>
      <c r="CC229" s="1012">
        <f t="shared" si="1183"/>
        <v>0</v>
      </c>
      <c r="CD229" s="1012">
        <f t="shared" si="1183"/>
        <v>0</v>
      </c>
      <c r="CE229" s="1012">
        <f t="shared" si="1183"/>
        <v>0</v>
      </c>
      <c r="CF229" s="1012">
        <f t="shared" si="1183"/>
        <v>0</v>
      </c>
      <c r="CG229" s="1012">
        <f t="shared" si="1183"/>
        <v>0</v>
      </c>
      <c r="CH229" s="1012">
        <f t="shared" si="1183"/>
        <v>0</v>
      </c>
      <c r="CI229" s="1012">
        <f t="shared" si="1183"/>
        <v>0</v>
      </c>
      <c r="CJ229" s="1012">
        <f t="shared" si="1183"/>
        <v>-453.28872899999999</v>
      </c>
      <c r="CK229" s="1012">
        <f t="shared" si="1183"/>
        <v>0</v>
      </c>
      <c r="CL229" s="1012">
        <f t="shared" si="1183"/>
        <v>0</v>
      </c>
      <c r="CM229" s="1012">
        <f t="shared" si="1183"/>
        <v>0</v>
      </c>
      <c r="CN229" s="1012">
        <f t="shared" si="1183"/>
        <v>0</v>
      </c>
      <c r="CO229" s="1012">
        <f t="shared" si="1183"/>
        <v>0</v>
      </c>
      <c r="CP229" s="1012">
        <f t="shared" si="1183"/>
        <v>0</v>
      </c>
      <c r="CQ229" s="1012">
        <f t="shared" si="1183"/>
        <v>0</v>
      </c>
      <c r="CR229" s="1012">
        <f t="shared" si="1183"/>
        <v>0</v>
      </c>
      <c r="CS229" s="1012">
        <f t="shared" si="1183"/>
        <v>0</v>
      </c>
      <c r="CT229" s="1012">
        <f t="shared" si="1183"/>
        <v>0</v>
      </c>
      <c r="CU229" s="1012">
        <f t="shared" si="1183"/>
        <v>0</v>
      </c>
      <c r="CV229" s="1012">
        <f t="shared" si="1183"/>
        <v>-725.85913900000003</v>
      </c>
      <c r="CW229" s="1012">
        <f t="shared" si="1183"/>
        <v>0</v>
      </c>
      <c r="CX229" s="1012">
        <f t="shared" si="1183"/>
        <v>0</v>
      </c>
      <c r="CY229" s="1012">
        <f t="shared" si="1183"/>
        <v>0</v>
      </c>
      <c r="CZ229" s="1012">
        <f t="shared" si="1183"/>
        <v>0</v>
      </c>
      <c r="DA229" s="1012">
        <f t="shared" si="1183"/>
        <v>0</v>
      </c>
      <c r="DB229" s="1012">
        <f t="shared" si="1183"/>
        <v>0</v>
      </c>
      <c r="DC229" s="1012">
        <f t="shared" si="1183"/>
        <v>0</v>
      </c>
      <c r="DD229" s="1012">
        <f t="shared" si="1183"/>
        <v>0</v>
      </c>
      <c r="DE229" s="1012">
        <f t="shared" si="1183"/>
        <v>0</v>
      </c>
      <c r="DF229" s="1012">
        <f t="shared" si="1183"/>
        <v>0</v>
      </c>
      <c r="DG229" s="1012">
        <f t="shared" si="1183"/>
        <v>0</v>
      </c>
      <c r="DH229" s="1012">
        <f t="shared" si="1183"/>
        <v>-335.46991600000001</v>
      </c>
      <c r="DI229" s="1012">
        <f t="shared" si="1183"/>
        <v>0</v>
      </c>
      <c r="DJ229" s="1012">
        <f t="shared" si="1183"/>
        <v>0</v>
      </c>
      <c r="DK229" s="1012">
        <f t="shared" si="1183"/>
        <v>0</v>
      </c>
      <c r="DL229" s="1012">
        <f t="shared" si="1183"/>
        <v>0</v>
      </c>
      <c r="DM229" s="1012">
        <f t="shared" si="1183"/>
        <v>0</v>
      </c>
      <c r="DN229" s="1012">
        <f t="shared" si="1183"/>
        <v>0</v>
      </c>
      <c r="DO229" s="1012">
        <f t="shared" si="1183"/>
        <v>0</v>
      </c>
      <c r="DP229" s="1012">
        <f t="shared" si="1183"/>
        <v>0</v>
      </c>
      <c r="DQ229" s="873">
        <f t="shared" si="1183"/>
        <v>0</v>
      </c>
      <c r="DR229" s="873">
        <f t="shared" si="1183"/>
        <v>0</v>
      </c>
      <c r="DS229" s="873">
        <f t="shared" si="1183"/>
        <v>0</v>
      </c>
      <c r="DT229" s="873">
        <f t="shared" si="1183"/>
        <v>-657.02942900000005</v>
      </c>
      <c r="DU229" s="873">
        <f t="shared" si="1183"/>
        <v>0</v>
      </c>
      <c r="DV229" s="873">
        <f t="shared" si="1183"/>
        <v>0</v>
      </c>
      <c r="DW229" s="873">
        <f t="shared" si="1183"/>
        <v>0</v>
      </c>
      <c r="DX229" s="873">
        <f t="shared" si="1183"/>
        <v>0</v>
      </c>
      <c r="DY229" s="873">
        <f t="shared" si="1183"/>
        <v>0</v>
      </c>
      <c r="DZ229" s="873">
        <f t="shared" si="1183"/>
        <v>0</v>
      </c>
      <c r="EA229" s="873">
        <f t="shared" si="1183"/>
        <v>0</v>
      </c>
      <c r="EB229" s="873">
        <f t="shared" si="1183"/>
        <v>0</v>
      </c>
      <c r="EC229" s="873">
        <f t="shared" si="1183"/>
        <v>0</v>
      </c>
      <c r="ED229" s="873">
        <f t="shared" si="1183"/>
        <v>0</v>
      </c>
      <c r="EE229" s="873">
        <f t="shared" si="1183"/>
        <v>0</v>
      </c>
      <c r="EF229" s="873">
        <f t="shared" si="1183"/>
        <v>-1288.6999999999998</v>
      </c>
      <c r="EH229" s="1010"/>
      <c r="EI229" s="1010"/>
      <c r="EJ229" s="1010"/>
      <c r="EK229" s="1010"/>
      <c r="EL229" s="1010"/>
      <c r="EM229" s="1010"/>
      <c r="EN229" s="1010"/>
      <c r="EO229" s="1010"/>
      <c r="EP229" s="873"/>
      <c r="EQ229" s="873"/>
      <c r="ER229" s="873"/>
      <c r="ES229" s="873"/>
      <c r="EU229" s="1010">
        <v>-205.11983740901564</v>
      </c>
      <c r="EV229" s="1010">
        <v>142.68246604795445</v>
      </c>
      <c r="EW229" s="1010">
        <v>107.7599811207825</v>
      </c>
      <c r="EX229" s="873">
        <v>-206.90828813833704</v>
      </c>
      <c r="EY229" s="873">
        <v>-81.691401175770551</v>
      </c>
      <c r="EZ229" s="873">
        <v>-162.22619998015315</v>
      </c>
      <c r="FA229" s="873">
        <v>-491.16627685144937</v>
      </c>
      <c r="FB229" s="873">
        <v>-812.53629554199074</v>
      </c>
      <c r="FC229" s="873">
        <v>-495.46800999927979</v>
      </c>
      <c r="FD229" s="873">
        <v>-589.06810817958376</v>
      </c>
      <c r="FE229" s="873">
        <v>-523.78914308202968</v>
      </c>
      <c r="FF229" s="873">
        <v>-367.7378291259497</v>
      </c>
      <c r="FG229" s="1010"/>
      <c r="FH229" s="1010"/>
      <c r="FI229" s="1010"/>
      <c r="FJ229" s="873"/>
      <c r="FK229" s="873"/>
      <c r="FL229" s="873"/>
      <c r="FM229" s="873"/>
      <c r="FN229" s="873"/>
      <c r="FO229" s="873"/>
      <c r="FP229" s="873"/>
      <c r="FQ229" s="873"/>
      <c r="FR229" s="873"/>
      <c r="FS229" s="1010"/>
      <c r="FT229" s="1010"/>
      <c r="FU229" s="1010"/>
      <c r="FV229" s="873"/>
      <c r="FW229" s="873"/>
      <c r="FX229" s="873"/>
      <c r="FY229" s="873"/>
      <c r="FZ229" s="873"/>
      <c r="GA229" s="873"/>
      <c r="GB229" s="873"/>
      <c r="GC229" s="873"/>
      <c r="GD229" s="873"/>
      <c r="GE229" s="873"/>
      <c r="GF229" s="873"/>
      <c r="GG229" s="873"/>
      <c r="GH229" s="873"/>
      <c r="GI229" s="873"/>
      <c r="GJ229" s="873"/>
      <c r="GK229" s="873"/>
      <c r="GL229" s="873"/>
      <c r="GM229" s="873"/>
      <c r="GN229" s="873"/>
      <c r="GO229" s="873"/>
      <c r="GP229" s="873"/>
      <c r="GQ229" s="873"/>
      <c r="GR229" s="873"/>
      <c r="GS229" s="873"/>
      <c r="GT229" s="873"/>
      <c r="GU229" s="873"/>
      <c r="GV229" s="873"/>
      <c r="GW229" s="873"/>
      <c r="GX229" s="873"/>
      <c r="GY229" s="873"/>
      <c r="GZ229" s="873"/>
      <c r="HA229" s="873"/>
      <c r="HB229" s="873"/>
      <c r="HD229" s="1013"/>
      <c r="HE229" s="1013"/>
      <c r="HF229" s="1013"/>
      <c r="HG229" s="1013"/>
      <c r="HH229" s="1013"/>
      <c r="HI229" s="1013"/>
      <c r="HJ229" s="1013"/>
      <c r="HK229" s="1013"/>
      <c r="HL229" s="1013"/>
      <c r="HM229" s="1013"/>
      <c r="HN229" s="1013"/>
      <c r="HO229" s="1013"/>
      <c r="HP229" s="1013"/>
      <c r="JA229" s="1013"/>
      <c r="JB229" s="1013"/>
      <c r="JC229" s="1013"/>
      <c r="JD229" s="1013"/>
      <c r="JE229" s="1013"/>
      <c r="JF229" s="1013"/>
      <c r="JG229" s="1013"/>
      <c r="JH229" s="1013"/>
      <c r="JI229" s="1013"/>
      <c r="JJ229" s="1013"/>
      <c r="JK229" s="1013"/>
      <c r="JL229" s="1013"/>
      <c r="JM229" s="1013"/>
      <c r="JN229" s="1013"/>
      <c r="JY229" s="1013"/>
      <c r="JZ229" s="1013"/>
      <c r="KA229" s="1013"/>
      <c r="KB229" s="1013"/>
      <c r="KC229" s="1013"/>
      <c r="KD229" s="1013"/>
      <c r="KE229" s="1013"/>
      <c r="KF229" s="1013"/>
      <c r="KH229" s="1013"/>
      <c r="KI229" s="1013"/>
      <c r="KJ229" s="1013"/>
      <c r="KK229" s="1013"/>
      <c r="KL229" s="1013"/>
      <c r="KM229" s="1013"/>
      <c r="KN229" s="1013"/>
      <c r="KO229" s="1013"/>
      <c r="LB229" s="1013"/>
      <c r="LC229" s="1013"/>
      <c r="LD229" s="1013"/>
      <c r="LE229" s="1013"/>
      <c r="LF229" s="1013"/>
      <c r="LG229" s="1013"/>
      <c r="LH229" s="1013"/>
      <c r="LI229" s="1013"/>
      <c r="LJ229" s="1013"/>
      <c r="LK229" s="1013"/>
      <c r="LL229" s="1013"/>
      <c r="LM229" s="1013"/>
      <c r="LN229" s="1013"/>
      <c r="LO229" s="1013"/>
      <c r="LR229" s="1013"/>
      <c r="LS229" s="1013"/>
      <c r="LT229" s="1013"/>
      <c r="LU229" s="1013"/>
      <c r="LV229" s="1013"/>
      <c r="LW229" s="1013"/>
      <c r="LX229" s="1013"/>
      <c r="LZ229" s="1013"/>
      <c r="MA229" s="1013"/>
      <c r="MB229" s="1013"/>
      <c r="MC229" s="1013"/>
      <c r="MD229" s="1013"/>
      <c r="ME229" s="1013"/>
      <c r="MF229" s="1013"/>
      <c r="MH229" s="1013"/>
      <c r="MI229" s="1013"/>
      <c r="MJ229" s="1013"/>
      <c r="MK229" s="1013"/>
      <c r="ML229" s="1013"/>
      <c r="MM229" s="1013"/>
      <c r="MN229" s="1013"/>
      <c r="MO229" s="1013"/>
      <c r="MP229" s="1013"/>
    </row>
    <row r="230" spans="1:354" ht="15" thickBot="1">
      <c r="A230" s="867"/>
      <c r="C230" s="1004" t="s">
        <v>770</v>
      </c>
      <c r="D230" s="1015"/>
      <c r="E230" s="1016"/>
      <c r="F230" s="1016"/>
      <c r="G230" s="1016"/>
      <c r="H230" s="1016"/>
      <c r="I230" s="1016"/>
      <c r="J230" s="1016"/>
      <c r="K230" s="1016"/>
      <c r="L230" s="1016"/>
      <c r="M230" s="1016"/>
      <c r="N230" s="1016"/>
      <c r="O230" s="1016"/>
      <c r="P230" s="1016"/>
      <c r="Q230" s="1016"/>
      <c r="R230" s="1016"/>
      <c r="S230" s="1016"/>
      <c r="T230" s="1016"/>
      <c r="U230" s="1016"/>
      <c r="V230" s="1016"/>
      <c r="W230" s="1016"/>
      <c r="X230" s="1016"/>
      <c r="Y230" s="1016"/>
      <c r="Z230" s="1016"/>
      <c r="AA230" s="1016"/>
      <c r="AB230" s="1016"/>
      <c r="AC230" s="1016"/>
      <c r="AD230" s="1016"/>
      <c r="AE230" s="1016"/>
      <c r="AF230" s="1016"/>
      <c r="AG230" s="1016"/>
      <c r="AH230" s="1016"/>
      <c r="AI230" s="1016"/>
      <c r="AJ230" s="1016"/>
      <c r="AK230" s="1016"/>
      <c r="AL230" s="1016"/>
      <c r="AM230" s="1016"/>
      <c r="AN230" s="1016"/>
      <c r="AO230" s="1017">
        <v>-2620.1679874899901</v>
      </c>
      <c r="AP230" s="1018">
        <v>-1750.8877078700082</v>
      </c>
      <c r="AQ230" s="1004">
        <v>-1374.9747188799947</v>
      </c>
      <c r="AR230" s="1004">
        <v>-470.02403891999995</v>
      </c>
      <c r="AS230" s="1017">
        <v>-1998.6951302300049</v>
      </c>
      <c r="AT230" s="1017">
        <v>-898.68387107999843</v>
      </c>
      <c r="AU230" s="1017">
        <v>32.846818099998146</v>
      </c>
      <c r="AV230" s="1017">
        <v>-362.19267759999667</v>
      </c>
      <c r="AW230" s="1017">
        <v>-685.63441656000089</v>
      </c>
      <c r="AX230" s="1017">
        <v>762.72506878000127</v>
      </c>
      <c r="AY230" s="1017">
        <v>82.171572889998629</v>
      </c>
      <c r="AZ230" s="1017">
        <v>-944.40479694999976</v>
      </c>
      <c r="BA230" s="1017">
        <v>-672.40643524000495</v>
      </c>
      <c r="BB230" s="1017">
        <v>465.23670825000232</v>
      </c>
      <c r="BC230" s="1017">
        <v>60.856585410002481</v>
      </c>
      <c r="BD230" s="1017">
        <v>1082.691165460001</v>
      </c>
      <c r="BE230" s="1017">
        <v>-975.02840518000255</v>
      </c>
      <c r="BF230" s="1017">
        <v>-170.93778313000053</v>
      </c>
      <c r="BG230" s="1017">
        <v>-455.44291792999962</v>
      </c>
      <c r="BH230" s="1017">
        <v>0.62983312000030622</v>
      </c>
      <c r="BI230" s="1017">
        <v>175.25775602999965</v>
      </c>
      <c r="BJ230" s="1017">
        <v>-100.09259366999862</v>
      </c>
      <c r="BK230" s="1017">
        <v>1230.4557402899984</v>
      </c>
      <c r="BL230" s="1017">
        <v>-286.44729881000001</v>
      </c>
      <c r="BM230" s="1017">
        <f t="shared" ref="BM230:DX230" si="1184">+SUM(BM223:BM226,BM229)</f>
        <v>-501.03534103999402</v>
      </c>
      <c r="BN230" s="1017">
        <f t="shared" si="1184"/>
        <v>-531.72609538000461</v>
      </c>
      <c r="BO230" s="1017">
        <f t="shared" si="1184"/>
        <v>545.78362233999906</v>
      </c>
      <c r="BP230" s="1017">
        <f t="shared" si="1184"/>
        <v>-236.38054035000135</v>
      </c>
      <c r="BQ230" s="1017">
        <f t="shared" si="1184"/>
        <v>586.77014423000423</v>
      </c>
      <c r="BR230" s="1017">
        <f t="shared" si="1184"/>
        <v>7.9852438099960636</v>
      </c>
      <c r="BS230" s="1017">
        <f t="shared" si="1184"/>
        <v>-205.22005824999724</v>
      </c>
      <c r="BT230" s="1017">
        <f t="shared" si="1184"/>
        <v>341.25107186999935</v>
      </c>
      <c r="BU230" s="1017">
        <f t="shared" si="1184"/>
        <v>-227.79857627999749</v>
      </c>
      <c r="BV230" s="1017">
        <f t="shared" si="1184"/>
        <v>915.6354394299965</v>
      </c>
      <c r="BW230" s="1017">
        <f t="shared" si="1184"/>
        <v>76.012010000004636</v>
      </c>
      <c r="BX230" s="1017">
        <f t="shared" si="1184"/>
        <v>558.10754253999596</v>
      </c>
      <c r="BY230" s="1019">
        <f t="shared" si="1184"/>
        <v>-540.79897680000113</v>
      </c>
      <c r="BZ230" s="1019">
        <f t="shared" si="1184"/>
        <v>372.63191332000537</v>
      </c>
      <c r="CA230" s="1019">
        <f t="shared" si="1184"/>
        <v>-52.495155720003197</v>
      </c>
      <c r="CB230" s="1019">
        <f t="shared" si="1184"/>
        <v>198.63248882000232</v>
      </c>
      <c r="CC230" s="1019">
        <f t="shared" si="1184"/>
        <v>104.5743403499997</v>
      </c>
      <c r="CD230" s="1019">
        <f t="shared" si="1184"/>
        <v>-84.375954529999959</v>
      </c>
      <c r="CE230" s="1019">
        <f t="shared" si="1184"/>
        <v>1030.8102633699993</v>
      </c>
      <c r="CF230" s="1019">
        <f t="shared" si="1184"/>
        <v>380.54241804000083</v>
      </c>
      <c r="CG230" s="1019">
        <f t="shared" si="1184"/>
        <v>-683.13423335000141</v>
      </c>
      <c r="CH230" s="1019">
        <f t="shared" si="1184"/>
        <v>-364.94698297000605</v>
      </c>
      <c r="CI230" s="1019">
        <f t="shared" si="1184"/>
        <v>1.819370940004319</v>
      </c>
      <c r="CJ230" s="1019">
        <f t="shared" si="1184"/>
        <v>136.41889934999983</v>
      </c>
      <c r="CK230" s="1019">
        <f t="shared" si="1184"/>
        <v>-355.69598859999871</v>
      </c>
      <c r="CL230" s="1019">
        <f t="shared" si="1184"/>
        <v>460.77905025999996</v>
      </c>
      <c r="CM230" s="1019">
        <f t="shared" si="1184"/>
        <v>377.26713041000062</v>
      </c>
      <c r="CN230" s="1019">
        <f t="shared" si="1184"/>
        <v>-17.732610310000581</v>
      </c>
      <c r="CO230" s="1019">
        <f t="shared" si="1184"/>
        <v>163.43961391000084</v>
      </c>
      <c r="CP230" s="1019">
        <f t="shared" si="1184"/>
        <v>335.81872399000235</v>
      </c>
      <c r="CQ230" s="1019">
        <f t="shared" si="1184"/>
        <v>557.46462912999812</v>
      </c>
      <c r="CR230" s="1019">
        <f t="shared" si="1184"/>
        <v>863.23539047000406</v>
      </c>
      <c r="CS230" s="1019">
        <f t="shared" si="1184"/>
        <v>96.059754939997561</v>
      </c>
      <c r="CT230" s="1019">
        <f t="shared" si="1184"/>
        <v>-357.78577981000478</v>
      </c>
      <c r="CU230" s="1019">
        <f t="shared" si="1184"/>
        <v>-284.2046181299948</v>
      </c>
      <c r="CV230" s="1019">
        <f t="shared" si="1184"/>
        <v>1005.3513657099958</v>
      </c>
      <c r="CW230" s="1019">
        <f t="shared" si="1184"/>
        <v>-238.2870551900005</v>
      </c>
      <c r="CX230" s="1019">
        <f t="shared" si="1184"/>
        <v>-646.50745035999489</v>
      </c>
      <c r="CY230" s="1019">
        <f t="shared" si="1184"/>
        <v>-680.96531934000143</v>
      </c>
      <c r="CZ230" s="1019">
        <f t="shared" si="1184"/>
        <v>1537.7419146100008</v>
      </c>
      <c r="DA230" s="1019">
        <f t="shared" si="1184"/>
        <v>120.28806810999718</v>
      </c>
      <c r="DB230" s="1019">
        <f t="shared" si="1184"/>
        <v>558.44708558000389</v>
      </c>
      <c r="DC230" s="1019">
        <f t="shared" si="1184"/>
        <v>-137.30582959000344</v>
      </c>
      <c r="DD230" s="1019">
        <f t="shared" si="1184"/>
        <v>-462.28028503999695</v>
      </c>
      <c r="DE230" s="1019">
        <f t="shared" si="1184"/>
        <v>-542.29735881000374</v>
      </c>
      <c r="DF230" s="1019">
        <f t="shared" si="1184"/>
        <v>168.50092930999654</v>
      </c>
      <c r="DG230" s="1019">
        <f t="shared" si="1184"/>
        <v>278.74544034999627</v>
      </c>
      <c r="DH230" s="1019">
        <f t="shared" si="1184"/>
        <v>1039.4653569899999</v>
      </c>
      <c r="DI230" s="1019">
        <f t="shared" si="1184"/>
        <v>-631.86597695999671</v>
      </c>
      <c r="DJ230" s="1019">
        <f t="shared" si="1184"/>
        <v>391.61924037000261</v>
      </c>
      <c r="DK230" s="1019">
        <f t="shared" si="1184"/>
        <v>-291.90447971000094</v>
      </c>
      <c r="DL230" s="1019">
        <f t="shared" si="1184"/>
        <v>625.87795024999821</v>
      </c>
      <c r="DM230" s="1019">
        <f t="shared" si="1184"/>
        <v>-155.16854514000272</v>
      </c>
      <c r="DN230" s="1019">
        <f t="shared" si="1184"/>
        <v>16.754180320003101</v>
      </c>
      <c r="DO230" s="1019">
        <f t="shared" si="1184"/>
        <v>-173.32130864000408</v>
      </c>
      <c r="DP230" s="1019">
        <f t="shared" si="1184"/>
        <v>109.82103507000249</v>
      </c>
      <c r="DQ230" s="1017">
        <f t="shared" si="1184"/>
        <v>1113.3694785499979</v>
      </c>
      <c r="DR230" s="1017">
        <f t="shared" si="1184"/>
        <v>806.05293915000641</v>
      </c>
      <c r="DS230" s="1017">
        <f t="shared" si="1184"/>
        <v>-840.44668914000238</v>
      </c>
      <c r="DT230" s="1017">
        <f t="shared" si="1184"/>
        <v>273.64108274000421</v>
      </c>
      <c r="DU230" s="1017">
        <f t="shared" si="1184"/>
        <v>-269.03812808999874</v>
      </c>
      <c r="DV230" s="1017">
        <f t="shared" si="1184"/>
        <v>745.98964095999281</v>
      </c>
      <c r="DW230" s="1017">
        <f t="shared" si="1184"/>
        <v>-376.38385034999806</v>
      </c>
      <c r="DX230" s="1017">
        <f t="shared" si="1184"/>
        <v>-197.59421503999673</v>
      </c>
      <c r="DY230" s="1017">
        <f t="shared" ref="DY230:EF230" si="1185">+SUM(DY223:DY226,DY229)</f>
        <v>452.88034952000237</v>
      </c>
      <c r="DZ230" s="1017">
        <f t="shared" si="1185"/>
        <v>667.46643348000396</v>
      </c>
      <c r="EA230" s="1017">
        <f t="shared" si="1185"/>
        <v>-157.02574000000365</v>
      </c>
      <c r="EB230" s="1017">
        <f t="shared" si="1185"/>
        <v>669.44184697999719</v>
      </c>
      <c r="EC230" s="1017">
        <f t="shared" si="1185"/>
        <v>-667.34398601999999</v>
      </c>
      <c r="ED230" s="1017">
        <f t="shared" si="1185"/>
        <v>30.356616979999671</v>
      </c>
      <c r="EE230" s="1017">
        <f t="shared" si="1185"/>
        <v>571.43508014999884</v>
      </c>
      <c r="EF230" s="1017">
        <f t="shared" si="1185"/>
        <v>2465.6047019700013</v>
      </c>
      <c r="EG230" s="25"/>
      <c r="EH230" s="1004"/>
      <c r="EI230" s="1004"/>
      <c r="EJ230" s="1004"/>
      <c r="EK230" s="1004"/>
      <c r="EL230" s="1004"/>
      <c r="EM230" s="1004"/>
      <c r="EN230" s="1004"/>
      <c r="EO230" s="1004"/>
      <c r="EP230" s="1017"/>
      <c r="EQ230" s="1017"/>
      <c r="ER230" s="1017"/>
      <c r="ES230" s="1017"/>
      <c r="EU230" s="1004">
        <v>990.28063528999451</v>
      </c>
      <c r="EV230" s="1004">
        <v>-2350.9162548959957</v>
      </c>
      <c r="EW230" s="1004">
        <v>350.53529432700145</v>
      </c>
      <c r="EX230" s="1017">
        <v>1035.4790125022325</v>
      </c>
      <c r="EY230" s="1017">
        <v>-1183.8081561622282</v>
      </c>
      <c r="EZ230" s="1017">
        <v>570.68159551409701</v>
      </c>
      <c r="FA230" s="1017">
        <v>888.88694809701087</v>
      </c>
      <c r="FB230" s="1017">
        <v>-373.58210567092215</v>
      </c>
      <c r="FC230" s="1017">
        <v>737.65323734587992</v>
      </c>
      <c r="FD230" s="1017">
        <v>1307.8009063304441</v>
      </c>
      <c r="FE230" s="1017">
        <v>866.87140881641983</v>
      </c>
      <c r="FF230" s="1017">
        <v>261.3014910025006</v>
      </c>
      <c r="FG230" s="1004">
        <f t="shared" ref="FG230:GD230" si="1186">SUM(FG223:FG229)</f>
        <v>-182.82359112956044</v>
      </c>
      <c r="FH230" s="1004">
        <f t="shared" si="1186"/>
        <v>-45.584436750366365</v>
      </c>
      <c r="FI230" s="1004">
        <f t="shared" si="1186"/>
        <v>-29.45856852470331</v>
      </c>
      <c r="FJ230" s="1017">
        <f t="shared" si="1186"/>
        <v>-97.639009168528958</v>
      </c>
      <c r="FK230" s="1017">
        <f t="shared" si="1186"/>
        <v>109.24490857162789</v>
      </c>
      <c r="FL230" s="1017">
        <f t="shared" si="1186"/>
        <v>320.89010179358502</v>
      </c>
      <c r="FM230" s="1017">
        <f t="shared" si="1186"/>
        <v>383.86049724361192</v>
      </c>
      <c r="FN230" s="1017">
        <f t="shared" si="1186"/>
        <v>453.85232322619459</v>
      </c>
      <c r="FO230" s="1017">
        <f t="shared" si="1186"/>
        <v>419.57474811203338</v>
      </c>
      <c r="FP230" s="1017">
        <f t="shared" si="1186"/>
        <v>478.60959561466711</v>
      </c>
      <c r="FQ230" s="1017">
        <f t="shared" si="1186"/>
        <v>369.93309816674247</v>
      </c>
      <c r="FR230" s="1017">
        <f t="shared" si="1186"/>
        <v>170.06329953912251</v>
      </c>
      <c r="FS230" s="1004">
        <f t="shared" si="1186"/>
        <v>135.05859800000002</v>
      </c>
      <c r="FT230" s="1004">
        <f t="shared" si="1186"/>
        <v>336.8367549100002</v>
      </c>
      <c r="FU230" s="1004">
        <f t="shared" si="1186"/>
        <v>341.36084599999981</v>
      </c>
      <c r="FV230" s="1017">
        <f t="shared" si="1186"/>
        <v>297.18355891000004</v>
      </c>
      <c r="FW230" s="1017">
        <f t="shared" si="1186"/>
        <v>314.96711791000018</v>
      </c>
      <c r="FX230" s="1017">
        <f t="shared" si="1186"/>
        <v>282.30310291000006</v>
      </c>
      <c r="FY230" s="1017">
        <f t="shared" si="1186"/>
        <v>307.20153890999984</v>
      </c>
      <c r="FZ230" s="1017">
        <f t="shared" si="1186"/>
        <v>101.67076090999996</v>
      </c>
      <c r="GA230" s="1017">
        <f t="shared" si="1186"/>
        <v>-6.2338200000000938</v>
      </c>
      <c r="GB230" s="1017">
        <f t="shared" si="1186"/>
        <v>-83.64703609</v>
      </c>
      <c r="GC230" s="1017">
        <f t="shared" si="1186"/>
        <v>-26.128150090000162</v>
      </c>
      <c r="GD230" s="1017">
        <f t="shared" si="1186"/>
        <v>-82.266508000000073</v>
      </c>
      <c r="GE230" s="1017"/>
      <c r="GF230" s="1017"/>
      <c r="GG230" s="1017"/>
      <c r="GH230" s="1017"/>
      <c r="GI230" s="1017"/>
      <c r="GJ230" s="1017"/>
      <c r="GK230" s="1017"/>
      <c r="GL230" s="1017"/>
      <c r="GM230" s="1017"/>
      <c r="GN230" s="1017"/>
      <c r="GO230" s="1017"/>
      <c r="GP230" s="1017"/>
      <c r="GQ230" s="1017"/>
      <c r="GR230" s="1017"/>
      <c r="GS230" s="1017"/>
      <c r="GT230" s="1017"/>
      <c r="GU230" s="1017"/>
      <c r="GV230" s="1017"/>
      <c r="GW230" s="1017"/>
      <c r="GX230" s="1017"/>
      <c r="GY230" s="1017"/>
      <c r="GZ230" s="1017"/>
      <c r="HA230" s="1017"/>
      <c r="HB230" s="1017"/>
      <c r="HD230" s="1009"/>
      <c r="HE230" s="1009"/>
      <c r="HF230" s="1009"/>
      <c r="HG230" s="1009"/>
      <c r="HH230" s="1009"/>
      <c r="HI230" s="1009"/>
      <c r="HJ230" s="1009"/>
      <c r="HK230" s="1009"/>
      <c r="HL230" s="1009"/>
      <c r="HM230" s="1009"/>
      <c r="HN230" s="1009"/>
      <c r="HO230" s="1009"/>
      <c r="HP230" s="1009"/>
      <c r="JA230" s="1009"/>
      <c r="JB230" s="1009"/>
      <c r="JC230" s="1009"/>
      <c r="JD230" s="1009"/>
      <c r="JE230" s="1009"/>
      <c r="JF230" s="1009"/>
      <c r="JG230" s="1009"/>
      <c r="JH230" s="1009"/>
      <c r="JI230" s="1009"/>
      <c r="JJ230" s="1009"/>
      <c r="JK230" s="1009"/>
      <c r="JL230" s="1009"/>
      <c r="JM230" s="1009"/>
      <c r="JN230" s="1009"/>
      <c r="JY230" s="1009"/>
      <c r="JZ230" s="1009"/>
      <c r="KA230" s="1009"/>
      <c r="KB230" s="1009"/>
      <c r="KC230" s="1009"/>
      <c r="KD230" s="1009"/>
      <c r="KE230" s="1009"/>
      <c r="KF230" s="1009"/>
      <c r="KH230" s="1009"/>
      <c r="KI230" s="1009"/>
      <c r="KJ230" s="1009"/>
      <c r="KK230" s="1009"/>
      <c r="KL230" s="1009"/>
      <c r="KM230" s="1009"/>
      <c r="KN230" s="1009"/>
      <c r="KO230" s="1009"/>
      <c r="LB230" s="1009"/>
      <c r="LC230" s="1009"/>
      <c r="LD230" s="1009"/>
      <c r="LE230" s="1009"/>
      <c r="LF230" s="1009"/>
      <c r="LG230" s="1009"/>
      <c r="LH230" s="1009"/>
      <c r="LI230" s="1009"/>
      <c r="LJ230" s="1009"/>
      <c r="LK230" s="1009"/>
      <c r="LL230" s="1009"/>
      <c r="LM230" s="1009"/>
      <c r="LN230" s="1009"/>
      <c r="LO230" s="1009"/>
      <c r="LR230" s="1009"/>
      <c r="LS230" s="1009"/>
      <c r="LT230" s="1009"/>
      <c r="LU230" s="1009"/>
      <c r="LV230" s="1009"/>
      <c r="LW230" s="1009"/>
      <c r="LX230" s="1009"/>
      <c r="LZ230" s="1009"/>
      <c r="MA230" s="1009"/>
      <c r="MB230" s="1009"/>
      <c r="MC230" s="1009"/>
      <c r="MD230" s="1009"/>
      <c r="ME230" s="1009"/>
      <c r="MF230" s="1009"/>
      <c r="MH230" s="1009"/>
      <c r="MI230" s="1009"/>
      <c r="MJ230" s="1009"/>
      <c r="MK230" s="1009"/>
      <c r="ML230" s="1009"/>
      <c r="MM230" s="1009"/>
      <c r="MN230" s="1009"/>
      <c r="MO230" s="1009"/>
      <c r="MP230" s="1009"/>
    </row>
    <row r="231" spans="1:354" ht="15" thickTop="1">
      <c r="A231" s="867"/>
      <c r="C231" s="1020" t="s">
        <v>771</v>
      </c>
      <c r="D231" s="662"/>
      <c r="E231" s="1011"/>
      <c r="F231" s="1011"/>
      <c r="G231" s="1011"/>
      <c r="H231" s="1011"/>
      <c r="I231" s="1011"/>
      <c r="J231" s="1011"/>
      <c r="K231" s="1011"/>
      <c r="L231" s="1011"/>
      <c r="M231" s="1011"/>
      <c r="N231" s="1011"/>
      <c r="O231" s="1011"/>
      <c r="P231" s="1011"/>
      <c r="Q231" s="1011"/>
      <c r="R231" s="1011"/>
      <c r="S231" s="1011"/>
      <c r="T231" s="1011"/>
      <c r="U231" s="1011"/>
      <c r="V231" s="1011"/>
      <c r="W231" s="1011"/>
      <c r="X231" s="1011"/>
      <c r="Y231" s="1011"/>
      <c r="Z231" s="1011"/>
      <c r="AA231" s="1011"/>
      <c r="AB231" s="1011"/>
      <c r="AC231" s="1011"/>
      <c r="AD231" s="1011"/>
      <c r="AE231" s="1011"/>
      <c r="AF231" s="1011"/>
      <c r="AG231" s="1011"/>
      <c r="AH231" s="1011"/>
      <c r="AI231" s="1011"/>
      <c r="AJ231" s="1011"/>
      <c r="AK231" s="1011"/>
      <c r="AL231" s="1011"/>
      <c r="AM231" s="1011"/>
      <c r="AN231" s="1011"/>
      <c r="AO231" s="1021">
        <v>0</v>
      </c>
      <c r="AP231" s="1020">
        <v>2841.7856456099994</v>
      </c>
      <c r="AQ231" s="1020">
        <v>0</v>
      </c>
      <c r="AR231" s="1020">
        <v>0</v>
      </c>
      <c r="AS231" s="1021">
        <v>1586.942088</v>
      </c>
      <c r="AT231" s="1021">
        <v>84.760749000000004</v>
      </c>
      <c r="AU231" s="1021">
        <v>82.564316000000005</v>
      </c>
      <c r="AV231" s="1021">
        <v>80.352684999999994</v>
      </c>
      <c r="AW231" s="1021">
        <v>78.135266000000001</v>
      </c>
      <c r="AX231" s="1021">
        <v>75.894739999999999</v>
      </c>
      <c r="AY231" s="1021">
        <v>73.642101999999994</v>
      </c>
      <c r="AZ231" s="1021">
        <v>0</v>
      </c>
      <c r="BA231" s="1021">
        <v>0</v>
      </c>
      <c r="BB231" s="1021">
        <v>0</v>
      </c>
      <c r="BC231" s="1021">
        <v>0</v>
      </c>
      <c r="BD231" s="1021">
        <v>0</v>
      </c>
      <c r="BE231" s="1021">
        <v>0</v>
      </c>
      <c r="BF231" s="1021">
        <v>0</v>
      </c>
      <c r="BG231" s="1021">
        <v>0</v>
      </c>
      <c r="BH231" s="1021">
        <v>0</v>
      </c>
      <c r="BI231" s="1021">
        <v>0</v>
      </c>
      <c r="BJ231" s="1021">
        <v>0</v>
      </c>
      <c r="BK231" s="1021">
        <v>0</v>
      </c>
      <c r="BL231" s="1021">
        <v>0</v>
      </c>
      <c r="BM231" s="1021">
        <v>0</v>
      </c>
      <c r="BN231" s="1021">
        <v>0</v>
      </c>
      <c r="BO231" s="1021">
        <v>0</v>
      </c>
      <c r="BP231" s="1021">
        <v>0</v>
      </c>
      <c r="BQ231" s="1021">
        <v>0</v>
      </c>
      <c r="BR231" s="1021">
        <v>0</v>
      </c>
      <c r="BS231" s="1021">
        <v>0</v>
      </c>
      <c r="BT231" s="1021">
        <v>0</v>
      </c>
      <c r="BU231" s="1021">
        <v>0</v>
      </c>
      <c r="BV231" s="1021">
        <v>0</v>
      </c>
      <c r="BW231" s="1021">
        <v>0</v>
      </c>
      <c r="BX231" s="1021">
        <v>0</v>
      </c>
      <c r="BY231" s="1022"/>
      <c r="BZ231" s="1022"/>
      <c r="CA231" s="1022"/>
      <c r="CB231" s="1022"/>
      <c r="CC231" s="1022"/>
      <c r="CD231" s="1022"/>
      <c r="CE231" s="1022"/>
      <c r="CF231" s="1022"/>
      <c r="CG231" s="1022"/>
      <c r="CH231" s="1022"/>
      <c r="CI231" s="1022"/>
      <c r="CJ231" s="1022"/>
      <c r="CK231" s="1022"/>
      <c r="CL231" s="1022"/>
      <c r="CM231" s="1022"/>
      <c r="CN231" s="1022"/>
      <c r="CO231" s="1022"/>
      <c r="CP231" s="1022"/>
      <c r="CQ231" s="1022"/>
      <c r="CR231" s="1022"/>
      <c r="CS231" s="1022"/>
      <c r="CT231" s="1022"/>
      <c r="CU231" s="1022"/>
      <c r="CV231" s="1022"/>
      <c r="CW231" s="1022"/>
      <c r="CX231" s="1022"/>
      <c r="CY231" s="1022"/>
      <c r="CZ231" s="1022"/>
      <c r="DA231" s="1022"/>
      <c r="DB231" s="1022"/>
      <c r="DC231" s="1022"/>
      <c r="DD231" s="1022"/>
      <c r="DE231" s="1022"/>
      <c r="DF231" s="1022"/>
      <c r="DG231" s="1022"/>
      <c r="DH231" s="1022"/>
      <c r="DI231" s="1022"/>
      <c r="DJ231" s="1022"/>
      <c r="DK231" s="1022"/>
      <c r="DL231" s="1022"/>
      <c r="DM231" s="1022"/>
      <c r="DN231" s="1022"/>
      <c r="DO231" s="1022"/>
      <c r="DP231" s="1022"/>
      <c r="DQ231" s="1021"/>
      <c r="DR231" s="1021"/>
      <c r="DS231" s="1021"/>
      <c r="DT231" s="1021"/>
      <c r="DU231" s="1021"/>
      <c r="DV231" s="1021"/>
      <c r="DW231" s="1021"/>
      <c r="DX231" s="1021"/>
      <c r="DY231" s="1021"/>
      <c r="DZ231" s="1021"/>
      <c r="EA231" s="1021"/>
      <c r="EB231" s="1021"/>
      <c r="EC231" s="1021"/>
      <c r="ED231" s="1021"/>
      <c r="EE231" s="1021"/>
      <c r="EF231" s="1021"/>
      <c r="EH231" s="1010"/>
      <c r="EI231" s="1010"/>
      <c r="EJ231" s="1010"/>
      <c r="EK231" s="1010"/>
      <c r="EL231" s="1010"/>
      <c r="EM231" s="1010"/>
      <c r="EN231" s="1010"/>
      <c r="EO231" s="1010"/>
      <c r="EP231" s="873"/>
      <c r="EQ231" s="873"/>
      <c r="ER231" s="873"/>
      <c r="ES231" s="873"/>
      <c r="EU231" s="1010">
        <v>0</v>
      </c>
      <c r="EV231" s="1010">
        <v>0</v>
      </c>
      <c r="EW231" s="1010">
        <v>0</v>
      </c>
      <c r="EX231" s="873">
        <v>0</v>
      </c>
      <c r="EY231" s="873">
        <v>0</v>
      </c>
      <c r="EZ231" s="873">
        <v>0</v>
      </c>
      <c r="FA231" s="873">
        <v>0</v>
      </c>
      <c r="FB231" s="873">
        <v>0</v>
      </c>
      <c r="FC231" s="873">
        <v>0</v>
      </c>
      <c r="FD231" s="873">
        <v>0</v>
      </c>
      <c r="FE231" s="873">
        <v>0</v>
      </c>
      <c r="FF231" s="873">
        <v>0</v>
      </c>
      <c r="FG231" s="1010"/>
      <c r="FH231" s="1010"/>
      <c r="FI231" s="1010"/>
      <c r="FJ231" s="873"/>
      <c r="FK231" s="873"/>
      <c r="FL231" s="873"/>
      <c r="FM231" s="873"/>
      <c r="FN231" s="873"/>
      <c r="FO231" s="873"/>
      <c r="FP231" s="873"/>
      <c r="FQ231" s="873"/>
      <c r="FR231" s="873"/>
      <c r="FS231" s="1010"/>
      <c r="FT231" s="1010"/>
      <c r="FU231" s="1010"/>
      <c r="FV231" s="873"/>
      <c r="FW231" s="873"/>
      <c r="FX231" s="873"/>
      <c r="FY231" s="873"/>
      <c r="FZ231" s="873"/>
      <c r="GA231" s="873"/>
      <c r="GB231" s="873"/>
      <c r="GC231" s="873"/>
      <c r="GD231" s="873"/>
      <c r="GE231" s="873"/>
      <c r="GF231" s="873"/>
      <c r="GG231" s="873"/>
      <c r="GH231" s="873"/>
      <c r="GI231" s="873"/>
      <c r="GJ231" s="873"/>
      <c r="GK231" s="873"/>
      <c r="GL231" s="873"/>
      <c r="GM231" s="873"/>
      <c r="GN231" s="873"/>
      <c r="GO231" s="873"/>
      <c r="GP231" s="873"/>
      <c r="GQ231" s="873"/>
      <c r="GR231" s="873"/>
      <c r="GS231" s="873"/>
      <c r="GT231" s="873"/>
      <c r="GU231" s="873"/>
      <c r="GV231" s="873"/>
      <c r="GW231" s="873"/>
      <c r="GX231" s="873"/>
      <c r="GY231" s="873"/>
      <c r="GZ231" s="873"/>
      <c r="HA231" s="873"/>
      <c r="HB231" s="873"/>
      <c r="HD231" s="1013"/>
      <c r="HE231" s="1013"/>
      <c r="HF231" s="1013"/>
      <c r="HG231" s="1013"/>
      <c r="HH231" s="1013"/>
      <c r="HI231" s="1013"/>
      <c r="HJ231" s="1013"/>
      <c r="HK231" s="1013"/>
      <c r="HL231" s="1013"/>
      <c r="HM231" s="1013"/>
      <c r="HN231" s="1013"/>
      <c r="HO231" s="1013"/>
      <c r="HP231" s="1013"/>
      <c r="JA231" s="1013"/>
      <c r="JB231" s="1013"/>
      <c r="JC231" s="1013"/>
      <c r="JD231" s="1013"/>
      <c r="JE231" s="1013"/>
      <c r="JF231" s="1013"/>
      <c r="JG231" s="1013"/>
      <c r="JH231" s="1013"/>
      <c r="JI231" s="1013"/>
      <c r="JJ231" s="1013"/>
      <c r="JK231" s="1013"/>
      <c r="JL231" s="1013"/>
      <c r="JM231" s="1013"/>
      <c r="JN231" s="1013"/>
      <c r="JY231" s="1013"/>
      <c r="JZ231" s="1013"/>
      <c r="KA231" s="1013"/>
      <c r="KB231" s="1013"/>
      <c r="KC231" s="1013"/>
      <c r="KD231" s="1013"/>
      <c r="KE231" s="1013"/>
      <c r="KF231" s="1013"/>
      <c r="KH231" s="1013"/>
      <c r="KI231" s="1013"/>
      <c r="KJ231" s="1013"/>
      <c r="KK231" s="1013"/>
      <c r="KL231" s="1013"/>
      <c r="KM231" s="1013"/>
      <c r="KN231" s="1013"/>
      <c r="KO231" s="1013"/>
      <c r="LB231" s="1013"/>
      <c r="LC231" s="1013"/>
      <c r="LD231" s="1013"/>
      <c r="LE231" s="1013"/>
      <c r="LF231" s="1013"/>
      <c r="LG231" s="1013"/>
      <c r="LH231" s="1013"/>
      <c r="LI231" s="1013"/>
      <c r="LJ231" s="1013"/>
      <c r="LK231" s="1013"/>
      <c r="LL231" s="1013"/>
      <c r="LM231" s="1013"/>
      <c r="LN231" s="1013"/>
      <c r="LO231" s="1013"/>
      <c r="LR231" s="1013"/>
      <c r="LS231" s="1013"/>
      <c r="LT231" s="1013"/>
      <c r="LU231" s="1013"/>
      <c r="LV231" s="1013"/>
      <c r="LW231" s="1013"/>
      <c r="LX231" s="1013"/>
      <c r="LZ231" s="1013"/>
      <c r="MA231" s="1013"/>
      <c r="MB231" s="1013"/>
      <c r="MC231" s="1013"/>
      <c r="MD231" s="1013"/>
      <c r="ME231" s="1013"/>
      <c r="MF231" s="1013"/>
      <c r="MH231" s="1013"/>
      <c r="MI231" s="1013"/>
      <c r="MJ231" s="1013"/>
      <c r="MK231" s="1013"/>
      <c r="ML231" s="1013"/>
      <c r="MM231" s="1013"/>
      <c r="MN231" s="1013"/>
      <c r="MO231" s="1013"/>
      <c r="MP231" s="1013"/>
    </row>
    <row r="232" spans="1:354">
      <c r="A232" s="867"/>
      <c r="C232" s="1010" t="s">
        <v>772</v>
      </c>
      <c r="D232" s="662"/>
      <c r="E232" s="1011"/>
      <c r="F232" s="1011"/>
      <c r="G232" s="1011"/>
      <c r="H232" s="1011"/>
      <c r="I232" s="1011"/>
      <c r="J232" s="1011"/>
      <c r="K232" s="1011"/>
      <c r="L232" s="1011"/>
      <c r="M232" s="1011"/>
      <c r="N232" s="1011"/>
      <c r="O232" s="1011"/>
      <c r="P232" s="1011"/>
      <c r="Q232" s="1011"/>
      <c r="R232" s="1011"/>
      <c r="S232" s="1011"/>
      <c r="T232" s="1011"/>
      <c r="U232" s="1011"/>
      <c r="V232" s="1011"/>
      <c r="W232" s="1011"/>
      <c r="X232" s="1011"/>
      <c r="Y232" s="1011"/>
      <c r="Z232" s="1011"/>
      <c r="AA232" s="1011"/>
      <c r="AB232" s="1011"/>
      <c r="AC232" s="1011"/>
      <c r="AD232" s="1011"/>
      <c r="AE232" s="1011"/>
      <c r="AF232" s="1011"/>
      <c r="AG232" s="1011"/>
      <c r="AH232" s="1011"/>
      <c r="AI232" s="1011"/>
      <c r="AJ232" s="1011"/>
      <c r="AK232" s="1011"/>
      <c r="AL232" s="1011"/>
      <c r="AM232" s="1011"/>
      <c r="AN232" s="1011"/>
      <c r="AO232" s="873">
        <v>-158.33333333000019</v>
      </c>
      <c r="AP232" s="920">
        <v>0</v>
      </c>
      <c r="AQ232" s="1010">
        <v>-240.48882057999981</v>
      </c>
      <c r="AR232" s="1010">
        <v>-242.0686763700005</v>
      </c>
      <c r="AS232" s="873">
        <v>-240.42393768000079</v>
      </c>
      <c r="AT232" s="873">
        <v>1549.5260133299989</v>
      </c>
      <c r="AU232" s="873">
        <v>-349.02818670999847</v>
      </c>
      <c r="AV232" s="873">
        <v>-328.3652902300002</v>
      </c>
      <c r="AW232" s="873">
        <v>176.26556771999935</v>
      </c>
      <c r="AX232" s="873">
        <v>686.43231960000026</v>
      </c>
      <c r="AY232" s="873">
        <v>-323.61729804999982</v>
      </c>
      <c r="AZ232" s="873">
        <v>0</v>
      </c>
      <c r="BA232" s="873">
        <v>-246.60358609000104</v>
      </c>
      <c r="BB232" s="873">
        <v>-245.50634419999915</v>
      </c>
      <c r="BC232" s="873">
        <v>-243.20900471000095</v>
      </c>
      <c r="BD232" s="873">
        <v>0.57362760000069102</v>
      </c>
      <c r="BE232" s="873">
        <v>0.53449839999939286</v>
      </c>
      <c r="BF232" s="873">
        <v>-6.7979480000003605</v>
      </c>
      <c r="BG232" s="873">
        <v>354.025767000001</v>
      </c>
      <c r="BH232" s="873">
        <v>-0.77921967000111181</v>
      </c>
      <c r="BI232" s="873">
        <v>-48.220033949999561</v>
      </c>
      <c r="BJ232" s="873">
        <v>-1.0105650099994818</v>
      </c>
      <c r="BK232" s="873">
        <v>-1.3661498300007224</v>
      </c>
      <c r="BL232" s="873">
        <v>15.178213430001051</v>
      </c>
      <c r="BM232" s="873">
        <f t="shared" ref="BM232:DX232" si="1187">(BM169-BL169)-BM231/1000000</f>
        <v>-1.479898690000482</v>
      </c>
      <c r="BN232" s="873">
        <f t="shared" si="1187"/>
        <v>-4.2929637799988996</v>
      </c>
      <c r="BO232" s="873">
        <f t="shared" si="1187"/>
        <v>-2.5484009300016623</v>
      </c>
      <c r="BP232" s="873">
        <f t="shared" si="1187"/>
        <v>-7.2819505099996604</v>
      </c>
      <c r="BQ232" s="873">
        <f t="shared" si="1187"/>
        <v>1.3583161299993662</v>
      </c>
      <c r="BR232" s="873">
        <f t="shared" si="1187"/>
        <v>7.1256611200005864</v>
      </c>
      <c r="BS232" s="873">
        <f t="shared" si="1187"/>
        <v>-0.95432572999925469</v>
      </c>
      <c r="BT232" s="873">
        <f t="shared" si="1187"/>
        <v>-95.294758730000467</v>
      </c>
      <c r="BU232" s="873">
        <f t="shared" si="1187"/>
        <v>0.80981074999908742</v>
      </c>
      <c r="BV232" s="873">
        <f t="shared" si="1187"/>
        <v>4.4109170300016558</v>
      </c>
      <c r="BW232" s="873">
        <f t="shared" si="1187"/>
        <v>-72.876080110001567</v>
      </c>
      <c r="BX232" s="873">
        <f t="shared" si="1187"/>
        <v>4.9741696900000534</v>
      </c>
      <c r="BY232" s="1012">
        <f t="shared" si="1187"/>
        <v>12.882329620000746</v>
      </c>
      <c r="BZ232" s="1012">
        <f t="shared" si="1187"/>
        <v>-286.41038435000064</v>
      </c>
      <c r="CA232" s="1012">
        <f t="shared" si="1187"/>
        <v>-10.037428049999107</v>
      </c>
      <c r="CB232" s="1012">
        <f t="shared" si="1187"/>
        <v>9.4454488800001855</v>
      </c>
      <c r="CC232" s="1012">
        <f t="shared" si="1187"/>
        <v>-0.29243318000044383</v>
      </c>
      <c r="CD232" s="1012">
        <f t="shared" si="1187"/>
        <v>1.8323800099997243</v>
      </c>
      <c r="CE232" s="1012">
        <f t="shared" si="1187"/>
        <v>-365.84400499999992</v>
      </c>
      <c r="CF232" s="1012">
        <f t="shared" si="1187"/>
        <v>-543.3606223200004</v>
      </c>
      <c r="CG232" s="1012">
        <f t="shared" si="1187"/>
        <v>7.4056813300003341</v>
      </c>
      <c r="CH232" s="1012">
        <f t="shared" si="1187"/>
        <v>13.864903310000045</v>
      </c>
      <c r="CI232" s="1012">
        <f t="shared" si="1187"/>
        <v>3.1486490900006174</v>
      </c>
      <c r="CJ232" s="1012">
        <f t="shared" si="1187"/>
        <v>-32.372002590001102</v>
      </c>
      <c r="CK232" s="1012">
        <f t="shared" si="1187"/>
        <v>6.750549380000848</v>
      </c>
      <c r="CL232" s="1012">
        <f t="shared" si="1187"/>
        <v>10.616482999999789</v>
      </c>
      <c r="CM232" s="1012">
        <f t="shared" si="1187"/>
        <v>-292.63315292000061</v>
      </c>
      <c r="CN232" s="1012">
        <f t="shared" si="1187"/>
        <v>4.7403078600009394</v>
      </c>
      <c r="CO232" s="1012">
        <f t="shared" si="1187"/>
        <v>-72.472540720000325</v>
      </c>
      <c r="CP232" s="1012">
        <f t="shared" si="1187"/>
        <v>23.186158139999861</v>
      </c>
      <c r="CQ232" s="1012">
        <f t="shared" si="1187"/>
        <v>5.1455665200001022</v>
      </c>
      <c r="CR232" s="1012">
        <f t="shared" si="1187"/>
        <v>-38.715343240000038</v>
      </c>
      <c r="CS232" s="1012">
        <f t="shared" si="1187"/>
        <v>-5.3140533300002062</v>
      </c>
      <c r="CT232" s="1012">
        <f t="shared" si="1187"/>
        <v>-17.65515983000023</v>
      </c>
      <c r="CU232" s="1012">
        <f t="shared" si="1187"/>
        <v>-49.096127199999501</v>
      </c>
      <c r="CV232" s="1012">
        <f t="shared" si="1187"/>
        <v>7.7697472700001526</v>
      </c>
      <c r="CW232" s="1012">
        <f t="shared" si="1187"/>
        <v>-8.049473630000648</v>
      </c>
      <c r="CX232" s="1012">
        <f t="shared" si="1187"/>
        <v>-42.923135299999558</v>
      </c>
      <c r="CY232" s="1012">
        <f t="shared" si="1187"/>
        <v>-3.9008080000712653E-2</v>
      </c>
      <c r="CZ232" s="1012">
        <f t="shared" si="1187"/>
        <v>-16.423672409999199</v>
      </c>
      <c r="DA232" s="1012">
        <f t="shared" si="1187"/>
        <v>-14.325701370000388</v>
      </c>
      <c r="DB232" s="1012">
        <f t="shared" si="1187"/>
        <v>1.8607177399999273</v>
      </c>
      <c r="DC232" s="1012">
        <f t="shared" si="1187"/>
        <v>-9.9930543999998918</v>
      </c>
      <c r="DD232" s="1012">
        <f t="shared" si="1187"/>
        <v>-6.4278580700001839</v>
      </c>
      <c r="DE232" s="1012">
        <f t="shared" si="1187"/>
        <v>6.5986080000584479E-2</v>
      </c>
      <c r="DF232" s="1012">
        <f t="shared" si="1187"/>
        <v>6.5009557499997754</v>
      </c>
      <c r="DG232" s="1012">
        <f t="shared" si="1187"/>
        <v>-107.48561006999989</v>
      </c>
      <c r="DH232" s="1012">
        <f t="shared" si="1187"/>
        <v>0.69423005999942689</v>
      </c>
      <c r="DI232" s="1012">
        <f>(DI169-DH169)-DI231/1000000</f>
        <v>-0.89894190999984858</v>
      </c>
      <c r="DJ232" s="1012">
        <f t="shared" si="1187"/>
        <v>-114.42221524999968</v>
      </c>
      <c r="DK232" s="1012">
        <f t="shared" si="1187"/>
        <v>1.7222713000001022</v>
      </c>
      <c r="DL232" s="1012">
        <f t="shared" si="1187"/>
        <v>-5.1688103999995292</v>
      </c>
      <c r="DM232" s="1012">
        <f t="shared" si="1187"/>
        <v>-122.64951950000068</v>
      </c>
      <c r="DN232" s="1012">
        <f t="shared" si="1187"/>
        <v>1.1869187499996769</v>
      </c>
      <c r="DO232" s="1012">
        <f t="shared" si="1187"/>
        <v>4.2679739499999414</v>
      </c>
      <c r="DP232" s="1012">
        <f t="shared" si="1187"/>
        <v>-100.84752673999901</v>
      </c>
      <c r="DQ232" s="873">
        <f t="shared" si="1187"/>
        <v>-369.49625597000068</v>
      </c>
      <c r="DR232" s="873">
        <f t="shared" si="1187"/>
        <v>-14.65582164999978</v>
      </c>
      <c r="DS232" s="873">
        <f t="shared" si="1187"/>
        <v>6.6194789399996807</v>
      </c>
      <c r="DT232" s="873">
        <f t="shared" si="1187"/>
        <v>-14.709224100000029</v>
      </c>
      <c r="DU232" s="873">
        <f t="shared" si="1187"/>
        <v>-2.9405529800005752</v>
      </c>
      <c r="DV232" s="873">
        <f t="shared" si="1187"/>
        <v>-45.812580739999248</v>
      </c>
      <c r="DW232" s="873">
        <f t="shared" si="1187"/>
        <v>5.7559339700001146</v>
      </c>
      <c r="DX232" s="873">
        <f t="shared" si="1187"/>
        <v>-0.47617900000022928</v>
      </c>
      <c r="DY232" s="873">
        <f t="shared" ref="DY232:EF232" si="1188">(DY169-DX169)-DY231/1000000</f>
        <v>-218.13836120999986</v>
      </c>
      <c r="DZ232" s="873">
        <f t="shared" si="1188"/>
        <v>10.645186959999592</v>
      </c>
      <c r="EA232" s="873">
        <f t="shared" si="1188"/>
        <v>0.12381830000049376</v>
      </c>
      <c r="EB232" s="873">
        <f t="shared" si="1188"/>
        <v>-209.67234239000027</v>
      </c>
      <c r="EC232" s="873">
        <f t="shared" si="1188"/>
        <v>50.337399299999561</v>
      </c>
      <c r="ED232" s="873">
        <f t="shared" si="1188"/>
        <v>12.583232070001031</v>
      </c>
      <c r="EE232" s="873">
        <f t="shared" si="1188"/>
        <v>-228.2737265300002</v>
      </c>
      <c r="EF232" s="873">
        <f t="shared" si="1188"/>
        <v>-12.566636350000408</v>
      </c>
      <c r="EH232" s="1010"/>
      <c r="EI232" s="1010"/>
      <c r="EJ232" s="1010"/>
      <c r="EK232" s="1010"/>
      <c r="EL232" s="1010"/>
      <c r="EM232" s="1010"/>
      <c r="EN232" s="1010"/>
      <c r="EO232" s="1010"/>
      <c r="EP232" s="873"/>
      <c r="EQ232" s="873"/>
      <c r="ER232" s="873"/>
      <c r="ES232" s="873"/>
      <c r="EU232" s="1010">
        <v>-3641.6666666700003</v>
      </c>
      <c r="EV232" s="1010">
        <v>0</v>
      </c>
      <c r="EW232" s="1010">
        <v>0</v>
      </c>
      <c r="EX232" s="873">
        <v>0</v>
      </c>
      <c r="EY232" s="873">
        <v>0</v>
      </c>
      <c r="EZ232" s="873">
        <v>0</v>
      </c>
      <c r="FA232" s="873">
        <v>0</v>
      </c>
      <c r="FB232" s="873">
        <v>0</v>
      </c>
      <c r="FC232" s="873">
        <v>0</v>
      </c>
      <c r="FD232" s="873">
        <v>0</v>
      </c>
      <c r="FE232" s="873">
        <v>0</v>
      </c>
      <c r="FF232" s="873">
        <v>0</v>
      </c>
      <c r="FG232" s="1010"/>
      <c r="FH232" s="1010"/>
      <c r="FI232" s="1010"/>
      <c r="FJ232" s="873"/>
      <c r="FK232" s="873"/>
      <c r="FL232" s="873"/>
      <c r="FM232" s="873"/>
      <c r="FN232" s="873"/>
      <c r="FO232" s="873"/>
      <c r="FP232" s="873"/>
      <c r="FQ232" s="873"/>
      <c r="FR232" s="873"/>
      <c r="FS232" s="1010"/>
      <c r="FT232" s="1010"/>
      <c r="FU232" s="1010"/>
      <c r="FV232" s="873"/>
      <c r="FW232" s="873"/>
      <c r="FX232" s="873"/>
      <c r="FY232" s="873"/>
      <c r="FZ232" s="873"/>
      <c r="GA232" s="873"/>
      <c r="GB232" s="873"/>
      <c r="GC232" s="873"/>
      <c r="GD232" s="873"/>
      <c r="GE232" s="873"/>
      <c r="GF232" s="873"/>
      <c r="GG232" s="873"/>
      <c r="GH232" s="873"/>
      <c r="GI232" s="873"/>
      <c r="GJ232" s="873"/>
      <c r="GK232" s="873"/>
      <c r="GL232" s="873"/>
      <c r="GM232" s="873"/>
      <c r="GN232" s="873"/>
      <c r="GO232" s="873"/>
      <c r="GP232" s="873"/>
      <c r="GQ232" s="873"/>
      <c r="GR232" s="873"/>
      <c r="GS232" s="873"/>
      <c r="GT232" s="873"/>
      <c r="GU232" s="873"/>
      <c r="GV232" s="873"/>
      <c r="GW232" s="873"/>
      <c r="GX232" s="873"/>
      <c r="GY232" s="873"/>
      <c r="GZ232" s="873"/>
      <c r="HA232" s="873"/>
      <c r="HB232" s="873"/>
      <c r="HD232" s="1013"/>
      <c r="HE232" s="1013"/>
      <c r="HF232" s="1013"/>
      <c r="HG232" s="1013"/>
      <c r="HH232" s="1013"/>
      <c r="HI232" s="1013"/>
      <c r="HJ232" s="1013"/>
      <c r="HK232" s="1013"/>
      <c r="HL232" s="1013"/>
      <c r="HM232" s="1013"/>
      <c r="HN232" s="1013"/>
      <c r="HO232" s="1013"/>
      <c r="HP232" s="1013"/>
      <c r="JA232" s="1013"/>
      <c r="JB232" s="1013"/>
      <c r="JC232" s="1013"/>
      <c r="JD232" s="1013"/>
      <c r="JE232" s="1013"/>
      <c r="JF232" s="1013"/>
      <c r="JG232" s="1013"/>
      <c r="JH232" s="1013"/>
      <c r="JI232" s="1013"/>
      <c r="JJ232" s="1013"/>
      <c r="JK232" s="1013"/>
      <c r="JL232" s="1013"/>
      <c r="JM232" s="1013"/>
      <c r="JN232" s="1013"/>
      <c r="JY232" s="1013"/>
      <c r="JZ232" s="1013"/>
      <c r="KA232" s="1013"/>
      <c r="KB232" s="1013"/>
      <c r="KC232" s="1013"/>
      <c r="KD232" s="1013"/>
      <c r="KE232" s="1013"/>
      <c r="KF232" s="1013"/>
      <c r="KH232" s="1013"/>
      <c r="KI232" s="1013"/>
      <c r="KJ232" s="1013"/>
      <c r="KK232" s="1013"/>
      <c r="KL232" s="1013"/>
      <c r="KM232" s="1013"/>
      <c r="KN232" s="1013"/>
      <c r="KO232" s="1013"/>
      <c r="LB232" s="1013"/>
      <c r="LC232" s="1013"/>
      <c r="LD232" s="1013"/>
      <c r="LE232" s="1013"/>
      <c r="LF232" s="1013"/>
      <c r="LG232" s="1013"/>
      <c r="LH232" s="1013"/>
      <c r="LI232" s="1013"/>
      <c r="LJ232" s="1013"/>
      <c r="LK232" s="1013"/>
      <c r="LL232" s="1013"/>
      <c r="LM232" s="1013"/>
      <c r="LN232" s="1013"/>
      <c r="LO232" s="1013"/>
      <c r="LR232" s="1013"/>
      <c r="LS232" s="1013"/>
      <c r="LT232" s="1013"/>
      <c r="LU232" s="1013"/>
      <c r="LV232" s="1013"/>
      <c r="LW232" s="1013"/>
      <c r="LX232" s="1013"/>
      <c r="LZ232" s="1013"/>
      <c r="MA232" s="1013"/>
      <c r="MB232" s="1013"/>
      <c r="MC232" s="1013"/>
      <c r="MD232" s="1013"/>
      <c r="ME232" s="1013"/>
      <c r="MF232" s="1013"/>
      <c r="MH232" s="1013"/>
      <c r="MI232" s="1013"/>
      <c r="MJ232" s="1013"/>
      <c r="MK232" s="1013"/>
      <c r="ML232" s="1013"/>
      <c r="MM232" s="1013"/>
      <c r="MN232" s="1013"/>
      <c r="MO232" s="1013"/>
      <c r="MP232" s="1013"/>
    </row>
    <row r="233" spans="1:354">
      <c r="A233" s="867"/>
      <c r="C233" s="1010" t="s">
        <v>185</v>
      </c>
      <c r="D233" s="662"/>
      <c r="E233" s="1011"/>
      <c r="F233" s="1011"/>
      <c r="G233" s="1011"/>
      <c r="H233" s="1011"/>
      <c r="I233" s="1011"/>
      <c r="J233" s="1011"/>
      <c r="K233" s="1011"/>
      <c r="L233" s="1011"/>
      <c r="M233" s="1011"/>
      <c r="N233" s="1011"/>
      <c r="O233" s="1011"/>
      <c r="P233" s="1011"/>
      <c r="Q233" s="1011"/>
      <c r="R233" s="1011"/>
      <c r="S233" s="1011"/>
      <c r="T233" s="1011"/>
      <c r="U233" s="1011"/>
      <c r="V233" s="1011"/>
      <c r="W233" s="1011"/>
      <c r="X233" s="1011"/>
      <c r="Y233" s="1011"/>
      <c r="Z233" s="1011"/>
      <c r="AA233" s="1011"/>
      <c r="AB233" s="1011"/>
      <c r="AC233" s="1011"/>
      <c r="AD233" s="1011"/>
      <c r="AE233" s="1011"/>
      <c r="AF233" s="1011"/>
      <c r="AG233" s="1011"/>
      <c r="AH233" s="1011"/>
      <c r="AI233" s="1011"/>
      <c r="AJ233" s="1011"/>
      <c r="AK233" s="1011"/>
      <c r="AL233" s="1011"/>
      <c r="AM233" s="1011"/>
      <c r="AN233" s="1011"/>
      <c r="AO233" s="873">
        <v>-54.646502529999999</v>
      </c>
      <c r="AP233" s="873">
        <v>-29.42645332</v>
      </c>
      <c r="AQ233" s="873">
        <v>-84.578525619999994</v>
      </c>
      <c r="AR233" s="873">
        <v>-194.20135857</v>
      </c>
      <c r="AS233" s="873">
        <v>-53.637945299999998</v>
      </c>
      <c r="AT233" s="873">
        <v>-99.813044910000002</v>
      </c>
      <c r="AU233" s="873">
        <v>-38.747987619999989</v>
      </c>
      <c r="AV233" s="873">
        <v>-70.569078109999992</v>
      </c>
      <c r="AW233" s="873">
        <v>-70.687003060000009</v>
      </c>
      <c r="AX233" s="873">
        <v>-117.33829647000002</v>
      </c>
      <c r="AY233" s="873">
        <v>-79.309346939999998</v>
      </c>
      <c r="AZ233" s="873">
        <v>-187.85612380000001</v>
      </c>
      <c r="BA233" s="873">
        <v>-77.76983851</v>
      </c>
      <c r="BB233" s="873">
        <v>-75.087830480000008</v>
      </c>
      <c r="BC233" s="873">
        <v>-194.91727122</v>
      </c>
      <c r="BD233" s="873">
        <v>-128.62674938000001</v>
      </c>
      <c r="BE233" s="873">
        <v>-90.988396449999996</v>
      </c>
      <c r="BF233" s="873">
        <v>-180.70420322999999</v>
      </c>
      <c r="BG233" s="873">
        <v>-79.774014199999996</v>
      </c>
      <c r="BH233" s="873">
        <v>-221.66827915000002</v>
      </c>
      <c r="BI233" s="873">
        <v>226.33111047</v>
      </c>
      <c r="BJ233" s="873">
        <v>-409.67137718999999</v>
      </c>
      <c r="BK233" s="873">
        <v>-92.379952629999991</v>
      </c>
      <c r="BL233" s="873">
        <v>-163.88308124</v>
      </c>
      <c r="BM233" s="873">
        <f t="shared" ref="BM233:DX233" si="1189">+BM93</f>
        <v>-96.083739370000004</v>
      </c>
      <c r="BN233" s="873">
        <f t="shared" si="1189"/>
        <v>-88.69836952</v>
      </c>
      <c r="BO233" s="873">
        <f t="shared" si="1189"/>
        <v>-88.208781779999995</v>
      </c>
      <c r="BP233" s="873">
        <f t="shared" si="1189"/>
        <v>-140.78648622</v>
      </c>
      <c r="BQ233" s="873">
        <f t="shared" si="1189"/>
        <v>-88.976365290000004</v>
      </c>
      <c r="BR233" s="873">
        <f t="shared" si="1189"/>
        <v>-69.132220619999998</v>
      </c>
      <c r="BS233" s="873">
        <f t="shared" si="1189"/>
        <v>-84.372775430000004</v>
      </c>
      <c r="BT233" s="873">
        <f t="shared" si="1189"/>
        <v>-92.412210510000008</v>
      </c>
      <c r="BU233" s="873">
        <f t="shared" si="1189"/>
        <v>-84.104169200000001</v>
      </c>
      <c r="BV233" s="873">
        <f t="shared" si="1189"/>
        <v>-83.981444709999991</v>
      </c>
      <c r="BW233" s="873">
        <f t="shared" si="1189"/>
        <v>-80.204048830000005</v>
      </c>
      <c r="BX233" s="873">
        <f t="shared" si="1189"/>
        <v>-74.637089619999983</v>
      </c>
      <c r="BY233" s="1012">
        <f t="shared" si="1189"/>
        <v>-197.95048937000001</v>
      </c>
      <c r="BZ233" s="1012">
        <f t="shared" si="1189"/>
        <v>-105.50010753000001</v>
      </c>
      <c r="CA233" s="1012">
        <f t="shared" si="1189"/>
        <v>-157.26938597</v>
      </c>
      <c r="CB233" s="1012">
        <f t="shared" si="1189"/>
        <v>-115.40275018999999</v>
      </c>
      <c r="CC233" s="1012">
        <f t="shared" si="1189"/>
        <v>-61.105191349999998</v>
      </c>
      <c r="CD233" s="1012">
        <f t="shared" si="1189"/>
        <v>-69.278432359999996</v>
      </c>
      <c r="CE233" s="1012">
        <f t="shared" si="1189"/>
        <v>-72.027169720000003</v>
      </c>
      <c r="CF233" s="1012">
        <f t="shared" si="1189"/>
        <v>-80.712745080000005</v>
      </c>
      <c r="CG233" s="1012">
        <f t="shared" si="1189"/>
        <v>-71.332257089999999</v>
      </c>
      <c r="CH233" s="1012">
        <f t="shared" si="1189"/>
        <v>-63.32037605</v>
      </c>
      <c r="CI233" s="1012">
        <f t="shared" si="1189"/>
        <v>-78.686964069999988</v>
      </c>
      <c r="CJ233" s="1012">
        <f t="shared" si="1189"/>
        <v>-115.27863357</v>
      </c>
      <c r="CK233" s="1012">
        <f t="shared" si="1189"/>
        <v>-68.15021059</v>
      </c>
      <c r="CL233" s="1012">
        <f t="shared" si="1189"/>
        <v>-154.27310643000001</v>
      </c>
      <c r="CM233" s="1012">
        <f t="shared" si="1189"/>
        <v>-92.751558619999983</v>
      </c>
      <c r="CN233" s="1012">
        <f t="shared" si="1189"/>
        <v>-97.435331189999999</v>
      </c>
      <c r="CO233" s="1012">
        <f t="shared" si="1189"/>
        <v>-156.60680461999999</v>
      </c>
      <c r="CP233" s="1012">
        <f t="shared" si="1189"/>
        <v>-196.14801193</v>
      </c>
      <c r="CQ233" s="1012">
        <f t="shared" si="1189"/>
        <v>-151.87980372000001</v>
      </c>
      <c r="CR233" s="1012">
        <f t="shared" si="1189"/>
        <v>-148.9439725</v>
      </c>
      <c r="CS233" s="1012">
        <f t="shared" si="1189"/>
        <v>-131.04361051000001</v>
      </c>
      <c r="CT233" s="1012">
        <f t="shared" si="1189"/>
        <v>-119.50252118</v>
      </c>
      <c r="CU233" s="1012">
        <f t="shared" si="1189"/>
        <v>-106.79023635999999</v>
      </c>
      <c r="CV233" s="1012">
        <f t="shared" si="1189"/>
        <v>-253.00396232</v>
      </c>
      <c r="CW233" s="1012">
        <f t="shared" si="1189"/>
        <v>-104.67913781</v>
      </c>
      <c r="CX233" s="1012">
        <f t="shared" si="1189"/>
        <v>-69.16278964</v>
      </c>
      <c r="CY233" s="1012">
        <f t="shared" si="1189"/>
        <v>-88.438339330000005</v>
      </c>
      <c r="CZ233" s="1012">
        <f t="shared" si="1189"/>
        <v>-310.39595378000001</v>
      </c>
      <c r="DA233" s="1012">
        <f t="shared" si="1189"/>
        <v>-334.95218147000003</v>
      </c>
      <c r="DB233" s="1012">
        <f t="shared" si="1189"/>
        <v>-159.84966846</v>
      </c>
      <c r="DC233" s="1012">
        <f t="shared" si="1189"/>
        <v>-159.56657033000002</v>
      </c>
      <c r="DD233" s="1012">
        <f t="shared" si="1189"/>
        <v>-62.892307430000002</v>
      </c>
      <c r="DE233" s="1012">
        <f t="shared" si="1189"/>
        <v>-71.131158120000009</v>
      </c>
      <c r="DF233" s="1012">
        <f t="shared" si="1189"/>
        <v>-95.070467129999997</v>
      </c>
      <c r="DG233" s="1012">
        <f t="shared" si="1189"/>
        <v>-176.74216694</v>
      </c>
      <c r="DH233" s="1012">
        <f t="shared" si="1189"/>
        <v>-154.45537987999998</v>
      </c>
      <c r="DI233" s="1012">
        <f t="shared" si="1189"/>
        <v>-74.937463779999987</v>
      </c>
      <c r="DJ233" s="1012">
        <f t="shared" si="1189"/>
        <v>-107.77240544</v>
      </c>
      <c r="DK233" s="1012">
        <f t="shared" si="1189"/>
        <v>-94.998017529999998</v>
      </c>
      <c r="DL233" s="1012">
        <f t="shared" si="1189"/>
        <v>-116.58550170999999</v>
      </c>
      <c r="DM233" s="1012">
        <f t="shared" si="1189"/>
        <v>-109.21820023000001</v>
      </c>
      <c r="DN233" s="1012">
        <f t="shared" si="1189"/>
        <v>-112.47610331999999</v>
      </c>
      <c r="DO233" s="1012">
        <f t="shared" si="1189"/>
        <v>-112.85690434999999</v>
      </c>
      <c r="DP233" s="1012">
        <f t="shared" si="1189"/>
        <v>-137.70645507</v>
      </c>
      <c r="DQ233" s="873">
        <f t="shared" si="1189"/>
        <v>-97.467968470000002</v>
      </c>
      <c r="DR233" s="873">
        <f t="shared" si="1189"/>
        <v>-117.87048595</v>
      </c>
      <c r="DS233" s="873">
        <f t="shared" si="1189"/>
        <v>-57.98005019</v>
      </c>
      <c r="DT233" s="873">
        <f t="shared" si="1189"/>
        <v>-131.25658490000001</v>
      </c>
      <c r="DU233" s="873">
        <f t="shared" si="1189"/>
        <v>-95.434468600000002</v>
      </c>
      <c r="DV233" s="873">
        <f t="shared" si="1189"/>
        <v>-155.66734478000001</v>
      </c>
      <c r="DW233" s="873">
        <f t="shared" si="1189"/>
        <v>-259.36321401999999</v>
      </c>
      <c r="DX233" s="873">
        <f t="shared" si="1189"/>
        <v>-113.76742307999999</v>
      </c>
      <c r="DY233" s="873">
        <f t="shared" ref="DY233:EF233" si="1190">+DY93</f>
        <v>-133.20587705</v>
      </c>
      <c r="DZ233" s="873">
        <f t="shared" si="1190"/>
        <v>-98.375498530000002</v>
      </c>
      <c r="EA233" s="873">
        <f t="shared" si="1190"/>
        <v>-179.56449427000001</v>
      </c>
      <c r="EB233" s="873">
        <f t="shared" si="1190"/>
        <v>-204.08930771000001</v>
      </c>
      <c r="EC233" s="873">
        <f t="shared" si="1190"/>
        <v>-157.96707779000002</v>
      </c>
      <c r="ED233" s="873">
        <f t="shared" si="1190"/>
        <v>-223.15738055</v>
      </c>
      <c r="EE233" s="873">
        <f t="shared" si="1190"/>
        <v>-210.59037812999998</v>
      </c>
      <c r="EF233" s="873">
        <f t="shared" si="1190"/>
        <v>-221.50043105</v>
      </c>
      <c r="EH233" s="1010"/>
      <c r="EI233" s="1010"/>
      <c r="EJ233" s="1010"/>
      <c r="EK233" s="1010"/>
      <c r="EL233" s="1010"/>
      <c r="EM233" s="1010"/>
      <c r="EN233" s="1010"/>
      <c r="EO233" s="1010"/>
      <c r="EP233" s="873"/>
      <c r="EQ233" s="873"/>
      <c r="ER233" s="873"/>
      <c r="ES233" s="873"/>
      <c r="EU233" s="1010">
        <v>-44.5</v>
      </c>
      <c r="EV233" s="1010">
        <v>-44.5</v>
      </c>
      <c r="EW233" s="1010">
        <v>-66.229091999999994</v>
      </c>
      <c r="EX233" s="873">
        <v>-65.645758666666666</v>
      </c>
      <c r="EY233" s="873">
        <v>-65.062425333333323</v>
      </c>
      <c r="EZ233" s="873">
        <v>-64.479091999999994</v>
      </c>
      <c r="FA233" s="873">
        <v>-63.895758666666666</v>
      </c>
      <c r="FB233" s="873">
        <v>-63.31242533333333</v>
      </c>
      <c r="FC233" s="873">
        <v>-62.729092000000001</v>
      </c>
      <c r="FD233" s="873">
        <v>-62.145758666666659</v>
      </c>
      <c r="FE233" s="873">
        <v>-61.56242533333333</v>
      </c>
      <c r="FF233" s="873">
        <v>-60.979091999999987</v>
      </c>
      <c r="FG233" s="1010"/>
      <c r="FH233" s="1010"/>
      <c r="FI233" s="1010"/>
      <c r="FJ233" s="873"/>
      <c r="FK233" s="873"/>
      <c r="FL233" s="873"/>
      <c r="FM233" s="873"/>
      <c r="FN233" s="873"/>
      <c r="FO233" s="873"/>
      <c r="FP233" s="873"/>
      <c r="FQ233" s="873"/>
      <c r="FR233" s="873"/>
      <c r="FS233" s="1010"/>
      <c r="FT233" s="1010"/>
      <c r="FU233" s="1010"/>
      <c r="FV233" s="873"/>
      <c r="FW233" s="873"/>
      <c r="FX233" s="873"/>
      <c r="FY233" s="873"/>
      <c r="FZ233" s="873"/>
      <c r="GA233" s="873"/>
      <c r="GB233" s="873"/>
      <c r="GC233" s="873"/>
      <c r="GD233" s="873"/>
      <c r="GE233" s="873"/>
      <c r="GF233" s="873"/>
      <c r="GG233" s="873"/>
      <c r="GH233" s="873"/>
      <c r="GI233" s="873"/>
      <c r="GJ233" s="873"/>
      <c r="GK233" s="873"/>
      <c r="GL233" s="873"/>
      <c r="GM233" s="873"/>
      <c r="GN233" s="873"/>
      <c r="GO233" s="873"/>
      <c r="GP233" s="873"/>
      <c r="GQ233" s="873"/>
      <c r="GR233" s="873"/>
      <c r="GS233" s="873"/>
      <c r="GT233" s="873"/>
      <c r="GU233" s="873"/>
      <c r="GV233" s="873"/>
      <c r="GW233" s="873"/>
      <c r="GX233" s="873"/>
      <c r="GY233" s="873"/>
      <c r="GZ233" s="873"/>
      <c r="HA233" s="873"/>
      <c r="HB233" s="873"/>
      <c r="HD233" s="1013"/>
      <c r="HE233" s="1013"/>
      <c r="HF233" s="1013"/>
      <c r="HG233" s="1013"/>
      <c r="HH233" s="1013"/>
      <c r="HI233" s="1013"/>
      <c r="HJ233" s="1013"/>
      <c r="HK233" s="1013"/>
      <c r="HL233" s="1013"/>
      <c r="HM233" s="1013"/>
      <c r="HN233" s="1013"/>
      <c r="HO233" s="1013"/>
      <c r="HP233" s="1013"/>
      <c r="JA233" s="1013"/>
      <c r="JB233" s="1013"/>
      <c r="JC233" s="1013"/>
      <c r="JD233" s="1013"/>
      <c r="JE233" s="1013"/>
      <c r="JF233" s="1013"/>
      <c r="JG233" s="1013"/>
      <c r="JH233" s="1013"/>
      <c r="JI233" s="1013"/>
      <c r="JJ233" s="1013"/>
      <c r="JK233" s="1013"/>
      <c r="JL233" s="1013"/>
      <c r="JM233" s="1013"/>
      <c r="JN233" s="1013"/>
      <c r="JY233" s="1013"/>
      <c r="JZ233" s="1013"/>
      <c r="KA233" s="1013"/>
      <c r="KB233" s="1013"/>
      <c r="KC233" s="1013"/>
      <c r="KD233" s="1013"/>
      <c r="KE233" s="1013"/>
      <c r="KF233" s="1013"/>
      <c r="KH233" s="1013"/>
      <c r="KI233" s="1013"/>
      <c r="KJ233" s="1013"/>
      <c r="KK233" s="1013"/>
      <c r="KL233" s="1013"/>
      <c r="KM233" s="1013"/>
      <c r="KN233" s="1013"/>
      <c r="KO233" s="1013"/>
      <c r="LB233" s="1013"/>
      <c r="LC233" s="1013"/>
      <c r="LD233" s="1013"/>
      <c r="LE233" s="1013"/>
      <c r="LF233" s="1013"/>
      <c r="LG233" s="1013"/>
      <c r="LH233" s="1013"/>
      <c r="LI233" s="1013"/>
      <c r="LJ233" s="1013"/>
      <c r="LK233" s="1013"/>
      <c r="LL233" s="1013"/>
      <c r="LM233" s="1013"/>
      <c r="LN233" s="1013"/>
      <c r="LO233" s="1013"/>
      <c r="LR233" s="1013"/>
      <c r="LS233" s="1013"/>
      <c r="LT233" s="1013"/>
      <c r="LU233" s="1013"/>
      <c r="LV233" s="1013"/>
      <c r="LW233" s="1013"/>
      <c r="LX233" s="1013"/>
      <c r="LZ233" s="1013"/>
      <c r="MA233" s="1013"/>
      <c r="MB233" s="1013"/>
      <c r="MC233" s="1013"/>
      <c r="MD233" s="1013"/>
      <c r="ME233" s="1013"/>
      <c r="MF233" s="1013"/>
      <c r="MH233" s="1013"/>
      <c r="MI233" s="1013"/>
      <c r="MJ233" s="1013"/>
      <c r="MK233" s="1013"/>
      <c r="ML233" s="1013"/>
      <c r="MM233" s="1013"/>
      <c r="MN233" s="1013"/>
      <c r="MO233" s="1013"/>
      <c r="MP233" s="1013"/>
    </row>
    <row r="234" spans="1:354">
      <c r="A234" s="867"/>
      <c r="C234" s="1010" t="s">
        <v>773</v>
      </c>
      <c r="D234" s="662"/>
      <c r="E234" s="1011"/>
      <c r="F234" s="1011"/>
      <c r="G234" s="1011"/>
      <c r="H234" s="1011"/>
      <c r="I234" s="1011"/>
      <c r="J234" s="1011"/>
      <c r="K234" s="1011"/>
      <c r="L234" s="1011"/>
      <c r="M234" s="1011"/>
      <c r="N234" s="1011"/>
      <c r="O234" s="1011"/>
      <c r="P234" s="1011"/>
      <c r="Q234" s="1011"/>
      <c r="R234" s="1011"/>
      <c r="S234" s="1011"/>
      <c r="T234" s="1011"/>
      <c r="U234" s="1011"/>
      <c r="V234" s="1011"/>
      <c r="W234" s="1011"/>
      <c r="X234" s="1011"/>
      <c r="Y234" s="1011"/>
      <c r="Z234" s="1011"/>
      <c r="AA234" s="1011"/>
      <c r="AB234" s="1011"/>
      <c r="AC234" s="1011"/>
      <c r="AD234" s="1011"/>
      <c r="AE234" s="1011"/>
      <c r="AF234" s="1011"/>
      <c r="AG234" s="1011"/>
      <c r="AH234" s="1011"/>
      <c r="AI234" s="1011"/>
      <c r="AJ234" s="1011"/>
      <c r="AK234" s="1011"/>
      <c r="AL234" s="1011"/>
      <c r="AM234" s="1011"/>
      <c r="AN234" s="1011"/>
      <c r="AO234" s="873">
        <v>59.27125448000001</v>
      </c>
      <c r="AP234" s="873">
        <v>31.366812899999985</v>
      </c>
      <c r="AQ234" s="873">
        <v>98.816190350000028</v>
      </c>
      <c r="AR234" s="873">
        <v>-162.22166316999997</v>
      </c>
      <c r="AS234" s="873">
        <v>5.3181967100000094</v>
      </c>
      <c r="AT234" s="873">
        <v>1.2288627500002747</v>
      </c>
      <c r="AU234" s="873">
        <v>213.08473437000004</v>
      </c>
      <c r="AV234" s="873">
        <v>44.768439820000005</v>
      </c>
      <c r="AW234" s="873">
        <v>-144.11304145000003</v>
      </c>
      <c r="AX234" s="873">
        <v>0.43229732999999726</v>
      </c>
      <c r="AY234" s="873">
        <v>46.475179060000002</v>
      </c>
      <c r="AZ234" s="873">
        <v>615.55879188000131</v>
      </c>
      <c r="BA234" s="873">
        <v>81.442237250000005</v>
      </c>
      <c r="BB234" s="873">
        <v>32.157885809999996</v>
      </c>
      <c r="BC234" s="873">
        <v>13.361851979999983</v>
      </c>
      <c r="BD234" s="873">
        <v>99.146151230000015</v>
      </c>
      <c r="BE234" s="873">
        <v>58.859352490000063</v>
      </c>
      <c r="BF234" s="873">
        <v>19.90079154999998</v>
      </c>
      <c r="BG234" s="873">
        <v>-52.284464400000005</v>
      </c>
      <c r="BH234" s="873">
        <v>-30.424610559999991</v>
      </c>
      <c r="BI234" s="873">
        <v>28.080920690000028</v>
      </c>
      <c r="BJ234" s="873">
        <v>444.44636415999997</v>
      </c>
      <c r="BK234" s="873">
        <v>-123.92017213999998</v>
      </c>
      <c r="BL234" s="873">
        <v>-11.551349830000021</v>
      </c>
      <c r="BM234" s="873">
        <f t="shared" ref="BM234:CV234" si="1191">+BM77+BM92-BM93+BM70</f>
        <v>12.261156710000002</v>
      </c>
      <c r="BN234" s="873">
        <f t="shared" si="1191"/>
        <v>15.35847984000001</v>
      </c>
      <c r="BO234" s="873">
        <f t="shared" si="1191"/>
        <v>-31.91027879</v>
      </c>
      <c r="BP234" s="873">
        <f t="shared" si="1191"/>
        <v>4.6123185199999952</v>
      </c>
      <c r="BQ234" s="873">
        <f t="shared" si="1191"/>
        <v>36.653746229999996</v>
      </c>
      <c r="BR234" s="873">
        <f t="shared" si="1191"/>
        <v>5.3519830599999949</v>
      </c>
      <c r="BS234" s="873">
        <f t="shared" si="1191"/>
        <v>6.3007534800000045</v>
      </c>
      <c r="BT234" s="873">
        <f t="shared" si="1191"/>
        <v>-48.743369600000008</v>
      </c>
      <c r="BU234" s="873">
        <f t="shared" si="1191"/>
        <v>-50.105277330000014</v>
      </c>
      <c r="BV234" s="873">
        <f t="shared" si="1191"/>
        <v>-0.90769700999999614</v>
      </c>
      <c r="BW234" s="873">
        <f t="shared" si="1191"/>
        <v>-95.832591370000003</v>
      </c>
      <c r="BX234" s="873">
        <f t="shared" si="1191"/>
        <v>-29.298142779999978</v>
      </c>
      <c r="BY234" s="1012">
        <f t="shared" si="1191"/>
        <v>5.6716588800000238</v>
      </c>
      <c r="BZ234" s="1012">
        <f t="shared" si="1191"/>
        <v>53.387439739999998</v>
      </c>
      <c r="CA234" s="1012">
        <f t="shared" si="1191"/>
        <v>28.56485940000001</v>
      </c>
      <c r="CB234" s="1012">
        <f t="shared" si="1191"/>
        <v>67.623740080000005</v>
      </c>
      <c r="CC234" s="1012">
        <f t="shared" si="1191"/>
        <v>24.45661711999999</v>
      </c>
      <c r="CD234" s="1012">
        <f t="shared" si="1191"/>
        <v>42.329454649999995</v>
      </c>
      <c r="CE234" s="1012">
        <f t="shared" si="1191"/>
        <v>11.433160440000002</v>
      </c>
      <c r="CF234" s="1012">
        <f t="shared" si="1191"/>
        <v>37.268116620000001</v>
      </c>
      <c r="CG234" s="1012">
        <f t="shared" si="1191"/>
        <v>19.981074479999993</v>
      </c>
      <c r="CH234" s="1012">
        <f t="shared" si="1191"/>
        <v>59.028952919999995</v>
      </c>
      <c r="CI234" s="1012">
        <f t="shared" si="1191"/>
        <v>54.251119079999995</v>
      </c>
      <c r="CJ234" s="1012">
        <f t="shared" si="1191"/>
        <v>175.16484358999998</v>
      </c>
      <c r="CK234" s="1012">
        <f t="shared" si="1191"/>
        <v>0.79176855999999418</v>
      </c>
      <c r="CL234" s="1012">
        <f t="shared" si="1191"/>
        <v>5.4450335500000051</v>
      </c>
      <c r="CM234" s="1012">
        <f t="shared" si="1191"/>
        <v>50.802844750000006</v>
      </c>
      <c r="CN234" s="1012">
        <f t="shared" si="1191"/>
        <v>52.186531619999997</v>
      </c>
      <c r="CO234" s="1012">
        <f t="shared" si="1191"/>
        <v>142.45485171999999</v>
      </c>
      <c r="CP234" s="1012">
        <f t="shared" si="1191"/>
        <v>47.477216249999998</v>
      </c>
      <c r="CQ234" s="1012">
        <f t="shared" si="1191"/>
        <v>39.299559409999986</v>
      </c>
      <c r="CR234" s="1012">
        <f t="shared" si="1191"/>
        <v>105.55981032999998</v>
      </c>
      <c r="CS234" s="1012">
        <f t="shared" si="1191"/>
        <v>-32.774590979999999</v>
      </c>
      <c r="CT234" s="1012">
        <f t="shared" si="1191"/>
        <v>50.722999259999995</v>
      </c>
      <c r="CU234" s="1012">
        <f t="shared" si="1191"/>
        <v>2.2910128000000043</v>
      </c>
      <c r="CV234" s="1012">
        <f t="shared" si="1191"/>
        <v>-14.501285599999989</v>
      </c>
      <c r="CW234" s="1012">
        <f t="shared" ref="CW234:EF234" si="1192">+CW77+CW92-CW93+CW70+CW72</f>
        <v>19.615272459999986</v>
      </c>
      <c r="CX234" s="1012">
        <f t="shared" si="1192"/>
        <v>12.381132520000001</v>
      </c>
      <c r="CY234" s="1012">
        <f t="shared" si="1192"/>
        <v>376.66826180999999</v>
      </c>
      <c r="CZ234" s="1012">
        <f t="shared" si="1192"/>
        <v>104.62842271999995</v>
      </c>
      <c r="DA234" s="1012">
        <f t="shared" si="1192"/>
        <v>-131.47220031000001</v>
      </c>
      <c r="DB234" s="1012">
        <f t="shared" si="1192"/>
        <v>85.261245450000004</v>
      </c>
      <c r="DC234" s="1012">
        <f t="shared" si="1192"/>
        <v>-30.881589830000006</v>
      </c>
      <c r="DD234" s="1012">
        <f t="shared" si="1192"/>
        <v>37.111138559999993</v>
      </c>
      <c r="DE234" s="1012">
        <f t="shared" si="1192"/>
        <v>74.490321929999993</v>
      </c>
      <c r="DF234" s="1012">
        <f t="shared" si="1192"/>
        <v>36.926753579999996</v>
      </c>
      <c r="DG234" s="1012">
        <f t="shared" si="1192"/>
        <v>7.3121575899999982</v>
      </c>
      <c r="DH234" s="1012">
        <f t="shared" si="1192"/>
        <v>137.68703467999998</v>
      </c>
      <c r="DI234" s="1012">
        <f t="shared" si="1192"/>
        <v>83.086451459999992</v>
      </c>
      <c r="DJ234" s="1012">
        <f t="shared" si="1192"/>
        <v>118.79425326</v>
      </c>
      <c r="DK234" s="1012">
        <f t="shared" si="1192"/>
        <v>67.39454877</v>
      </c>
      <c r="DL234" s="1012">
        <f t="shared" si="1192"/>
        <v>87.861514979999995</v>
      </c>
      <c r="DM234" s="1012">
        <f t="shared" si="1192"/>
        <v>127.04747987</v>
      </c>
      <c r="DN234" s="1012">
        <f t="shared" si="1192"/>
        <v>55.452394179999999</v>
      </c>
      <c r="DO234" s="1012">
        <f t="shared" si="1192"/>
        <v>110.89549699000001</v>
      </c>
      <c r="DP234" s="1012">
        <f t="shared" si="1192"/>
        <v>67.417469830000016</v>
      </c>
      <c r="DQ234" s="873">
        <f t="shared" si="1192"/>
        <v>21.906865029999992</v>
      </c>
      <c r="DR234" s="873">
        <f t="shared" si="1192"/>
        <v>14.157255140000004</v>
      </c>
      <c r="DS234" s="873">
        <f t="shared" si="1192"/>
        <v>127.57961374999999</v>
      </c>
      <c r="DT234" s="873">
        <f t="shared" si="1192"/>
        <v>-305.56331678000004</v>
      </c>
      <c r="DU234" s="873">
        <f t="shared" si="1192"/>
        <v>53.186806219999994</v>
      </c>
      <c r="DV234" s="873">
        <f t="shared" si="1192"/>
        <v>18.353259999999977</v>
      </c>
      <c r="DW234" s="873">
        <f t="shared" si="1192"/>
        <v>40.953724620000003</v>
      </c>
      <c r="DX234" s="873">
        <f t="shared" si="1192"/>
        <v>103.69854909</v>
      </c>
      <c r="DY234" s="873">
        <f t="shared" si="1192"/>
        <v>20.582531810000006</v>
      </c>
      <c r="DZ234" s="873">
        <f t="shared" si="1192"/>
        <v>66.038989209999997</v>
      </c>
      <c r="EA234" s="873">
        <f t="shared" si="1192"/>
        <v>112.33723125</v>
      </c>
      <c r="EB234" s="873">
        <f t="shared" si="1192"/>
        <v>143.68349831</v>
      </c>
      <c r="EC234" s="873">
        <f t="shared" si="1192"/>
        <v>163.57720816</v>
      </c>
      <c r="ED234" s="873">
        <f t="shared" si="1192"/>
        <v>270.92730563999999</v>
      </c>
      <c r="EE234" s="873">
        <f t="shared" si="1192"/>
        <v>-171.66641991</v>
      </c>
      <c r="EF234" s="873">
        <f t="shared" si="1192"/>
        <v>-36.013997089999947</v>
      </c>
      <c r="EH234" s="1010"/>
      <c r="EI234" s="1010"/>
      <c r="EJ234" s="1010"/>
      <c r="EK234" s="1010"/>
      <c r="EL234" s="1010"/>
      <c r="EM234" s="1010"/>
      <c r="EN234" s="1010"/>
      <c r="EO234" s="1010"/>
      <c r="EP234" s="873"/>
      <c r="EQ234" s="873"/>
      <c r="ER234" s="873"/>
      <c r="ES234" s="873"/>
      <c r="EU234" s="1010">
        <v>24.799999999999997</v>
      </c>
      <c r="EV234" s="1010">
        <v>122.8</v>
      </c>
      <c r="EW234" s="1010">
        <v>122.8</v>
      </c>
      <c r="EX234" s="873">
        <v>22.799999999999997</v>
      </c>
      <c r="EY234" s="873">
        <v>24.799999999999997</v>
      </c>
      <c r="EZ234" s="873">
        <v>24.799999999999997</v>
      </c>
      <c r="FA234" s="873">
        <v>24.799999999999997</v>
      </c>
      <c r="FB234" s="873">
        <v>24.800000000000004</v>
      </c>
      <c r="FC234" s="873">
        <v>24.800000000000004</v>
      </c>
      <c r="FD234" s="873">
        <v>24.800000000000004</v>
      </c>
      <c r="FE234" s="873">
        <v>24.800000000000004</v>
      </c>
      <c r="FF234" s="873">
        <v>24.800000000000004</v>
      </c>
      <c r="FG234" s="1010"/>
      <c r="FH234" s="1010"/>
      <c r="FI234" s="1010"/>
      <c r="FJ234" s="873"/>
      <c r="FK234" s="873"/>
      <c r="FL234" s="873"/>
      <c r="FM234" s="873"/>
      <c r="FN234" s="873"/>
      <c r="FO234" s="873"/>
      <c r="FP234" s="873"/>
      <c r="FQ234" s="873"/>
      <c r="FR234" s="873"/>
      <c r="FS234" s="1010"/>
      <c r="FT234" s="1010"/>
      <c r="FU234" s="1010"/>
      <c r="FV234" s="873"/>
      <c r="FW234" s="873"/>
      <c r="FX234" s="873"/>
      <c r="FY234" s="873"/>
      <c r="FZ234" s="873"/>
      <c r="GA234" s="873"/>
      <c r="GB234" s="873"/>
      <c r="GC234" s="873"/>
      <c r="GD234" s="873"/>
      <c r="GE234" s="873"/>
      <c r="GF234" s="873"/>
      <c r="GG234" s="873"/>
      <c r="GH234" s="873"/>
      <c r="GI234" s="873"/>
      <c r="GJ234" s="873"/>
      <c r="GK234" s="873"/>
      <c r="GL234" s="873"/>
      <c r="GM234" s="873"/>
      <c r="GN234" s="873"/>
      <c r="GO234" s="873"/>
      <c r="GP234" s="873"/>
      <c r="GQ234" s="873"/>
      <c r="GR234" s="873"/>
      <c r="GS234" s="873"/>
      <c r="GT234" s="873"/>
      <c r="GU234" s="873"/>
      <c r="GV234" s="873"/>
      <c r="GW234" s="873"/>
      <c r="GX234" s="873"/>
      <c r="GY234" s="873"/>
      <c r="GZ234" s="873"/>
      <c r="HA234" s="873"/>
      <c r="HB234" s="873"/>
      <c r="HD234" s="1013"/>
      <c r="HE234" s="1013"/>
      <c r="HF234" s="1013"/>
      <c r="HG234" s="1013"/>
      <c r="HH234" s="1013"/>
      <c r="HI234" s="1013"/>
      <c r="HJ234" s="1013"/>
      <c r="HK234" s="1013"/>
      <c r="HL234" s="1013"/>
      <c r="HM234" s="1013"/>
      <c r="HN234" s="1013"/>
      <c r="HO234" s="1013"/>
      <c r="HP234" s="1013"/>
      <c r="JA234" s="1013"/>
      <c r="JB234" s="1013"/>
      <c r="JC234" s="1013"/>
      <c r="JD234" s="1013"/>
      <c r="JE234" s="1013"/>
      <c r="JF234" s="1013"/>
      <c r="JG234" s="1013"/>
      <c r="JH234" s="1013"/>
      <c r="JI234" s="1013"/>
      <c r="JJ234" s="1013"/>
      <c r="JK234" s="1013"/>
      <c r="JL234" s="1013"/>
      <c r="JM234" s="1013"/>
      <c r="JN234" s="1013"/>
      <c r="JY234" s="1013"/>
      <c r="JZ234" s="1013"/>
      <c r="KA234" s="1013"/>
      <c r="KB234" s="1013"/>
      <c r="KC234" s="1013"/>
      <c r="KD234" s="1013"/>
      <c r="KE234" s="1013"/>
      <c r="KF234" s="1013"/>
      <c r="KH234" s="1013"/>
      <c r="KI234" s="1013"/>
      <c r="KJ234" s="1013"/>
      <c r="KK234" s="1013"/>
      <c r="KL234" s="1013"/>
      <c r="KM234" s="1013"/>
      <c r="KN234" s="1013"/>
      <c r="KO234" s="1013"/>
      <c r="LB234" s="1013"/>
      <c r="LC234" s="1013"/>
      <c r="LD234" s="1013"/>
      <c r="LE234" s="1013"/>
      <c r="LF234" s="1013"/>
      <c r="LG234" s="1013"/>
      <c r="LH234" s="1013"/>
      <c r="LI234" s="1013"/>
      <c r="LJ234" s="1013"/>
      <c r="LK234" s="1013"/>
      <c r="LL234" s="1013"/>
      <c r="LM234" s="1013"/>
      <c r="LN234" s="1013"/>
      <c r="LO234" s="1013"/>
      <c r="LR234" s="1013"/>
      <c r="LS234" s="1013"/>
      <c r="LT234" s="1013"/>
      <c r="LU234" s="1013"/>
      <c r="LV234" s="1013"/>
      <c r="LW234" s="1013"/>
      <c r="LX234" s="1013"/>
      <c r="LZ234" s="1013"/>
      <c r="MA234" s="1013"/>
      <c r="MB234" s="1013"/>
      <c r="MC234" s="1013"/>
      <c r="MD234" s="1013"/>
      <c r="ME234" s="1013"/>
      <c r="MF234" s="1013"/>
      <c r="MH234" s="1013"/>
      <c r="MI234" s="1013"/>
      <c r="MJ234" s="1013"/>
      <c r="MK234" s="1013"/>
      <c r="ML234" s="1013"/>
      <c r="MM234" s="1013"/>
      <c r="MN234" s="1013"/>
      <c r="MO234" s="1013"/>
      <c r="MP234" s="1013"/>
    </row>
    <row r="235" spans="1:354" ht="15" thickBot="1">
      <c r="A235" s="867"/>
      <c r="C235" s="1004" t="s">
        <v>188</v>
      </c>
      <c r="D235" s="1015"/>
      <c r="E235" s="1016"/>
      <c r="F235" s="1016"/>
      <c r="G235" s="1016"/>
      <c r="H235" s="1016"/>
      <c r="I235" s="1016"/>
      <c r="J235" s="1016"/>
      <c r="K235" s="1016"/>
      <c r="L235" s="1016"/>
      <c r="M235" s="1016"/>
      <c r="N235" s="1016"/>
      <c r="O235" s="1016"/>
      <c r="P235" s="1016"/>
      <c r="Q235" s="1016"/>
      <c r="R235" s="1016"/>
      <c r="S235" s="1016"/>
      <c r="T235" s="1016"/>
      <c r="U235" s="1016"/>
      <c r="V235" s="1016"/>
      <c r="W235" s="1016"/>
      <c r="X235" s="1016"/>
      <c r="Y235" s="1016"/>
      <c r="Z235" s="1016"/>
      <c r="AA235" s="1016"/>
      <c r="AB235" s="1016"/>
      <c r="AC235" s="1016"/>
      <c r="AD235" s="1016"/>
      <c r="AE235" s="1016"/>
      <c r="AF235" s="1016"/>
      <c r="AG235" s="1016"/>
      <c r="AH235" s="1016"/>
      <c r="AI235" s="1016"/>
      <c r="AJ235" s="1016"/>
      <c r="AK235" s="1016"/>
      <c r="AL235" s="1016"/>
      <c r="AM235" s="1016"/>
      <c r="AN235" s="1016"/>
      <c r="AO235" s="1017">
        <v>-2773.87656886999</v>
      </c>
      <c r="AP235" s="1018">
        <v>1092.8382973199912</v>
      </c>
      <c r="AQ235" s="1004">
        <v>-1601.2258747299945</v>
      </c>
      <c r="AR235" s="1004">
        <v>-1068.5157370300005</v>
      </c>
      <c r="AS235" s="1017">
        <v>-700.49672850000559</v>
      </c>
      <c r="AT235" s="1017">
        <v>637.01870909000081</v>
      </c>
      <c r="AU235" s="1017">
        <v>-59.280305860000283</v>
      </c>
      <c r="AV235" s="1017">
        <v>-636.00592111999674</v>
      </c>
      <c r="AW235" s="1017">
        <v>-646.03362735000155</v>
      </c>
      <c r="AX235" s="1017">
        <v>1408.1461292400015</v>
      </c>
      <c r="AY235" s="1017">
        <v>-200.63779104000116</v>
      </c>
      <c r="AZ235" s="1017">
        <v>-516.70212886999843</v>
      </c>
      <c r="BA235" s="1017">
        <v>-915.33762259000605</v>
      </c>
      <c r="BB235" s="1017">
        <v>176.80041938000318</v>
      </c>
      <c r="BC235" s="1017">
        <v>-363.90783853999847</v>
      </c>
      <c r="BD235" s="1017">
        <v>1053.7841949100018</v>
      </c>
      <c r="BE235" s="1017">
        <v>-1006.6229507400031</v>
      </c>
      <c r="BF235" s="1017">
        <v>-338.53914281000084</v>
      </c>
      <c r="BG235" s="1017">
        <v>-233.47562952999863</v>
      </c>
      <c r="BH235" s="1017">
        <v>-252.24227626000081</v>
      </c>
      <c r="BI235" s="1017">
        <v>381.44975324000012</v>
      </c>
      <c r="BJ235" s="1017">
        <v>-66.328171709998117</v>
      </c>
      <c r="BK235" s="1017">
        <v>1012.7894656899978</v>
      </c>
      <c r="BL235" s="1017">
        <v>-446.70351644999903</v>
      </c>
      <c r="BM235" s="1017">
        <f t="shared" ref="BM235:BX235" si="1193">SUM(BM230:BM234)</f>
        <v>-586.33782238999447</v>
      </c>
      <c r="BN235" s="1017">
        <f t="shared" si="1193"/>
        <v>-609.35894884000356</v>
      </c>
      <c r="BO235" s="1017">
        <f t="shared" si="1193"/>
        <v>423.11616083999741</v>
      </c>
      <c r="BP235" s="1017">
        <f t="shared" si="1193"/>
        <v>-379.83665856000101</v>
      </c>
      <c r="BQ235" s="1017">
        <f t="shared" si="1193"/>
        <v>535.80584130000364</v>
      </c>
      <c r="BR235" s="1017">
        <f t="shared" si="1193"/>
        <v>-48.669332630003353</v>
      </c>
      <c r="BS235" s="1017">
        <f t="shared" si="1193"/>
        <v>-284.24640592999646</v>
      </c>
      <c r="BT235" s="1017">
        <f t="shared" si="1193"/>
        <v>104.80073302999885</v>
      </c>
      <c r="BU235" s="1017">
        <f t="shared" si="1193"/>
        <v>-361.19821205999847</v>
      </c>
      <c r="BV235" s="1017">
        <f t="shared" si="1193"/>
        <v>835.15721473999815</v>
      </c>
      <c r="BW235" s="1017">
        <f t="shared" si="1193"/>
        <v>-172.90071030999695</v>
      </c>
      <c r="BX235" s="1017">
        <f t="shared" si="1193"/>
        <v>459.14647982999605</v>
      </c>
      <c r="BY235" s="1019">
        <f t="shared" ref="BY235:EF235" si="1194">SUM(BY230:BY234)</f>
        <v>-720.1954776700004</v>
      </c>
      <c r="BZ235" s="1019">
        <f t="shared" si="1194"/>
        <v>34.108861180004716</v>
      </c>
      <c r="CA235" s="1019">
        <f t="shared" si="1194"/>
        <v>-191.23711034000229</v>
      </c>
      <c r="CB235" s="1019">
        <f t="shared" si="1194"/>
        <v>160.29892759000251</v>
      </c>
      <c r="CC235" s="1019">
        <f t="shared" si="1194"/>
        <v>67.633332939999249</v>
      </c>
      <c r="CD235" s="1019">
        <f t="shared" si="1194"/>
        <v>-109.49255223000023</v>
      </c>
      <c r="CE235" s="1019">
        <f t="shared" si="1194"/>
        <v>604.37224908999951</v>
      </c>
      <c r="CF235" s="1019">
        <f t="shared" si="1194"/>
        <v>-206.26283273999957</v>
      </c>
      <c r="CG235" s="1019">
        <f t="shared" si="1194"/>
        <v>-727.0797346300011</v>
      </c>
      <c r="CH235" s="1019">
        <f t="shared" si="1194"/>
        <v>-355.373502790006</v>
      </c>
      <c r="CI235" s="1019">
        <f t="shared" si="1194"/>
        <v>-19.467824959995056</v>
      </c>
      <c r="CJ235" s="1019">
        <f t="shared" si="1194"/>
        <v>163.9331067799987</v>
      </c>
      <c r="CK235" s="1019">
        <f t="shared" si="1194"/>
        <v>-416.30388124999791</v>
      </c>
      <c r="CL235" s="1019">
        <f t="shared" si="1194"/>
        <v>322.56746037999977</v>
      </c>
      <c r="CM235" s="1019">
        <f t="shared" si="1194"/>
        <v>42.685263620000029</v>
      </c>
      <c r="CN235" s="1019">
        <f t="shared" si="1194"/>
        <v>-58.241102019999644</v>
      </c>
      <c r="CO235" s="1019">
        <f t="shared" si="1194"/>
        <v>76.815120290000522</v>
      </c>
      <c r="CP235" s="1019">
        <f t="shared" si="1194"/>
        <v>210.33408645000222</v>
      </c>
      <c r="CQ235" s="1019">
        <f t="shared" si="1194"/>
        <v>450.02995133999815</v>
      </c>
      <c r="CR235" s="1019">
        <f t="shared" si="1194"/>
        <v>781.13588506000406</v>
      </c>
      <c r="CS235" s="1019">
        <f t="shared" si="1194"/>
        <v>-73.072499880002653</v>
      </c>
      <c r="CT235" s="1019">
        <f t="shared" si="1194"/>
        <v>-444.22046156000505</v>
      </c>
      <c r="CU235" s="1019">
        <f t="shared" si="1194"/>
        <v>-437.79996888999426</v>
      </c>
      <c r="CV235" s="1019">
        <f t="shared" si="1194"/>
        <v>745.61586505999594</v>
      </c>
      <c r="CW235" s="1019">
        <f t="shared" si="1194"/>
        <v>-331.40039417000116</v>
      </c>
      <c r="CX235" s="1019">
        <f t="shared" si="1194"/>
        <v>-746.21224277999443</v>
      </c>
      <c r="CY235" s="1019">
        <f t="shared" si="1194"/>
        <v>-392.77440494000211</v>
      </c>
      <c r="CZ235" s="1019">
        <f t="shared" si="1194"/>
        <v>1315.5507111400016</v>
      </c>
      <c r="DA235" s="1019">
        <f t="shared" si="1194"/>
        <v>-360.46201504000322</v>
      </c>
      <c r="DB235" s="1019">
        <f t="shared" si="1194"/>
        <v>485.71938031000383</v>
      </c>
      <c r="DC235" s="1019">
        <f t="shared" si="1194"/>
        <v>-337.74704415000332</v>
      </c>
      <c r="DD235" s="1019">
        <f t="shared" si="1194"/>
        <v>-494.48931197999718</v>
      </c>
      <c r="DE235" s="1019">
        <f t="shared" si="1194"/>
        <v>-538.87220892000323</v>
      </c>
      <c r="DF235" s="1019">
        <f t="shared" si="1194"/>
        <v>116.85817150999631</v>
      </c>
      <c r="DG235" s="1019">
        <f t="shared" si="1194"/>
        <v>1.829820929996373</v>
      </c>
      <c r="DH235" s="1019">
        <f t="shared" si="1194"/>
        <v>1023.3912418499993</v>
      </c>
      <c r="DI235" s="1019">
        <f t="shared" si="1194"/>
        <v>-624.61593118999656</v>
      </c>
      <c r="DJ235" s="1019">
        <f t="shared" si="1194"/>
        <v>288.21887294000294</v>
      </c>
      <c r="DK235" s="1019">
        <f t="shared" si="1194"/>
        <v>-317.78567717000078</v>
      </c>
      <c r="DL235" s="1019">
        <f t="shared" si="1194"/>
        <v>591.9851531199987</v>
      </c>
      <c r="DM235" s="1019">
        <f t="shared" si="1194"/>
        <v>-259.98878500000336</v>
      </c>
      <c r="DN235" s="1019">
        <f t="shared" si="1194"/>
        <v>-39.082610069997216</v>
      </c>
      <c r="DO235" s="1019">
        <f t="shared" si="1194"/>
        <v>-171.01474205000409</v>
      </c>
      <c r="DP235" s="1019">
        <f t="shared" si="1194"/>
        <v>-61.315476909996505</v>
      </c>
      <c r="DQ235" s="1017">
        <f t="shared" si="1194"/>
        <v>668.31211913999721</v>
      </c>
      <c r="DR235" s="1017">
        <f t="shared" si="1194"/>
        <v>687.6838866900066</v>
      </c>
      <c r="DS235" s="1017">
        <f t="shared" si="1194"/>
        <v>-764.22764664000272</v>
      </c>
      <c r="DT235" s="1017">
        <f t="shared" si="1194"/>
        <v>-177.88804303999586</v>
      </c>
      <c r="DU235" s="1017">
        <f t="shared" si="1194"/>
        <v>-314.22634344999932</v>
      </c>
      <c r="DV235" s="1017">
        <f t="shared" si="1194"/>
        <v>562.86297543999353</v>
      </c>
      <c r="DW235" s="1017">
        <f t="shared" si="1194"/>
        <v>-589.03740577999793</v>
      </c>
      <c r="DX235" s="1017">
        <f t="shared" si="1194"/>
        <v>-208.13926802999694</v>
      </c>
      <c r="DY235" s="1017">
        <f t="shared" si="1194"/>
        <v>122.11864307000252</v>
      </c>
      <c r="DZ235" s="1017">
        <f t="shared" si="1194"/>
        <v>645.77511112000354</v>
      </c>
      <c r="EA235" s="1017">
        <f t="shared" si="1194"/>
        <v>-224.12918472000314</v>
      </c>
      <c r="EB235" s="1017">
        <f t="shared" si="1194"/>
        <v>399.36369518999692</v>
      </c>
      <c r="EC235" s="1017">
        <f t="shared" si="1194"/>
        <v>-611.39645635000034</v>
      </c>
      <c r="ED235" s="1017">
        <f t="shared" si="1194"/>
        <v>90.70977414000069</v>
      </c>
      <c r="EE235" s="1017">
        <f t="shared" si="1194"/>
        <v>-39.095444420001343</v>
      </c>
      <c r="EF235" s="1017">
        <f t="shared" si="1194"/>
        <v>2195.5236374800011</v>
      </c>
      <c r="EG235" s="25"/>
      <c r="EH235" s="1004"/>
      <c r="EI235" s="1004"/>
      <c r="EJ235" s="1004"/>
      <c r="EK235" s="1004"/>
      <c r="EL235" s="1004"/>
      <c r="EM235" s="1004"/>
      <c r="EN235" s="1004"/>
      <c r="EO235" s="1004"/>
      <c r="EP235" s="1017"/>
      <c r="EQ235" s="1017"/>
      <c r="ER235" s="1017"/>
      <c r="ES235" s="1017"/>
      <c r="EU235" s="1004">
        <v>-2671.0860313800058</v>
      </c>
      <c r="EV235" s="1004">
        <v>-2272.6162548959956</v>
      </c>
      <c r="EW235" s="1004">
        <v>407.10620232700148</v>
      </c>
      <c r="EX235" s="1017">
        <v>992.63325383556582</v>
      </c>
      <c r="EY235" s="1017">
        <v>-1224.0705814955616</v>
      </c>
      <c r="EZ235" s="1017">
        <v>531.00250351409704</v>
      </c>
      <c r="FA235" s="1017">
        <v>849.79118943034416</v>
      </c>
      <c r="FB235" s="1017">
        <v>-412.09453100425549</v>
      </c>
      <c r="FC235" s="1017">
        <v>699.72414534587983</v>
      </c>
      <c r="FD235" s="1017">
        <v>1270.4551476637776</v>
      </c>
      <c r="FE235" s="1017">
        <v>830.10898348308649</v>
      </c>
      <c r="FF235" s="1017">
        <v>225.12239900250063</v>
      </c>
      <c r="FG235" s="1004">
        <f t="shared" ref="FG235:GD235" si="1195">SUM(FG230:FG234)</f>
        <v>-182.82359112956044</v>
      </c>
      <c r="FH235" s="1004">
        <f t="shared" si="1195"/>
        <v>-45.584436750366365</v>
      </c>
      <c r="FI235" s="1004">
        <f t="shared" si="1195"/>
        <v>-29.45856852470331</v>
      </c>
      <c r="FJ235" s="1017">
        <f t="shared" si="1195"/>
        <v>-97.639009168528958</v>
      </c>
      <c r="FK235" s="1017">
        <f t="shared" si="1195"/>
        <v>109.24490857162789</v>
      </c>
      <c r="FL235" s="1017">
        <f t="shared" si="1195"/>
        <v>320.89010179358502</v>
      </c>
      <c r="FM235" s="1017">
        <f t="shared" si="1195"/>
        <v>383.86049724361192</v>
      </c>
      <c r="FN235" s="1017">
        <f t="shared" si="1195"/>
        <v>453.85232322619459</v>
      </c>
      <c r="FO235" s="1017">
        <f t="shared" si="1195"/>
        <v>419.57474811203338</v>
      </c>
      <c r="FP235" s="1017">
        <f t="shared" si="1195"/>
        <v>478.60959561466711</v>
      </c>
      <c r="FQ235" s="1017">
        <f t="shared" si="1195"/>
        <v>369.93309816674247</v>
      </c>
      <c r="FR235" s="1017">
        <f t="shared" si="1195"/>
        <v>170.06329953912251</v>
      </c>
      <c r="FS235" s="1004">
        <f t="shared" si="1195"/>
        <v>135.05859800000002</v>
      </c>
      <c r="FT235" s="1004">
        <f t="shared" si="1195"/>
        <v>336.8367549100002</v>
      </c>
      <c r="FU235" s="1004">
        <f t="shared" si="1195"/>
        <v>341.36084599999981</v>
      </c>
      <c r="FV235" s="1017">
        <f t="shared" si="1195"/>
        <v>297.18355891000004</v>
      </c>
      <c r="FW235" s="1017">
        <f t="shared" si="1195"/>
        <v>314.96711791000018</v>
      </c>
      <c r="FX235" s="1017">
        <f t="shared" si="1195"/>
        <v>282.30310291000006</v>
      </c>
      <c r="FY235" s="1017">
        <f t="shared" si="1195"/>
        <v>307.20153890999984</v>
      </c>
      <c r="FZ235" s="1017">
        <f t="shared" si="1195"/>
        <v>101.67076090999996</v>
      </c>
      <c r="GA235" s="1017">
        <f t="shared" si="1195"/>
        <v>-6.2338200000000938</v>
      </c>
      <c r="GB235" s="1017">
        <f t="shared" si="1195"/>
        <v>-83.64703609</v>
      </c>
      <c r="GC235" s="1017">
        <f t="shared" si="1195"/>
        <v>-26.128150090000162</v>
      </c>
      <c r="GD235" s="1017">
        <f t="shared" si="1195"/>
        <v>-82.266508000000073</v>
      </c>
      <c r="GE235" s="1017"/>
      <c r="GF235" s="1017"/>
      <c r="GG235" s="1017"/>
      <c r="GH235" s="1017"/>
      <c r="GI235" s="1017"/>
      <c r="GJ235" s="1017"/>
      <c r="GK235" s="1017"/>
      <c r="GL235" s="1017"/>
      <c r="GM235" s="1017"/>
      <c r="GN235" s="1017"/>
      <c r="GO235" s="1017"/>
      <c r="GP235" s="1017"/>
      <c r="GQ235" s="1017"/>
      <c r="GR235" s="1017"/>
      <c r="GS235" s="1017"/>
      <c r="GT235" s="1017"/>
      <c r="GU235" s="1017"/>
      <c r="GV235" s="1017"/>
      <c r="GW235" s="1017"/>
      <c r="GX235" s="1017"/>
      <c r="GY235" s="1017"/>
      <c r="GZ235" s="1017"/>
      <c r="HA235" s="1017"/>
      <c r="HB235" s="1017"/>
      <c r="HD235" s="1009"/>
      <c r="HE235" s="1009"/>
      <c r="HF235" s="1009"/>
      <c r="HG235" s="1009"/>
      <c r="HH235" s="1009"/>
      <c r="HI235" s="1009"/>
      <c r="HJ235" s="1009"/>
      <c r="HK235" s="1009"/>
      <c r="HL235" s="1009"/>
      <c r="HM235" s="1009"/>
      <c r="HN235" s="1009"/>
      <c r="HO235" s="1009"/>
      <c r="HP235" s="1009"/>
      <c r="JA235" s="1009"/>
      <c r="JB235" s="1009"/>
      <c r="JC235" s="1009"/>
      <c r="JD235" s="1009"/>
      <c r="JE235" s="1009"/>
      <c r="JF235" s="1009"/>
      <c r="JG235" s="1009"/>
      <c r="JH235" s="1009"/>
      <c r="JI235" s="1009"/>
      <c r="JJ235" s="1009"/>
      <c r="JK235" s="1009"/>
      <c r="JL235" s="1009"/>
      <c r="JM235" s="1009"/>
      <c r="JN235" s="1009"/>
      <c r="JY235" s="1009"/>
      <c r="JZ235" s="1009"/>
      <c r="KA235" s="1009"/>
      <c r="KB235" s="1009"/>
      <c r="KC235" s="1009"/>
      <c r="KD235" s="1009"/>
      <c r="KE235" s="1009"/>
      <c r="KF235" s="1009"/>
      <c r="KH235" s="1009"/>
      <c r="KI235" s="1009"/>
      <c r="KJ235" s="1009"/>
      <c r="KK235" s="1009"/>
      <c r="KL235" s="1009"/>
      <c r="KM235" s="1009"/>
      <c r="KN235" s="1009"/>
      <c r="KO235" s="1009"/>
      <c r="LB235" s="1009"/>
      <c r="LC235" s="1009"/>
      <c r="LD235" s="1009"/>
      <c r="LE235" s="1009"/>
      <c r="LF235" s="1009"/>
      <c r="LG235" s="1009"/>
      <c r="LH235" s="1009"/>
      <c r="LI235" s="1009"/>
      <c r="LJ235" s="1009"/>
      <c r="LK235" s="1009"/>
      <c r="LL235" s="1009"/>
      <c r="LM235" s="1009"/>
      <c r="LN235" s="1009"/>
      <c r="LO235" s="1009"/>
      <c r="LR235" s="1009"/>
      <c r="LS235" s="1009"/>
      <c r="LT235" s="1009"/>
      <c r="LU235" s="1009"/>
      <c r="LV235" s="1009"/>
      <c r="LW235" s="1009"/>
      <c r="LX235" s="1009"/>
      <c r="LZ235" s="1009"/>
      <c r="MA235" s="1009"/>
      <c r="MB235" s="1009"/>
      <c r="MC235" s="1009"/>
      <c r="MD235" s="1009"/>
      <c r="ME235" s="1009"/>
      <c r="MF235" s="1009"/>
      <c r="MH235" s="1009"/>
      <c r="MI235" s="1009"/>
      <c r="MJ235" s="1009"/>
      <c r="MK235" s="1009"/>
      <c r="ML235" s="1009"/>
      <c r="MM235" s="1009"/>
      <c r="MN235" s="1009"/>
      <c r="MO235" s="1009"/>
      <c r="MP235" s="1009"/>
    </row>
    <row r="236" spans="1:354" ht="15" thickTop="1">
      <c r="A236" s="867"/>
      <c r="C236" s="1010" t="s">
        <v>774</v>
      </c>
      <c r="D236" s="662"/>
      <c r="E236" s="1011"/>
      <c r="F236" s="1011"/>
      <c r="G236" s="1011"/>
      <c r="H236" s="1011"/>
      <c r="I236" s="1011"/>
      <c r="J236" s="1011"/>
      <c r="K236" s="1011"/>
      <c r="L236" s="1011"/>
      <c r="M236" s="1011"/>
      <c r="N236" s="1011"/>
      <c r="O236" s="1011"/>
      <c r="P236" s="1011"/>
      <c r="Q236" s="1011"/>
      <c r="R236" s="1011"/>
      <c r="S236" s="1011"/>
      <c r="T236" s="1011"/>
      <c r="U236" s="1011"/>
      <c r="V236" s="1011"/>
      <c r="W236" s="1011"/>
      <c r="X236" s="1011"/>
      <c r="Y236" s="1011"/>
      <c r="Z236" s="1011"/>
      <c r="AA236" s="1011"/>
      <c r="AB236" s="1011"/>
      <c r="AC236" s="1011"/>
      <c r="AD236" s="1011"/>
      <c r="AE236" s="1011"/>
      <c r="AF236" s="1011"/>
      <c r="AG236" s="1011"/>
      <c r="AH236" s="1011"/>
      <c r="AI236" s="1011"/>
      <c r="AJ236" s="1011"/>
      <c r="AK236" s="1011"/>
      <c r="AL236" s="1011"/>
      <c r="AM236" s="1011"/>
      <c r="AN236" s="1011"/>
      <c r="AO236" s="873">
        <v>0</v>
      </c>
      <c r="AP236" s="920">
        <v>0</v>
      </c>
      <c r="AQ236" s="1010">
        <v>0</v>
      </c>
      <c r="AR236" s="1010">
        <v>0</v>
      </c>
      <c r="AS236" s="873">
        <v>0</v>
      </c>
      <c r="AT236" s="873">
        <v>0</v>
      </c>
      <c r="AU236" s="873">
        <v>0</v>
      </c>
      <c r="AV236" s="873">
        <v>0</v>
      </c>
      <c r="AW236" s="873">
        <v>0</v>
      </c>
      <c r="AX236" s="873">
        <v>0</v>
      </c>
      <c r="AY236" s="873">
        <v>0</v>
      </c>
      <c r="AZ236" s="873">
        <v>0</v>
      </c>
      <c r="BA236" s="873">
        <v>-1.4500000000339242E-4</v>
      </c>
      <c r="BB236" s="873">
        <v>0</v>
      </c>
      <c r="BC236" s="873">
        <v>0</v>
      </c>
      <c r="BD236" s="873">
        <v>0</v>
      </c>
      <c r="BE236" s="873">
        <v>0</v>
      </c>
      <c r="BF236" s="873">
        <v>0</v>
      </c>
      <c r="BG236" s="873">
        <v>340</v>
      </c>
      <c r="BH236" s="873">
        <v>0</v>
      </c>
      <c r="BI236" s="873">
        <v>0</v>
      </c>
      <c r="BJ236" s="873">
        <v>0</v>
      </c>
      <c r="BK236" s="873">
        <v>0</v>
      </c>
      <c r="BL236" s="873">
        <v>0</v>
      </c>
      <c r="BM236" s="873">
        <f t="shared" ref="BM236:CD236" si="1196">+BL205-BM205+BL206-BM206+BL207-BM207+BL215-BM215</f>
        <v>0</v>
      </c>
      <c r="BN236" s="873">
        <f t="shared" si="1196"/>
        <v>0</v>
      </c>
      <c r="BO236" s="873">
        <f t="shared" si="1196"/>
        <v>0</v>
      </c>
      <c r="BP236" s="873">
        <f t="shared" si="1196"/>
        <v>0</v>
      </c>
      <c r="BQ236" s="873">
        <f t="shared" si="1196"/>
        <v>0</v>
      </c>
      <c r="BR236" s="873">
        <f t="shared" si="1196"/>
        <v>0</v>
      </c>
      <c r="BS236" s="873">
        <f t="shared" si="1196"/>
        <v>0</v>
      </c>
      <c r="BT236" s="873">
        <f t="shared" si="1196"/>
        <v>0</v>
      </c>
      <c r="BU236" s="873">
        <f t="shared" si="1196"/>
        <v>0</v>
      </c>
      <c r="BV236" s="873">
        <f t="shared" si="1196"/>
        <v>0</v>
      </c>
      <c r="BW236" s="873">
        <f t="shared" si="1196"/>
        <v>0</v>
      </c>
      <c r="BX236" s="873">
        <f t="shared" si="1196"/>
        <v>0</v>
      </c>
      <c r="BY236" s="1012">
        <f t="shared" si="1196"/>
        <v>0</v>
      </c>
      <c r="BZ236" s="1012">
        <f t="shared" si="1196"/>
        <v>0</v>
      </c>
      <c r="CA236" s="1012">
        <f t="shared" si="1196"/>
        <v>0</v>
      </c>
      <c r="CB236" s="1012">
        <f t="shared" si="1196"/>
        <v>0</v>
      </c>
      <c r="CC236" s="1012">
        <f t="shared" si="1196"/>
        <v>0</v>
      </c>
      <c r="CD236" s="1012">
        <f t="shared" si="1196"/>
        <v>0</v>
      </c>
      <c r="CE236" s="1012">
        <f t="shared" ref="CE236:EF236" si="1197">-(+CD205-CE205+CD206-CE206+CD207-CE207+CD215-CE215)</f>
        <v>482.40000000000009</v>
      </c>
      <c r="CF236" s="1012">
        <f t="shared" si="1197"/>
        <v>0</v>
      </c>
      <c r="CG236" s="1012">
        <f t="shared" si="1197"/>
        <v>0</v>
      </c>
      <c r="CH236" s="1012">
        <f t="shared" si="1197"/>
        <v>0</v>
      </c>
      <c r="CI236" s="1012">
        <f t="shared" si="1197"/>
        <v>0</v>
      </c>
      <c r="CJ236" s="1012">
        <f t="shared" si="1197"/>
        <v>0</v>
      </c>
      <c r="CK236" s="1012">
        <f t="shared" si="1197"/>
        <v>0</v>
      </c>
      <c r="CL236" s="1012">
        <f t="shared" si="1197"/>
        <v>0</v>
      </c>
      <c r="CM236" s="1012">
        <f t="shared" si="1197"/>
        <v>0</v>
      </c>
      <c r="CN236" s="1012">
        <f t="shared" si="1197"/>
        <v>0</v>
      </c>
      <c r="CO236" s="1012">
        <f t="shared" si="1197"/>
        <v>0</v>
      </c>
      <c r="CP236" s="1012">
        <f t="shared" si="1197"/>
        <v>0</v>
      </c>
      <c r="CQ236" s="1012">
        <f t="shared" si="1197"/>
        <v>0</v>
      </c>
      <c r="CR236" s="1012">
        <f t="shared" si="1197"/>
        <v>0</v>
      </c>
      <c r="CS236" s="1012">
        <f t="shared" si="1197"/>
        <v>0</v>
      </c>
      <c r="CT236" s="1012">
        <f t="shared" si="1197"/>
        <v>0</v>
      </c>
      <c r="CU236" s="1012">
        <f t="shared" si="1197"/>
        <v>0</v>
      </c>
      <c r="CV236" s="1012">
        <f t="shared" si="1197"/>
        <v>0</v>
      </c>
      <c r="CW236" s="1012">
        <f t="shared" si="1197"/>
        <v>0</v>
      </c>
      <c r="CX236" s="1012">
        <f t="shared" si="1197"/>
        <v>0</v>
      </c>
      <c r="CY236" s="1012">
        <f t="shared" si="1197"/>
        <v>0</v>
      </c>
      <c r="CZ236" s="1012">
        <f t="shared" si="1197"/>
        <v>0</v>
      </c>
      <c r="DA236" s="1012">
        <f t="shared" si="1197"/>
        <v>0</v>
      </c>
      <c r="DB236" s="1012">
        <f t="shared" si="1197"/>
        <v>0</v>
      </c>
      <c r="DC236" s="1012">
        <f t="shared" si="1197"/>
        <v>0</v>
      </c>
      <c r="DD236" s="1012">
        <f t="shared" si="1197"/>
        <v>0</v>
      </c>
      <c r="DE236" s="1012">
        <f t="shared" si="1197"/>
        <v>0</v>
      </c>
      <c r="DF236" s="1012">
        <f t="shared" si="1197"/>
        <v>0</v>
      </c>
      <c r="DG236" s="1012">
        <f t="shared" si="1197"/>
        <v>0</v>
      </c>
      <c r="DH236" s="1012">
        <f t="shared" si="1197"/>
        <v>0</v>
      </c>
      <c r="DI236" s="1012">
        <f>-(+DH205-DI205+DH206-DI206+DH207-DI207+DH215-DI215)</f>
        <v>0</v>
      </c>
      <c r="DJ236" s="1012">
        <f t="shared" si="1197"/>
        <v>0</v>
      </c>
      <c r="DK236" s="1012">
        <f t="shared" si="1197"/>
        <v>0</v>
      </c>
      <c r="DL236" s="1012">
        <f t="shared" si="1197"/>
        <v>0</v>
      </c>
      <c r="DM236" s="1012">
        <f t="shared" si="1197"/>
        <v>0</v>
      </c>
      <c r="DN236" s="1012">
        <f t="shared" si="1197"/>
        <v>0</v>
      </c>
      <c r="DO236" s="1012">
        <f t="shared" si="1197"/>
        <v>0</v>
      </c>
      <c r="DP236" s="1012">
        <f t="shared" si="1197"/>
        <v>0</v>
      </c>
      <c r="DQ236" s="873">
        <f t="shared" si="1197"/>
        <v>0</v>
      </c>
      <c r="DR236" s="873">
        <f t="shared" si="1197"/>
        <v>0</v>
      </c>
      <c r="DS236" s="873">
        <f t="shared" si="1197"/>
        <v>0</v>
      </c>
      <c r="DT236" s="873">
        <f t="shared" si="1197"/>
        <v>0</v>
      </c>
      <c r="DU236" s="873">
        <f t="shared" si="1197"/>
        <v>0</v>
      </c>
      <c r="DV236" s="873">
        <f t="shared" si="1197"/>
        <v>0</v>
      </c>
      <c r="DW236" s="873">
        <f t="shared" si="1197"/>
        <v>0</v>
      </c>
      <c r="DX236" s="873">
        <f t="shared" si="1197"/>
        <v>0</v>
      </c>
      <c r="DY236" s="873">
        <f t="shared" si="1197"/>
        <v>0</v>
      </c>
      <c r="DZ236" s="873">
        <f t="shared" si="1197"/>
        <v>0</v>
      </c>
      <c r="EA236" s="873">
        <f t="shared" si="1197"/>
        <v>0</v>
      </c>
      <c r="EB236" s="873">
        <f t="shared" si="1197"/>
        <v>0</v>
      </c>
      <c r="EC236" s="873">
        <f t="shared" si="1197"/>
        <v>0</v>
      </c>
      <c r="ED236" s="873">
        <f t="shared" si="1197"/>
        <v>0</v>
      </c>
      <c r="EE236" s="873">
        <f t="shared" si="1197"/>
        <v>0</v>
      </c>
      <c r="EF236" s="873">
        <f t="shared" si="1197"/>
        <v>0</v>
      </c>
      <c r="EH236" s="1010"/>
      <c r="EI236" s="1010"/>
      <c r="EJ236" s="1010"/>
      <c r="EK236" s="1010"/>
      <c r="EL236" s="1010"/>
      <c r="EM236" s="1010"/>
      <c r="EN236" s="1010"/>
      <c r="EO236" s="1010"/>
      <c r="EP236" s="873"/>
      <c r="EQ236" s="873"/>
      <c r="ER236" s="873"/>
      <c r="ES236" s="873"/>
      <c r="EU236" s="1010">
        <v>-476.79939265999991</v>
      </c>
      <c r="EV236" s="1010">
        <v>1576.3999999999999</v>
      </c>
      <c r="EW236" s="1010">
        <v>0</v>
      </c>
      <c r="EX236" s="873">
        <v>0</v>
      </c>
      <c r="EY236" s="873">
        <v>0</v>
      </c>
      <c r="EZ236" s="873">
        <v>0</v>
      </c>
      <c r="FA236" s="873">
        <v>0</v>
      </c>
      <c r="FB236" s="873">
        <v>0</v>
      </c>
      <c r="FC236" s="873">
        <v>0</v>
      </c>
      <c r="FD236" s="873">
        <v>0</v>
      </c>
      <c r="FE236" s="873">
        <v>0</v>
      </c>
      <c r="FF236" s="873">
        <v>0</v>
      </c>
      <c r="FG236" s="1010"/>
      <c r="FH236" s="1010"/>
      <c r="FI236" s="1010"/>
      <c r="FJ236" s="873"/>
      <c r="FK236" s="873"/>
      <c r="FL236" s="873"/>
      <c r="FM236" s="873"/>
      <c r="FN236" s="873"/>
      <c r="FO236" s="873"/>
      <c r="FP236" s="873"/>
      <c r="FQ236" s="873"/>
      <c r="FR236" s="873"/>
      <c r="FS236" s="1010"/>
      <c r="FT236" s="1010"/>
      <c r="FU236" s="1010"/>
      <c r="FV236" s="873"/>
      <c r="FW236" s="873"/>
      <c r="FX236" s="873"/>
      <c r="FY236" s="873"/>
      <c r="FZ236" s="873"/>
      <c r="GA236" s="873"/>
      <c r="GB236" s="873"/>
      <c r="GC236" s="873"/>
      <c r="GD236" s="873"/>
      <c r="GE236" s="873"/>
      <c r="GF236" s="873"/>
      <c r="GG236" s="873"/>
      <c r="GH236" s="873"/>
      <c r="GI236" s="873"/>
      <c r="GJ236" s="873"/>
      <c r="GK236" s="873"/>
      <c r="GL236" s="873"/>
      <c r="GM236" s="873"/>
      <c r="GN236" s="873"/>
      <c r="GO236" s="873"/>
      <c r="GP236" s="873"/>
      <c r="GQ236" s="873"/>
      <c r="GR236" s="873"/>
      <c r="GS236" s="873"/>
      <c r="GT236" s="873"/>
      <c r="GU236" s="873"/>
      <c r="GV236" s="873"/>
      <c r="GW236" s="873"/>
      <c r="GX236" s="873"/>
      <c r="GY236" s="873"/>
      <c r="GZ236" s="873"/>
      <c r="HA236" s="873"/>
      <c r="HB236" s="873"/>
      <c r="HD236" s="1013"/>
      <c r="HE236" s="1013"/>
      <c r="HF236" s="1013"/>
      <c r="HG236" s="1013"/>
      <c r="HH236" s="1013"/>
      <c r="HI236" s="1013"/>
      <c r="HJ236" s="1013"/>
      <c r="HK236" s="1013"/>
      <c r="HL236" s="1013"/>
      <c r="HM236" s="1013"/>
      <c r="HN236" s="1013"/>
      <c r="HO236" s="1013"/>
      <c r="HP236" s="1013"/>
      <c r="JA236" s="1013"/>
      <c r="JB236" s="1013"/>
      <c r="JC236" s="1013"/>
      <c r="JD236" s="1013"/>
      <c r="JE236" s="1013"/>
      <c r="JF236" s="1013"/>
      <c r="JG236" s="1013"/>
      <c r="JH236" s="1013"/>
      <c r="JI236" s="1013"/>
      <c r="JJ236" s="1013"/>
      <c r="JK236" s="1013"/>
      <c r="JL236" s="1013"/>
      <c r="JM236" s="1013"/>
      <c r="JN236" s="1013"/>
      <c r="JY236" s="1013"/>
      <c r="JZ236" s="1013"/>
      <c r="KA236" s="1013"/>
      <c r="KB236" s="1013"/>
      <c r="KC236" s="1013"/>
      <c r="KD236" s="1013"/>
      <c r="KE236" s="1013"/>
      <c r="KF236" s="1013"/>
      <c r="KH236" s="1013"/>
      <c r="KI236" s="1013"/>
      <c r="KJ236" s="1013"/>
      <c r="KK236" s="1013"/>
      <c r="KL236" s="1013"/>
      <c r="KM236" s="1013"/>
      <c r="KN236" s="1013"/>
      <c r="KO236" s="1013"/>
      <c r="LB236" s="1013"/>
      <c r="LC236" s="1013"/>
      <c r="LD236" s="1013"/>
      <c r="LE236" s="1013"/>
      <c r="LF236" s="1013"/>
      <c r="LG236" s="1013"/>
      <c r="LH236" s="1013"/>
      <c r="LI236" s="1013"/>
      <c r="LJ236" s="1013"/>
      <c r="LK236" s="1013"/>
      <c r="LL236" s="1013"/>
      <c r="LM236" s="1013"/>
      <c r="LN236" s="1013"/>
      <c r="LO236" s="1013"/>
      <c r="LR236" s="1013"/>
      <c r="LS236" s="1013"/>
      <c r="LT236" s="1013"/>
      <c r="LU236" s="1013"/>
      <c r="LV236" s="1013"/>
      <c r="LW236" s="1013"/>
      <c r="LX236" s="1013"/>
      <c r="LZ236" s="1013"/>
      <c r="MA236" s="1013"/>
      <c r="MB236" s="1013"/>
      <c r="MC236" s="1013"/>
      <c r="MD236" s="1013"/>
      <c r="ME236" s="1013"/>
      <c r="MF236" s="1013"/>
      <c r="MH236" s="1013"/>
      <c r="MI236" s="1013"/>
      <c r="MJ236" s="1013"/>
      <c r="MK236" s="1013"/>
      <c r="ML236" s="1013"/>
      <c r="MM236" s="1013"/>
      <c r="MN236" s="1013"/>
      <c r="MO236" s="1013"/>
      <c r="MP236" s="1013"/>
    </row>
    <row r="237" spans="1:354">
      <c r="A237" s="867"/>
      <c r="C237" s="1010" t="s">
        <v>190</v>
      </c>
      <c r="D237" s="662"/>
      <c r="E237" s="1011"/>
      <c r="F237" s="1011"/>
      <c r="G237" s="1011"/>
      <c r="H237" s="1011"/>
      <c r="I237" s="1011"/>
      <c r="J237" s="1011"/>
      <c r="K237" s="1011"/>
      <c r="L237" s="1011"/>
      <c r="M237" s="1011"/>
      <c r="N237" s="1011"/>
      <c r="O237" s="1011"/>
      <c r="P237" s="1011"/>
      <c r="Q237" s="1011"/>
      <c r="R237" s="1011"/>
      <c r="S237" s="1011"/>
      <c r="T237" s="1011"/>
      <c r="U237" s="1011"/>
      <c r="V237" s="1011"/>
      <c r="W237" s="1011"/>
      <c r="X237" s="1011"/>
      <c r="Y237" s="1011"/>
      <c r="Z237" s="1011"/>
      <c r="AA237" s="1011"/>
      <c r="AB237" s="1011"/>
      <c r="AC237" s="1011"/>
      <c r="AD237" s="1011"/>
      <c r="AE237" s="1011"/>
      <c r="AF237" s="1011"/>
      <c r="AG237" s="1011"/>
      <c r="AH237" s="1011"/>
      <c r="AI237" s="1011"/>
      <c r="AJ237" s="1011"/>
      <c r="AK237" s="1011"/>
      <c r="AL237" s="1011"/>
      <c r="AM237" s="1011"/>
      <c r="AN237" s="1011"/>
      <c r="AO237" s="873">
        <v>-2.7284841053187847E-12</v>
      </c>
      <c r="AP237" s="920">
        <v>2.1600499167107046E-12</v>
      </c>
      <c r="AQ237" s="1010">
        <v>-2.5579538487363607E-12</v>
      </c>
      <c r="AR237" s="1010">
        <v>-1.5916157281026244E-12</v>
      </c>
      <c r="AS237" s="873">
        <v>0</v>
      </c>
      <c r="AT237" s="873">
        <v>-811.14082699999835</v>
      </c>
      <c r="AU237" s="873">
        <v>-1.3216094885137863E-12</v>
      </c>
      <c r="AV237" s="873">
        <v>1.3464784842653899E-12</v>
      </c>
      <c r="AW237" s="873">
        <v>-3.979039320256561E-13</v>
      </c>
      <c r="AX237" s="873">
        <v>0</v>
      </c>
      <c r="AY237" s="873">
        <v>1.8189894035458565E-12</v>
      </c>
      <c r="AZ237" s="873">
        <v>516.70212886999843</v>
      </c>
      <c r="BA237" s="873">
        <v>0</v>
      </c>
      <c r="BB237" s="873">
        <v>0</v>
      </c>
      <c r="BC237" s="873">
        <v>9.0949470177292824E-13</v>
      </c>
      <c r="BD237" s="873">
        <v>-1.4779288903810084E-12</v>
      </c>
      <c r="BE237" s="873">
        <v>4.1495695768389851E-12</v>
      </c>
      <c r="BF237" s="873">
        <v>-4.7748471843078732E-12</v>
      </c>
      <c r="BG237" s="873">
        <v>0</v>
      </c>
      <c r="BH237" s="873">
        <v>-2.2737367544323206E-12</v>
      </c>
      <c r="BI237" s="873">
        <v>-141.9496439999962</v>
      </c>
      <c r="BJ237" s="873">
        <v>1.4210854715202004E-12</v>
      </c>
      <c r="BK237" s="873">
        <v>-2.9558577807620168E-12</v>
      </c>
      <c r="BL237" s="873">
        <v>240</v>
      </c>
      <c r="BM237" s="873">
        <v>0</v>
      </c>
      <c r="BN237" s="873">
        <v>0</v>
      </c>
      <c r="BO237" s="873">
        <v>0</v>
      </c>
      <c r="BP237" s="873">
        <v>0</v>
      </c>
      <c r="BQ237" s="873">
        <v>0</v>
      </c>
      <c r="BR237" s="873">
        <v>0</v>
      </c>
      <c r="BS237" s="873">
        <v>0</v>
      </c>
      <c r="BT237" s="873">
        <v>0</v>
      </c>
      <c r="BU237" s="873">
        <v>0</v>
      </c>
      <c r="BV237" s="873">
        <v>0</v>
      </c>
      <c r="BW237" s="873">
        <v>0</v>
      </c>
      <c r="BX237" s="873">
        <v>0</v>
      </c>
      <c r="BY237" s="1012"/>
      <c r="BZ237" s="1012"/>
      <c r="CA237" s="1012"/>
      <c r="CB237" s="1012"/>
      <c r="CC237" s="1012"/>
      <c r="CD237" s="1012"/>
      <c r="CE237" s="1012"/>
      <c r="CF237" s="1012"/>
      <c r="CG237" s="1012"/>
      <c r="CH237" s="1012"/>
      <c r="CI237" s="1012"/>
      <c r="CJ237" s="1012"/>
      <c r="CK237" s="1012"/>
      <c r="CL237" s="1012"/>
      <c r="CM237" s="1012"/>
      <c r="CN237" s="1012"/>
      <c r="CO237" s="1012"/>
      <c r="CP237" s="1012"/>
      <c r="CQ237" s="1012"/>
      <c r="CR237" s="1012"/>
      <c r="CS237" s="1012"/>
      <c r="CT237" s="1012"/>
      <c r="CU237" s="1012"/>
      <c r="CV237" s="1012"/>
      <c r="CW237" s="1012"/>
      <c r="CX237" s="1012"/>
      <c r="CY237" s="1012"/>
      <c r="CZ237" s="1012"/>
      <c r="DA237" s="1012"/>
      <c r="DB237" s="1012"/>
      <c r="DC237" s="1012"/>
      <c r="DD237" s="1012"/>
      <c r="DE237" s="1012"/>
      <c r="DF237" s="1012"/>
      <c r="DG237" s="1012"/>
      <c r="DH237" s="1012"/>
      <c r="DI237" s="1012"/>
      <c r="DJ237" s="1012"/>
      <c r="DK237" s="1012"/>
      <c r="DL237" s="1012"/>
      <c r="DM237" s="1012"/>
      <c r="DN237" s="1012"/>
      <c r="DO237" s="1012"/>
      <c r="DP237" s="1012"/>
      <c r="DQ237" s="873">
        <f t="shared" ref="DQ237:EF237" si="1198">+DQ214-DP214</f>
        <v>-585.22311599999693</v>
      </c>
      <c r="DR237" s="873">
        <f t="shared" si="1198"/>
        <v>0</v>
      </c>
      <c r="DS237" s="873">
        <f t="shared" si="1198"/>
        <v>0</v>
      </c>
      <c r="DT237" s="873">
        <f t="shared" si="1198"/>
        <v>0</v>
      </c>
      <c r="DU237" s="873">
        <f t="shared" si="1198"/>
        <v>698.44218665999961</v>
      </c>
      <c r="DV237" s="873">
        <f t="shared" si="1198"/>
        <v>0</v>
      </c>
      <c r="DW237" s="873">
        <f t="shared" si="1198"/>
        <v>0</v>
      </c>
      <c r="DX237" s="873">
        <f t="shared" si="1198"/>
        <v>0</v>
      </c>
      <c r="DY237" s="873">
        <f t="shared" si="1198"/>
        <v>0</v>
      </c>
      <c r="DZ237" s="873">
        <f t="shared" si="1198"/>
        <v>0</v>
      </c>
      <c r="EA237" s="873">
        <f t="shared" si="1198"/>
        <v>0</v>
      </c>
      <c r="EB237" s="873">
        <f t="shared" si="1198"/>
        <v>0</v>
      </c>
      <c r="EC237" s="873">
        <f t="shared" si="1198"/>
        <v>0</v>
      </c>
      <c r="ED237" s="873">
        <f t="shared" si="1198"/>
        <v>0</v>
      </c>
      <c r="EE237" s="873">
        <f t="shared" si="1198"/>
        <v>0</v>
      </c>
      <c r="EF237" s="873">
        <f t="shared" si="1198"/>
        <v>-998.05049900000097</v>
      </c>
      <c r="EH237" s="1010"/>
      <c r="EI237" s="1010"/>
      <c r="EJ237" s="1010"/>
      <c r="EK237" s="1010"/>
      <c r="EL237" s="1010"/>
      <c r="EM237" s="1010"/>
      <c r="EN237" s="1010"/>
      <c r="EO237" s="1010"/>
      <c r="EP237" s="873"/>
      <c r="EQ237" s="873"/>
      <c r="ER237" s="873"/>
      <c r="ES237" s="873"/>
      <c r="EU237" s="1010">
        <v>374.69146237000314</v>
      </c>
      <c r="EV237" s="1010">
        <v>-3.4106051316484809E-13</v>
      </c>
      <c r="EW237" s="1010">
        <v>4.8316906031686813E-13</v>
      </c>
      <c r="EX237" s="873">
        <v>0</v>
      </c>
      <c r="EY237" s="873">
        <v>-3.694822225952521E-13</v>
      </c>
      <c r="EZ237" s="873">
        <v>-3.694822225952521E-13</v>
      </c>
      <c r="FA237" s="873">
        <v>-2496.9694257934998</v>
      </c>
      <c r="FB237" s="873">
        <v>0</v>
      </c>
      <c r="FC237" s="873">
        <v>0</v>
      </c>
      <c r="FD237" s="873">
        <v>0</v>
      </c>
      <c r="FE237" s="873">
        <v>-2496.9694257934993</v>
      </c>
      <c r="FF237" s="873">
        <v>0</v>
      </c>
      <c r="FG237" s="1010"/>
      <c r="FH237" s="1010"/>
      <c r="FI237" s="1010"/>
      <c r="FJ237" s="873"/>
      <c r="FK237" s="873"/>
      <c r="FL237" s="873"/>
      <c r="FM237" s="873"/>
      <c r="FN237" s="873"/>
      <c r="FO237" s="873"/>
      <c r="FP237" s="873"/>
      <c r="FQ237" s="873"/>
      <c r="FR237" s="873"/>
      <c r="FS237" s="1010"/>
      <c r="FT237" s="1010"/>
      <c r="FU237" s="1010"/>
      <c r="FV237" s="873"/>
      <c r="FW237" s="873"/>
      <c r="FX237" s="873"/>
      <c r="FY237" s="873"/>
      <c r="FZ237" s="873"/>
      <c r="GA237" s="873"/>
      <c r="GB237" s="873"/>
      <c r="GC237" s="873"/>
      <c r="GD237" s="873"/>
      <c r="GE237" s="873"/>
      <c r="GF237" s="873"/>
      <c r="GG237" s="873"/>
      <c r="GH237" s="873"/>
      <c r="GI237" s="873"/>
      <c r="GJ237" s="873"/>
      <c r="GK237" s="873"/>
      <c r="GL237" s="873"/>
      <c r="GM237" s="873"/>
      <c r="GN237" s="873"/>
      <c r="GO237" s="873"/>
      <c r="GP237" s="873"/>
      <c r="GQ237" s="873"/>
      <c r="GR237" s="873"/>
      <c r="GS237" s="873"/>
      <c r="GT237" s="873"/>
      <c r="GU237" s="873"/>
      <c r="GV237" s="873"/>
      <c r="GW237" s="873"/>
      <c r="GX237" s="873"/>
      <c r="GY237" s="873"/>
      <c r="GZ237" s="873"/>
      <c r="HA237" s="873"/>
      <c r="HB237" s="873"/>
      <c r="HD237" s="1013"/>
      <c r="HE237" s="1013"/>
      <c r="HF237" s="1013"/>
      <c r="HG237" s="1013"/>
      <c r="HH237" s="1013"/>
      <c r="HI237" s="1013"/>
      <c r="HJ237" s="1013"/>
      <c r="HK237" s="1013"/>
      <c r="HL237" s="1013"/>
      <c r="HM237" s="1013"/>
      <c r="HN237" s="1013"/>
      <c r="HO237" s="1013"/>
      <c r="HP237" s="1013"/>
      <c r="JA237" s="1013"/>
      <c r="JB237" s="1013"/>
      <c r="JC237" s="1013"/>
      <c r="JD237" s="1013"/>
      <c r="JE237" s="1013"/>
      <c r="JF237" s="1013"/>
      <c r="JG237" s="1013"/>
      <c r="JH237" s="1013"/>
      <c r="JI237" s="1013"/>
      <c r="JJ237" s="1013"/>
      <c r="JK237" s="1013"/>
      <c r="JL237" s="1013"/>
      <c r="JM237" s="1013"/>
      <c r="JN237" s="1013"/>
      <c r="JY237" s="1013"/>
      <c r="JZ237" s="1013"/>
      <c r="KA237" s="1013"/>
      <c r="KB237" s="1013"/>
      <c r="KC237" s="1013"/>
      <c r="KD237" s="1013"/>
      <c r="KE237" s="1013"/>
      <c r="KF237" s="1013"/>
      <c r="KH237" s="1013"/>
      <c r="KI237" s="1013"/>
      <c r="KJ237" s="1013"/>
      <c r="KK237" s="1013"/>
      <c r="KL237" s="1013"/>
      <c r="KM237" s="1013"/>
      <c r="KN237" s="1013"/>
      <c r="KO237" s="1013"/>
      <c r="LB237" s="1013"/>
      <c r="LC237" s="1013"/>
      <c r="LD237" s="1013"/>
      <c r="LE237" s="1013"/>
      <c r="LF237" s="1013"/>
      <c r="LG237" s="1013"/>
      <c r="LH237" s="1013"/>
      <c r="LI237" s="1013"/>
      <c r="LJ237" s="1013"/>
      <c r="LK237" s="1013"/>
      <c r="LL237" s="1013"/>
      <c r="LM237" s="1013"/>
      <c r="LN237" s="1013"/>
      <c r="LO237" s="1013"/>
      <c r="LR237" s="1013"/>
      <c r="LS237" s="1013"/>
      <c r="LT237" s="1013"/>
      <c r="LU237" s="1013"/>
      <c r="LV237" s="1013"/>
      <c r="LW237" s="1013"/>
      <c r="LX237" s="1013"/>
      <c r="LZ237" s="1013"/>
      <c r="MA237" s="1013"/>
      <c r="MB237" s="1013"/>
      <c r="MC237" s="1013"/>
      <c r="MD237" s="1013"/>
      <c r="ME237" s="1013"/>
      <c r="MF237" s="1013"/>
      <c r="MH237" s="1013"/>
      <c r="MI237" s="1013"/>
      <c r="MJ237" s="1013"/>
      <c r="MK237" s="1013"/>
      <c r="ML237" s="1013"/>
      <c r="MM237" s="1013"/>
      <c r="MN237" s="1013"/>
      <c r="MO237" s="1013"/>
      <c r="MP237" s="1013"/>
    </row>
    <row r="238" spans="1:354" ht="15" thickBot="1">
      <c r="A238" s="867"/>
      <c r="C238" s="1004" t="s">
        <v>191</v>
      </c>
      <c r="D238" s="1015"/>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7">
        <v>-2773.8765688699928</v>
      </c>
      <c r="AP238" s="1018">
        <v>1092.8382973199932</v>
      </c>
      <c r="AQ238" s="1004">
        <v>-1601.225874729997</v>
      </c>
      <c r="AR238" s="1004">
        <v>-1068.5157370300021</v>
      </c>
      <c r="AS238" s="1017">
        <v>-700.49672850000559</v>
      </c>
      <c r="AT238" s="1017">
        <v>-174.12211790999754</v>
      </c>
      <c r="AU238" s="1017">
        <v>-59.280305860001604</v>
      </c>
      <c r="AV238" s="1017">
        <v>-636.00592111999538</v>
      </c>
      <c r="AW238" s="1017">
        <v>-646.03362735000201</v>
      </c>
      <c r="AX238" s="1017">
        <v>1408.1461292400015</v>
      </c>
      <c r="AY238" s="1017">
        <v>-200.63779103999934</v>
      </c>
      <c r="AZ238" s="1017">
        <v>0</v>
      </c>
      <c r="BA238" s="1017">
        <v>-915.33776759000602</v>
      </c>
      <c r="BB238" s="1017">
        <v>176.80041938000318</v>
      </c>
      <c r="BC238" s="1017">
        <v>-363.90783853999756</v>
      </c>
      <c r="BD238" s="1017">
        <v>1053.7841949100002</v>
      </c>
      <c r="BE238" s="1017">
        <v>-1006.6229507399989</v>
      </c>
      <c r="BF238" s="1017">
        <v>-338.53914281000561</v>
      </c>
      <c r="BG238" s="1017">
        <v>106.52437047000137</v>
      </c>
      <c r="BH238" s="1017">
        <v>-252.24227626000308</v>
      </c>
      <c r="BI238" s="1017">
        <v>239.50010924000392</v>
      </c>
      <c r="BJ238" s="1017">
        <v>-66.328171709996695</v>
      </c>
      <c r="BK238" s="1017">
        <v>1012.7894656899948</v>
      </c>
      <c r="BL238" s="1017">
        <v>-206.70351644999903</v>
      </c>
      <c r="BM238" s="1017">
        <f t="shared" ref="BM238:BX238" si="1199">SUM(BM235:BM237)</f>
        <v>-586.33782238999447</v>
      </c>
      <c r="BN238" s="1017">
        <f t="shared" si="1199"/>
        <v>-609.35894884000356</v>
      </c>
      <c r="BO238" s="1017">
        <f t="shared" si="1199"/>
        <v>423.11616083999741</v>
      </c>
      <c r="BP238" s="1017">
        <f t="shared" si="1199"/>
        <v>-379.83665856000101</v>
      </c>
      <c r="BQ238" s="1017">
        <f t="shared" si="1199"/>
        <v>535.80584130000364</v>
      </c>
      <c r="BR238" s="1017">
        <f t="shared" si="1199"/>
        <v>-48.669332630003353</v>
      </c>
      <c r="BS238" s="1017">
        <f t="shared" si="1199"/>
        <v>-284.24640592999646</v>
      </c>
      <c r="BT238" s="1017">
        <f t="shared" si="1199"/>
        <v>104.80073302999885</v>
      </c>
      <c r="BU238" s="1017">
        <f t="shared" si="1199"/>
        <v>-361.19821205999847</v>
      </c>
      <c r="BV238" s="1017">
        <f t="shared" si="1199"/>
        <v>835.15721473999815</v>
      </c>
      <c r="BW238" s="1017">
        <f t="shared" si="1199"/>
        <v>-172.90071030999695</v>
      </c>
      <c r="BX238" s="1017">
        <f t="shared" si="1199"/>
        <v>459.14647982999605</v>
      </c>
      <c r="BY238" s="1019">
        <f t="shared" ref="BY238:EF238" si="1200">SUM(BY235:BY237)</f>
        <v>-720.1954776700004</v>
      </c>
      <c r="BZ238" s="1019">
        <f t="shared" si="1200"/>
        <v>34.108861180004716</v>
      </c>
      <c r="CA238" s="1019">
        <f t="shared" si="1200"/>
        <v>-191.23711034000229</v>
      </c>
      <c r="CB238" s="1019">
        <f t="shared" si="1200"/>
        <v>160.29892759000251</v>
      </c>
      <c r="CC238" s="1019">
        <f t="shared" si="1200"/>
        <v>67.633332939999249</v>
      </c>
      <c r="CD238" s="1019">
        <f t="shared" si="1200"/>
        <v>-109.49255223000023</v>
      </c>
      <c r="CE238" s="1019">
        <f t="shared" si="1200"/>
        <v>1086.7722490899996</v>
      </c>
      <c r="CF238" s="1019">
        <f t="shared" si="1200"/>
        <v>-206.26283273999957</v>
      </c>
      <c r="CG238" s="1019">
        <f t="shared" si="1200"/>
        <v>-727.0797346300011</v>
      </c>
      <c r="CH238" s="1019">
        <f t="shared" si="1200"/>
        <v>-355.373502790006</v>
      </c>
      <c r="CI238" s="1019">
        <f t="shared" si="1200"/>
        <v>-19.467824959995056</v>
      </c>
      <c r="CJ238" s="1019">
        <f t="shared" si="1200"/>
        <v>163.9331067799987</v>
      </c>
      <c r="CK238" s="1019">
        <f t="shared" si="1200"/>
        <v>-416.30388124999791</v>
      </c>
      <c r="CL238" s="1019">
        <f t="shared" si="1200"/>
        <v>322.56746037999977</v>
      </c>
      <c r="CM238" s="1019">
        <f t="shared" si="1200"/>
        <v>42.685263620000029</v>
      </c>
      <c r="CN238" s="1019">
        <f t="shared" si="1200"/>
        <v>-58.241102019999644</v>
      </c>
      <c r="CO238" s="1019">
        <f t="shared" si="1200"/>
        <v>76.815120290000522</v>
      </c>
      <c r="CP238" s="1019">
        <f t="shared" si="1200"/>
        <v>210.33408645000222</v>
      </c>
      <c r="CQ238" s="1019">
        <f t="shared" si="1200"/>
        <v>450.02995133999815</v>
      </c>
      <c r="CR238" s="1019">
        <f t="shared" si="1200"/>
        <v>781.13588506000406</v>
      </c>
      <c r="CS238" s="1019">
        <f t="shared" si="1200"/>
        <v>-73.072499880002653</v>
      </c>
      <c r="CT238" s="1019">
        <f t="shared" si="1200"/>
        <v>-444.22046156000505</v>
      </c>
      <c r="CU238" s="1019">
        <f t="shared" si="1200"/>
        <v>-437.79996888999426</v>
      </c>
      <c r="CV238" s="1019">
        <f t="shared" si="1200"/>
        <v>745.61586505999594</v>
      </c>
      <c r="CW238" s="1019">
        <f t="shared" si="1200"/>
        <v>-331.40039417000116</v>
      </c>
      <c r="CX238" s="1019">
        <f t="shared" si="1200"/>
        <v>-746.21224277999443</v>
      </c>
      <c r="CY238" s="1019">
        <f t="shared" si="1200"/>
        <v>-392.77440494000211</v>
      </c>
      <c r="CZ238" s="1019">
        <f t="shared" si="1200"/>
        <v>1315.5507111400016</v>
      </c>
      <c r="DA238" s="1019">
        <f t="shared" si="1200"/>
        <v>-360.46201504000322</v>
      </c>
      <c r="DB238" s="1019">
        <f t="shared" si="1200"/>
        <v>485.71938031000383</v>
      </c>
      <c r="DC238" s="1019">
        <f t="shared" si="1200"/>
        <v>-337.74704415000332</v>
      </c>
      <c r="DD238" s="1019">
        <f t="shared" si="1200"/>
        <v>-494.48931197999718</v>
      </c>
      <c r="DE238" s="1019">
        <f t="shared" si="1200"/>
        <v>-538.87220892000323</v>
      </c>
      <c r="DF238" s="1019">
        <f t="shared" si="1200"/>
        <v>116.85817150999631</v>
      </c>
      <c r="DG238" s="1019">
        <f t="shared" si="1200"/>
        <v>1.829820929996373</v>
      </c>
      <c r="DH238" s="1019">
        <f t="shared" si="1200"/>
        <v>1023.3912418499993</v>
      </c>
      <c r="DI238" s="1019">
        <f t="shared" si="1200"/>
        <v>-624.61593118999656</v>
      </c>
      <c r="DJ238" s="1019">
        <f t="shared" si="1200"/>
        <v>288.21887294000294</v>
      </c>
      <c r="DK238" s="1019">
        <f t="shared" si="1200"/>
        <v>-317.78567717000078</v>
      </c>
      <c r="DL238" s="1019">
        <f t="shared" si="1200"/>
        <v>591.9851531199987</v>
      </c>
      <c r="DM238" s="1019">
        <f t="shared" si="1200"/>
        <v>-259.98878500000336</v>
      </c>
      <c r="DN238" s="1019">
        <f t="shared" si="1200"/>
        <v>-39.082610069997216</v>
      </c>
      <c r="DO238" s="1019">
        <f t="shared" si="1200"/>
        <v>-171.01474205000409</v>
      </c>
      <c r="DP238" s="1019">
        <f t="shared" si="1200"/>
        <v>-61.315476909996505</v>
      </c>
      <c r="DQ238" s="1017">
        <f t="shared" si="1200"/>
        <v>83.089003140000273</v>
      </c>
      <c r="DR238" s="1017">
        <f t="shared" si="1200"/>
        <v>687.6838866900066</v>
      </c>
      <c r="DS238" s="1017">
        <f t="shared" si="1200"/>
        <v>-764.22764664000272</v>
      </c>
      <c r="DT238" s="1017">
        <f t="shared" si="1200"/>
        <v>-177.88804303999586</v>
      </c>
      <c r="DU238" s="1017">
        <f t="shared" si="1200"/>
        <v>384.21584321000029</v>
      </c>
      <c r="DV238" s="1017">
        <f t="shared" si="1200"/>
        <v>562.86297543999353</v>
      </c>
      <c r="DW238" s="1017">
        <f t="shared" si="1200"/>
        <v>-589.03740577999793</v>
      </c>
      <c r="DX238" s="1017">
        <f t="shared" si="1200"/>
        <v>-208.13926802999694</v>
      </c>
      <c r="DY238" s="1017">
        <f t="shared" si="1200"/>
        <v>122.11864307000252</v>
      </c>
      <c r="DZ238" s="1017">
        <f t="shared" si="1200"/>
        <v>645.77511112000354</v>
      </c>
      <c r="EA238" s="1017">
        <f t="shared" si="1200"/>
        <v>-224.12918472000314</v>
      </c>
      <c r="EB238" s="1017">
        <f t="shared" si="1200"/>
        <v>399.36369518999692</v>
      </c>
      <c r="EC238" s="1017">
        <f t="shared" si="1200"/>
        <v>-611.39645635000034</v>
      </c>
      <c r="ED238" s="1017">
        <f t="shared" si="1200"/>
        <v>90.70977414000069</v>
      </c>
      <c r="EE238" s="1017">
        <f t="shared" si="1200"/>
        <v>-39.095444420001343</v>
      </c>
      <c r="EF238" s="1017">
        <f t="shared" si="1200"/>
        <v>1197.4731384800002</v>
      </c>
      <c r="EG238" s="25"/>
      <c r="EH238" s="1004"/>
      <c r="EI238" s="1004"/>
      <c r="EJ238" s="1004"/>
      <c r="EK238" s="1004"/>
      <c r="EL238" s="1004"/>
      <c r="EM238" s="1004"/>
      <c r="EN238" s="1004"/>
      <c r="EO238" s="1004"/>
      <c r="EP238" s="1017"/>
      <c r="EQ238" s="1017"/>
      <c r="ER238" s="1017"/>
      <c r="ES238" s="1017"/>
      <c r="EU238" s="1004">
        <v>-2773.1939616700024</v>
      </c>
      <c r="EV238" s="1004">
        <v>-696.21625489599603</v>
      </c>
      <c r="EW238" s="1004">
        <v>407.10620232700194</v>
      </c>
      <c r="EX238" s="1017">
        <v>992.63325383556582</v>
      </c>
      <c r="EY238" s="1017">
        <v>-1224.070581495562</v>
      </c>
      <c r="EZ238" s="1017">
        <v>531.0025035140967</v>
      </c>
      <c r="FA238" s="1017">
        <v>-1647.1782363631555</v>
      </c>
      <c r="FB238" s="1017">
        <v>-412.09453100425549</v>
      </c>
      <c r="FC238" s="1017">
        <v>699.72414534587983</v>
      </c>
      <c r="FD238" s="1017">
        <v>1270.4551476637776</v>
      </c>
      <c r="FE238" s="1017">
        <v>-1666.860442310413</v>
      </c>
      <c r="FF238" s="1017">
        <v>225.12239900250063</v>
      </c>
      <c r="FG238" s="1004">
        <f t="shared" ref="FG238:GD238" si="1201">SUM(FG235:FG237)</f>
        <v>-182.82359112956044</v>
      </c>
      <c r="FH238" s="1004">
        <f t="shared" si="1201"/>
        <v>-45.584436750366365</v>
      </c>
      <c r="FI238" s="1004">
        <f t="shared" si="1201"/>
        <v>-29.45856852470331</v>
      </c>
      <c r="FJ238" s="1017">
        <f t="shared" si="1201"/>
        <v>-97.639009168528958</v>
      </c>
      <c r="FK238" s="1017">
        <f t="shared" si="1201"/>
        <v>109.24490857162789</v>
      </c>
      <c r="FL238" s="1017">
        <f t="shared" si="1201"/>
        <v>320.89010179358502</v>
      </c>
      <c r="FM238" s="1017">
        <f t="shared" si="1201"/>
        <v>383.86049724361192</v>
      </c>
      <c r="FN238" s="1017">
        <f t="shared" si="1201"/>
        <v>453.85232322619459</v>
      </c>
      <c r="FO238" s="1017">
        <f t="shared" si="1201"/>
        <v>419.57474811203338</v>
      </c>
      <c r="FP238" s="1017">
        <f t="shared" si="1201"/>
        <v>478.60959561466711</v>
      </c>
      <c r="FQ238" s="1017">
        <f t="shared" si="1201"/>
        <v>369.93309816674247</v>
      </c>
      <c r="FR238" s="1017">
        <f t="shared" si="1201"/>
        <v>170.06329953912251</v>
      </c>
      <c r="FS238" s="1004">
        <f t="shared" si="1201"/>
        <v>135.05859800000002</v>
      </c>
      <c r="FT238" s="1004">
        <f t="shared" si="1201"/>
        <v>336.8367549100002</v>
      </c>
      <c r="FU238" s="1004">
        <f t="shared" si="1201"/>
        <v>341.36084599999981</v>
      </c>
      <c r="FV238" s="1017">
        <f t="shared" si="1201"/>
        <v>297.18355891000004</v>
      </c>
      <c r="FW238" s="1017">
        <f t="shared" si="1201"/>
        <v>314.96711791000018</v>
      </c>
      <c r="FX238" s="1017">
        <f t="shared" si="1201"/>
        <v>282.30310291000006</v>
      </c>
      <c r="FY238" s="1017">
        <f t="shared" si="1201"/>
        <v>307.20153890999984</v>
      </c>
      <c r="FZ238" s="1017">
        <f t="shared" si="1201"/>
        <v>101.67076090999996</v>
      </c>
      <c r="GA238" s="1017">
        <f t="shared" si="1201"/>
        <v>-6.2338200000000938</v>
      </c>
      <c r="GB238" s="1017">
        <f t="shared" si="1201"/>
        <v>-83.64703609</v>
      </c>
      <c r="GC238" s="1017">
        <f t="shared" si="1201"/>
        <v>-26.128150090000162</v>
      </c>
      <c r="GD238" s="1017">
        <f t="shared" si="1201"/>
        <v>-82.266508000000073</v>
      </c>
      <c r="GE238" s="1017"/>
      <c r="GF238" s="1017"/>
      <c r="GG238" s="1017"/>
      <c r="GH238" s="1017"/>
      <c r="GI238" s="1017"/>
      <c r="GJ238" s="1017"/>
      <c r="GK238" s="1017"/>
      <c r="GL238" s="1017"/>
      <c r="GM238" s="1017"/>
      <c r="GN238" s="1017"/>
      <c r="GO238" s="1017"/>
      <c r="GP238" s="1017"/>
      <c r="GQ238" s="1017"/>
      <c r="GR238" s="1017"/>
      <c r="GS238" s="1017"/>
      <c r="GT238" s="1017"/>
      <c r="GU238" s="1017"/>
      <c r="GV238" s="1017"/>
      <c r="GW238" s="1017"/>
      <c r="GX238" s="1017"/>
      <c r="GY238" s="1017"/>
      <c r="GZ238" s="1017"/>
      <c r="HA238" s="1017"/>
      <c r="HB238" s="1017"/>
      <c r="HD238" s="1009"/>
      <c r="HE238" s="1009"/>
      <c r="HF238" s="1009"/>
      <c r="HG238" s="1009"/>
      <c r="HH238" s="1009"/>
      <c r="HI238" s="1009"/>
      <c r="HJ238" s="1009"/>
      <c r="HK238" s="1009"/>
      <c r="HL238" s="1009"/>
      <c r="HM238" s="1009"/>
      <c r="HN238" s="1009"/>
      <c r="HO238" s="1009"/>
      <c r="HP238" s="1009"/>
      <c r="JA238" s="1009"/>
      <c r="JB238" s="1009"/>
      <c r="JC238" s="1009"/>
      <c r="JD238" s="1009"/>
      <c r="JE238" s="1009"/>
      <c r="JF238" s="1009"/>
      <c r="JG238" s="1009"/>
      <c r="JH238" s="1009"/>
      <c r="JI238" s="1009"/>
      <c r="JJ238" s="1009"/>
      <c r="JK238" s="1009"/>
      <c r="JL238" s="1009"/>
      <c r="JM238" s="1009"/>
      <c r="JN238" s="1009"/>
      <c r="JY238" s="1009"/>
      <c r="JZ238" s="1009"/>
      <c r="KA238" s="1009"/>
      <c r="KB238" s="1009"/>
      <c r="KC238" s="1009"/>
      <c r="KD238" s="1009"/>
      <c r="KE238" s="1009"/>
      <c r="KF238" s="1009"/>
      <c r="KH238" s="1009"/>
      <c r="KI238" s="1009"/>
      <c r="KJ238" s="1009"/>
      <c r="KK238" s="1009"/>
      <c r="KL238" s="1009"/>
      <c r="KM238" s="1009"/>
      <c r="KN238" s="1009"/>
      <c r="KO238" s="1009"/>
      <c r="LB238" s="1009"/>
      <c r="LC238" s="1009"/>
      <c r="LD238" s="1009"/>
      <c r="LE238" s="1009"/>
      <c r="LF238" s="1009"/>
      <c r="LG238" s="1009"/>
      <c r="LH238" s="1009"/>
      <c r="LI238" s="1009"/>
      <c r="LJ238" s="1009"/>
      <c r="LK238" s="1009"/>
      <c r="LL238" s="1009"/>
      <c r="LM238" s="1009"/>
      <c r="LN238" s="1009"/>
      <c r="LO238" s="1009"/>
      <c r="LR238" s="1009"/>
      <c r="LS238" s="1009"/>
      <c r="LT238" s="1009"/>
      <c r="LU238" s="1009"/>
      <c r="LV238" s="1009"/>
      <c r="LW238" s="1009"/>
      <c r="LX238" s="1009"/>
      <c r="LZ238" s="1009"/>
      <c r="MA238" s="1009"/>
      <c r="MB238" s="1009"/>
      <c r="MC238" s="1009"/>
      <c r="MD238" s="1009"/>
      <c r="ME238" s="1009"/>
      <c r="MF238" s="1009"/>
      <c r="MH238" s="1009"/>
      <c r="MI238" s="1009"/>
      <c r="MJ238" s="1009"/>
      <c r="MK238" s="1009"/>
      <c r="ML238" s="1009"/>
      <c r="MM238" s="1009"/>
      <c r="MN238" s="1009"/>
      <c r="MO238" s="1009"/>
      <c r="MP238" s="1009"/>
    </row>
    <row r="239" spans="1:354" ht="15" thickTop="1">
      <c r="A239" s="867"/>
      <c r="C239" s="1010" t="s">
        <v>192</v>
      </c>
      <c r="D239" s="662"/>
      <c r="E239" s="1011"/>
      <c r="F239" s="1011"/>
      <c r="G239" s="1011"/>
      <c r="H239" s="1011"/>
      <c r="I239" s="1011"/>
      <c r="J239" s="1011"/>
      <c r="K239" s="1011"/>
      <c r="L239" s="1011"/>
      <c r="M239" s="1011"/>
      <c r="N239" s="1011"/>
      <c r="O239" s="1011"/>
      <c r="P239" s="1011"/>
      <c r="Q239" s="1011"/>
      <c r="R239" s="1011"/>
      <c r="S239" s="1011"/>
      <c r="T239" s="1011"/>
      <c r="U239" s="1011"/>
      <c r="V239" s="1011"/>
      <c r="W239" s="1011"/>
      <c r="X239" s="1011"/>
      <c r="Y239" s="1011"/>
      <c r="Z239" s="1011"/>
      <c r="AA239" s="1011"/>
      <c r="AB239" s="1011"/>
      <c r="AC239" s="1011"/>
      <c r="AD239" s="1011"/>
      <c r="AE239" s="1011"/>
      <c r="AF239" s="1011"/>
      <c r="AG239" s="1011"/>
      <c r="AH239" s="1011"/>
      <c r="AI239" s="1011"/>
      <c r="AJ239" s="1011"/>
      <c r="AK239" s="1011"/>
      <c r="AL239" s="1011"/>
      <c r="AM239" s="1011"/>
      <c r="AN239" s="1011"/>
      <c r="AO239" s="873">
        <v>6701.5506137099992</v>
      </c>
      <c r="AP239" s="920">
        <v>3927.6740448400001</v>
      </c>
      <c r="AQ239" s="1010">
        <v>5020.5123421600001</v>
      </c>
      <c r="AR239" s="1010">
        <v>3419.2864674299999</v>
      </c>
      <c r="AS239" s="873">
        <v>2350.7707303999996</v>
      </c>
      <c r="AT239" s="873">
        <v>1650.2740019</v>
      </c>
      <c r="AU239" s="873">
        <v>1476.15188399</v>
      </c>
      <c r="AV239" s="873">
        <v>1416.8715781300002</v>
      </c>
      <c r="AW239" s="873">
        <v>780.86565700999995</v>
      </c>
      <c r="AX239" s="873">
        <v>134.83202965999999</v>
      </c>
      <c r="AY239" s="873">
        <v>1542.9781589000002</v>
      </c>
      <c r="AZ239" s="873">
        <v>1555.0575291100001</v>
      </c>
      <c r="BA239" s="873">
        <v>1555.0576780000001</v>
      </c>
      <c r="BB239" s="873">
        <v>639.71991041000001</v>
      </c>
      <c r="BC239" s="873">
        <v>816.52032979000001</v>
      </c>
      <c r="BD239" s="873">
        <v>452.61249125000001</v>
      </c>
      <c r="BE239" s="873">
        <v>1506.3966861600002</v>
      </c>
      <c r="BF239" s="873">
        <v>499.77373542000004</v>
      </c>
      <c r="BG239" s="873">
        <v>161.23459261000002</v>
      </c>
      <c r="BH239" s="873">
        <v>267.75896308</v>
      </c>
      <c r="BI239" s="873">
        <v>15.51668682</v>
      </c>
      <c r="BJ239" s="873">
        <v>255.01679605999999</v>
      </c>
      <c r="BK239" s="873">
        <v>188.68862435</v>
      </c>
      <c r="BL239" s="873">
        <v>1201.4780900399999</v>
      </c>
      <c r="BM239" s="873">
        <f t="shared" ref="BM239:DX239" si="1202">+BL118+BL119</f>
        <v>994.77457359000005</v>
      </c>
      <c r="BN239" s="873">
        <f t="shared" si="1202"/>
        <v>718.85212844</v>
      </c>
      <c r="BO239" s="873">
        <f t="shared" si="1202"/>
        <v>109.49317959999999</v>
      </c>
      <c r="BP239" s="873">
        <f t="shared" si="1202"/>
        <v>532.60934043999998</v>
      </c>
      <c r="BQ239" s="873">
        <f t="shared" si="1202"/>
        <v>273.69954139999999</v>
      </c>
      <c r="BR239" s="873">
        <f t="shared" si="1202"/>
        <v>809.50538270000004</v>
      </c>
      <c r="BS239" s="873">
        <f t="shared" si="1202"/>
        <v>760.83605007000006</v>
      </c>
      <c r="BT239" s="873">
        <f t="shared" si="1202"/>
        <v>476.58964413999996</v>
      </c>
      <c r="BU239" s="873">
        <f t="shared" si="1202"/>
        <v>581.39037716999997</v>
      </c>
      <c r="BV239" s="873">
        <f t="shared" si="1202"/>
        <v>220.19216511000002</v>
      </c>
      <c r="BW239" s="873">
        <f t="shared" si="1202"/>
        <v>1055.3493798500001</v>
      </c>
      <c r="BX239" s="873">
        <f t="shared" si="1202"/>
        <v>882.44866953999997</v>
      </c>
      <c r="BY239" s="1012">
        <f t="shared" si="1202"/>
        <v>1388.09621137</v>
      </c>
      <c r="BZ239" s="1012">
        <f t="shared" si="1202"/>
        <v>667.90073370000005</v>
      </c>
      <c r="CA239" s="1012">
        <f t="shared" si="1202"/>
        <v>702.00959488000001</v>
      </c>
      <c r="CB239" s="1012">
        <f t="shared" si="1202"/>
        <v>510.77248453999999</v>
      </c>
      <c r="CC239" s="1012">
        <f t="shared" si="1202"/>
        <v>671.07141213</v>
      </c>
      <c r="CD239" s="1012">
        <f t="shared" si="1202"/>
        <v>738.70474507000006</v>
      </c>
      <c r="CE239" s="1012">
        <f t="shared" si="1202"/>
        <v>629.21219284000006</v>
      </c>
      <c r="CF239" s="1012">
        <f t="shared" si="1202"/>
        <v>1715.98444193</v>
      </c>
      <c r="CG239" s="1012">
        <f t="shared" si="1202"/>
        <v>1509.72160919</v>
      </c>
      <c r="CH239" s="1012">
        <f t="shared" si="1202"/>
        <v>782.64187455999991</v>
      </c>
      <c r="CI239" s="1012">
        <f t="shared" si="1202"/>
        <v>427.26837176999999</v>
      </c>
      <c r="CJ239" s="1012">
        <f t="shared" si="1202"/>
        <v>407.80054681000001</v>
      </c>
      <c r="CK239" s="1012">
        <f t="shared" si="1202"/>
        <v>571.73365359000002</v>
      </c>
      <c r="CL239" s="1012">
        <f t="shared" si="1202"/>
        <v>155.42977234</v>
      </c>
      <c r="CM239" s="1012">
        <f t="shared" si="1202"/>
        <v>477.99723272000006</v>
      </c>
      <c r="CN239" s="1012">
        <f t="shared" si="1202"/>
        <v>520.68249633999994</v>
      </c>
      <c r="CO239" s="1012">
        <f t="shared" si="1202"/>
        <v>462.44139431999997</v>
      </c>
      <c r="CP239" s="1012">
        <f t="shared" si="1202"/>
        <v>539.25651461000007</v>
      </c>
      <c r="CQ239" s="1012">
        <f t="shared" si="1202"/>
        <v>749.59060105999993</v>
      </c>
      <c r="CR239" s="1012">
        <f t="shared" si="1202"/>
        <v>1199.6205524000002</v>
      </c>
      <c r="CS239" s="1012">
        <f t="shared" si="1202"/>
        <v>1980.7564374600001</v>
      </c>
      <c r="CT239" s="1012">
        <f t="shared" si="1202"/>
        <v>1907.68393758</v>
      </c>
      <c r="CU239" s="1012">
        <f t="shared" si="1202"/>
        <v>1463.4634760199999</v>
      </c>
      <c r="CV239" s="1012">
        <f t="shared" si="1202"/>
        <v>1025.66350713</v>
      </c>
      <c r="CW239" s="1012">
        <f t="shared" si="1202"/>
        <v>1771.27937219</v>
      </c>
      <c r="CX239" s="1012">
        <f t="shared" si="1202"/>
        <v>1439.87897802</v>
      </c>
      <c r="CY239" s="1012">
        <f t="shared" si="1202"/>
        <v>693.67248210000002</v>
      </c>
      <c r="CZ239" s="1012">
        <f t="shared" si="1202"/>
        <v>300.89807716000001</v>
      </c>
      <c r="DA239" s="1012">
        <f t="shared" si="1202"/>
        <v>1616.4487882999999</v>
      </c>
      <c r="DB239" s="1012">
        <f t="shared" si="1202"/>
        <v>1255.9867732600001</v>
      </c>
      <c r="DC239" s="1012">
        <f t="shared" si="1202"/>
        <v>1741.70615357</v>
      </c>
      <c r="DD239" s="1012">
        <f t="shared" si="1202"/>
        <v>1403.95910942</v>
      </c>
      <c r="DE239" s="1012">
        <f t="shared" si="1202"/>
        <v>909.46979744000009</v>
      </c>
      <c r="DF239" s="1012">
        <f t="shared" si="1202"/>
        <v>370.59758851999999</v>
      </c>
      <c r="DG239" s="1012">
        <f t="shared" si="1202"/>
        <v>487.45576002999996</v>
      </c>
      <c r="DH239" s="1012">
        <f t="shared" si="1202"/>
        <v>489.28558096</v>
      </c>
      <c r="DI239" s="1012">
        <f>+DH118+DH119</f>
        <v>1512.67682281</v>
      </c>
      <c r="DJ239" s="1012">
        <f t="shared" si="1202"/>
        <v>888.06089162000001</v>
      </c>
      <c r="DK239" s="1012">
        <f t="shared" si="1202"/>
        <v>1176.2797645599999</v>
      </c>
      <c r="DL239" s="1012">
        <f t="shared" si="1202"/>
        <v>858.49408739</v>
      </c>
      <c r="DM239" s="1012">
        <f t="shared" si="1202"/>
        <v>1450.47924051</v>
      </c>
      <c r="DN239" s="1012">
        <f t="shared" si="1202"/>
        <v>1190.4904555099999</v>
      </c>
      <c r="DO239" s="1012">
        <f t="shared" si="1202"/>
        <v>1151.4078454400001</v>
      </c>
      <c r="DP239" s="1012">
        <f t="shared" si="1202"/>
        <v>980.39310338999996</v>
      </c>
      <c r="DQ239" s="873">
        <f t="shared" si="1202"/>
        <v>919.07762648000005</v>
      </c>
      <c r="DR239" s="873">
        <f t="shared" si="1202"/>
        <v>1002.16662962</v>
      </c>
      <c r="DS239" s="873">
        <f t="shared" si="1202"/>
        <v>1689.8505163099999</v>
      </c>
      <c r="DT239" s="873">
        <f t="shared" si="1202"/>
        <v>925.62286967</v>
      </c>
      <c r="DU239" s="873">
        <f t="shared" si="1202"/>
        <v>747.73482663000004</v>
      </c>
      <c r="DV239" s="873">
        <f t="shared" si="1202"/>
        <v>433.50848317999998</v>
      </c>
      <c r="DW239" s="873">
        <f t="shared" si="1202"/>
        <v>996.37145862</v>
      </c>
      <c r="DX239" s="873">
        <f t="shared" si="1202"/>
        <v>407.33405283999997</v>
      </c>
      <c r="DY239" s="873">
        <f t="shared" ref="DY239:EF239" si="1203">+DX118+DX119</f>
        <v>199.19478481000002</v>
      </c>
      <c r="DZ239" s="873">
        <f t="shared" si="1203"/>
        <v>321.31342788000001</v>
      </c>
      <c r="EA239" s="873">
        <f t="shared" si="1203"/>
        <v>967.08853899999997</v>
      </c>
      <c r="EB239" s="873">
        <f t="shared" si="1203"/>
        <v>742.95935427999996</v>
      </c>
      <c r="EC239" s="873">
        <f t="shared" si="1203"/>
        <v>1142.3230494700001</v>
      </c>
      <c r="ED239" s="873">
        <f t="shared" si="1203"/>
        <v>530.92659312000001</v>
      </c>
      <c r="EE239" s="873">
        <f t="shared" si="1203"/>
        <v>621.63636726000004</v>
      </c>
      <c r="EF239" s="873">
        <f t="shared" si="1203"/>
        <v>582.54092284000012</v>
      </c>
      <c r="EH239" s="1010"/>
      <c r="EI239" s="1010"/>
      <c r="EJ239" s="1010"/>
      <c r="EK239" s="1010"/>
      <c r="EL239" s="1010"/>
      <c r="EM239" s="1010"/>
      <c r="EN239" s="1010"/>
      <c r="EO239" s="1010"/>
      <c r="EP239" s="873"/>
      <c r="EQ239" s="873"/>
      <c r="ER239" s="873"/>
      <c r="ES239" s="873"/>
      <c r="EU239" s="1010">
        <v>6701.5506137099992</v>
      </c>
      <c r="EV239" s="1010">
        <v>3928.35665204</v>
      </c>
      <c r="EW239" s="1010">
        <v>3232.140397144005</v>
      </c>
      <c r="EX239" s="873">
        <v>3639.2465994710005</v>
      </c>
      <c r="EY239" s="873">
        <v>4631.8798533065683</v>
      </c>
      <c r="EZ239" s="873">
        <v>3407.8092718110047</v>
      </c>
      <c r="FA239" s="873">
        <v>3938.8117753251076</v>
      </c>
      <c r="FB239" s="873">
        <v>2291.6335389619485</v>
      </c>
      <c r="FC239" s="873">
        <v>1879.5390079576912</v>
      </c>
      <c r="FD239" s="873">
        <v>2579.2631533035737</v>
      </c>
      <c r="FE239" s="873">
        <v>3849.7183009673499</v>
      </c>
      <c r="FF239" s="873">
        <v>2182.8578586569365</v>
      </c>
      <c r="FG239" s="1010"/>
      <c r="FH239" s="1010"/>
      <c r="FI239" s="1010"/>
      <c r="FJ239" s="873"/>
      <c r="FK239" s="873"/>
      <c r="FL239" s="873"/>
      <c r="FM239" s="873"/>
      <c r="FN239" s="873"/>
      <c r="FO239" s="873"/>
      <c r="FP239" s="873"/>
      <c r="FQ239" s="873"/>
      <c r="FR239" s="873"/>
      <c r="FS239" s="1010"/>
      <c r="FT239" s="1010"/>
      <c r="FU239" s="1010"/>
      <c r="FV239" s="873"/>
      <c r="FW239" s="873"/>
      <c r="FX239" s="873"/>
      <c r="FY239" s="873"/>
      <c r="FZ239" s="873"/>
      <c r="GA239" s="873"/>
      <c r="GB239" s="873"/>
      <c r="GC239" s="873"/>
      <c r="GD239" s="873"/>
      <c r="GE239" s="873"/>
      <c r="GF239" s="873"/>
      <c r="GG239" s="873"/>
      <c r="GH239" s="873"/>
      <c r="GI239" s="873"/>
      <c r="GJ239" s="873"/>
      <c r="GK239" s="873"/>
      <c r="GL239" s="873"/>
      <c r="GM239" s="873"/>
      <c r="GN239" s="873"/>
      <c r="GO239" s="873"/>
      <c r="GP239" s="873"/>
      <c r="GQ239" s="873"/>
      <c r="GR239" s="873"/>
      <c r="GS239" s="873"/>
      <c r="GT239" s="873"/>
      <c r="GU239" s="873"/>
      <c r="GV239" s="873"/>
      <c r="GW239" s="873"/>
      <c r="GX239" s="873"/>
      <c r="GY239" s="873"/>
      <c r="GZ239" s="873"/>
      <c r="HA239" s="873"/>
      <c r="HB239" s="873"/>
      <c r="HD239" s="1013"/>
      <c r="HE239" s="1013"/>
      <c r="HF239" s="1013"/>
      <c r="HG239" s="1013"/>
      <c r="HH239" s="1013"/>
      <c r="HI239" s="1013"/>
      <c r="HJ239" s="1013"/>
      <c r="HK239" s="1013"/>
      <c r="HL239" s="1013"/>
      <c r="HM239" s="1013"/>
      <c r="HN239" s="1013"/>
      <c r="HO239" s="1013"/>
      <c r="HP239" s="1013"/>
      <c r="JA239" s="1013"/>
      <c r="JB239" s="1013"/>
      <c r="JC239" s="1013"/>
      <c r="JD239" s="1013"/>
      <c r="JE239" s="1013"/>
      <c r="JF239" s="1013"/>
      <c r="JG239" s="1013"/>
      <c r="JH239" s="1013"/>
      <c r="JI239" s="1013"/>
      <c r="JJ239" s="1013"/>
      <c r="JK239" s="1013"/>
      <c r="JL239" s="1013"/>
      <c r="JM239" s="1013"/>
      <c r="JN239" s="1013"/>
      <c r="JY239" s="1013"/>
      <c r="JZ239" s="1013"/>
      <c r="KA239" s="1013"/>
      <c r="KB239" s="1013"/>
      <c r="KC239" s="1013"/>
      <c r="KD239" s="1013"/>
      <c r="KE239" s="1013"/>
      <c r="KF239" s="1013"/>
      <c r="KH239" s="1013"/>
      <c r="KI239" s="1013"/>
      <c r="KJ239" s="1013"/>
      <c r="KK239" s="1013"/>
      <c r="KL239" s="1013"/>
      <c r="KM239" s="1013"/>
      <c r="KN239" s="1013"/>
      <c r="KO239" s="1013"/>
      <c r="LB239" s="1013"/>
      <c r="LC239" s="1013"/>
      <c r="LD239" s="1013"/>
      <c r="LE239" s="1013"/>
      <c r="LF239" s="1013"/>
      <c r="LG239" s="1013"/>
      <c r="LH239" s="1013"/>
      <c r="LI239" s="1013"/>
      <c r="LJ239" s="1013"/>
      <c r="LK239" s="1013"/>
      <c r="LL239" s="1013"/>
      <c r="LM239" s="1013"/>
      <c r="LN239" s="1013"/>
      <c r="LO239" s="1013"/>
      <c r="LR239" s="1013"/>
      <c r="LS239" s="1013"/>
      <c r="LT239" s="1013"/>
      <c r="LU239" s="1013"/>
      <c r="LV239" s="1013"/>
      <c r="LW239" s="1013"/>
      <c r="LX239" s="1013"/>
      <c r="LZ239" s="1013"/>
      <c r="MA239" s="1013"/>
      <c r="MB239" s="1013"/>
      <c r="MC239" s="1013"/>
      <c r="MD239" s="1013"/>
      <c r="ME239" s="1013"/>
      <c r="MF239" s="1013"/>
      <c r="MH239" s="1013"/>
      <c r="MI239" s="1013"/>
      <c r="MJ239" s="1013"/>
      <c r="MK239" s="1013"/>
      <c r="ML239" s="1013"/>
      <c r="MM239" s="1013"/>
      <c r="MN239" s="1013"/>
      <c r="MO239" s="1013"/>
      <c r="MP239" s="1013"/>
    </row>
    <row r="240" spans="1:354" ht="15" thickBot="1">
      <c r="A240" s="867"/>
      <c r="C240" s="1008" t="s">
        <v>193</v>
      </c>
      <c r="D240" s="662"/>
      <c r="E240" s="1005"/>
      <c r="F240" s="1005"/>
      <c r="G240" s="1005"/>
      <c r="H240" s="1005"/>
      <c r="I240" s="1005"/>
      <c r="J240" s="1005"/>
      <c r="K240" s="1005"/>
      <c r="L240" s="1005"/>
      <c r="M240" s="1005"/>
      <c r="N240" s="1005"/>
      <c r="O240" s="1005"/>
      <c r="P240" s="1005"/>
      <c r="Q240" s="1005"/>
      <c r="R240" s="1005"/>
      <c r="S240" s="1005"/>
      <c r="T240" s="1005"/>
      <c r="U240" s="1005"/>
      <c r="V240" s="1005"/>
      <c r="W240" s="1005"/>
      <c r="X240" s="1005"/>
      <c r="Y240" s="1005"/>
      <c r="Z240" s="1005"/>
      <c r="AA240" s="1005"/>
      <c r="AB240" s="1005"/>
      <c r="AC240" s="1005"/>
      <c r="AD240" s="1005"/>
      <c r="AE240" s="1005"/>
      <c r="AF240" s="1005"/>
      <c r="AG240" s="1005"/>
      <c r="AH240" s="1005"/>
      <c r="AI240" s="1005"/>
      <c r="AJ240" s="1005"/>
      <c r="AK240" s="1005"/>
      <c r="AL240" s="1005"/>
      <c r="AM240" s="1005"/>
      <c r="AN240" s="1005"/>
      <c r="AO240" s="1006">
        <v>3927.6740448400064</v>
      </c>
      <c r="AP240" s="1023">
        <v>5020.5123421599928</v>
      </c>
      <c r="AQ240" s="1008">
        <v>3419.2864674300031</v>
      </c>
      <c r="AR240" s="1008">
        <v>2350.7707303999978</v>
      </c>
      <c r="AS240" s="1006">
        <v>1650.2740018999939</v>
      </c>
      <c r="AT240" s="1006">
        <v>1476.1518839900025</v>
      </c>
      <c r="AU240" s="1006">
        <v>1416.8715781299984</v>
      </c>
      <c r="AV240" s="1006">
        <v>780.86565701000484</v>
      </c>
      <c r="AW240" s="1006">
        <v>134.83202965999794</v>
      </c>
      <c r="AX240" s="1006">
        <v>1542.9781589000015</v>
      </c>
      <c r="AY240" s="1006">
        <v>1342.3403678600007</v>
      </c>
      <c r="AZ240" s="1006">
        <v>1555.0575291100001</v>
      </c>
      <c r="BA240" s="1006">
        <v>639.7199104099941</v>
      </c>
      <c r="BB240" s="1006">
        <v>816.52032979000319</v>
      </c>
      <c r="BC240" s="1006">
        <v>452.61249125000245</v>
      </c>
      <c r="BD240" s="1006">
        <v>1506.3966861600002</v>
      </c>
      <c r="BE240" s="1006">
        <v>499.77373542000123</v>
      </c>
      <c r="BF240" s="1006">
        <v>161.23459260999442</v>
      </c>
      <c r="BG240" s="1006">
        <v>267.75896308000142</v>
      </c>
      <c r="BH240" s="1006">
        <v>15.51668681999692</v>
      </c>
      <c r="BI240" s="1006">
        <v>255.01679606000391</v>
      </c>
      <c r="BJ240" s="1006">
        <v>188.68862435000329</v>
      </c>
      <c r="BK240" s="1006">
        <v>1201.4780900399949</v>
      </c>
      <c r="BL240" s="1006">
        <v>994.77457359000084</v>
      </c>
      <c r="BM240" s="1006">
        <f t="shared" ref="BM240:DX240" si="1204">SUM(BM238:BM239)</f>
        <v>408.43675120000557</v>
      </c>
      <c r="BN240" s="1006">
        <f t="shared" si="1204"/>
        <v>109.49317959999644</v>
      </c>
      <c r="BO240" s="1006">
        <f t="shared" si="1204"/>
        <v>532.60934043999737</v>
      </c>
      <c r="BP240" s="1006">
        <f t="shared" si="1204"/>
        <v>152.77268187999897</v>
      </c>
      <c r="BQ240" s="1006">
        <f t="shared" si="1204"/>
        <v>809.50538270000357</v>
      </c>
      <c r="BR240" s="1006">
        <f t="shared" si="1204"/>
        <v>760.83605006999665</v>
      </c>
      <c r="BS240" s="1006">
        <f t="shared" si="1204"/>
        <v>476.5896441400036</v>
      </c>
      <c r="BT240" s="1006">
        <f t="shared" si="1204"/>
        <v>581.39037716999883</v>
      </c>
      <c r="BU240" s="1006">
        <f t="shared" si="1204"/>
        <v>220.1921651100015</v>
      </c>
      <c r="BV240" s="1006">
        <f t="shared" si="1204"/>
        <v>1055.3493798499981</v>
      </c>
      <c r="BW240" s="1006">
        <f t="shared" si="1204"/>
        <v>882.44866954000315</v>
      </c>
      <c r="BX240" s="1006">
        <f t="shared" si="1204"/>
        <v>1341.5951493699961</v>
      </c>
      <c r="BY240" s="1007">
        <f t="shared" si="1204"/>
        <v>667.90073369999959</v>
      </c>
      <c r="BZ240" s="1007">
        <f t="shared" si="1204"/>
        <v>702.00959488000478</v>
      </c>
      <c r="CA240" s="1007">
        <f t="shared" si="1204"/>
        <v>510.77248453999772</v>
      </c>
      <c r="CB240" s="1007">
        <f t="shared" si="1204"/>
        <v>671.0714121300025</v>
      </c>
      <c r="CC240" s="1007">
        <f t="shared" si="1204"/>
        <v>738.70474506999926</v>
      </c>
      <c r="CD240" s="1007">
        <f t="shared" si="1204"/>
        <v>629.21219283999983</v>
      </c>
      <c r="CE240" s="1007">
        <f t="shared" si="1204"/>
        <v>1715.9844419299998</v>
      </c>
      <c r="CF240" s="1007">
        <f t="shared" si="1204"/>
        <v>1509.7216091900004</v>
      </c>
      <c r="CG240" s="1007">
        <f t="shared" si="1204"/>
        <v>782.64187455999888</v>
      </c>
      <c r="CH240" s="1007">
        <f t="shared" si="1204"/>
        <v>427.26837176999391</v>
      </c>
      <c r="CI240" s="1007">
        <f t="shared" si="1204"/>
        <v>407.8005468100049</v>
      </c>
      <c r="CJ240" s="1007">
        <f t="shared" si="1204"/>
        <v>571.73365358999877</v>
      </c>
      <c r="CK240" s="1007">
        <f t="shared" si="1204"/>
        <v>155.4297723400021</v>
      </c>
      <c r="CL240" s="1007">
        <f t="shared" si="1204"/>
        <v>477.99723271999977</v>
      </c>
      <c r="CM240" s="1007">
        <f t="shared" si="1204"/>
        <v>520.68249634000006</v>
      </c>
      <c r="CN240" s="1007">
        <f t="shared" si="1204"/>
        <v>462.44139432000031</v>
      </c>
      <c r="CO240" s="1007">
        <f t="shared" si="1204"/>
        <v>539.25651461000052</v>
      </c>
      <c r="CP240" s="1007">
        <f t="shared" si="1204"/>
        <v>749.59060106000231</v>
      </c>
      <c r="CQ240" s="1007">
        <f t="shared" si="1204"/>
        <v>1199.6205523999981</v>
      </c>
      <c r="CR240" s="1007">
        <f t="shared" si="1204"/>
        <v>1980.7564374600042</v>
      </c>
      <c r="CS240" s="1007">
        <f t="shared" si="1204"/>
        <v>1907.6839375799975</v>
      </c>
      <c r="CT240" s="1007">
        <f t="shared" si="1204"/>
        <v>1463.4634760199949</v>
      </c>
      <c r="CU240" s="1007">
        <f t="shared" si="1204"/>
        <v>1025.6635071300057</v>
      </c>
      <c r="CV240" s="1007">
        <f t="shared" si="1204"/>
        <v>1771.2793721899959</v>
      </c>
      <c r="CW240" s="1007">
        <f t="shared" si="1204"/>
        <v>1439.8789780199988</v>
      </c>
      <c r="CX240" s="1007">
        <f t="shared" si="1204"/>
        <v>693.66673524000555</v>
      </c>
      <c r="CY240" s="1007">
        <f t="shared" si="1204"/>
        <v>300.89807715999791</v>
      </c>
      <c r="CZ240" s="1007">
        <f t="shared" si="1204"/>
        <v>1616.4487883000015</v>
      </c>
      <c r="DA240" s="1007">
        <f t="shared" si="1204"/>
        <v>1255.9867732599967</v>
      </c>
      <c r="DB240" s="1007">
        <f t="shared" si="1204"/>
        <v>1741.7061535700038</v>
      </c>
      <c r="DC240" s="1007">
        <f t="shared" si="1204"/>
        <v>1403.9591094199966</v>
      </c>
      <c r="DD240" s="1007">
        <f t="shared" si="1204"/>
        <v>909.46979744000282</v>
      </c>
      <c r="DE240" s="1007">
        <f t="shared" si="1204"/>
        <v>370.59758851999686</v>
      </c>
      <c r="DF240" s="1007">
        <f t="shared" si="1204"/>
        <v>487.45576002999633</v>
      </c>
      <c r="DG240" s="1007">
        <f t="shared" si="1204"/>
        <v>489.28558095999631</v>
      </c>
      <c r="DH240" s="1007">
        <f t="shared" si="1204"/>
        <v>1512.6768228099993</v>
      </c>
      <c r="DI240" s="1007">
        <f t="shared" si="1204"/>
        <v>888.06089162000342</v>
      </c>
      <c r="DJ240" s="1007">
        <f t="shared" si="1204"/>
        <v>1176.2797645600031</v>
      </c>
      <c r="DK240" s="1007">
        <f t="shared" si="1204"/>
        <v>858.49408738999909</v>
      </c>
      <c r="DL240" s="1007">
        <f t="shared" si="1204"/>
        <v>1450.4792405099988</v>
      </c>
      <c r="DM240" s="1007">
        <f t="shared" si="1204"/>
        <v>1190.4904555099965</v>
      </c>
      <c r="DN240" s="1007">
        <f t="shared" si="1204"/>
        <v>1151.4078454400028</v>
      </c>
      <c r="DO240" s="1007">
        <f t="shared" si="1204"/>
        <v>980.39310338999599</v>
      </c>
      <c r="DP240" s="1007">
        <f t="shared" si="1204"/>
        <v>919.07762648000346</v>
      </c>
      <c r="DQ240" s="1006">
        <f t="shared" si="1204"/>
        <v>1002.1666296200003</v>
      </c>
      <c r="DR240" s="1006">
        <f t="shared" si="1204"/>
        <v>1689.8505163100067</v>
      </c>
      <c r="DS240" s="1006">
        <f t="shared" si="1204"/>
        <v>925.62286966999716</v>
      </c>
      <c r="DT240" s="1006">
        <f t="shared" si="1204"/>
        <v>747.73482663000414</v>
      </c>
      <c r="DU240" s="1006">
        <f t="shared" si="1204"/>
        <v>1131.9506698400003</v>
      </c>
      <c r="DV240" s="1006">
        <f t="shared" si="1204"/>
        <v>996.37145861999352</v>
      </c>
      <c r="DW240" s="1006">
        <f t="shared" si="1204"/>
        <v>407.33405284000207</v>
      </c>
      <c r="DX240" s="1006">
        <f t="shared" si="1204"/>
        <v>199.19478481000303</v>
      </c>
      <c r="DY240" s="1006">
        <f t="shared" ref="DY240:EF240" si="1205">SUM(DY238:DY239)</f>
        <v>321.31342788000256</v>
      </c>
      <c r="DZ240" s="1006">
        <f t="shared" si="1205"/>
        <v>967.08853900000349</v>
      </c>
      <c r="EA240" s="1006">
        <f t="shared" si="1205"/>
        <v>742.95935427999689</v>
      </c>
      <c r="EB240" s="1006">
        <f t="shared" si="1205"/>
        <v>1142.3230494699969</v>
      </c>
      <c r="EC240" s="1006">
        <f t="shared" si="1205"/>
        <v>530.92659311999978</v>
      </c>
      <c r="ED240" s="1006">
        <f t="shared" si="1205"/>
        <v>621.63636726000072</v>
      </c>
      <c r="EE240" s="1006">
        <f t="shared" si="1205"/>
        <v>582.54092283999876</v>
      </c>
      <c r="EF240" s="1006">
        <f t="shared" si="1205"/>
        <v>1780.0140613200003</v>
      </c>
      <c r="EH240" s="1008"/>
      <c r="EI240" s="1008"/>
      <c r="EJ240" s="1008"/>
      <c r="EK240" s="1008"/>
      <c r="EL240" s="1008"/>
      <c r="EM240" s="1008"/>
      <c r="EN240" s="1008"/>
      <c r="EO240" s="1008"/>
      <c r="EP240" s="1006"/>
      <c r="EQ240" s="1006"/>
      <c r="ER240" s="1006"/>
      <c r="ES240" s="1006"/>
      <c r="EU240" s="1008">
        <v>3928.3566520399968</v>
      </c>
      <c r="EV240" s="1008">
        <v>3232.1403971440041</v>
      </c>
      <c r="EW240" s="1008">
        <v>3639.2465994710069</v>
      </c>
      <c r="EX240" s="1006">
        <v>4631.8798533065665</v>
      </c>
      <c r="EY240" s="1006">
        <v>3407.8092718110065</v>
      </c>
      <c r="EZ240" s="1006">
        <v>3938.8117753251013</v>
      </c>
      <c r="FA240" s="1006">
        <v>2291.6335389619521</v>
      </c>
      <c r="FB240" s="1006">
        <v>1879.539007957693</v>
      </c>
      <c r="FC240" s="1006">
        <v>2579.263153303571</v>
      </c>
      <c r="FD240" s="1006">
        <v>3849.7183009673513</v>
      </c>
      <c r="FE240" s="1006">
        <v>2182.857858656937</v>
      </c>
      <c r="FF240" s="1006">
        <v>2407.980257659437</v>
      </c>
      <c r="FG240" s="1008">
        <f t="shared" ref="FG240:GD240" si="1206">SUM(FG238:FG239)</f>
        <v>-182.82359112956044</v>
      </c>
      <c r="FH240" s="1008">
        <f t="shared" si="1206"/>
        <v>-45.584436750366365</v>
      </c>
      <c r="FI240" s="1008">
        <f t="shared" si="1206"/>
        <v>-29.45856852470331</v>
      </c>
      <c r="FJ240" s="1006">
        <f t="shared" si="1206"/>
        <v>-97.639009168528958</v>
      </c>
      <c r="FK240" s="1006">
        <f t="shared" si="1206"/>
        <v>109.24490857162789</v>
      </c>
      <c r="FL240" s="1006">
        <f t="shared" si="1206"/>
        <v>320.89010179358502</v>
      </c>
      <c r="FM240" s="1006">
        <f t="shared" si="1206"/>
        <v>383.86049724361192</v>
      </c>
      <c r="FN240" s="1006">
        <f t="shared" si="1206"/>
        <v>453.85232322619459</v>
      </c>
      <c r="FO240" s="1006">
        <f t="shared" si="1206"/>
        <v>419.57474811203338</v>
      </c>
      <c r="FP240" s="1006">
        <f t="shared" si="1206"/>
        <v>478.60959561466711</v>
      </c>
      <c r="FQ240" s="1006">
        <f t="shared" si="1206"/>
        <v>369.93309816674247</v>
      </c>
      <c r="FR240" s="1006">
        <f t="shared" si="1206"/>
        <v>170.06329953912251</v>
      </c>
      <c r="FS240" s="1008">
        <f t="shared" si="1206"/>
        <v>135.05859800000002</v>
      </c>
      <c r="FT240" s="1008">
        <f t="shared" si="1206"/>
        <v>336.8367549100002</v>
      </c>
      <c r="FU240" s="1008">
        <f t="shared" si="1206"/>
        <v>341.36084599999981</v>
      </c>
      <c r="FV240" s="1006">
        <f t="shared" si="1206"/>
        <v>297.18355891000004</v>
      </c>
      <c r="FW240" s="1006">
        <f t="shared" si="1206"/>
        <v>314.96711791000018</v>
      </c>
      <c r="FX240" s="1006">
        <f t="shared" si="1206"/>
        <v>282.30310291000006</v>
      </c>
      <c r="FY240" s="1006">
        <f t="shared" si="1206"/>
        <v>307.20153890999984</v>
      </c>
      <c r="FZ240" s="1006">
        <f t="shared" si="1206"/>
        <v>101.67076090999996</v>
      </c>
      <c r="GA240" s="1006">
        <f t="shared" si="1206"/>
        <v>-6.2338200000000938</v>
      </c>
      <c r="GB240" s="1006">
        <f t="shared" si="1206"/>
        <v>-83.64703609</v>
      </c>
      <c r="GC240" s="1006">
        <f t="shared" si="1206"/>
        <v>-26.128150090000162</v>
      </c>
      <c r="GD240" s="1006">
        <f t="shared" si="1206"/>
        <v>-82.266508000000073</v>
      </c>
      <c r="GE240" s="1006"/>
      <c r="GF240" s="1006"/>
      <c r="GG240" s="1006"/>
      <c r="GH240" s="1006"/>
      <c r="GI240" s="1006"/>
      <c r="GJ240" s="1006"/>
      <c r="GK240" s="1006"/>
      <c r="GL240" s="1006"/>
      <c r="GM240" s="1006"/>
      <c r="GN240" s="1006"/>
      <c r="GO240" s="1006"/>
      <c r="GP240" s="1006"/>
      <c r="GQ240" s="1006"/>
      <c r="GR240" s="1006"/>
      <c r="GS240" s="1006"/>
      <c r="GT240" s="1006"/>
      <c r="GU240" s="1006"/>
      <c r="GV240" s="1006"/>
      <c r="GW240" s="1006"/>
      <c r="GX240" s="1006"/>
      <c r="GY240" s="1006"/>
      <c r="GZ240" s="1006"/>
      <c r="HA240" s="1006"/>
      <c r="HB240" s="1006"/>
      <c r="HD240" s="1009"/>
      <c r="HE240" s="1009"/>
      <c r="HF240" s="1009"/>
      <c r="HG240" s="1009"/>
      <c r="HH240" s="1009"/>
      <c r="HI240" s="1009"/>
      <c r="HJ240" s="1009"/>
      <c r="HK240" s="1009"/>
      <c r="HL240" s="1009"/>
      <c r="HM240" s="1009"/>
      <c r="HN240" s="1009"/>
      <c r="HO240" s="1009"/>
      <c r="HP240" s="1009"/>
      <c r="JA240" s="1009"/>
      <c r="JB240" s="1009"/>
      <c r="JC240" s="1009"/>
      <c r="JD240" s="1009"/>
      <c r="JE240" s="1009"/>
      <c r="JF240" s="1009"/>
      <c r="JG240" s="1009"/>
      <c r="JH240" s="1009"/>
      <c r="JI240" s="1009"/>
      <c r="JJ240" s="1009"/>
      <c r="JK240" s="1009"/>
      <c r="JL240" s="1009"/>
      <c r="JM240" s="1009"/>
      <c r="JN240" s="1009"/>
      <c r="JY240" s="1009"/>
      <c r="JZ240" s="1009"/>
      <c r="KA240" s="1009"/>
      <c r="KB240" s="1009"/>
      <c r="KC240" s="1009"/>
      <c r="KD240" s="1009"/>
      <c r="KE240" s="1009"/>
      <c r="KF240" s="1009"/>
      <c r="KH240" s="1009"/>
      <c r="KI240" s="1009"/>
      <c r="KJ240" s="1009"/>
      <c r="KK240" s="1009"/>
      <c r="KL240" s="1009"/>
      <c r="KM240" s="1009"/>
      <c r="KN240" s="1009"/>
      <c r="KO240" s="1009"/>
      <c r="LB240" s="1009"/>
      <c r="LC240" s="1009"/>
      <c r="LD240" s="1009"/>
      <c r="LE240" s="1009"/>
      <c r="LF240" s="1009"/>
      <c r="LG240" s="1009"/>
      <c r="LH240" s="1009"/>
      <c r="LI240" s="1009"/>
      <c r="LJ240" s="1009"/>
      <c r="LK240" s="1009"/>
      <c r="LL240" s="1009"/>
      <c r="LM240" s="1009"/>
      <c r="LN240" s="1009"/>
      <c r="LO240" s="1009"/>
      <c r="LR240" s="1009"/>
      <c r="LS240" s="1009"/>
      <c r="LT240" s="1009"/>
      <c r="LU240" s="1009"/>
      <c r="LV240" s="1009"/>
      <c r="LW240" s="1009"/>
      <c r="LX240" s="1009"/>
      <c r="LZ240" s="1009"/>
      <c r="MA240" s="1009"/>
      <c r="MB240" s="1009"/>
      <c r="MC240" s="1009"/>
      <c r="MD240" s="1009"/>
      <c r="ME240" s="1009"/>
      <c r="MF240" s="1009"/>
      <c r="MH240" s="1009"/>
      <c r="MI240" s="1009"/>
      <c r="MJ240" s="1009"/>
      <c r="MK240" s="1009"/>
      <c r="ML240" s="1009"/>
      <c r="MM240" s="1009"/>
      <c r="MN240" s="1009"/>
      <c r="MO240" s="1009"/>
      <c r="MP240" s="1009"/>
    </row>
    <row r="241" spans="1:354" ht="15" thickTop="1">
      <c r="A241" s="867"/>
      <c r="E241" s="1010"/>
      <c r="F241" s="1010"/>
      <c r="G241" s="1010"/>
      <c r="H241" s="1010"/>
      <c r="I241" s="1010"/>
      <c r="J241" s="1010"/>
      <c r="K241" s="1010"/>
      <c r="L241" s="1010"/>
      <c r="M241" s="1010"/>
      <c r="N241" s="1010"/>
      <c r="O241" s="1010"/>
      <c r="P241" s="1010"/>
      <c r="Q241" s="1010"/>
      <c r="R241" s="1010"/>
      <c r="S241" s="1010"/>
      <c r="T241" s="1010"/>
      <c r="U241" s="1010"/>
      <c r="V241" s="1010"/>
      <c r="W241" s="1010"/>
      <c r="X241" s="1010"/>
      <c r="Y241" s="1010"/>
      <c r="Z241" s="1010"/>
      <c r="AA241" s="1010"/>
      <c r="AB241" s="1010"/>
      <c r="AC241" s="1010"/>
      <c r="AD241" s="1010"/>
      <c r="AE241" s="1010"/>
      <c r="AF241" s="1010"/>
      <c r="AG241" s="1010"/>
      <c r="AH241" s="1010"/>
      <c r="AI241" s="1010"/>
      <c r="AJ241" s="1010"/>
      <c r="AK241" s="1010"/>
      <c r="AL241" s="1010"/>
      <c r="AM241" s="1010"/>
      <c r="AN241" s="1010"/>
      <c r="AO241" s="873"/>
      <c r="AP241" s="1024"/>
      <c r="AQ241" s="1010"/>
      <c r="AR241" s="1010"/>
      <c r="AS241" s="1010"/>
      <c r="AT241" s="1010"/>
      <c r="AU241" s="873"/>
      <c r="AV241" s="873"/>
      <c r="AW241" s="873"/>
      <c r="AX241" s="873"/>
      <c r="AY241" s="873"/>
      <c r="AZ241" s="873"/>
      <c r="BA241" s="873"/>
      <c r="BB241" s="873"/>
      <c r="BC241" s="873"/>
      <c r="BD241" s="873"/>
      <c r="BE241" s="873"/>
      <c r="BF241" s="873"/>
      <c r="BG241" s="873"/>
      <c r="BH241" s="873"/>
      <c r="BI241" s="873"/>
      <c r="BJ241" s="873"/>
      <c r="BK241" s="873"/>
      <c r="BL241" s="873"/>
      <c r="BM241" s="873"/>
      <c r="BN241" s="873"/>
      <c r="BO241" s="873"/>
      <c r="BP241" s="873"/>
      <c r="BQ241" s="873"/>
      <c r="BR241" s="873"/>
      <c r="BS241" s="873"/>
      <c r="BT241" s="873"/>
      <c r="BU241" s="873"/>
      <c r="BV241" s="873"/>
      <c r="BW241" s="873"/>
      <c r="BX241" s="873"/>
      <c r="BY241" s="1012"/>
      <c r="BZ241" s="1012"/>
      <c r="CA241" s="1012"/>
      <c r="CB241" s="1012"/>
      <c r="CC241" s="1012"/>
      <c r="CD241" s="1012"/>
      <c r="CE241" s="1012"/>
      <c r="CF241" s="1012"/>
      <c r="CG241" s="1012"/>
      <c r="CH241" s="1012"/>
      <c r="CI241" s="1012"/>
      <c r="CJ241" s="1012"/>
      <c r="CK241" s="1012"/>
      <c r="CL241" s="1012"/>
      <c r="CM241" s="1012"/>
      <c r="CN241" s="1012"/>
      <c r="CO241" s="1012"/>
      <c r="CP241" s="1012"/>
      <c r="CQ241" s="1012"/>
      <c r="CR241" s="1012"/>
      <c r="CS241" s="1012"/>
      <c r="CT241" s="1012"/>
      <c r="CU241" s="1012"/>
      <c r="CV241" s="1012"/>
      <c r="CW241" s="1012"/>
      <c r="CX241" s="1012"/>
      <c r="CY241" s="1012"/>
      <c r="CZ241" s="1012"/>
      <c r="DA241" s="1012"/>
      <c r="DB241" s="1012"/>
      <c r="DC241" s="1012"/>
      <c r="DD241" s="1012"/>
      <c r="DE241" s="1012"/>
      <c r="DF241" s="1012"/>
      <c r="DG241" s="1012"/>
      <c r="DH241" s="1012"/>
      <c r="DI241" s="1012"/>
      <c r="DJ241" s="1012"/>
      <c r="DK241" s="1012"/>
      <c r="DL241" s="1012"/>
      <c r="DM241" s="1012"/>
      <c r="DN241" s="1012"/>
      <c r="DO241" s="1012"/>
      <c r="DP241" s="1012"/>
      <c r="DQ241" s="873"/>
      <c r="DR241" s="873"/>
      <c r="DS241" s="873"/>
      <c r="DT241" s="873"/>
      <c r="DU241" s="873"/>
      <c r="DV241" s="873"/>
      <c r="DW241" s="873"/>
      <c r="DX241" s="873"/>
      <c r="DY241" s="873"/>
      <c r="DZ241" s="873"/>
      <c r="EA241" s="873"/>
      <c r="EB241" s="873"/>
      <c r="EC241" s="873"/>
      <c r="ED241" s="873"/>
      <c r="EE241" s="873"/>
      <c r="EF241" s="873"/>
      <c r="EH241" s="1010"/>
      <c r="EI241" s="1010"/>
      <c r="EJ241" s="1010"/>
      <c r="EK241" s="1010"/>
      <c r="EL241" s="1010"/>
      <c r="EM241" s="1010"/>
      <c r="EN241" s="1010"/>
      <c r="EO241" s="873"/>
      <c r="EP241" s="873"/>
      <c r="EQ241" s="873"/>
      <c r="ER241" s="873"/>
      <c r="ES241" s="873"/>
      <c r="FG241" s="1010"/>
      <c r="FH241" s="1010"/>
      <c r="FI241" s="1010"/>
      <c r="FJ241" s="873"/>
      <c r="FK241" s="873"/>
      <c r="FL241" s="873"/>
      <c r="FM241" s="873"/>
      <c r="FN241" s="873"/>
      <c r="FO241" s="873"/>
      <c r="FP241" s="873"/>
      <c r="FQ241" s="873"/>
      <c r="FR241" s="873"/>
      <c r="FS241" s="1010"/>
      <c r="FT241" s="1010"/>
      <c r="FU241" s="1010"/>
      <c r="FV241" s="873"/>
      <c r="FW241" s="873"/>
      <c r="FX241" s="873"/>
      <c r="FY241" s="873"/>
      <c r="FZ241" s="873"/>
      <c r="GA241" s="873"/>
      <c r="GB241" s="873"/>
      <c r="GC241" s="873"/>
      <c r="GD241" s="873"/>
      <c r="HD241" s="1013"/>
      <c r="HE241" s="1013"/>
      <c r="HF241" s="1013"/>
      <c r="HG241" s="1013"/>
      <c r="HH241" s="1013"/>
      <c r="HI241" s="1013"/>
      <c r="HJ241" s="1013"/>
      <c r="HK241" s="1013"/>
      <c r="HL241" s="1013"/>
      <c r="HM241" s="1013"/>
      <c r="HN241" s="1013"/>
      <c r="HO241" s="1013"/>
      <c r="HP241" s="1013"/>
      <c r="JA241" s="1013"/>
      <c r="JB241" s="1013"/>
      <c r="JC241" s="1013"/>
      <c r="JD241" s="1013"/>
      <c r="JE241" s="1013"/>
      <c r="JF241" s="1013"/>
      <c r="JG241" s="1013"/>
      <c r="JH241" s="1013"/>
      <c r="JI241" s="1013"/>
      <c r="JJ241" s="1013"/>
      <c r="JK241" s="1013"/>
      <c r="JL241" s="1013"/>
      <c r="JM241" s="1013"/>
      <c r="JN241" s="1013"/>
      <c r="JY241" s="1013"/>
      <c r="JZ241" s="1013"/>
      <c r="KA241" s="1013"/>
      <c r="KB241" s="1013"/>
      <c r="KC241" s="1013"/>
      <c r="KD241" s="1013"/>
      <c r="KE241" s="1013"/>
      <c r="KF241" s="1013"/>
      <c r="KH241" s="1013"/>
      <c r="KI241" s="1013"/>
      <c r="KJ241" s="1013"/>
      <c r="KK241" s="1013"/>
      <c r="KL241" s="1013"/>
      <c r="KM241" s="1013"/>
      <c r="KN241" s="1013"/>
      <c r="KO241" s="1013"/>
      <c r="LB241" s="1013"/>
      <c r="LC241" s="1013"/>
      <c r="LD241" s="1013"/>
      <c r="LE241" s="1013"/>
      <c r="LF241" s="1013"/>
      <c r="LG241" s="1013"/>
      <c r="LH241" s="1013"/>
      <c r="LI241" s="1013"/>
      <c r="LJ241" s="1013"/>
      <c r="LK241" s="1013"/>
      <c r="LL241" s="1013"/>
      <c r="LM241" s="1013"/>
      <c r="LN241" s="1013"/>
      <c r="LO241" s="1013"/>
      <c r="LR241" s="1013"/>
      <c r="LS241" s="1013"/>
      <c r="LT241" s="1013"/>
      <c r="LU241" s="1013"/>
      <c r="LV241" s="1013"/>
      <c r="LW241" s="1013"/>
      <c r="LX241" s="1013"/>
      <c r="LZ241" s="1013"/>
      <c r="MA241" s="1013"/>
      <c r="MB241" s="1013"/>
      <c r="MC241" s="1013"/>
      <c r="MD241" s="1013"/>
      <c r="ME241" s="1013"/>
      <c r="MF241" s="1013"/>
      <c r="MH241" s="1013"/>
      <c r="MI241" s="1013"/>
      <c r="MJ241" s="1013"/>
      <c r="MK241" s="1013"/>
      <c r="ML241" s="1013"/>
      <c r="MM241" s="1013"/>
      <c r="MN241" s="1013"/>
      <c r="MO241" s="1013"/>
      <c r="MP241" s="1013"/>
    </row>
    <row r="242" spans="1:354">
      <c r="A242" s="884" t="s">
        <v>194</v>
      </c>
      <c r="E242" s="657"/>
      <c r="F242" s="657"/>
      <c r="G242" s="657"/>
      <c r="H242" s="657"/>
      <c r="I242" s="657"/>
      <c r="J242" s="657"/>
      <c r="K242" s="657"/>
      <c r="L242" s="657"/>
      <c r="M242" s="657"/>
      <c r="N242" s="657"/>
      <c r="O242" s="657"/>
      <c r="P242" s="657"/>
      <c r="Q242" s="657"/>
      <c r="R242" s="657"/>
      <c r="S242" s="657"/>
      <c r="T242" s="657"/>
      <c r="U242" s="657"/>
      <c r="V242" s="657"/>
      <c r="W242" s="657"/>
      <c r="X242" s="657"/>
      <c r="Y242" s="657"/>
      <c r="Z242" s="657"/>
      <c r="AA242" s="657"/>
      <c r="AB242" s="657"/>
      <c r="AC242" s="657"/>
      <c r="AD242" s="657"/>
      <c r="AE242" s="657"/>
      <c r="AF242" s="657"/>
      <c r="AG242" s="657"/>
      <c r="AH242" s="657"/>
      <c r="AI242" s="657"/>
      <c r="AJ242" s="657"/>
      <c r="AK242" s="657"/>
      <c r="AL242" s="657"/>
      <c r="AM242" s="657"/>
      <c r="AN242" s="657"/>
      <c r="AO242" s="628"/>
      <c r="AP242" s="628"/>
      <c r="AR242" s="657"/>
      <c r="AT242" s="628"/>
      <c r="AU242" s="628"/>
      <c r="AV242" s="628"/>
      <c r="AW242" s="628"/>
      <c r="AX242" s="628"/>
      <c r="AY242" s="628"/>
      <c r="AZ242" s="628"/>
      <c r="BA242" s="873">
        <f t="shared" ref="BA242:DL242" si="1207">+BA240-BA118</f>
        <v>-5.9117155615240335E-12</v>
      </c>
      <c r="BB242" s="873">
        <f t="shared" si="1207"/>
        <v>3.1832314562052488E-12</v>
      </c>
      <c r="BC242" s="873">
        <f t="shared" si="1207"/>
        <v>2.4442670110147446E-12</v>
      </c>
      <c r="BD242" s="873">
        <f t="shared" si="1207"/>
        <v>0</v>
      </c>
      <c r="BE242" s="873">
        <f t="shared" si="1207"/>
        <v>1.1937117960769683E-12</v>
      </c>
      <c r="BF242" s="873">
        <f t="shared" si="1207"/>
        <v>-5.5990767577895895E-12</v>
      </c>
      <c r="BG242" s="873">
        <f t="shared" si="1207"/>
        <v>1.4210854715202004E-12</v>
      </c>
      <c r="BH242" s="873">
        <f t="shared" si="1207"/>
        <v>-3.0802027595200343E-12</v>
      </c>
      <c r="BI242" s="873">
        <f t="shared" si="1207"/>
        <v>3.922195901395753E-12</v>
      </c>
      <c r="BJ242" s="873">
        <f t="shared" si="1207"/>
        <v>0.1214314100033107</v>
      </c>
      <c r="BK242" s="873">
        <f t="shared" si="1207"/>
        <v>-5.0022208597511053E-12</v>
      </c>
      <c r="BL242" s="873">
        <f t="shared" si="1207"/>
        <v>0</v>
      </c>
      <c r="BM242" s="873">
        <f t="shared" si="1207"/>
        <v>-310.41537723999443</v>
      </c>
      <c r="BN242" s="873">
        <f t="shared" si="1207"/>
        <v>-3.5527136788005009E-12</v>
      </c>
      <c r="BO242" s="873">
        <f t="shared" si="1207"/>
        <v>-2.6147972675971687E-12</v>
      </c>
      <c r="BP242" s="873">
        <f t="shared" si="1207"/>
        <v>-120.92685952000102</v>
      </c>
      <c r="BQ242" s="873">
        <f t="shared" si="1207"/>
        <v>3.5242919693700969E-12</v>
      </c>
      <c r="BR242" s="873">
        <f t="shared" si="1207"/>
        <v>-3.4106051316484809E-12</v>
      </c>
      <c r="BS242" s="873">
        <f t="shared" si="1207"/>
        <v>3.637978807091713E-12</v>
      </c>
      <c r="BT242" s="873">
        <f t="shared" si="1207"/>
        <v>-1.1368683772161603E-12</v>
      </c>
      <c r="BU242" s="873">
        <f t="shared" si="1207"/>
        <v>1.4779288903810084E-12</v>
      </c>
      <c r="BV242" s="873">
        <f t="shared" si="1207"/>
        <v>-2.0463630789890885E-12</v>
      </c>
      <c r="BW242" s="873">
        <f t="shared" si="1207"/>
        <v>3.1832314562052488E-12</v>
      </c>
      <c r="BX242" s="873">
        <f t="shared" si="1207"/>
        <v>-46.501062000003913</v>
      </c>
      <c r="BY242" s="873">
        <f t="shared" si="1207"/>
        <v>0</v>
      </c>
      <c r="BZ242" s="873">
        <f>+BZ240-BZ118</f>
        <v>4.7748471843078732E-12</v>
      </c>
      <c r="CA242" s="873">
        <f t="shared" si="1207"/>
        <v>-2.2737367544323206E-12</v>
      </c>
      <c r="CB242" s="873">
        <f t="shared" si="1207"/>
        <v>2.5011104298755527E-12</v>
      </c>
      <c r="CC242" s="873">
        <f t="shared" si="1207"/>
        <v>0</v>
      </c>
      <c r="CD242" s="873">
        <f t="shared" si="1207"/>
        <v>0</v>
      </c>
      <c r="CE242" s="873">
        <f t="shared" si="1207"/>
        <v>0</v>
      </c>
      <c r="CF242" s="873">
        <f t="shared" si="1207"/>
        <v>0</v>
      </c>
      <c r="CG242" s="873">
        <f t="shared" si="1207"/>
        <v>-1.0231815394945443E-12</v>
      </c>
      <c r="CH242" s="873">
        <f t="shared" si="1207"/>
        <v>-6.0822458181064576E-12</v>
      </c>
      <c r="CI242" s="873">
        <f t="shared" si="1207"/>
        <v>4.8885340220294893E-12</v>
      </c>
      <c r="CJ242" s="873">
        <f t="shared" si="1207"/>
        <v>-1.2505552149377763E-12</v>
      </c>
      <c r="CK242" s="873">
        <f t="shared" si="1207"/>
        <v>2.1032064978498966E-12</v>
      </c>
      <c r="CL242" s="873">
        <f t="shared" si="1207"/>
        <v>0</v>
      </c>
      <c r="CM242" s="873">
        <f t="shared" si="1207"/>
        <v>0</v>
      </c>
      <c r="CN242" s="873">
        <f t="shared" si="1207"/>
        <v>0</v>
      </c>
      <c r="CO242" s="873">
        <f t="shared" si="1207"/>
        <v>0</v>
      </c>
      <c r="CP242" s="873">
        <f t="shared" si="1207"/>
        <v>2.3874235921539366E-12</v>
      </c>
      <c r="CQ242" s="873">
        <f t="shared" si="1207"/>
        <v>-2.0463630789890885E-12</v>
      </c>
      <c r="CR242" s="873">
        <f t="shared" si="1207"/>
        <v>4.0927261579781771E-12</v>
      </c>
      <c r="CS242" s="873">
        <f t="shared" si="1207"/>
        <v>-2.5011104298755527E-12</v>
      </c>
      <c r="CT242" s="873">
        <f t="shared" si="1207"/>
        <v>-5.0022208597511053E-12</v>
      </c>
      <c r="CU242" s="873">
        <f t="shared" si="1207"/>
        <v>5.6843418860808015E-12</v>
      </c>
      <c r="CV242" s="873">
        <f t="shared" si="1207"/>
        <v>-4.0927261579781771E-12</v>
      </c>
      <c r="CW242" s="873">
        <f t="shared" si="1207"/>
        <v>0</v>
      </c>
      <c r="CX242" s="873">
        <f t="shared" si="1207"/>
        <v>-5.7468599944741072E-3</v>
      </c>
      <c r="CY242" s="873">
        <f t="shared" si="1207"/>
        <v>-2.1032064978498966E-12</v>
      </c>
      <c r="CZ242" s="873">
        <f t="shared" si="1207"/>
        <v>0</v>
      </c>
      <c r="DA242" s="873">
        <f t="shared" si="1207"/>
        <v>-3.4106051316484809E-12</v>
      </c>
      <c r="DB242" s="873">
        <f t="shared" si="1207"/>
        <v>3.865352482534945E-12</v>
      </c>
      <c r="DC242" s="873">
        <f t="shared" si="1207"/>
        <v>-3.4106051316484809E-12</v>
      </c>
      <c r="DD242" s="873">
        <f t="shared" si="1207"/>
        <v>2.7284841053187847E-12</v>
      </c>
      <c r="DE242" s="873">
        <f t="shared" si="1207"/>
        <v>-3.1263880373444408E-12</v>
      </c>
      <c r="DF242" s="873">
        <f t="shared" si="1207"/>
        <v>-3.637978807091713E-12</v>
      </c>
      <c r="DG242" s="873">
        <f t="shared" si="1207"/>
        <v>-3.694822225952521E-12</v>
      </c>
      <c r="DH242" s="873">
        <f t="shared" si="1207"/>
        <v>0</v>
      </c>
      <c r="DI242" s="997">
        <f t="shared" si="1207"/>
        <v>3.4106051316484809E-12</v>
      </c>
      <c r="DJ242" s="997">
        <f t="shared" si="1207"/>
        <v>3.1832314562052488E-12</v>
      </c>
      <c r="DK242" s="997">
        <f t="shared" si="1207"/>
        <v>-9.0949470177292824E-13</v>
      </c>
      <c r="DL242" s="997">
        <f t="shared" si="1207"/>
        <v>0</v>
      </c>
      <c r="DM242" s="997">
        <f t="shared" ref="DM242:EF242" si="1208">+DM240-DM118</f>
        <v>-3.4106051316484809E-12</v>
      </c>
      <c r="DN242" s="997">
        <f t="shared" si="1208"/>
        <v>2.7284841053187847E-12</v>
      </c>
      <c r="DO242" s="997">
        <f t="shared" si="1208"/>
        <v>-3.979039320256561E-12</v>
      </c>
      <c r="DP242" s="997">
        <f t="shared" si="1208"/>
        <v>3.4106051316484809E-12</v>
      </c>
      <c r="DQ242" s="997">
        <f t="shared" si="1208"/>
        <v>0</v>
      </c>
      <c r="DR242" s="997">
        <f t="shared" si="1208"/>
        <v>6.8212102632969618E-12</v>
      </c>
      <c r="DS242" s="997">
        <f t="shared" si="1208"/>
        <v>-2.8421709430404007E-12</v>
      </c>
      <c r="DT242" s="997">
        <f t="shared" si="1208"/>
        <v>4.0927261579781771E-12</v>
      </c>
      <c r="DU242" s="997">
        <f t="shared" si="1208"/>
        <v>698.44218666000029</v>
      </c>
      <c r="DV242" s="997">
        <f t="shared" si="1208"/>
        <v>-6.4801497501321137E-12</v>
      </c>
      <c r="DW242" s="997">
        <f t="shared" si="1208"/>
        <v>2.1032064978498966E-12</v>
      </c>
      <c r="DX242" s="997">
        <f t="shared" si="1208"/>
        <v>3.0127011996228248E-12</v>
      </c>
      <c r="DY242" s="997">
        <f t="shared" si="1208"/>
        <v>2.5579538487363607E-12</v>
      </c>
      <c r="DZ242" s="997">
        <f t="shared" si="1208"/>
        <v>3.5242919693700969E-12</v>
      </c>
      <c r="EA242" s="997">
        <f t="shared" si="1208"/>
        <v>-3.0695446184836328E-12</v>
      </c>
      <c r="EB242" s="997">
        <f t="shared" si="1208"/>
        <v>-3.1832314562052488E-12</v>
      </c>
      <c r="EC242" s="997">
        <f t="shared" si="1208"/>
        <v>0</v>
      </c>
      <c r="ED242" s="997">
        <f t="shared" si="1208"/>
        <v>0</v>
      </c>
      <c r="EE242" s="997">
        <f t="shared" si="1208"/>
        <v>-6.5000000013242243E-3</v>
      </c>
      <c r="EF242" s="997">
        <f t="shared" si="1208"/>
        <v>-9.5797999961177993E-4</v>
      </c>
    </row>
    <row r="243" spans="1:354">
      <c r="A243" s="867"/>
      <c r="E243" s="657"/>
      <c r="F243" s="657"/>
      <c r="G243" s="657"/>
      <c r="H243" s="657"/>
      <c r="I243" s="657"/>
      <c r="J243" s="657"/>
      <c r="K243" s="657"/>
      <c r="L243" s="657"/>
      <c r="M243" s="657"/>
      <c r="N243" s="657"/>
      <c r="O243" s="657"/>
      <c r="P243" s="657"/>
      <c r="Q243" s="657"/>
      <c r="R243" s="657"/>
      <c r="S243" s="657"/>
      <c r="T243" s="657"/>
      <c r="U243" s="657"/>
      <c r="V243" s="657"/>
      <c r="W243" s="657"/>
      <c r="X243" s="657"/>
      <c r="Y243" s="657"/>
      <c r="Z243" s="657"/>
      <c r="AA243" s="657"/>
      <c r="AB243" s="657"/>
      <c r="AC243" s="657"/>
      <c r="AD243" s="657"/>
      <c r="AE243" s="657"/>
      <c r="AF243" s="657"/>
      <c r="AG243" s="657"/>
      <c r="AH243" s="657"/>
      <c r="AI243" s="657"/>
      <c r="AJ243" s="657"/>
      <c r="AK243" s="657"/>
      <c r="AL243" s="657"/>
      <c r="AM243" s="657"/>
      <c r="AN243" s="657"/>
      <c r="AO243" s="628"/>
      <c r="AP243" s="628"/>
      <c r="AR243" s="657"/>
      <c r="AT243" s="628"/>
      <c r="AU243" s="628"/>
      <c r="AV243" s="628"/>
      <c r="AW243" s="628"/>
      <c r="AX243" s="628"/>
      <c r="AY243" s="628"/>
      <c r="AZ243" s="628"/>
      <c r="BA243" s="628"/>
      <c r="BB243" s="628"/>
      <c r="BC243" s="628"/>
      <c r="BD243" s="628"/>
      <c r="BE243" s="77"/>
      <c r="BF243" s="77"/>
      <c r="BG243" s="77"/>
      <c r="BH243" s="77"/>
      <c r="BI243" s="77"/>
      <c r="BJ243" s="77"/>
      <c r="BK243" s="77"/>
      <c r="BL243" s="628"/>
      <c r="BM243" s="873"/>
      <c r="BN243" s="628"/>
      <c r="BO243" s="628"/>
      <c r="BP243" s="628"/>
      <c r="BQ243" s="77"/>
      <c r="BR243" s="77"/>
      <c r="BS243" s="77"/>
      <c r="BT243" s="77"/>
      <c r="BU243" s="77"/>
      <c r="BV243" s="77"/>
      <c r="BW243" s="77"/>
      <c r="BX243" s="873"/>
      <c r="BY243" s="873"/>
      <c r="BZ243" s="873"/>
      <c r="CA243" s="873"/>
      <c r="CB243" s="873"/>
      <c r="CC243" s="873"/>
      <c r="CD243" s="873"/>
      <c r="CE243" s="873"/>
      <c r="CF243" s="873"/>
      <c r="CG243" s="873"/>
      <c r="CH243" s="873"/>
      <c r="CI243" s="873"/>
      <c r="CJ243" s="873"/>
      <c r="CK243" s="1163"/>
      <c r="CL243" s="1163"/>
      <c r="CM243" s="1163"/>
      <c r="CN243" s="1163"/>
      <c r="CO243" s="1163"/>
      <c r="CP243" s="1163"/>
      <c r="CQ243" s="1163"/>
      <c r="CR243" s="1163"/>
      <c r="CS243" s="1163"/>
      <c r="CT243" s="1163"/>
      <c r="CU243" s="1163"/>
      <c r="CV243" s="1163"/>
      <c r="CW243" s="1163"/>
      <c r="CX243" s="1163"/>
      <c r="CY243" s="1163"/>
      <c r="CZ243" s="1163"/>
      <c r="DA243" s="1163"/>
      <c r="DB243" s="1163"/>
      <c r="DC243" s="1163"/>
      <c r="DD243" s="1163"/>
      <c r="DE243" s="1163"/>
      <c r="DF243" s="1163"/>
      <c r="DG243" s="1163"/>
      <c r="DH243" s="1163"/>
      <c r="DI243" s="997"/>
      <c r="DJ243" s="997"/>
      <c r="DK243" s="997"/>
      <c r="DL243" s="997"/>
      <c r="DM243" s="997"/>
      <c r="DN243" s="997"/>
      <c r="DO243" s="997"/>
      <c r="DP243" s="997"/>
      <c r="DQ243" s="997"/>
      <c r="DR243" s="997"/>
      <c r="DS243" s="997"/>
      <c r="DT243" s="997"/>
      <c r="DU243" s="997"/>
      <c r="DV243" s="997"/>
      <c r="DW243" s="997"/>
      <c r="DX243" s="997"/>
      <c r="DY243" s="997"/>
      <c r="DZ243" s="997"/>
      <c r="EA243" s="997"/>
      <c r="EB243" s="997"/>
      <c r="EC243" s="997"/>
      <c r="ED243" s="997"/>
      <c r="EE243" s="997"/>
      <c r="EF243" s="997"/>
    </row>
    <row r="244" spans="1:354">
      <c r="A244" s="917" t="s">
        <v>618</v>
      </c>
      <c r="C244" s="1026" t="s">
        <v>775</v>
      </c>
      <c r="D244" s="31"/>
      <c r="E244" s="1027"/>
      <c r="F244" s="1027"/>
      <c r="G244" s="1027"/>
      <c r="H244" s="1027"/>
      <c r="I244" s="1027"/>
      <c r="J244" s="1027"/>
      <c r="K244" s="1027"/>
      <c r="L244" s="1027"/>
      <c r="M244" s="1027"/>
      <c r="N244" s="1027"/>
      <c r="O244" s="1027"/>
      <c r="P244" s="1027"/>
      <c r="Q244" s="1027"/>
      <c r="R244" s="1027"/>
      <c r="S244" s="1027"/>
      <c r="T244" s="1027"/>
      <c r="U244" s="1027"/>
      <c r="V244" s="1027"/>
      <c r="W244" s="1027"/>
      <c r="X244" s="1027"/>
      <c r="Y244" s="1027"/>
      <c r="Z244" s="1027"/>
      <c r="AA244" s="1027"/>
      <c r="AB244" s="1027"/>
      <c r="AC244" s="1027"/>
      <c r="AD244" s="1027"/>
      <c r="AE244" s="1027"/>
      <c r="AF244" s="1027"/>
      <c r="AG244" s="1027"/>
      <c r="AH244" s="1027"/>
      <c r="AI244" s="1027"/>
      <c r="AJ244" s="1027"/>
      <c r="AK244" s="1027"/>
      <c r="AL244" s="1027"/>
      <c r="AM244" s="1027"/>
      <c r="AN244" s="1027"/>
      <c r="AO244" s="186"/>
      <c r="AP244" s="186"/>
      <c r="AQ244" s="1027"/>
      <c r="AR244" s="1027"/>
      <c r="AS244" s="186"/>
      <c r="AT244" s="186"/>
      <c r="AU244" s="186"/>
      <c r="AV244" s="186"/>
      <c r="AW244" s="186"/>
      <c r="AX244" s="186"/>
      <c r="AY244" s="186"/>
      <c r="AZ244" s="186"/>
      <c r="BA244" s="186"/>
      <c r="BB244" s="186"/>
      <c r="BC244" s="186"/>
      <c r="BD244" s="186"/>
      <c r="BL244" s="628"/>
      <c r="BM244" s="186"/>
      <c r="BN244" s="186"/>
      <c r="BO244" s="186"/>
      <c r="BP244" s="186"/>
      <c r="DQ244" s="873"/>
      <c r="DR244" s="873"/>
      <c r="DS244" s="873"/>
      <c r="DT244" s="873"/>
      <c r="DU244" s="873"/>
      <c r="DV244" s="873"/>
      <c r="DW244" s="873"/>
      <c r="DX244" s="873"/>
      <c r="DY244" s="873"/>
      <c r="DZ244" s="873"/>
      <c r="EA244" s="873"/>
      <c r="EB244" s="873"/>
      <c r="EC244" s="873"/>
      <c r="ED244" s="873"/>
      <c r="EE244" s="873"/>
      <c r="EF244" s="873"/>
    </row>
    <row r="245" spans="1:354">
      <c r="A245" s="884">
        <v>21051010</v>
      </c>
      <c r="B245" s="884">
        <v>21053001</v>
      </c>
      <c r="C245" s="1028" t="s">
        <v>776</v>
      </c>
      <c r="D245" s="31"/>
      <c r="E245" s="1011"/>
      <c r="F245" s="1011"/>
      <c r="G245" s="1011"/>
      <c r="H245" s="1011"/>
      <c r="I245" s="1011"/>
      <c r="J245" s="1011"/>
      <c r="K245" s="1011"/>
      <c r="L245" s="1011"/>
      <c r="M245" s="1011"/>
      <c r="N245" s="1011"/>
      <c r="O245" s="1011"/>
      <c r="P245" s="1011"/>
      <c r="Q245" s="1011"/>
      <c r="R245" s="1011"/>
      <c r="S245" s="1011"/>
      <c r="T245" s="1011"/>
      <c r="U245" s="1011"/>
      <c r="V245" s="1011"/>
      <c r="W245" s="1011"/>
      <c r="X245" s="1011"/>
      <c r="Y245" s="1011"/>
      <c r="Z245" s="1011"/>
      <c r="AA245" s="1011"/>
      <c r="AB245" s="1011"/>
      <c r="AC245" s="1011"/>
      <c r="AD245" s="1011"/>
      <c r="AE245" s="1011"/>
      <c r="AF245" s="1011"/>
      <c r="AG245" s="1011"/>
      <c r="AH245" s="1011"/>
      <c r="AI245" s="1011"/>
      <c r="AJ245" s="1011"/>
      <c r="AK245" s="1011"/>
      <c r="AL245" s="1011"/>
      <c r="AM245" s="1011"/>
      <c r="AN245" s="1011"/>
      <c r="AO245" s="1029">
        <v>3483.3333333400001</v>
      </c>
      <c r="AP245" s="1029">
        <v>3325.1189789499999</v>
      </c>
      <c r="AQ245" s="1010">
        <v>3166.7856456199997</v>
      </c>
      <c r="AR245" s="1010">
        <v>3008.45231229</v>
      </c>
      <c r="AS245" s="873">
        <v>2850.1189789599998</v>
      </c>
      <c r="AT245" s="873">
        <v>2691.7856456300001</v>
      </c>
      <c r="AU245" s="1029">
        <v>2533.4523123000004</v>
      </c>
      <c r="AV245" s="1029">
        <v>2375.1189789699997</v>
      </c>
      <c r="AW245" s="1029">
        <v>2216.78564564</v>
      </c>
      <c r="AX245" s="1029">
        <v>2058.4523123099998</v>
      </c>
      <c r="AY245" s="1029">
        <v>1900.1189789800001</v>
      </c>
      <c r="AZ245" s="1029">
        <v>1741.666667</v>
      </c>
      <c r="BA245" s="873">
        <v>1583.33333367</v>
      </c>
      <c r="BB245" s="873">
        <v>1425.0000003399998</v>
      </c>
      <c r="BC245" s="873">
        <v>1266.6666670100001</v>
      </c>
      <c r="BD245" s="873">
        <v>1266.6666670100001</v>
      </c>
      <c r="BE245" s="961">
        <v>1266.6666670100001</v>
      </c>
      <c r="BF245" s="961">
        <v>1266.6666670100001</v>
      </c>
      <c r="BG245" s="961">
        <v>1266.6666670100001</v>
      </c>
      <c r="BH245" s="961">
        <v>1266.6666670100001</v>
      </c>
      <c r="BI245" s="961">
        <v>1266.6666670100001</v>
      </c>
      <c r="BJ245" s="961">
        <v>1266.6666670100001</v>
      </c>
      <c r="BK245" s="961">
        <v>1266.6666670100001</v>
      </c>
      <c r="BL245" s="961">
        <v>1266.6666670100001</v>
      </c>
      <c r="BM245" s="873">
        <v>1266.6666670100001</v>
      </c>
      <c r="BN245" s="873">
        <v>1266.6666670100001</v>
      </c>
      <c r="BO245" s="873">
        <v>1266.6666670100001</v>
      </c>
      <c r="BP245" s="873">
        <v>1266.6666670100001</v>
      </c>
      <c r="BQ245" s="961">
        <v>1266.6666670100001</v>
      </c>
      <c r="BR245" s="961">
        <v>1266.6666670100001</v>
      </c>
      <c r="BS245" s="961">
        <v>1266.6666670100001</v>
      </c>
      <c r="BT245" s="961">
        <v>1241.3333338699999</v>
      </c>
      <c r="BU245" s="961">
        <v>1241.3333338699999</v>
      </c>
      <c r="BV245" s="961">
        <v>1241.3333338699999</v>
      </c>
      <c r="BW245" s="961">
        <v>1241.3333338699999</v>
      </c>
      <c r="BX245" s="961">
        <v>1216.0000008699999</v>
      </c>
      <c r="BY245" s="961">
        <v>1216.0000008699999</v>
      </c>
      <c r="BZ245" s="961">
        <v>1140.0000008699999</v>
      </c>
      <c r="CA245" s="961">
        <v>1140.0000008699999</v>
      </c>
      <c r="CB245" s="961">
        <v>1140.0000008699999</v>
      </c>
      <c r="CC245" s="961">
        <v>1140.0000008699999</v>
      </c>
      <c r="CD245" s="961">
        <v>1140.0000008699999</v>
      </c>
      <c r="CE245" s="961">
        <v>1140.0000008699999</v>
      </c>
      <c r="CF245" s="961">
        <v>988.00000087000001</v>
      </c>
      <c r="CG245" s="961">
        <v>988</v>
      </c>
      <c r="CH245" s="961">
        <v>988</v>
      </c>
      <c r="CI245" s="961">
        <v>988</v>
      </c>
      <c r="CJ245" s="961">
        <v>988</v>
      </c>
      <c r="CK245" s="961">
        <v>988</v>
      </c>
      <c r="CL245" s="961">
        <v>988</v>
      </c>
      <c r="CM245" s="961">
        <v>912</v>
      </c>
      <c r="CN245" s="961">
        <v>912</v>
      </c>
      <c r="CO245" s="961">
        <v>898.47686799999997</v>
      </c>
      <c r="CP245" s="961">
        <v>898.47686799999997</v>
      </c>
      <c r="CQ245" s="961">
        <v>898.47686799999997</v>
      </c>
      <c r="CR245" s="961">
        <v>884.95373600000005</v>
      </c>
      <c r="CS245" s="961">
        <v>884.95373600000005</v>
      </c>
      <c r="CT245" s="961">
        <v>884.95373600000005</v>
      </c>
      <c r="CU245" s="961">
        <v>871.43060400000002</v>
      </c>
      <c r="CV245" s="961">
        <v>871.43060400000002</v>
      </c>
      <c r="CW245" s="961">
        <v>871.43060400000002</v>
      </c>
      <c r="CX245" s="961">
        <v>857.90747199999998</v>
      </c>
      <c r="CY245" s="961">
        <v>857.90747199999998</v>
      </c>
      <c r="CZ245" s="961">
        <v>857.90747199999998</v>
      </c>
      <c r="DA245" s="961">
        <v>857.90747199999998</v>
      </c>
      <c r="DB245" s="961">
        <v>857.90747199999998</v>
      </c>
      <c r="DC245" s="961">
        <v>857.90747199999998</v>
      </c>
      <c r="DD245" s="961">
        <v>857.90747199999998</v>
      </c>
      <c r="DE245" s="961">
        <v>857.90747199999998</v>
      </c>
      <c r="DF245" s="961">
        <v>857.90747199999998</v>
      </c>
      <c r="DG245" s="961">
        <v>826.46919600000001</v>
      </c>
      <c r="DH245" s="961">
        <v>826.46919600000001</v>
      </c>
      <c r="DI245" s="961">
        <v>826.46919600000001</v>
      </c>
      <c r="DJ245" s="961">
        <v>795.03092000000004</v>
      </c>
      <c r="DK245" s="961">
        <v>795.03092000000004</v>
      </c>
      <c r="DL245" s="961">
        <v>795.03092000000004</v>
      </c>
      <c r="DM245" s="961">
        <v>763.59264399999995</v>
      </c>
      <c r="DN245" s="961">
        <v>763.59264399999995</v>
      </c>
      <c r="DO245" s="961">
        <v>763.59264399999995</v>
      </c>
      <c r="DP245" s="961">
        <v>732.15436799999998</v>
      </c>
      <c r="DQ245" s="961">
        <v>632.10873800000002</v>
      </c>
      <c r="DR245" s="961">
        <v>632.10873800000002</v>
      </c>
      <c r="DS245" s="961">
        <v>632.10873800000002</v>
      </c>
      <c r="DT245" s="961">
        <v>632.10873800000002</v>
      </c>
      <c r="DU245" s="961">
        <v>632.10873800000002</v>
      </c>
      <c r="DV245" s="961">
        <v>618.61114999999995</v>
      </c>
      <c r="DW245" s="961">
        <v>618.61114999999995</v>
      </c>
      <c r="DX245" s="961">
        <v>618.61114999999995</v>
      </c>
      <c r="DY245" s="961">
        <v>561.83954100000005</v>
      </c>
      <c r="DZ245" s="961">
        <v>561.83954100000005</v>
      </c>
      <c r="EA245" s="961">
        <v>561.83954100000005</v>
      </c>
      <c r="EB245" s="961">
        <v>505.06793199999998</v>
      </c>
      <c r="EC245" s="961">
        <v>505.06793199999998</v>
      </c>
      <c r="ED245" s="961">
        <v>505.06793199999998</v>
      </c>
      <c r="EE245" s="961">
        <v>435.62965600000001</v>
      </c>
      <c r="EF245" s="961">
        <v>435.62965600000001</v>
      </c>
      <c r="EH245" s="1030"/>
      <c r="EI245" s="1030"/>
      <c r="EJ245" s="1030"/>
      <c r="EK245" s="1030"/>
      <c r="EL245" s="1030"/>
      <c r="EM245" s="1030"/>
      <c r="EN245" s="1030"/>
      <c r="EO245" s="1030"/>
      <c r="EP245" s="1030"/>
      <c r="EQ245" s="1030"/>
      <c r="ER245" s="1030"/>
      <c r="ES245" s="1030"/>
      <c r="HD245" s="1030"/>
      <c r="HE245" s="1030"/>
      <c r="HF245" s="1030"/>
      <c r="HG245" s="1030"/>
      <c r="HH245" s="1031"/>
      <c r="HI245" s="1031"/>
      <c r="HJ245" s="1031"/>
      <c r="HK245" s="1031"/>
      <c r="HL245" s="1031"/>
      <c r="HM245" s="1031"/>
      <c r="HN245" s="1031"/>
      <c r="HO245" s="1030"/>
      <c r="HP245" s="1030"/>
      <c r="JA245" s="47"/>
      <c r="JB245" s="47"/>
      <c r="JC245" s="47"/>
      <c r="JD245" s="47"/>
      <c r="JE245" s="47"/>
      <c r="JF245" s="47"/>
      <c r="JG245" s="47"/>
      <c r="JH245" s="47"/>
      <c r="JI245" s="47"/>
      <c r="JJ245" s="47"/>
      <c r="JK245" s="47"/>
      <c r="JL245" s="47"/>
      <c r="JM245" s="961"/>
      <c r="JN245" s="961"/>
      <c r="JY245" s="1030"/>
      <c r="JZ245" s="1030"/>
      <c r="KA245" s="1030"/>
      <c r="KB245" s="1030"/>
      <c r="KC245" s="1030"/>
      <c r="KD245" s="1030"/>
      <c r="KE245" s="1030"/>
      <c r="KF245" s="1030"/>
      <c r="KH245" s="1030"/>
      <c r="KI245" s="1030"/>
      <c r="KJ245" s="1030"/>
      <c r="KK245" s="1030"/>
      <c r="KL245" s="1030"/>
      <c r="KM245" s="1030"/>
      <c r="KN245" s="1030"/>
      <c r="KO245" s="1030"/>
      <c r="LB245" s="47" t="e">
        <f>#VALUE!</f>
        <v>#VALUE!</v>
      </c>
      <c r="LC245" s="47" t="e">
        <f>#VALUE!</f>
        <v>#VALUE!</v>
      </c>
      <c r="LD245" s="47" t="e">
        <f>#VALUE!</f>
        <v>#VALUE!</v>
      </c>
      <c r="LE245" s="961" t="e">
        <f>#VALUE!</f>
        <v>#VALUE!</v>
      </c>
      <c r="LF245" s="961" t="e">
        <f>#VALUE!</f>
        <v>#VALUE!</v>
      </c>
      <c r="LG245" s="961"/>
      <c r="LH245" s="961"/>
      <c r="LI245" s="961"/>
      <c r="LJ245" s="961"/>
      <c r="LK245" s="961"/>
      <c r="LL245" s="961"/>
      <c r="LM245" s="961" t="e">
        <f>#VALUE!</f>
        <v>#VALUE!</v>
      </c>
      <c r="LN245" s="961" t="e">
        <f>#VALUE!</f>
        <v>#VALUE!</v>
      </c>
      <c r="LO245" s="961" t="e">
        <f>#VALUE!</f>
        <v>#VALUE!</v>
      </c>
      <c r="LR245" s="1030"/>
      <c r="LS245" s="1030"/>
      <c r="LT245" s="1030"/>
      <c r="LU245" s="1030"/>
      <c r="LV245" s="1030"/>
      <c r="LW245" s="1030"/>
      <c r="LX245" s="1030"/>
      <c r="LZ245" s="1030"/>
      <c r="MA245" s="1030"/>
      <c r="MB245" s="1030"/>
      <c r="MC245" s="1030"/>
      <c r="MD245" s="1030"/>
      <c r="ME245" s="1030"/>
      <c r="MF245" s="1030"/>
      <c r="MH245" s="1030"/>
      <c r="MI245" s="1030"/>
      <c r="MJ245" s="1030"/>
      <c r="MK245" s="1030"/>
      <c r="ML245" s="1030"/>
      <c r="MM245" s="1030"/>
      <c r="MN245" s="1030"/>
      <c r="MO245" s="1030"/>
      <c r="MP245" s="1030"/>
    </row>
    <row r="246" spans="1:354">
      <c r="A246" s="884">
        <v>21051011</v>
      </c>
      <c r="B246" s="884">
        <v>21053002</v>
      </c>
      <c r="C246" s="1028" t="s">
        <v>777</v>
      </c>
      <c r="D246" s="31"/>
      <c r="E246" s="1011"/>
      <c r="F246" s="1011"/>
      <c r="G246" s="1011"/>
      <c r="H246" s="1011"/>
      <c r="I246" s="1011"/>
      <c r="J246" s="1011"/>
      <c r="K246" s="1011"/>
      <c r="L246" s="1011"/>
      <c r="M246" s="1011"/>
      <c r="N246" s="1011"/>
      <c r="O246" s="1011"/>
      <c r="P246" s="1011"/>
      <c r="Q246" s="1011"/>
      <c r="R246" s="1011"/>
      <c r="S246" s="1011"/>
      <c r="T246" s="1011"/>
      <c r="U246" s="1011"/>
      <c r="V246" s="1011"/>
      <c r="W246" s="1011"/>
      <c r="X246" s="1011"/>
      <c r="Y246" s="1011"/>
      <c r="Z246" s="1011"/>
      <c r="AA246" s="1011"/>
      <c r="AB246" s="1011"/>
      <c r="AC246" s="1011"/>
      <c r="AD246" s="1011"/>
      <c r="AE246" s="1011"/>
      <c r="AF246" s="1011"/>
      <c r="AG246" s="1011"/>
      <c r="AH246" s="1011"/>
      <c r="AI246" s="1011"/>
      <c r="AJ246" s="1011"/>
      <c r="AK246" s="1011"/>
      <c r="AL246" s="1011"/>
      <c r="AM246" s="1011"/>
      <c r="AN246" s="1011"/>
      <c r="AO246" s="1029">
        <v>0</v>
      </c>
      <c r="AP246" s="1029">
        <v>3000</v>
      </c>
      <c r="AQ246" s="1010">
        <v>2916.666667</v>
      </c>
      <c r="AR246" s="1010">
        <v>2833.3333339999999</v>
      </c>
      <c r="AS246" s="873">
        <v>2750.0000009999999</v>
      </c>
      <c r="AT246" s="873">
        <v>2666.6666679999998</v>
      </c>
      <c r="AU246" s="1029">
        <v>2583.97687</v>
      </c>
      <c r="AV246" s="1029">
        <v>2500.6435369999999</v>
      </c>
      <c r="AW246" s="1029">
        <v>2417.3102039999999</v>
      </c>
      <c r="AX246" s="1029">
        <v>2333.9768709999998</v>
      </c>
      <c r="AY246" s="1029">
        <v>2250.6435379999998</v>
      </c>
      <c r="AZ246" s="1029">
        <v>2163.8800460000002</v>
      </c>
      <c r="BA246" s="873">
        <v>2083.333337</v>
      </c>
      <c r="BB246" s="873">
        <v>2000.000004</v>
      </c>
      <c r="BC246" s="873">
        <v>1917.831506</v>
      </c>
      <c r="BD246" s="873">
        <v>1917.831506</v>
      </c>
      <c r="BE246" s="920">
        <v>1917.831506</v>
      </c>
      <c r="BF246" s="920">
        <v>1917.831506</v>
      </c>
      <c r="BG246" s="920">
        <v>1916.666671</v>
      </c>
      <c r="BH246" s="920">
        <v>1916.666671</v>
      </c>
      <c r="BI246" s="920">
        <v>1916.666671</v>
      </c>
      <c r="BJ246" s="920">
        <v>1916.666671</v>
      </c>
      <c r="BK246" s="920">
        <v>1916.666671</v>
      </c>
      <c r="BL246" s="920">
        <v>1916.666671</v>
      </c>
      <c r="BM246" s="873">
        <v>1916.666671</v>
      </c>
      <c r="BN246" s="873">
        <v>1916.666671</v>
      </c>
      <c r="BO246" s="873">
        <v>1916.666671</v>
      </c>
      <c r="BP246" s="873">
        <v>1916.666671</v>
      </c>
      <c r="BQ246" s="920">
        <v>1916.666671</v>
      </c>
      <c r="BR246" s="920">
        <v>1916.666671</v>
      </c>
      <c r="BS246" s="920">
        <v>1916.666671</v>
      </c>
      <c r="BT246" s="920">
        <v>1878.3333378699999</v>
      </c>
      <c r="BU246" s="920">
        <v>1878.3333378699999</v>
      </c>
      <c r="BV246" s="920">
        <v>1878.3333378699999</v>
      </c>
      <c r="BW246" s="920">
        <v>1840.9469978699999</v>
      </c>
      <c r="BX246" s="920">
        <v>1840.9469978699999</v>
      </c>
      <c r="BY246" s="920">
        <v>1840.9469978699999</v>
      </c>
      <c r="BZ246" s="920">
        <v>1725.9469978699999</v>
      </c>
      <c r="CA246" s="920">
        <v>1725.9469978699999</v>
      </c>
      <c r="CB246" s="920">
        <v>1725.9469978699999</v>
      </c>
      <c r="CC246" s="920">
        <v>1725.9469978699999</v>
      </c>
      <c r="CD246" s="920">
        <v>1725.9469978699999</v>
      </c>
      <c r="CE246" s="920">
        <v>1725.9469978699999</v>
      </c>
      <c r="CF246" s="920">
        <v>1497.92521687</v>
      </c>
      <c r="CG246" s="920">
        <v>1497.92521687</v>
      </c>
      <c r="CH246" s="920">
        <v>1497.92521687</v>
      </c>
      <c r="CI246" s="920">
        <v>1497.92521687</v>
      </c>
      <c r="CJ246" s="920">
        <v>1497.92521687</v>
      </c>
      <c r="CK246" s="920">
        <v>1497.92521687</v>
      </c>
      <c r="CL246" s="920">
        <v>1497.92521687</v>
      </c>
      <c r="CM246" s="920">
        <v>1382.92521687</v>
      </c>
      <c r="CN246" s="920">
        <v>1382.92521687</v>
      </c>
      <c r="CO246" s="920">
        <v>1362.4625838699999</v>
      </c>
      <c r="CP246" s="920">
        <v>1362.4625838699999</v>
      </c>
      <c r="CQ246" s="920">
        <v>1362.4625838699999</v>
      </c>
      <c r="CR246" s="920">
        <v>1341.9999508699998</v>
      </c>
      <c r="CS246" s="920">
        <v>1341.9999508699998</v>
      </c>
      <c r="CT246" s="920">
        <v>1341.9999508699998</v>
      </c>
      <c r="CU246" s="920">
        <v>1321.5373178699999</v>
      </c>
      <c r="CV246" s="920">
        <v>1321.5373178699999</v>
      </c>
      <c r="CW246" s="920">
        <v>1321.5373178699999</v>
      </c>
      <c r="CX246" s="920">
        <v>1301.0746848699998</v>
      </c>
      <c r="CY246" s="920">
        <v>1301.0746848699998</v>
      </c>
      <c r="CZ246" s="920">
        <v>1301.0746848699998</v>
      </c>
      <c r="DA246" s="920">
        <v>1301.0746848699998</v>
      </c>
      <c r="DB246" s="920">
        <v>1301.0746848699998</v>
      </c>
      <c r="DC246" s="920">
        <v>1298.1494729999999</v>
      </c>
      <c r="DD246" s="920">
        <v>1298.1494729999999</v>
      </c>
      <c r="DE246" s="920">
        <v>1298.1494729999999</v>
      </c>
      <c r="DF246" s="920">
        <v>1298.1494729999999</v>
      </c>
      <c r="DG246" s="920">
        <v>1250.578397</v>
      </c>
      <c r="DH246" s="920">
        <v>1250.578397</v>
      </c>
      <c r="DI246" s="920">
        <v>1250.578397</v>
      </c>
      <c r="DJ246" s="920">
        <v>1203.007321</v>
      </c>
      <c r="DK246" s="920">
        <v>1203.007321</v>
      </c>
      <c r="DL246" s="920">
        <v>1203.007321</v>
      </c>
      <c r="DM246" s="920">
        <v>1155.4362450000001</v>
      </c>
      <c r="DN246" s="920">
        <v>1155.4362450000001</v>
      </c>
      <c r="DO246" s="920">
        <v>1155.4362450000001</v>
      </c>
      <c r="DP246" s="920">
        <v>1107.8651689999999</v>
      </c>
      <c r="DQ246" s="920">
        <v>956.32521499999996</v>
      </c>
      <c r="DR246" s="920">
        <v>956.32521499999996</v>
      </c>
      <c r="DS246" s="920">
        <v>956.32521499999996</v>
      </c>
      <c r="DT246" s="920">
        <v>956.32521499999996</v>
      </c>
      <c r="DU246" s="920">
        <v>956.32521499999996</v>
      </c>
      <c r="DV246" s="920">
        <v>935.90123300000005</v>
      </c>
      <c r="DW246" s="920">
        <v>935.90123300000005</v>
      </c>
      <c r="DX246" s="920">
        <v>935.90123300000005</v>
      </c>
      <c r="DY246" s="920">
        <v>849.99682399999995</v>
      </c>
      <c r="DZ246" s="920">
        <v>849.99682399999995</v>
      </c>
      <c r="EA246" s="920">
        <v>849.99682399999995</v>
      </c>
      <c r="EB246" s="920">
        <v>764.09240999999997</v>
      </c>
      <c r="EC246" s="920">
        <v>764.09240999999997</v>
      </c>
      <c r="ED246" s="920">
        <v>764.09240999999997</v>
      </c>
      <c r="EE246" s="920">
        <v>659.02133400000002</v>
      </c>
      <c r="EF246" s="920">
        <v>659.02133400000002</v>
      </c>
      <c r="EH246" s="1032"/>
      <c r="EI246" s="1032"/>
      <c r="EJ246" s="1032"/>
      <c r="EK246" s="1032"/>
      <c r="EL246" s="1032"/>
      <c r="EM246" s="1032"/>
      <c r="EN246" s="1032"/>
      <c r="EO246" s="1032"/>
      <c r="EP246" s="1032"/>
      <c r="EQ246" s="1032"/>
      <c r="ER246" s="1032"/>
      <c r="ES246" s="1032"/>
      <c r="HD246" s="1032"/>
      <c r="HE246" s="1032"/>
      <c r="HF246" s="1032"/>
      <c r="HG246" s="1032"/>
      <c r="HH246" s="1013"/>
      <c r="HI246" s="1013"/>
      <c r="HJ246" s="1013"/>
      <c r="HK246" s="1013"/>
      <c r="HL246" s="1013"/>
      <c r="HM246" s="1013"/>
      <c r="HN246" s="1013"/>
      <c r="HO246" s="1032"/>
      <c r="HP246" s="1032"/>
      <c r="JM246" s="920"/>
      <c r="JN246" s="920"/>
      <c r="JY246" s="1032"/>
      <c r="JZ246" s="1032"/>
      <c r="KA246" s="1032"/>
      <c r="KB246" s="1032"/>
      <c r="KC246" s="1032"/>
      <c r="KD246" s="1032"/>
      <c r="KE246" s="1032"/>
      <c r="KF246" s="1032"/>
      <c r="KH246" s="1032"/>
      <c r="KI246" s="1032"/>
      <c r="KJ246" s="1032"/>
      <c r="KK246" s="1032"/>
      <c r="KL246" s="1032"/>
      <c r="KM246" s="1032"/>
      <c r="KN246" s="1032"/>
      <c r="KO246" s="1032"/>
      <c r="LB246" s="17" t="e">
        <f>#VALUE!</f>
        <v>#VALUE!</v>
      </c>
      <c r="LC246" s="17" t="e">
        <f>#VALUE!</f>
        <v>#VALUE!</v>
      </c>
      <c r="LD246" s="17" t="e">
        <f>#VALUE!</f>
        <v>#VALUE!</v>
      </c>
      <c r="LE246" s="920" t="e">
        <f>#VALUE!</f>
        <v>#VALUE!</v>
      </c>
      <c r="LF246" s="17" t="e">
        <f>#VALUE!</f>
        <v>#VALUE!</v>
      </c>
      <c r="LM246" s="17" t="e">
        <f>#VALUE!</f>
        <v>#VALUE!</v>
      </c>
      <c r="LN246" s="17" t="e">
        <f>#VALUE!</f>
        <v>#VALUE!</v>
      </c>
      <c r="LO246" s="920" t="e">
        <f>#VALUE!</f>
        <v>#VALUE!</v>
      </c>
      <c r="LR246" s="1032"/>
      <c r="LS246" s="1032"/>
      <c r="LT246" s="1032"/>
      <c r="LU246" s="1032"/>
      <c r="LV246" s="1032"/>
      <c r="LW246" s="1032"/>
      <c r="LX246" s="1032"/>
      <c r="LZ246" s="1032"/>
      <c r="MA246" s="1032"/>
      <c r="MB246" s="1032"/>
      <c r="MC246" s="1032"/>
      <c r="MD246" s="1032"/>
      <c r="ME246" s="1032"/>
      <c r="MF246" s="1032"/>
      <c r="MH246" s="1032"/>
      <c r="MI246" s="1032"/>
      <c r="MJ246" s="1032"/>
      <c r="MK246" s="1032"/>
      <c r="ML246" s="1032"/>
      <c r="MM246" s="1032"/>
      <c r="MN246" s="1032"/>
      <c r="MO246" s="1032"/>
      <c r="MP246" s="1032"/>
    </row>
    <row r="247" spans="1:354">
      <c r="A247" s="884">
        <v>21051012</v>
      </c>
      <c r="B247" s="884"/>
      <c r="C247" s="1028" t="s">
        <v>778</v>
      </c>
      <c r="D247" s="31"/>
      <c r="E247" s="1011"/>
      <c r="F247" s="1011"/>
      <c r="G247" s="1011"/>
      <c r="H247" s="1011"/>
      <c r="I247" s="1011"/>
      <c r="J247" s="1011"/>
      <c r="K247" s="1011"/>
      <c r="L247" s="1011"/>
      <c r="M247" s="1011"/>
      <c r="N247" s="1011"/>
      <c r="O247" s="1011"/>
      <c r="P247" s="1011"/>
      <c r="Q247" s="1011"/>
      <c r="R247" s="1011"/>
      <c r="S247" s="1011"/>
      <c r="T247" s="1011"/>
      <c r="U247" s="1011"/>
      <c r="V247" s="1011"/>
      <c r="W247" s="1011"/>
      <c r="X247" s="1011"/>
      <c r="Y247" s="1011"/>
      <c r="Z247" s="1011"/>
      <c r="AA247" s="1011"/>
      <c r="AB247" s="1011"/>
      <c r="AC247" s="1011"/>
      <c r="AD247" s="1011"/>
      <c r="AE247" s="1011"/>
      <c r="AF247" s="1011"/>
      <c r="AG247" s="1011"/>
      <c r="AH247" s="1011"/>
      <c r="AI247" s="1011"/>
      <c r="AJ247" s="1011"/>
      <c r="AK247" s="1011"/>
      <c r="AL247" s="1011"/>
      <c r="AM247" s="1011"/>
      <c r="AN247" s="1011"/>
      <c r="AO247" s="1029">
        <v>0</v>
      </c>
      <c r="AP247" s="1029">
        <v>0</v>
      </c>
      <c r="AQ247" s="1010">
        <v>0</v>
      </c>
      <c r="AR247" s="1010">
        <v>0</v>
      </c>
      <c r="AS247" s="1021">
        <v>1500</v>
      </c>
      <c r="AT247" s="920">
        <v>0</v>
      </c>
      <c r="AU247" s="1029">
        <v>0</v>
      </c>
      <c r="AV247" s="1029">
        <v>0</v>
      </c>
      <c r="AW247" s="1029">
        <v>0</v>
      </c>
      <c r="AX247" s="1029">
        <v>0</v>
      </c>
      <c r="AY247" s="1029">
        <v>0</v>
      </c>
      <c r="AZ247" s="1029">
        <v>0</v>
      </c>
      <c r="BA247" s="873">
        <v>0</v>
      </c>
      <c r="BB247" s="873">
        <v>0</v>
      </c>
      <c r="BC247" s="873">
        <v>0</v>
      </c>
      <c r="BD247" s="873">
        <v>0</v>
      </c>
      <c r="BE247" s="920">
        <v>0</v>
      </c>
      <c r="BF247" s="920">
        <v>0</v>
      </c>
      <c r="BG247" s="920">
        <v>0</v>
      </c>
      <c r="BH247" s="920">
        <v>0</v>
      </c>
      <c r="BI247" s="920">
        <v>0</v>
      </c>
      <c r="BJ247" s="920">
        <v>0</v>
      </c>
      <c r="BK247" s="920">
        <v>0</v>
      </c>
      <c r="BL247" s="920">
        <v>0</v>
      </c>
      <c r="BM247" s="873">
        <v>0</v>
      </c>
      <c r="BN247" s="873">
        <v>0</v>
      </c>
      <c r="BO247" s="873">
        <v>0</v>
      </c>
      <c r="BP247" s="873">
        <v>0</v>
      </c>
      <c r="BQ247" s="920">
        <v>0</v>
      </c>
      <c r="BR247" s="920">
        <v>0</v>
      </c>
      <c r="BS247" s="920">
        <v>0</v>
      </c>
      <c r="BT247" s="920">
        <v>0</v>
      </c>
      <c r="BU247" s="920">
        <v>0</v>
      </c>
      <c r="BV247" s="920">
        <v>0</v>
      </c>
      <c r="BW247" s="920">
        <v>0</v>
      </c>
      <c r="BX247" s="920">
        <v>0</v>
      </c>
      <c r="BY247" s="920">
        <v>0</v>
      </c>
      <c r="BZ247" s="920">
        <v>0</v>
      </c>
      <c r="CA247" s="920">
        <v>0</v>
      </c>
      <c r="CB247" s="920">
        <v>0</v>
      </c>
      <c r="CC247" s="920">
        <v>0</v>
      </c>
      <c r="CD247" s="920">
        <v>0</v>
      </c>
      <c r="CE247" s="920">
        <v>0</v>
      </c>
      <c r="CF247" s="920">
        <v>0</v>
      </c>
      <c r="CG247" s="920">
        <v>0</v>
      </c>
      <c r="CH247" s="920">
        <v>0</v>
      </c>
      <c r="CI247" s="920">
        <v>0</v>
      </c>
      <c r="CJ247" s="920">
        <v>0</v>
      </c>
      <c r="CK247" s="920">
        <v>0</v>
      </c>
      <c r="CL247" s="920">
        <v>0</v>
      </c>
      <c r="CM247" s="920">
        <v>0</v>
      </c>
      <c r="CN247" s="920">
        <v>0</v>
      </c>
      <c r="CO247" s="920">
        <v>0</v>
      </c>
      <c r="CP247" s="920">
        <v>0</v>
      </c>
      <c r="CQ247" s="920">
        <v>0</v>
      </c>
      <c r="CR247" s="920">
        <v>0</v>
      </c>
      <c r="CS247" s="920">
        <v>0</v>
      </c>
      <c r="CT247" s="920">
        <v>0</v>
      </c>
      <c r="CU247" s="920">
        <v>0</v>
      </c>
      <c r="CV247" s="920">
        <v>0</v>
      </c>
      <c r="CW247" s="920">
        <v>0</v>
      </c>
      <c r="CX247" s="920">
        <v>0</v>
      </c>
      <c r="CY247" s="920">
        <v>0</v>
      </c>
      <c r="CZ247" s="920">
        <v>0</v>
      </c>
      <c r="DA247" s="920">
        <v>0</v>
      </c>
      <c r="DB247" s="920">
        <v>0</v>
      </c>
      <c r="DC247" s="920">
        <v>0</v>
      </c>
      <c r="DD247" s="920">
        <v>0</v>
      </c>
      <c r="DE247" s="920">
        <v>0</v>
      </c>
      <c r="DF247" s="920">
        <v>0</v>
      </c>
      <c r="DG247" s="920">
        <v>0</v>
      </c>
      <c r="DH247" s="920">
        <v>0</v>
      </c>
      <c r="DI247" s="920">
        <v>0</v>
      </c>
      <c r="DJ247" s="920">
        <v>0</v>
      </c>
      <c r="DK247" s="920">
        <v>0</v>
      </c>
      <c r="DL247" s="920">
        <v>0</v>
      </c>
      <c r="DM247" s="920">
        <v>0</v>
      </c>
      <c r="DN247" s="920">
        <v>0</v>
      </c>
      <c r="DO247" s="920">
        <v>0</v>
      </c>
      <c r="DP247" s="920">
        <v>0</v>
      </c>
      <c r="DQ247" s="920">
        <v>0</v>
      </c>
      <c r="DR247" s="920">
        <v>0</v>
      </c>
      <c r="DS247" s="920">
        <v>0</v>
      </c>
      <c r="DT247" s="920">
        <v>0</v>
      </c>
      <c r="DU247" s="920">
        <v>0</v>
      </c>
      <c r="DV247" s="920">
        <v>0</v>
      </c>
      <c r="DW247" s="920">
        <v>0</v>
      </c>
      <c r="DX247" s="920">
        <v>0</v>
      </c>
      <c r="DY247" s="920">
        <v>0</v>
      </c>
      <c r="DZ247" s="920">
        <v>0</v>
      </c>
      <c r="EA247" s="920">
        <v>0</v>
      </c>
      <c r="EB247" s="920">
        <v>0</v>
      </c>
      <c r="EC247" s="920">
        <v>0</v>
      </c>
      <c r="ED247" s="920">
        <v>0</v>
      </c>
      <c r="EE247" s="920">
        <v>0</v>
      </c>
      <c r="EF247" s="920">
        <v>0</v>
      </c>
      <c r="EH247" s="1032"/>
      <c r="EI247" s="1032"/>
      <c r="EJ247" s="1032"/>
      <c r="EK247" s="1032"/>
      <c r="EL247" s="1032"/>
      <c r="EM247" s="1032"/>
      <c r="EN247" s="1032"/>
      <c r="EO247" s="1032"/>
      <c r="EP247" s="1032"/>
      <c r="EQ247" s="1032"/>
      <c r="ER247" s="1032"/>
      <c r="ES247" s="1032"/>
      <c r="HD247" s="1032"/>
      <c r="HE247" s="1032"/>
      <c r="HF247" s="1032"/>
      <c r="HG247" s="1032"/>
      <c r="HH247" s="1013"/>
      <c r="HI247" s="1013"/>
      <c r="HJ247" s="1013"/>
      <c r="HK247" s="1013"/>
      <c r="HL247" s="1013"/>
      <c r="HM247" s="1013"/>
      <c r="HN247" s="1013"/>
      <c r="HO247" s="1032"/>
      <c r="HP247" s="1032"/>
      <c r="JM247" s="920"/>
      <c r="JN247" s="920"/>
      <c r="JY247" s="1032"/>
      <c r="JZ247" s="1032"/>
      <c r="KA247" s="1032"/>
      <c r="KB247" s="1032"/>
      <c r="KC247" s="1032"/>
      <c r="KD247" s="1032"/>
      <c r="KE247" s="1032"/>
      <c r="KF247" s="1032"/>
      <c r="KH247" s="1032"/>
      <c r="KI247" s="1032"/>
      <c r="KJ247" s="1032"/>
      <c r="KK247" s="1032"/>
      <c r="KL247" s="1032"/>
      <c r="KM247" s="1032"/>
      <c r="KN247" s="1032"/>
      <c r="KO247" s="1032"/>
      <c r="LB247" s="17" t="e">
        <f>#VALUE!</f>
        <v>#VALUE!</v>
      </c>
      <c r="LC247" s="17" t="e">
        <f>#VALUE!</f>
        <v>#VALUE!</v>
      </c>
      <c r="LD247" s="17" t="e">
        <f>#VALUE!</f>
        <v>#VALUE!</v>
      </c>
      <c r="LE247" s="920" t="e">
        <f>#VALUE!</f>
        <v>#VALUE!</v>
      </c>
      <c r="LF247" s="17" t="e">
        <f>#VALUE!</f>
        <v>#VALUE!</v>
      </c>
      <c r="LM247" s="17" t="e">
        <f>#VALUE!</f>
        <v>#VALUE!</v>
      </c>
      <c r="LN247" s="17" t="e">
        <f>#VALUE!</f>
        <v>#VALUE!</v>
      </c>
      <c r="LO247" s="920" t="e">
        <f>#VALUE!</f>
        <v>#VALUE!</v>
      </c>
      <c r="LR247" s="1032"/>
      <c r="LS247" s="1032"/>
      <c r="LT247" s="1032"/>
      <c r="LU247" s="1032"/>
      <c r="LV247" s="1032"/>
      <c r="LW247" s="1032"/>
      <c r="LX247" s="1032"/>
      <c r="LZ247" s="1032"/>
      <c r="MA247" s="1032"/>
      <c r="MB247" s="1032"/>
      <c r="MC247" s="1032"/>
      <c r="MD247" s="1032"/>
      <c r="ME247" s="1032"/>
      <c r="MF247" s="1032"/>
      <c r="MH247" s="1032"/>
      <c r="MI247" s="1032"/>
      <c r="MJ247" s="1032"/>
      <c r="MK247" s="1032"/>
      <c r="ML247" s="1032"/>
      <c r="MM247" s="1032"/>
      <c r="MN247" s="1032"/>
      <c r="MO247" s="1032"/>
      <c r="MP247" s="1032"/>
    </row>
    <row r="248" spans="1:354">
      <c r="A248" s="884">
        <v>21051013</v>
      </c>
      <c r="B248" s="884"/>
      <c r="C248" s="1028" t="s">
        <v>779</v>
      </c>
      <c r="D248" s="31"/>
      <c r="E248" s="1011"/>
      <c r="F248" s="1011"/>
      <c r="G248" s="1011"/>
      <c r="H248" s="1011"/>
      <c r="I248" s="1011"/>
      <c r="J248" s="1011"/>
      <c r="K248" s="1011"/>
      <c r="L248" s="1011"/>
      <c r="M248" s="1011"/>
      <c r="N248" s="1011"/>
      <c r="O248" s="1011"/>
      <c r="P248" s="1011"/>
      <c r="Q248" s="1011"/>
      <c r="R248" s="1011"/>
      <c r="S248" s="1011"/>
      <c r="T248" s="1011"/>
      <c r="U248" s="1011"/>
      <c r="V248" s="1011"/>
      <c r="W248" s="1011"/>
      <c r="X248" s="1011"/>
      <c r="Y248" s="1011"/>
      <c r="Z248" s="1011"/>
      <c r="AA248" s="1011"/>
      <c r="AB248" s="1011"/>
      <c r="AC248" s="1011"/>
      <c r="AD248" s="1011"/>
      <c r="AE248" s="1011"/>
      <c r="AF248" s="1011"/>
      <c r="AG248" s="1011"/>
      <c r="AH248" s="1011"/>
      <c r="AI248" s="1011"/>
      <c r="AJ248" s="1011"/>
      <c r="AK248" s="1011"/>
      <c r="AL248" s="1011"/>
      <c r="AM248" s="1011"/>
      <c r="AN248" s="1011"/>
      <c r="AO248" s="1029">
        <v>0</v>
      </c>
      <c r="AP248" s="1029">
        <v>0</v>
      </c>
      <c r="AQ248" s="1010">
        <v>0</v>
      </c>
      <c r="AR248" s="1010">
        <v>0</v>
      </c>
      <c r="AS248" s="920">
        <v>0</v>
      </c>
      <c r="AT248" s="920">
        <v>0</v>
      </c>
      <c r="AU248" s="1029">
        <v>0</v>
      </c>
      <c r="AV248" s="1029">
        <v>0</v>
      </c>
      <c r="AW248" s="1029">
        <v>500</v>
      </c>
      <c r="AX248" s="1029">
        <v>1500</v>
      </c>
      <c r="AY248" s="1029">
        <v>1500</v>
      </c>
      <c r="AZ248" s="1029">
        <v>1500</v>
      </c>
      <c r="BA248" s="873">
        <v>1500</v>
      </c>
      <c r="BB248" s="873">
        <v>1500</v>
      </c>
      <c r="BC248" s="873">
        <v>1500</v>
      </c>
      <c r="BD248" s="873">
        <v>1500</v>
      </c>
      <c r="BE248" s="920">
        <v>1500</v>
      </c>
      <c r="BF248" s="920">
        <v>1500</v>
      </c>
      <c r="BG248" s="920">
        <v>1500</v>
      </c>
      <c r="BH248" s="920">
        <v>1500</v>
      </c>
      <c r="BI248" s="920">
        <v>1500</v>
      </c>
      <c r="BJ248" s="920">
        <v>1500</v>
      </c>
      <c r="BK248" s="920">
        <v>1500</v>
      </c>
      <c r="BL248" s="920">
        <v>1500</v>
      </c>
      <c r="BM248" s="873">
        <v>1500</v>
      </c>
      <c r="BN248" s="873">
        <v>1500</v>
      </c>
      <c r="BO248" s="873">
        <v>1500</v>
      </c>
      <c r="BP248" s="873">
        <v>1500</v>
      </c>
      <c r="BQ248" s="920">
        <v>1500</v>
      </c>
      <c r="BR248" s="920">
        <v>1500</v>
      </c>
      <c r="BS248" s="920">
        <v>1500</v>
      </c>
      <c r="BT248" s="920">
        <v>1470</v>
      </c>
      <c r="BU248" s="920">
        <v>1470</v>
      </c>
      <c r="BV248" s="920">
        <v>1470</v>
      </c>
      <c r="BW248" s="920">
        <v>1440</v>
      </c>
      <c r="BX248" s="920">
        <v>1440</v>
      </c>
      <c r="BY248" s="920">
        <v>1440</v>
      </c>
      <c r="BZ248" s="920">
        <v>1350</v>
      </c>
      <c r="CA248" s="920">
        <v>1350</v>
      </c>
      <c r="CB248" s="920">
        <v>1350</v>
      </c>
      <c r="CC248" s="920">
        <v>1350</v>
      </c>
      <c r="CD248" s="920">
        <v>1350</v>
      </c>
      <c r="CE248" s="920">
        <v>1350</v>
      </c>
      <c r="CF248" s="920">
        <v>1170</v>
      </c>
      <c r="CG248" s="920">
        <v>1170</v>
      </c>
      <c r="CH248" s="920">
        <v>1170</v>
      </c>
      <c r="CI248" s="920">
        <v>1170</v>
      </c>
      <c r="CJ248" s="920">
        <v>1170</v>
      </c>
      <c r="CK248" s="920">
        <v>1170</v>
      </c>
      <c r="CL248" s="920">
        <v>1170</v>
      </c>
      <c r="CM248" s="920">
        <v>1080</v>
      </c>
      <c r="CN248" s="920">
        <v>1080</v>
      </c>
      <c r="CO248" s="920">
        <v>1063.9857649999999</v>
      </c>
      <c r="CP248" s="920">
        <v>1063.9857649999999</v>
      </c>
      <c r="CQ248" s="920">
        <v>1063.9857649999999</v>
      </c>
      <c r="CR248" s="920">
        <v>1047.97153</v>
      </c>
      <c r="CS248" s="920">
        <v>1047.97153</v>
      </c>
      <c r="CT248" s="920">
        <v>1047.97153</v>
      </c>
      <c r="CU248" s="920">
        <v>1031.9572949999999</v>
      </c>
      <c r="CV248" s="920">
        <v>1031.9572949999999</v>
      </c>
      <c r="CW248" s="920">
        <v>1031.9572949999999</v>
      </c>
      <c r="CX248" s="920">
        <v>1015.9430599999999</v>
      </c>
      <c r="CY248" s="920">
        <v>1015.9430599999999</v>
      </c>
      <c r="CZ248" s="920">
        <v>1015.9430599999999</v>
      </c>
      <c r="DA248" s="920">
        <v>1015.9430599999999</v>
      </c>
      <c r="DB248" s="920">
        <v>1015.9430599999999</v>
      </c>
      <c r="DC248" s="920">
        <v>1015.9430599999999</v>
      </c>
      <c r="DD248" s="920">
        <v>1015.9430599999999</v>
      </c>
      <c r="DE248" s="920">
        <v>1015.9430599999999</v>
      </c>
      <c r="DF248" s="920">
        <v>1015.9430599999999</v>
      </c>
      <c r="DG248" s="920">
        <v>978.71352200000001</v>
      </c>
      <c r="DH248" s="920">
        <v>978.71352200000001</v>
      </c>
      <c r="DI248" s="920">
        <v>978.71352200000001</v>
      </c>
      <c r="DJ248" s="920">
        <v>941.48398499999996</v>
      </c>
      <c r="DK248" s="920">
        <v>941.48398499999996</v>
      </c>
      <c r="DL248" s="920">
        <v>941.48398499999996</v>
      </c>
      <c r="DM248" s="920">
        <v>904.25444800000002</v>
      </c>
      <c r="DN248" s="920">
        <v>904.25444800000002</v>
      </c>
      <c r="DO248" s="920">
        <v>904.25444800000002</v>
      </c>
      <c r="DP248" s="920">
        <v>867.02491099999997</v>
      </c>
      <c r="DQ248" s="920">
        <v>748.38120445000004</v>
      </c>
      <c r="DR248" s="920">
        <v>748.38120445000004</v>
      </c>
      <c r="DS248" s="920">
        <v>748.38120445000004</v>
      </c>
      <c r="DT248" s="920">
        <v>748.38120445000004</v>
      </c>
      <c r="DU248" s="920">
        <v>748.38120445000004</v>
      </c>
      <c r="DV248" s="920">
        <v>732.39721845000008</v>
      </c>
      <c r="DW248" s="920">
        <v>732.39721845000008</v>
      </c>
      <c r="DX248" s="920">
        <v>732.39721845000008</v>
      </c>
      <c r="DY248" s="920">
        <v>665.1628443300001</v>
      </c>
      <c r="DZ248" s="920">
        <v>665.1628443300001</v>
      </c>
      <c r="EA248" s="920">
        <v>665.1628443300001</v>
      </c>
      <c r="EB248" s="920">
        <v>597.93330733000005</v>
      </c>
      <c r="EC248" s="920">
        <v>597.41326323999999</v>
      </c>
      <c r="ED248" s="920">
        <v>597.41326323999999</v>
      </c>
      <c r="EE248" s="920">
        <v>515.18372624000006</v>
      </c>
      <c r="EF248" s="920">
        <v>514.91872623999996</v>
      </c>
      <c r="EH248" s="1032"/>
      <c r="EI248" s="1032"/>
      <c r="EJ248" s="1032"/>
      <c r="EK248" s="1032"/>
      <c r="EL248" s="1032"/>
      <c r="EM248" s="1032"/>
      <c r="EN248" s="1032"/>
      <c r="EO248" s="1032"/>
      <c r="EP248" s="1032"/>
      <c r="EQ248" s="1032"/>
      <c r="ER248" s="1032"/>
      <c r="ES248" s="1032"/>
      <c r="HD248" s="1032"/>
      <c r="HE248" s="1032"/>
      <c r="HF248" s="1032"/>
      <c r="HG248" s="1032"/>
      <c r="HH248" s="1013"/>
      <c r="HI248" s="1013"/>
      <c r="HJ248" s="1013"/>
      <c r="HK248" s="1013"/>
      <c r="HL248" s="1013"/>
      <c r="HM248" s="1013"/>
      <c r="HN248" s="1013"/>
      <c r="HO248" s="1032"/>
      <c r="HP248" s="1032"/>
      <c r="JM248" s="920"/>
      <c r="JN248" s="920"/>
      <c r="JY248" s="1032"/>
      <c r="JZ248" s="1032"/>
      <c r="KA248" s="1032"/>
      <c r="KB248" s="1032"/>
      <c r="KC248" s="1032"/>
      <c r="KD248" s="1032"/>
      <c r="KE248" s="1032"/>
      <c r="KF248" s="1032"/>
      <c r="KH248" s="1032"/>
      <c r="KI248" s="1032"/>
      <c r="KJ248" s="1032"/>
      <c r="KK248" s="1032"/>
      <c r="KL248" s="1032"/>
      <c r="KM248" s="1032"/>
      <c r="KN248" s="1032"/>
      <c r="KO248" s="1032"/>
      <c r="LE248" s="920"/>
      <c r="LO248" s="920"/>
      <c r="LR248" s="1032"/>
      <c r="LS248" s="1032"/>
      <c r="LT248" s="1032"/>
      <c r="LU248" s="1032"/>
      <c r="LV248" s="1032"/>
      <c r="LW248" s="1032"/>
      <c r="LX248" s="1032"/>
      <c r="LZ248" s="1032"/>
      <c r="MA248" s="1032"/>
      <c r="MB248" s="1032"/>
      <c r="MC248" s="1032"/>
      <c r="MD248" s="1032"/>
      <c r="ME248" s="1032"/>
      <c r="MF248" s="1032"/>
      <c r="MH248" s="1032"/>
      <c r="MI248" s="1032"/>
      <c r="MJ248" s="1032"/>
      <c r="MK248" s="1032"/>
      <c r="ML248" s="1032"/>
      <c r="MM248" s="1032"/>
      <c r="MN248" s="1032"/>
      <c r="MO248" s="1032"/>
      <c r="MP248" s="1032"/>
    </row>
    <row r="249" spans="1:354">
      <c r="A249" s="884">
        <v>21052501</v>
      </c>
      <c r="B249" s="884">
        <v>21052503</v>
      </c>
      <c r="C249" s="1028" t="s">
        <v>780</v>
      </c>
      <c r="D249" s="31"/>
      <c r="E249" s="1011"/>
      <c r="F249" s="1011"/>
      <c r="G249" s="1011"/>
      <c r="H249" s="1011"/>
      <c r="I249" s="1011"/>
      <c r="J249" s="1011"/>
      <c r="K249" s="1011"/>
      <c r="L249" s="1011"/>
      <c r="M249" s="1011"/>
      <c r="N249" s="1011"/>
      <c r="O249" s="1011"/>
      <c r="P249" s="1011"/>
      <c r="Q249" s="1011"/>
      <c r="R249" s="1011"/>
      <c r="S249" s="1011"/>
      <c r="T249" s="1011"/>
      <c r="U249" s="1011"/>
      <c r="V249" s="1011"/>
      <c r="W249" s="1011"/>
      <c r="X249" s="1011"/>
      <c r="Y249" s="1011"/>
      <c r="Z249" s="1011"/>
      <c r="AA249" s="1011"/>
      <c r="AB249" s="1011"/>
      <c r="AC249" s="1011"/>
      <c r="AD249" s="1011"/>
      <c r="AE249" s="1011"/>
      <c r="AF249" s="1011"/>
      <c r="AG249" s="1011"/>
      <c r="AH249" s="1011"/>
      <c r="AI249" s="1011"/>
      <c r="AJ249" s="1011"/>
      <c r="AK249" s="1011"/>
      <c r="AL249" s="1011"/>
      <c r="AM249" s="1011"/>
      <c r="AN249" s="1011"/>
      <c r="AO249" s="1029">
        <v>0</v>
      </c>
      <c r="AP249" s="1029">
        <v>0</v>
      </c>
      <c r="AQ249" s="1010">
        <v>1.1778457499999999</v>
      </c>
      <c r="AR249" s="1010">
        <v>0.77583571000000007</v>
      </c>
      <c r="AS249" s="1010">
        <v>2.0185643600000001</v>
      </c>
      <c r="AT249" s="1010">
        <v>2.1442261899999999</v>
      </c>
      <c r="AU249" s="1029">
        <v>3.1904141299999997</v>
      </c>
      <c r="AV249" s="1029">
        <v>2.7747177399999998</v>
      </c>
      <c r="AW249" s="1029">
        <v>1.0596367899999999</v>
      </c>
      <c r="AX249" s="1029">
        <v>7.29388872</v>
      </c>
      <c r="AY249" s="1029">
        <v>1.237997</v>
      </c>
      <c r="AZ249" s="1029">
        <v>8.7127430299999986</v>
      </c>
      <c r="BA249" s="873">
        <v>3.0107861200000001</v>
      </c>
      <c r="BB249" s="873">
        <v>1.7197363999999999</v>
      </c>
      <c r="BC249" s="873">
        <v>1.3096850200000001</v>
      </c>
      <c r="BD249" s="873">
        <v>3.6832430199999999</v>
      </c>
      <c r="BE249" s="920">
        <v>7.0500190199999997</v>
      </c>
      <c r="BF249" s="920">
        <v>2.56491902</v>
      </c>
      <c r="BG249" s="920">
        <v>0.10768802000000001</v>
      </c>
      <c r="BH249" s="920">
        <v>1.6892213500000002</v>
      </c>
      <c r="BI249" s="920">
        <v>6.3103068400000009</v>
      </c>
      <c r="BJ249" s="920">
        <v>5.2997418300000003</v>
      </c>
      <c r="BK249" s="920">
        <v>3.933592</v>
      </c>
      <c r="BL249" s="920">
        <v>19.11180543</v>
      </c>
      <c r="BM249" s="873">
        <v>17.631906740000002</v>
      </c>
      <c r="BN249" s="873">
        <v>13.338942959999999</v>
      </c>
      <c r="BO249" s="873">
        <v>10.790542029999999</v>
      </c>
      <c r="BP249" s="873">
        <v>3.50859152</v>
      </c>
      <c r="BQ249" s="920">
        <v>4.8669076499999999</v>
      </c>
      <c r="BR249" s="920">
        <v>11.99256877</v>
      </c>
      <c r="BS249" s="920">
        <v>11.038243040000001</v>
      </c>
      <c r="BT249" s="920">
        <v>9.4101505799999998</v>
      </c>
      <c r="BU249" s="920">
        <v>10.21996133</v>
      </c>
      <c r="BV249" s="920">
        <v>11.517688360000001</v>
      </c>
      <c r="BW249" s="920">
        <v>9.1411382499999991</v>
      </c>
      <c r="BX249" s="920">
        <v>39.313828140000005</v>
      </c>
      <c r="BY249" s="920">
        <v>52.201774759999999</v>
      </c>
      <c r="BZ249" s="920">
        <v>46.800705409999999</v>
      </c>
      <c r="CA249" s="920">
        <v>36.775928360000002</v>
      </c>
      <c r="CB249" s="920">
        <v>46.237588240000001</v>
      </c>
      <c r="CC249" s="920">
        <v>45.963937060000006</v>
      </c>
      <c r="CD249" s="920">
        <v>47.819947070000005</v>
      </c>
      <c r="CE249" s="920">
        <v>33.204159070000003</v>
      </c>
      <c r="CF249" s="920">
        <v>48.911848879999994</v>
      </c>
      <c r="CG249" s="920">
        <v>31.64330429</v>
      </c>
      <c r="CH249" s="920">
        <v>31.933568869999998</v>
      </c>
      <c r="CI249" s="920">
        <v>47.309986960000003</v>
      </c>
      <c r="CJ249" s="920">
        <v>0</v>
      </c>
      <c r="CK249" s="920">
        <v>0</v>
      </c>
      <c r="CL249" s="920">
        <v>0</v>
      </c>
      <c r="CM249" s="920">
        <v>0</v>
      </c>
      <c r="CN249" s="920">
        <v>0</v>
      </c>
      <c r="CO249" s="920">
        <v>0</v>
      </c>
      <c r="CP249" s="920">
        <v>0</v>
      </c>
      <c r="CQ249" s="920">
        <v>0</v>
      </c>
      <c r="CR249" s="920">
        <v>0</v>
      </c>
      <c r="CS249" s="920">
        <v>0</v>
      </c>
      <c r="CT249" s="920">
        <v>0</v>
      </c>
      <c r="CU249" s="920">
        <v>0</v>
      </c>
      <c r="CV249" s="920">
        <v>0</v>
      </c>
      <c r="CW249" s="920">
        <v>0</v>
      </c>
      <c r="CX249" s="920">
        <v>0</v>
      </c>
      <c r="CY249" s="920">
        <v>0</v>
      </c>
      <c r="CZ249" s="920">
        <v>0</v>
      </c>
      <c r="DA249" s="920">
        <v>0</v>
      </c>
      <c r="DB249" s="920">
        <v>0</v>
      </c>
      <c r="DC249" s="920">
        <v>0</v>
      </c>
      <c r="DD249" s="920">
        <v>0</v>
      </c>
      <c r="DE249" s="920">
        <v>0</v>
      </c>
      <c r="DF249" s="920">
        <v>0</v>
      </c>
      <c r="DG249" s="920">
        <v>0</v>
      </c>
      <c r="DH249" s="920">
        <v>0</v>
      </c>
      <c r="DI249" s="920">
        <v>0</v>
      </c>
      <c r="DJ249" s="920">
        <v>0</v>
      </c>
      <c r="DK249" s="920">
        <v>0</v>
      </c>
      <c r="DL249" s="920">
        <v>0</v>
      </c>
      <c r="DM249" s="920">
        <v>0</v>
      </c>
      <c r="DN249" s="920">
        <v>0</v>
      </c>
      <c r="DO249" s="920">
        <v>0</v>
      </c>
      <c r="DP249" s="920">
        <v>0</v>
      </c>
      <c r="DQ249" s="920">
        <v>0</v>
      </c>
      <c r="DR249" s="920">
        <v>0</v>
      </c>
      <c r="DS249" s="920">
        <v>0</v>
      </c>
      <c r="DT249" s="920">
        <v>0</v>
      </c>
      <c r="DU249" s="920">
        <v>0</v>
      </c>
      <c r="DV249" s="920">
        <v>0</v>
      </c>
      <c r="DW249" s="920">
        <v>0</v>
      </c>
      <c r="DX249" s="920">
        <v>0</v>
      </c>
      <c r="DY249" s="920">
        <v>0</v>
      </c>
      <c r="DZ249" s="920">
        <v>0</v>
      </c>
      <c r="EA249" s="920">
        <v>0</v>
      </c>
      <c r="EB249" s="920">
        <v>0</v>
      </c>
      <c r="EC249" s="920">
        <v>0</v>
      </c>
      <c r="ED249" s="920">
        <v>0</v>
      </c>
      <c r="EE249" s="920">
        <v>0</v>
      </c>
      <c r="EF249" s="920">
        <v>0</v>
      </c>
      <c r="EH249" s="1033"/>
      <c r="EI249" s="1032"/>
      <c r="EJ249" s="1032"/>
      <c r="EK249" s="1032"/>
      <c r="EL249" s="1032"/>
      <c r="EM249" s="1032"/>
      <c r="EN249" s="1032"/>
      <c r="EO249" s="1032"/>
      <c r="EP249" s="1032"/>
      <c r="EQ249" s="1032"/>
      <c r="ER249" s="1032"/>
      <c r="ES249" s="1032"/>
      <c r="HD249" s="1032"/>
      <c r="HE249" s="1032"/>
      <c r="HF249" s="1032"/>
      <c r="HG249" s="1032"/>
      <c r="HH249" s="1013"/>
      <c r="HI249" s="1013"/>
      <c r="HJ249" s="1013"/>
      <c r="HK249" s="1013"/>
      <c r="HL249" s="1013"/>
      <c r="HM249" s="1013"/>
      <c r="HN249" s="1013"/>
      <c r="HO249" s="1032"/>
      <c r="HP249" s="1032"/>
      <c r="JM249" s="920"/>
      <c r="JN249" s="920"/>
      <c r="JY249" s="1032"/>
      <c r="JZ249" s="1032"/>
      <c r="KA249" s="1032"/>
      <c r="KB249" s="1032"/>
      <c r="KC249" s="1032"/>
      <c r="KD249" s="1032"/>
      <c r="KE249" s="1032"/>
      <c r="KF249" s="1032"/>
      <c r="KH249" s="1032"/>
      <c r="KI249" s="1032"/>
      <c r="KJ249" s="1032"/>
      <c r="KK249" s="1032"/>
      <c r="KL249" s="1032"/>
      <c r="KM249" s="1032"/>
      <c r="KN249" s="1032"/>
      <c r="KO249" s="1032"/>
      <c r="LB249" s="17" t="e">
        <f>#VALUE!</f>
        <v>#VALUE!</v>
      </c>
      <c r="LC249" s="17" t="e">
        <f>#VALUE!</f>
        <v>#VALUE!</v>
      </c>
      <c r="LD249" s="17" t="e">
        <f>#VALUE!</f>
        <v>#VALUE!</v>
      </c>
      <c r="LE249" s="920" t="e">
        <f>#VALUE!</f>
        <v>#VALUE!</v>
      </c>
      <c r="LF249" s="17" t="e">
        <f>#VALUE!</f>
        <v>#VALUE!</v>
      </c>
      <c r="LM249" s="17" t="e">
        <f>#VALUE!</f>
        <v>#VALUE!</v>
      </c>
      <c r="LN249" s="17" t="e">
        <f>#VALUE!</f>
        <v>#VALUE!</v>
      </c>
      <c r="LO249" s="920" t="e">
        <f>#VALUE!</f>
        <v>#VALUE!</v>
      </c>
      <c r="LR249" s="1032"/>
      <c r="LS249" s="1032"/>
      <c r="LT249" s="1032"/>
      <c r="LU249" s="1032"/>
      <c r="LV249" s="1032"/>
      <c r="LW249" s="1032"/>
      <c r="LX249" s="1032"/>
      <c r="LZ249" s="1032"/>
      <c r="MA249" s="1032"/>
      <c r="MB249" s="1032"/>
      <c r="MC249" s="1032"/>
      <c r="MD249" s="1032"/>
      <c r="ME249" s="1032"/>
      <c r="MF249" s="1032"/>
      <c r="MH249" s="1032"/>
      <c r="MI249" s="1032"/>
      <c r="MJ249" s="1032"/>
      <c r="MK249" s="1032"/>
      <c r="ML249" s="1032"/>
      <c r="MM249" s="1032"/>
      <c r="MN249" s="1032"/>
      <c r="MO249" s="1032"/>
      <c r="MP249" s="1032"/>
    </row>
    <row r="250" spans="1:354">
      <c r="A250" s="884">
        <v>21052502</v>
      </c>
      <c r="B250" s="884"/>
      <c r="C250" s="1028" t="s">
        <v>781</v>
      </c>
      <c r="D250" s="31"/>
      <c r="E250" s="1011"/>
      <c r="F250" s="1011"/>
      <c r="G250" s="1011"/>
      <c r="H250" s="1011"/>
      <c r="I250" s="1011"/>
      <c r="J250" s="1011"/>
      <c r="K250" s="1011"/>
      <c r="L250" s="1011"/>
      <c r="M250" s="1011"/>
      <c r="N250" s="1011"/>
      <c r="O250" s="1011"/>
      <c r="P250" s="1011"/>
      <c r="Q250" s="1011"/>
      <c r="R250" s="1011"/>
      <c r="S250" s="1011"/>
      <c r="T250" s="1011"/>
      <c r="U250" s="1011"/>
      <c r="V250" s="1011"/>
      <c r="W250" s="1011"/>
      <c r="X250" s="1011"/>
      <c r="Y250" s="1011"/>
      <c r="Z250" s="1011"/>
      <c r="AA250" s="1011"/>
      <c r="AB250" s="1011"/>
      <c r="AC250" s="1011"/>
      <c r="AD250" s="1011"/>
      <c r="AE250" s="1011"/>
      <c r="AF250" s="1011"/>
      <c r="AG250" s="1011"/>
      <c r="AH250" s="1011"/>
      <c r="AI250" s="1011"/>
      <c r="AJ250" s="1011"/>
      <c r="AK250" s="1011"/>
      <c r="AL250" s="1011"/>
      <c r="AM250" s="1011"/>
      <c r="AN250" s="1011"/>
      <c r="AO250" s="1029">
        <v>0</v>
      </c>
      <c r="AP250" s="1029">
        <v>0</v>
      </c>
      <c r="AQ250" s="1010"/>
      <c r="AR250" s="1010"/>
      <c r="AS250" s="1010">
        <v>0</v>
      </c>
      <c r="AT250" s="1010">
        <v>2.2076830000000002E-2</v>
      </c>
      <c r="AU250" s="1029">
        <v>3.7186115099999997</v>
      </c>
      <c r="AV250" s="1029">
        <v>0</v>
      </c>
      <c r="AW250" s="1029">
        <v>0</v>
      </c>
      <c r="AX250" s="1029">
        <v>0</v>
      </c>
      <c r="AY250" s="1029">
        <v>0</v>
      </c>
      <c r="AZ250" s="1029">
        <v>0</v>
      </c>
      <c r="BA250" s="873">
        <v>0.26892315</v>
      </c>
      <c r="BB250" s="873">
        <v>0</v>
      </c>
      <c r="BC250" s="873">
        <v>0</v>
      </c>
      <c r="BD250" s="873">
        <v>0.51942959999999994</v>
      </c>
      <c r="BE250" s="920">
        <v>0</v>
      </c>
      <c r="BF250" s="920">
        <v>0</v>
      </c>
      <c r="BG250" s="920">
        <v>0</v>
      </c>
      <c r="BH250" s="920">
        <v>0</v>
      </c>
      <c r="BI250" s="920">
        <v>0</v>
      </c>
      <c r="BJ250" s="920">
        <v>0</v>
      </c>
      <c r="BK250" s="920">
        <v>0</v>
      </c>
      <c r="BL250" s="920">
        <v>0</v>
      </c>
      <c r="BM250" s="873">
        <v>0</v>
      </c>
      <c r="BN250" s="873">
        <v>0</v>
      </c>
      <c r="BO250" s="873">
        <v>0</v>
      </c>
      <c r="BP250" s="873">
        <v>0</v>
      </c>
      <c r="BQ250" s="920">
        <v>0</v>
      </c>
      <c r="BR250" s="920">
        <v>0</v>
      </c>
      <c r="BS250" s="920">
        <v>0</v>
      </c>
      <c r="BT250" s="920">
        <v>0</v>
      </c>
      <c r="BU250" s="920">
        <v>0</v>
      </c>
      <c r="BV250" s="920">
        <v>0</v>
      </c>
      <c r="BW250" s="920">
        <v>0</v>
      </c>
      <c r="BX250" s="920">
        <v>0.13481279999999998</v>
      </c>
      <c r="BY250" s="920">
        <v>0.1291958</v>
      </c>
      <c r="BZ250" s="920">
        <v>0.11988080000000001</v>
      </c>
      <c r="CA250" s="920">
        <v>0.1072298</v>
      </c>
      <c r="CB250" s="920">
        <v>9.1018799999999997E-2</v>
      </c>
      <c r="CC250" s="920">
        <v>7.2236800000000004E-2</v>
      </c>
      <c r="CD250" s="920">
        <v>4.8606800000000006E-2</v>
      </c>
      <c r="CE250" s="920">
        <v>8.8203898000000009</v>
      </c>
      <c r="CF250" s="920">
        <v>9.7738586699999992</v>
      </c>
      <c r="CG250" s="920">
        <v>34.448085460000001</v>
      </c>
      <c r="CH250" s="920">
        <v>48.022724189999998</v>
      </c>
      <c r="CI250" s="920">
        <v>35.794955189999996</v>
      </c>
      <c r="CJ250" s="920">
        <v>0</v>
      </c>
      <c r="CK250" s="920">
        <v>0</v>
      </c>
      <c r="CL250" s="920">
        <v>0</v>
      </c>
      <c r="CM250" s="920">
        <v>0</v>
      </c>
      <c r="CN250" s="920">
        <v>0</v>
      </c>
      <c r="CO250" s="920">
        <v>0</v>
      </c>
      <c r="CP250" s="920">
        <v>0</v>
      </c>
      <c r="CQ250" s="920">
        <v>0</v>
      </c>
      <c r="CR250" s="920">
        <v>0</v>
      </c>
      <c r="CS250" s="920">
        <v>0</v>
      </c>
      <c r="CT250" s="920">
        <v>0</v>
      </c>
      <c r="CU250" s="920">
        <v>0</v>
      </c>
      <c r="CV250" s="920">
        <v>0</v>
      </c>
      <c r="CW250" s="920">
        <v>0</v>
      </c>
      <c r="CX250" s="920">
        <v>0</v>
      </c>
      <c r="CY250" s="920">
        <v>0</v>
      </c>
      <c r="CZ250" s="920">
        <v>0</v>
      </c>
      <c r="DA250" s="920">
        <v>0</v>
      </c>
      <c r="DB250" s="920">
        <v>0</v>
      </c>
      <c r="DC250" s="920">
        <v>0</v>
      </c>
      <c r="DD250" s="920">
        <v>0</v>
      </c>
      <c r="DE250" s="920">
        <v>0</v>
      </c>
      <c r="DF250" s="920">
        <v>0</v>
      </c>
      <c r="DG250" s="920">
        <v>0</v>
      </c>
      <c r="DH250" s="920">
        <v>0</v>
      </c>
      <c r="DI250" s="920">
        <v>0</v>
      </c>
      <c r="DJ250" s="920">
        <v>0</v>
      </c>
      <c r="DK250" s="920">
        <v>0</v>
      </c>
      <c r="DL250" s="920">
        <v>0</v>
      </c>
      <c r="DM250" s="920">
        <v>0</v>
      </c>
      <c r="DN250" s="920">
        <v>0</v>
      </c>
      <c r="DO250" s="920">
        <v>0</v>
      </c>
      <c r="DP250" s="920">
        <v>0</v>
      </c>
      <c r="DQ250" s="920">
        <v>0</v>
      </c>
      <c r="DR250" s="920">
        <v>0</v>
      </c>
      <c r="DS250" s="920">
        <v>0</v>
      </c>
      <c r="DT250" s="920">
        <v>0</v>
      </c>
      <c r="DU250" s="920">
        <v>0</v>
      </c>
      <c r="DV250" s="920">
        <v>0</v>
      </c>
      <c r="DW250" s="920">
        <v>0</v>
      </c>
      <c r="DX250" s="920">
        <v>0</v>
      </c>
      <c r="DY250" s="920">
        <v>0</v>
      </c>
      <c r="DZ250" s="920">
        <v>0</v>
      </c>
      <c r="EA250" s="920">
        <v>0</v>
      </c>
      <c r="EB250" s="920">
        <v>0</v>
      </c>
      <c r="EC250" s="920">
        <v>0</v>
      </c>
      <c r="ED250" s="920">
        <v>0</v>
      </c>
      <c r="EE250" s="920">
        <v>0</v>
      </c>
      <c r="EF250" s="920">
        <v>0</v>
      </c>
      <c r="EH250" s="1032"/>
      <c r="EI250" s="1032"/>
      <c r="EJ250" s="1032"/>
      <c r="EK250" s="1032"/>
      <c r="EL250" s="1032"/>
      <c r="EM250" s="1032"/>
      <c r="EN250" s="1032"/>
      <c r="EO250" s="1032"/>
      <c r="EP250" s="1032"/>
      <c r="EQ250" s="1032"/>
      <c r="ER250" s="1032"/>
      <c r="ES250" s="1032"/>
      <c r="HD250" s="1032"/>
      <c r="HE250" s="1032"/>
      <c r="HF250" s="1032"/>
      <c r="HG250" s="1032"/>
      <c r="HH250" s="1013"/>
      <c r="HI250" s="1013"/>
      <c r="HJ250" s="1013"/>
      <c r="HK250" s="1013"/>
      <c r="HL250" s="1013"/>
      <c r="HM250" s="1013"/>
      <c r="HN250" s="1013"/>
      <c r="HO250" s="1032"/>
      <c r="HP250" s="1032"/>
      <c r="JM250" s="920"/>
      <c r="JN250" s="920"/>
      <c r="JY250" s="1032"/>
      <c r="JZ250" s="1032"/>
      <c r="KA250" s="1032"/>
      <c r="KB250" s="1032"/>
      <c r="KC250" s="1032"/>
      <c r="KD250" s="1032"/>
      <c r="KE250" s="1032"/>
      <c r="KF250" s="1032"/>
      <c r="KH250" s="1032"/>
      <c r="KI250" s="1032"/>
      <c r="KJ250" s="1032"/>
      <c r="KK250" s="1032"/>
      <c r="KL250" s="1032"/>
      <c r="KM250" s="1032"/>
      <c r="KN250" s="1032"/>
      <c r="KO250" s="1032"/>
      <c r="LE250" s="920"/>
      <c r="LO250" s="920"/>
      <c r="LR250" s="1032"/>
      <c r="LS250" s="1032"/>
      <c r="LT250" s="1032"/>
      <c r="LU250" s="1032"/>
      <c r="LV250" s="1032"/>
      <c r="LW250" s="1032"/>
      <c r="LX250" s="1032"/>
      <c r="LZ250" s="1032"/>
      <c r="MA250" s="1032"/>
      <c r="MB250" s="1032"/>
      <c r="MC250" s="1032"/>
      <c r="MD250" s="1032"/>
      <c r="ME250" s="1032"/>
      <c r="MF250" s="1032"/>
      <c r="MH250" s="1032"/>
      <c r="MI250" s="1032"/>
      <c r="MJ250" s="1032"/>
      <c r="MK250" s="1032"/>
      <c r="ML250" s="1032"/>
      <c r="MM250" s="1032"/>
      <c r="MN250" s="1032"/>
      <c r="MO250" s="1032"/>
      <c r="MP250" s="1032"/>
    </row>
    <row r="251" spans="1:354">
      <c r="A251" s="884">
        <v>21202007</v>
      </c>
      <c r="B251" s="884"/>
      <c r="C251" s="1028" t="s">
        <v>782</v>
      </c>
      <c r="D251" s="31"/>
      <c r="E251" s="1011"/>
      <c r="F251" s="1011"/>
      <c r="G251" s="1011"/>
      <c r="H251" s="1011"/>
      <c r="I251" s="1011"/>
      <c r="J251" s="1011"/>
      <c r="K251" s="1011"/>
      <c r="L251" s="1011"/>
      <c r="M251" s="1011"/>
      <c r="N251" s="1011"/>
      <c r="O251" s="1011"/>
      <c r="P251" s="1011"/>
      <c r="Q251" s="1011"/>
      <c r="R251" s="1011"/>
      <c r="S251" s="1011"/>
      <c r="T251" s="1011"/>
      <c r="U251" s="1011"/>
      <c r="V251" s="1011"/>
      <c r="W251" s="1011"/>
      <c r="X251" s="1011"/>
      <c r="Y251" s="1011"/>
      <c r="Z251" s="1011"/>
      <c r="AA251" s="1011"/>
      <c r="AB251" s="1011"/>
      <c r="AC251" s="1011"/>
      <c r="AD251" s="1011"/>
      <c r="AE251" s="1011"/>
      <c r="AF251" s="1011"/>
      <c r="AG251" s="1011"/>
      <c r="AH251" s="1011"/>
      <c r="AI251" s="1011"/>
      <c r="AJ251" s="1011"/>
      <c r="AK251" s="1011"/>
      <c r="AL251" s="1011"/>
      <c r="AM251" s="1011"/>
      <c r="AN251" s="1011"/>
      <c r="AO251" s="1029">
        <v>0</v>
      </c>
      <c r="AP251" s="1029">
        <v>0</v>
      </c>
      <c r="AQ251" s="1010"/>
      <c r="AR251" s="1010"/>
      <c r="AS251" s="1010">
        <v>0</v>
      </c>
      <c r="AT251" s="1010">
        <v>3350</v>
      </c>
      <c r="AU251" s="1010">
        <v>3350</v>
      </c>
      <c r="AV251" s="1010">
        <v>3350</v>
      </c>
      <c r="AW251" s="1010">
        <v>3350</v>
      </c>
      <c r="AX251" s="1010">
        <v>3350</v>
      </c>
      <c r="AY251" s="1010">
        <v>3350</v>
      </c>
      <c r="AZ251" s="1010">
        <v>3350</v>
      </c>
      <c r="BA251" s="1010">
        <v>3350</v>
      </c>
      <c r="BB251" s="1010">
        <v>3350</v>
      </c>
      <c r="BC251" s="1010">
        <v>3350</v>
      </c>
      <c r="BD251" s="1010">
        <v>3350</v>
      </c>
      <c r="BE251" s="920">
        <v>3350</v>
      </c>
      <c r="BF251" s="920">
        <v>3350</v>
      </c>
      <c r="BG251" s="920">
        <v>3350</v>
      </c>
      <c r="BH251" s="920">
        <v>3350</v>
      </c>
      <c r="BI251" s="920">
        <v>3350</v>
      </c>
      <c r="BJ251" s="920">
        <v>3350</v>
      </c>
      <c r="BK251" s="920">
        <v>3350</v>
      </c>
      <c r="BL251" s="920">
        <v>3350</v>
      </c>
      <c r="BM251" s="873">
        <v>3350</v>
      </c>
      <c r="BN251" s="1010">
        <v>3350</v>
      </c>
      <c r="BO251" s="1010">
        <v>3350</v>
      </c>
      <c r="BP251" s="1010">
        <v>3350</v>
      </c>
      <c r="BQ251" s="920">
        <v>3350</v>
      </c>
      <c r="BR251" s="920">
        <v>3350</v>
      </c>
      <c r="BS251" s="920">
        <v>3350</v>
      </c>
      <c r="BT251" s="920">
        <v>3350</v>
      </c>
      <c r="BU251" s="920">
        <v>3350</v>
      </c>
      <c r="BV251" s="920">
        <v>3350</v>
      </c>
      <c r="BW251" s="920">
        <v>3350</v>
      </c>
      <c r="BX251" s="920">
        <v>3350</v>
      </c>
      <c r="BY251" s="920">
        <v>3350</v>
      </c>
      <c r="BZ251" s="920">
        <v>3350</v>
      </c>
      <c r="CA251" s="920">
        <v>3350</v>
      </c>
      <c r="CB251" s="920">
        <v>3350</v>
      </c>
      <c r="CC251" s="920">
        <v>3350</v>
      </c>
      <c r="CD251" s="920">
        <v>3350</v>
      </c>
      <c r="CE251" s="920">
        <v>3350</v>
      </c>
      <c r="CF251" s="920">
        <v>3350</v>
      </c>
      <c r="CG251" s="920">
        <v>3350</v>
      </c>
      <c r="CH251" s="920">
        <v>3350</v>
      </c>
      <c r="CI251" s="920">
        <v>3350</v>
      </c>
      <c r="CJ251" s="920">
        <v>3350</v>
      </c>
      <c r="CK251" s="920">
        <v>3350</v>
      </c>
      <c r="CL251" s="920">
        <v>3350</v>
      </c>
      <c r="CM251" s="920">
        <v>3350</v>
      </c>
      <c r="CN251" s="920">
        <v>3350</v>
      </c>
      <c r="CO251" s="920">
        <v>3350</v>
      </c>
      <c r="CP251" s="920">
        <v>3350</v>
      </c>
      <c r="CQ251" s="920">
        <v>3350</v>
      </c>
      <c r="CR251" s="920">
        <v>3350</v>
      </c>
      <c r="CS251" s="920">
        <v>3350</v>
      </c>
      <c r="CT251" s="920">
        <v>3350</v>
      </c>
      <c r="CU251" s="920">
        <v>3350</v>
      </c>
      <c r="CV251" s="920">
        <v>3350</v>
      </c>
      <c r="CW251" s="920">
        <v>3350</v>
      </c>
      <c r="CX251" s="920">
        <v>3350</v>
      </c>
      <c r="CY251" s="920">
        <v>3350</v>
      </c>
      <c r="CZ251" s="920">
        <v>3350</v>
      </c>
      <c r="DA251" s="920">
        <v>3350</v>
      </c>
      <c r="DB251" s="920">
        <v>3350</v>
      </c>
      <c r="DC251" s="920">
        <v>3350</v>
      </c>
      <c r="DD251" s="920">
        <v>3350</v>
      </c>
      <c r="DE251" s="920">
        <v>3350</v>
      </c>
      <c r="DF251" s="920">
        <v>3350</v>
      </c>
      <c r="DG251" s="920">
        <v>3350</v>
      </c>
      <c r="DH251" s="920">
        <v>3350</v>
      </c>
      <c r="DI251" s="920">
        <v>3350</v>
      </c>
      <c r="DJ251" s="920">
        <v>3350</v>
      </c>
      <c r="DK251" s="920">
        <v>3350</v>
      </c>
      <c r="DL251" s="920">
        <v>3350</v>
      </c>
      <c r="DM251" s="920">
        <v>3350</v>
      </c>
      <c r="DN251" s="920">
        <v>3350</v>
      </c>
      <c r="DO251" s="920">
        <v>3350</v>
      </c>
      <c r="DP251" s="920">
        <v>3350</v>
      </c>
      <c r="DQ251" s="920">
        <v>3350</v>
      </c>
      <c r="DR251" s="920">
        <v>3350</v>
      </c>
      <c r="DS251" s="920">
        <v>3350</v>
      </c>
      <c r="DT251" s="920">
        <v>3350</v>
      </c>
      <c r="DU251" s="920">
        <v>3350</v>
      </c>
      <c r="DV251" s="920">
        <v>3350</v>
      </c>
      <c r="DW251" s="920">
        <v>3350</v>
      </c>
      <c r="DX251" s="920">
        <v>3350</v>
      </c>
      <c r="DY251" s="920">
        <v>3350</v>
      </c>
      <c r="DZ251" s="920">
        <v>3350</v>
      </c>
      <c r="EA251" s="920">
        <v>3350</v>
      </c>
      <c r="EB251" s="920">
        <v>3350</v>
      </c>
      <c r="EC251" s="920">
        <v>3350</v>
      </c>
      <c r="ED251" s="920">
        <v>3350</v>
      </c>
      <c r="EE251" s="920">
        <v>3350</v>
      </c>
      <c r="EF251" s="920">
        <v>3350</v>
      </c>
      <c r="EH251" s="1032"/>
      <c r="EI251" s="1032"/>
      <c r="EJ251" s="1032"/>
      <c r="EK251" s="1032"/>
      <c r="EL251" s="1032"/>
      <c r="EM251" s="1032"/>
      <c r="EN251" s="1032"/>
      <c r="EO251" s="1032"/>
      <c r="EP251" s="1032"/>
      <c r="EQ251" s="1032"/>
      <c r="ER251" s="1032"/>
      <c r="ES251" s="1032"/>
      <c r="HD251" s="1032"/>
      <c r="HE251" s="1032"/>
      <c r="HF251" s="1032"/>
      <c r="HG251" s="1032"/>
      <c r="HH251" s="1013"/>
      <c r="HI251" s="1013"/>
      <c r="HJ251" s="1013"/>
      <c r="HK251" s="1013"/>
      <c r="HL251" s="1013"/>
      <c r="HM251" s="1013"/>
      <c r="HN251" s="1013"/>
      <c r="HO251" s="1032"/>
      <c r="HP251" s="1032"/>
      <c r="JM251" s="920"/>
      <c r="JN251" s="920"/>
      <c r="JY251" s="1032"/>
      <c r="JZ251" s="1032"/>
      <c r="KA251" s="1032"/>
      <c r="KB251" s="1032"/>
      <c r="KC251" s="1032"/>
      <c r="KD251" s="1032"/>
      <c r="KE251" s="1032"/>
      <c r="KF251" s="1032"/>
      <c r="KH251" s="1032"/>
      <c r="KI251" s="1032"/>
      <c r="KJ251" s="1032"/>
      <c r="KK251" s="1032"/>
      <c r="KL251" s="1032"/>
      <c r="KM251" s="1032"/>
      <c r="KN251" s="1032"/>
      <c r="KO251" s="1032"/>
      <c r="LE251" s="920"/>
      <c r="LO251" s="920"/>
      <c r="LR251" s="1032"/>
      <c r="LS251" s="1032"/>
      <c r="LT251" s="1032"/>
      <c r="LU251" s="1032"/>
      <c r="LV251" s="1032"/>
      <c r="LW251" s="1032"/>
      <c r="LX251" s="1032"/>
      <c r="LZ251" s="1032"/>
      <c r="MA251" s="1032"/>
      <c r="MB251" s="1032"/>
      <c r="MC251" s="1032"/>
      <c r="MD251" s="1032"/>
      <c r="ME251" s="1032"/>
      <c r="MF251" s="1032"/>
      <c r="MH251" s="1032"/>
      <c r="MI251" s="1032"/>
      <c r="MJ251" s="1032"/>
      <c r="MK251" s="1032"/>
      <c r="ML251" s="1032"/>
      <c r="MM251" s="1032"/>
      <c r="MN251" s="1032"/>
      <c r="MO251" s="1032"/>
      <c r="MP251" s="1032"/>
    </row>
    <row r="252" spans="1:354">
      <c r="A252" s="884">
        <v>21200501</v>
      </c>
      <c r="B252" s="884"/>
      <c r="C252" s="1028" t="s">
        <v>783</v>
      </c>
      <c r="D252" s="31"/>
      <c r="E252" s="1011"/>
      <c r="F252" s="1011"/>
      <c r="G252" s="1011"/>
      <c r="H252" s="1011"/>
      <c r="I252" s="1011"/>
      <c r="J252" s="1011"/>
      <c r="K252" s="1011"/>
      <c r="L252" s="1011"/>
      <c r="M252" s="1011"/>
      <c r="N252" s="1011"/>
      <c r="O252" s="1011"/>
      <c r="P252" s="1011"/>
      <c r="Q252" s="1011"/>
      <c r="R252" s="1011"/>
      <c r="S252" s="1011"/>
      <c r="T252" s="1011"/>
      <c r="U252" s="1011"/>
      <c r="V252" s="1011"/>
      <c r="W252" s="1011"/>
      <c r="X252" s="1011"/>
      <c r="Y252" s="1011"/>
      <c r="Z252" s="1011"/>
      <c r="AA252" s="1011"/>
      <c r="AB252" s="1011"/>
      <c r="AC252" s="1011"/>
      <c r="AD252" s="1011"/>
      <c r="AE252" s="1011"/>
      <c r="AF252" s="1011"/>
      <c r="AG252" s="1011"/>
      <c r="AH252" s="1011"/>
      <c r="AI252" s="1011"/>
      <c r="AJ252" s="1011"/>
      <c r="AK252" s="1011"/>
      <c r="AL252" s="1011"/>
      <c r="AM252" s="1011"/>
      <c r="AN252" s="1011"/>
      <c r="AO252" s="1029">
        <v>0</v>
      </c>
      <c r="AP252" s="1029">
        <v>0</v>
      </c>
      <c r="AQ252" s="1010"/>
      <c r="AR252" s="1010"/>
      <c r="AS252" s="1010">
        <v>0</v>
      </c>
      <c r="AT252" s="1010">
        <v>27.987029</v>
      </c>
      <c r="AU252" s="1029">
        <v>0</v>
      </c>
      <c r="AV252" s="1029">
        <v>0</v>
      </c>
      <c r="AW252" s="1029">
        <v>0</v>
      </c>
      <c r="AX252" s="1029">
        <v>0</v>
      </c>
      <c r="AY252" s="1029">
        <v>0</v>
      </c>
      <c r="AZ252" s="1029">
        <v>0</v>
      </c>
      <c r="BA252" s="873">
        <v>0</v>
      </c>
      <c r="BB252" s="873">
        <v>0</v>
      </c>
      <c r="BC252" s="873">
        <v>0</v>
      </c>
      <c r="BD252" s="873">
        <v>0</v>
      </c>
      <c r="BE252" s="920">
        <v>0</v>
      </c>
      <c r="BF252" s="920">
        <v>0</v>
      </c>
      <c r="BG252" s="920">
        <v>0</v>
      </c>
      <c r="BH252" s="920">
        <v>0</v>
      </c>
      <c r="BI252" s="920">
        <v>1.7064560000000003E-2</v>
      </c>
      <c r="BJ252" s="920">
        <v>1.7064560000000003E-2</v>
      </c>
      <c r="BK252" s="920">
        <v>1.7064560000000003E-2</v>
      </c>
      <c r="BL252" s="920">
        <v>1.7064560000000003E-2</v>
      </c>
      <c r="BM252" s="873">
        <v>1.7064560000000003E-2</v>
      </c>
      <c r="BN252" s="873">
        <v>1.7064560000000003E-2</v>
      </c>
      <c r="BO252" s="873">
        <v>1.7064560000000003E-2</v>
      </c>
      <c r="BP252" s="873">
        <v>1.7064560000000003E-2</v>
      </c>
      <c r="BQ252" s="920">
        <v>1.7064560000000003E-2</v>
      </c>
      <c r="BR252" s="920">
        <v>1.7064560000000003E-2</v>
      </c>
      <c r="BS252" s="920">
        <v>1.7064560000000003E-2</v>
      </c>
      <c r="BT252" s="920">
        <v>1.7064560000000003E-2</v>
      </c>
      <c r="BU252" s="920">
        <v>1.7064560000000003E-2</v>
      </c>
      <c r="BV252" s="920">
        <v>3.13025456</v>
      </c>
      <c r="BW252" s="920">
        <v>1.7064560000000003E-2</v>
      </c>
      <c r="BX252" s="920">
        <v>1.7064560000000003E-2</v>
      </c>
      <c r="BY252" s="920">
        <v>1.7064560000000003E-2</v>
      </c>
      <c r="BZ252" s="920">
        <v>1.7064560000000003E-2</v>
      </c>
      <c r="CA252" s="920">
        <v>1.7064560000000003E-2</v>
      </c>
      <c r="CB252" s="920">
        <v>1.7064560000000003E-2</v>
      </c>
      <c r="CC252" s="920">
        <v>1.7064560000000003E-2</v>
      </c>
      <c r="CD252" s="920">
        <v>1.7064560000000003E-2</v>
      </c>
      <c r="CE252" s="920">
        <v>1.7064560000000003E-2</v>
      </c>
      <c r="CF252" s="920">
        <v>1.7064560000000003E-2</v>
      </c>
      <c r="CG252" s="920">
        <v>1.7064560000000003E-2</v>
      </c>
      <c r="CH252" s="920">
        <v>1.7064560000000003E-2</v>
      </c>
      <c r="CI252" s="920">
        <v>1.7064560000000003E-2</v>
      </c>
      <c r="CJ252" s="920">
        <v>0</v>
      </c>
      <c r="CK252" s="920">
        <v>0</v>
      </c>
      <c r="CL252" s="920">
        <v>0</v>
      </c>
      <c r="CM252" s="920">
        <v>0</v>
      </c>
      <c r="CN252" s="920">
        <v>0</v>
      </c>
      <c r="CO252" s="920">
        <v>0</v>
      </c>
      <c r="CP252" s="920">
        <v>0</v>
      </c>
      <c r="CQ252" s="920">
        <v>0</v>
      </c>
      <c r="CR252" s="920">
        <v>0</v>
      </c>
      <c r="CS252" s="920">
        <v>0</v>
      </c>
      <c r="CT252" s="920">
        <v>0</v>
      </c>
      <c r="CU252" s="920">
        <v>0</v>
      </c>
      <c r="CV252" s="920">
        <v>0</v>
      </c>
      <c r="CW252" s="920">
        <v>0</v>
      </c>
      <c r="CX252" s="920">
        <v>0</v>
      </c>
      <c r="CY252" s="920">
        <v>0</v>
      </c>
      <c r="CZ252" s="920">
        <v>0</v>
      </c>
      <c r="DA252" s="920">
        <v>0</v>
      </c>
      <c r="DB252" s="920">
        <v>0</v>
      </c>
      <c r="DC252" s="920">
        <v>0</v>
      </c>
      <c r="DD252" s="920">
        <v>0</v>
      </c>
      <c r="DE252" s="920">
        <v>0</v>
      </c>
      <c r="DF252" s="920">
        <v>0</v>
      </c>
      <c r="DG252" s="920">
        <v>0</v>
      </c>
      <c r="DH252" s="920">
        <v>0</v>
      </c>
      <c r="DI252" s="920">
        <v>0</v>
      </c>
      <c r="DJ252" s="920">
        <v>0</v>
      </c>
      <c r="DK252" s="920">
        <v>0</v>
      </c>
      <c r="DL252" s="920">
        <v>0</v>
      </c>
      <c r="DM252" s="920">
        <v>0</v>
      </c>
      <c r="DN252" s="920">
        <v>0</v>
      </c>
      <c r="DO252" s="920">
        <v>0</v>
      </c>
      <c r="DP252" s="920">
        <v>0</v>
      </c>
      <c r="DQ252" s="920">
        <v>0</v>
      </c>
      <c r="DR252" s="920">
        <v>0</v>
      </c>
      <c r="DS252" s="920">
        <v>0</v>
      </c>
      <c r="DT252" s="920">
        <v>0</v>
      </c>
      <c r="DU252" s="920">
        <v>0</v>
      </c>
      <c r="DV252" s="920">
        <v>0</v>
      </c>
      <c r="DW252" s="920">
        <v>0</v>
      </c>
      <c r="DX252" s="920">
        <v>0</v>
      </c>
      <c r="DY252" s="920">
        <v>0</v>
      </c>
      <c r="DZ252" s="920">
        <v>0</v>
      </c>
      <c r="EA252" s="920">
        <v>0</v>
      </c>
      <c r="EB252" s="920">
        <v>0</v>
      </c>
      <c r="EC252" s="920">
        <v>43.835138999999998</v>
      </c>
      <c r="ED252" s="920">
        <v>44.511764999999997</v>
      </c>
      <c r="EE252" s="920">
        <v>45.896115999999999</v>
      </c>
      <c r="EF252" s="920">
        <v>49.381692999999999</v>
      </c>
      <c r="EH252" s="1032"/>
      <c r="EI252" s="1032"/>
      <c r="EJ252" s="1032"/>
      <c r="EK252" s="1032"/>
      <c r="EL252" s="1032"/>
      <c r="EM252" s="1032"/>
      <c r="EN252" s="1032"/>
      <c r="EO252" s="1032"/>
      <c r="EP252" s="1032"/>
      <c r="EQ252" s="1032"/>
      <c r="ER252" s="1032"/>
      <c r="ES252" s="1032"/>
      <c r="HD252" s="1032"/>
      <c r="HE252" s="1032"/>
      <c r="HF252" s="1032"/>
      <c r="HG252" s="1032"/>
      <c r="HH252" s="1013"/>
      <c r="HI252" s="1013"/>
      <c r="HJ252" s="1013"/>
      <c r="HK252" s="1013"/>
      <c r="HL252" s="1013"/>
      <c r="HM252" s="1013"/>
      <c r="HN252" s="1013"/>
      <c r="HO252" s="1032"/>
      <c r="HP252" s="1032"/>
      <c r="JM252" s="920"/>
      <c r="JN252" s="920"/>
      <c r="JY252" s="1032"/>
      <c r="JZ252" s="1032"/>
      <c r="KA252" s="1032"/>
      <c r="KB252" s="1032"/>
      <c r="KC252" s="1032"/>
      <c r="KD252" s="1032"/>
      <c r="KE252" s="1032"/>
      <c r="KF252" s="1032"/>
      <c r="KH252" s="1032"/>
      <c r="KI252" s="1032"/>
      <c r="KJ252" s="1032"/>
      <c r="KK252" s="1032"/>
      <c r="KL252" s="1032"/>
      <c r="KM252" s="1032"/>
      <c r="KN252" s="1032"/>
      <c r="KO252" s="1032"/>
      <c r="LE252" s="920"/>
      <c r="LO252" s="920"/>
      <c r="LR252" s="1032"/>
      <c r="LS252" s="1032"/>
      <c r="LT252" s="1032"/>
      <c r="LU252" s="1032"/>
      <c r="LV252" s="1032"/>
      <c r="LW252" s="1032"/>
      <c r="LX252" s="1032"/>
      <c r="LZ252" s="1032"/>
      <c r="MA252" s="1032"/>
      <c r="MB252" s="1032"/>
      <c r="MC252" s="1032"/>
      <c r="MD252" s="1032"/>
      <c r="ME252" s="1032"/>
      <c r="MF252" s="1032"/>
      <c r="MH252" s="1032"/>
      <c r="MI252" s="1032"/>
      <c r="MJ252" s="1032"/>
      <c r="MK252" s="1032"/>
      <c r="ML252" s="1032"/>
      <c r="MM252" s="1032"/>
      <c r="MN252" s="1032"/>
      <c r="MO252" s="1032"/>
      <c r="MP252" s="1032"/>
    </row>
    <row r="253" spans="1:354">
      <c r="A253" s="884">
        <v>21202006</v>
      </c>
      <c r="C253" s="1028" t="s">
        <v>784</v>
      </c>
      <c r="D253" s="31"/>
      <c r="E253" s="1011"/>
      <c r="F253" s="1011"/>
      <c r="G253" s="1011"/>
      <c r="H253" s="1011"/>
      <c r="I253" s="1011"/>
      <c r="J253" s="1011"/>
      <c r="K253" s="1011"/>
      <c r="L253" s="1011"/>
      <c r="M253" s="1011"/>
      <c r="N253" s="1011"/>
      <c r="O253" s="1011"/>
      <c r="P253" s="1011"/>
      <c r="Q253" s="1011"/>
      <c r="R253" s="1011"/>
      <c r="S253" s="1011"/>
      <c r="T253" s="1011"/>
      <c r="U253" s="1011"/>
      <c r="V253" s="1011"/>
      <c r="W253" s="1011"/>
      <c r="X253" s="1011"/>
      <c r="Y253" s="1011"/>
      <c r="Z253" s="1011"/>
      <c r="AA253" s="1011"/>
      <c r="AB253" s="1011"/>
      <c r="AC253" s="1011"/>
      <c r="AD253" s="1011"/>
      <c r="AE253" s="1011"/>
      <c r="AF253" s="1011"/>
      <c r="AG253" s="1011"/>
      <c r="AH253" s="1011"/>
      <c r="AI253" s="1011"/>
      <c r="AJ253" s="1011"/>
      <c r="AK253" s="1011"/>
      <c r="AL253" s="1011"/>
      <c r="AM253" s="1011"/>
      <c r="AN253" s="1011"/>
      <c r="AO253" s="1029">
        <v>0</v>
      </c>
      <c r="AP253" s="1029">
        <v>0</v>
      </c>
      <c r="AQ253" s="1010"/>
      <c r="AR253" s="873">
        <v>0</v>
      </c>
      <c r="AS253" s="1021">
        <v>86.942087999999998</v>
      </c>
      <c r="AT253" s="1021">
        <v>84.760749000000004</v>
      </c>
      <c r="AU253" s="1029">
        <v>82.564316000000005</v>
      </c>
      <c r="AV253" s="1029">
        <v>80.352684999999994</v>
      </c>
      <c r="AW253" s="1029">
        <v>78.135266000000001</v>
      </c>
      <c r="AX253" s="1029">
        <v>75.894739999999999</v>
      </c>
      <c r="AY253" s="1029">
        <v>73.642101999999994</v>
      </c>
      <c r="AZ253" s="1029">
        <v>71.383497000000006</v>
      </c>
      <c r="BA253" s="873">
        <v>69.092986999999994</v>
      </c>
      <c r="BB253" s="873">
        <v>66.813282000000001</v>
      </c>
      <c r="BC253" s="873">
        <v>64.516159999999999</v>
      </c>
      <c r="BD253" s="873">
        <v>62.196800000000003</v>
      </c>
      <c r="BE253" s="920">
        <v>59.883952000000001</v>
      </c>
      <c r="BF253" s="920">
        <v>57.571103999999998</v>
      </c>
      <c r="BG253" s="920">
        <v>55.218936999999997</v>
      </c>
      <c r="BH253" s="920">
        <v>52.858184000000001</v>
      </c>
      <c r="BI253" s="920">
        <v>0</v>
      </c>
      <c r="BJ253" s="920">
        <v>0</v>
      </c>
      <c r="BK253" s="920">
        <v>0</v>
      </c>
      <c r="BL253" s="920">
        <v>0</v>
      </c>
      <c r="BM253" s="873">
        <v>0</v>
      </c>
      <c r="BN253" s="873">
        <v>0</v>
      </c>
      <c r="BO253" s="873">
        <v>0</v>
      </c>
      <c r="BP253" s="873">
        <v>0</v>
      </c>
      <c r="BQ253" s="920">
        <v>0</v>
      </c>
      <c r="BR253" s="920">
        <v>0</v>
      </c>
      <c r="BS253" s="920">
        <v>0</v>
      </c>
      <c r="BT253" s="920">
        <v>0</v>
      </c>
      <c r="BU253" s="920">
        <v>0</v>
      </c>
      <c r="BV253" s="920">
        <v>0</v>
      </c>
      <c r="BW253" s="920">
        <v>0</v>
      </c>
      <c r="BX253" s="920">
        <v>0</v>
      </c>
      <c r="BY253" s="920">
        <v>0</v>
      </c>
      <c r="BZ253" s="920">
        <v>0</v>
      </c>
      <c r="CA253" s="920">
        <v>0</v>
      </c>
      <c r="CB253" s="920">
        <v>0</v>
      </c>
      <c r="CC253" s="920">
        <v>0</v>
      </c>
      <c r="CD253" s="920">
        <v>0</v>
      </c>
      <c r="CE253" s="920">
        <v>0</v>
      </c>
      <c r="CF253" s="920">
        <v>0</v>
      </c>
      <c r="CG253" s="920">
        <v>0</v>
      </c>
      <c r="CH253" s="920">
        <v>0</v>
      </c>
      <c r="CI253" s="920">
        <v>0</v>
      </c>
      <c r="CJ253" s="920">
        <v>0</v>
      </c>
      <c r="CK253" s="920">
        <v>0</v>
      </c>
      <c r="CL253" s="920">
        <v>0</v>
      </c>
      <c r="CM253" s="920">
        <v>0</v>
      </c>
      <c r="CN253" s="920">
        <v>0</v>
      </c>
      <c r="CO253" s="920">
        <v>0</v>
      </c>
      <c r="CP253" s="920">
        <v>0</v>
      </c>
      <c r="CQ253" s="920">
        <v>0</v>
      </c>
      <c r="CR253" s="920">
        <v>0</v>
      </c>
      <c r="CS253" s="920">
        <v>0</v>
      </c>
      <c r="CT253" s="920">
        <v>0</v>
      </c>
      <c r="CU253" s="920">
        <v>0</v>
      </c>
      <c r="CV253" s="920">
        <v>0</v>
      </c>
      <c r="CW253" s="920">
        <v>0</v>
      </c>
      <c r="CX253" s="920">
        <v>0</v>
      </c>
      <c r="CY253" s="920">
        <v>0</v>
      </c>
      <c r="CZ253" s="920">
        <v>0</v>
      </c>
      <c r="DA253" s="920">
        <v>0</v>
      </c>
      <c r="DB253" s="920">
        <v>0</v>
      </c>
      <c r="DC253" s="920">
        <v>0</v>
      </c>
      <c r="DD253" s="920">
        <v>0</v>
      </c>
      <c r="DE253" s="920">
        <v>0</v>
      </c>
      <c r="DF253" s="920">
        <v>0</v>
      </c>
      <c r="DG253" s="920">
        <v>0</v>
      </c>
      <c r="DH253" s="920">
        <v>0</v>
      </c>
      <c r="DI253" s="920">
        <v>0</v>
      </c>
      <c r="DJ253" s="920">
        <v>0</v>
      </c>
      <c r="DK253" s="920">
        <v>0</v>
      </c>
      <c r="DL253" s="920">
        <v>0</v>
      </c>
      <c r="DM253" s="920">
        <v>0</v>
      </c>
      <c r="DN253" s="920">
        <v>0</v>
      </c>
      <c r="DO253" s="920">
        <v>0</v>
      </c>
      <c r="DP253" s="920">
        <v>0</v>
      </c>
      <c r="DQ253" s="920">
        <v>0</v>
      </c>
      <c r="DR253" s="920">
        <v>0</v>
      </c>
      <c r="DS253" s="920">
        <v>0</v>
      </c>
      <c r="DT253" s="920">
        <v>0</v>
      </c>
      <c r="DU253" s="920">
        <v>0</v>
      </c>
      <c r="DV253" s="920">
        <v>0</v>
      </c>
      <c r="DW253" s="920">
        <v>0</v>
      </c>
      <c r="DX253" s="920">
        <v>0</v>
      </c>
      <c r="DY253" s="920">
        <v>0</v>
      </c>
      <c r="DZ253" s="920">
        <v>0</v>
      </c>
      <c r="EA253" s="920">
        <v>0</v>
      </c>
      <c r="EB253" s="920">
        <v>0</v>
      </c>
      <c r="EC253" s="920">
        <v>0</v>
      </c>
      <c r="ED253" s="920">
        <v>0</v>
      </c>
      <c r="EE253" s="920">
        <v>0</v>
      </c>
      <c r="EF253" s="920">
        <v>0</v>
      </c>
      <c r="EH253" s="1032"/>
      <c r="EI253" s="1032"/>
      <c r="EJ253" s="1032"/>
      <c r="EK253" s="1032"/>
      <c r="EL253" s="1032"/>
      <c r="EM253" s="1032"/>
      <c r="EN253" s="1032"/>
      <c r="EO253" s="1032"/>
      <c r="EP253" s="1032"/>
      <c r="EQ253" s="1032"/>
      <c r="ER253" s="1032"/>
      <c r="ES253" s="1032"/>
      <c r="HD253" s="1032"/>
      <c r="HE253" s="1032"/>
      <c r="HF253" s="1032"/>
      <c r="HG253" s="1032"/>
      <c r="HH253" s="1013"/>
      <c r="HI253" s="1013"/>
      <c r="HJ253" s="1013"/>
      <c r="HK253" s="1013"/>
      <c r="HL253" s="1013"/>
      <c r="HM253" s="1013"/>
      <c r="HN253" s="1013"/>
      <c r="HO253" s="1032"/>
      <c r="HP253" s="1032"/>
      <c r="JM253" s="920"/>
      <c r="JN253" s="920"/>
      <c r="JY253" s="1032"/>
      <c r="JZ253" s="1032"/>
      <c r="KA253" s="1032"/>
      <c r="KB253" s="1032"/>
      <c r="KC253" s="1032"/>
      <c r="KD253" s="1032"/>
      <c r="KE253" s="1032"/>
      <c r="KF253" s="1032"/>
      <c r="KH253" s="1032"/>
      <c r="KI253" s="1032"/>
      <c r="KJ253" s="1032"/>
      <c r="KK253" s="1032"/>
      <c r="KL253" s="1032"/>
      <c r="KM253" s="1032"/>
      <c r="KN253" s="1032"/>
      <c r="KO253" s="1032"/>
      <c r="LB253" s="17" t="e">
        <f>#VALUE!</f>
        <v>#VALUE!</v>
      </c>
      <c r="LC253" s="17" t="e">
        <f>#VALUE!</f>
        <v>#VALUE!</v>
      </c>
      <c r="LD253" s="17" t="e">
        <f>#VALUE!</f>
        <v>#VALUE!</v>
      </c>
      <c r="LE253" s="920" t="e">
        <f>#VALUE!</f>
        <v>#VALUE!</v>
      </c>
      <c r="LF253" s="17" t="e">
        <f>#VALUE!</f>
        <v>#VALUE!</v>
      </c>
      <c r="LM253" s="17" t="e">
        <f>#VALUE!</f>
        <v>#VALUE!</v>
      </c>
      <c r="LN253" s="17" t="e">
        <f>#VALUE!</f>
        <v>#VALUE!</v>
      </c>
      <c r="LO253" s="920" t="e">
        <f>#VALUE!</f>
        <v>#VALUE!</v>
      </c>
      <c r="LR253" s="1032"/>
      <c r="LS253" s="1032"/>
      <c r="LT253" s="1032"/>
      <c r="LU253" s="1032"/>
      <c r="LV253" s="1032"/>
      <c r="LW253" s="1032"/>
      <c r="LX253" s="1032"/>
      <c r="LZ253" s="1032"/>
      <c r="MA253" s="1032"/>
      <c r="MB253" s="1032"/>
      <c r="MC253" s="1032"/>
      <c r="MD253" s="1032"/>
      <c r="ME253" s="1032"/>
      <c r="MF253" s="1032"/>
      <c r="MH253" s="1032"/>
      <c r="MI253" s="1032"/>
      <c r="MJ253" s="1032"/>
      <c r="MK253" s="1032"/>
      <c r="ML253" s="1032"/>
      <c r="MM253" s="1032"/>
      <c r="MN253" s="1032"/>
      <c r="MO253" s="1032"/>
      <c r="MP253" s="1032"/>
    </row>
    <row r="254" spans="1:354">
      <c r="A254" s="884">
        <v>2195</v>
      </c>
      <c r="C254" s="1028" t="s">
        <v>785</v>
      </c>
      <c r="D254" s="31"/>
      <c r="E254" s="1011"/>
      <c r="F254" s="1011"/>
      <c r="G254" s="1011"/>
      <c r="H254" s="1011"/>
      <c r="I254" s="1011"/>
      <c r="J254" s="1011"/>
      <c r="K254" s="1011"/>
      <c r="L254" s="1011"/>
      <c r="M254" s="1011"/>
      <c r="N254" s="1011"/>
      <c r="O254" s="1011"/>
      <c r="P254" s="1011"/>
      <c r="Q254" s="1011"/>
      <c r="R254" s="1011"/>
      <c r="S254" s="1011"/>
      <c r="T254" s="1011"/>
      <c r="U254" s="1011"/>
      <c r="V254" s="1011"/>
      <c r="W254" s="1011"/>
      <c r="X254" s="1011"/>
      <c r="Y254" s="1011"/>
      <c r="Z254" s="1011"/>
      <c r="AA254" s="1011"/>
      <c r="AB254" s="1011"/>
      <c r="AC254" s="1011"/>
      <c r="AD254" s="1011"/>
      <c r="AE254" s="1011"/>
      <c r="AF254" s="1011"/>
      <c r="AG254" s="1011"/>
      <c r="AH254" s="1011"/>
      <c r="AI254" s="1011"/>
      <c r="AJ254" s="1011"/>
      <c r="AK254" s="1011"/>
      <c r="AL254" s="1011"/>
      <c r="AM254" s="1011"/>
      <c r="AN254" s="1011"/>
      <c r="AO254" s="1029"/>
      <c r="AP254" s="1029"/>
      <c r="AQ254" s="1010"/>
      <c r="AR254" s="873"/>
      <c r="AS254" s="1021"/>
      <c r="AT254" s="1021"/>
      <c r="AU254" s="1029"/>
      <c r="AV254" s="1029"/>
      <c r="AW254" s="1029"/>
      <c r="AX254" s="1029"/>
      <c r="AY254" s="1029"/>
      <c r="AZ254" s="1029"/>
      <c r="BA254" s="873"/>
      <c r="BB254" s="873"/>
      <c r="BC254" s="873"/>
      <c r="BD254" s="873"/>
      <c r="BE254" s="920"/>
      <c r="BF254" s="920"/>
      <c r="BG254" s="920">
        <f t="shared" ref="BG254:BL254" si="1209">+BG172</f>
        <v>360</v>
      </c>
      <c r="BH254" s="920">
        <f t="shared" si="1209"/>
        <v>360</v>
      </c>
      <c r="BI254" s="920">
        <f t="shared" si="1209"/>
        <v>360</v>
      </c>
      <c r="BJ254" s="920">
        <f t="shared" si="1209"/>
        <v>360</v>
      </c>
      <c r="BK254" s="920">
        <f t="shared" si="1209"/>
        <v>360</v>
      </c>
      <c r="BL254" s="920">
        <f t="shared" si="1209"/>
        <v>360</v>
      </c>
      <c r="BM254" s="920">
        <f>+BL172</f>
        <v>360</v>
      </c>
      <c r="BN254" s="920">
        <f>+BM254</f>
        <v>360</v>
      </c>
      <c r="BO254" s="920">
        <f t="shared" ref="BO254:BX254" si="1210">+BM172</f>
        <v>360</v>
      </c>
      <c r="BP254" s="920">
        <f t="shared" si="1210"/>
        <v>360</v>
      </c>
      <c r="BQ254" s="920">
        <f t="shared" si="1210"/>
        <v>360</v>
      </c>
      <c r="BR254" s="920">
        <f t="shared" si="1210"/>
        <v>360</v>
      </c>
      <c r="BS254" s="920">
        <f t="shared" si="1210"/>
        <v>360</v>
      </c>
      <c r="BT254" s="920">
        <f t="shared" si="1210"/>
        <v>360</v>
      </c>
      <c r="BU254" s="920">
        <f t="shared" si="1210"/>
        <v>360</v>
      </c>
      <c r="BV254" s="920">
        <f t="shared" si="1210"/>
        <v>360</v>
      </c>
      <c r="BW254" s="920">
        <f t="shared" si="1210"/>
        <v>360</v>
      </c>
      <c r="BX254" s="920">
        <f t="shared" si="1210"/>
        <v>360</v>
      </c>
      <c r="BY254" s="920">
        <f t="shared" ref="BY254:EF254" si="1211">+BX172</f>
        <v>360</v>
      </c>
      <c r="BZ254" s="920">
        <f t="shared" si="1211"/>
        <v>360</v>
      </c>
      <c r="CA254" s="920">
        <f t="shared" si="1211"/>
        <v>360</v>
      </c>
      <c r="CB254" s="920">
        <f t="shared" si="1211"/>
        <v>360</v>
      </c>
      <c r="CC254" s="920">
        <f t="shared" si="1211"/>
        <v>360</v>
      </c>
      <c r="CD254" s="920">
        <f t="shared" si="1211"/>
        <v>360</v>
      </c>
      <c r="CE254" s="920">
        <f t="shared" si="1211"/>
        <v>360</v>
      </c>
      <c r="CF254" s="920">
        <f t="shared" si="1211"/>
        <v>0</v>
      </c>
      <c r="CG254" s="920">
        <f t="shared" si="1211"/>
        <v>0</v>
      </c>
      <c r="CH254" s="920">
        <f t="shared" si="1211"/>
        <v>0</v>
      </c>
      <c r="CI254" s="920">
        <f t="shared" si="1211"/>
        <v>0</v>
      </c>
      <c r="CJ254" s="920">
        <f t="shared" si="1211"/>
        <v>0</v>
      </c>
      <c r="CK254" s="920">
        <f t="shared" si="1211"/>
        <v>0</v>
      </c>
      <c r="CL254" s="920">
        <f t="shared" si="1211"/>
        <v>0</v>
      </c>
      <c r="CM254" s="920">
        <f t="shared" si="1211"/>
        <v>0</v>
      </c>
      <c r="CN254" s="920">
        <f t="shared" si="1211"/>
        <v>0</v>
      </c>
      <c r="CO254" s="920">
        <f t="shared" si="1211"/>
        <v>0</v>
      </c>
      <c r="CP254" s="920">
        <f t="shared" si="1211"/>
        <v>0</v>
      </c>
      <c r="CQ254" s="920">
        <f t="shared" si="1211"/>
        <v>0</v>
      </c>
      <c r="CR254" s="920">
        <f t="shared" si="1211"/>
        <v>0</v>
      </c>
      <c r="CS254" s="920">
        <f t="shared" si="1211"/>
        <v>0</v>
      </c>
      <c r="CT254" s="920">
        <f t="shared" si="1211"/>
        <v>0</v>
      </c>
      <c r="CU254" s="920">
        <f t="shared" si="1211"/>
        <v>0</v>
      </c>
      <c r="CV254" s="920">
        <f t="shared" si="1211"/>
        <v>0</v>
      </c>
      <c r="CW254" s="920">
        <f t="shared" si="1211"/>
        <v>0</v>
      </c>
      <c r="CX254" s="920">
        <f t="shared" si="1211"/>
        <v>0</v>
      </c>
      <c r="CY254" s="920">
        <f t="shared" si="1211"/>
        <v>0</v>
      </c>
      <c r="CZ254" s="920">
        <f t="shared" si="1211"/>
        <v>0</v>
      </c>
      <c r="DA254" s="920">
        <f t="shared" si="1211"/>
        <v>0</v>
      </c>
      <c r="DB254" s="920">
        <f t="shared" si="1211"/>
        <v>0</v>
      </c>
      <c r="DC254" s="920">
        <f t="shared" si="1211"/>
        <v>0</v>
      </c>
      <c r="DD254" s="920">
        <f t="shared" si="1211"/>
        <v>0</v>
      </c>
      <c r="DE254" s="920">
        <f t="shared" si="1211"/>
        <v>0</v>
      </c>
      <c r="DF254" s="920">
        <f t="shared" si="1211"/>
        <v>0</v>
      </c>
      <c r="DG254" s="920">
        <f t="shared" si="1211"/>
        <v>0</v>
      </c>
      <c r="DH254" s="920">
        <f t="shared" si="1211"/>
        <v>0</v>
      </c>
      <c r="DI254" s="920">
        <f>+DH172</f>
        <v>0</v>
      </c>
      <c r="DJ254" s="920">
        <f t="shared" si="1211"/>
        <v>0</v>
      </c>
      <c r="DK254" s="920">
        <f t="shared" si="1211"/>
        <v>0</v>
      </c>
      <c r="DL254" s="920">
        <f t="shared" si="1211"/>
        <v>0</v>
      </c>
      <c r="DM254" s="920">
        <f t="shared" si="1211"/>
        <v>0</v>
      </c>
      <c r="DN254" s="920">
        <f t="shared" si="1211"/>
        <v>0</v>
      </c>
      <c r="DO254" s="920">
        <f t="shared" si="1211"/>
        <v>0</v>
      </c>
      <c r="DP254" s="920">
        <f t="shared" si="1211"/>
        <v>0</v>
      </c>
      <c r="DQ254" s="920">
        <f t="shared" si="1211"/>
        <v>0</v>
      </c>
      <c r="DR254" s="920">
        <f t="shared" si="1211"/>
        <v>0</v>
      </c>
      <c r="DS254" s="920">
        <f t="shared" si="1211"/>
        <v>0</v>
      </c>
      <c r="DT254" s="920">
        <f t="shared" si="1211"/>
        <v>0</v>
      </c>
      <c r="DU254" s="920">
        <f t="shared" si="1211"/>
        <v>0</v>
      </c>
      <c r="DV254" s="920">
        <f t="shared" si="1211"/>
        <v>0</v>
      </c>
      <c r="DW254" s="920">
        <f t="shared" si="1211"/>
        <v>0</v>
      </c>
      <c r="DX254" s="920">
        <f t="shared" si="1211"/>
        <v>0</v>
      </c>
      <c r="DY254" s="920">
        <f t="shared" si="1211"/>
        <v>0</v>
      </c>
      <c r="DZ254" s="920">
        <f t="shared" si="1211"/>
        <v>0</v>
      </c>
      <c r="EA254" s="920">
        <f t="shared" si="1211"/>
        <v>0</v>
      </c>
      <c r="EB254" s="920">
        <f t="shared" si="1211"/>
        <v>0</v>
      </c>
      <c r="EC254" s="920">
        <f t="shared" si="1211"/>
        <v>0</v>
      </c>
      <c r="ED254" s="920">
        <f t="shared" si="1211"/>
        <v>0</v>
      </c>
      <c r="EE254" s="920">
        <f t="shared" si="1211"/>
        <v>0</v>
      </c>
      <c r="EF254" s="920">
        <f t="shared" si="1211"/>
        <v>0</v>
      </c>
      <c r="EH254" s="1032"/>
      <c r="EI254" s="1032"/>
      <c r="EJ254" s="1032"/>
      <c r="EK254" s="1032"/>
      <c r="EL254" s="1032"/>
      <c r="EM254" s="1032"/>
      <c r="EN254" s="1032"/>
      <c r="EO254" s="1032"/>
      <c r="EP254" s="1032"/>
      <c r="EQ254" s="1032"/>
      <c r="ER254" s="1032"/>
      <c r="ES254" s="1032"/>
      <c r="HD254" s="1032"/>
      <c r="HE254" s="1032"/>
      <c r="HF254" s="1032"/>
      <c r="HG254" s="1032"/>
      <c r="HH254" s="1013"/>
      <c r="HI254" s="1013"/>
      <c r="HJ254" s="1013"/>
      <c r="HK254" s="1013"/>
      <c r="HL254" s="1013"/>
      <c r="HM254" s="1013"/>
      <c r="HN254" s="1013"/>
      <c r="HO254" s="1032"/>
      <c r="HP254" s="1032"/>
      <c r="JM254" s="920"/>
      <c r="JN254" s="920"/>
      <c r="JY254" s="1032"/>
      <c r="JZ254" s="1032"/>
      <c r="KA254" s="1032"/>
      <c r="KB254" s="1032"/>
      <c r="KC254" s="1032"/>
      <c r="KD254" s="1032"/>
      <c r="KE254" s="1032"/>
      <c r="KF254" s="1032"/>
      <c r="KH254" s="1032"/>
      <c r="KI254" s="1032"/>
      <c r="KJ254" s="1032"/>
      <c r="KK254" s="1032"/>
      <c r="KL254" s="1032"/>
      <c r="KM254" s="1032"/>
      <c r="KN254" s="1032"/>
      <c r="KO254" s="1032"/>
      <c r="LE254" s="920"/>
      <c r="LO254" s="920"/>
      <c r="LR254" s="1032"/>
      <c r="LS254" s="1032"/>
      <c r="LT254" s="1032"/>
      <c r="LU254" s="1032"/>
      <c r="LV254" s="1032"/>
      <c r="LW254" s="1032"/>
      <c r="LX254" s="1032"/>
      <c r="LZ254" s="1032"/>
      <c r="MA254" s="1032"/>
      <c r="MB254" s="1032"/>
      <c r="MC254" s="1032"/>
      <c r="MD254" s="1032"/>
      <c r="ME254" s="1032"/>
      <c r="MF254" s="1032"/>
      <c r="MH254" s="1032"/>
      <c r="MI254" s="1032"/>
      <c r="MJ254" s="1032"/>
      <c r="MK254" s="1032"/>
      <c r="ML254" s="1032"/>
      <c r="MM254" s="1032"/>
      <c r="MN254" s="1032"/>
      <c r="MO254" s="1032"/>
      <c r="MP254" s="1032"/>
    </row>
    <row r="255" spans="1:354" ht="15" thickBot="1">
      <c r="A255" s="867"/>
      <c r="C255" s="1034" t="s">
        <v>786</v>
      </c>
      <c r="D255" s="31"/>
      <c r="E255" s="1035"/>
      <c r="F255" s="1035"/>
      <c r="G255" s="1035"/>
      <c r="H255" s="1035"/>
      <c r="I255" s="1035"/>
      <c r="J255" s="1035"/>
      <c r="K255" s="1035"/>
      <c r="L255" s="1035"/>
      <c r="M255" s="1035"/>
      <c r="N255" s="1035"/>
      <c r="O255" s="1035"/>
      <c r="P255" s="1035"/>
      <c r="Q255" s="1035"/>
      <c r="R255" s="1035"/>
      <c r="S255" s="1035"/>
      <c r="T255" s="1035"/>
      <c r="U255" s="1035"/>
      <c r="V255" s="1035"/>
      <c r="W255" s="1035"/>
      <c r="X255" s="1035"/>
      <c r="Y255" s="1035"/>
      <c r="Z255" s="1035"/>
      <c r="AA255" s="1035"/>
      <c r="AB255" s="1035"/>
      <c r="AC255" s="1035"/>
      <c r="AD255" s="1035"/>
      <c r="AE255" s="1035"/>
      <c r="AF255" s="1035"/>
      <c r="AG255" s="1035"/>
      <c r="AH255" s="1035"/>
      <c r="AI255" s="1035"/>
      <c r="AJ255" s="1035"/>
      <c r="AK255" s="1035"/>
      <c r="AL255" s="1035"/>
      <c r="AM255" s="1035"/>
      <c r="AN255" s="1035"/>
      <c r="AO255" s="1017">
        <v>3483.3333333400001</v>
      </c>
      <c r="AP255" s="1018">
        <v>6325.1189789500004</v>
      </c>
      <c r="AQ255" s="1004">
        <v>6084.6301583700006</v>
      </c>
      <c r="AR255" s="1004">
        <v>5842.5614820000001</v>
      </c>
      <c r="AS255" s="1017">
        <v>7189.0796323199993</v>
      </c>
      <c r="AT255" s="1017">
        <v>8823.3663946499983</v>
      </c>
      <c r="AU255" s="1017">
        <v>8556.9025239399998</v>
      </c>
      <c r="AV255" s="1017">
        <v>8308.8899187099996</v>
      </c>
      <c r="AW255" s="1017">
        <v>8563.290752429999</v>
      </c>
      <c r="AX255" s="1017">
        <v>9325.6178120299992</v>
      </c>
      <c r="AY255" s="1017">
        <v>9075.6426159799994</v>
      </c>
      <c r="AZ255" s="1017">
        <v>8835.6429530299993</v>
      </c>
      <c r="BA255" s="1017">
        <f t="shared" ref="BA255:BF255" si="1212">SUM(BA245:BA253)</f>
        <v>8589.03936694</v>
      </c>
      <c r="BB255" s="1017">
        <f t="shared" si="1212"/>
        <v>8343.5330227399991</v>
      </c>
      <c r="BC255" s="1017">
        <f t="shared" si="1212"/>
        <v>8100.3240180299999</v>
      </c>
      <c r="BD255" s="1017">
        <f t="shared" si="1212"/>
        <v>8100.8976456299997</v>
      </c>
      <c r="BE255" s="1017">
        <f t="shared" si="1212"/>
        <v>8101.43214403</v>
      </c>
      <c r="BF255" s="1017">
        <f t="shared" si="1212"/>
        <v>8094.6341960299997</v>
      </c>
      <c r="BG255" s="1017">
        <f t="shared" ref="BG255:DR255" si="1213">SUM(BG245:BG254)</f>
        <v>8448.6599630300007</v>
      </c>
      <c r="BH255" s="1017">
        <f t="shared" si="1213"/>
        <v>8447.8807433599995</v>
      </c>
      <c r="BI255" s="1017">
        <f t="shared" si="1213"/>
        <v>8399.66070941</v>
      </c>
      <c r="BJ255" s="1017">
        <f t="shared" si="1213"/>
        <v>8398.6501444000005</v>
      </c>
      <c r="BK255" s="1017">
        <f t="shared" si="1213"/>
        <v>8397.2839945699998</v>
      </c>
      <c r="BL255" s="1017">
        <f t="shared" si="1213"/>
        <v>8412.4622080000008</v>
      </c>
      <c r="BM255" s="1017">
        <f t="shared" si="1213"/>
        <v>8410.9823093100003</v>
      </c>
      <c r="BN255" s="1017">
        <f t="shared" si="1213"/>
        <v>8406.6893455300014</v>
      </c>
      <c r="BO255" s="1017">
        <f t="shared" si="1213"/>
        <v>8404.1409445999998</v>
      </c>
      <c r="BP255" s="1017">
        <f t="shared" si="1213"/>
        <v>8396.8589940900001</v>
      </c>
      <c r="BQ255" s="1017">
        <f t="shared" si="1213"/>
        <v>8398.2173102199995</v>
      </c>
      <c r="BR255" s="1018">
        <f t="shared" si="1213"/>
        <v>8405.3429713400001</v>
      </c>
      <c r="BS255" s="1018">
        <f t="shared" si="1213"/>
        <v>8404.3886456100008</v>
      </c>
      <c r="BT255" s="1018">
        <f t="shared" si="1213"/>
        <v>8309.0938868800004</v>
      </c>
      <c r="BU255" s="1018">
        <f t="shared" si="1213"/>
        <v>8309.9036976300013</v>
      </c>
      <c r="BV255" s="1036">
        <f t="shared" si="1213"/>
        <v>8314.3146146600011</v>
      </c>
      <c r="BW255" s="1018">
        <f t="shared" si="1213"/>
        <v>8241.4385345499995</v>
      </c>
      <c r="BX255" s="1018">
        <f t="shared" si="1213"/>
        <v>8246.4127042399996</v>
      </c>
      <c r="BY255" s="1018">
        <f t="shared" si="1213"/>
        <v>8259.2950338600003</v>
      </c>
      <c r="BZ255" s="1018">
        <f t="shared" si="1213"/>
        <v>7972.8846495099997</v>
      </c>
      <c r="CA255" s="1018">
        <f t="shared" si="1213"/>
        <v>7962.8472214599997</v>
      </c>
      <c r="CB255" s="1018">
        <f t="shared" si="1213"/>
        <v>7972.2926703399999</v>
      </c>
      <c r="CC255" s="1018">
        <f t="shared" si="1213"/>
        <v>7972.0002371599994</v>
      </c>
      <c r="CD255" s="1018">
        <f t="shared" si="1213"/>
        <v>7973.83261717</v>
      </c>
      <c r="CE255" s="1018">
        <f t="shared" si="1213"/>
        <v>7967.9886121700001</v>
      </c>
      <c r="CF255" s="1018">
        <f t="shared" si="1213"/>
        <v>7064.6279898500006</v>
      </c>
      <c r="CG255" s="1018">
        <f t="shared" si="1213"/>
        <v>7072.0336711800001</v>
      </c>
      <c r="CH255" s="1018">
        <f t="shared" si="1213"/>
        <v>7085.8985744900001</v>
      </c>
      <c r="CI255" s="1018">
        <f t="shared" si="1213"/>
        <v>7089.0472235799998</v>
      </c>
      <c r="CJ255" s="1018">
        <f t="shared" si="1213"/>
        <v>7005.9252168700004</v>
      </c>
      <c r="CK255" s="1018">
        <f t="shared" si="1213"/>
        <v>7005.9252168700004</v>
      </c>
      <c r="CL255" s="1018">
        <f t="shared" si="1213"/>
        <v>7005.9252168700004</v>
      </c>
      <c r="CM255" s="1018">
        <f t="shared" si="1213"/>
        <v>6724.9252168700004</v>
      </c>
      <c r="CN255" s="1018">
        <f t="shared" si="1213"/>
        <v>6724.9252168700004</v>
      </c>
      <c r="CO255" s="1018">
        <f t="shared" si="1213"/>
        <v>6674.9252168700004</v>
      </c>
      <c r="CP255" s="1018">
        <f t="shared" si="1213"/>
        <v>6674.9252168700004</v>
      </c>
      <c r="CQ255" s="1018">
        <f t="shared" si="1213"/>
        <v>6674.9252168700004</v>
      </c>
      <c r="CR255" s="1018">
        <f t="shared" si="1213"/>
        <v>6624.9252168699995</v>
      </c>
      <c r="CS255" s="1018">
        <f t="shared" si="1213"/>
        <v>6624.9252168699995</v>
      </c>
      <c r="CT255" s="1018">
        <f t="shared" si="1213"/>
        <v>6624.9252168699995</v>
      </c>
      <c r="CU255" s="1018">
        <f t="shared" si="1213"/>
        <v>6574.9252168699995</v>
      </c>
      <c r="CV255" s="1018">
        <f t="shared" si="1213"/>
        <v>6574.9252168699995</v>
      </c>
      <c r="CW255" s="1018">
        <f t="shared" si="1213"/>
        <v>6574.9252168699995</v>
      </c>
      <c r="CX255" s="1018">
        <f t="shared" si="1213"/>
        <v>6524.9252168700004</v>
      </c>
      <c r="CY255" s="1018">
        <f t="shared" si="1213"/>
        <v>6524.9252168700004</v>
      </c>
      <c r="CZ255" s="1018">
        <f t="shared" si="1213"/>
        <v>6524.9252168700004</v>
      </c>
      <c r="DA255" s="1018">
        <f t="shared" si="1213"/>
        <v>6524.9252168700004</v>
      </c>
      <c r="DB255" s="1018">
        <f t="shared" si="1213"/>
        <v>6524.9252168700004</v>
      </c>
      <c r="DC255" s="1018">
        <f t="shared" si="1213"/>
        <v>6522.0000049999999</v>
      </c>
      <c r="DD255" s="1018">
        <f t="shared" si="1213"/>
        <v>6522.0000049999999</v>
      </c>
      <c r="DE255" s="1018">
        <f t="shared" si="1213"/>
        <v>6522.0000049999999</v>
      </c>
      <c r="DF255" s="1018">
        <f t="shared" si="1213"/>
        <v>6522.0000049999999</v>
      </c>
      <c r="DG255" s="1018">
        <f t="shared" si="1213"/>
        <v>6405.7611150000002</v>
      </c>
      <c r="DH255" s="1018">
        <f t="shared" si="1213"/>
        <v>6405.7611150000002</v>
      </c>
      <c r="DI255" s="1018">
        <f t="shared" si="1213"/>
        <v>6405.7611150000002</v>
      </c>
      <c r="DJ255" s="1018">
        <f t="shared" si="1213"/>
        <v>6289.522226</v>
      </c>
      <c r="DK255" s="1018">
        <f t="shared" si="1213"/>
        <v>6289.522226</v>
      </c>
      <c r="DL255" s="1018">
        <f t="shared" si="1213"/>
        <v>6289.522226</v>
      </c>
      <c r="DM255" s="1018">
        <f t="shared" si="1213"/>
        <v>6173.2833370000008</v>
      </c>
      <c r="DN255" s="1018">
        <f t="shared" si="1213"/>
        <v>6173.2833370000008</v>
      </c>
      <c r="DO255" s="1018">
        <f t="shared" si="1213"/>
        <v>6173.2833370000008</v>
      </c>
      <c r="DP255" s="1018">
        <f t="shared" si="1213"/>
        <v>6057.0444479999996</v>
      </c>
      <c r="DQ255" s="1018">
        <f t="shared" si="1213"/>
        <v>5686.8151574499998</v>
      </c>
      <c r="DR255" s="1018">
        <f t="shared" si="1213"/>
        <v>5686.8151574499998</v>
      </c>
      <c r="DS255" s="1018">
        <f t="shared" ref="DS255:EF255" si="1214">SUM(DS245:DS254)</f>
        <v>5686.8151574499998</v>
      </c>
      <c r="DT255" s="1018">
        <f t="shared" si="1214"/>
        <v>5686.8151574499998</v>
      </c>
      <c r="DU255" s="1018">
        <f t="shared" si="1214"/>
        <v>5686.8151574499998</v>
      </c>
      <c r="DV255" s="1018">
        <f t="shared" si="1214"/>
        <v>5636.9096014500001</v>
      </c>
      <c r="DW255" s="1018">
        <f t="shared" si="1214"/>
        <v>5636.9096014500001</v>
      </c>
      <c r="DX255" s="1018">
        <f t="shared" si="1214"/>
        <v>5636.9096014500001</v>
      </c>
      <c r="DY255" s="1018">
        <f t="shared" si="1214"/>
        <v>5426.9992093300007</v>
      </c>
      <c r="DZ255" s="1018">
        <f t="shared" si="1214"/>
        <v>5426.9992093300007</v>
      </c>
      <c r="EA255" s="1018">
        <f t="shared" si="1214"/>
        <v>5426.9992093300007</v>
      </c>
      <c r="EB255" s="1018">
        <f t="shared" si="1214"/>
        <v>5217.0936493299996</v>
      </c>
      <c r="EC255" s="1018">
        <f t="shared" si="1214"/>
        <v>5260.4087442399996</v>
      </c>
      <c r="ED255" s="1018">
        <f t="shared" si="1214"/>
        <v>5261.08537024</v>
      </c>
      <c r="EE255" s="1018">
        <f t="shared" si="1214"/>
        <v>5005.7308322400004</v>
      </c>
      <c r="EF255" s="1018">
        <f t="shared" si="1214"/>
        <v>5008.9514092400004</v>
      </c>
      <c r="EH255" s="1037"/>
      <c r="EI255" s="1037"/>
      <c r="EJ255" s="1037"/>
      <c r="EK255" s="1037"/>
      <c r="EL255" s="1037"/>
      <c r="EM255" s="1037"/>
      <c r="EN255" s="1037"/>
      <c r="EO255" s="1037"/>
      <c r="EP255" s="1037"/>
      <c r="EQ255" s="1037"/>
      <c r="ER255" s="1037"/>
      <c r="ES255" s="1037"/>
      <c r="HD255" s="1037"/>
      <c r="HE255" s="1037"/>
      <c r="HF255" s="1037"/>
      <c r="HG255" s="1037"/>
      <c r="HH255" s="1038"/>
      <c r="HI255" s="1038"/>
      <c r="HJ255" s="1038"/>
      <c r="HK255" s="1038"/>
      <c r="HL255" s="1038"/>
      <c r="HM255" s="1038"/>
      <c r="HN255" s="1038"/>
      <c r="HO255" s="1037"/>
      <c r="HP255" s="1037"/>
      <c r="JA255" s="1039"/>
      <c r="JB255" s="1039"/>
      <c r="JC255" s="1039"/>
      <c r="JD255" s="1039"/>
      <c r="JE255" s="1039"/>
      <c r="JF255" s="1039"/>
      <c r="JG255" s="1039"/>
      <c r="JH255" s="1039"/>
      <c r="JI255" s="1039"/>
      <c r="JJ255" s="1039"/>
      <c r="JK255" s="1039"/>
      <c r="JL255" s="1039"/>
      <c r="JM255" s="1018"/>
      <c r="JN255" s="1018"/>
      <c r="JY255" s="1037"/>
      <c r="JZ255" s="1037"/>
      <c r="KA255" s="1037"/>
      <c r="KB255" s="1037"/>
      <c r="KC255" s="1037"/>
      <c r="KD255" s="1037"/>
      <c r="KE255" s="1037"/>
      <c r="KF255" s="1037"/>
      <c r="KH255" s="1037"/>
      <c r="KI255" s="1037"/>
      <c r="KJ255" s="1037"/>
      <c r="KK255" s="1037"/>
      <c r="KL255" s="1037"/>
      <c r="KM255" s="1037"/>
      <c r="KN255" s="1037"/>
      <c r="KO255" s="1037"/>
      <c r="LB255" s="1018" t="e">
        <f>#VALUE!</f>
        <v>#VALUE!</v>
      </c>
      <c r="LC255" s="1018" t="e">
        <f>#VALUE!</f>
        <v>#VALUE!</v>
      </c>
      <c r="LD255" s="1018" t="e">
        <f>#VALUE!</f>
        <v>#VALUE!</v>
      </c>
      <c r="LE255" s="1018" t="e">
        <f>#VALUE!</f>
        <v>#VALUE!</v>
      </c>
      <c r="LF255" s="1018" t="e">
        <f>#VALUE!</f>
        <v>#VALUE!</v>
      </c>
      <c r="LG255" s="1018"/>
      <c r="LH255" s="1018"/>
      <c r="LI255" s="1018"/>
      <c r="LJ255" s="1018"/>
      <c r="LK255" s="1018"/>
      <c r="LL255" s="1018"/>
      <c r="LM255" s="1018" t="e">
        <f>#VALUE!</f>
        <v>#VALUE!</v>
      </c>
      <c r="LN255" s="1018" t="e">
        <f>#VALUE!</f>
        <v>#VALUE!</v>
      </c>
      <c r="LO255" s="1018" t="e">
        <f>#VALUE!</f>
        <v>#VALUE!</v>
      </c>
      <c r="LP255" s="873"/>
      <c r="LR255" s="1037"/>
      <c r="LS255" s="1037"/>
      <c r="LT255" s="1037"/>
      <c r="LU255" s="1037"/>
      <c r="LV255" s="1037"/>
      <c r="LW255" s="1037"/>
      <c r="LX255" s="1037"/>
      <c r="LZ255" s="1037"/>
      <c r="MA255" s="1037"/>
      <c r="MB255" s="1037"/>
      <c r="MC255" s="1037"/>
      <c r="MD255" s="1037"/>
      <c r="ME255" s="1037"/>
      <c r="MF255" s="1037"/>
      <c r="MH255" s="1037"/>
      <c r="MI255" s="1037"/>
      <c r="MJ255" s="1037"/>
      <c r="MK255" s="1037"/>
      <c r="ML255" s="1037"/>
      <c r="MM255" s="1037"/>
      <c r="MN255" s="1037"/>
      <c r="MO255" s="1037"/>
      <c r="MP255" s="1037"/>
    </row>
    <row r="256" spans="1:354" ht="15" thickTop="1">
      <c r="A256" s="867"/>
      <c r="C256" s="1028"/>
      <c r="D256" s="31"/>
      <c r="E256" s="657"/>
      <c r="F256" s="657"/>
      <c r="G256" s="657"/>
      <c r="H256" s="657"/>
      <c r="I256" s="657"/>
      <c r="J256" s="657"/>
      <c r="K256" s="657"/>
      <c r="L256" s="657"/>
      <c r="M256" s="657"/>
      <c r="N256" s="657"/>
      <c r="O256" s="657"/>
      <c r="P256" s="657"/>
      <c r="Q256" s="657"/>
      <c r="R256" s="657"/>
      <c r="S256" s="657"/>
      <c r="T256" s="657"/>
      <c r="U256" s="657"/>
      <c r="V256" s="657"/>
      <c r="W256" s="657"/>
      <c r="X256" s="657"/>
      <c r="Y256" s="657"/>
      <c r="Z256" s="657"/>
      <c r="AA256" s="657"/>
      <c r="AB256" s="657"/>
      <c r="AC256" s="657"/>
      <c r="AD256" s="657"/>
      <c r="AE256" s="657"/>
      <c r="AF256" s="657"/>
      <c r="AG256" s="657"/>
      <c r="AH256" s="657"/>
      <c r="AI256" s="657"/>
      <c r="AJ256" s="657"/>
      <c r="AK256" s="657"/>
      <c r="AL256" s="657"/>
      <c r="AM256" s="657"/>
      <c r="AN256" s="657"/>
      <c r="AQ256" s="17"/>
      <c r="BG256" s="77"/>
      <c r="BH256" s="77"/>
      <c r="BI256" s="77"/>
      <c r="BJ256" s="77"/>
      <c r="BK256" s="77"/>
      <c r="BL256" s="77"/>
      <c r="BM256" s="77"/>
      <c r="BN256" s="77"/>
      <c r="BO256" s="77"/>
      <c r="BP256" s="77"/>
      <c r="BQ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77"/>
      <c r="CU256" s="77"/>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873"/>
      <c r="DR256" s="873"/>
      <c r="DS256" s="873"/>
      <c r="DT256" s="873"/>
      <c r="DU256" s="873"/>
      <c r="DV256" s="873"/>
      <c r="DW256" s="873"/>
      <c r="DX256" s="873"/>
      <c r="DY256" s="873"/>
      <c r="DZ256" s="873"/>
      <c r="EA256" s="873"/>
      <c r="EB256" s="873"/>
      <c r="EC256" s="873"/>
      <c r="ED256" s="873"/>
      <c r="EE256" s="873"/>
      <c r="EF256" s="873"/>
      <c r="EH256" s="1032"/>
      <c r="EI256" s="1032"/>
      <c r="EJ256" s="1032"/>
      <c r="EK256" s="1032"/>
      <c r="EL256" s="1032"/>
      <c r="EM256" s="1032"/>
      <c r="EN256" s="1032"/>
      <c r="EO256" s="1032"/>
      <c r="EP256" s="1032"/>
      <c r="EQ256" s="1032"/>
      <c r="ER256" s="1032"/>
      <c r="ES256" s="1032"/>
      <c r="HD256" s="1032"/>
      <c r="HE256" s="1032"/>
      <c r="HF256" s="1032"/>
      <c r="HG256" s="1032"/>
      <c r="HH256" s="1032"/>
      <c r="HI256" s="1032"/>
      <c r="HJ256" s="1032"/>
      <c r="HK256" s="1032"/>
      <c r="HL256" s="1013"/>
      <c r="HM256" s="1013"/>
      <c r="HN256" s="1013"/>
      <c r="HO256" s="1032"/>
      <c r="HP256" s="1032"/>
      <c r="JY256" s="1032"/>
      <c r="JZ256" s="1032"/>
      <c r="KA256" s="1032"/>
      <c r="KB256" s="1032"/>
      <c r="KC256" s="1032"/>
      <c r="KD256" s="1032"/>
      <c r="KE256" s="1032"/>
      <c r="KF256" s="1032"/>
      <c r="KH256" s="1032"/>
      <c r="KI256" s="1032"/>
      <c r="KJ256" s="1032"/>
      <c r="KK256" s="1032"/>
      <c r="KL256" s="1032"/>
      <c r="KM256" s="1032"/>
      <c r="KN256" s="1032"/>
      <c r="KO256" s="1032"/>
      <c r="LE256" s="920"/>
      <c r="LR256" s="1032"/>
      <c r="LS256" s="1032"/>
      <c r="LT256" s="1032"/>
      <c r="LU256" s="1032"/>
      <c r="LV256" s="1032"/>
      <c r="LW256" s="1032"/>
      <c r="LX256" s="1032"/>
      <c r="LZ256" s="1032"/>
      <c r="MA256" s="1032"/>
      <c r="MB256" s="1032"/>
      <c r="MC256" s="1032"/>
      <c r="MD256" s="1032"/>
      <c r="ME256" s="1032"/>
      <c r="MF256" s="1032"/>
      <c r="MH256" s="1032"/>
      <c r="MI256" s="1032"/>
      <c r="MJ256" s="1032"/>
      <c r="MK256" s="1032"/>
      <c r="ML256" s="1032"/>
      <c r="MM256" s="1032"/>
      <c r="MN256" s="1032"/>
      <c r="MO256" s="1032"/>
      <c r="MP256" s="1032"/>
    </row>
    <row r="257" spans="1:354" outlineLevel="1">
      <c r="A257" s="917" t="s">
        <v>618</v>
      </c>
      <c r="C257" s="1026" t="s">
        <v>787</v>
      </c>
      <c r="D257" s="31"/>
      <c r="E257" s="1027"/>
      <c r="F257" s="1027"/>
      <c r="G257" s="1027"/>
      <c r="H257" s="1027"/>
      <c r="I257" s="1027"/>
      <c r="J257" s="1027"/>
      <c r="K257" s="1027"/>
      <c r="L257" s="1027"/>
      <c r="M257" s="1027"/>
      <c r="N257" s="1027"/>
      <c r="O257" s="1027"/>
      <c r="P257" s="1027"/>
      <c r="Q257" s="1027"/>
      <c r="R257" s="1027"/>
      <c r="S257" s="1027"/>
      <c r="T257" s="1027"/>
      <c r="U257" s="1027"/>
      <c r="V257" s="1027"/>
      <c r="W257" s="1027"/>
      <c r="X257" s="1027"/>
      <c r="Y257" s="1027"/>
      <c r="Z257" s="1027"/>
      <c r="AA257" s="1027"/>
      <c r="AB257" s="1027"/>
      <c r="AC257" s="1027"/>
      <c r="AD257" s="1027"/>
      <c r="AE257" s="1027"/>
      <c r="AF257" s="1027"/>
      <c r="AG257" s="1027"/>
      <c r="AH257" s="1027"/>
      <c r="AI257" s="1027"/>
      <c r="AJ257" s="1027"/>
      <c r="AK257" s="1027"/>
      <c r="AL257" s="1027"/>
      <c r="AM257" s="1027"/>
      <c r="AN257" s="1027"/>
      <c r="AO257" s="186"/>
      <c r="AP257" s="186"/>
      <c r="AQ257" s="1040"/>
      <c r="AR257" s="1040"/>
      <c r="AS257" s="941"/>
      <c r="AT257" s="941"/>
      <c r="AU257" s="186"/>
      <c r="AV257" s="186"/>
      <c r="AW257" s="1041"/>
      <c r="AX257" s="1041"/>
      <c r="AY257" s="1041"/>
      <c r="AZ257" s="1041"/>
      <c r="BA257" s="1041"/>
      <c r="BB257" s="1041"/>
      <c r="BC257" s="1041"/>
      <c r="BD257" s="1041"/>
      <c r="BE257" s="186"/>
      <c r="BF257" s="186"/>
      <c r="BG257" s="186"/>
      <c r="BH257" s="186"/>
      <c r="BI257" s="186"/>
      <c r="BJ257" s="186"/>
      <c r="BK257" s="186"/>
      <c r="BL257" s="186"/>
      <c r="BM257" s="1041"/>
      <c r="BN257" s="1041"/>
      <c r="BO257" s="1041"/>
      <c r="BP257" s="1041"/>
      <c r="BQ257" s="186"/>
      <c r="BR257" s="186"/>
      <c r="BS257" s="186"/>
      <c r="BT257" s="186"/>
      <c r="BU257" s="186"/>
      <c r="BV257" s="186"/>
      <c r="BW257" s="186"/>
      <c r="BX257" s="186"/>
      <c r="BY257" s="1041"/>
      <c r="BZ257" s="1041"/>
      <c r="CA257" s="1041"/>
      <c r="CB257" s="1041"/>
      <c r="CC257" s="1041"/>
      <c r="CD257" s="1041"/>
      <c r="CE257" s="1041"/>
      <c r="CF257" s="1041"/>
      <c r="CG257" s="1041"/>
      <c r="CH257" s="1041"/>
      <c r="CI257" s="1041"/>
      <c r="CJ257" s="1041"/>
      <c r="CK257" s="1041"/>
      <c r="CL257" s="1041"/>
      <c r="CM257" s="1041"/>
      <c r="CN257" s="1041"/>
      <c r="CO257" s="1041"/>
      <c r="CP257" s="1041"/>
      <c r="CQ257" s="1041"/>
      <c r="CR257" s="1041"/>
      <c r="CS257" s="1041"/>
      <c r="CT257" s="1041"/>
      <c r="CU257" s="1041"/>
      <c r="CV257" s="1041"/>
      <c r="CW257" s="1041"/>
      <c r="CX257" s="1041"/>
      <c r="CY257" s="1041"/>
      <c r="CZ257" s="1041"/>
      <c r="DA257" s="1041"/>
      <c r="DB257" s="1041"/>
      <c r="DC257" s="1041"/>
      <c r="DD257" s="1041"/>
      <c r="DE257" s="1041"/>
      <c r="DF257" s="1041"/>
      <c r="DG257" s="1041"/>
      <c r="DH257" s="1041"/>
      <c r="DI257" s="1041"/>
      <c r="DJ257" s="1041"/>
      <c r="DK257" s="1041"/>
      <c r="DL257" s="1041"/>
      <c r="DM257" s="1041"/>
      <c r="DN257" s="1041"/>
      <c r="DO257" s="1041"/>
      <c r="DP257" s="1041"/>
      <c r="DQ257" s="941"/>
      <c r="DR257" s="941"/>
      <c r="DS257" s="941"/>
      <c r="DT257" s="941"/>
      <c r="DU257" s="941"/>
      <c r="DV257" s="941"/>
      <c r="DW257" s="941"/>
      <c r="DX257" s="941"/>
      <c r="DY257" s="941"/>
      <c r="DZ257" s="941"/>
      <c r="EA257" s="941"/>
      <c r="EB257" s="941"/>
      <c r="EC257" s="941"/>
      <c r="ED257" s="941"/>
      <c r="EE257" s="941"/>
      <c r="EF257" s="941"/>
      <c r="EH257" s="1042"/>
      <c r="EI257" s="1042"/>
      <c r="EJ257" s="1042"/>
      <c r="EK257" s="1042"/>
      <c r="EL257" s="1042"/>
      <c r="EM257" s="1042"/>
      <c r="EN257" s="1042"/>
      <c r="EO257" s="1042"/>
      <c r="EP257" s="1042"/>
      <c r="EQ257" s="1042"/>
      <c r="ER257" s="1042"/>
      <c r="ES257" s="1042"/>
      <c r="HD257" s="1042"/>
      <c r="HE257" s="1042"/>
      <c r="HF257" s="1042"/>
      <c r="HG257" s="1042"/>
      <c r="HH257" s="1042"/>
      <c r="HI257" s="1042"/>
      <c r="HJ257" s="1042"/>
      <c r="HK257" s="1042"/>
      <c r="HL257" s="1055"/>
      <c r="HM257" s="1055"/>
      <c r="HN257" s="1055"/>
      <c r="HO257" s="1042"/>
      <c r="HP257" s="1042"/>
      <c r="JA257" s="186"/>
      <c r="JB257" s="186"/>
      <c r="JC257" s="186"/>
      <c r="JD257" s="186"/>
      <c r="JE257" s="186"/>
      <c r="JF257" s="186"/>
      <c r="JG257" s="186"/>
      <c r="JH257" s="186"/>
      <c r="JI257" s="186"/>
      <c r="JJ257" s="186"/>
      <c r="JK257" s="186"/>
      <c r="JL257" s="186"/>
      <c r="JM257" s="186"/>
      <c r="JN257" s="186"/>
      <c r="JY257" s="1042"/>
      <c r="JZ257" s="1042"/>
      <c r="KA257" s="1042"/>
      <c r="KB257" s="1042"/>
      <c r="KC257" s="1042"/>
      <c r="KD257" s="1042"/>
      <c r="KE257" s="1042"/>
      <c r="KF257" s="1042"/>
      <c r="KH257" s="1042"/>
      <c r="KI257" s="1042"/>
      <c r="KJ257" s="1042"/>
      <c r="KK257" s="1042"/>
      <c r="KL257" s="1042"/>
      <c r="KM257" s="1042"/>
      <c r="KN257" s="1042"/>
      <c r="KO257" s="1042"/>
      <c r="LB257" s="186"/>
      <c r="LC257" s="186"/>
      <c r="LD257" s="186"/>
      <c r="LE257" s="1043"/>
      <c r="LF257" s="186"/>
      <c r="LG257" s="186"/>
      <c r="LH257" s="186"/>
      <c r="LI257" s="186"/>
      <c r="LJ257" s="186"/>
      <c r="LK257" s="186"/>
      <c r="LL257" s="186"/>
      <c r="LM257" s="186"/>
      <c r="LN257" s="186"/>
      <c r="LO257" s="186"/>
      <c r="LR257" s="1042"/>
      <c r="LS257" s="1042"/>
      <c r="LT257" s="1042"/>
      <c r="LU257" s="1042"/>
      <c r="LV257" s="1042"/>
      <c r="LW257" s="1042"/>
      <c r="LX257" s="1042"/>
      <c r="LZ257" s="1042"/>
      <c r="MA257" s="1042"/>
      <c r="MB257" s="1042"/>
      <c r="MC257" s="1042"/>
      <c r="MD257" s="1042"/>
      <c r="ME257" s="1042"/>
      <c r="MF257" s="1042"/>
      <c r="MH257" s="1042"/>
      <c r="MI257" s="1042"/>
      <c r="MJ257" s="1042"/>
      <c r="MK257" s="1042"/>
      <c r="ML257" s="1042"/>
      <c r="MM257" s="1042"/>
      <c r="MN257" s="1042"/>
      <c r="MO257" s="1042"/>
      <c r="MP257" s="1042"/>
    </row>
    <row r="258" spans="1:354" ht="15" outlineLevel="1" thickBot="1">
      <c r="A258" s="884">
        <v>110510</v>
      </c>
      <c r="C258" s="1028" t="s">
        <v>788</v>
      </c>
      <c r="D258" s="31"/>
      <c r="E258" s="1011"/>
      <c r="F258" s="1011"/>
      <c r="G258" s="1011"/>
      <c r="H258" s="1011"/>
      <c r="I258" s="1011"/>
      <c r="J258" s="1011"/>
      <c r="K258" s="1011"/>
      <c r="L258" s="1011"/>
      <c r="M258" s="1011"/>
      <c r="N258" s="1011"/>
      <c r="O258" s="1011"/>
      <c r="P258" s="1011"/>
      <c r="Q258" s="1011"/>
      <c r="R258" s="1011"/>
      <c r="S258" s="1011"/>
      <c r="T258" s="1011"/>
      <c r="U258" s="1011"/>
      <c r="V258" s="1011"/>
      <c r="W258" s="1011"/>
      <c r="X258" s="1011"/>
      <c r="Y258" s="1011"/>
      <c r="Z258" s="1011"/>
      <c r="AA258" s="1011"/>
      <c r="AB258" s="1011"/>
      <c r="AC258" s="1011"/>
      <c r="AD258" s="1011"/>
      <c r="AE258" s="1011"/>
      <c r="AF258" s="1011"/>
      <c r="AG258" s="1011"/>
      <c r="AH258" s="1011"/>
      <c r="AI258" s="1011"/>
      <c r="AJ258" s="1011"/>
      <c r="AK258" s="1011"/>
      <c r="AL258" s="1011"/>
      <c r="AM258" s="1011"/>
      <c r="AN258" s="1011"/>
      <c r="AO258" s="17">
        <v>5.5</v>
      </c>
      <c r="AP258" s="17">
        <v>5.1544420000000004</v>
      </c>
      <c r="AQ258" s="1010">
        <v>5.1544420000000004</v>
      </c>
      <c r="AR258" s="1010">
        <v>4.8141319999999999</v>
      </c>
      <c r="AS258" s="940">
        <v>4.8141319999999999</v>
      </c>
      <c r="AT258" s="940">
        <v>4.8141319999999999</v>
      </c>
      <c r="AU258" s="17">
        <v>3.014132</v>
      </c>
      <c r="AV258" s="17">
        <v>0.94372723999999997</v>
      </c>
      <c r="AW258" s="17">
        <v>1.02364199</v>
      </c>
      <c r="AX258" s="17">
        <v>0.53962821999999999</v>
      </c>
      <c r="AY258" s="17">
        <v>1.7397629999999999</v>
      </c>
      <c r="AZ258" s="17">
        <v>2</v>
      </c>
      <c r="BA258" s="873">
        <v>0</v>
      </c>
      <c r="BB258" s="873">
        <v>0</v>
      </c>
      <c r="BC258" s="873">
        <v>0</v>
      </c>
      <c r="BD258" s="873">
        <v>0</v>
      </c>
      <c r="BE258" s="920">
        <v>0</v>
      </c>
      <c r="BF258" s="920">
        <v>0</v>
      </c>
      <c r="BG258" s="920">
        <v>0</v>
      </c>
      <c r="BH258" s="963">
        <v>0</v>
      </c>
      <c r="BI258" s="963">
        <v>0</v>
      </c>
      <c r="BJ258" s="963">
        <v>0</v>
      </c>
      <c r="BK258" s="920">
        <v>0</v>
      </c>
      <c r="BL258" s="963">
        <v>0</v>
      </c>
      <c r="BM258" s="873">
        <v>0</v>
      </c>
      <c r="BN258" s="873">
        <v>0</v>
      </c>
      <c r="BO258" s="873">
        <v>0</v>
      </c>
      <c r="BP258" s="873">
        <v>0</v>
      </c>
      <c r="BQ258" s="873">
        <v>0</v>
      </c>
      <c r="BR258" s="920">
        <v>0</v>
      </c>
      <c r="BS258" s="920">
        <v>0</v>
      </c>
      <c r="BT258" s="963">
        <v>0</v>
      </c>
      <c r="BU258" s="963">
        <v>0</v>
      </c>
      <c r="BV258" s="963">
        <v>0</v>
      </c>
      <c r="BW258" s="920">
        <v>0</v>
      </c>
      <c r="BX258" s="920">
        <v>1</v>
      </c>
      <c r="BY258" s="873">
        <v>1</v>
      </c>
      <c r="BZ258" s="873">
        <v>1</v>
      </c>
      <c r="CA258" s="873">
        <v>1</v>
      </c>
      <c r="CB258" s="873">
        <v>1</v>
      </c>
      <c r="CC258" s="873">
        <v>1</v>
      </c>
      <c r="CD258" s="873">
        <v>1</v>
      </c>
      <c r="CE258" s="873">
        <v>1</v>
      </c>
      <c r="CF258" s="873">
        <v>1</v>
      </c>
      <c r="CG258" s="873">
        <v>1</v>
      </c>
      <c r="CH258" s="873">
        <v>1.6037383000000001</v>
      </c>
      <c r="CI258" s="873">
        <v>1.6037383000000001</v>
      </c>
      <c r="CJ258" s="873">
        <v>1.6037383000000001</v>
      </c>
      <c r="CK258" s="873">
        <v>1.6037383000000001</v>
      </c>
      <c r="CL258" s="873">
        <v>1.6037383000000001</v>
      </c>
      <c r="CM258" s="873">
        <v>1.6037383000000001</v>
      </c>
      <c r="CN258" s="873">
        <v>1.6037383000000001</v>
      </c>
      <c r="CO258" s="873">
        <v>1.6037383000000001</v>
      </c>
      <c r="CP258" s="873">
        <v>1.6037383000000001</v>
      </c>
      <c r="CQ258" s="873">
        <v>1.6037383000000001</v>
      </c>
      <c r="CR258" s="873">
        <v>1.6037383000000001</v>
      </c>
      <c r="CS258" s="873">
        <v>1.6037383000000001</v>
      </c>
      <c r="CT258" s="873">
        <v>1.6037383000000001</v>
      </c>
      <c r="CU258" s="873">
        <v>1.6037383000000001</v>
      </c>
      <c r="CV258" s="873">
        <v>1.6037383000000001</v>
      </c>
      <c r="CW258" s="873">
        <v>1.6037383000000001</v>
      </c>
      <c r="CX258" s="873">
        <v>1.6037383000000001</v>
      </c>
      <c r="CY258" s="873">
        <v>1.6037383000000001</v>
      </c>
      <c r="CZ258" s="873">
        <v>1.6037383000000001</v>
      </c>
      <c r="DA258" s="873">
        <v>1.6037383000000001</v>
      </c>
      <c r="DB258" s="873">
        <v>1.6037383000000001</v>
      </c>
      <c r="DC258" s="873">
        <v>1.6037383000000001</v>
      </c>
      <c r="DD258" s="873">
        <v>1.6037383000000001</v>
      </c>
      <c r="DE258" s="873">
        <v>1.6037383000000001</v>
      </c>
      <c r="DF258" s="873">
        <v>1.6037383000000001</v>
      </c>
      <c r="DG258" s="873">
        <v>1.6037383000000001</v>
      </c>
      <c r="DH258" s="873">
        <v>1.6521749999999999</v>
      </c>
      <c r="DI258" s="873">
        <v>1.6762973999999999</v>
      </c>
      <c r="DJ258" s="873">
        <v>1.6886341</v>
      </c>
      <c r="DK258" s="873">
        <v>1.7100128999999999</v>
      </c>
      <c r="DL258" s="873">
        <v>1.7054491000000001</v>
      </c>
      <c r="DM258" s="873">
        <v>1.7059032000000001</v>
      </c>
      <c r="DN258" s="873">
        <v>1.7137673</v>
      </c>
      <c r="DO258" s="873">
        <v>1.7348972</v>
      </c>
      <c r="DP258" s="873">
        <v>1.7233053</v>
      </c>
      <c r="DQ258" s="873">
        <v>1.7285892</v>
      </c>
      <c r="DR258" s="873">
        <v>1.7190436</v>
      </c>
      <c r="DS258" s="873">
        <v>1.7620861999999999</v>
      </c>
      <c r="DT258" s="873">
        <v>1.7564203999999999</v>
      </c>
      <c r="DU258" s="873">
        <v>1.756694</v>
      </c>
      <c r="DV258" s="873">
        <v>1.7430216000000001</v>
      </c>
      <c r="DW258" s="873">
        <v>1.7121485000000001</v>
      </c>
      <c r="DX258" s="873">
        <v>1.7535913000000001</v>
      </c>
      <c r="DY258" s="873">
        <v>1.7191462</v>
      </c>
      <c r="DZ258" s="873">
        <v>1.7842193</v>
      </c>
      <c r="EA258" s="873">
        <v>1.8170569999999999</v>
      </c>
      <c r="EB258" s="873">
        <v>1.8360303999999998</v>
      </c>
      <c r="EC258" s="873">
        <v>1.8610933000000001</v>
      </c>
      <c r="ED258" s="873">
        <v>2.4410065800000003</v>
      </c>
      <c r="EE258" s="873">
        <v>2.4380434900000001</v>
      </c>
      <c r="EF258" s="873">
        <v>2.4382497999999999</v>
      </c>
      <c r="EH258" s="1032"/>
      <c r="EI258" s="1032"/>
      <c r="EJ258" s="1032"/>
      <c r="EK258" s="1032"/>
      <c r="EL258" s="1032"/>
      <c r="EM258" s="1032"/>
      <c r="EN258" s="1032"/>
      <c r="EO258" s="1032"/>
      <c r="EP258" s="1032"/>
      <c r="EQ258" s="1032"/>
      <c r="ER258" s="1032"/>
      <c r="ES258" s="1032"/>
      <c r="HD258" s="1032"/>
      <c r="HE258" s="1032"/>
      <c r="HF258" s="1032"/>
      <c r="HG258" s="1032"/>
      <c r="HH258" s="1032"/>
      <c r="HI258" s="1032"/>
      <c r="HJ258" s="1032"/>
      <c r="HK258" s="1032"/>
      <c r="HL258" s="1054"/>
      <c r="HM258" s="1054"/>
      <c r="HN258" s="1054"/>
      <c r="HO258" s="1032"/>
      <c r="HP258" s="1032"/>
      <c r="JA258" s="1039"/>
      <c r="JB258" s="1039"/>
      <c r="JC258" s="1039"/>
      <c r="JD258" s="1039"/>
      <c r="JE258" s="1039"/>
      <c r="JF258" s="1039"/>
      <c r="JG258" s="1039"/>
      <c r="JH258" s="1039"/>
      <c r="JI258" s="1039"/>
      <c r="JJ258" s="1039"/>
      <c r="JK258" s="1039"/>
      <c r="JL258" s="1039"/>
      <c r="JM258" s="1039"/>
      <c r="JN258" s="1039"/>
      <c r="JY258" s="1032"/>
      <c r="JZ258" s="1032"/>
      <c r="KA258" s="1032"/>
      <c r="KB258" s="1032"/>
      <c r="KC258" s="1032"/>
      <c r="KD258" s="1032"/>
      <c r="KE258" s="1032"/>
      <c r="KF258" s="1032"/>
      <c r="KH258" s="1032"/>
      <c r="KI258" s="1032"/>
      <c r="KJ258" s="1032"/>
      <c r="KK258" s="1032"/>
      <c r="KL258" s="1032"/>
      <c r="KM258" s="1032"/>
      <c r="KN258" s="1032"/>
      <c r="KO258" s="1032"/>
      <c r="LB258" s="17" t="e">
        <f>#VALUE!</f>
        <v>#VALUE!</v>
      </c>
      <c r="LC258" s="17" t="e">
        <f>#VALUE!</f>
        <v>#VALUE!</v>
      </c>
      <c r="LD258" s="17" t="e">
        <f>#VALUE!</f>
        <v>#VALUE!</v>
      </c>
      <c r="LE258" s="963" t="e">
        <f>#VALUE!</f>
        <v>#VALUE!</v>
      </c>
      <c r="LF258" s="17" t="e">
        <f>#VALUE!</f>
        <v>#VALUE!</v>
      </c>
      <c r="LM258" s="17" t="e">
        <f>#VALUE!</f>
        <v>#VALUE!</v>
      </c>
      <c r="LN258" s="17" t="e">
        <f>#VALUE!</f>
        <v>#VALUE!</v>
      </c>
      <c r="LO258" s="17" t="e">
        <f>#VALUE!</f>
        <v>#VALUE!</v>
      </c>
      <c r="LR258" s="1032"/>
      <c r="LS258" s="1032"/>
      <c r="LT258" s="1032"/>
      <c r="LU258" s="1032"/>
      <c r="LV258" s="1032"/>
      <c r="LW258" s="1032"/>
      <c r="LX258" s="1032"/>
      <c r="LZ258" s="1032"/>
      <c r="MA258" s="1032"/>
      <c r="MB258" s="1032"/>
      <c r="MC258" s="1032"/>
      <c r="MD258" s="1032"/>
      <c r="ME258" s="1032"/>
      <c r="MF258" s="1032"/>
      <c r="MH258" s="1032"/>
      <c r="MI258" s="1032"/>
      <c r="MJ258" s="1032"/>
      <c r="MK258" s="1032"/>
      <c r="ML258" s="1032"/>
      <c r="MM258" s="1032"/>
      <c r="MN258" s="1032"/>
      <c r="MO258" s="1032"/>
      <c r="MP258" s="1032"/>
    </row>
    <row r="259" spans="1:354" ht="15" outlineLevel="1" thickTop="1">
      <c r="A259" s="884">
        <v>11100501</v>
      </c>
      <c r="C259" s="1028" t="s">
        <v>789</v>
      </c>
      <c r="D259" s="31"/>
      <c r="E259" s="1011"/>
      <c r="F259" s="1011"/>
      <c r="G259" s="1011"/>
      <c r="H259" s="1011"/>
      <c r="I259" s="1011"/>
      <c r="J259" s="1011"/>
      <c r="K259" s="1011"/>
      <c r="L259" s="1011"/>
      <c r="M259" s="1011"/>
      <c r="N259" s="1011"/>
      <c r="O259" s="1011"/>
      <c r="P259" s="1011"/>
      <c r="Q259" s="1011"/>
      <c r="R259" s="1011"/>
      <c r="S259" s="1011"/>
      <c r="T259" s="1011"/>
      <c r="U259" s="1011"/>
      <c r="V259" s="1011"/>
      <c r="W259" s="1011"/>
      <c r="X259" s="1011"/>
      <c r="Y259" s="1011"/>
      <c r="Z259" s="1011"/>
      <c r="AA259" s="1011"/>
      <c r="AB259" s="1011"/>
      <c r="AC259" s="1011"/>
      <c r="AD259" s="1011"/>
      <c r="AE259" s="1011"/>
      <c r="AF259" s="1011"/>
      <c r="AG259" s="1011"/>
      <c r="AH259" s="1011"/>
      <c r="AI259" s="1011"/>
      <c r="AJ259" s="1011"/>
      <c r="AK259" s="1011"/>
      <c r="AL259" s="1011"/>
      <c r="AM259" s="1011"/>
      <c r="AN259" s="1011"/>
      <c r="AO259" s="873">
        <v>234.65547018999999</v>
      </c>
      <c r="AP259" s="920">
        <v>92.218388019999992</v>
      </c>
      <c r="AQ259" s="1010">
        <v>28.56495907</v>
      </c>
      <c r="AR259" s="1010">
        <v>457.47548286</v>
      </c>
      <c r="AS259" s="873">
        <v>98.705335650000009</v>
      </c>
      <c r="AT259" s="873">
        <v>1094.1560001300002</v>
      </c>
      <c r="AU259" s="873">
        <v>24.934481219999999</v>
      </c>
      <c r="AV259" s="873">
        <v>61.686400689999999</v>
      </c>
      <c r="AW259" s="873">
        <v>37.532158750000001</v>
      </c>
      <c r="AX259" s="873">
        <v>218.29514543000002</v>
      </c>
      <c r="AY259" s="873">
        <v>30.24334026</v>
      </c>
      <c r="AZ259" s="873">
        <v>1186.4217993499999</v>
      </c>
      <c r="BA259" s="873">
        <v>0</v>
      </c>
      <c r="BB259" s="873">
        <v>0</v>
      </c>
      <c r="BC259" s="873">
        <v>0</v>
      </c>
      <c r="BD259" s="873">
        <v>0</v>
      </c>
      <c r="BE259" s="920">
        <v>0</v>
      </c>
      <c r="BF259" s="920">
        <v>0</v>
      </c>
      <c r="BG259" s="920">
        <v>0</v>
      </c>
      <c r="BH259" s="920">
        <v>0</v>
      </c>
      <c r="BI259" s="920">
        <v>215.18263019</v>
      </c>
      <c r="BJ259" s="920">
        <v>-1.4655138700000001</v>
      </c>
      <c r="BK259" s="920">
        <v>0</v>
      </c>
      <c r="BL259" s="920">
        <v>0</v>
      </c>
      <c r="BM259" s="873">
        <v>0</v>
      </c>
      <c r="BN259" s="873">
        <v>0</v>
      </c>
      <c r="BO259" s="873">
        <v>0</v>
      </c>
      <c r="BP259" s="873">
        <v>0</v>
      </c>
      <c r="BQ259" s="873">
        <v>0</v>
      </c>
      <c r="BR259" s="920">
        <v>0</v>
      </c>
      <c r="BS259" s="920">
        <v>0</v>
      </c>
      <c r="BT259" s="920">
        <v>0</v>
      </c>
      <c r="BU259" s="920">
        <v>0</v>
      </c>
      <c r="BV259" s="920">
        <v>0</v>
      </c>
      <c r="BW259" s="920">
        <v>0</v>
      </c>
      <c r="BX259" s="920">
        <v>0</v>
      </c>
      <c r="BY259" s="873">
        <v>0</v>
      </c>
      <c r="BZ259" s="873">
        <v>0</v>
      </c>
      <c r="CA259" s="873">
        <v>0</v>
      </c>
      <c r="CB259" s="873">
        <v>0</v>
      </c>
      <c r="CC259" s="873">
        <v>0</v>
      </c>
      <c r="CD259" s="873">
        <v>0</v>
      </c>
      <c r="CE259" s="873">
        <v>0</v>
      </c>
      <c r="CF259" s="873">
        <v>0</v>
      </c>
      <c r="CG259" s="873">
        <v>0</v>
      </c>
      <c r="CH259" s="873">
        <v>0</v>
      </c>
      <c r="CI259" s="873">
        <v>0</v>
      </c>
      <c r="CJ259" s="873">
        <v>0</v>
      </c>
      <c r="CK259" s="873">
        <v>0</v>
      </c>
      <c r="CL259" s="873">
        <v>0</v>
      </c>
      <c r="CM259" s="873">
        <v>0</v>
      </c>
      <c r="CN259" s="873">
        <v>0</v>
      </c>
      <c r="CO259" s="873">
        <v>0</v>
      </c>
      <c r="CP259" s="873">
        <v>0</v>
      </c>
      <c r="CQ259" s="873">
        <v>0</v>
      </c>
      <c r="CR259" s="873">
        <v>0</v>
      </c>
      <c r="CS259" s="873">
        <v>0</v>
      </c>
      <c r="CT259" s="873">
        <v>0</v>
      </c>
      <c r="CU259" s="873">
        <v>0</v>
      </c>
      <c r="CV259" s="873">
        <v>0</v>
      </c>
      <c r="CW259" s="873">
        <v>0</v>
      </c>
      <c r="CX259" s="873">
        <v>0</v>
      </c>
      <c r="CY259" s="873">
        <v>0</v>
      </c>
      <c r="CZ259" s="873">
        <v>0</v>
      </c>
      <c r="DA259" s="873">
        <v>0</v>
      </c>
      <c r="DB259" s="873">
        <v>0</v>
      </c>
      <c r="DC259" s="873">
        <v>0</v>
      </c>
      <c r="DD259" s="873">
        <v>0</v>
      </c>
      <c r="DE259" s="873">
        <v>0</v>
      </c>
      <c r="DF259" s="873">
        <v>0</v>
      </c>
      <c r="DG259" s="873">
        <v>0</v>
      </c>
      <c r="DH259" s="873">
        <v>0</v>
      </c>
      <c r="DI259" s="873">
        <v>0</v>
      </c>
      <c r="DJ259" s="873">
        <v>0</v>
      </c>
      <c r="DK259" s="873">
        <v>0</v>
      </c>
      <c r="DL259" s="873">
        <v>0</v>
      </c>
      <c r="DM259" s="873">
        <v>0</v>
      </c>
      <c r="DN259" s="873">
        <v>0</v>
      </c>
      <c r="DO259" s="873">
        <v>0</v>
      </c>
      <c r="DP259" s="873">
        <v>0</v>
      </c>
      <c r="DQ259" s="873">
        <v>0</v>
      </c>
      <c r="DR259" s="873">
        <v>0</v>
      </c>
      <c r="DS259" s="873">
        <v>0</v>
      </c>
      <c r="DT259" s="873">
        <v>0</v>
      </c>
      <c r="DU259" s="873">
        <v>0</v>
      </c>
      <c r="DV259" s="873">
        <v>0</v>
      </c>
      <c r="DW259" s="873">
        <v>0</v>
      </c>
      <c r="DX259" s="873">
        <v>0</v>
      </c>
      <c r="DY259" s="873">
        <v>0</v>
      </c>
      <c r="DZ259" s="873">
        <v>0</v>
      </c>
      <c r="EA259" s="873">
        <v>0</v>
      </c>
      <c r="EB259" s="873">
        <v>0</v>
      </c>
      <c r="EC259" s="873">
        <v>0</v>
      </c>
      <c r="ED259" s="873">
        <v>0</v>
      </c>
      <c r="EE259" s="873">
        <v>0</v>
      </c>
      <c r="EF259" s="873">
        <v>0</v>
      </c>
      <c r="EH259" s="1013"/>
      <c r="EI259" s="1013"/>
      <c r="EJ259" s="1013"/>
      <c r="EK259" s="1013"/>
      <c r="EL259" s="1013"/>
      <c r="EM259" s="1013"/>
      <c r="EN259" s="1013"/>
      <c r="EO259" s="1013"/>
      <c r="EP259" s="1013"/>
      <c r="EQ259" s="1013"/>
      <c r="ER259" s="1013"/>
      <c r="ES259" s="1013"/>
      <c r="HD259" s="1013"/>
      <c r="HE259" s="1013"/>
      <c r="HF259" s="1013"/>
      <c r="HG259" s="1013"/>
      <c r="HH259" s="1013"/>
      <c r="HI259" s="1013"/>
      <c r="HJ259" s="1013"/>
      <c r="HK259" s="1013"/>
      <c r="HL259" s="1013"/>
      <c r="HM259" s="1013"/>
      <c r="HN259" s="1013"/>
      <c r="HO259" s="1013"/>
      <c r="HP259" s="1013"/>
      <c r="JA259" s="920"/>
      <c r="JB259" s="920"/>
      <c r="JC259" s="920"/>
      <c r="JD259" s="920"/>
      <c r="JE259" s="920"/>
      <c r="JF259" s="920"/>
      <c r="JG259" s="920"/>
      <c r="JH259" s="920"/>
      <c r="JI259" s="920"/>
      <c r="JJ259" s="920"/>
      <c r="JK259" s="920"/>
      <c r="JL259" s="920"/>
      <c r="JM259" s="920"/>
      <c r="JN259" s="920"/>
      <c r="JY259" s="1013"/>
      <c r="JZ259" s="1013"/>
      <c r="KA259" s="1013"/>
      <c r="KB259" s="1013"/>
      <c r="KC259" s="1013"/>
      <c r="KD259" s="1013"/>
      <c r="KE259" s="1013"/>
      <c r="KF259" s="1013"/>
      <c r="KH259" s="1013"/>
      <c r="KI259" s="1013"/>
      <c r="KJ259" s="1013"/>
      <c r="KK259" s="1013"/>
      <c r="KL259" s="1013"/>
      <c r="KM259" s="1013"/>
      <c r="KN259" s="1013"/>
      <c r="KO259" s="1013"/>
      <c r="LB259" s="920" t="e">
        <f>#VALUE!</f>
        <v>#VALUE!</v>
      </c>
      <c r="LC259" s="920" t="e">
        <f>#VALUE!</f>
        <v>#VALUE!</v>
      </c>
      <c r="LD259" s="920" t="e">
        <f>#VALUE!</f>
        <v>#VALUE!</v>
      </c>
      <c r="LE259" s="920" t="e">
        <f>#VALUE!</f>
        <v>#VALUE!</v>
      </c>
      <c r="LF259" s="920" t="e">
        <f>#VALUE!</f>
        <v>#VALUE!</v>
      </c>
      <c r="LG259" s="920"/>
      <c r="LH259" s="920"/>
      <c r="LI259" s="920"/>
      <c r="LJ259" s="920"/>
      <c r="LK259" s="920"/>
      <c r="LL259" s="920"/>
      <c r="LM259" s="920" t="e">
        <f>#VALUE!</f>
        <v>#VALUE!</v>
      </c>
      <c r="LN259" s="920" t="e">
        <f>#VALUE!</f>
        <v>#VALUE!</v>
      </c>
      <c r="LO259" s="920" t="e">
        <f>#VALUE!</f>
        <v>#VALUE!</v>
      </c>
      <c r="LR259" s="1013"/>
      <c r="LS259" s="1013"/>
      <c r="LT259" s="1013"/>
      <c r="LU259" s="1013"/>
      <c r="LV259" s="1013"/>
      <c r="LW259" s="1013"/>
      <c r="LX259" s="1013"/>
      <c r="LZ259" s="1013"/>
      <c r="MA259" s="1013"/>
      <c r="MB259" s="1013"/>
      <c r="MC259" s="1013"/>
      <c r="MD259" s="1013"/>
      <c r="ME259" s="1013"/>
      <c r="MF259" s="1013"/>
      <c r="MH259" s="1013"/>
      <c r="MI259" s="1013"/>
      <c r="MJ259" s="1013"/>
      <c r="MK259" s="1013"/>
      <c r="ML259" s="1013"/>
      <c r="MM259" s="1013"/>
      <c r="MN259" s="1013"/>
      <c r="MO259" s="1013"/>
      <c r="MP259" s="1013"/>
    </row>
    <row r="260" spans="1:354" outlineLevel="1">
      <c r="A260" s="884">
        <v>11100502</v>
      </c>
      <c r="C260" s="1028" t="s">
        <v>790</v>
      </c>
      <c r="D260" s="31"/>
      <c r="E260" s="1011"/>
      <c r="F260" s="1011"/>
      <c r="G260" s="1011"/>
      <c r="H260" s="1011"/>
      <c r="I260" s="1011"/>
      <c r="J260" s="1011"/>
      <c r="K260" s="1011"/>
      <c r="L260" s="1011"/>
      <c r="M260" s="1011"/>
      <c r="N260" s="1011"/>
      <c r="O260" s="1011"/>
      <c r="P260" s="1011"/>
      <c r="Q260" s="1011"/>
      <c r="R260" s="1011"/>
      <c r="S260" s="1011"/>
      <c r="T260" s="1011"/>
      <c r="U260" s="1011"/>
      <c r="V260" s="1011"/>
      <c r="W260" s="1011"/>
      <c r="X260" s="1011"/>
      <c r="Y260" s="1011"/>
      <c r="Z260" s="1011"/>
      <c r="AA260" s="1011"/>
      <c r="AB260" s="1011"/>
      <c r="AC260" s="1011"/>
      <c r="AD260" s="1011"/>
      <c r="AE260" s="1011"/>
      <c r="AF260" s="1011"/>
      <c r="AG260" s="1011"/>
      <c r="AH260" s="1011"/>
      <c r="AI260" s="1011"/>
      <c r="AJ260" s="1011"/>
      <c r="AK260" s="1011"/>
      <c r="AL260" s="1011"/>
      <c r="AM260" s="1011"/>
      <c r="AN260" s="1011"/>
      <c r="AO260" s="873">
        <v>11.383330390000001</v>
      </c>
      <c r="AP260" s="920">
        <v>0.37933039000000002</v>
      </c>
      <c r="AQ260" s="1010">
        <v>62.226110429999999</v>
      </c>
      <c r="AR260" s="1010">
        <v>2.0956511999999998</v>
      </c>
      <c r="AS260" s="873">
        <v>9.9148005999999995</v>
      </c>
      <c r="AT260" s="873">
        <v>1.4225820600000001</v>
      </c>
      <c r="AU260" s="873">
        <v>0.34974279999999996</v>
      </c>
      <c r="AV260" s="873">
        <v>45.602188509999998</v>
      </c>
      <c r="AW260" s="873">
        <v>3.0739276600000003</v>
      </c>
      <c r="AX260" s="873">
        <v>0.84147421999999994</v>
      </c>
      <c r="AY260" s="873">
        <v>1.8120396999999999</v>
      </c>
      <c r="AZ260" s="873">
        <v>1.4104397</v>
      </c>
      <c r="BA260" s="873">
        <v>0</v>
      </c>
      <c r="BB260" s="873">
        <v>0</v>
      </c>
      <c r="BC260" s="873">
        <v>0</v>
      </c>
      <c r="BD260" s="873">
        <v>0</v>
      </c>
      <c r="BE260" s="920">
        <v>0</v>
      </c>
      <c r="BF260" s="920">
        <v>0</v>
      </c>
      <c r="BG260" s="920">
        <v>0</v>
      </c>
      <c r="BH260" s="920">
        <v>0</v>
      </c>
      <c r="BI260" s="920">
        <v>0</v>
      </c>
      <c r="BJ260" s="920">
        <v>0</v>
      </c>
      <c r="BK260" s="920">
        <v>0</v>
      </c>
      <c r="BL260" s="920">
        <v>0</v>
      </c>
      <c r="BM260" s="873">
        <v>0</v>
      </c>
      <c r="BN260" s="873">
        <v>0</v>
      </c>
      <c r="BO260" s="873">
        <v>0</v>
      </c>
      <c r="BP260" s="873">
        <v>0</v>
      </c>
      <c r="BQ260" s="873">
        <v>0</v>
      </c>
      <c r="BR260" s="920">
        <v>0</v>
      </c>
      <c r="BS260" s="920">
        <v>0</v>
      </c>
      <c r="BT260" s="920">
        <v>0</v>
      </c>
      <c r="BU260" s="920">
        <v>0</v>
      </c>
      <c r="BV260" s="920">
        <v>0</v>
      </c>
      <c r="BW260" s="920">
        <v>0</v>
      </c>
      <c r="BX260" s="920">
        <v>0</v>
      </c>
      <c r="BY260" s="873">
        <v>0</v>
      </c>
      <c r="BZ260" s="873">
        <v>0</v>
      </c>
      <c r="CA260" s="873">
        <v>0</v>
      </c>
      <c r="CB260" s="873">
        <v>0</v>
      </c>
      <c r="CC260" s="873">
        <v>0</v>
      </c>
      <c r="CD260" s="873">
        <v>0</v>
      </c>
      <c r="CE260" s="873">
        <v>0</v>
      </c>
      <c r="CF260" s="873">
        <v>0</v>
      </c>
      <c r="CG260" s="873">
        <v>0</v>
      </c>
      <c r="CH260" s="873">
        <v>0</v>
      </c>
      <c r="CI260" s="873">
        <v>0</v>
      </c>
      <c r="CJ260" s="873">
        <v>0</v>
      </c>
      <c r="CK260" s="873">
        <v>0</v>
      </c>
      <c r="CL260" s="873">
        <v>0</v>
      </c>
      <c r="CM260" s="873">
        <v>0</v>
      </c>
      <c r="CN260" s="873">
        <v>0</v>
      </c>
      <c r="CO260" s="873">
        <v>0</v>
      </c>
      <c r="CP260" s="873">
        <v>0</v>
      </c>
      <c r="CQ260" s="873">
        <v>0</v>
      </c>
      <c r="CR260" s="873">
        <v>0</v>
      </c>
      <c r="CS260" s="873">
        <v>0</v>
      </c>
      <c r="CT260" s="873">
        <v>0</v>
      </c>
      <c r="CU260" s="873">
        <v>0</v>
      </c>
      <c r="CV260" s="873">
        <v>0</v>
      </c>
      <c r="CW260" s="873">
        <v>0</v>
      </c>
      <c r="CX260" s="873">
        <v>0</v>
      </c>
      <c r="CY260" s="873">
        <v>0</v>
      </c>
      <c r="CZ260" s="873">
        <v>0</v>
      </c>
      <c r="DA260" s="873">
        <v>0</v>
      </c>
      <c r="DB260" s="873">
        <v>0</v>
      </c>
      <c r="DC260" s="873">
        <v>0</v>
      </c>
      <c r="DD260" s="873">
        <v>0</v>
      </c>
      <c r="DE260" s="873">
        <v>0</v>
      </c>
      <c r="DF260" s="873">
        <v>0</v>
      </c>
      <c r="DG260" s="873">
        <v>0</v>
      </c>
      <c r="DH260" s="873">
        <v>0</v>
      </c>
      <c r="DI260" s="873">
        <v>0</v>
      </c>
      <c r="DJ260" s="873">
        <v>0</v>
      </c>
      <c r="DK260" s="873">
        <v>0</v>
      </c>
      <c r="DL260" s="873">
        <v>0</v>
      </c>
      <c r="DM260" s="873">
        <v>0</v>
      </c>
      <c r="DN260" s="873">
        <v>0</v>
      </c>
      <c r="DO260" s="873">
        <v>0</v>
      </c>
      <c r="DP260" s="873">
        <v>0</v>
      </c>
      <c r="DQ260" s="873">
        <v>0</v>
      </c>
      <c r="DR260" s="873">
        <v>0</v>
      </c>
      <c r="DS260" s="873">
        <v>0</v>
      </c>
      <c r="DT260" s="873">
        <v>0</v>
      </c>
      <c r="DU260" s="873">
        <v>0</v>
      </c>
      <c r="DV260" s="873">
        <v>0</v>
      </c>
      <c r="DW260" s="873">
        <v>0</v>
      </c>
      <c r="DX260" s="873">
        <v>0</v>
      </c>
      <c r="DY260" s="873">
        <v>0</v>
      </c>
      <c r="DZ260" s="873">
        <v>0</v>
      </c>
      <c r="EA260" s="873">
        <v>0</v>
      </c>
      <c r="EB260" s="873">
        <v>0</v>
      </c>
      <c r="EC260" s="873">
        <v>0</v>
      </c>
      <c r="ED260" s="873">
        <v>0</v>
      </c>
      <c r="EE260" s="873">
        <v>0</v>
      </c>
      <c r="EF260" s="873">
        <v>0</v>
      </c>
      <c r="EH260" s="1013"/>
      <c r="EI260" s="1013"/>
      <c r="EJ260" s="1013"/>
      <c r="EK260" s="1013"/>
      <c r="EL260" s="1013"/>
      <c r="EM260" s="1013"/>
      <c r="EN260" s="1013"/>
      <c r="EO260" s="1013"/>
      <c r="EP260" s="1013"/>
      <c r="EQ260" s="1013"/>
      <c r="ER260" s="1013"/>
      <c r="ES260" s="1013"/>
      <c r="HD260" s="1013"/>
      <c r="HE260" s="1013"/>
      <c r="HF260" s="1013"/>
      <c r="HG260" s="1013"/>
      <c r="HH260" s="1013"/>
      <c r="HI260" s="1013"/>
      <c r="HJ260" s="1013"/>
      <c r="HK260" s="1013"/>
      <c r="HL260" s="1013"/>
      <c r="HM260" s="1013"/>
      <c r="HN260" s="1013"/>
      <c r="HO260" s="1013"/>
      <c r="HP260" s="1013"/>
      <c r="JA260" s="920"/>
      <c r="JB260" s="920"/>
      <c r="JC260" s="920"/>
      <c r="JD260" s="920"/>
      <c r="JE260" s="920"/>
      <c r="JF260" s="920"/>
      <c r="JG260" s="920"/>
      <c r="JH260" s="920"/>
      <c r="JI260" s="920"/>
      <c r="JJ260" s="920"/>
      <c r="JK260" s="920"/>
      <c r="JL260" s="920"/>
      <c r="JM260" s="920"/>
      <c r="JN260" s="920"/>
      <c r="JY260" s="1013"/>
      <c r="JZ260" s="1013"/>
      <c r="KA260" s="1013"/>
      <c r="KB260" s="1013"/>
      <c r="KC260" s="1013"/>
      <c r="KD260" s="1013"/>
      <c r="KE260" s="1013"/>
      <c r="KF260" s="1013"/>
      <c r="KH260" s="1013"/>
      <c r="KI260" s="1013"/>
      <c r="KJ260" s="1013"/>
      <c r="KK260" s="1013"/>
      <c r="KL260" s="1013"/>
      <c r="KM260" s="1013"/>
      <c r="KN260" s="1013"/>
      <c r="KO260" s="1013"/>
      <c r="LB260" s="920" t="e">
        <f>#VALUE!</f>
        <v>#VALUE!</v>
      </c>
      <c r="LC260" s="920" t="e">
        <f>#VALUE!</f>
        <v>#VALUE!</v>
      </c>
      <c r="LD260" s="920" t="e">
        <f>#VALUE!</f>
        <v>#VALUE!</v>
      </c>
      <c r="LE260" s="920" t="e">
        <f>#VALUE!</f>
        <v>#VALUE!</v>
      </c>
      <c r="LF260" s="920" t="e">
        <f>#VALUE!</f>
        <v>#VALUE!</v>
      </c>
      <c r="LG260" s="920"/>
      <c r="LH260" s="920"/>
      <c r="LI260" s="920"/>
      <c r="LJ260" s="920"/>
      <c r="LK260" s="920"/>
      <c r="LL260" s="920"/>
      <c r="LM260" s="920" t="e">
        <f>#VALUE!</f>
        <v>#VALUE!</v>
      </c>
      <c r="LN260" s="920" t="e">
        <f>#VALUE!</f>
        <v>#VALUE!</v>
      </c>
      <c r="LO260" s="920" t="e">
        <f>#VALUE!</f>
        <v>#VALUE!</v>
      </c>
      <c r="LR260" s="1013"/>
      <c r="LS260" s="1013"/>
      <c r="LT260" s="1013"/>
      <c r="LU260" s="1013"/>
      <c r="LV260" s="1013"/>
      <c r="LW260" s="1013"/>
      <c r="LX260" s="1013"/>
      <c r="LZ260" s="1013"/>
      <c r="MA260" s="1013"/>
      <c r="MB260" s="1013"/>
      <c r="MC260" s="1013"/>
      <c r="MD260" s="1013"/>
      <c r="ME260" s="1013"/>
      <c r="MF260" s="1013"/>
      <c r="MH260" s="1013"/>
      <c r="MI260" s="1013"/>
      <c r="MJ260" s="1013"/>
      <c r="MK260" s="1013"/>
      <c r="ML260" s="1013"/>
      <c r="MM260" s="1013"/>
      <c r="MN260" s="1013"/>
      <c r="MO260" s="1013"/>
      <c r="MP260" s="1013"/>
    </row>
    <row r="261" spans="1:354" outlineLevel="1">
      <c r="A261" s="884">
        <v>11100503</v>
      </c>
      <c r="C261" s="1028" t="s">
        <v>791</v>
      </c>
      <c r="D261" s="31"/>
      <c r="E261" s="1011"/>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1"/>
      <c r="AI261" s="1011"/>
      <c r="AJ261" s="1011"/>
      <c r="AK261" s="1011"/>
      <c r="AL261" s="1011"/>
      <c r="AM261" s="1011"/>
      <c r="AN261" s="1011"/>
      <c r="AO261" s="873">
        <v>82.877509979999999</v>
      </c>
      <c r="AP261" s="920">
        <v>0.46384065999999996</v>
      </c>
      <c r="AQ261" s="1010">
        <v>0.37825966</v>
      </c>
      <c r="AR261" s="1010">
        <v>0.94747266000000008</v>
      </c>
      <c r="AS261" s="873">
        <v>46.131139659999995</v>
      </c>
      <c r="AT261" s="873">
        <v>30.639685660000001</v>
      </c>
      <c r="AU261" s="873">
        <v>4.1097435999999998</v>
      </c>
      <c r="AV261" s="873">
        <v>2.5618536000000001</v>
      </c>
      <c r="AW261" s="873">
        <v>4.5986965999999994</v>
      </c>
      <c r="AX261" s="873">
        <v>24.581145940000003</v>
      </c>
      <c r="AY261" s="873">
        <v>9.8044749399999986</v>
      </c>
      <c r="AZ261" s="873">
        <v>7.4761489400000007</v>
      </c>
      <c r="BA261" s="873">
        <v>0</v>
      </c>
      <c r="BB261" s="873">
        <v>0</v>
      </c>
      <c r="BC261" s="873">
        <v>0</v>
      </c>
      <c r="BD261" s="873">
        <v>0</v>
      </c>
      <c r="BE261" s="920">
        <v>0</v>
      </c>
      <c r="BF261" s="920">
        <v>0</v>
      </c>
      <c r="BG261" s="920">
        <v>0</v>
      </c>
      <c r="BH261" s="920">
        <v>0</v>
      </c>
      <c r="BI261" s="920">
        <v>-0.10026500000000001</v>
      </c>
      <c r="BJ261" s="920">
        <v>0</v>
      </c>
      <c r="BK261" s="920">
        <v>0</v>
      </c>
      <c r="BL261" s="920">
        <v>0</v>
      </c>
      <c r="BM261" s="873">
        <v>0</v>
      </c>
      <c r="BN261" s="873">
        <v>0</v>
      </c>
      <c r="BO261" s="873">
        <v>0</v>
      </c>
      <c r="BP261" s="873">
        <v>0</v>
      </c>
      <c r="BQ261" s="873">
        <v>0</v>
      </c>
      <c r="BR261" s="920">
        <v>0</v>
      </c>
      <c r="BS261" s="920">
        <v>0</v>
      </c>
      <c r="BT261" s="920">
        <v>0</v>
      </c>
      <c r="BU261" s="920">
        <v>0</v>
      </c>
      <c r="BV261" s="920">
        <v>0</v>
      </c>
      <c r="BW261" s="920">
        <v>0</v>
      </c>
      <c r="BX261" s="920">
        <v>0</v>
      </c>
      <c r="BY261" s="873">
        <v>0</v>
      </c>
      <c r="BZ261" s="873">
        <v>0</v>
      </c>
      <c r="CA261" s="873">
        <v>0</v>
      </c>
      <c r="CB261" s="873">
        <v>0</v>
      </c>
      <c r="CC261" s="873">
        <v>0</v>
      </c>
      <c r="CD261" s="873">
        <v>0</v>
      </c>
      <c r="CE261" s="873">
        <v>0</v>
      </c>
      <c r="CF261" s="873">
        <v>0</v>
      </c>
      <c r="CG261" s="873">
        <v>0</v>
      </c>
      <c r="CH261" s="873">
        <v>0</v>
      </c>
      <c r="CI261" s="873">
        <v>0</v>
      </c>
      <c r="CJ261" s="873">
        <v>0</v>
      </c>
      <c r="CK261" s="873">
        <v>0</v>
      </c>
      <c r="CL261" s="873">
        <v>0</v>
      </c>
      <c r="CM261" s="873">
        <v>0</v>
      </c>
      <c r="CN261" s="873">
        <v>0</v>
      </c>
      <c r="CO261" s="873">
        <v>0</v>
      </c>
      <c r="CP261" s="873">
        <v>0</v>
      </c>
      <c r="CQ261" s="873">
        <v>0</v>
      </c>
      <c r="CR261" s="873">
        <v>0</v>
      </c>
      <c r="CS261" s="873">
        <v>0</v>
      </c>
      <c r="CT261" s="873">
        <v>0</v>
      </c>
      <c r="CU261" s="873">
        <v>0</v>
      </c>
      <c r="CV261" s="873">
        <v>0</v>
      </c>
      <c r="CW261" s="873">
        <v>0</v>
      </c>
      <c r="CX261" s="873">
        <v>0</v>
      </c>
      <c r="CY261" s="873">
        <v>0</v>
      </c>
      <c r="CZ261" s="873">
        <v>0</v>
      </c>
      <c r="DA261" s="873">
        <v>0</v>
      </c>
      <c r="DB261" s="873">
        <v>0</v>
      </c>
      <c r="DC261" s="873">
        <v>0</v>
      </c>
      <c r="DD261" s="873">
        <v>0</v>
      </c>
      <c r="DE261" s="873">
        <v>0</v>
      </c>
      <c r="DF261" s="873">
        <v>0</v>
      </c>
      <c r="DG261" s="873">
        <v>0</v>
      </c>
      <c r="DH261" s="873">
        <v>0</v>
      </c>
      <c r="DI261" s="873">
        <v>0</v>
      </c>
      <c r="DJ261" s="873">
        <v>0</v>
      </c>
      <c r="DK261" s="873">
        <v>0</v>
      </c>
      <c r="DL261" s="873">
        <v>0</v>
      </c>
      <c r="DM261" s="873">
        <v>0</v>
      </c>
      <c r="DN261" s="873">
        <v>0</v>
      </c>
      <c r="DO261" s="873">
        <v>0</v>
      </c>
      <c r="DP261" s="873">
        <v>0</v>
      </c>
      <c r="DQ261" s="873">
        <v>0</v>
      </c>
      <c r="DR261" s="873">
        <v>0</v>
      </c>
      <c r="DS261" s="873">
        <v>0</v>
      </c>
      <c r="DT261" s="873">
        <v>0</v>
      </c>
      <c r="DU261" s="873">
        <v>0</v>
      </c>
      <c r="DV261" s="873">
        <v>0</v>
      </c>
      <c r="DW261" s="873">
        <v>0</v>
      </c>
      <c r="DX261" s="873">
        <v>0</v>
      </c>
      <c r="DY261" s="873">
        <v>0</v>
      </c>
      <c r="DZ261" s="873">
        <v>0</v>
      </c>
      <c r="EA261" s="873">
        <v>0</v>
      </c>
      <c r="EB261" s="873">
        <v>0</v>
      </c>
      <c r="EC261" s="873">
        <v>0</v>
      </c>
      <c r="ED261" s="873">
        <v>0</v>
      </c>
      <c r="EE261" s="873">
        <v>0</v>
      </c>
      <c r="EF261" s="873">
        <v>0</v>
      </c>
      <c r="EH261" s="1013"/>
      <c r="EI261" s="1013"/>
      <c r="EJ261" s="1013"/>
      <c r="EK261" s="1013"/>
      <c r="EL261" s="1013"/>
      <c r="EM261" s="1013"/>
      <c r="EN261" s="1013"/>
      <c r="EO261" s="1013"/>
      <c r="EP261" s="1013"/>
      <c r="EQ261" s="1013"/>
      <c r="ER261" s="1013"/>
      <c r="ES261" s="1013"/>
      <c r="HD261" s="1013"/>
      <c r="HE261" s="1013"/>
      <c r="HF261" s="1013"/>
      <c r="HG261" s="1013"/>
      <c r="HH261" s="1013"/>
      <c r="HI261" s="1013"/>
      <c r="HJ261" s="1013"/>
      <c r="HK261" s="1013"/>
      <c r="HL261" s="1013"/>
      <c r="HM261" s="1013"/>
      <c r="HN261" s="1013"/>
      <c r="HO261" s="1013"/>
      <c r="HP261" s="1013"/>
      <c r="JA261" s="920"/>
      <c r="JB261" s="920"/>
      <c r="JC261" s="920"/>
      <c r="JD261" s="920"/>
      <c r="JE261" s="920"/>
      <c r="JF261" s="920"/>
      <c r="JG261" s="920"/>
      <c r="JH261" s="920"/>
      <c r="JI261" s="920"/>
      <c r="JJ261" s="920"/>
      <c r="JK261" s="920"/>
      <c r="JL261" s="920"/>
      <c r="JM261" s="920"/>
      <c r="JN261" s="920"/>
      <c r="JY261" s="1013"/>
      <c r="JZ261" s="1013"/>
      <c r="KA261" s="1013"/>
      <c r="KB261" s="1013"/>
      <c r="KC261" s="1013"/>
      <c r="KD261" s="1013"/>
      <c r="KE261" s="1013"/>
      <c r="KF261" s="1013"/>
      <c r="KH261" s="1013"/>
      <c r="KI261" s="1013"/>
      <c r="KJ261" s="1013"/>
      <c r="KK261" s="1013"/>
      <c r="KL261" s="1013"/>
      <c r="KM261" s="1013"/>
      <c r="KN261" s="1013"/>
      <c r="KO261" s="1013"/>
      <c r="LB261" s="920" t="e">
        <f>#VALUE!</f>
        <v>#VALUE!</v>
      </c>
      <c r="LC261" s="920" t="e">
        <f>#VALUE!</f>
        <v>#VALUE!</v>
      </c>
      <c r="LD261" s="920" t="e">
        <f>#VALUE!</f>
        <v>#VALUE!</v>
      </c>
      <c r="LE261" s="920" t="e">
        <f>#VALUE!</f>
        <v>#VALUE!</v>
      </c>
      <c r="LF261" s="920" t="e">
        <f>#VALUE!</f>
        <v>#VALUE!</v>
      </c>
      <c r="LG261" s="920"/>
      <c r="LH261" s="920"/>
      <c r="LI261" s="920"/>
      <c r="LJ261" s="920"/>
      <c r="LK261" s="920"/>
      <c r="LL261" s="920"/>
      <c r="LM261" s="920" t="e">
        <f>#VALUE!</f>
        <v>#VALUE!</v>
      </c>
      <c r="LN261" s="920" t="e">
        <f>#VALUE!</f>
        <v>#VALUE!</v>
      </c>
      <c r="LO261" s="920" t="e">
        <f>#VALUE!</f>
        <v>#VALUE!</v>
      </c>
      <c r="LR261" s="1013"/>
      <c r="LS261" s="1013"/>
      <c r="LT261" s="1013"/>
      <c r="LU261" s="1013"/>
      <c r="LV261" s="1013"/>
      <c r="LW261" s="1013"/>
      <c r="LX261" s="1013"/>
      <c r="LZ261" s="1013"/>
      <c r="MA261" s="1013"/>
      <c r="MB261" s="1013"/>
      <c r="MC261" s="1013"/>
      <c r="MD261" s="1013"/>
      <c r="ME261" s="1013"/>
      <c r="MF261" s="1013"/>
      <c r="MH261" s="1013"/>
      <c r="MI261" s="1013"/>
      <c r="MJ261" s="1013"/>
      <c r="MK261" s="1013"/>
      <c r="ML261" s="1013"/>
      <c r="MM261" s="1013"/>
      <c r="MN261" s="1013"/>
      <c r="MO261" s="1013"/>
      <c r="MP261" s="1013"/>
    </row>
    <row r="262" spans="1:354" outlineLevel="1">
      <c r="A262" s="884">
        <v>11100504</v>
      </c>
      <c r="C262" s="1028" t="s">
        <v>792</v>
      </c>
      <c r="D262" s="31"/>
      <c r="E262" s="1011"/>
      <c r="F262" s="1011"/>
      <c r="G262" s="1011"/>
      <c r="H262" s="1011"/>
      <c r="I262" s="1011"/>
      <c r="J262" s="1011"/>
      <c r="K262" s="1011"/>
      <c r="L262" s="1011"/>
      <c r="M262" s="1011"/>
      <c r="N262" s="1011"/>
      <c r="O262" s="1011"/>
      <c r="P262" s="1011"/>
      <c r="Q262" s="1011"/>
      <c r="R262" s="1011"/>
      <c r="S262" s="1011"/>
      <c r="T262" s="1011"/>
      <c r="U262" s="1011"/>
      <c r="V262" s="1011"/>
      <c r="W262" s="1011"/>
      <c r="X262" s="1011"/>
      <c r="Y262" s="1011"/>
      <c r="Z262" s="1011"/>
      <c r="AA262" s="1011"/>
      <c r="AB262" s="1011"/>
      <c r="AC262" s="1011"/>
      <c r="AD262" s="1011"/>
      <c r="AE262" s="1011"/>
      <c r="AF262" s="1011"/>
      <c r="AG262" s="1011"/>
      <c r="AH262" s="1011"/>
      <c r="AI262" s="1011"/>
      <c r="AJ262" s="1011"/>
      <c r="AK262" s="1011"/>
      <c r="AL262" s="1011"/>
      <c r="AM262" s="1011"/>
      <c r="AN262" s="1011"/>
      <c r="AO262" s="873">
        <v>0.38568919000000002</v>
      </c>
      <c r="AP262" s="920">
        <v>0.38568919000000002</v>
      </c>
      <c r="AQ262" s="1010">
        <v>0.38568919000000002</v>
      </c>
      <c r="AR262" s="1010">
        <v>0</v>
      </c>
      <c r="AS262" s="873">
        <v>0</v>
      </c>
      <c r="AT262" s="873">
        <v>0</v>
      </c>
      <c r="AU262" s="873">
        <v>0</v>
      </c>
      <c r="AV262" s="873">
        <v>0</v>
      </c>
      <c r="AW262" s="873">
        <v>0</v>
      </c>
      <c r="AX262" s="873">
        <v>0</v>
      </c>
      <c r="AY262" s="873">
        <v>0</v>
      </c>
      <c r="AZ262" s="873">
        <v>0</v>
      </c>
      <c r="BA262" s="873">
        <v>0</v>
      </c>
      <c r="BB262" s="873">
        <v>0</v>
      </c>
      <c r="BC262" s="873">
        <v>0</v>
      </c>
      <c r="BD262" s="873">
        <v>0</v>
      </c>
      <c r="BE262" s="920">
        <v>0</v>
      </c>
      <c r="BF262" s="920">
        <v>0</v>
      </c>
      <c r="BG262" s="920">
        <v>0</v>
      </c>
      <c r="BH262" s="920">
        <v>0</v>
      </c>
      <c r="BI262" s="920">
        <v>0</v>
      </c>
      <c r="BJ262" s="920">
        <v>0</v>
      </c>
      <c r="BK262" s="920">
        <v>0</v>
      </c>
      <c r="BL262" s="920">
        <v>0</v>
      </c>
      <c r="BM262" s="873">
        <v>0</v>
      </c>
      <c r="BN262" s="873">
        <v>0</v>
      </c>
      <c r="BO262" s="873">
        <v>0</v>
      </c>
      <c r="BP262" s="873">
        <v>0</v>
      </c>
      <c r="BQ262" s="873">
        <v>0</v>
      </c>
      <c r="BR262" s="920">
        <v>0</v>
      </c>
      <c r="BS262" s="920">
        <v>0</v>
      </c>
      <c r="BT262" s="920">
        <v>0</v>
      </c>
      <c r="BU262" s="920">
        <v>0</v>
      </c>
      <c r="BV262" s="920">
        <v>0</v>
      </c>
      <c r="BW262" s="920">
        <v>0</v>
      </c>
      <c r="BX262" s="920">
        <v>0</v>
      </c>
      <c r="BY262" s="873">
        <v>0</v>
      </c>
      <c r="BZ262" s="873">
        <v>0</v>
      </c>
      <c r="CA262" s="873">
        <v>0</v>
      </c>
      <c r="CB262" s="873">
        <v>0</v>
      </c>
      <c r="CC262" s="873">
        <v>0</v>
      </c>
      <c r="CD262" s="873">
        <v>0</v>
      </c>
      <c r="CE262" s="873">
        <v>0</v>
      </c>
      <c r="CF262" s="873">
        <v>0</v>
      </c>
      <c r="CG262" s="873">
        <v>0</v>
      </c>
      <c r="CH262" s="873">
        <v>0</v>
      </c>
      <c r="CI262" s="873">
        <v>0</v>
      </c>
      <c r="CJ262" s="873">
        <v>0</v>
      </c>
      <c r="CK262" s="873">
        <v>0</v>
      </c>
      <c r="CL262" s="873">
        <v>0</v>
      </c>
      <c r="CM262" s="873">
        <v>0</v>
      </c>
      <c r="CN262" s="873">
        <v>0</v>
      </c>
      <c r="CO262" s="873">
        <v>0</v>
      </c>
      <c r="CP262" s="873">
        <v>0</v>
      </c>
      <c r="CQ262" s="873">
        <v>0</v>
      </c>
      <c r="CR262" s="873">
        <v>0</v>
      </c>
      <c r="CS262" s="873">
        <v>0</v>
      </c>
      <c r="CT262" s="873">
        <v>0</v>
      </c>
      <c r="CU262" s="873">
        <v>0</v>
      </c>
      <c r="CV262" s="873">
        <v>0</v>
      </c>
      <c r="CW262" s="873">
        <v>0</v>
      </c>
      <c r="CX262" s="873">
        <v>0</v>
      </c>
      <c r="CY262" s="873">
        <v>0</v>
      </c>
      <c r="CZ262" s="873">
        <v>0</v>
      </c>
      <c r="DA262" s="873">
        <v>0</v>
      </c>
      <c r="DB262" s="873">
        <v>0</v>
      </c>
      <c r="DC262" s="873">
        <v>0</v>
      </c>
      <c r="DD262" s="873">
        <v>0</v>
      </c>
      <c r="DE262" s="873">
        <v>0</v>
      </c>
      <c r="DF262" s="873">
        <v>0</v>
      </c>
      <c r="DG262" s="873">
        <v>0</v>
      </c>
      <c r="DH262" s="873">
        <v>0</v>
      </c>
      <c r="DI262" s="873">
        <v>0</v>
      </c>
      <c r="DJ262" s="873">
        <v>0</v>
      </c>
      <c r="DK262" s="873">
        <v>0</v>
      </c>
      <c r="DL262" s="873">
        <v>0</v>
      </c>
      <c r="DM262" s="873">
        <v>0</v>
      </c>
      <c r="DN262" s="873">
        <v>0</v>
      </c>
      <c r="DO262" s="873">
        <v>0</v>
      </c>
      <c r="DP262" s="873">
        <v>0</v>
      </c>
      <c r="DQ262" s="873">
        <v>0</v>
      </c>
      <c r="DR262" s="873">
        <v>0</v>
      </c>
      <c r="DS262" s="873">
        <v>0</v>
      </c>
      <c r="DT262" s="873">
        <v>0</v>
      </c>
      <c r="DU262" s="873">
        <v>0</v>
      </c>
      <c r="DV262" s="873">
        <v>0</v>
      </c>
      <c r="DW262" s="873">
        <v>0</v>
      </c>
      <c r="DX262" s="873">
        <v>0</v>
      </c>
      <c r="DY262" s="873">
        <v>0</v>
      </c>
      <c r="DZ262" s="873">
        <v>0</v>
      </c>
      <c r="EA262" s="873">
        <v>0</v>
      </c>
      <c r="EB262" s="873">
        <v>0</v>
      </c>
      <c r="EC262" s="873">
        <v>0</v>
      </c>
      <c r="ED262" s="873">
        <v>0</v>
      </c>
      <c r="EE262" s="873">
        <v>0</v>
      </c>
      <c r="EF262" s="873">
        <v>0</v>
      </c>
      <c r="EH262" s="1013"/>
      <c r="EI262" s="1013"/>
      <c r="EJ262" s="1013"/>
      <c r="EK262" s="1013"/>
      <c r="EL262" s="1013"/>
      <c r="EM262" s="1013"/>
      <c r="EN262" s="1013"/>
      <c r="EO262" s="1013"/>
      <c r="EP262" s="1013"/>
      <c r="EQ262" s="1013"/>
      <c r="ER262" s="1013"/>
      <c r="ES262" s="1013"/>
      <c r="HD262" s="1013"/>
      <c r="HE262" s="1013"/>
      <c r="HF262" s="1013"/>
      <c r="HG262" s="1013"/>
      <c r="HH262" s="1013"/>
      <c r="HI262" s="1013"/>
      <c r="HJ262" s="1013"/>
      <c r="HK262" s="1013"/>
      <c r="HL262" s="1013"/>
      <c r="HM262" s="1013"/>
      <c r="HN262" s="1013"/>
      <c r="HO262" s="1013"/>
      <c r="HP262" s="1013"/>
      <c r="JA262" s="920"/>
      <c r="JB262" s="920"/>
      <c r="JC262" s="920"/>
      <c r="JD262" s="920"/>
      <c r="JE262" s="920"/>
      <c r="JF262" s="920"/>
      <c r="JG262" s="920"/>
      <c r="JH262" s="920"/>
      <c r="JI262" s="920"/>
      <c r="JJ262" s="920"/>
      <c r="JK262" s="920"/>
      <c r="JL262" s="920"/>
      <c r="JM262" s="920"/>
      <c r="JN262" s="920"/>
      <c r="JY262" s="1013"/>
      <c r="JZ262" s="1013"/>
      <c r="KA262" s="1013"/>
      <c r="KB262" s="1013"/>
      <c r="KC262" s="1013"/>
      <c r="KD262" s="1013"/>
      <c r="KE262" s="1013"/>
      <c r="KF262" s="1013"/>
      <c r="KH262" s="1013"/>
      <c r="KI262" s="1013"/>
      <c r="KJ262" s="1013"/>
      <c r="KK262" s="1013"/>
      <c r="KL262" s="1013"/>
      <c r="KM262" s="1013"/>
      <c r="KN262" s="1013"/>
      <c r="KO262" s="1013"/>
      <c r="LB262" s="920" t="e">
        <f>#VALUE!</f>
        <v>#VALUE!</v>
      </c>
      <c r="LC262" s="920" t="e">
        <f>#VALUE!</f>
        <v>#VALUE!</v>
      </c>
      <c r="LD262" s="920" t="e">
        <f>#VALUE!</f>
        <v>#VALUE!</v>
      </c>
      <c r="LE262" s="920" t="e">
        <f>#VALUE!</f>
        <v>#VALUE!</v>
      </c>
      <c r="LF262" s="920" t="e">
        <f>#VALUE!</f>
        <v>#VALUE!</v>
      </c>
      <c r="LG262" s="920"/>
      <c r="LH262" s="920"/>
      <c r="LI262" s="920"/>
      <c r="LJ262" s="920"/>
      <c r="LK262" s="920"/>
      <c r="LL262" s="920"/>
      <c r="LM262" s="920" t="e">
        <f>#VALUE!</f>
        <v>#VALUE!</v>
      </c>
      <c r="LN262" s="920" t="e">
        <f>#VALUE!</f>
        <v>#VALUE!</v>
      </c>
      <c r="LO262" s="920" t="e">
        <f>#VALUE!</f>
        <v>#VALUE!</v>
      </c>
      <c r="LR262" s="1013"/>
      <c r="LS262" s="1013"/>
      <c r="LT262" s="1013"/>
      <c r="LU262" s="1013"/>
      <c r="LV262" s="1013"/>
      <c r="LW262" s="1013"/>
      <c r="LX262" s="1013"/>
      <c r="LZ262" s="1013"/>
      <c r="MA262" s="1013"/>
      <c r="MB262" s="1013"/>
      <c r="MC262" s="1013"/>
      <c r="MD262" s="1013"/>
      <c r="ME262" s="1013"/>
      <c r="MF262" s="1013"/>
      <c r="MH262" s="1013"/>
      <c r="MI262" s="1013"/>
      <c r="MJ262" s="1013"/>
      <c r="MK262" s="1013"/>
      <c r="ML262" s="1013"/>
      <c r="MM262" s="1013"/>
      <c r="MN262" s="1013"/>
      <c r="MO262" s="1013"/>
      <c r="MP262" s="1013"/>
    </row>
    <row r="263" spans="1:354" outlineLevel="1">
      <c r="A263" s="884">
        <v>11100505</v>
      </c>
      <c r="C263" s="1028" t="s">
        <v>793</v>
      </c>
      <c r="D263" s="31"/>
      <c r="E263" s="1011"/>
      <c r="F263" s="1011"/>
      <c r="G263" s="1011"/>
      <c r="H263" s="1011"/>
      <c r="I263" s="1011"/>
      <c r="J263" s="1011"/>
      <c r="K263" s="1011"/>
      <c r="L263" s="1011"/>
      <c r="M263" s="1011"/>
      <c r="N263" s="1011"/>
      <c r="O263" s="1011"/>
      <c r="P263" s="1011"/>
      <c r="Q263" s="1011"/>
      <c r="R263" s="1011"/>
      <c r="S263" s="1011"/>
      <c r="T263" s="1011"/>
      <c r="U263" s="1011"/>
      <c r="V263" s="1011"/>
      <c r="W263" s="1011"/>
      <c r="X263" s="1011"/>
      <c r="Y263" s="1011"/>
      <c r="Z263" s="1011"/>
      <c r="AA263" s="1011"/>
      <c r="AB263" s="1011"/>
      <c r="AC263" s="1011"/>
      <c r="AD263" s="1011"/>
      <c r="AE263" s="1011"/>
      <c r="AF263" s="1011"/>
      <c r="AG263" s="1011"/>
      <c r="AH263" s="1011"/>
      <c r="AI263" s="1011"/>
      <c r="AJ263" s="1011"/>
      <c r="AK263" s="1011"/>
      <c r="AL263" s="1011"/>
      <c r="AM263" s="1011"/>
      <c r="AN263" s="1011"/>
      <c r="AO263" s="873">
        <v>98.663510000000002</v>
      </c>
      <c r="AP263" s="920">
        <v>98.663510000000002</v>
      </c>
      <c r="AQ263" s="1010">
        <v>32.649899470000001</v>
      </c>
      <c r="AR263" s="1010">
        <v>2.1919840399999999</v>
      </c>
      <c r="AS263" s="873">
        <v>2.0635222400000002</v>
      </c>
      <c r="AT263" s="873">
        <v>1.93506044</v>
      </c>
      <c r="AU263" s="873">
        <v>100.59856943999999</v>
      </c>
      <c r="AV263" s="873">
        <v>100.59856943999999</v>
      </c>
      <c r="AW263" s="873">
        <v>0.22303277999999999</v>
      </c>
      <c r="AX263" s="873">
        <v>1.4478000000000001E-4</v>
      </c>
      <c r="AY263" s="873">
        <v>1.4478000000000001E-4</v>
      </c>
      <c r="AZ263" s="873">
        <v>1.4478000000000001E-4</v>
      </c>
      <c r="BA263" s="873">
        <v>0</v>
      </c>
      <c r="BB263" s="873">
        <v>0</v>
      </c>
      <c r="BC263" s="873">
        <v>0</v>
      </c>
      <c r="BD263" s="873">
        <v>0</v>
      </c>
      <c r="BE263" s="920">
        <v>0</v>
      </c>
      <c r="BF263" s="920">
        <v>0</v>
      </c>
      <c r="BG263" s="920">
        <v>0</v>
      </c>
      <c r="BH263" s="920">
        <v>0</v>
      </c>
      <c r="BI263" s="920">
        <v>0</v>
      </c>
      <c r="BJ263" s="920">
        <v>0</v>
      </c>
      <c r="BK263" s="920">
        <v>0</v>
      </c>
      <c r="BL263" s="920">
        <v>0</v>
      </c>
      <c r="BM263" s="873">
        <v>0</v>
      </c>
      <c r="BN263" s="873">
        <v>0</v>
      </c>
      <c r="BO263" s="873">
        <v>0</v>
      </c>
      <c r="BP263" s="873">
        <v>0</v>
      </c>
      <c r="BQ263" s="873">
        <v>0</v>
      </c>
      <c r="BR263" s="920">
        <v>0</v>
      </c>
      <c r="BS263" s="920">
        <v>0</v>
      </c>
      <c r="BT263" s="920">
        <v>0</v>
      </c>
      <c r="BU263" s="920">
        <v>0</v>
      </c>
      <c r="BV263" s="920">
        <v>0</v>
      </c>
      <c r="BW263" s="920">
        <v>0</v>
      </c>
      <c r="BX263" s="920">
        <v>0</v>
      </c>
      <c r="BY263" s="873">
        <v>0</v>
      </c>
      <c r="BZ263" s="873">
        <v>0</v>
      </c>
      <c r="CA263" s="873">
        <v>0</v>
      </c>
      <c r="CB263" s="873">
        <v>0</v>
      </c>
      <c r="CC263" s="873">
        <v>0</v>
      </c>
      <c r="CD263" s="873">
        <v>0</v>
      </c>
      <c r="CE263" s="873">
        <v>0</v>
      </c>
      <c r="CF263" s="873">
        <v>0</v>
      </c>
      <c r="CG263" s="873">
        <v>0</v>
      </c>
      <c r="CH263" s="873">
        <v>0</v>
      </c>
      <c r="CI263" s="873">
        <v>0</v>
      </c>
      <c r="CJ263" s="873">
        <v>0</v>
      </c>
      <c r="CK263" s="873">
        <v>0</v>
      </c>
      <c r="CL263" s="873">
        <v>0</v>
      </c>
      <c r="CM263" s="873">
        <v>0</v>
      </c>
      <c r="CN263" s="873">
        <v>0</v>
      </c>
      <c r="CO263" s="873">
        <v>0</v>
      </c>
      <c r="CP263" s="873">
        <v>0</v>
      </c>
      <c r="CQ263" s="873">
        <v>0</v>
      </c>
      <c r="CR263" s="873">
        <v>0</v>
      </c>
      <c r="CS263" s="873">
        <v>0</v>
      </c>
      <c r="CT263" s="873">
        <v>0</v>
      </c>
      <c r="CU263" s="873">
        <v>0</v>
      </c>
      <c r="CV263" s="873">
        <v>0</v>
      </c>
      <c r="CW263" s="873">
        <v>0</v>
      </c>
      <c r="CX263" s="873">
        <v>0</v>
      </c>
      <c r="CY263" s="873">
        <v>0</v>
      </c>
      <c r="CZ263" s="873">
        <v>0</v>
      </c>
      <c r="DA263" s="873">
        <v>0</v>
      </c>
      <c r="DB263" s="873">
        <v>0</v>
      </c>
      <c r="DC263" s="873">
        <v>0</v>
      </c>
      <c r="DD263" s="873">
        <v>0</v>
      </c>
      <c r="DE263" s="873">
        <v>0</v>
      </c>
      <c r="DF263" s="873">
        <v>0</v>
      </c>
      <c r="DG263" s="873">
        <v>0</v>
      </c>
      <c r="DH263" s="873">
        <v>0</v>
      </c>
      <c r="DI263" s="873">
        <v>0</v>
      </c>
      <c r="DJ263" s="873">
        <v>0</v>
      </c>
      <c r="DK263" s="873">
        <v>0</v>
      </c>
      <c r="DL263" s="873">
        <v>0</v>
      </c>
      <c r="DM263" s="873">
        <v>0</v>
      </c>
      <c r="DN263" s="873">
        <v>0</v>
      </c>
      <c r="DO263" s="873">
        <v>0</v>
      </c>
      <c r="DP263" s="873">
        <v>0</v>
      </c>
      <c r="DQ263" s="873">
        <v>0</v>
      </c>
      <c r="DR263" s="873">
        <v>0</v>
      </c>
      <c r="DS263" s="873">
        <v>0</v>
      </c>
      <c r="DT263" s="873">
        <v>0</v>
      </c>
      <c r="DU263" s="873">
        <v>0</v>
      </c>
      <c r="DV263" s="873">
        <v>0</v>
      </c>
      <c r="DW263" s="873">
        <v>0</v>
      </c>
      <c r="DX263" s="873">
        <v>0</v>
      </c>
      <c r="DY263" s="873">
        <v>0</v>
      </c>
      <c r="DZ263" s="873">
        <v>0</v>
      </c>
      <c r="EA263" s="873">
        <v>0</v>
      </c>
      <c r="EB263" s="873">
        <v>0</v>
      </c>
      <c r="EC263" s="873">
        <v>0</v>
      </c>
      <c r="ED263" s="873">
        <v>0</v>
      </c>
      <c r="EE263" s="873">
        <v>0</v>
      </c>
      <c r="EF263" s="873">
        <v>0</v>
      </c>
      <c r="EH263" s="1013"/>
      <c r="EI263" s="1013"/>
      <c r="EJ263" s="1013"/>
      <c r="EK263" s="1013"/>
      <c r="EL263" s="1013"/>
      <c r="EM263" s="1013"/>
      <c r="EN263" s="1013"/>
      <c r="EO263" s="1013"/>
      <c r="EP263" s="1013"/>
      <c r="EQ263" s="1013"/>
      <c r="ER263" s="1013"/>
      <c r="ES263" s="1013"/>
      <c r="HD263" s="1013"/>
      <c r="HE263" s="1013"/>
      <c r="HF263" s="1013"/>
      <c r="HG263" s="1013"/>
      <c r="HH263" s="1013"/>
      <c r="HI263" s="1013"/>
      <c r="HJ263" s="1013"/>
      <c r="HK263" s="1013"/>
      <c r="HL263" s="1013"/>
      <c r="HM263" s="1013"/>
      <c r="HN263" s="1013"/>
      <c r="HO263" s="1013"/>
      <c r="HP263" s="1013"/>
      <c r="JA263" s="920"/>
      <c r="JB263" s="920"/>
      <c r="JC263" s="920"/>
      <c r="JD263" s="920"/>
      <c r="JE263" s="920"/>
      <c r="JF263" s="920"/>
      <c r="JG263" s="920"/>
      <c r="JH263" s="920"/>
      <c r="JI263" s="920"/>
      <c r="JJ263" s="920"/>
      <c r="JK263" s="920"/>
      <c r="JL263" s="920"/>
      <c r="JM263" s="920"/>
      <c r="JN263" s="920"/>
      <c r="JY263" s="1013"/>
      <c r="JZ263" s="1013"/>
      <c r="KA263" s="1013"/>
      <c r="KB263" s="1013"/>
      <c r="KC263" s="1013"/>
      <c r="KD263" s="1013"/>
      <c r="KE263" s="1013"/>
      <c r="KF263" s="1013"/>
      <c r="KH263" s="1013"/>
      <c r="KI263" s="1013"/>
      <c r="KJ263" s="1013"/>
      <c r="KK263" s="1013"/>
      <c r="KL263" s="1013"/>
      <c r="KM263" s="1013"/>
      <c r="KN263" s="1013"/>
      <c r="KO263" s="1013"/>
      <c r="LB263" s="920" t="e">
        <f>#VALUE!</f>
        <v>#VALUE!</v>
      </c>
      <c r="LC263" s="920" t="e">
        <f>#VALUE!</f>
        <v>#VALUE!</v>
      </c>
      <c r="LD263" s="920" t="e">
        <f>#VALUE!</f>
        <v>#VALUE!</v>
      </c>
      <c r="LE263" s="920" t="e">
        <f>#VALUE!</f>
        <v>#VALUE!</v>
      </c>
      <c r="LF263" s="920" t="e">
        <f>#VALUE!</f>
        <v>#VALUE!</v>
      </c>
      <c r="LG263" s="920"/>
      <c r="LH263" s="920"/>
      <c r="LI263" s="920"/>
      <c r="LJ263" s="920"/>
      <c r="LK263" s="920"/>
      <c r="LL263" s="920"/>
      <c r="LM263" s="920" t="e">
        <f>#VALUE!</f>
        <v>#VALUE!</v>
      </c>
      <c r="LN263" s="920" t="e">
        <f>#VALUE!</f>
        <v>#VALUE!</v>
      </c>
      <c r="LO263" s="920" t="e">
        <f>#VALUE!</f>
        <v>#VALUE!</v>
      </c>
      <c r="LR263" s="1013"/>
      <c r="LS263" s="1013"/>
      <c r="LT263" s="1013"/>
      <c r="LU263" s="1013"/>
      <c r="LV263" s="1013"/>
      <c r="LW263" s="1013"/>
      <c r="LX263" s="1013"/>
      <c r="LZ263" s="1013"/>
      <c r="MA263" s="1013"/>
      <c r="MB263" s="1013"/>
      <c r="MC263" s="1013"/>
      <c r="MD263" s="1013"/>
      <c r="ME263" s="1013"/>
      <c r="MF263" s="1013"/>
      <c r="MH263" s="1013"/>
      <c r="MI263" s="1013"/>
      <c r="MJ263" s="1013"/>
      <c r="MK263" s="1013"/>
      <c r="ML263" s="1013"/>
      <c r="MM263" s="1013"/>
      <c r="MN263" s="1013"/>
      <c r="MO263" s="1013"/>
      <c r="MP263" s="1013"/>
    </row>
    <row r="264" spans="1:354" outlineLevel="1">
      <c r="A264" s="884">
        <v>11100506</v>
      </c>
      <c r="C264" s="1028" t="s">
        <v>794</v>
      </c>
      <c r="D264" s="31"/>
      <c r="E264" s="1011"/>
      <c r="F264" s="1011"/>
      <c r="G264" s="1011"/>
      <c r="H264" s="1011"/>
      <c r="I264" s="1011"/>
      <c r="J264" s="1011"/>
      <c r="K264" s="1011"/>
      <c r="L264" s="1011"/>
      <c r="M264" s="1011"/>
      <c r="N264" s="1011"/>
      <c r="O264" s="1011"/>
      <c r="P264" s="1011"/>
      <c r="Q264" s="1011"/>
      <c r="R264" s="1011"/>
      <c r="S264" s="1011"/>
      <c r="T264" s="1011"/>
      <c r="U264" s="1011"/>
      <c r="V264" s="1011"/>
      <c r="W264" s="1011"/>
      <c r="X264" s="1011"/>
      <c r="Y264" s="1011"/>
      <c r="Z264" s="1011"/>
      <c r="AA264" s="1011"/>
      <c r="AB264" s="1011"/>
      <c r="AC264" s="1011"/>
      <c r="AD264" s="1011"/>
      <c r="AE264" s="1011"/>
      <c r="AF264" s="1011"/>
      <c r="AG264" s="1011"/>
      <c r="AH264" s="1011"/>
      <c r="AI264" s="1011"/>
      <c r="AJ264" s="1011"/>
      <c r="AK264" s="1011"/>
      <c r="AL264" s="1011"/>
      <c r="AM264" s="1011"/>
      <c r="AN264" s="1011"/>
      <c r="AO264" s="873">
        <v>0</v>
      </c>
      <c r="AP264" s="920">
        <v>3000</v>
      </c>
      <c r="AQ264" s="1010">
        <v>84.180257260000005</v>
      </c>
      <c r="AR264" s="1010">
        <v>0.72332088000000005</v>
      </c>
      <c r="AS264" s="873">
        <v>0.72332088000000005</v>
      </c>
      <c r="AT264" s="873">
        <v>4.7233208800000002</v>
      </c>
      <c r="AU264" s="873">
        <v>4.7233208800000002</v>
      </c>
      <c r="AV264" s="873">
        <v>2.91325506</v>
      </c>
      <c r="AW264" s="873">
        <v>1.7847590600000001</v>
      </c>
      <c r="AX264" s="873">
        <v>1.7847590600000001</v>
      </c>
      <c r="AY264" s="873">
        <v>1.7847590600000001</v>
      </c>
      <c r="AZ264" s="873">
        <v>1.7847590600000001</v>
      </c>
      <c r="BA264" s="873">
        <v>0</v>
      </c>
      <c r="BB264" s="873">
        <v>0</v>
      </c>
      <c r="BC264" s="873">
        <v>0</v>
      </c>
      <c r="BD264" s="873">
        <v>0</v>
      </c>
      <c r="BE264" s="920">
        <v>0</v>
      </c>
      <c r="BF264" s="920">
        <v>0</v>
      </c>
      <c r="BG264" s="920">
        <v>0</v>
      </c>
      <c r="BH264" s="920">
        <v>0</v>
      </c>
      <c r="BI264" s="920">
        <v>0</v>
      </c>
      <c r="BJ264" s="920">
        <v>0</v>
      </c>
      <c r="BK264" s="920">
        <v>0</v>
      </c>
      <c r="BL264" s="920">
        <v>0</v>
      </c>
      <c r="BM264" s="873">
        <v>0</v>
      </c>
      <c r="BN264" s="873">
        <v>0</v>
      </c>
      <c r="BO264" s="873">
        <v>0</v>
      </c>
      <c r="BP264" s="873">
        <v>0</v>
      </c>
      <c r="BQ264" s="873">
        <v>0</v>
      </c>
      <c r="BR264" s="920">
        <v>0</v>
      </c>
      <c r="BS264" s="920">
        <v>0</v>
      </c>
      <c r="BT264" s="920">
        <v>0</v>
      </c>
      <c r="BU264" s="920">
        <v>0</v>
      </c>
      <c r="BV264" s="920">
        <v>0</v>
      </c>
      <c r="BW264" s="920">
        <v>0</v>
      </c>
      <c r="BX264" s="920">
        <v>0</v>
      </c>
      <c r="BY264" s="873">
        <v>0</v>
      </c>
      <c r="BZ264" s="873">
        <v>0</v>
      </c>
      <c r="CA264" s="873">
        <v>0</v>
      </c>
      <c r="CB264" s="873">
        <v>0</v>
      </c>
      <c r="CC264" s="873">
        <v>0</v>
      </c>
      <c r="CD264" s="873">
        <v>0</v>
      </c>
      <c r="CE264" s="873">
        <v>0</v>
      </c>
      <c r="CF264" s="873">
        <v>0</v>
      </c>
      <c r="CG264" s="873">
        <v>0</v>
      </c>
      <c r="CH264" s="873">
        <v>0</v>
      </c>
      <c r="CI264" s="873">
        <v>0</v>
      </c>
      <c r="CJ264" s="873">
        <v>0</v>
      </c>
      <c r="CK264" s="873">
        <v>0</v>
      </c>
      <c r="CL264" s="873">
        <v>0</v>
      </c>
      <c r="CM264" s="873">
        <v>0</v>
      </c>
      <c r="CN264" s="873">
        <v>0</v>
      </c>
      <c r="CO264" s="873">
        <v>0</v>
      </c>
      <c r="CP264" s="873">
        <v>0</v>
      </c>
      <c r="CQ264" s="873">
        <v>0</v>
      </c>
      <c r="CR264" s="873">
        <v>0</v>
      </c>
      <c r="CS264" s="873">
        <v>0</v>
      </c>
      <c r="CT264" s="873">
        <v>0</v>
      </c>
      <c r="CU264" s="873">
        <v>0</v>
      </c>
      <c r="CV264" s="873">
        <v>0</v>
      </c>
      <c r="CW264" s="873">
        <v>0</v>
      </c>
      <c r="CX264" s="873">
        <v>0</v>
      </c>
      <c r="CY264" s="873">
        <v>0</v>
      </c>
      <c r="CZ264" s="873">
        <v>0</v>
      </c>
      <c r="DA264" s="873">
        <v>0</v>
      </c>
      <c r="DB264" s="873">
        <v>0</v>
      </c>
      <c r="DC264" s="873">
        <v>0</v>
      </c>
      <c r="DD264" s="873">
        <v>0</v>
      </c>
      <c r="DE264" s="873">
        <v>0</v>
      </c>
      <c r="DF264" s="873">
        <v>0</v>
      </c>
      <c r="DG264" s="873">
        <v>0</v>
      </c>
      <c r="DH264" s="873">
        <v>0</v>
      </c>
      <c r="DI264" s="873">
        <v>0</v>
      </c>
      <c r="DJ264" s="873">
        <v>0</v>
      </c>
      <c r="DK264" s="873">
        <v>0</v>
      </c>
      <c r="DL264" s="873">
        <v>0</v>
      </c>
      <c r="DM264" s="873">
        <v>0</v>
      </c>
      <c r="DN264" s="873">
        <v>0</v>
      </c>
      <c r="DO264" s="873">
        <v>0</v>
      </c>
      <c r="DP264" s="873">
        <v>0</v>
      </c>
      <c r="DQ264" s="873">
        <v>0</v>
      </c>
      <c r="DR264" s="873">
        <v>0</v>
      </c>
      <c r="DS264" s="873">
        <v>0</v>
      </c>
      <c r="DT264" s="873">
        <v>0</v>
      </c>
      <c r="DU264" s="873">
        <v>0</v>
      </c>
      <c r="DV264" s="873">
        <v>0</v>
      </c>
      <c r="DW264" s="873">
        <v>0</v>
      </c>
      <c r="DX264" s="873">
        <v>0</v>
      </c>
      <c r="DY264" s="873">
        <v>0</v>
      </c>
      <c r="DZ264" s="873">
        <v>0</v>
      </c>
      <c r="EA264" s="873">
        <v>0</v>
      </c>
      <c r="EB264" s="873">
        <v>0</v>
      </c>
      <c r="EC264" s="873">
        <v>0</v>
      </c>
      <c r="ED264" s="873">
        <v>0</v>
      </c>
      <c r="EE264" s="873">
        <v>0</v>
      </c>
      <c r="EF264" s="873">
        <v>0</v>
      </c>
      <c r="EH264" s="1013"/>
      <c r="EI264" s="1013"/>
      <c r="EJ264" s="1013"/>
      <c r="EK264" s="1013"/>
      <c r="EL264" s="1013"/>
      <c r="EM264" s="1013"/>
      <c r="EN264" s="1013"/>
      <c r="EO264" s="1013"/>
      <c r="EP264" s="1013"/>
      <c r="EQ264" s="1013"/>
      <c r="ER264" s="1013"/>
      <c r="ES264" s="1013"/>
      <c r="HD264" s="1013"/>
      <c r="HE264" s="1013"/>
      <c r="HF264" s="1013"/>
      <c r="HG264" s="1013"/>
      <c r="HH264" s="1013"/>
      <c r="HI264" s="1013"/>
      <c r="HJ264" s="1013"/>
      <c r="HK264" s="1013"/>
      <c r="HL264" s="1013"/>
      <c r="HM264" s="1013"/>
      <c r="HN264" s="1013"/>
      <c r="HO264" s="1013"/>
      <c r="HP264" s="1013"/>
      <c r="JA264" s="920"/>
      <c r="JB264" s="920"/>
      <c r="JC264" s="920"/>
      <c r="JD264" s="920"/>
      <c r="JE264" s="920"/>
      <c r="JF264" s="920"/>
      <c r="JG264" s="920"/>
      <c r="JH264" s="920"/>
      <c r="JI264" s="920"/>
      <c r="JJ264" s="920"/>
      <c r="JK264" s="920"/>
      <c r="JL264" s="920"/>
      <c r="JM264" s="920"/>
      <c r="JN264" s="920"/>
      <c r="JY264" s="1013"/>
      <c r="JZ264" s="1013"/>
      <c r="KA264" s="1013"/>
      <c r="KB264" s="1013"/>
      <c r="KC264" s="1013"/>
      <c r="KD264" s="1013"/>
      <c r="KE264" s="1013"/>
      <c r="KF264" s="1013"/>
      <c r="KH264" s="1013"/>
      <c r="KI264" s="1013"/>
      <c r="KJ264" s="1013"/>
      <c r="KK264" s="1013"/>
      <c r="KL264" s="1013"/>
      <c r="KM264" s="1013"/>
      <c r="KN264" s="1013"/>
      <c r="KO264" s="1013"/>
      <c r="LB264" s="920" t="e">
        <f>#VALUE!</f>
        <v>#VALUE!</v>
      </c>
      <c r="LC264" s="920" t="e">
        <f>#VALUE!</f>
        <v>#VALUE!</v>
      </c>
      <c r="LD264" s="920" t="e">
        <f>#VALUE!</f>
        <v>#VALUE!</v>
      </c>
      <c r="LE264" s="920" t="e">
        <f>#VALUE!</f>
        <v>#VALUE!</v>
      </c>
      <c r="LF264" s="920" t="e">
        <f>#VALUE!</f>
        <v>#VALUE!</v>
      </c>
      <c r="LG264" s="920"/>
      <c r="LH264" s="920"/>
      <c r="LI264" s="920"/>
      <c r="LJ264" s="920"/>
      <c r="LK264" s="920"/>
      <c r="LL264" s="920"/>
      <c r="LM264" s="920" t="e">
        <f>#VALUE!</f>
        <v>#VALUE!</v>
      </c>
      <c r="LN264" s="920" t="e">
        <f>#VALUE!</f>
        <v>#VALUE!</v>
      </c>
      <c r="LO264" s="920" t="e">
        <f>#VALUE!</f>
        <v>#VALUE!</v>
      </c>
      <c r="LR264" s="1013"/>
      <c r="LS264" s="1013"/>
      <c r="LT264" s="1013"/>
      <c r="LU264" s="1013"/>
      <c r="LV264" s="1013"/>
      <c r="LW264" s="1013"/>
      <c r="LX264" s="1013"/>
      <c r="LZ264" s="1013"/>
      <c r="MA264" s="1013"/>
      <c r="MB264" s="1013"/>
      <c r="MC264" s="1013"/>
      <c r="MD264" s="1013"/>
      <c r="ME264" s="1013"/>
      <c r="MF264" s="1013"/>
      <c r="MH264" s="1013"/>
      <c r="MI264" s="1013"/>
      <c r="MJ264" s="1013"/>
      <c r="MK264" s="1013"/>
      <c r="ML264" s="1013"/>
      <c r="MM264" s="1013"/>
      <c r="MN264" s="1013"/>
      <c r="MO264" s="1013"/>
      <c r="MP264" s="1013"/>
    </row>
    <row r="265" spans="1:354" outlineLevel="1">
      <c r="A265" s="884">
        <v>11101001</v>
      </c>
      <c r="C265" s="1028" t="s">
        <v>795</v>
      </c>
      <c r="D265" s="31"/>
      <c r="E265" s="1011"/>
      <c r="F265" s="1011"/>
      <c r="G265" s="1011"/>
      <c r="H265" s="1011"/>
      <c r="I265" s="1011"/>
      <c r="J265" s="1011"/>
      <c r="K265" s="1011"/>
      <c r="L265" s="1011"/>
      <c r="M265" s="1011"/>
      <c r="N265" s="1011"/>
      <c r="O265" s="1011"/>
      <c r="P265" s="1011"/>
      <c r="Q265" s="1011"/>
      <c r="R265" s="1011"/>
      <c r="S265" s="1011"/>
      <c r="T265" s="1011"/>
      <c r="U265" s="1011"/>
      <c r="V265" s="1011"/>
      <c r="W265" s="1011"/>
      <c r="X265" s="1011"/>
      <c r="Y265" s="1011"/>
      <c r="Z265" s="1011"/>
      <c r="AA265" s="1011"/>
      <c r="AB265" s="1011"/>
      <c r="AC265" s="1011"/>
      <c r="AD265" s="1011"/>
      <c r="AE265" s="1011"/>
      <c r="AF265" s="1011"/>
      <c r="AG265" s="1011"/>
      <c r="AH265" s="1011"/>
      <c r="AI265" s="1011"/>
      <c r="AJ265" s="1011"/>
      <c r="AK265" s="1011"/>
      <c r="AL265" s="1011"/>
      <c r="AM265" s="1011"/>
      <c r="AN265" s="1011"/>
      <c r="AO265" s="873">
        <v>1396.72382083</v>
      </c>
      <c r="AP265" s="920">
        <v>1428.9764384</v>
      </c>
      <c r="AQ265" s="1010">
        <v>1536.8641655399999</v>
      </c>
      <c r="AR265" s="1010">
        <v>332.65327144000003</v>
      </c>
      <c r="AS265" s="873">
        <v>5.7042960899999997</v>
      </c>
      <c r="AT265" s="873">
        <v>56.199748530000001</v>
      </c>
      <c r="AU265" s="873">
        <v>179.07060909999998</v>
      </c>
      <c r="AV265" s="873">
        <v>7.55462072</v>
      </c>
      <c r="AW265" s="873">
        <v>7.5446987400000003</v>
      </c>
      <c r="AX265" s="873">
        <v>7.0047505800000005</v>
      </c>
      <c r="AY265" s="873">
        <v>7.4667665599999999</v>
      </c>
      <c r="AZ265" s="873">
        <v>138.68625005999999</v>
      </c>
      <c r="BA265" s="873">
        <v>0</v>
      </c>
      <c r="BB265" s="873">
        <v>0</v>
      </c>
      <c r="BC265" s="873">
        <v>0</v>
      </c>
      <c r="BD265" s="873">
        <v>0</v>
      </c>
      <c r="BE265" s="920">
        <v>0</v>
      </c>
      <c r="BF265" s="920">
        <v>0</v>
      </c>
      <c r="BG265" s="920">
        <v>0</v>
      </c>
      <c r="BH265" s="920">
        <v>0</v>
      </c>
      <c r="BI265" s="920">
        <v>0</v>
      </c>
      <c r="BJ265" s="920">
        <v>71.377307069999986</v>
      </c>
      <c r="BK265" s="920">
        <v>0</v>
      </c>
      <c r="BL265" s="920">
        <v>-0.51056800000000002</v>
      </c>
      <c r="BM265" s="873">
        <v>0.51056800000000002</v>
      </c>
      <c r="BN265" s="873">
        <v>0.51056800000000002</v>
      </c>
      <c r="BO265" s="873">
        <v>0</v>
      </c>
      <c r="BP265" s="873">
        <v>0</v>
      </c>
      <c r="BQ265" s="873">
        <v>0</v>
      </c>
      <c r="BR265" s="920">
        <v>0</v>
      </c>
      <c r="BS265" s="920">
        <v>0</v>
      </c>
      <c r="BT265" s="920">
        <v>0</v>
      </c>
      <c r="BU265" s="920">
        <v>0</v>
      </c>
      <c r="BV265" s="920">
        <v>0</v>
      </c>
      <c r="BW265" s="920">
        <v>-8.0000000000000002E-8</v>
      </c>
      <c r="BX265" s="920">
        <v>-8.0000000000000002E-8</v>
      </c>
      <c r="BY265" s="873">
        <v>0</v>
      </c>
      <c r="BZ265" s="873">
        <v>0</v>
      </c>
      <c r="CA265" s="873">
        <v>0</v>
      </c>
      <c r="CB265" s="873">
        <v>0</v>
      </c>
      <c r="CC265" s="873">
        <v>0</v>
      </c>
      <c r="CD265" s="873">
        <v>0</v>
      </c>
      <c r="CE265" s="873">
        <v>0</v>
      </c>
      <c r="CF265" s="873">
        <v>0</v>
      </c>
      <c r="CG265" s="873">
        <v>0</v>
      </c>
      <c r="CH265" s="873">
        <v>0</v>
      </c>
      <c r="CI265" s="873">
        <v>0</v>
      </c>
      <c r="CJ265" s="873">
        <v>0</v>
      </c>
      <c r="CK265" s="873">
        <v>0</v>
      </c>
      <c r="CL265" s="873">
        <v>0</v>
      </c>
      <c r="CM265" s="873">
        <v>0</v>
      </c>
      <c r="CN265" s="873">
        <v>0</v>
      </c>
      <c r="CO265" s="873">
        <v>0</v>
      </c>
      <c r="CP265" s="873">
        <v>0</v>
      </c>
      <c r="CQ265" s="873">
        <v>0</v>
      </c>
      <c r="CR265" s="873">
        <v>0</v>
      </c>
      <c r="CS265" s="873">
        <v>0</v>
      </c>
      <c r="CT265" s="873">
        <v>0</v>
      </c>
      <c r="CU265" s="873">
        <v>0</v>
      </c>
      <c r="CV265" s="873">
        <v>0</v>
      </c>
      <c r="CW265" s="873">
        <v>0</v>
      </c>
      <c r="CX265" s="873">
        <v>0</v>
      </c>
      <c r="CY265" s="873">
        <v>0</v>
      </c>
      <c r="CZ265" s="873">
        <v>0</v>
      </c>
      <c r="DA265" s="873">
        <v>0</v>
      </c>
      <c r="DB265" s="873">
        <v>0</v>
      </c>
      <c r="DC265" s="873">
        <v>0</v>
      </c>
      <c r="DD265" s="873">
        <v>0</v>
      </c>
      <c r="DE265" s="873">
        <v>0</v>
      </c>
      <c r="DF265" s="873">
        <v>0</v>
      </c>
      <c r="DG265" s="873">
        <v>0</v>
      </c>
      <c r="DH265" s="873">
        <v>0</v>
      </c>
      <c r="DI265" s="873">
        <v>0</v>
      </c>
      <c r="DJ265" s="873">
        <v>0</v>
      </c>
      <c r="DK265" s="873">
        <v>0</v>
      </c>
      <c r="DL265" s="873">
        <v>0</v>
      </c>
      <c r="DM265" s="873">
        <v>0</v>
      </c>
      <c r="DN265" s="873">
        <v>0</v>
      </c>
      <c r="DO265" s="873">
        <v>0</v>
      </c>
      <c r="DP265" s="873">
        <v>0</v>
      </c>
      <c r="DQ265" s="873">
        <v>0</v>
      </c>
      <c r="DR265" s="873">
        <v>0</v>
      </c>
      <c r="DS265" s="873">
        <v>0</v>
      </c>
      <c r="DT265" s="873">
        <v>0</v>
      </c>
      <c r="DU265" s="873">
        <v>0</v>
      </c>
      <c r="DV265" s="873">
        <v>0</v>
      </c>
      <c r="DW265" s="873">
        <v>0</v>
      </c>
      <c r="DX265" s="873">
        <v>0</v>
      </c>
      <c r="DY265" s="873">
        <v>0</v>
      </c>
      <c r="DZ265" s="873">
        <v>0</v>
      </c>
      <c r="EA265" s="873">
        <v>0</v>
      </c>
      <c r="EB265" s="873">
        <v>0</v>
      </c>
      <c r="EC265" s="873">
        <v>0</v>
      </c>
      <c r="ED265" s="873">
        <v>0</v>
      </c>
      <c r="EE265" s="873">
        <v>0</v>
      </c>
      <c r="EF265" s="873">
        <v>0</v>
      </c>
      <c r="EH265" s="1013"/>
      <c r="EI265" s="1013"/>
      <c r="EJ265" s="1013"/>
      <c r="EK265" s="1013"/>
      <c r="EL265" s="1013"/>
      <c r="EM265" s="1013"/>
      <c r="EN265" s="1013"/>
      <c r="EO265" s="1013"/>
      <c r="EP265" s="1013"/>
      <c r="EQ265" s="1013"/>
      <c r="ER265" s="1013"/>
      <c r="ES265" s="1013"/>
      <c r="HD265" s="1013"/>
      <c r="HE265" s="1013"/>
      <c r="HF265" s="1013"/>
      <c r="HG265" s="1013"/>
      <c r="HH265" s="1013"/>
      <c r="HI265" s="1013"/>
      <c r="HJ265" s="1013"/>
      <c r="HK265" s="1013"/>
      <c r="HL265" s="1013"/>
      <c r="HM265" s="1013"/>
      <c r="HN265" s="1013"/>
      <c r="HO265" s="1013"/>
      <c r="HP265" s="1013"/>
      <c r="JA265" s="920"/>
      <c r="JB265" s="920"/>
      <c r="JC265" s="920"/>
      <c r="JD265" s="920"/>
      <c r="JE265" s="920"/>
      <c r="JF265" s="920"/>
      <c r="JG265" s="920"/>
      <c r="JH265" s="920"/>
      <c r="JI265" s="920"/>
      <c r="JJ265" s="920"/>
      <c r="JK265" s="920"/>
      <c r="JL265" s="920"/>
      <c r="JM265" s="920"/>
      <c r="JN265" s="920"/>
      <c r="JY265" s="1013"/>
      <c r="JZ265" s="1013"/>
      <c r="KA265" s="1013"/>
      <c r="KB265" s="1013"/>
      <c r="KC265" s="1013"/>
      <c r="KD265" s="1013"/>
      <c r="KE265" s="1013"/>
      <c r="KF265" s="1013"/>
      <c r="KH265" s="1013"/>
      <c r="KI265" s="1013"/>
      <c r="KJ265" s="1013"/>
      <c r="KK265" s="1013"/>
      <c r="KL265" s="1013"/>
      <c r="KM265" s="1013"/>
      <c r="KN265" s="1013"/>
      <c r="KO265" s="1013"/>
      <c r="LB265" s="920" t="e">
        <f>#VALUE!</f>
        <v>#VALUE!</v>
      </c>
      <c r="LC265" s="920" t="e">
        <f>#VALUE!</f>
        <v>#VALUE!</v>
      </c>
      <c r="LD265" s="920" t="e">
        <f>#VALUE!</f>
        <v>#VALUE!</v>
      </c>
      <c r="LE265" s="920" t="e">
        <f>#VALUE!</f>
        <v>#VALUE!</v>
      </c>
      <c r="LF265" s="920" t="e">
        <f>#VALUE!</f>
        <v>#VALUE!</v>
      </c>
      <c r="LG265" s="920"/>
      <c r="LH265" s="920"/>
      <c r="LI265" s="920"/>
      <c r="LJ265" s="920"/>
      <c r="LK265" s="920"/>
      <c r="LL265" s="920"/>
      <c r="LM265" s="920" t="e">
        <f>#VALUE!</f>
        <v>#VALUE!</v>
      </c>
      <c r="LN265" s="920" t="e">
        <f>#VALUE!</f>
        <v>#VALUE!</v>
      </c>
      <c r="LO265" s="920" t="e">
        <f>#VALUE!</f>
        <v>#VALUE!</v>
      </c>
      <c r="LR265" s="1013"/>
      <c r="LS265" s="1013"/>
      <c r="LT265" s="1013"/>
      <c r="LU265" s="1013"/>
      <c r="LV265" s="1013"/>
      <c r="LW265" s="1013"/>
      <c r="LX265" s="1013"/>
      <c r="LZ265" s="1013"/>
      <c r="MA265" s="1013"/>
      <c r="MB265" s="1013"/>
      <c r="MC265" s="1013"/>
      <c r="MD265" s="1013"/>
      <c r="ME265" s="1013"/>
      <c r="MF265" s="1013"/>
      <c r="MH265" s="1013"/>
      <c r="MI265" s="1013"/>
      <c r="MJ265" s="1013"/>
      <c r="MK265" s="1013"/>
      <c r="ML265" s="1013"/>
      <c r="MM265" s="1013"/>
      <c r="MN265" s="1013"/>
      <c r="MO265" s="1013"/>
      <c r="MP265" s="1013"/>
    </row>
    <row r="266" spans="1:354" outlineLevel="1">
      <c r="A266" s="884">
        <v>11200501</v>
      </c>
      <c r="C266" s="1028" t="s">
        <v>796</v>
      </c>
      <c r="D266" s="31"/>
      <c r="E266" s="1011"/>
      <c r="F266" s="1011"/>
      <c r="G266" s="1011"/>
      <c r="H266" s="1011"/>
      <c r="I266" s="1011"/>
      <c r="J266" s="1011"/>
      <c r="K266" s="1011"/>
      <c r="L266" s="1011"/>
      <c r="M266" s="1011"/>
      <c r="N266" s="1011"/>
      <c r="O266" s="1011"/>
      <c r="P266" s="1011"/>
      <c r="Q266" s="1011"/>
      <c r="R266" s="1011"/>
      <c r="S266" s="1011"/>
      <c r="T266" s="1011"/>
      <c r="U266" s="1011"/>
      <c r="V266" s="1011"/>
      <c r="W266" s="1011"/>
      <c r="X266" s="1011"/>
      <c r="Y266" s="1011"/>
      <c r="Z266" s="1011"/>
      <c r="AA266" s="1011"/>
      <c r="AB266" s="1011"/>
      <c r="AC266" s="1011"/>
      <c r="AD266" s="1011"/>
      <c r="AE266" s="1011"/>
      <c r="AF266" s="1011"/>
      <c r="AG266" s="1011"/>
      <c r="AH266" s="1011"/>
      <c r="AI266" s="1011"/>
      <c r="AJ266" s="1011"/>
      <c r="AK266" s="1011"/>
      <c r="AL266" s="1011"/>
      <c r="AM266" s="1011"/>
      <c r="AN266" s="1011"/>
      <c r="AO266" s="873">
        <v>5.83846928</v>
      </c>
      <c r="AP266" s="920">
        <v>3.2321534000000001</v>
      </c>
      <c r="AQ266" s="1010">
        <v>0.11227192</v>
      </c>
      <c r="AR266" s="1010">
        <v>0.11260792</v>
      </c>
      <c r="AS266" s="873">
        <v>1438.6221091800001</v>
      </c>
      <c r="AT266" s="873">
        <v>47.928197259999997</v>
      </c>
      <c r="AU266" s="873">
        <v>322.62002364</v>
      </c>
      <c r="AV266" s="873">
        <v>365.78328799000002</v>
      </c>
      <c r="AW266" s="873">
        <v>11.83455459</v>
      </c>
      <c r="AX266" s="873">
        <v>1245.9517702400001</v>
      </c>
      <c r="AY266" s="873">
        <v>1258.4191226500002</v>
      </c>
      <c r="AZ266" s="873">
        <v>135.12235095</v>
      </c>
      <c r="BA266" s="873">
        <v>0</v>
      </c>
      <c r="BB266" s="873">
        <v>0</v>
      </c>
      <c r="BC266" s="873">
        <v>0</v>
      </c>
      <c r="BD266" s="873">
        <v>0</v>
      </c>
      <c r="BE266" s="920">
        <v>0</v>
      </c>
      <c r="BF266" s="920">
        <v>0</v>
      </c>
      <c r="BG266" s="920">
        <v>0</v>
      </c>
      <c r="BH266" s="920">
        <v>0</v>
      </c>
      <c r="BI266" s="920">
        <v>2.04E-6</v>
      </c>
      <c r="BJ266" s="920">
        <v>0.83994499</v>
      </c>
      <c r="BK266" s="920">
        <v>0</v>
      </c>
      <c r="BL266" s="920">
        <v>0</v>
      </c>
      <c r="BM266" s="873">
        <v>0</v>
      </c>
      <c r="BN266" s="873">
        <v>0</v>
      </c>
      <c r="BO266" s="873">
        <v>0</v>
      </c>
      <c r="BP266" s="873">
        <v>2.9999999999999999E-7</v>
      </c>
      <c r="BQ266" s="873">
        <v>1.3E-6</v>
      </c>
      <c r="BR266" s="920">
        <v>0</v>
      </c>
      <c r="BS266" s="920">
        <v>0</v>
      </c>
      <c r="BT266" s="920">
        <v>0</v>
      </c>
      <c r="BU266" s="920">
        <v>0</v>
      </c>
      <c r="BV266" s="920">
        <v>0</v>
      </c>
      <c r="BW266" s="920">
        <v>0</v>
      </c>
      <c r="BX266" s="920">
        <v>0</v>
      </c>
      <c r="BY266" s="873">
        <v>0</v>
      </c>
      <c r="BZ266" s="873">
        <v>0</v>
      </c>
      <c r="CA266" s="873">
        <v>0</v>
      </c>
      <c r="CB266" s="873">
        <v>0</v>
      </c>
      <c r="CC266" s="873">
        <v>0</v>
      </c>
      <c r="CD266" s="873">
        <v>0</v>
      </c>
      <c r="CE266" s="873">
        <v>0</v>
      </c>
      <c r="CF266" s="873">
        <v>0</v>
      </c>
      <c r="CG266" s="873">
        <v>0</v>
      </c>
      <c r="CH266" s="873">
        <v>0</v>
      </c>
      <c r="CI266" s="873">
        <v>0</v>
      </c>
      <c r="CJ266" s="873">
        <v>0</v>
      </c>
      <c r="CK266" s="873">
        <v>0</v>
      </c>
      <c r="CL266" s="873">
        <v>0</v>
      </c>
      <c r="CM266" s="873">
        <v>0</v>
      </c>
      <c r="CN266" s="873">
        <v>0</v>
      </c>
      <c r="CO266" s="873">
        <v>0</v>
      </c>
      <c r="CP266" s="873">
        <v>0</v>
      </c>
      <c r="CQ266" s="873">
        <v>0</v>
      </c>
      <c r="CR266" s="873">
        <v>1.44195E-3</v>
      </c>
      <c r="CS266" s="873">
        <v>0</v>
      </c>
      <c r="CT266" s="873">
        <v>0</v>
      </c>
      <c r="CU266" s="873">
        <v>0</v>
      </c>
      <c r="CV266" s="873">
        <v>0</v>
      </c>
      <c r="CW266" s="873">
        <v>0</v>
      </c>
      <c r="CX266" s="873">
        <v>0</v>
      </c>
      <c r="CY266" s="873">
        <v>0</v>
      </c>
      <c r="CZ266" s="873">
        <v>0</v>
      </c>
      <c r="DA266" s="873">
        <v>0</v>
      </c>
      <c r="DB266" s="873">
        <v>0</v>
      </c>
      <c r="DC266" s="873">
        <v>0</v>
      </c>
      <c r="DD266" s="873">
        <v>0</v>
      </c>
      <c r="DE266" s="873">
        <v>0</v>
      </c>
      <c r="DF266" s="873">
        <v>0</v>
      </c>
      <c r="DG266" s="873">
        <v>0</v>
      </c>
      <c r="DH266" s="873">
        <v>0</v>
      </c>
      <c r="DI266" s="873">
        <v>0</v>
      </c>
      <c r="DJ266" s="873">
        <v>0</v>
      </c>
      <c r="DK266" s="873">
        <v>0</v>
      </c>
      <c r="DL266" s="873">
        <v>0</v>
      </c>
      <c r="DM266" s="873">
        <v>0</v>
      </c>
      <c r="DN266" s="873">
        <v>0</v>
      </c>
      <c r="DO266" s="873">
        <v>0</v>
      </c>
      <c r="DP266" s="873">
        <v>0</v>
      </c>
      <c r="DQ266" s="873">
        <v>0</v>
      </c>
      <c r="DR266" s="873">
        <v>0</v>
      </c>
      <c r="DS266" s="873">
        <v>0</v>
      </c>
      <c r="DT266" s="873">
        <v>0</v>
      </c>
      <c r="DU266" s="873">
        <v>0</v>
      </c>
      <c r="DV266" s="873">
        <v>0</v>
      </c>
      <c r="DW266" s="873">
        <v>0</v>
      </c>
      <c r="DX266" s="873">
        <v>0</v>
      </c>
      <c r="DY266" s="873">
        <v>0</v>
      </c>
      <c r="DZ266" s="873">
        <v>0</v>
      </c>
      <c r="EA266" s="873">
        <v>0</v>
      </c>
      <c r="EB266" s="873">
        <v>0</v>
      </c>
      <c r="EC266" s="873">
        <v>0</v>
      </c>
      <c r="ED266" s="873">
        <v>0</v>
      </c>
      <c r="EE266" s="873">
        <v>0</v>
      </c>
      <c r="EF266" s="873">
        <v>0</v>
      </c>
      <c r="EH266" s="1013"/>
      <c r="EI266" s="1013"/>
      <c r="EJ266" s="1013"/>
      <c r="EK266" s="1013"/>
      <c r="EL266" s="1013"/>
      <c r="EM266" s="1013"/>
      <c r="EN266" s="1013"/>
      <c r="EO266" s="1013"/>
      <c r="EP266" s="1013"/>
      <c r="EQ266" s="1013"/>
      <c r="ER266" s="1013"/>
      <c r="ES266" s="1013"/>
      <c r="HD266" s="1013"/>
      <c r="HE266" s="1013"/>
      <c r="HF266" s="1013"/>
      <c r="HG266" s="1013"/>
      <c r="HH266" s="1013"/>
      <c r="HI266" s="1013"/>
      <c r="HJ266" s="1013"/>
      <c r="HK266" s="1013"/>
      <c r="HL266" s="1013"/>
      <c r="HM266" s="1013"/>
      <c r="HN266" s="1013"/>
      <c r="HO266" s="1013"/>
      <c r="HP266" s="1013"/>
      <c r="JA266" s="920"/>
      <c r="JB266" s="920"/>
      <c r="JC266" s="920"/>
      <c r="JD266" s="920"/>
      <c r="JE266" s="920"/>
      <c r="JF266" s="920"/>
      <c r="JG266" s="920"/>
      <c r="JH266" s="920"/>
      <c r="JI266" s="920"/>
      <c r="JJ266" s="920"/>
      <c r="JK266" s="920"/>
      <c r="JL266" s="920"/>
      <c r="JM266" s="920"/>
      <c r="JN266" s="920"/>
      <c r="JY266" s="1013"/>
      <c r="JZ266" s="1013"/>
      <c r="KA266" s="1013"/>
      <c r="KB266" s="1013"/>
      <c r="KC266" s="1013"/>
      <c r="KD266" s="1013"/>
      <c r="KE266" s="1013"/>
      <c r="KF266" s="1013"/>
      <c r="KH266" s="1013"/>
      <c r="KI266" s="1013"/>
      <c r="KJ266" s="1013"/>
      <c r="KK266" s="1013"/>
      <c r="KL266" s="1013"/>
      <c r="KM266" s="1013"/>
      <c r="KN266" s="1013"/>
      <c r="KO266" s="1013"/>
      <c r="LB266" s="920" t="e">
        <f>#VALUE!</f>
        <v>#VALUE!</v>
      </c>
      <c r="LC266" s="920" t="e">
        <f>#VALUE!</f>
        <v>#VALUE!</v>
      </c>
      <c r="LD266" s="920" t="e">
        <f>#VALUE!</f>
        <v>#VALUE!</v>
      </c>
      <c r="LE266" s="920" t="e">
        <f>#VALUE!</f>
        <v>#VALUE!</v>
      </c>
      <c r="LF266" s="920" t="e">
        <f>#VALUE!</f>
        <v>#VALUE!</v>
      </c>
      <c r="LG266" s="920"/>
      <c r="LH266" s="920"/>
      <c r="LI266" s="920"/>
      <c r="LJ266" s="920"/>
      <c r="LK266" s="920"/>
      <c r="LL266" s="920"/>
      <c r="LM266" s="920" t="e">
        <f>#VALUE!</f>
        <v>#VALUE!</v>
      </c>
      <c r="LN266" s="920" t="e">
        <f>#VALUE!</f>
        <v>#VALUE!</v>
      </c>
      <c r="LO266" s="920" t="e">
        <f>#VALUE!</f>
        <v>#VALUE!</v>
      </c>
      <c r="LR266" s="1013"/>
      <c r="LS266" s="1013"/>
      <c r="LT266" s="1013"/>
      <c r="LU266" s="1013"/>
      <c r="LV266" s="1013"/>
      <c r="LW266" s="1013"/>
      <c r="LX266" s="1013"/>
      <c r="LZ266" s="1013"/>
      <c r="MA266" s="1013"/>
      <c r="MB266" s="1013"/>
      <c r="MC266" s="1013"/>
      <c r="MD266" s="1013"/>
      <c r="ME266" s="1013"/>
      <c r="MF266" s="1013"/>
      <c r="MH266" s="1013"/>
      <c r="MI266" s="1013"/>
      <c r="MJ266" s="1013"/>
      <c r="MK266" s="1013"/>
      <c r="ML266" s="1013"/>
      <c r="MM266" s="1013"/>
      <c r="MN266" s="1013"/>
      <c r="MO266" s="1013"/>
      <c r="MP266" s="1013"/>
    </row>
    <row r="267" spans="1:354" outlineLevel="1">
      <c r="A267" s="884">
        <v>11200502</v>
      </c>
      <c r="C267" s="1028" t="s">
        <v>797</v>
      </c>
      <c r="D267" s="31"/>
      <c r="E267" s="1011"/>
      <c r="F267" s="1011"/>
      <c r="G267" s="1011"/>
      <c r="H267" s="1011"/>
      <c r="I267" s="1011"/>
      <c r="J267" s="1011"/>
      <c r="K267" s="1011"/>
      <c r="L267" s="1011"/>
      <c r="M267" s="1011"/>
      <c r="N267" s="1011"/>
      <c r="O267" s="1011"/>
      <c r="P267" s="1011"/>
      <c r="Q267" s="1011"/>
      <c r="R267" s="1011"/>
      <c r="S267" s="1011"/>
      <c r="T267" s="1011"/>
      <c r="U267" s="1011"/>
      <c r="V267" s="1011"/>
      <c r="W267" s="1011"/>
      <c r="X267" s="1011"/>
      <c r="Y267" s="1011"/>
      <c r="Z267" s="1011"/>
      <c r="AA267" s="1011"/>
      <c r="AB267" s="1011"/>
      <c r="AC267" s="1011"/>
      <c r="AD267" s="1011"/>
      <c r="AE267" s="1011"/>
      <c r="AF267" s="1011"/>
      <c r="AG267" s="1011"/>
      <c r="AH267" s="1011"/>
      <c r="AI267" s="1011"/>
      <c r="AJ267" s="1011"/>
      <c r="AK267" s="1011"/>
      <c r="AL267" s="1011"/>
      <c r="AM267" s="1011"/>
      <c r="AN267" s="1011"/>
      <c r="AO267" s="873">
        <v>1082.0599278</v>
      </c>
      <c r="AP267" s="920">
        <v>79.999450890000006</v>
      </c>
      <c r="AQ267" s="1010">
        <v>105.21998184</v>
      </c>
      <c r="AR267" s="1010">
        <v>82.507284560000002</v>
      </c>
      <c r="AS267" s="873">
        <v>35.248375229999994</v>
      </c>
      <c r="AT267" s="873">
        <v>74.832957659999991</v>
      </c>
      <c r="AU267" s="873">
        <v>167.07143686000001</v>
      </c>
      <c r="AV267" s="873">
        <v>62.315325270000002</v>
      </c>
      <c r="AW267" s="873">
        <v>35.104505859999996</v>
      </c>
      <c r="AX267" s="873">
        <v>21.757166429999998</v>
      </c>
      <c r="AY267" s="873">
        <v>5.8113828300000003</v>
      </c>
      <c r="AZ267" s="873">
        <v>50.842953610000002</v>
      </c>
      <c r="BA267" s="873">
        <v>0</v>
      </c>
      <c r="BB267" s="873">
        <v>0</v>
      </c>
      <c r="BC267" s="873">
        <v>0</v>
      </c>
      <c r="BD267" s="873">
        <v>0</v>
      </c>
      <c r="BE267" s="920">
        <v>0</v>
      </c>
      <c r="BF267" s="920">
        <v>0</v>
      </c>
      <c r="BG267" s="920">
        <v>0</v>
      </c>
      <c r="BH267" s="920">
        <v>0</v>
      </c>
      <c r="BI267" s="920">
        <v>0</v>
      </c>
      <c r="BJ267" s="920">
        <v>-0.85635617000000008</v>
      </c>
      <c r="BK267" s="920">
        <v>0</v>
      </c>
      <c r="BL267" s="920">
        <v>0</v>
      </c>
      <c r="BM267" s="873">
        <v>-338.85345264</v>
      </c>
      <c r="BN267" s="873">
        <v>0</v>
      </c>
      <c r="BO267" s="873">
        <v>0</v>
      </c>
      <c r="BP267" s="873">
        <v>0</v>
      </c>
      <c r="BQ267" s="873">
        <v>0</v>
      </c>
      <c r="BR267" s="920">
        <v>0</v>
      </c>
      <c r="BS267" s="920">
        <v>0</v>
      </c>
      <c r="BT267" s="920">
        <v>0</v>
      </c>
      <c r="BU267" s="920">
        <v>0</v>
      </c>
      <c r="BV267" s="920">
        <v>0</v>
      </c>
      <c r="BW267" s="920">
        <v>0</v>
      </c>
      <c r="BX267" s="920">
        <v>0</v>
      </c>
      <c r="BY267" s="873">
        <v>0</v>
      </c>
      <c r="BZ267" s="873">
        <v>0</v>
      </c>
      <c r="CA267" s="873">
        <v>0</v>
      </c>
      <c r="CB267" s="873">
        <v>0</v>
      </c>
      <c r="CC267" s="873">
        <v>0</v>
      </c>
      <c r="CD267" s="873">
        <v>0</v>
      </c>
      <c r="CE267" s="873">
        <v>0</v>
      </c>
      <c r="CF267" s="873">
        <v>0</v>
      </c>
      <c r="CG267" s="873">
        <v>0</v>
      </c>
      <c r="CH267" s="873">
        <v>0</v>
      </c>
      <c r="CI267" s="873">
        <v>0</v>
      </c>
      <c r="CJ267" s="873">
        <v>0</v>
      </c>
      <c r="CK267" s="873">
        <v>0</v>
      </c>
      <c r="CL267" s="873">
        <v>0</v>
      </c>
      <c r="CM267" s="873">
        <v>0</v>
      </c>
      <c r="CN267" s="873">
        <v>0</v>
      </c>
      <c r="CO267" s="873">
        <v>0</v>
      </c>
      <c r="CP267" s="873">
        <v>0</v>
      </c>
      <c r="CQ267" s="873">
        <v>0</v>
      </c>
      <c r="CR267" s="873">
        <v>0</v>
      </c>
      <c r="CS267" s="873">
        <v>0</v>
      </c>
      <c r="CT267" s="873">
        <v>0</v>
      </c>
      <c r="CU267" s="873">
        <v>0</v>
      </c>
      <c r="CV267" s="873">
        <v>0</v>
      </c>
      <c r="CW267" s="873">
        <v>0</v>
      </c>
      <c r="CX267" s="873">
        <v>0</v>
      </c>
      <c r="CY267" s="873">
        <v>0</v>
      </c>
      <c r="CZ267" s="873">
        <v>0</v>
      </c>
      <c r="DA267" s="873">
        <v>0</v>
      </c>
      <c r="DB267" s="873">
        <v>0</v>
      </c>
      <c r="DC267" s="873">
        <v>0</v>
      </c>
      <c r="DD267" s="873">
        <v>0</v>
      </c>
      <c r="DE267" s="873">
        <v>0</v>
      </c>
      <c r="DF267" s="873">
        <v>0</v>
      </c>
      <c r="DG267" s="873">
        <v>0</v>
      </c>
      <c r="DH267" s="873">
        <v>0</v>
      </c>
      <c r="DI267" s="873">
        <v>0</v>
      </c>
      <c r="DJ267" s="873">
        <v>0</v>
      </c>
      <c r="DK267" s="873">
        <v>0</v>
      </c>
      <c r="DL267" s="873">
        <v>0</v>
      </c>
      <c r="DM267" s="873">
        <v>0</v>
      </c>
      <c r="DN267" s="873">
        <v>0</v>
      </c>
      <c r="DO267" s="873">
        <v>0</v>
      </c>
      <c r="DP267" s="873">
        <v>0</v>
      </c>
      <c r="DQ267" s="873">
        <v>0</v>
      </c>
      <c r="DR267" s="873">
        <v>0</v>
      </c>
      <c r="DS267" s="873">
        <v>0</v>
      </c>
      <c r="DT267" s="873">
        <v>0</v>
      </c>
      <c r="DU267" s="873">
        <v>0</v>
      </c>
      <c r="DV267" s="873">
        <v>0</v>
      </c>
      <c r="DW267" s="873">
        <v>0</v>
      </c>
      <c r="DX267" s="873">
        <v>0</v>
      </c>
      <c r="DY267" s="873">
        <v>0</v>
      </c>
      <c r="DZ267" s="873">
        <v>0</v>
      </c>
      <c r="EA267" s="873">
        <v>0</v>
      </c>
      <c r="EB267" s="873">
        <v>0</v>
      </c>
      <c r="EC267" s="873">
        <v>0</v>
      </c>
      <c r="ED267" s="873">
        <v>0</v>
      </c>
      <c r="EE267" s="873">
        <v>0</v>
      </c>
      <c r="EF267" s="873">
        <v>0</v>
      </c>
      <c r="EH267" s="1013"/>
      <c r="EI267" s="1013"/>
      <c r="EJ267" s="1013"/>
      <c r="EK267" s="1013"/>
      <c r="EL267" s="1013"/>
      <c r="EM267" s="1013"/>
      <c r="EN267" s="1013"/>
      <c r="EO267" s="1013"/>
      <c r="EP267" s="1013"/>
      <c r="EQ267" s="1013"/>
      <c r="ER267" s="1013"/>
      <c r="ES267" s="1013"/>
      <c r="HD267" s="1013"/>
      <c r="HE267" s="1013"/>
      <c r="HF267" s="1013"/>
      <c r="HG267" s="1013"/>
      <c r="HH267" s="1013"/>
      <c r="HI267" s="1013"/>
      <c r="HJ267" s="1013"/>
      <c r="HK267" s="1013"/>
      <c r="HL267" s="1013"/>
      <c r="HM267" s="1013"/>
      <c r="HN267" s="1013"/>
      <c r="HO267" s="1013"/>
      <c r="HP267" s="1013"/>
      <c r="JA267" s="920"/>
      <c r="JB267" s="920"/>
      <c r="JC267" s="920"/>
      <c r="JD267" s="920"/>
      <c r="JE267" s="920"/>
      <c r="JF267" s="920"/>
      <c r="JG267" s="920"/>
      <c r="JH267" s="920"/>
      <c r="JI267" s="920"/>
      <c r="JJ267" s="920"/>
      <c r="JK267" s="920"/>
      <c r="JL267" s="920"/>
      <c r="JM267" s="920"/>
      <c r="JN267" s="920"/>
      <c r="JY267" s="1013"/>
      <c r="JZ267" s="1013"/>
      <c r="KA267" s="1013"/>
      <c r="KB267" s="1013"/>
      <c r="KC267" s="1013"/>
      <c r="KD267" s="1013"/>
      <c r="KE267" s="1013"/>
      <c r="KF267" s="1013"/>
      <c r="KH267" s="1013"/>
      <c r="KI267" s="1013"/>
      <c r="KJ267" s="1013"/>
      <c r="KK267" s="1013"/>
      <c r="KL267" s="1013"/>
      <c r="KM267" s="1013"/>
      <c r="KN267" s="1013"/>
      <c r="KO267" s="1013"/>
      <c r="LB267" s="920" t="e">
        <f>#VALUE!</f>
        <v>#VALUE!</v>
      </c>
      <c r="LC267" s="920" t="e">
        <f>#VALUE!</f>
        <v>#VALUE!</v>
      </c>
      <c r="LD267" s="920" t="e">
        <f>#VALUE!</f>
        <v>#VALUE!</v>
      </c>
      <c r="LE267" s="920" t="e">
        <f>#VALUE!</f>
        <v>#VALUE!</v>
      </c>
      <c r="LF267" s="920" t="e">
        <f>#VALUE!</f>
        <v>#VALUE!</v>
      </c>
      <c r="LG267" s="920"/>
      <c r="LH267" s="920"/>
      <c r="LI267" s="920"/>
      <c r="LJ267" s="920"/>
      <c r="LK267" s="920"/>
      <c r="LL267" s="920"/>
      <c r="LM267" s="920" t="e">
        <f>#VALUE!</f>
        <v>#VALUE!</v>
      </c>
      <c r="LN267" s="920" t="e">
        <f>#VALUE!</f>
        <v>#VALUE!</v>
      </c>
      <c r="LO267" s="920" t="e">
        <f>#VALUE!</f>
        <v>#VALUE!</v>
      </c>
      <c r="LR267" s="1013"/>
      <c r="LS267" s="1013"/>
      <c r="LT267" s="1013"/>
      <c r="LU267" s="1013"/>
      <c r="LV267" s="1013"/>
      <c r="LW267" s="1013"/>
      <c r="LX267" s="1013"/>
      <c r="LZ267" s="1013"/>
      <c r="MA267" s="1013"/>
      <c r="MB267" s="1013"/>
      <c r="MC267" s="1013"/>
      <c r="MD267" s="1013"/>
      <c r="ME267" s="1013"/>
      <c r="MF267" s="1013"/>
      <c r="MH267" s="1013"/>
      <c r="MI267" s="1013"/>
      <c r="MJ267" s="1013"/>
      <c r="MK267" s="1013"/>
      <c r="ML267" s="1013"/>
      <c r="MM267" s="1013"/>
      <c r="MN267" s="1013"/>
      <c r="MO267" s="1013"/>
      <c r="MP267" s="1013"/>
    </row>
    <row r="268" spans="1:354" outlineLevel="1">
      <c r="A268" s="884">
        <v>11200503</v>
      </c>
      <c r="C268" s="1028" t="s">
        <v>798</v>
      </c>
      <c r="D268" s="31"/>
      <c r="E268" s="1011"/>
      <c r="F268" s="1011"/>
      <c r="G268" s="1011"/>
      <c r="H268" s="1011"/>
      <c r="I268" s="1011"/>
      <c r="J268" s="1011"/>
      <c r="K268" s="1011"/>
      <c r="L268" s="1011"/>
      <c r="M268" s="1011"/>
      <c r="N268" s="1011"/>
      <c r="O268" s="1011"/>
      <c r="P268" s="1011"/>
      <c r="Q268" s="1011"/>
      <c r="R268" s="1011"/>
      <c r="S268" s="1011"/>
      <c r="T268" s="1011"/>
      <c r="U268" s="1011"/>
      <c r="V268" s="1011"/>
      <c r="W268" s="1011"/>
      <c r="X268" s="1011"/>
      <c r="Y268" s="1011"/>
      <c r="Z268" s="1011"/>
      <c r="AA268" s="1011"/>
      <c r="AB268" s="1011"/>
      <c r="AC268" s="1011"/>
      <c r="AD268" s="1011"/>
      <c r="AE268" s="1011"/>
      <c r="AF268" s="1011"/>
      <c r="AG268" s="1011"/>
      <c r="AH268" s="1011"/>
      <c r="AI268" s="1011"/>
      <c r="AJ268" s="1011"/>
      <c r="AK268" s="1011"/>
      <c r="AL268" s="1011"/>
      <c r="AM268" s="1011"/>
      <c r="AN268" s="1011"/>
      <c r="AO268" s="873">
        <v>1.7600000000000001E-2</v>
      </c>
      <c r="AP268" s="920">
        <v>1.7600000000000001E-2</v>
      </c>
      <c r="AQ268" s="1010">
        <v>1.7601249999999999E-2</v>
      </c>
      <c r="AR268" s="1010">
        <v>0</v>
      </c>
      <c r="AS268" s="873">
        <v>0</v>
      </c>
      <c r="AT268" s="873">
        <v>0</v>
      </c>
      <c r="AU268" s="873">
        <v>0</v>
      </c>
      <c r="AV268" s="873">
        <v>0</v>
      </c>
      <c r="AW268" s="873">
        <v>0</v>
      </c>
      <c r="AX268" s="873">
        <v>0</v>
      </c>
      <c r="AY268" s="873">
        <v>0</v>
      </c>
      <c r="AZ268" s="873">
        <v>0</v>
      </c>
      <c r="BA268" s="873">
        <v>0</v>
      </c>
      <c r="BB268" s="873">
        <v>0</v>
      </c>
      <c r="BC268" s="873">
        <v>0</v>
      </c>
      <c r="BD268" s="873">
        <v>0</v>
      </c>
      <c r="BE268" s="920">
        <v>0</v>
      </c>
      <c r="BF268" s="920">
        <v>0</v>
      </c>
      <c r="BG268" s="920">
        <v>0</v>
      </c>
      <c r="BH268" s="920">
        <v>0</v>
      </c>
      <c r="BI268" s="920">
        <v>0</v>
      </c>
      <c r="BJ268" s="920">
        <v>0</v>
      </c>
      <c r="BK268" s="920">
        <v>0</v>
      </c>
      <c r="BL268" s="920">
        <v>0</v>
      </c>
      <c r="BM268" s="873">
        <v>0</v>
      </c>
      <c r="BN268" s="873">
        <v>0</v>
      </c>
      <c r="BO268" s="873">
        <v>0</v>
      </c>
      <c r="BP268" s="873">
        <v>0</v>
      </c>
      <c r="BQ268" s="873">
        <v>0</v>
      </c>
      <c r="BR268" s="920">
        <v>0</v>
      </c>
      <c r="BS268" s="920">
        <v>0</v>
      </c>
      <c r="BT268" s="920">
        <v>0</v>
      </c>
      <c r="BU268" s="920">
        <v>0</v>
      </c>
      <c r="BV268" s="920">
        <v>0</v>
      </c>
      <c r="BW268" s="920">
        <v>0</v>
      </c>
      <c r="BX268" s="920">
        <v>0</v>
      </c>
      <c r="BY268" s="873">
        <v>0</v>
      </c>
      <c r="BZ268" s="873">
        <v>0</v>
      </c>
      <c r="CA268" s="873">
        <v>0</v>
      </c>
      <c r="CB268" s="873">
        <v>0</v>
      </c>
      <c r="CC268" s="873">
        <v>0</v>
      </c>
      <c r="CD268" s="873">
        <v>0</v>
      </c>
      <c r="CE268" s="873">
        <v>0</v>
      </c>
      <c r="CF268" s="873">
        <v>0</v>
      </c>
      <c r="CG268" s="873">
        <v>0</v>
      </c>
      <c r="CH268" s="873">
        <v>0</v>
      </c>
      <c r="CI268" s="873">
        <v>0</v>
      </c>
      <c r="CJ268" s="873">
        <v>0</v>
      </c>
      <c r="CK268" s="873">
        <v>0</v>
      </c>
      <c r="CL268" s="873">
        <v>0</v>
      </c>
      <c r="CM268" s="873">
        <v>0</v>
      </c>
      <c r="CN268" s="873">
        <v>0</v>
      </c>
      <c r="CO268" s="873">
        <v>0</v>
      </c>
      <c r="CP268" s="873">
        <v>0</v>
      </c>
      <c r="CQ268" s="873">
        <v>0</v>
      </c>
      <c r="CR268" s="873">
        <v>0</v>
      </c>
      <c r="CS268" s="873">
        <v>0</v>
      </c>
      <c r="CT268" s="873">
        <v>0</v>
      </c>
      <c r="CU268" s="873">
        <v>0</v>
      </c>
      <c r="CV268" s="873">
        <v>0</v>
      </c>
      <c r="CW268" s="873">
        <v>0</v>
      </c>
      <c r="CX268" s="873">
        <v>0</v>
      </c>
      <c r="CY268" s="873">
        <v>0</v>
      </c>
      <c r="CZ268" s="873">
        <v>0</v>
      </c>
      <c r="DA268" s="873">
        <v>0</v>
      </c>
      <c r="DB268" s="873">
        <v>0</v>
      </c>
      <c r="DC268" s="873">
        <v>0</v>
      </c>
      <c r="DD268" s="873">
        <v>0</v>
      </c>
      <c r="DE268" s="873">
        <v>0</v>
      </c>
      <c r="DF268" s="873">
        <v>0</v>
      </c>
      <c r="DG268" s="873">
        <v>0</v>
      </c>
      <c r="DH268" s="873">
        <v>0</v>
      </c>
      <c r="DI268" s="873">
        <v>0</v>
      </c>
      <c r="DJ268" s="873">
        <v>0</v>
      </c>
      <c r="DK268" s="873">
        <v>0</v>
      </c>
      <c r="DL268" s="873">
        <v>0</v>
      </c>
      <c r="DM268" s="873">
        <v>0</v>
      </c>
      <c r="DN268" s="873">
        <v>0</v>
      </c>
      <c r="DO268" s="873">
        <v>0</v>
      </c>
      <c r="DP268" s="873">
        <v>0</v>
      </c>
      <c r="DQ268" s="873">
        <v>0</v>
      </c>
      <c r="DR268" s="873">
        <v>0</v>
      </c>
      <c r="DS268" s="873">
        <v>0</v>
      </c>
      <c r="DT268" s="873">
        <v>0</v>
      </c>
      <c r="DU268" s="873">
        <v>0</v>
      </c>
      <c r="DV268" s="873">
        <v>0</v>
      </c>
      <c r="DW268" s="873">
        <v>0</v>
      </c>
      <c r="DX268" s="873">
        <v>0</v>
      </c>
      <c r="DY268" s="873">
        <v>0</v>
      </c>
      <c r="DZ268" s="873">
        <v>0</v>
      </c>
      <c r="EA268" s="873">
        <v>0</v>
      </c>
      <c r="EB268" s="873">
        <v>0</v>
      </c>
      <c r="EC268" s="873">
        <v>0</v>
      </c>
      <c r="ED268" s="873">
        <v>0</v>
      </c>
      <c r="EE268" s="873">
        <v>0</v>
      </c>
      <c r="EF268" s="873">
        <v>0</v>
      </c>
      <c r="EH268" s="1013"/>
      <c r="EI268" s="1013"/>
      <c r="EJ268" s="1013"/>
      <c r="EK268" s="1013"/>
      <c r="EL268" s="1013"/>
      <c r="EM268" s="1013"/>
      <c r="EN268" s="1013"/>
      <c r="EO268" s="1013"/>
      <c r="EP268" s="1013"/>
      <c r="EQ268" s="1013"/>
      <c r="ER268" s="1013"/>
      <c r="ES268" s="1013"/>
      <c r="HD268" s="1013"/>
      <c r="HE268" s="1013"/>
      <c r="HF268" s="1013"/>
      <c r="HG268" s="1013"/>
      <c r="HH268" s="1013"/>
      <c r="HI268" s="1013"/>
      <c r="HJ268" s="1013"/>
      <c r="HK268" s="1013"/>
      <c r="HL268" s="1013"/>
      <c r="HM268" s="1013"/>
      <c r="HN268" s="1013"/>
      <c r="HO268" s="1013"/>
      <c r="HP268" s="1013"/>
      <c r="JA268" s="920"/>
      <c r="JB268" s="920"/>
      <c r="JC268" s="920"/>
      <c r="JD268" s="920"/>
      <c r="JE268" s="920"/>
      <c r="JF268" s="920"/>
      <c r="JG268" s="920"/>
      <c r="JH268" s="920"/>
      <c r="JI268" s="920"/>
      <c r="JJ268" s="920"/>
      <c r="JK268" s="920"/>
      <c r="JL268" s="920"/>
      <c r="JM268" s="920"/>
      <c r="JN268" s="920"/>
      <c r="JY268" s="1013"/>
      <c r="JZ268" s="1013"/>
      <c r="KA268" s="1013"/>
      <c r="KB268" s="1013"/>
      <c r="KC268" s="1013"/>
      <c r="KD268" s="1013"/>
      <c r="KE268" s="1013"/>
      <c r="KF268" s="1013"/>
      <c r="KH268" s="1013"/>
      <c r="KI268" s="1013"/>
      <c r="KJ268" s="1013"/>
      <c r="KK268" s="1013"/>
      <c r="KL268" s="1013"/>
      <c r="KM268" s="1013"/>
      <c r="KN268" s="1013"/>
      <c r="KO268" s="1013"/>
      <c r="LB268" s="920" t="e">
        <f>#VALUE!</f>
        <v>#VALUE!</v>
      </c>
      <c r="LC268" s="920" t="e">
        <f>#VALUE!</f>
        <v>#VALUE!</v>
      </c>
      <c r="LD268" s="920" t="e">
        <f>#VALUE!</f>
        <v>#VALUE!</v>
      </c>
      <c r="LE268" s="920" t="e">
        <f>#VALUE!</f>
        <v>#VALUE!</v>
      </c>
      <c r="LF268" s="920" t="e">
        <f>#VALUE!</f>
        <v>#VALUE!</v>
      </c>
      <c r="LG268" s="920"/>
      <c r="LH268" s="920"/>
      <c r="LI268" s="920"/>
      <c r="LJ268" s="920"/>
      <c r="LK268" s="920"/>
      <c r="LL268" s="920"/>
      <c r="LM268" s="920" t="e">
        <f>#VALUE!</f>
        <v>#VALUE!</v>
      </c>
      <c r="LN268" s="920" t="e">
        <f>#VALUE!</f>
        <v>#VALUE!</v>
      </c>
      <c r="LO268" s="920" t="e">
        <f>#VALUE!</f>
        <v>#VALUE!</v>
      </c>
      <c r="LR268" s="1013"/>
      <c r="LS268" s="1013"/>
      <c r="LT268" s="1013"/>
      <c r="LU268" s="1013"/>
      <c r="LV268" s="1013"/>
      <c r="LW268" s="1013"/>
      <c r="LX268" s="1013"/>
      <c r="LZ268" s="1013"/>
      <c r="MA268" s="1013"/>
      <c r="MB268" s="1013"/>
      <c r="MC268" s="1013"/>
      <c r="MD268" s="1013"/>
      <c r="ME268" s="1013"/>
      <c r="MF268" s="1013"/>
      <c r="MH268" s="1013"/>
      <c r="MI268" s="1013"/>
      <c r="MJ268" s="1013"/>
      <c r="MK268" s="1013"/>
      <c r="ML268" s="1013"/>
      <c r="MM268" s="1013"/>
      <c r="MN268" s="1013"/>
      <c r="MO268" s="1013"/>
      <c r="MP268" s="1013"/>
    </row>
    <row r="269" spans="1:354" outlineLevel="1">
      <c r="A269" s="884">
        <v>12450501</v>
      </c>
      <c r="C269" s="1028" t="s">
        <v>799</v>
      </c>
      <c r="D269" s="31"/>
      <c r="E269" s="1011"/>
      <c r="F269" s="1011"/>
      <c r="G269" s="1011"/>
      <c r="H269" s="1011"/>
      <c r="I269" s="1011"/>
      <c r="J269" s="1011"/>
      <c r="K269" s="1011"/>
      <c r="L269" s="1011"/>
      <c r="M269" s="1011"/>
      <c r="N269" s="1011"/>
      <c r="O269" s="1011"/>
      <c r="P269" s="1011"/>
      <c r="Q269" s="1011"/>
      <c r="R269" s="1011"/>
      <c r="S269" s="1011"/>
      <c r="T269" s="1011"/>
      <c r="U269" s="1011"/>
      <c r="V269" s="1011"/>
      <c r="W269" s="1011"/>
      <c r="X269" s="1011"/>
      <c r="Y269" s="1011"/>
      <c r="Z269" s="1011"/>
      <c r="AA269" s="1011"/>
      <c r="AB269" s="1011"/>
      <c r="AC269" s="1011"/>
      <c r="AD269" s="1011"/>
      <c r="AE269" s="1011"/>
      <c r="AF269" s="1011"/>
      <c r="AG269" s="1011"/>
      <c r="AH269" s="1011"/>
      <c r="AI269" s="1011"/>
      <c r="AJ269" s="1011"/>
      <c r="AK269" s="1011"/>
      <c r="AL269" s="1011"/>
      <c r="AM269" s="1011"/>
      <c r="AN269" s="1011"/>
      <c r="AO269" s="873">
        <v>1009.5687171799999</v>
      </c>
      <c r="AP269" s="920">
        <v>311.02149921</v>
      </c>
      <c r="AQ269" s="1010">
        <v>1563.5328297999999</v>
      </c>
      <c r="AR269" s="1010">
        <v>1467.2495228399998</v>
      </c>
      <c r="AS269" s="873">
        <v>8.3469703699999993</v>
      </c>
      <c r="AT269" s="873">
        <v>138.96333928000001</v>
      </c>
      <c r="AU269" s="873">
        <v>589.82929442</v>
      </c>
      <c r="AV269" s="873">
        <v>110.33883231999999</v>
      </c>
      <c r="AW269" s="873">
        <v>11.527627460000001</v>
      </c>
      <c r="AX269" s="873">
        <v>1.6203488300000002</v>
      </c>
      <c r="AY269" s="873">
        <v>4.6398889099999998</v>
      </c>
      <c r="AZ269" s="873">
        <v>10.67657249</v>
      </c>
      <c r="BA269" s="873">
        <v>0</v>
      </c>
      <c r="BB269" s="873">
        <v>0</v>
      </c>
      <c r="BC269" s="873">
        <v>0</v>
      </c>
      <c r="BD269" s="873">
        <v>0</v>
      </c>
      <c r="BE269" s="920">
        <v>0</v>
      </c>
      <c r="BF269" s="920">
        <v>0</v>
      </c>
      <c r="BG269" s="920">
        <v>0</v>
      </c>
      <c r="BH269" s="920">
        <v>0</v>
      </c>
      <c r="BI269" s="920">
        <v>0</v>
      </c>
      <c r="BJ269" s="920">
        <v>0.12143141</v>
      </c>
      <c r="BK269" s="920">
        <v>0</v>
      </c>
      <c r="BL269" s="920">
        <v>0</v>
      </c>
      <c r="BM269" s="873">
        <v>0</v>
      </c>
      <c r="BN269" s="873">
        <v>0</v>
      </c>
      <c r="BO269" s="873">
        <v>0</v>
      </c>
      <c r="BP269" s="873">
        <v>0</v>
      </c>
      <c r="BQ269" s="873">
        <v>0</v>
      </c>
      <c r="BR269" s="920">
        <v>0</v>
      </c>
      <c r="BS269" s="920">
        <v>0</v>
      </c>
      <c r="BT269" s="920">
        <v>0</v>
      </c>
      <c r="BU269" s="920">
        <v>0</v>
      </c>
      <c r="BV269" s="920">
        <v>0</v>
      </c>
      <c r="BW269" s="920">
        <v>0</v>
      </c>
      <c r="BX269" s="920">
        <v>0</v>
      </c>
      <c r="BY269" s="873">
        <v>0</v>
      </c>
      <c r="BZ269" s="873">
        <v>0</v>
      </c>
      <c r="CA269" s="873">
        <v>0</v>
      </c>
      <c r="CB269" s="873">
        <v>0</v>
      </c>
      <c r="CC269" s="873">
        <v>0</v>
      </c>
      <c r="CD269" s="873">
        <v>0</v>
      </c>
      <c r="CE269" s="873">
        <v>0</v>
      </c>
      <c r="CF269" s="873">
        <v>0</v>
      </c>
      <c r="CG269" s="873">
        <v>0</v>
      </c>
      <c r="CH269" s="873">
        <v>0</v>
      </c>
      <c r="CI269" s="873">
        <v>0</v>
      </c>
      <c r="CJ269" s="873">
        <v>0</v>
      </c>
      <c r="CK269" s="873">
        <v>0</v>
      </c>
      <c r="CL269" s="873">
        <v>0</v>
      </c>
      <c r="CM269" s="873">
        <v>0</v>
      </c>
      <c r="CN269" s="873">
        <v>0</v>
      </c>
      <c r="CO269" s="873">
        <v>0</v>
      </c>
      <c r="CP269" s="873">
        <v>0</v>
      </c>
      <c r="CQ269" s="873">
        <v>0</v>
      </c>
      <c r="CR269" s="873">
        <v>0</v>
      </c>
      <c r="CS269" s="873">
        <v>0</v>
      </c>
      <c r="CT269" s="873">
        <v>0</v>
      </c>
      <c r="CU269" s="873">
        <v>0</v>
      </c>
      <c r="CV269" s="873">
        <v>0</v>
      </c>
      <c r="CW269" s="873">
        <v>0</v>
      </c>
      <c r="CX269" s="873">
        <v>0</v>
      </c>
      <c r="CY269" s="873">
        <v>0</v>
      </c>
      <c r="CZ269" s="873">
        <v>0</v>
      </c>
      <c r="DA269" s="873">
        <v>0</v>
      </c>
      <c r="DB269" s="873">
        <v>0</v>
      </c>
      <c r="DC269" s="873">
        <v>0</v>
      </c>
      <c r="DD269" s="873">
        <v>0</v>
      </c>
      <c r="DE269" s="873">
        <v>0</v>
      </c>
      <c r="DF269" s="873">
        <v>0</v>
      </c>
      <c r="DG269" s="873">
        <v>0</v>
      </c>
      <c r="DH269" s="873">
        <v>0</v>
      </c>
      <c r="DI269" s="873">
        <v>0</v>
      </c>
      <c r="DJ269" s="873">
        <v>0</v>
      </c>
      <c r="DK269" s="873">
        <v>0</v>
      </c>
      <c r="DL269" s="873">
        <v>0</v>
      </c>
      <c r="DM269" s="873">
        <v>0</v>
      </c>
      <c r="DN269" s="873">
        <v>0</v>
      </c>
      <c r="DO269" s="873">
        <v>0</v>
      </c>
      <c r="DP269" s="873">
        <v>0</v>
      </c>
      <c r="DQ269" s="873">
        <v>0</v>
      </c>
      <c r="DR269" s="873">
        <v>0</v>
      </c>
      <c r="DS269" s="873">
        <v>0</v>
      </c>
      <c r="DT269" s="873">
        <v>0</v>
      </c>
      <c r="DU269" s="873">
        <v>0</v>
      </c>
      <c r="DV269" s="873">
        <v>0</v>
      </c>
      <c r="DW269" s="873">
        <v>0</v>
      </c>
      <c r="DX269" s="873">
        <v>0</v>
      </c>
      <c r="DY269" s="873">
        <v>0</v>
      </c>
      <c r="DZ269" s="873">
        <v>0</v>
      </c>
      <c r="EA269" s="873">
        <v>0</v>
      </c>
      <c r="EB269" s="873">
        <v>0</v>
      </c>
      <c r="EC269" s="873">
        <v>0</v>
      </c>
      <c r="ED269" s="873">
        <v>0</v>
      </c>
      <c r="EE269" s="873">
        <v>0</v>
      </c>
      <c r="EF269" s="873">
        <v>0</v>
      </c>
      <c r="EH269" s="1013"/>
      <c r="EI269" s="1013"/>
      <c r="EJ269" s="1013"/>
      <c r="EK269" s="1013"/>
      <c r="EL269" s="1013"/>
      <c r="EM269" s="1013"/>
      <c r="EN269" s="1013"/>
      <c r="EO269" s="1013"/>
      <c r="EP269" s="1013"/>
      <c r="EQ269" s="1013"/>
      <c r="ER269" s="1013"/>
      <c r="ES269" s="1013"/>
      <c r="HD269" s="1013"/>
      <c r="HE269" s="1013"/>
      <c r="HF269" s="1013"/>
      <c r="HG269" s="1013"/>
      <c r="HH269" s="1013"/>
      <c r="HI269" s="1013"/>
      <c r="HJ269" s="1013"/>
      <c r="HK269" s="1013"/>
      <c r="HL269" s="1013"/>
      <c r="HM269" s="1013"/>
      <c r="HN269" s="1013"/>
      <c r="HO269" s="1013"/>
      <c r="HP269" s="1013"/>
      <c r="JA269" s="920"/>
      <c r="JB269" s="920"/>
      <c r="JC269" s="920"/>
      <c r="JD269" s="920"/>
      <c r="JE269" s="920"/>
      <c r="JF269" s="920"/>
      <c r="JG269" s="920"/>
      <c r="JH269" s="920"/>
      <c r="JI269" s="920"/>
      <c r="JJ269" s="920"/>
      <c r="JK269" s="920"/>
      <c r="JL269" s="920"/>
      <c r="JM269" s="920"/>
      <c r="JN269" s="920"/>
      <c r="JY269" s="1013"/>
      <c r="JZ269" s="1013"/>
      <c r="KA269" s="1013"/>
      <c r="KB269" s="1013"/>
      <c r="KC269" s="1013"/>
      <c r="KD269" s="1013"/>
      <c r="KE269" s="1013"/>
      <c r="KF269" s="1013"/>
      <c r="KH269" s="1013"/>
      <c r="KI269" s="1013"/>
      <c r="KJ269" s="1013"/>
      <c r="KK269" s="1013"/>
      <c r="KL269" s="1013"/>
      <c r="KM269" s="1013"/>
      <c r="KN269" s="1013"/>
      <c r="KO269" s="1013"/>
      <c r="LB269" s="920" t="e">
        <f>#VALUE!</f>
        <v>#VALUE!</v>
      </c>
      <c r="LC269" s="920" t="e">
        <f>#VALUE!</f>
        <v>#VALUE!</v>
      </c>
      <c r="LD269" s="920" t="e">
        <f>#VALUE!</f>
        <v>#VALUE!</v>
      </c>
      <c r="LE269" s="920" t="e">
        <f>#VALUE!</f>
        <v>#VALUE!</v>
      </c>
      <c r="LF269" s="920" t="e">
        <f>#VALUE!</f>
        <v>#VALUE!</v>
      </c>
      <c r="LG269" s="920"/>
      <c r="LH269" s="920"/>
      <c r="LI269" s="920"/>
      <c r="LJ269" s="920"/>
      <c r="LK269" s="920"/>
      <c r="LL269" s="920"/>
      <c r="LM269" s="920" t="e">
        <f>#VALUE!</f>
        <v>#VALUE!</v>
      </c>
      <c r="LN269" s="920" t="e">
        <f>#VALUE!</f>
        <v>#VALUE!</v>
      </c>
      <c r="LO269" s="920" t="e">
        <f>#VALUE!</f>
        <v>#VALUE!</v>
      </c>
      <c r="LR269" s="1013"/>
      <c r="LS269" s="1013"/>
      <c r="LT269" s="1013"/>
      <c r="LU269" s="1013"/>
      <c r="LV269" s="1013"/>
      <c r="LW269" s="1013"/>
      <c r="LX269" s="1013"/>
      <c r="LZ269" s="1013"/>
      <c r="MA269" s="1013"/>
      <c r="MB269" s="1013"/>
      <c r="MC269" s="1013"/>
      <c r="MD269" s="1013"/>
      <c r="ME269" s="1013"/>
      <c r="MF269" s="1013"/>
      <c r="MH269" s="1013"/>
      <c r="MI269" s="1013"/>
      <c r="MJ269" s="1013"/>
      <c r="MK269" s="1013"/>
      <c r="ML269" s="1013"/>
      <c r="MM269" s="1013"/>
      <c r="MN269" s="1013"/>
      <c r="MO269" s="1013"/>
      <c r="MP269" s="1013"/>
    </row>
    <row r="270" spans="1:354" outlineLevel="1">
      <c r="A270" s="884">
        <v>12450504</v>
      </c>
      <c r="C270" s="1028" t="s">
        <v>800</v>
      </c>
      <c r="D270" s="31"/>
      <c r="E270" s="1011"/>
      <c r="F270" s="1011"/>
      <c r="G270" s="1011"/>
      <c r="H270" s="1011"/>
      <c r="I270" s="1011"/>
      <c r="J270" s="1011"/>
      <c r="K270" s="1011"/>
      <c r="L270" s="1011"/>
      <c r="M270" s="1011"/>
      <c r="N270" s="1011"/>
      <c r="O270" s="1011"/>
      <c r="P270" s="1011"/>
      <c r="Q270" s="1011"/>
      <c r="R270" s="1011"/>
      <c r="S270" s="1011"/>
      <c r="T270" s="1011"/>
      <c r="U270" s="1011"/>
      <c r="V270" s="1011"/>
      <c r="W270" s="1011"/>
      <c r="X270" s="1011"/>
      <c r="Y270" s="1011"/>
      <c r="Z270" s="1011"/>
      <c r="AA270" s="1011"/>
      <c r="AB270" s="1011"/>
      <c r="AC270" s="1011"/>
      <c r="AD270" s="1011"/>
      <c r="AE270" s="1011"/>
      <c r="AF270" s="1011"/>
      <c r="AG270" s="1011"/>
      <c r="AH270" s="1011"/>
      <c r="AI270" s="1011"/>
      <c r="AJ270" s="1011"/>
      <c r="AK270" s="1011"/>
      <c r="AL270" s="1011"/>
      <c r="AM270" s="1011"/>
      <c r="AN270" s="1011"/>
      <c r="AO270" s="873">
        <v>0</v>
      </c>
      <c r="AP270" s="920">
        <v>0</v>
      </c>
      <c r="AQ270" s="1010">
        <v>0</v>
      </c>
      <c r="AR270" s="1010">
        <v>0</v>
      </c>
      <c r="AS270" s="873">
        <v>0</v>
      </c>
      <c r="AT270" s="873">
        <v>20.536860090000001</v>
      </c>
      <c r="AU270" s="873">
        <v>20.550224170000003</v>
      </c>
      <c r="AV270" s="873">
        <v>20.567596170000002</v>
      </c>
      <c r="AW270" s="873">
        <v>20.58442617</v>
      </c>
      <c r="AX270" s="873">
        <v>20.601825170000001</v>
      </c>
      <c r="AY270" s="873">
        <v>20.618685170000003</v>
      </c>
      <c r="AZ270" s="873">
        <v>20.636110170000002</v>
      </c>
      <c r="BA270" s="873">
        <v>0</v>
      </c>
      <c r="BB270" s="873">
        <v>0</v>
      </c>
      <c r="BC270" s="873">
        <v>0</v>
      </c>
      <c r="BD270" s="873">
        <v>0</v>
      </c>
      <c r="BE270" s="920">
        <v>0</v>
      </c>
      <c r="BF270" s="920">
        <v>0</v>
      </c>
      <c r="BG270" s="920">
        <v>0</v>
      </c>
      <c r="BH270" s="920">
        <v>0</v>
      </c>
      <c r="BI270" s="920">
        <v>0</v>
      </c>
      <c r="BJ270" s="920">
        <v>0</v>
      </c>
      <c r="BK270" s="920">
        <v>0</v>
      </c>
      <c r="BL270" s="920">
        <v>0</v>
      </c>
      <c r="BM270" s="873">
        <v>0</v>
      </c>
      <c r="BN270" s="873">
        <v>0</v>
      </c>
      <c r="BO270" s="873">
        <v>0</v>
      </c>
      <c r="BP270" s="873">
        <v>0</v>
      </c>
      <c r="BQ270" s="873">
        <v>0</v>
      </c>
      <c r="BR270" s="920">
        <v>0</v>
      </c>
      <c r="BS270" s="920">
        <v>0</v>
      </c>
      <c r="BT270" s="920">
        <v>0</v>
      </c>
      <c r="BU270" s="920">
        <v>0</v>
      </c>
      <c r="BV270" s="920">
        <v>0</v>
      </c>
      <c r="BW270" s="920">
        <v>0</v>
      </c>
      <c r="BX270" s="920">
        <v>0</v>
      </c>
      <c r="BY270" s="873">
        <v>0</v>
      </c>
      <c r="BZ270" s="873">
        <v>0</v>
      </c>
      <c r="CA270" s="873">
        <v>0</v>
      </c>
      <c r="CB270" s="873">
        <v>0</v>
      </c>
      <c r="CC270" s="873">
        <v>0</v>
      </c>
      <c r="CD270" s="873">
        <v>0</v>
      </c>
      <c r="CE270" s="873">
        <v>0</v>
      </c>
      <c r="CF270" s="873">
        <v>0</v>
      </c>
      <c r="CG270" s="873">
        <v>0</v>
      </c>
      <c r="CH270" s="873">
        <v>0</v>
      </c>
      <c r="CI270" s="873">
        <v>0</v>
      </c>
      <c r="CJ270" s="873">
        <v>0</v>
      </c>
      <c r="CK270" s="873">
        <v>0</v>
      </c>
      <c r="CL270" s="873">
        <v>0</v>
      </c>
      <c r="CM270" s="873">
        <v>0</v>
      </c>
      <c r="CN270" s="873">
        <v>0</v>
      </c>
      <c r="CO270" s="873">
        <v>0</v>
      </c>
      <c r="CP270" s="873">
        <v>0</v>
      </c>
      <c r="CQ270" s="873">
        <v>0</v>
      </c>
      <c r="CR270" s="873">
        <v>0</v>
      </c>
      <c r="CS270" s="873">
        <v>0</v>
      </c>
      <c r="CT270" s="873">
        <v>0</v>
      </c>
      <c r="CU270" s="873">
        <v>0</v>
      </c>
      <c r="CV270" s="873">
        <v>0</v>
      </c>
      <c r="CW270" s="873">
        <v>0</v>
      </c>
      <c r="CX270" s="873">
        <v>0</v>
      </c>
      <c r="CY270" s="873">
        <v>0</v>
      </c>
      <c r="CZ270" s="873">
        <v>0</v>
      </c>
      <c r="DA270" s="873">
        <v>0</v>
      </c>
      <c r="DB270" s="873">
        <v>0</v>
      </c>
      <c r="DC270" s="873">
        <v>0</v>
      </c>
      <c r="DD270" s="873">
        <v>0</v>
      </c>
      <c r="DE270" s="873">
        <v>0</v>
      </c>
      <c r="DF270" s="873">
        <v>0</v>
      </c>
      <c r="DG270" s="873">
        <v>0</v>
      </c>
      <c r="DH270" s="873">
        <v>0</v>
      </c>
      <c r="DI270" s="873">
        <v>0</v>
      </c>
      <c r="DJ270" s="873">
        <v>0</v>
      </c>
      <c r="DK270" s="873">
        <v>0</v>
      </c>
      <c r="DL270" s="873">
        <v>0</v>
      </c>
      <c r="DM270" s="873">
        <v>0</v>
      </c>
      <c r="DN270" s="873">
        <v>0</v>
      </c>
      <c r="DO270" s="873">
        <v>0</v>
      </c>
      <c r="DP270" s="873">
        <v>0</v>
      </c>
      <c r="DQ270" s="873">
        <v>0</v>
      </c>
      <c r="DR270" s="873">
        <v>0</v>
      </c>
      <c r="DS270" s="873">
        <v>0</v>
      </c>
      <c r="DT270" s="873">
        <v>0</v>
      </c>
      <c r="DU270" s="873">
        <v>0</v>
      </c>
      <c r="DV270" s="873">
        <v>0</v>
      </c>
      <c r="DW270" s="873">
        <v>0</v>
      </c>
      <c r="DX270" s="873">
        <v>0</v>
      </c>
      <c r="DY270" s="873">
        <v>0</v>
      </c>
      <c r="DZ270" s="873">
        <v>0</v>
      </c>
      <c r="EA270" s="873">
        <v>0</v>
      </c>
      <c r="EB270" s="873">
        <v>0</v>
      </c>
      <c r="EC270" s="873">
        <v>0</v>
      </c>
      <c r="ED270" s="873">
        <v>0</v>
      </c>
      <c r="EE270" s="873">
        <v>0</v>
      </c>
      <c r="EF270" s="873">
        <v>0</v>
      </c>
      <c r="EH270" s="1013"/>
      <c r="EI270" s="1013"/>
      <c r="EJ270" s="1013"/>
      <c r="EK270" s="1013"/>
      <c r="EL270" s="1013"/>
      <c r="EM270" s="1013"/>
      <c r="EN270" s="1013"/>
      <c r="EO270" s="1013"/>
      <c r="EP270" s="1013"/>
      <c r="EQ270" s="1013"/>
      <c r="ER270" s="1013"/>
      <c r="ES270" s="1013"/>
      <c r="HD270" s="1013"/>
      <c r="HE270" s="1013"/>
      <c r="HF270" s="1013"/>
      <c r="HG270" s="1013"/>
      <c r="HH270" s="1013"/>
      <c r="HI270" s="1013"/>
      <c r="HJ270" s="1013"/>
      <c r="HK270" s="1013"/>
      <c r="HL270" s="1013"/>
      <c r="HM270" s="1013"/>
      <c r="HN270" s="1013"/>
      <c r="HO270" s="1013"/>
      <c r="HP270" s="1013"/>
      <c r="JA270" s="920"/>
      <c r="JB270" s="920"/>
      <c r="JC270" s="920"/>
      <c r="JD270" s="920"/>
      <c r="JE270" s="920"/>
      <c r="JF270" s="920"/>
      <c r="JG270" s="920"/>
      <c r="JH270" s="920"/>
      <c r="JI270" s="920"/>
      <c r="JJ270" s="920"/>
      <c r="JK270" s="920"/>
      <c r="JL270" s="920"/>
      <c r="JM270" s="920"/>
      <c r="JN270" s="920"/>
      <c r="JY270" s="1013"/>
      <c r="JZ270" s="1013"/>
      <c r="KA270" s="1013"/>
      <c r="KB270" s="1013"/>
      <c r="KC270" s="1013"/>
      <c r="KD270" s="1013"/>
      <c r="KE270" s="1013"/>
      <c r="KF270" s="1013"/>
      <c r="KH270" s="1013"/>
      <c r="KI270" s="1013"/>
      <c r="KJ270" s="1013"/>
      <c r="KK270" s="1013"/>
      <c r="KL270" s="1013"/>
      <c r="KM270" s="1013"/>
      <c r="KN270" s="1013"/>
      <c r="KO270" s="1013"/>
      <c r="LB270" s="920" t="e">
        <f>#VALUE!</f>
        <v>#VALUE!</v>
      </c>
      <c r="LC270" s="920" t="e">
        <f>#VALUE!</f>
        <v>#VALUE!</v>
      </c>
      <c r="LD270" s="920" t="e">
        <f>#VALUE!</f>
        <v>#VALUE!</v>
      </c>
      <c r="LE270" s="920" t="e">
        <f>#VALUE!</f>
        <v>#VALUE!</v>
      </c>
      <c r="LF270" s="920" t="e">
        <f>#VALUE!</f>
        <v>#VALUE!</v>
      </c>
      <c r="LG270" s="920"/>
      <c r="LH270" s="920"/>
      <c r="LI270" s="920"/>
      <c r="LJ270" s="920"/>
      <c r="LK270" s="920"/>
      <c r="LL270" s="920"/>
      <c r="LM270" s="920" t="e">
        <f>#VALUE!</f>
        <v>#VALUE!</v>
      </c>
      <c r="LN270" s="920" t="e">
        <f>#VALUE!</f>
        <v>#VALUE!</v>
      </c>
      <c r="LO270" s="920" t="e">
        <f>#VALUE!</f>
        <v>#VALUE!</v>
      </c>
      <c r="LR270" s="1013"/>
      <c r="LS270" s="1013"/>
      <c r="LT270" s="1013"/>
      <c r="LU270" s="1013"/>
      <c r="LV270" s="1013"/>
      <c r="LW270" s="1013"/>
      <c r="LX270" s="1013"/>
      <c r="LZ270" s="1013"/>
      <c r="MA270" s="1013"/>
      <c r="MB270" s="1013"/>
      <c r="MC270" s="1013"/>
      <c r="MD270" s="1013"/>
      <c r="ME270" s="1013"/>
      <c r="MF270" s="1013"/>
      <c r="MH270" s="1013"/>
      <c r="MI270" s="1013"/>
      <c r="MJ270" s="1013"/>
      <c r="MK270" s="1013"/>
      <c r="ML270" s="1013"/>
      <c r="MM270" s="1013"/>
      <c r="MN270" s="1013"/>
      <c r="MO270" s="1013"/>
      <c r="MP270" s="1013"/>
    </row>
    <row r="271" spans="1:354" outlineLevel="1">
      <c r="A271" s="884">
        <v>11109001</v>
      </c>
      <c r="C271" s="1028" t="s">
        <v>801</v>
      </c>
      <c r="D271" s="31"/>
      <c r="E271" s="1011"/>
      <c r="F271" s="1011"/>
      <c r="G271" s="1011"/>
      <c r="H271" s="1011"/>
      <c r="I271" s="1011"/>
      <c r="J271" s="1011"/>
      <c r="K271" s="1011"/>
      <c r="L271" s="1011"/>
      <c r="M271" s="1011"/>
      <c r="N271" s="1011"/>
      <c r="O271" s="1011"/>
      <c r="P271" s="1011"/>
      <c r="Q271" s="1011"/>
      <c r="R271" s="1011"/>
      <c r="S271" s="1011"/>
      <c r="T271" s="1011"/>
      <c r="U271" s="1011"/>
      <c r="V271" s="1011"/>
      <c r="W271" s="1011"/>
      <c r="X271" s="1011"/>
      <c r="Y271" s="1011"/>
      <c r="Z271" s="1011"/>
      <c r="AA271" s="1011"/>
      <c r="AB271" s="1011"/>
      <c r="AC271" s="1011"/>
      <c r="AD271" s="1011"/>
      <c r="AE271" s="1011"/>
      <c r="AF271" s="1011"/>
      <c r="AG271" s="1011"/>
      <c r="AH271" s="1011"/>
      <c r="AI271" s="1011"/>
      <c r="AJ271" s="1011"/>
      <c r="AK271" s="1011"/>
      <c r="AL271" s="1011"/>
      <c r="AM271" s="1011"/>
      <c r="AN271" s="1011"/>
      <c r="AO271" s="873">
        <v>0</v>
      </c>
      <c r="AP271" s="920">
        <v>0</v>
      </c>
      <c r="AQ271" s="1010">
        <v>0</v>
      </c>
      <c r="AR271" s="1010">
        <v>0</v>
      </c>
      <c r="AS271" s="873">
        <v>0</v>
      </c>
      <c r="AT271" s="873">
        <v>0</v>
      </c>
      <c r="AU271" s="873">
        <v>0</v>
      </c>
      <c r="AV271" s="873">
        <v>0</v>
      </c>
      <c r="AW271" s="873">
        <v>0</v>
      </c>
      <c r="AX271" s="873">
        <v>0</v>
      </c>
      <c r="AY271" s="873">
        <v>0</v>
      </c>
      <c r="AZ271" s="873">
        <v>0</v>
      </c>
      <c r="BA271" s="873">
        <v>639.71991041000001</v>
      </c>
      <c r="BB271" s="873">
        <v>816.52032979000001</v>
      </c>
      <c r="BC271" s="873">
        <v>452.61249125000001</v>
      </c>
      <c r="BD271" s="873">
        <v>1506.3966861600002</v>
      </c>
      <c r="BE271" s="920">
        <v>499.77373542000004</v>
      </c>
      <c r="BF271" s="920">
        <v>161.23459261000002</v>
      </c>
      <c r="BG271" s="920">
        <v>267.75896308</v>
      </c>
      <c r="BH271" s="920">
        <v>15.51668682</v>
      </c>
      <c r="BI271" s="920">
        <v>39.934428830000002</v>
      </c>
      <c r="BJ271" s="920">
        <v>118.67181092</v>
      </c>
      <c r="BK271" s="920">
        <v>1201.4780900399999</v>
      </c>
      <c r="BL271" s="920">
        <v>995.28514159000008</v>
      </c>
      <c r="BM271" s="873">
        <v>1057.1950130800001</v>
      </c>
      <c r="BN271" s="873">
        <v>108.9826116</v>
      </c>
      <c r="BO271" s="873">
        <v>532.60934043999998</v>
      </c>
      <c r="BP271" s="873">
        <v>273.69954110000003</v>
      </c>
      <c r="BQ271" s="873">
        <v>809.50538140000003</v>
      </c>
      <c r="BR271" s="920">
        <v>760.83605007000006</v>
      </c>
      <c r="BS271" s="920">
        <v>476.58964413999996</v>
      </c>
      <c r="BT271" s="920">
        <v>581.39037716999997</v>
      </c>
      <c r="BU271" s="920">
        <v>220.19216511000002</v>
      </c>
      <c r="BV271" s="920">
        <v>1055.3493798500001</v>
      </c>
      <c r="BW271" s="920">
        <v>882.44866962000003</v>
      </c>
      <c r="BX271" s="920">
        <v>1387.0962114500001</v>
      </c>
      <c r="BY271" s="873">
        <v>666.90073370000005</v>
      </c>
      <c r="BZ271" s="873">
        <v>701.00959488000001</v>
      </c>
      <c r="CA271" s="873">
        <v>509.77248453999999</v>
      </c>
      <c r="CB271" s="873">
        <v>670.07141213</v>
      </c>
      <c r="CC271" s="873">
        <v>737.70474507000006</v>
      </c>
      <c r="CD271" s="873">
        <v>628.21219284000006</v>
      </c>
      <c r="CE271" s="873">
        <v>1714.98444193</v>
      </c>
      <c r="CF271" s="873">
        <v>1508.72160919</v>
      </c>
      <c r="CG271" s="873">
        <v>781.64187455999991</v>
      </c>
      <c r="CH271" s="873">
        <v>425.66463347000001</v>
      </c>
      <c r="CI271" s="873">
        <v>406.19680850999998</v>
      </c>
      <c r="CJ271" s="873">
        <v>570.12991528999999</v>
      </c>
      <c r="CK271" s="873">
        <v>153.82603404</v>
      </c>
      <c r="CL271" s="873">
        <v>476.39349442000002</v>
      </c>
      <c r="CM271" s="873">
        <v>519.07875804000003</v>
      </c>
      <c r="CN271" s="873">
        <v>460.83765602</v>
      </c>
      <c r="CO271" s="873">
        <v>537.65277630999992</v>
      </c>
      <c r="CP271" s="873">
        <v>747.98686276000001</v>
      </c>
      <c r="CQ271" s="873">
        <v>1198.0168140999999</v>
      </c>
      <c r="CR271" s="873">
        <v>1979.15125721</v>
      </c>
      <c r="CS271" s="873">
        <v>1906.08019928</v>
      </c>
      <c r="CT271" s="873">
        <v>1461.8597377200001</v>
      </c>
      <c r="CU271" s="873">
        <v>1024.0597688299999</v>
      </c>
      <c r="CV271" s="873">
        <v>1769.6756338900002</v>
      </c>
      <c r="CW271" s="873">
        <v>1438.2752397199999</v>
      </c>
      <c r="CX271" s="873">
        <v>692.06874379999999</v>
      </c>
      <c r="CY271" s="873">
        <v>299.29433886000004</v>
      </c>
      <c r="CZ271" s="873">
        <v>1614.8450499999999</v>
      </c>
      <c r="DA271" s="873">
        <v>1254.38303496</v>
      </c>
      <c r="DB271" s="873">
        <v>1740.1024152699999</v>
      </c>
      <c r="DC271" s="873">
        <v>1402.35537112</v>
      </c>
      <c r="DD271" s="873">
        <v>907.86605913999995</v>
      </c>
      <c r="DE271" s="873">
        <v>368.99385022000001</v>
      </c>
      <c r="DF271" s="873">
        <v>485.85202173000005</v>
      </c>
      <c r="DG271" s="873">
        <v>487.68184266000003</v>
      </c>
      <c r="DH271" s="873">
        <v>1511.02464781</v>
      </c>
      <c r="DI271" s="873">
        <v>886.38459422000005</v>
      </c>
      <c r="DJ271" s="873">
        <v>1174.5911304599999</v>
      </c>
      <c r="DK271" s="873">
        <v>856.78407448999997</v>
      </c>
      <c r="DL271" s="873">
        <v>1448.7737914100001</v>
      </c>
      <c r="DM271" s="873">
        <v>1188.78455231</v>
      </c>
      <c r="DN271" s="873">
        <v>1149.6940781400001</v>
      </c>
      <c r="DO271" s="873">
        <v>978.6582061900001</v>
      </c>
      <c r="DP271" s="873">
        <v>917.35432117999994</v>
      </c>
      <c r="DQ271" s="873">
        <v>1000.43804042</v>
      </c>
      <c r="DR271" s="873">
        <v>1688.13147271</v>
      </c>
      <c r="DS271" s="873">
        <v>923.86078347</v>
      </c>
      <c r="DT271" s="873">
        <v>745.97840623000002</v>
      </c>
      <c r="DU271" s="873">
        <v>431.75178918</v>
      </c>
      <c r="DV271" s="873">
        <v>994.62843701999998</v>
      </c>
      <c r="DW271" s="873">
        <v>405.62190433999996</v>
      </c>
      <c r="DX271" s="873">
        <v>197.44119350999998</v>
      </c>
      <c r="DY271" s="873">
        <v>319.59428167999999</v>
      </c>
      <c r="DZ271" s="873">
        <v>965.30431970000006</v>
      </c>
      <c r="EA271" s="873">
        <v>741.14229727999998</v>
      </c>
      <c r="EB271" s="873">
        <v>1140.4870190699999</v>
      </c>
      <c r="EC271" s="873">
        <v>529.06549982000001</v>
      </c>
      <c r="ED271" s="873">
        <v>619.19536067999991</v>
      </c>
      <c r="EE271" s="873">
        <v>580.10937935000004</v>
      </c>
      <c r="EF271" s="873">
        <v>1777.5767695</v>
      </c>
      <c r="EH271" s="1013"/>
      <c r="EI271" s="1013"/>
      <c r="EJ271" s="1013"/>
      <c r="EK271" s="1013"/>
      <c r="EL271" s="1013"/>
      <c r="EM271" s="1013"/>
      <c r="EN271" s="1013"/>
      <c r="EO271" s="1013"/>
      <c r="EP271" s="1013"/>
      <c r="EQ271" s="1013"/>
      <c r="ER271" s="1013"/>
      <c r="ES271" s="1013"/>
      <c r="HD271" s="1013"/>
      <c r="HE271" s="1013"/>
      <c r="HF271" s="1013"/>
      <c r="HG271" s="1013"/>
      <c r="HH271" s="1013"/>
      <c r="HI271" s="1013"/>
      <c r="HJ271" s="1013"/>
      <c r="HK271" s="1013"/>
      <c r="HL271" s="1013"/>
      <c r="HM271" s="1013"/>
      <c r="HN271" s="1013"/>
      <c r="HO271" s="1013"/>
      <c r="HP271" s="1013"/>
      <c r="JA271" s="920"/>
      <c r="JB271" s="920"/>
      <c r="JC271" s="920"/>
      <c r="JD271" s="920"/>
      <c r="JE271" s="920"/>
      <c r="JF271" s="920"/>
      <c r="JG271" s="920"/>
      <c r="JH271" s="920"/>
      <c r="JI271" s="920"/>
      <c r="JJ271" s="920"/>
      <c r="JK271" s="920"/>
      <c r="JL271" s="920"/>
      <c r="JM271" s="920"/>
      <c r="JN271" s="920"/>
      <c r="JY271" s="1013"/>
      <c r="JZ271" s="1013"/>
      <c r="KA271" s="1013"/>
      <c r="KB271" s="1013"/>
      <c r="KC271" s="1013"/>
      <c r="KD271" s="1013"/>
      <c r="KE271" s="1013"/>
      <c r="KF271" s="1013"/>
      <c r="KH271" s="1013"/>
      <c r="KI271" s="1013"/>
      <c r="KJ271" s="1013"/>
      <c r="KK271" s="1013"/>
      <c r="KL271" s="1013"/>
      <c r="KM271" s="1013"/>
      <c r="KN271" s="1013"/>
      <c r="KO271" s="1013"/>
      <c r="LB271" s="920" t="e">
        <f>#VALUE!</f>
        <v>#VALUE!</v>
      </c>
      <c r="LC271" s="920" t="e">
        <f>#VALUE!</f>
        <v>#VALUE!</v>
      </c>
      <c r="LD271" s="920" t="e">
        <f>#VALUE!</f>
        <v>#VALUE!</v>
      </c>
      <c r="LE271" s="920" t="e">
        <f>#VALUE!</f>
        <v>#VALUE!</v>
      </c>
      <c r="LF271" s="920" t="e">
        <f>#VALUE!</f>
        <v>#VALUE!</v>
      </c>
      <c r="LG271" s="920"/>
      <c r="LH271" s="920"/>
      <c r="LI271" s="920"/>
      <c r="LJ271" s="920"/>
      <c r="LK271" s="920"/>
      <c r="LL271" s="920"/>
      <c r="LM271" s="920" t="e">
        <f>#VALUE!</f>
        <v>#VALUE!</v>
      </c>
      <c r="LN271" s="920" t="e">
        <f>#VALUE!</f>
        <v>#VALUE!</v>
      </c>
      <c r="LO271" s="920" t="e">
        <f>#VALUE!</f>
        <v>#VALUE!</v>
      </c>
      <c r="LR271" s="1013"/>
      <c r="LS271" s="1013"/>
      <c r="LT271" s="1013"/>
      <c r="LU271" s="1013"/>
      <c r="LV271" s="1013"/>
      <c r="LW271" s="1013"/>
      <c r="LX271" s="1013"/>
      <c r="LZ271" s="1013"/>
      <c r="MA271" s="1013"/>
      <c r="MB271" s="1013"/>
      <c r="MC271" s="1013"/>
      <c r="MD271" s="1013"/>
      <c r="ME271" s="1013"/>
      <c r="MF271" s="1013"/>
      <c r="MH271" s="1013"/>
      <c r="MI271" s="1013"/>
      <c r="MJ271" s="1013"/>
      <c r="MK271" s="1013"/>
      <c r="ML271" s="1013"/>
      <c r="MM271" s="1013"/>
      <c r="MN271" s="1013"/>
      <c r="MO271" s="1013"/>
      <c r="MP271" s="1013"/>
    </row>
    <row r="272" spans="1:354" ht="15" outlineLevel="1" thickBot="1">
      <c r="A272" s="884"/>
      <c r="C272" s="1034" t="s">
        <v>802</v>
      </c>
      <c r="D272" s="31"/>
      <c r="E272" s="1016"/>
      <c r="F272" s="1016"/>
      <c r="G272" s="1016"/>
      <c r="H272" s="1016"/>
      <c r="I272" s="1016"/>
      <c r="J272" s="1016"/>
      <c r="K272" s="1016"/>
      <c r="L272" s="1016"/>
      <c r="M272" s="1016"/>
      <c r="N272" s="1016"/>
      <c r="O272" s="1016"/>
      <c r="P272" s="1016"/>
      <c r="Q272" s="1016"/>
      <c r="R272" s="1016"/>
      <c r="S272" s="1016"/>
      <c r="T272" s="1016"/>
      <c r="U272" s="1016"/>
      <c r="V272" s="1016"/>
      <c r="W272" s="1016"/>
      <c r="X272" s="1016"/>
      <c r="Y272" s="1016"/>
      <c r="Z272" s="1016"/>
      <c r="AA272" s="1016"/>
      <c r="AB272" s="1016"/>
      <c r="AC272" s="1016"/>
      <c r="AD272" s="1016"/>
      <c r="AE272" s="1016"/>
      <c r="AF272" s="1016"/>
      <c r="AG272" s="1016"/>
      <c r="AH272" s="1016"/>
      <c r="AI272" s="1016"/>
      <c r="AJ272" s="1016"/>
      <c r="AK272" s="1016"/>
      <c r="AL272" s="1016"/>
      <c r="AM272" s="1016"/>
      <c r="AN272" s="1016"/>
      <c r="AO272" s="1004">
        <v>3927.6740448400001</v>
      </c>
      <c r="AP272" s="1044">
        <v>5020.5123421600001</v>
      </c>
      <c r="AQ272" s="1004">
        <v>3419.2864674299999</v>
      </c>
      <c r="AR272" s="1004">
        <v>2350.7707304</v>
      </c>
      <c r="AS272" s="1004">
        <v>1650.2740019</v>
      </c>
      <c r="AT272" s="1004">
        <v>1476.1518839899998</v>
      </c>
      <c r="AU272" s="1004">
        <v>1416.87157813</v>
      </c>
      <c r="AV272" s="1004">
        <v>780.86565701000006</v>
      </c>
      <c r="AW272" s="1004">
        <v>134.83202965999999</v>
      </c>
      <c r="AX272" s="1004">
        <v>1542.9781589000002</v>
      </c>
      <c r="AY272" s="1004">
        <v>1342.3403678600002</v>
      </c>
      <c r="AZ272" s="1004">
        <v>1555.0575291099999</v>
      </c>
      <c r="BA272" s="1004">
        <v>639.71991041000001</v>
      </c>
      <c r="BB272" s="1004">
        <v>816.52032979000001</v>
      </c>
      <c r="BC272" s="1004">
        <v>452.61249125000001</v>
      </c>
      <c r="BD272" s="1004">
        <v>1506.3966861600002</v>
      </c>
      <c r="BE272" s="1044">
        <v>499.77373542000004</v>
      </c>
      <c r="BF272" s="1044">
        <v>161.23459261000002</v>
      </c>
      <c r="BG272" s="1044">
        <v>267.75896308</v>
      </c>
      <c r="BH272" s="1044">
        <v>15.51668682</v>
      </c>
      <c r="BI272" s="1044">
        <v>255.01679605999999</v>
      </c>
      <c r="BJ272" s="1044">
        <v>188.68862435</v>
      </c>
      <c r="BK272" s="1044">
        <v>1201.4780900399999</v>
      </c>
      <c r="BL272" s="1044">
        <v>994.77457359000005</v>
      </c>
      <c r="BM272" s="1004">
        <f t="shared" ref="BM272:BR272" si="1215">SUM(BM258:BM271)</f>
        <v>718.85212844000012</v>
      </c>
      <c r="BN272" s="1004">
        <f t="shared" si="1215"/>
        <v>109.4931796</v>
      </c>
      <c r="BO272" s="1004">
        <f t="shared" si="1215"/>
        <v>532.60934043999998</v>
      </c>
      <c r="BP272" s="1004">
        <f t="shared" si="1215"/>
        <v>273.69954140000004</v>
      </c>
      <c r="BQ272" s="1004">
        <f t="shared" si="1215"/>
        <v>809.50538270000004</v>
      </c>
      <c r="BR272" s="1044">
        <f t="shared" si="1215"/>
        <v>760.83605007000006</v>
      </c>
      <c r="BS272" s="1044">
        <f t="shared" ref="BS272:ED272" si="1216">SUM(BS258:BS271)</f>
        <v>476.58964413999996</v>
      </c>
      <c r="BT272" s="1044">
        <f t="shared" si="1216"/>
        <v>581.39037716999997</v>
      </c>
      <c r="BU272" s="1044">
        <f t="shared" si="1216"/>
        <v>220.19216511000002</v>
      </c>
      <c r="BV272" s="1044">
        <f t="shared" si="1216"/>
        <v>1055.3493798500001</v>
      </c>
      <c r="BW272" s="1044">
        <f t="shared" si="1216"/>
        <v>882.44866954000008</v>
      </c>
      <c r="BX272" s="1044">
        <f t="shared" si="1216"/>
        <v>1388.09621137</v>
      </c>
      <c r="BY272" s="1004">
        <f t="shared" si="1216"/>
        <v>667.90073370000005</v>
      </c>
      <c r="BZ272" s="1004">
        <f t="shared" si="1216"/>
        <v>702.00959488000001</v>
      </c>
      <c r="CA272" s="1004">
        <f t="shared" si="1216"/>
        <v>510.77248453999999</v>
      </c>
      <c r="CB272" s="1004">
        <f t="shared" si="1216"/>
        <v>671.07141213</v>
      </c>
      <c r="CC272" s="1004">
        <f t="shared" si="1216"/>
        <v>738.70474507000006</v>
      </c>
      <c r="CD272" s="1004">
        <f t="shared" si="1216"/>
        <v>629.21219284000006</v>
      </c>
      <c r="CE272" s="1004">
        <f t="shared" si="1216"/>
        <v>1715.98444193</v>
      </c>
      <c r="CF272" s="1004">
        <f t="shared" si="1216"/>
        <v>1509.72160919</v>
      </c>
      <c r="CG272" s="1004">
        <f t="shared" si="1216"/>
        <v>782.64187455999991</v>
      </c>
      <c r="CH272" s="1004">
        <f t="shared" si="1216"/>
        <v>427.26837176999999</v>
      </c>
      <c r="CI272" s="1004">
        <f t="shared" si="1216"/>
        <v>407.80054680999996</v>
      </c>
      <c r="CJ272" s="1004">
        <f t="shared" si="1216"/>
        <v>571.73365359000002</v>
      </c>
      <c r="CK272" s="1004">
        <f t="shared" si="1216"/>
        <v>155.42977234</v>
      </c>
      <c r="CL272" s="1004">
        <f t="shared" si="1216"/>
        <v>477.99723272</v>
      </c>
      <c r="CM272" s="1004">
        <f t="shared" si="1216"/>
        <v>520.68249634000006</v>
      </c>
      <c r="CN272" s="1004">
        <f t="shared" si="1216"/>
        <v>462.44139431999997</v>
      </c>
      <c r="CO272" s="1004">
        <f t="shared" si="1216"/>
        <v>539.25651460999995</v>
      </c>
      <c r="CP272" s="1004">
        <f t="shared" si="1216"/>
        <v>749.59060106000004</v>
      </c>
      <c r="CQ272" s="1004">
        <f t="shared" si="1216"/>
        <v>1199.6205524</v>
      </c>
      <c r="CR272" s="1004">
        <f t="shared" si="1216"/>
        <v>1980.7564374600001</v>
      </c>
      <c r="CS272" s="1004">
        <f t="shared" si="1216"/>
        <v>1907.68393758</v>
      </c>
      <c r="CT272" s="1004">
        <f t="shared" si="1216"/>
        <v>1463.4634760200001</v>
      </c>
      <c r="CU272" s="1004">
        <f t="shared" si="1216"/>
        <v>1025.66350713</v>
      </c>
      <c r="CV272" s="1004">
        <f t="shared" si="1216"/>
        <v>1771.2793721900002</v>
      </c>
      <c r="CW272" s="1004">
        <f t="shared" si="1216"/>
        <v>1439.87897802</v>
      </c>
      <c r="CX272" s="1004">
        <f t="shared" si="1216"/>
        <v>693.67248210000002</v>
      </c>
      <c r="CY272" s="1004">
        <f t="shared" si="1216"/>
        <v>300.89807716000001</v>
      </c>
      <c r="CZ272" s="1004">
        <f t="shared" si="1216"/>
        <v>1616.4487882999999</v>
      </c>
      <c r="DA272" s="1004">
        <f t="shared" si="1216"/>
        <v>1255.9867732600001</v>
      </c>
      <c r="DB272" s="1004">
        <f t="shared" si="1216"/>
        <v>1741.70615357</v>
      </c>
      <c r="DC272" s="1004">
        <f t="shared" si="1216"/>
        <v>1403.95910942</v>
      </c>
      <c r="DD272" s="1004">
        <f t="shared" si="1216"/>
        <v>909.46979743999998</v>
      </c>
      <c r="DE272" s="1004">
        <f t="shared" si="1216"/>
        <v>370.59758851999999</v>
      </c>
      <c r="DF272" s="1004">
        <f t="shared" si="1216"/>
        <v>487.45576003000002</v>
      </c>
      <c r="DG272" s="1004">
        <f t="shared" si="1216"/>
        <v>489.28558096</v>
      </c>
      <c r="DH272" s="1004">
        <f t="shared" si="1216"/>
        <v>1512.67682281</v>
      </c>
      <c r="DI272" s="1004">
        <f t="shared" si="1216"/>
        <v>888.06089162000001</v>
      </c>
      <c r="DJ272" s="1004">
        <f t="shared" si="1216"/>
        <v>1176.2797645599999</v>
      </c>
      <c r="DK272" s="1004">
        <f t="shared" si="1216"/>
        <v>858.49408739</v>
      </c>
      <c r="DL272" s="1004">
        <f t="shared" si="1216"/>
        <v>1450.47924051</v>
      </c>
      <c r="DM272" s="1004">
        <f t="shared" si="1216"/>
        <v>1190.4904555099999</v>
      </c>
      <c r="DN272" s="1004">
        <f t="shared" si="1216"/>
        <v>1151.4078454400001</v>
      </c>
      <c r="DO272" s="1004">
        <f t="shared" si="1216"/>
        <v>980.39310339000008</v>
      </c>
      <c r="DP272" s="1004">
        <f t="shared" si="1216"/>
        <v>919.07762647999994</v>
      </c>
      <c r="DQ272" s="1004">
        <f t="shared" si="1216"/>
        <v>1002.16662962</v>
      </c>
      <c r="DR272" s="1004">
        <f t="shared" si="1216"/>
        <v>1689.8505163100001</v>
      </c>
      <c r="DS272" s="1004">
        <f t="shared" si="1216"/>
        <v>925.62286967</v>
      </c>
      <c r="DT272" s="1004">
        <f t="shared" si="1216"/>
        <v>747.73482663000004</v>
      </c>
      <c r="DU272" s="1004">
        <f t="shared" si="1216"/>
        <v>433.50848317999998</v>
      </c>
      <c r="DV272" s="1004">
        <f t="shared" si="1216"/>
        <v>996.37145862</v>
      </c>
      <c r="DW272" s="1004">
        <f t="shared" si="1216"/>
        <v>407.33405283999997</v>
      </c>
      <c r="DX272" s="1004">
        <f t="shared" si="1216"/>
        <v>199.19478480999999</v>
      </c>
      <c r="DY272" s="1004">
        <f t="shared" si="1216"/>
        <v>321.31342788000001</v>
      </c>
      <c r="DZ272" s="1004">
        <f t="shared" si="1216"/>
        <v>967.08853900000008</v>
      </c>
      <c r="EA272" s="1004">
        <f t="shared" si="1216"/>
        <v>742.95935427999996</v>
      </c>
      <c r="EB272" s="1004">
        <f t="shared" si="1216"/>
        <v>1142.3230494699999</v>
      </c>
      <c r="EC272" s="1004">
        <f t="shared" si="1216"/>
        <v>530.92659312000001</v>
      </c>
      <c r="ED272" s="1004">
        <f t="shared" si="1216"/>
        <v>621.63636725999993</v>
      </c>
      <c r="EE272" s="1004">
        <f t="shared" ref="EE272:EF272" si="1217">SUM(EE258:EE271)</f>
        <v>582.54742284000008</v>
      </c>
      <c r="EF272" s="1004">
        <f t="shared" si="1217"/>
        <v>1780.0150192999999</v>
      </c>
      <c r="EH272" s="1045"/>
      <c r="EI272" s="1045"/>
      <c r="EJ272" s="1045"/>
      <c r="EK272" s="1045"/>
      <c r="EL272" s="1045"/>
      <c r="EM272" s="1045"/>
      <c r="EN272" s="1045"/>
      <c r="EO272" s="1045"/>
      <c r="EP272" s="1045"/>
      <c r="EQ272" s="1045"/>
      <c r="ER272" s="1045"/>
      <c r="ES272" s="1045"/>
      <c r="HD272" s="1045"/>
      <c r="HE272" s="1045"/>
      <c r="HF272" s="1045"/>
      <c r="HG272" s="1045"/>
      <c r="HH272" s="1045"/>
      <c r="HI272" s="1045"/>
      <c r="HJ272" s="1045"/>
      <c r="HK272" s="1045"/>
      <c r="HL272" s="1045"/>
      <c r="HM272" s="1045"/>
      <c r="HN272" s="1045"/>
      <c r="HO272" s="1045"/>
      <c r="HP272" s="1045"/>
      <c r="JA272" s="1044"/>
      <c r="JB272" s="1044"/>
      <c r="JC272" s="1044"/>
      <c r="JD272" s="1044"/>
      <c r="JE272" s="1044"/>
      <c r="JF272" s="1044"/>
      <c r="JG272" s="1044"/>
      <c r="JH272" s="1044"/>
      <c r="JI272" s="1044"/>
      <c r="JJ272" s="1044"/>
      <c r="JK272" s="1044"/>
      <c r="JL272" s="1044"/>
      <c r="JM272" s="1044"/>
      <c r="JN272" s="1044"/>
      <c r="JY272" s="1045"/>
      <c r="JZ272" s="1045"/>
      <c r="KA272" s="1045"/>
      <c r="KB272" s="1045"/>
      <c r="KC272" s="1045"/>
      <c r="KD272" s="1045"/>
      <c r="KE272" s="1045"/>
      <c r="KF272" s="1045"/>
      <c r="KH272" s="1045"/>
      <c r="KI272" s="1045"/>
      <c r="KJ272" s="1045"/>
      <c r="KK272" s="1045"/>
      <c r="KL272" s="1045"/>
      <c r="KM272" s="1045"/>
      <c r="KN272" s="1045"/>
      <c r="KO272" s="1045"/>
      <c r="LB272" s="1044" t="e">
        <f>#VALUE!</f>
        <v>#VALUE!</v>
      </c>
      <c r="LC272" s="1044" t="e">
        <f>#VALUE!</f>
        <v>#VALUE!</v>
      </c>
      <c r="LD272" s="1044" t="e">
        <f>#VALUE!</f>
        <v>#VALUE!</v>
      </c>
      <c r="LE272" s="1044" t="e">
        <f>#VALUE!</f>
        <v>#VALUE!</v>
      </c>
      <c r="LF272" s="1044" t="e">
        <f>#VALUE!</f>
        <v>#VALUE!</v>
      </c>
      <c r="LG272" s="1044"/>
      <c r="LH272" s="1044"/>
      <c r="LI272" s="1044"/>
      <c r="LJ272" s="1044"/>
      <c r="LK272" s="1044"/>
      <c r="LL272" s="1044"/>
      <c r="LM272" s="1044" t="e">
        <f>#VALUE!</f>
        <v>#VALUE!</v>
      </c>
      <c r="LN272" s="1044" t="e">
        <f>#VALUE!</f>
        <v>#VALUE!</v>
      </c>
      <c r="LO272" s="1044" t="e">
        <f>#VALUE!</f>
        <v>#VALUE!</v>
      </c>
      <c r="LR272" s="1045"/>
      <c r="LS272" s="1045"/>
      <c r="LT272" s="1045"/>
      <c r="LU272" s="1045"/>
      <c r="LV272" s="1045"/>
      <c r="LW272" s="1045"/>
      <c r="LX272" s="1045"/>
      <c r="LZ272" s="1045"/>
      <c r="MA272" s="1045"/>
      <c r="MB272" s="1045"/>
      <c r="MC272" s="1045"/>
      <c r="MD272" s="1045"/>
      <c r="ME272" s="1045"/>
      <c r="MF272" s="1045"/>
      <c r="MH272" s="1045"/>
      <c r="MI272" s="1045"/>
      <c r="MJ272" s="1045"/>
      <c r="MK272" s="1045"/>
      <c r="ML272" s="1045"/>
      <c r="MM272" s="1045"/>
      <c r="MN272" s="1045"/>
      <c r="MO272" s="1045"/>
      <c r="MP272" s="1045"/>
    </row>
    <row r="273" spans="1:327" ht="15" thickTop="1">
      <c r="A273" s="884"/>
      <c r="C273" s="1046"/>
      <c r="D273" s="31"/>
      <c r="DQ273" s="873"/>
      <c r="DR273" s="873"/>
      <c r="DS273" s="873"/>
      <c r="DT273" s="873"/>
      <c r="DU273" s="873"/>
      <c r="DV273" s="873"/>
      <c r="DW273" s="873"/>
      <c r="DX273" s="873"/>
      <c r="DY273" s="873"/>
      <c r="DZ273" s="873"/>
      <c r="EA273" s="873"/>
      <c r="EB273" s="873"/>
      <c r="EC273" s="873"/>
      <c r="ED273" s="873"/>
      <c r="EE273" s="873"/>
      <c r="EF273" s="873"/>
    </row>
    <row r="274" spans="1:327" ht="15" thickBot="1">
      <c r="A274" s="917" t="s">
        <v>618</v>
      </c>
      <c r="C274" s="1034" t="s">
        <v>803</v>
      </c>
      <c r="D274" s="31"/>
      <c r="BM274" s="628"/>
      <c r="BN274" s="972"/>
      <c r="BY274" s="628"/>
      <c r="BZ274" s="628"/>
      <c r="CA274" s="628"/>
      <c r="CB274" s="628"/>
      <c r="CC274" s="628"/>
      <c r="CD274" s="628"/>
      <c r="CE274" s="628"/>
      <c r="CF274" s="628"/>
      <c r="CG274" s="628"/>
      <c r="CH274" s="628"/>
      <c r="CI274" s="628"/>
      <c r="CJ274" s="628"/>
      <c r="CK274" s="628"/>
      <c r="CL274" s="628"/>
      <c r="CM274" s="628"/>
      <c r="CN274" s="628"/>
      <c r="CO274" s="628"/>
      <c r="CP274" s="628"/>
      <c r="CQ274" s="628"/>
      <c r="CR274" s="628"/>
      <c r="CS274" s="628"/>
      <c r="CT274" s="628"/>
      <c r="CU274" s="628"/>
      <c r="CV274" s="628"/>
      <c r="CW274" s="628"/>
      <c r="CX274" s="628"/>
      <c r="CY274" s="628"/>
      <c r="CZ274" s="628"/>
      <c r="DA274" s="628"/>
      <c r="DB274" s="628"/>
      <c r="DC274" s="628"/>
      <c r="DD274" s="628"/>
      <c r="DE274" s="628"/>
      <c r="DF274" s="628"/>
      <c r="DG274" s="628"/>
      <c r="DH274" s="628"/>
      <c r="DI274" s="628"/>
      <c r="DJ274" s="628"/>
      <c r="DK274" s="628"/>
      <c r="DL274" s="628"/>
      <c r="DM274" s="628"/>
      <c r="DN274" s="628"/>
      <c r="DO274" s="628"/>
      <c r="DP274" s="628"/>
      <c r="DQ274" s="873"/>
      <c r="DR274" s="873"/>
      <c r="DS274" s="873"/>
      <c r="DT274" s="873"/>
      <c r="DU274" s="873"/>
      <c r="DV274" s="873"/>
      <c r="DW274" s="873"/>
      <c r="DX274" s="873"/>
      <c r="DY274" s="873"/>
      <c r="DZ274" s="873"/>
      <c r="EA274" s="873"/>
      <c r="EB274" s="873"/>
      <c r="EC274" s="873"/>
      <c r="ED274" s="873"/>
      <c r="EE274" s="873"/>
      <c r="EF274" s="873"/>
    </row>
    <row r="275" spans="1:327" ht="15" thickTop="1">
      <c r="A275" s="867"/>
      <c r="C275" s="1046"/>
      <c r="D275" s="31"/>
      <c r="BM275" s="628"/>
      <c r="BN275" s="972"/>
      <c r="BY275" s="628"/>
      <c r="BZ275" s="628"/>
      <c r="CA275" s="628"/>
      <c r="CB275" s="628"/>
      <c r="CC275" s="628"/>
      <c r="CD275" s="628"/>
      <c r="CE275" s="628"/>
      <c r="CF275" s="628"/>
      <c r="CG275" s="628"/>
      <c r="CH275" s="628"/>
      <c r="CI275" s="628"/>
      <c r="CJ275" s="628"/>
      <c r="CK275" s="628"/>
      <c r="CL275" s="628"/>
      <c r="CM275" s="628"/>
      <c r="CN275" s="628"/>
      <c r="CO275" s="628"/>
      <c r="CP275" s="628"/>
      <c r="CQ275" s="628"/>
      <c r="CR275" s="628"/>
      <c r="CS275" s="628"/>
      <c r="CT275" s="628"/>
      <c r="CU275" s="628"/>
      <c r="CV275" s="628"/>
      <c r="CW275" s="628"/>
      <c r="CX275" s="628"/>
      <c r="CY275" s="628"/>
      <c r="CZ275" s="628"/>
      <c r="DA275" s="628"/>
      <c r="DB275" s="628"/>
      <c r="DC275" s="628"/>
      <c r="DD275" s="628"/>
      <c r="DE275" s="628"/>
      <c r="DF275" s="628"/>
      <c r="DG275" s="628"/>
      <c r="DH275" s="628"/>
      <c r="DI275" s="628"/>
      <c r="DJ275" s="628"/>
      <c r="DK275" s="628"/>
      <c r="DL275" s="628"/>
      <c r="DM275" s="628"/>
      <c r="DN275" s="628"/>
      <c r="DO275" s="628"/>
      <c r="DP275" s="628"/>
      <c r="DQ275" s="873"/>
      <c r="DR275" s="873"/>
      <c r="DS275" s="873"/>
      <c r="DT275" s="873"/>
      <c r="DU275" s="873"/>
      <c r="DV275" s="873"/>
      <c r="DW275" s="873"/>
      <c r="DX275" s="873"/>
      <c r="DY275" s="873"/>
      <c r="DZ275" s="873"/>
      <c r="EA275" s="873"/>
      <c r="EB275" s="873"/>
      <c r="EC275" s="873"/>
      <c r="ED275" s="873"/>
      <c r="EE275" s="873"/>
      <c r="EF275" s="873"/>
    </row>
    <row r="276" spans="1:327">
      <c r="A276" s="867"/>
      <c r="C276" s="185" t="s">
        <v>804</v>
      </c>
      <c r="D276" s="307"/>
      <c r="BN276" s="972"/>
      <c r="DQ276" s="873"/>
      <c r="DR276" s="873"/>
      <c r="DS276" s="873"/>
      <c r="DT276" s="873"/>
      <c r="DU276" s="873"/>
      <c r="DV276" s="873"/>
      <c r="DW276" s="873"/>
      <c r="DX276" s="873"/>
      <c r="DY276" s="873"/>
      <c r="DZ276" s="873"/>
      <c r="EA276" s="873"/>
      <c r="EB276" s="873"/>
      <c r="EC276" s="873"/>
      <c r="ED276" s="873"/>
      <c r="EE276" s="873"/>
      <c r="EF276" s="873"/>
    </row>
    <row r="277" spans="1:327">
      <c r="A277" s="867"/>
      <c r="C277" s="47" t="s">
        <v>805</v>
      </c>
      <c r="D277" s="51" t="s">
        <v>251</v>
      </c>
      <c r="E277" s="1047">
        <f t="shared" ref="E277:AN277" si="1218">+IFERROR(E117/E168," ")</f>
        <v>1.4065036334052081</v>
      </c>
      <c r="F277" s="1047">
        <f t="shared" si="1218"/>
        <v>1.7806352537151209</v>
      </c>
      <c r="G277" s="1047">
        <f t="shared" si="1218"/>
        <v>1.5644732149196212</v>
      </c>
      <c r="H277" s="1047">
        <f t="shared" si="1218"/>
        <v>1.5789857810110495</v>
      </c>
      <c r="I277" s="1047">
        <f t="shared" si="1218"/>
        <v>1.702257059309471</v>
      </c>
      <c r="J277" s="1047">
        <f t="shared" si="1218"/>
        <v>1.7487208800336556</v>
      </c>
      <c r="K277" s="1047">
        <f t="shared" si="1218"/>
        <v>1.8606910607485825</v>
      </c>
      <c r="L277" s="1047">
        <f t="shared" si="1218"/>
        <v>2.2200536586914423</v>
      </c>
      <c r="M277" s="1047">
        <f t="shared" si="1218"/>
        <v>2.6451243177301298</v>
      </c>
      <c r="N277" s="1047">
        <f t="shared" si="1218"/>
        <v>3.4161700077172337</v>
      </c>
      <c r="O277" s="1047">
        <f t="shared" si="1218"/>
        <v>4.0026948890365528</v>
      </c>
      <c r="P277" s="1047">
        <f t="shared" si="1218"/>
        <v>4.1307979688131402</v>
      </c>
      <c r="Q277" s="1047">
        <f t="shared" si="1218"/>
        <v>3.078562847249656</v>
      </c>
      <c r="R277" s="1047">
        <f t="shared" si="1218"/>
        <v>3.3859623956138911</v>
      </c>
      <c r="S277" s="1047">
        <f t="shared" si="1218"/>
        <v>3.4601094538779882</v>
      </c>
      <c r="T277" s="1047">
        <f t="shared" si="1218"/>
        <v>1.5516777847397305</v>
      </c>
      <c r="U277" s="1047">
        <f t="shared" si="1218"/>
        <v>1.7995295354783507</v>
      </c>
      <c r="V277" s="1047">
        <f t="shared" si="1218"/>
        <v>2.0670395461184832</v>
      </c>
      <c r="W277" s="1047">
        <f t="shared" si="1218"/>
        <v>2.3958391090661859</v>
      </c>
      <c r="X277" s="1047">
        <f t="shared" si="1218"/>
        <v>2.5896274735931413</v>
      </c>
      <c r="Y277" s="1047">
        <f t="shared" si="1218"/>
        <v>2.660397898760384</v>
      </c>
      <c r="Z277" s="1047">
        <f t="shared" si="1218"/>
        <v>2.5422671510577222</v>
      </c>
      <c r="AA277" s="1047">
        <f t="shared" si="1218"/>
        <v>2.9400032712271456</v>
      </c>
      <c r="AB277" s="1047">
        <f t="shared" si="1218"/>
        <v>3.2368800409341851</v>
      </c>
      <c r="AC277" s="1047">
        <f t="shared" si="1218"/>
        <v>3.6766143100026345</v>
      </c>
      <c r="AD277" s="1047">
        <f t="shared" si="1218"/>
        <v>4.1232345213244557</v>
      </c>
      <c r="AE277" s="1047">
        <f t="shared" si="1218"/>
        <v>4.558271668067869</v>
      </c>
      <c r="AF277" s="1047">
        <f t="shared" si="1218"/>
        <v>1.9690067262142088</v>
      </c>
      <c r="AG277" s="1047">
        <f t="shared" si="1218"/>
        <v>2.0332440960943443</v>
      </c>
      <c r="AH277" s="1047">
        <f t="shared" si="1218"/>
        <v>2.1886805118616337</v>
      </c>
      <c r="AI277" s="1047">
        <f t="shared" si="1218"/>
        <v>2.2695357577993107</v>
      </c>
      <c r="AJ277" s="1047">
        <f t="shared" si="1218"/>
        <v>2.1217877068852831</v>
      </c>
      <c r="AK277" s="1047">
        <f t="shared" si="1218"/>
        <v>2.2930758758427809</v>
      </c>
      <c r="AL277" s="1047">
        <f t="shared" si="1218"/>
        <v>2.3595378992842906</v>
      </c>
      <c r="AM277" s="1047">
        <f t="shared" si="1218"/>
        <v>2.2463169090626267</v>
      </c>
      <c r="AN277" s="1047">
        <f t="shared" si="1218"/>
        <v>2.6041482093249506</v>
      </c>
      <c r="AO277" s="1047">
        <v>3.1377234038498005</v>
      </c>
      <c r="AP277" s="1047">
        <v>2.0207876502164517</v>
      </c>
      <c r="AQ277" s="1047">
        <v>2.2729100046457531</v>
      </c>
      <c r="AR277" s="1047">
        <v>1.60402433735282</v>
      </c>
      <c r="AS277" s="1047">
        <v>1.3815444199844089</v>
      </c>
      <c r="AT277" s="1047">
        <v>1.1655034157375821</v>
      </c>
      <c r="AU277" s="1047">
        <v>1.1970099940262025</v>
      </c>
      <c r="AV277" s="1047">
        <v>1.2046665611770913</v>
      </c>
      <c r="AW277" s="1047">
        <v>1.1542787824093528</v>
      </c>
      <c r="AX277" s="1047">
        <v>1.1624737729325487</v>
      </c>
      <c r="AY277" s="1047">
        <v>1.1060857811730693</v>
      </c>
      <c r="AZ277" s="1047">
        <v>1.062706998521763</v>
      </c>
      <c r="BA277" s="1047">
        <v>0.94158713266583105</v>
      </c>
      <c r="BB277" s="1047">
        <v>0.8945046402038912</v>
      </c>
      <c r="BC277" s="1047">
        <v>0.82294186545678005</v>
      </c>
      <c r="BD277" s="1047">
        <v>0.86844668575220951</v>
      </c>
      <c r="BE277" s="1047">
        <v>0.78393984835725194</v>
      </c>
      <c r="BF277" s="1047">
        <v>0.72442534924832991</v>
      </c>
      <c r="BG277" s="1047">
        <v>0.73618441517757938</v>
      </c>
      <c r="BH277" s="1047">
        <v>0.64025333965000697</v>
      </c>
      <c r="BI277" s="1047">
        <v>0.63118718610313251</v>
      </c>
      <c r="BJ277" s="1047">
        <v>0.62704817285532888</v>
      </c>
      <c r="BK277" s="1047">
        <v>0.65572711652164384</v>
      </c>
      <c r="BL277" s="1047">
        <v>0.69416544440611305</v>
      </c>
      <c r="BM277" s="1047">
        <f t="shared" ref="BM277:DX277" si="1219">+IFERROR(BM117/BM168," ")</f>
        <v>0.71215727344469226</v>
      </c>
      <c r="BN277" s="1047">
        <f t="shared" si="1219"/>
        <v>0.72255619677901184</v>
      </c>
      <c r="BO277" s="1047">
        <f t="shared" si="1219"/>
        <v>0.73099081886735229</v>
      </c>
      <c r="BP277" s="1047">
        <f t="shared" si="1219"/>
        <v>0.76657043060233931</v>
      </c>
      <c r="BQ277" s="1047">
        <f t="shared" si="1219"/>
        <v>0.75786717616603461</v>
      </c>
      <c r="BR277" s="1047">
        <f t="shared" si="1219"/>
        <v>0.76664172764518734</v>
      </c>
      <c r="BS277" s="1047">
        <f t="shared" si="1219"/>
        <v>0.77583675468023372</v>
      </c>
      <c r="BT277" s="1047">
        <f t="shared" si="1219"/>
        <v>0.7860040766047961</v>
      </c>
      <c r="BU277" s="1047">
        <f t="shared" si="1219"/>
        <v>0.77952656504410278</v>
      </c>
      <c r="BV277" s="1047">
        <f t="shared" si="1219"/>
        <v>0.81188316507193348</v>
      </c>
      <c r="BW277" s="1047">
        <f t="shared" si="1219"/>
        <v>0.83553325447944349</v>
      </c>
      <c r="BX277" s="1047">
        <f t="shared" si="1219"/>
        <v>0.77763285741302846</v>
      </c>
      <c r="BY277" s="1047">
        <f t="shared" si="1219"/>
        <v>0.78586757028218945</v>
      </c>
      <c r="BZ277" s="1047">
        <f t="shared" si="1219"/>
        <v>0.76836420258598981</v>
      </c>
      <c r="CA277" s="1047">
        <f t="shared" si="1219"/>
        <v>0.74872044014343575</v>
      </c>
      <c r="CB277" s="1047">
        <f t="shared" si="1219"/>
        <v>0.7328803216542652</v>
      </c>
      <c r="CC277" s="1047">
        <f t="shared" si="1219"/>
        <v>0.70512661098107032</v>
      </c>
      <c r="CD277" s="1047">
        <f t="shared" si="1219"/>
        <v>0.70712661813028455</v>
      </c>
      <c r="CE277" s="1047">
        <f t="shared" si="1219"/>
        <v>0.72400171451254225</v>
      </c>
      <c r="CF277" s="1047">
        <f t="shared" si="1219"/>
        <v>0.76600284595248502</v>
      </c>
      <c r="CG277" s="1047">
        <f t="shared" si="1219"/>
        <v>0.76625064102499207</v>
      </c>
      <c r="CH277" s="1047">
        <f t="shared" si="1219"/>
        <v>0.7811976476381246</v>
      </c>
      <c r="CI277" s="1047">
        <f t="shared" si="1219"/>
        <v>0.82642282995038285</v>
      </c>
      <c r="CJ277" s="1047">
        <f t="shared" si="1219"/>
        <v>0.77972140477301077</v>
      </c>
      <c r="CK277" s="1047">
        <f t="shared" si="1219"/>
        <v>0.83165396312636464</v>
      </c>
      <c r="CL277" s="1047">
        <f t="shared" si="1219"/>
        <v>0.81290613903957132</v>
      </c>
      <c r="CM277" s="1047">
        <f t="shared" si="1219"/>
        <v>0.85164147142086888</v>
      </c>
      <c r="CN277" s="1047">
        <f t="shared" si="1219"/>
        <v>0.87137122466929806</v>
      </c>
      <c r="CO277" s="1047">
        <f t="shared" si="1219"/>
        <v>0.9160575734971903</v>
      </c>
      <c r="CP277" s="1047">
        <f t="shared" si="1219"/>
        <v>0.89561993652044447</v>
      </c>
      <c r="CQ277" s="1047">
        <f t="shared" si="1219"/>
        <v>0.90401421426700601</v>
      </c>
      <c r="CR277" s="1047">
        <f t="shared" si="1219"/>
        <v>0.94466943435343875</v>
      </c>
      <c r="CS277" s="1047">
        <f t="shared" si="1219"/>
        <v>0.9600110082259895</v>
      </c>
      <c r="CT277" s="1047">
        <f t="shared" si="1219"/>
        <v>1.0260154725096888</v>
      </c>
      <c r="CU277" s="1047">
        <f t="shared" si="1219"/>
        <v>1.0532361572281639</v>
      </c>
      <c r="CV277" s="1047">
        <f t="shared" si="1219"/>
        <v>0.96245090233221853</v>
      </c>
      <c r="CW277" s="1047">
        <f t="shared" si="1219"/>
        <v>1.0528766956261184</v>
      </c>
      <c r="CX277" s="1047">
        <f t="shared" si="1219"/>
        <v>1.0447412920774861</v>
      </c>
      <c r="CY277" s="1047">
        <f t="shared" si="1219"/>
        <v>1.1247085659621918</v>
      </c>
      <c r="CZ277" s="1047">
        <f t="shared" si="1219"/>
        <v>1.0800602838648148</v>
      </c>
      <c r="DA277" s="1047">
        <f t="shared" si="1219"/>
        <v>1.0403923902566057</v>
      </c>
      <c r="DB277" s="1047">
        <f t="shared" si="1219"/>
        <v>0.80867998348866155</v>
      </c>
      <c r="DC277" s="1047">
        <f t="shared" si="1219"/>
        <v>0.76962463282098303</v>
      </c>
      <c r="DD277" s="1047">
        <f t="shared" si="1219"/>
        <v>0.81300190308478049</v>
      </c>
      <c r="DE277" s="1047">
        <f t="shared" si="1219"/>
        <v>0.85333506138031412</v>
      </c>
      <c r="DF277" s="1047">
        <f t="shared" si="1219"/>
        <v>0.88909046245013135</v>
      </c>
      <c r="DG277" s="1047">
        <f t="shared" si="1219"/>
        <v>0.89317779563231436</v>
      </c>
      <c r="DH277" s="1047">
        <f t="shared" si="1219"/>
        <v>0.91310761297328225</v>
      </c>
      <c r="DI277" s="1047">
        <f t="shared" si="1219"/>
        <v>0.97973582814293425</v>
      </c>
      <c r="DJ277" s="1047">
        <f t="shared" si="1219"/>
        <v>0.9698946945288629</v>
      </c>
      <c r="DK277" s="1047">
        <f t="shared" si="1219"/>
        <v>0.97827095033738831</v>
      </c>
      <c r="DL277" s="1047">
        <f t="shared" si="1219"/>
        <v>1.0873769244368399</v>
      </c>
      <c r="DM277" s="1047">
        <f t="shared" si="1219"/>
        <v>1.1010218505457083</v>
      </c>
      <c r="DN277" s="1047">
        <f t="shared" si="1219"/>
        <v>1.1029379890887836</v>
      </c>
      <c r="DO277" s="1047">
        <f t="shared" si="1219"/>
        <v>1.1384666338653369</v>
      </c>
      <c r="DP277" s="1047">
        <f t="shared" si="1219"/>
        <v>1.1626307052029963</v>
      </c>
      <c r="DQ277" s="1180">
        <f t="shared" si="1219"/>
        <v>1.0452350307398335</v>
      </c>
      <c r="DR277" s="1180">
        <f t="shared" si="1219"/>
        <v>1.0514379571936781</v>
      </c>
      <c r="DS277" s="1180">
        <f t="shared" si="1219"/>
        <v>1.0720875841037569</v>
      </c>
      <c r="DT277" s="1180">
        <f t="shared" si="1219"/>
        <v>1.0119820460942566</v>
      </c>
      <c r="DU277" s="1180">
        <f t="shared" si="1219"/>
        <v>1.1652097079345194</v>
      </c>
      <c r="DV277" s="1180">
        <f t="shared" si="1219"/>
        <v>1.0991390538009804</v>
      </c>
      <c r="DW277" s="1180">
        <f t="shared" si="1219"/>
        <v>1.0583817473346258</v>
      </c>
      <c r="DX277" s="1180">
        <f t="shared" si="1219"/>
        <v>1.0537234903015564</v>
      </c>
      <c r="DY277" s="1180">
        <f t="shared" ref="DY277:EF277" si="1220">+IFERROR(DY117/DY168," ")</f>
        <v>1.0498970016006572</v>
      </c>
      <c r="DZ277" s="1180">
        <f t="shared" si="1220"/>
        <v>1.0914721205987286</v>
      </c>
      <c r="EA277" s="1180">
        <f t="shared" si="1220"/>
        <v>1.1040422725448447</v>
      </c>
      <c r="EB277" s="1180">
        <f t="shared" si="1220"/>
        <v>1.1189576726001655</v>
      </c>
      <c r="EC277" s="1180">
        <f t="shared" si="1220"/>
        <v>1.1328503949148978</v>
      </c>
      <c r="ED277" s="1180">
        <f t="shared" si="1220"/>
        <v>1.2611061348474857</v>
      </c>
      <c r="EE277" s="1180">
        <f t="shared" si="1220"/>
        <v>1.3166185582402814</v>
      </c>
      <c r="EF277" s="1180">
        <f t="shared" si="1220"/>
        <v>1.0512563617526351</v>
      </c>
      <c r="EH277" s="1047">
        <f t="shared" ref="EH277:ER277" si="1221">+IFERROR(CL117/CL168," ")</f>
        <v>0.81290613903957132</v>
      </c>
      <c r="EI277" s="1047">
        <f t="shared" si="1221"/>
        <v>0.85164147142086888</v>
      </c>
      <c r="EJ277" s="1047">
        <f t="shared" si="1221"/>
        <v>0.87137122466929806</v>
      </c>
      <c r="EK277" s="1047">
        <f t="shared" si="1221"/>
        <v>0.9160575734971903</v>
      </c>
      <c r="EL277" s="1047">
        <f t="shared" si="1221"/>
        <v>0.89561993652044447</v>
      </c>
      <c r="EM277" s="1047">
        <f t="shared" si="1221"/>
        <v>0.90401421426700601</v>
      </c>
      <c r="EN277" s="1047">
        <f t="shared" si="1221"/>
        <v>0.94466943435343875</v>
      </c>
      <c r="EO277" s="1047">
        <f t="shared" si="1221"/>
        <v>0.9600110082259895</v>
      </c>
      <c r="EP277" s="1047">
        <f t="shared" si="1221"/>
        <v>1.0260154725096888</v>
      </c>
      <c r="EQ277" s="1047">
        <f t="shared" si="1221"/>
        <v>1.0532361572281639</v>
      </c>
      <c r="ER277" s="1047">
        <f t="shared" si="1221"/>
        <v>0.96245090233221853</v>
      </c>
      <c r="ES277" s="1047" t="str">
        <f>+IFERROR(EG117/EG168," ")</f>
        <v xml:space="preserve"> </v>
      </c>
      <c r="HD277" s="1047">
        <f>+IFERROR(HD117/HD168," ")</f>
        <v>4.1307979688131402</v>
      </c>
      <c r="HE277" s="1047">
        <f>+IFERROR(HE117/HE168," ")</f>
        <v>3.2368800409341851</v>
      </c>
      <c r="HF277" s="1047">
        <f>+IFERROR(HF117/HF168," ")</f>
        <v>2.6041482093249506</v>
      </c>
      <c r="HG277" s="1047">
        <f>+IFERROR(HG117/HG168," ")</f>
        <v>0.9737510970275608</v>
      </c>
      <c r="HH277" s="1047">
        <f t="shared" ref="HH277:HI280" si="1222">+SUMIFS($E277:$BL277,$E$6:$BL$6,HH$7,$E$5:$BL$5,12)</f>
        <v>0.69416544440611305</v>
      </c>
      <c r="HI277" s="1047">
        <f t="shared" si="1222"/>
        <v>0</v>
      </c>
      <c r="HJ277" s="1047"/>
      <c r="HK277" s="1047"/>
      <c r="HL277" s="1180"/>
      <c r="HM277" s="1180"/>
      <c r="HN277" s="1180"/>
      <c r="HO277" s="1047"/>
      <c r="HP277" s="1047" t="str">
        <f>+IFERROR(HP117/HP168," ")</f>
        <v xml:space="preserve"> </v>
      </c>
      <c r="IA277" s="1048"/>
      <c r="IB277" s="1048"/>
      <c r="IC277" s="1048"/>
      <c r="IF277" s="1048"/>
      <c r="IG277" s="1048"/>
      <c r="IH277" s="1048"/>
      <c r="II277" s="1048"/>
      <c r="IJ277" s="1048"/>
      <c r="IK277" s="1048"/>
      <c r="IL277" s="1048"/>
      <c r="IM277" s="1048"/>
      <c r="IN277" s="1048"/>
      <c r="IP277" s="1048"/>
      <c r="IQ277" s="1048"/>
      <c r="IR277" s="1048"/>
      <c r="IS277" s="1048"/>
      <c r="IT277" s="1048"/>
      <c r="IU277" s="1048"/>
      <c r="IV277" s="1048"/>
      <c r="IW277" s="1048"/>
      <c r="IX277" s="1048"/>
      <c r="IY277" s="1048"/>
      <c r="JA277" s="1047">
        <f>+IFERROR(JA117/JA168," ")</f>
        <v>4.1307979688131402</v>
      </c>
      <c r="JB277" s="1047">
        <f>+IFERROR(JB117/JB168," ")</f>
        <v>3.2368800409341851</v>
      </c>
      <c r="JC277" s="1047">
        <f>+IFERROR(JC117/JC168," ")</f>
        <v>2.6041482093249506</v>
      </c>
      <c r="JD277" s="1047"/>
      <c r="JE277" s="1047"/>
      <c r="JF277" s="1047"/>
      <c r="JG277" s="1047"/>
      <c r="JH277" s="1047"/>
      <c r="JI277" s="1047"/>
      <c r="JJ277" s="1047"/>
      <c r="JK277" s="1047"/>
      <c r="JL277" s="1047">
        <f>+IFERROR(JL117/JL168," ")</f>
        <v>1.0512563617526351</v>
      </c>
      <c r="JM277" s="1047" t="str">
        <f>+IFERROR(JM117/JM168," ")</f>
        <v xml:space="preserve"> </v>
      </c>
      <c r="JN277" s="1047" t="str">
        <f>+IFERROR(JN117/JN168," ")</f>
        <v xml:space="preserve"> </v>
      </c>
      <c r="JY277" s="1048"/>
      <c r="JZ277" s="1048"/>
      <c r="KA277" s="1048"/>
      <c r="KB277" s="1048"/>
      <c r="KC277" s="1048"/>
      <c r="KD277" s="1048"/>
      <c r="KE277" s="1048"/>
      <c r="KF277" s="1048"/>
      <c r="KH277" s="1048"/>
      <c r="KI277" s="1048"/>
      <c r="KJ277" s="1048"/>
      <c r="KK277" s="1048"/>
      <c r="KL277" s="1048"/>
      <c r="KM277" s="1048"/>
      <c r="KN277" s="1048"/>
      <c r="KO277" s="1048"/>
      <c r="KQ277" s="1048"/>
      <c r="KR277" s="1048"/>
      <c r="KS277" s="1048"/>
      <c r="KT277" s="1048"/>
      <c r="KU277" s="1048"/>
      <c r="KV277" s="1048"/>
      <c r="KW277" s="1048"/>
      <c r="KX277" s="1048"/>
      <c r="KY277" s="1048"/>
      <c r="KZ277" s="1048"/>
      <c r="LB277" s="1047">
        <f>+IFERROR(LB117/LB168," ")</f>
        <v>4.1307979688131402</v>
      </c>
      <c r="LC277" s="1047">
        <f>+IFERROR(LC117/LC168," ")</f>
        <v>3.2368800409341851</v>
      </c>
      <c r="LD277" s="1047">
        <f>+IFERROR(LD117/LD168," ")</f>
        <v>2.6041482093249506</v>
      </c>
      <c r="LE277" s="1047">
        <f>+IFERROR(LE117/LE168," ")</f>
        <v>0.9737510970275608</v>
      </c>
      <c r="LF277" s="1047">
        <f>+IFERROR(LF117/LF168," ")</f>
        <v>0.76925122710199745</v>
      </c>
      <c r="LG277" s="1047"/>
      <c r="LH277" s="1047"/>
      <c r="LI277" s="1047"/>
      <c r="LJ277" s="1047"/>
      <c r="LK277" s="1047"/>
      <c r="LL277" s="1047"/>
      <c r="LM277" s="1047">
        <f>+IFERROR(LM117/LM168," ")</f>
        <v>1.0512563617526351</v>
      </c>
      <c r="LN277" s="1047" t="str">
        <f>+IFERROR(LN117/LN168," ")</f>
        <v xml:space="preserve"> </v>
      </c>
      <c r="LO277" s="1047" t="str">
        <f>+IFERROR(LO117/LO168," ")</f>
        <v xml:space="preserve"> </v>
      </c>
    </row>
    <row r="278" spans="1:327">
      <c r="A278" s="867"/>
      <c r="C278" s="17" t="s">
        <v>806</v>
      </c>
      <c r="D278" s="18" t="s">
        <v>251</v>
      </c>
      <c r="E278" s="1049">
        <f t="shared" ref="E278:AN278" si="1223">+IFERROR((E117-E123)/E168," ")</f>
        <v>1.4065036334052081</v>
      </c>
      <c r="F278" s="1049">
        <f t="shared" si="1223"/>
        <v>1.7806352537151209</v>
      </c>
      <c r="G278" s="1049">
        <f t="shared" si="1223"/>
        <v>1.5644732149196212</v>
      </c>
      <c r="H278" s="1049">
        <f t="shared" si="1223"/>
        <v>1.5789857810110495</v>
      </c>
      <c r="I278" s="1049">
        <f t="shared" si="1223"/>
        <v>1.702257059309471</v>
      </c>
      <c r="J278" s="1049">
        <f t="shared" si="1223"/>
        <v>1.7487208800336556</v>
      </c>
      <c r="K278" s="1049">
        <f t="shared" si="1223"/>
        <v>1.8606910607485825</v>
      </c>
      <c r="L278" s="1049">
        <f t="shared" si="1223"/>
        <v>2.2200536586914423</v>
      </c>
      <c r="M278" s="1049">
        <f t="shared" si="1223"/>
        <v>2.6451243177301298</v>
      </c>
      <c r="N278" s="1049">
        <f t="shared" si="1223"/>
        <v>3.2769383356775879</v>
      </c>
      <c r="O278" s="1049">
        <f t="shared" si="1223"/>
        <v>3.8578082414166857</v>
      </c>
      <c r="P278" s="1049">
        <f t="shared" si="1223"/>
        <v>3.9593864032107513</v>
      </c>
      <c r="Q278" s="1049">
        <f t="shared" si="1223"/>
        <v>2.8917291466238537</v>
      </c>
      <c r="R278" s="1049">
        <f t="shared" si="1223"/>
        <v>3.1823306865133838</v>
      </c>
      <c r="S278" s="1049">
        <f t="shared" si="1223"/>
        <v>3.3123309128358547</v>
      </c>
      <c r="T278" s="1049">
        <f t="shared" si="1223"/>
        <v>1.4455605822023461</v>
      </c>
      <c r="U278" s="1049">
        <f t="shared" si="1223"/>
        <v>1.7085775674961574</v>
      </c>
      <c r="V278" s="1049">
        <f t="shared" si="1223"/>
        <v>1.9727533178274237</v>
      </c>
      <c r="W278" s="1049">
        <f t="shared" si="1223"/>
        <v>2.2785955017306994</v>
      </c>
      <c r="X278" s="1049">
        <f t="shared" si="1223"/>
        <v>2.4757163054391036</v>
      </c>
      <c r="Y278" s="1049">
        <f t="shared" si="1223"/>
        <v>2.5249912486636479</v>
      </c>
      <c r="Z278" s="1049">
        <f t="shared" si="1223"/>
        <v>2.4155449262217101</v>
      </c>
      <c r="AA278" s="1049">
        <f t="shared" si="1223"/>
        <v>2.8301677152662656</v>
      </c>
      <c r="AB278" s="1049">
        <f t="shared" si="1223"/>
        <v>3.1609181634620835</v>
      </c>
      <c r="AC278" s="1049">
        <f t="shared" si="1223"/>
        <v>3.5833283096821003</v>
      </c>
      <c r="AD278" s="1049">
        <f t="shared" si="1223"/>
        <v>4.0302100889978094</v>
      </c>
      <c r="AE278" s="1049">
        <f t="shared" si="1223"/>
        <v>4.4607214841910769</v>
      </c>
      <c r="AF278" s="1049">
        <f t="shared" si="1223"/>
        <v>1.9187403680059723</v>
      </c>
      <c r="AG278" s="1049">
        <f t="shared" si="1223"/>
        <v>1.9833058206599088</v>
      </c>
      <c r="AH278" s="1049">
        <f t="shared" si="1223"/>
        <v>2.1371878408771035</v>
      </c>
      <c r="AI278" s="1049">
        <f t="shared" si="1223"/>
        <v>2.216516016406759</v>
      </c>
      <c r="AJ278" s="1049">
        <f t="shared" si="1223"/>
        <v>2.080118019850294</v>
      </c>
      <c r="AK278" s="1049">
        <f t="shared" si="1223"/>
        <v>2.2458041032454181</v>
      </c>
      <c r="AL278" s="1049">
        <f t="shared" si="1223"/>
        <v>2.3172488589948803</v>
      </c>
      <c r="AM278" s="1049">
        <f t="shared" si="1223"/>
        <v>2.2145268233636548</v>
      </c>
      <c r="AN278" s="1049">
        <f t="shared" si="1223"/>
        <v>2.5719456964920724</v>
      </c>
      <c r="AO278" s="1049">
        <v>3.0929753104459401</v>
      </c>
      <c r="AP278" s="1049">
        <v>1.9966598031460141</v>
      </c>
      <c r="AQ278" s="1049">
        <v>2.2400852833519829</v>
      </c>
      <c r="AR278" s="1049">
        <v>1.5738944781313142</v>
      </c>
      <c r="AS278" s="1049">
        <v>1.3537104247522811</v>
      </c>
      <c r="AT278" s="1049">
        <v>1.1373403117217253</v>
      </c>
      <c r="AU278" s="1049">
        <v>1.1659640861680587</v>
      </c>
      <c r="AV278" s="1049">
        <v>1.1750150352954596</v>
      </c>
      <c r="AW278" s="1049">
        <v>1.1273614585249334</v>
      </c>
      <c r="AX278" s="1049">
        <v>1.1363894158844494</v>
      </c>
      <c r="AY278" s="1049">
        <v>1.0811393601594175</v>
      </c>
      <c r="AZ278" s="1049">
        <v>1.0301903481789274</v>
      </c>
      <c r="BA278" s="1049">
        <v>0.90884228208732143</v>
      </c>
      <c r="BB278" s="1049">
        <v>0.86089194494050514</v>
      </c>
      <c r="BC278" s="1049">
        <v>0.78787914189842267</v>
      </c>
      <c r="BD278" s="1049">
        <v>0.83077028856564394</v>
      </c>
      <c r="BE278" s="1049">
        <v>0.74577908625490652</v>
      </c>
      <c r="BF278" s="1049">
        <v>0.68892577440511893</v>
      </c>
      <c r="BG278" s="1049">
        <v>0.70164403596991953</v>
      </c>
      <c r="BH278" s="1049">
        <v>0.60565060134298332</v>
      </c>
      <c r="BI278" s="1049">
        <v>0.59323960074287052</v>
      </c>
      <c r="BJ278" s="1049">
        <v>0.5911519279275651</v>
      </c>
      <c r="BK278" s="1049">
        <v>0.6212905147293859</v>
      </c>
      <c r="BL278" s="1049">
        <v>0.66179878684283644</v>
      </c>
      <c r="BM278" s="1049">
        <f t="shared" ref="BM278:DX278" si="1224">+IFERROR((BM117-BM123)/BM168," ")</f>
        <v>0.67863155078924153</v>
      </c>
      <c r="BN278" s="1049">
        <f t="shared" si="1224"/>
        <v>0.68907751864965705</v>
      </c>
      <c r="BO278" s="1049">
        <f t="shared" si="1224"/>
        <v>0.69988123705564165</v>
      </c>
      <c r="BP278" s="1049">
        <f t="shared" si="1224"/>
        <v>0.73277439066432515</v>
      </c>
      <c r="BQ278" s="1049">
        <f t="shared" si="1224"/>
        <v>0.71865890026806356</v>
      </c>
      <c r="BR278" s="1049">
        <f t="shared" si="1224"/>
        <v>0.72389985678566315</v>
      </c>
      <c r="BS278" s="1049">
        <f t="shared" si="1224"/>
        <v>0.73763721706927377</v>
      </c>
      <c r="BT278" s="1049">
        <f t="shared" si="1224"/>
        <v>0.74576658041281718</v>
      </c>
      <c r="BU278" s="1049">
        <f t="shared" si="1224"/>
        <v>0.73374921708376328</v>
      </c>
      <c r="BV278" s="1049">
        <f t="shared" si="1224"/>
        <v>0.76343576801338109</v>
      </c>
      <c r="BW278" s="1049">
        <f t="shared" si="1224"/>
        <v>0.78196310627972343</v>
      </c>
      <c r="BX278" s="1049">
        <f t="shared" si="1224"/>
        <v>0.7240076974802987</v>
      </c>
      <c r="BY278" s="1049">
        <f t="shared" si="1224"/>
        <v>0.73341430865895196</v>
      </c>
      <c r="BZ278" s="1049">
        <f t="shared" si="1224"/>
        <v>0.71365072218100301</v>
      </c>
      <c r="CA278" s="1049">
        <f t="shared" si="1224"/>
        <v>0.69752531990190914</v>
      </c>
      <c r="CB278" s="1049">
        <f t="shared" si="1224"/>
        <v>0.67988037676182478</v>
      </c>
      <c r="CC278" s="1049">
        <f t="shared" si="1224"/>
        <v>0.65088462500210831</v>
      </c>
      <c r="CD278" s="1049">
        <f t="shared" si="1224"/>
        <v>0.65377656175373144</v>
      </c>
      <c r="CE278" s="1049">
        <f t="shared" si="1224"/>
        <v>0.66706886717654557</v>
      </c>
      <c r="CF278" s="1049">
        <f t="shared" si="1224"/>
        <v>0.70543250517774025</v>
      </c>
      <c r="CG278" s="1049">
        <f t="shared" si="1224"/>
        <v>0.70097051681467615</v>
      </c>
      <c r="CH278" s="1049">
        <f t="shared" si="1224"/>
        <v>0.71571286614480922</v>
      </c>
      <c r="CI278" s="1049">
        <f t="shared" si="1224"/>
        <v>0.76355072406907187</v>
      </c>
      <c r="CJ278" s="1049">
        <f t="shared" si="1224"/>
        <v>0.71662809342709277</v>
      </c>
      <c r="CK278" s="1049">
        <f t="shared" si="1224"/>
        <v>0.7648451178715503</v>
      </c>
      <c r="CL278" s="1049">
        <f t="shared" si="1224"/>
        <v>0.74386084820523801</v>
      </c>
      <c r="CM278" s="1049">
        <f t="shared" si="1224"/>
        <v>0.78213399426121522</v>
      </c>
      <c r="CN278" s="1049">
        <f t="shared" si="1224"/>
        <v>0.80515856690314536</v>
      </c>
      <c r="CO278" s="1049">
        <f t="shared" si="1224"/>
        <v>0.84199537148400982</v>
      </c>
      <c r="CP278" s="1049">
        <f t="shared" si="1224"/>
        <v>0.82220847200077507</v>
      </c>
      <c r="CQ278" s="1049">
        <f t="shared" si="1224"/>
        <v>0.82024936271340565</v>
      </c>
      <c r="CR278" s="1049">
        <f t="shared" si="1224"/>
        <v>0.85824394286060957</v>
      </c>
      <c r="CS278" s="1049">
        <f t="shared" si="1224"/>
        <v>0.87260005741718694</v>
      </c>
      <c r="CT278" s="1049">
        <f t="shared" si="1224"/>
        <v>0.9406332420071507</v>
      </c>
      <c r="CU278" s="1049">
        <f t="shared" si="1224"/>
        <v>0.96960087613862656</v>
      </c>
      <c r="CV278" s="1049">
        <f t="shared" si="1224"/>
        <v>0.88280009179636165</v>
      </c>
      <c r="CW278" s="1049">
        <f t="shared" si="1224"/>
        <v>0.9632166801936286</v>
      </c>
      <c r="CX278" s="1049">
        <f t="shared" si="1224"/>
        <v>0.95585941593319568</v>
      </c>
      <c r="CY278" s="1049">
        <f t="shared" si="1224"/>
        <v>1.0362152869337098</v>
      </c>
      <c r="CZ278" s="1049">
        <f t="shared" si="1224"/>
        <v>0.98603662140936332</v>
      </c>
      <c r="DA278" s="1049">
        <f t="shared" si="1224"/>
        <v>0.93360386870095369</v>
      </c>
      <c r="DB278" s="1049">
        <f t="shared" si="1224"/>
        <v>0.68181177559892092</v>
      </c>
      <c r="DC278" s="1049">
        <f t="shared" si="1224"/>
        <v>0.63600319303324837</v>
      </c>
      <c r="DD278" s="1049">
        <f t="shared" si="1224"/>
        <v>0.68444753235398459</v>
      </c>
      <c r="DE278" s="1049">
        <f t="shared" si="1224"/>
        <v>0.71491603224848199</v>
      </c>
      <c r="DF278" s="1049">
        <f t="shared" si="1224"/>
        <v>0.7649786197833186</v>
      </c>
      <c r="DG278" s="1049">
        <f t="shared" si="1224"/>
        <v>0.77434698375004962</v>
      </c>
      <c r="DH278" s="1049">
        <f t="shared" si="1224"/>
        <v>0.78379707728983472</v>
      </c>
      <c r="DI278" s="1049">
        <f t="shared" si="1224"/>
        <v>0.84369405390879892</v>
      </c>
      <c r="DJ278" s="1049">
        <f t="shared" si="1224"/>
        <v>0.83064967498572306</v>
      </c>
      <c r="DK278" s="1049">
        <f t="shared" si="1224"/>
        <v>0.83329316351295823</v>
      </c>
      <c r="DL278" s="1049">
        <f t="shared" si="1224"/>
        <v>0.95050957054332208</v>
      </c>
      <c r="DM278" s="1049">
        <f t="shared" si="1224"/>
        <v>0.96682774276699956</v>
      </c>
      <c r="DN278" s="1049">
        <f t="shared" si="1224"/>
        <v>0.95738421973617138</v>
      </c>
      <c r="DO278" s="1049">
        <f t="shared" si="1224"/>
        <v>0.99131683597234677</v>
      </c>
      <c r="DP278" s="1049">
        <f t="shared" si="1224"/>
        <v>1.0189868338136527</v>
      </c>
      <c r="DQ278" s="1179">
        <f t="shared" si="1224"/>
        <v>0.88382873417397079</v>
      </c>
      <c r="DR278" s="1179">
        <f t="shared" si="1224"/>
        <v>0.90564720097677009</v>
      </c>
      <c r="DS278" s="1179">
        <f t="shared" si="1224"/>
        <v>0.91980727627325554</v>
      </c>
      <c r="DT278" s="1179">
        <f t="shared" si="1224"/>
        <v>0.86230034305898573</v>
      </c>
      <c r="DU278" s="1179">
        <f t="shared" si="1224"/>
        <v>1.0004337002353443</v>
      </c>
      <c r="DV278" s="1179">
        <f t="shared" si="1224"/>
        <v>0.92185542741889337</v>
      </c>
      <c r="DW278" s="1179">
        <f t="shared" si="1224"/>
        <v>0.852260686701377</v>
      </c>
      <c r="DX278" s="1179">
        <f t="shared" si="1224"/>
        <v>0.84538597607848076</v>
      </c>
      <c r="DY278" s="1179">
        <f t="shared" ref="DY278:EF278" si="1225">+IFERROR((DY117-DY123)/DY168," ")</f>
        <v>0.84222347218549576</v>
      </c>
      <c r="DZ278" s="1179">
        <f t="shared" si="1225"/>
        <v>0.90148915695647602</v>
      </c>
      <c r="EA278" s="1179">
        <f t="shared" si="1225"/>
        <v>0.8835617388638507</v>
      </c>
      <c r="EB278" s="1179">
        <f t="shared" si="1225"/>
        <v>0.90118017892730318</v>
      </c>
      <c r="EC278" s="1179">
        <f t="shared" si="1225"/>
        <v>0.9270857997558537</v>
      </c>
      <c r="ED278" s="1179">
        <f t="shared" si="1225"/>
        <v>1.0565896978797722</v>
      </c>
      <c r="EE278" s="1179">
        <f t="shared" si="1225"/>
        <v>1.141128123049135</v>
      </c>
      <c r="EF278" s="1179">
        <f t="shared" si="1225"/>
        <v>1.0052388598698954</v>
      </c>
      <c r="EH278" s="1049">
        <f t="shared" ref="EH278:ER278" si="1226">+IFERROR((CL117-CL123)/CL168," ")</f>
        <v>0.74386084820523801</v>
      </c>
      <c r="EI278" s="1049">
        <f t="shared" si="1226"/>
        <v>0.78213399426121522</v>
      </c>
      <c r="EJ278" s="1049">
        <f t="shared" si="1226"/>
        <v>0.80515856690314536</v>
      </c>
      <c r="EK278" s="1049">
        <f t="shared" si="1226"/>
        <v>0.84199537148400982</v>
      </c>
      <c r="EL278" s="1049">
        <f t="shared" si="1226"/>
        <v>0.82220847200077507</v>
      </c>
      <c r="EM278" s="1049">
        <f t="shared" si="1226"/>
        <v>0.82024936271340565</v>
      </c>
      <c r="EN278" s="1049">
        <f t="shared" si="1226"/>
        <v>0.85824394286060957</v>
      </c>
      <c r="EO278" s="1049">
        <f t="shared" si="1226"/>
        <v>0.87260005741718694</v>
      </c>
      <c r="EP278" s="1049">
        <f t="shared" si="1226"/>
        <v>0.9406332420071507</v>
      </c>
      <c r="EQ278" s="1049">
        <f t="shared" si="1226"/>
        <v>0.96960087613862656</v>
      </c>
      <c r="ER278" s="1049">
        <f t="shared" si="1226"/>
        <v>0.88280009179636165</v>
      </c>
      <c r="ES278" s="1049" t="str">
        <f>+IFERROR((EG117-EG123)/EG168," ")</f>
        <v xml:space="preserve"> </v>
      </c>
      <c r="HD278" s="1049">
        <f>+IFERROR((HD117-HD123)/HD168," ")</f>
        <v>3.9593864032107513</v>
      </c>
      <c r="HE278" s="1049">
        <f>+IFERROR((HE117-HE123)/HE168," ")</f>
        <v>3.1609181634620835</v>
      </c>
      <c r="HF278" s="1049">
        <f>+IFERROR((HF117-HF123)/HF168," ")</f>
        <v>2.5719456964920724</v>
      </c>
      <c r="HG278" s="1049">
        <f>+IFERROR((HG117-HG123)/HG168," ")</f>
        <v>0.94141661664639065</v>
      </c>
      <c r="HH278" s="1049">
        <f t="shared" si="1222"/>
        <v>0.66179878684283644</v>
      </c>
      <c r="HI278" s="1049">
        <f t="shared" si="1222"/>
        <v>0</v>
      </c>
      <c r="HJ278" s="1049"/>
      <c r="HK278" s="1049"/>
      <c r="HL278" s="1179"/>
      <c r="HM278" s="1179"/>
      <c r="HN278" s="1179"/>
      <c r="HO278" s="1049"/>
      <c r="HP278" s="1049" t="str">
        <f>+IFERROR((HP117-HP123)/HP168," ")</f>
        <v xml:space="preserve"> </v>
      </c>
      <c r="IA278" s="1050"/>
      <c r="IB278" s="1050"/>
      <c r="IC278" s="1050"/>
      <c r="IF278" s="1050"/>
      <c r="IG278" s="1050"/>
      <c r="IH278" s="1050"/>
      <c r="II278" s="1050"/>
      <c r="IJ278" s="1050"/>
      <c r="IK278" s="1050"/>
      <c r="IL278" s="1050"/>
      <c r="IM278" s="1050"/>
      <c r="IN278" s="1050"/>
      <c r="IP278" s="1050"/>
      <c r="IQ278" s="1050"/>
      <c r="IR278" s="1050"/>
      <c r="IS278" s="1050"/>
      <c r="IT278" s="1050"/>
      <c r="IU278" s="1050"/>
      <c r="IV278" s="1050"/>
      <c r="IW278" s="1050"/>
      <c r="IX278" s="1050"/>
      <c r="IY278" s="1050"/>
      <c r="JA278" s="1049">
        <f>+IFERROR((JA117-JA123)/JA168," ")</f>
        <v>3.9593864032107513</v>
      </c>
      <c r="JB278" s="1049">
        <f>+IFERROR((JB117-JB123)/JB168," ")</f>
        <v>3.1609181634620835</v>
      </c>
      <c r="JC278" s="1049">
        <f>+IFERROR((JC117-JC123)/JC168," ")</f>
        <v>2.5719456964920724</v>
      </c>
      <c r="JD278" s="1049"/>
      <c r="JE278" s="1049"/>
      <c r="JF278" s="1049"/>
      <c r="JG278" s="1049"/>
      <c r="JH278" s="1049"/>
      <c r="JI278" s="1049"/>
      <c r="JJ278" s="1049"/>
      <c r="JK278" s="1049"/>
      <c r="JL278" s="1049">
        <f>+IFERROR((JL117-JL123)/JL168," ")</f>
        <v>1.0052388598698954</v>
      </c>
      <c r="JM278" s="1049" t="str">
        <f>+IFERROR((JM117-JM123)/JM168," ")</f>
        <v xml:space="preserve"> </v>
      </c>
      <c r="JN278" s="1049" t="str">
        <f>+IFERROR((JN117-JN123)/JN168," ")</f>
        <v xml:space="preserve"> </v>
      </c>
      <c r="JY278" s="1050"/>
      <c r="JZ278" s="1050"/>
      <c r="KA278" s="1050"/>
      <c r="KB278" s="1050"/>
      <c r="KC278" s="1050"/>
      <c r="KD278" s="1050"/>
      <c r="KE278" s="1050"/>
      <c r="KF278" s="1050"/>
      <c r="KH278" s="1050"/>
      <c r="KI278" s="1050"/>
      <c r="KJ278" s="1050"/>
      <c r="KK278" s="1050"/>
      <c r="KL278" s="1050"/>
      <c r="KM278" s="1050"/>
      <c r="KN278" s="1050"/>
      <c r="KO278" s="1050"/>
      <c r="KQ278" s="1050"/>
      <c r="KR278" s="1050"/>
      <c r="KS278" s="1050"/>
      <c r="KT278" s="1050"/>
      <c r="KU278" s="1050"/>
      <c r="KV278" s="1050"/>
      <c r="KW278" s="1050"/>
      <c r="KX278" s="1050"/>
      <c r="KY278" s="1050"/>
      <c r="KZ278" s="1050"/>
      <c r="LB278" s="1049">
        <f>+IFERROR((LB117-LB123)/LB168," ")</f>
        <v>3.9593864032107513</v>
      </c>
      <c r="LC278" s="1049">
        <f>+IFERROR((LC117-LC123)/LC168," ")</f>
        <v>3.1609181634620835</v>
      </c>
      <c r="LD278" s="1049">
        <f>+IFERROR((LD117-LD123)/LD168," ")</f>
        <v>2.5719456964920724</v>
      </c>
      <c r="LE278" s="1049">
        <f>+IFERROR((LE117-LE123)/LE168," ")</f>
        <v>0.94141661664639065</v>
      </c>
      <c r="LF278" s="1049">
        <f>+IFERROR((LF117-LF123)/LF168," ")</f>
        <v>0.73393835702540844</v>
      </c>
      <c r="LG278" s="1049"/>
      <c r="LH278" s="1049"/>
      <c r="LI278" s="1049"/>
      <c r="LJ278" s="1049"/>
      <c r="LK278" s="1049"/>
      <c r="LL278" s="1049"/>
      <c r="LM278" s="1049">
        <f>+IFERROR((LM117-LM123)/LM168," ")</f>
        <v>1.0052388598698954</v>
      </c>
      <c r="LN278" s="1049" t="str">
        <f>+IFERROR((LN117-LN123)/LN168," ")</f>
        <v xml:space="preserve"> </v>
      </c>
      <c r="LO278" s="1049" t="str">
        <f>+IFERROR((LO117-LO123)/LO168," ")</f>
        <v xml:space="preserve"> </v>
      </c>
    </row>
    <row r="279" spans="1:327">
      <c r="A279" s="867"/>
      <c r="C279" s="17" t="s">
        <v>807</v>
      </c>
      <c r="D279" s="18" t="s">
        <v>251</v>
      </c>
      <c r="E279" s="1049">
        <f t="shared" ref="E279:AN279" si="1227">+IFERROR((E169+E191)/E204," ")</f>
        <v>0.15986363739592385</v>
      </c>
      <c r="F279" s="1049">
        <f t="shared" si="1227"/>
        <v>0.15014033410032193</v>
      </c>
      <c r="G279" s="1049">
        <f t="shared" si="1227"/>
        <v>0.13367960994026645</v>
      </c>
      <c r="H279" s="1049">
        <f t="shared" si="1227"/>
        <v>0.11527752562031474</v>
      </c>
      <c r="I279" s="1049">
        <f t="shared" si="1227"/>
        <v>0.14465795652998986</v>
      </c>
      <c r="J279" s="1049">
        <f t="shared" si="1227"/>
        <v>0.15168589063193605</v>
      </c>
      <c r="K279" s="1049">
        <f t="shared" si="1227"/>
        <v>0.13338756422687659</v>
      </c>
      <c r="L279" s="1049">
        <f t="shared" si="1227"/>
        <v>0.11397033460165999</v>
      </c>
      <c r="M279" s="1049">
        <f t="shared" si="1227"/>
        <v>2.4574495645128057E-2</v>
      </c>
      <c r="N279" s="1049">
        <f t="shared" si="1227"/>
        <v>5.3154387158148311E-2</v>
      </c>
      <c r="O279" s="1049">
        <f t="shared" si="1227"/>
        <v>6.2411570452226776E-2</v>
      </c>
      <c r="P279" s="1049">
        <f t="shared" si="1227"/>
        <v>6.3464240667009744E-2</v>
      </c>
      <c r="Q279" s="1049">
        <f t="shared" si="1227"/>
        <v>6.0042557333804251E-2</v>
      </c>
      <c r="R279" s="1049">
        <f t="shared" si="1227"/>
        <v>8.5298179980039093E-2</v>
      </c>
      <c r="S279" s="1049">
        <f t="shared" si="1227"/>
        <v>8.1957639052664386E-2</v>
      </c>
      <c r="T279" s="1049">
        <f t="shared" si="1227"/>
        <v>0.21528881940036174</v>
      </c>
      <c r="U279" s="1049">
        <f t="shared" si="1227"/>
        <v>0.18735959380574033</v>
      </c>
      <c r="V279" s="1049">
        <f t="shared" si="1227"/>
        <v>0.16901381021831335</v>
      </c>
      <c r="W279" s="1049">
        <f t="shared" si="1227"/>
        <v>0.13276212248054384</v>
      </c>
      <c r="X279" s="1049">
        <f t="shared" si="1227"/>
        <v>9.5395182502963971E-2</v>
      </c>
      <c r="Y279" s="1049">
        <f t="shared" si="1227"/>
        <v>9.4673057620464698E-2</v>
      </c>
      <c r="Z279" s="1049">
        <f t="shared" si="1227"/>
        <v>8.9586978264441369E-2</v>
      </c>
      <c r="AA279" s="1049">
        <f t="shared" si="1227"/>
        <v>7.9042556468724698E-2</v>
      </c>
      <c r="AB279" s="1049">
        <f t="shared" si="1227"/>
        <v>6.4404035781375837E-2</v>
      </c>
      <c r="AC279" s="1049">
        <f t="shared" si="1227"/>
        <v>3.2669252697716041E-2</v>
      </c>
      <c r="AD279" s="1049">
        <f t="shared" si="1227"/>
        <v>6.259112573450519E-2</v>
      </c>
      <c r="AE279" s="1049">
        <f t="shared" si="1227"/>
        <v>7.9934290781419448E-2</v>
      </c>
      <c r="AF279" s="1049">
        <f t="shared" si="1227"/>
        <v>0.32951481827828205</v>
      </c>
      <c r="AG279" s="1049">
        <f t="shared" si="1227"/>
        <v>0.30108380335010992</v>
      </c>
      <c r="AH279" s="1049">
        <f t="shared" si="1227"/>
        <v>0.27798434893887719</v>
      </c>
      <c r="AI279" s="1049">
        <f t="shared" si="1227"/>
        <v>0.25877890699943362</v>
      </c>
      <c r="AJ279" s="1049">
        <f t="shared" si="1227"/>
        <v>0.27557664327270703</v>
      </c>
      <c r="AK279" s="1049">
        <f t="shared" si="1227"/>
        <v>0.26555557262442031</v>
      </c>
      <c r="AL279" s="1049">
        <f t="shared" si="1227"/>
        <v>0.23648312833036261</v>
      </c>
      <c r="AM279" s="1049">
        <f t="shared" si="1227"/>
        <v>0.38348572069210507</v>
      </c>
      <c r="AN279" s="1049">
        <f t="shared" si="1227"/>
        <v>0.21143248895709668</v>
      </c>
      <c r="AO279" s="1049">
        <v>0.19346790825993124</v>
      </c>
      <c r="AP279" s="1049">
        <v>0.3583882998730607</v>
      </c>
      <c r="AQ279" s="1049">
        <v>0.34557002755004779</v>
      </c>
      <c r="AR279" s="1049">
        <v>0.34977335102717677</v>
      </c>
      <c r="AS279" s="1049">
        <v>0.44599637835647377</v>
      </c>
      <c r="AT279" s="1049">
        <v>0.60183502018152923</v>
      </c>
      <c r="AU279" s="1049">
        <v>0.58152839085555252</v>
      </c>
      <c r="AV279" s="1049">
        <v>0.56586163276819079</v>
      </c>
      <c r="AW279" s="1049">
        <v>0.58934417427326957</v>
      </c>
      <c r="AX279" s="1049">
        <v>0.70554520142488808</v>
      </c>
      <c r="AY279" s="1049">
        <v>0.72258974014417154</v>
      </c>
      <c r="AZ279" s="1049">
        <v>0.83461656580813626</v>
      </c>
      <c r="BA279" s="1049">
        <v>0.66023571257778446</v>
      </c>
      <c r="BB279" s="1049">
        <v>0.67413612660601008</v>
      </c>
      <c r="BC279" s="1049">
        <v>0.70565864615958607</v>
      </c>
      <c r="BD279" s="1049">
        <v>0.75014924862097809</v>
      </c>
      <c r="BE279" s="1049">
        <v>0.78176852479973669</v>
      </c>
      <c r="BF279" s="1049">
        <v>0.85447889523995246</v>
      </c>
      <c r="BG279" s="1049">
        <v>0.90600007835940632</v>
      </c>
      <c r="BH279" s="1049">
        <v>0.94590352093174512</v>
      </c>
      <c r="BI279" s="1049">
        <v>0.96858858259863345</v>
      </c>
      <c r="BJ279" s="1049">
        <v>0.99392244613436764</v>
      </c>
      <c r="BK279" s="1049">
        <v>1.0002574350360989</v>
      </c>
      <c r="BL279" s="1049">
        <v>0.98709953710246845</v>
      </c>
      <c r="BM279" s="1049">
        <f t="shared" ref="BM279:DX279" si="1228">+IFERROR((BM169+BM191)/BM204," ")</f>
        <v>0.90105685760690801</v>
      </c>
      <c r="BN279" s="1049">
        <f t="shared" si="1228"/>
        <v>0.88725678126064322</v>
      </c>
      <c r="BO279" s="1049">
        <f t="shared" si="1228"/>
        <v>0.87846503890875782</v>
      </c>
      <c r="BP279" s="1049">
        <f t="shared" si="1228"/>
        <v>0.84620852277821956</v>
      </c>
      <c r="BQ279" s="1049">
        <f t="shared" si="1228"/>
        <v>0.84732588873845982</v>
      </c>
      <c r="BR279" s="1049">
        <f t="shared" si="1228"/>
        <v>0.84040212257418134</v>
      </c>
      <c r="BS279" s="1049">
        <f t="shared" si="1228"/>
        <v>0.8352079669378969</v>
      </c>
      <c r="BT279" s="1049">
        <f t="shared" si="1228"/>
        <v>0.82214108545299025</v>
      </c>
      <c r="BU279" s="1049">
        <f t="shared" si="1228"/>
        <v>0.82574697240616368</v>
      </c>
      <c r="BV279" s="1049">
        <f t="shared" si="1228"/>
        <v>0.80522308898729655</v>
      </c>
      <c r="BW279" s="1049">
        <f t="shared" si="1228"/>
        <v>0.78382883257136604</v>
      </c>
      <c r="BX279" s="1049">
        <f t="shared" si="1228"/>
        <v>0.78739177925393844</v>
      </c>
      <c r="BY279" s="1049">
        <f t="shared" si="1228"/>
        <v>0.8004994088427636</v>
      </c>
      <c r="BZ279" s="1049">
        <f t="shared" si="1228"/>
        <v>0.77109041239378562</v>
      </c>
      <c r="CA279" s="1049">
        <f t="shared" si="1228"/>
        <v>0.77472863026984751</v>
      </c>
      <c r="CB279" s="1049">
        <f t="shared" si="1228"/>
        <v>0.78252659935788438</v>
      </c>
      <c r="CC279" s="1049">
        <f t="shared" si="1228"/>
        <v>0.79318180120696669</v>
      </c>
      <c r="CD279" s="1049">
        <f t="shared" si="1228"/>
        <v>0.79479412929865734</v>
      </c>
      <c r="CE279" s="1049">
        <f t="shared" si="1228"/>
        <v>0.73475185489215122</v>
      </c>
      <c r="CF279" s="1049">
        <f t="shared" si="1228"/>
        <v>0.6514892246834586</v>
      </c>
      <c r="CG279" s="1049">
        <f t="shared" si="1228"/>
        <v>0.65481759558815511</v>
      </c>
      <c r="CH279" s="1049">
        <f t="shared" si="1228"/>
        <v>0.64672792493200937</v>
      </c>
      <c r="CI279" s="1049">
        <f t="shared" si="1228"/>
        <v>0.61713375645913804</v>
      </c>
      <c r="CJ279" s="1049">
        <f t="shared" si="1228"/>
        <v>0.62652211396649093</v>
      </c>
      <c r="CK279" s="1049">
        <f t="shared" si="1228"/>
        <v>0.62080433388741296</v>
      </c>
      <c r="CL279" s="1049">
        <f t="shared" si="1228"/>
        <v>0.63100954102377793</v>
      </c>
      <c r="CM279" s="1049">
        <f t="shared" si="1228"/>
        <v>0.58372131052909548</v>
      </c>
      <c r="CN279" s="1049">
        <f t="shared" si="1228"/>
        <v>0.57756493791460983</v>
      </c>
      <c r="CO279" s="1049">
        <f t="shared" si="1228"/>
        <v>0.55122514744223017</v>
      </c>
      <c r="CP279" s="1049">
        <f t="shared" si="1228"/>
        <v>0.55531859365126457</v>
      </c>
      <c r="CQ279" s="1049">
        <f t="shared" si="1228"/>
        <v>0.55301627588986002</v>
      </c>
      <c r="CR279" s="1049">
        <f t="shared" si="1228"/>
        <v>0.53682351148285645</v>
      </c>
      <c r="CS279" s="1049">
        <f t="shared" si="1228"/>
        <v>0.52682646607939176</v>
      </c>
      <c r="CT279" s="1049">
        <f t="shared" si="1228"/>
        <v>0.49922277902088341</v>
      </c>
      <c r="CU279" s="1049">
        <f t="shared" si="1228"/>
        <v>0.48416865772210255</v>
      </c>
      <c r="CV279" s="1049">
        <f t="shared" si="1228"/>
        <v>0.51853588824609631</v>
      </c>
      <c r="CW279" s="1049">
        <f t="shared" si="1228"/>
        <v>0.50559995848779604</v>
      </c>
      <c r="CX279" s="1049">
        <f t="shared" si="1228"/>
        <v>0.4973814740167814</v>
      </c>
      <c r="CY279" s="1049">
        <f t="shared" si="1228"/>
        <v>0.46565417027185158</v>
      </c>
      <c r="CZ279" s="1049">
        <f t="shared" si="1228"/>
        <v>0.47612646174556089</v>
      </c>
      <c r="DA279" s="1049">
        <f t="shared" si="1228"/>
        <v>0.49302903380904856</v>
      </c>
      <c r="DB279" s="1049">
        <f t="shared" si="1228"/>
        <v>0.5062422777557688</v>
      </c>
      <c r="DC279" s="1049">
        <f t="shared" si="1228"/>
        <v>0.52473323242889769</v>
      </c>
      <c r="DD279" s="1049">
        <f t="shared" si="1228"/>
        <v>0.51439485358431669</v>
      </c>
      <c r="DE279" s="1049">
        <f t="shared" si="1228"/>
        <v>0.50734647768426877</v>
      </c>
      <c r="DF279" s="1049">
        <f t="shared" si="1228"/>
        <v>0.49774534739084764</v>
      </c>
      <c r="DG279" s="1049">
        <f t="shared" si="1228"/>
        <v>0.50028359827649227</v>
      </c>
      <c r="DH279" s="1049">
        <f t="shared" si="1228"/>
        <v>0.51119043657704522</v>
      </c>
      <c r="DI279" s="1049">
        <f t="shared" si="1228"/>
        <v>0.50871960280020356</v>
      </c>
      <c r="DJ279" s="1049">
        <f t="shared" si="1228"/>
        <v>0.5057439569044353</v>
      </c>
      <c r="DK279" s="1049">
        <f t="shared" si="1228"/>
        <v>0.50166404989859881</v>
      </c>
      <c r="DL279" s="1049">
        <f t="shared" si="1228"/>
        <v>0.4925334633703744</v>
      </c>
      <c r="DM279" s="1049">
        <f t="shared" si="1228"/>
        <v>0.47833744568225411</v>
      </c>
      <c r="DN279" s="1049">
        <f t="shared" si="1228"/>
        <v>0.4779783899050018</v>
      </c>
      <c r="DO279" s="1049">
        <f t="shared" si="1228"/>
        <v>0.47268637753654535</v>
      </c>
      <c r="DP279" s="1049">
        <f t="shared" si="1228"/>
        <v>0.45564226636244881</v>
      </c>
      <c r="DQ279" s="1179">
        <f t="shared" si="1228"/>
        <v>0.44219759560685251</v>
      </c>
      <c r="DR279" s="1179">
        <f t="shared" si="1228"/>
        <v>0.4337654833625661</v>
      </c>
      <c r="DS279" s="1179">
        <f t="shared" si="1228"/>
        <v>0.42639846503169526</v>
      </c>
      <c r="DT279" s="1179">
        <f t="shared" si="1228"/>
        <v>0.44930584768749293</v>
      </c>
      <c r="DU279" s="1179">
        <f t="shared" si="1228"/>
        <v>0.43907836214798596</v>
      </c>
      <c r="DV279" s="1179">
        <f t="shared" si="1228"/>
        <v>0.44851393540715118</v>
      </c>
      <c r="DW279" s="1179">
        <f t="shared" si="1228"/>
        <v>0.45113300327870332</v>
      </c>
      <c r="DX279" s="1179">
        <f t="shared" si="1228"/>
        <v>0.45108648223164777</v>
      </c>
      <c r="DY279" s="1179">
        <f t="shared" ref="DY279:EF279" si="1229">+IFERROR((DY169+DY191)/DY204," ")</f>
        <v>0.43327754191115142</v>
      </c>
      <c r="DZ279" s="1179">
        <f t="shared" si="1229"/>
        <v>0.41943134086083428</v>
      </c>
      <c r="EA279" s="1179">
        <f t="shared" si="1229"/>
        <v>0.40879967674171669</v>
      </c>
      <c r="EB279" s="1179">
        <f t="shared" si="1229"/>
        <v>0.37847163427516139</v>
      </c>
      <c r="EC279" s="1179">
        <f t="shared" si="1229"/>
        <v>0.36360870908055798</v>
      </c>
      <c r="ED279" s="1179">
        <f t="shared" si="1229"/>
        <v>0.33240912792022237</v>
      </c>
      <c r="EE279" s="1179">
        <f t="shared" si="1229"/>
        <v>0.30448620506484919</v>
      </c>
      <c r="EF279" s="1179">
        <f t="shared" si="1229"/>
        <v>0.35963474211410734</v>
      </c>
      <c r="EH279" s="1049">
        <f t="shared" ref="EH279:ER279" si="1230">+IFERROR((CL169+CL191)/CL204," ")</f>
        <v>0.63100954102377793</v>
      </c>
      <c r="EI279" s="1049">
        <f t="shared" si="1230"/>
        <v>0.58372131052909548</v>
      </c>
      <c r="EJ279" s="1049">
        <f t="shared" si="1230"/>
        <v>0.57756493791460983</v>
      </c>
      <c r="EK279" s="1049">
        <f t="shared" si="1230"/>
        <v>0.55122514744223017</v>
      </c>
      <c r="EL279" s="1049">
        <f t="shared" si="1230"/>
        <v>0.55531859365126457</v>
      </c>
      <c r="EM279" s="1049">
        <f t="shared" si="1230"/>
        <v>0.55301627588986002</v>
      </c>
      <c r="EN279" s="1049">
        <f t="shared" si="1230"/>
        <v>0.53682351148285645</v>
      </c>
      <c r="EO279" s="1049">
        <f t="shared" si="1230"/>
        <v>0.52682646607939176</v>
      </c>
      <c r="EP279" s="1049">
        <f t="shared" si="1230"/>
        <v>0.49922277902088341</v>
      </c>
      <c r="EQ279" s="1049">
        <f t="shared" si="1230"/>
        <v>0.48416865772210255</v>
      </c>
      <c r="ER279" s="1049">
        <f t="shared" si="1230"/>
        <v>0.51853588824609631</v>
      </c>
      <c r="ES279" s="1049" t="str">
        <f>+IFERROR((EG169+EG191)/EG204," ")</f>
        <v xml:space="preserve"> </v>
      </c>
      <c r="HD279" s="1049">
        <f>+IFERROR((HD169+HD191)/HD204," ")</f>
        <v>6.3464240667009744E-2</v>
      </c>
      <c r="HE279" s="1049">
        <f>+IFERROR((HE169+HE191)/HE204," ")</f>
        <v>6.4404035781375837E-2</v>
      </c>
      <c r="HF279" s="1049">
        <f>+IFERROR((HF169+HF191)/HF204," ")</f>
        <v>0.21143248895709668</v>
      </c>
      <c r="HG279" s="1049">
        <f>+IFERROR((HG169+HG191)/HG204," ")</f>
        <v>0.66972051084286544</v>
      </c>
      <c r="HH279" s="1049">
        <f t="shared" si="1222"/>
        <v>0.98709953710246845</v>
      </c>
      <c r="HI279" s="1049">
        <f t="shared" si="1222"/>
        <v>0</v>
      </c>
      <c r="HJ279" s="1049"/>
      <c r="HK279" s="1049"/>
      <c r="HL279" s="1179"/>
      <c r="HM279" s="1179"/>
      <c r="HN279" s="1179"/>
      <c r="HO279" s="1049"/>
      <c r="HP279" s="1049" t="str">
        <f>+IFERROR((HP169+HP191)/HP204," ")</f>
        <v xml:space="preserve"> </v>
      </c>
      <c r="IA279" s="1050"/>
      <c r="IB279" s="1050"/>
      <c r="IC279" s="1050"/>
      <c r="IF279" s="1050"/>
      <c r="IG279" s="1050"/>
      <c r="IH279" s="1050"/>
      <c r="II279" s="1050"/>
      <c r="IJ279" s="1050"/>
      <c r="IK279" s="1050"/>
      <c r="IL279" s="1050"/>
      <c r="IM279" s="1050"/>
      <c r="IN279" s="1050"/>
      <c r="IP279" s="1050"/>
      <c r="IQ279" s="1050"/>
      <c r="IR279" s="1050"/>
      <c r="IS279" s="1050"/>
      <c r="IT279" s="1050"/>
      <c r="IU279" s="1050"/>
      <c r="IV279" s="1050"/>
      <c r="IW279" s="1050"/>
      <c r="IX279" s="1050"/>
      <c r="IY279" s="1050"/>
      <c r="JA279" s="1049">
        <f>+IFERROR((JA169+JA191)/JA204," ")</f>
        <v>6.3464240667009744E-2</v>
      </c>
      <c r="JB279" s="1049">
        <f>+IFERROR((JB169+JB191)/JB204," ")</f>
        <v>6.4404035781375837E-2</v>
      </c>
      <c r="JC279" s="1049">
        <f>+IFERROR((JC169+JC191)/JC204," ")</f>
        <v>0.21143248895709668</v>
      </c>
      <c r="JD279" s="1049"/>
      <c r="JE279" s="1049"/>
      <c r="JF279" s="1049"/>
      <c r="JG279" s="1049"/>
      <c r="JH279" s="1049"/>
      <c r="JI279" s="1049"/>
      <c r="JJ279" s="1049"/>
      <c r="JK279" s="1049"/>
      <c r="JL279" s="1049">
        <f>+IFERROR((JL169+JL191)/JL204," ")</f>
        <v>0.35963474211410734</v>
      </c>
      <c r="JM279" s="1049" t="str">
        <f>+IFERROR((JM169+JM191)/JM204," ")</f>
        <v xml:space="preserve"> </v>
      </c>
      <c r="JN279" s="1049" t="str">
        <f>+IFERROR((JN169+JN191)/JN204," ")</f>
        <v xml:space="preserve"> </v>
      </c>
      <c r="JY279" s="1050"/>
      <c r="JZ279" s="1050"/>
      <c r="KA279" s="1050"/>
      <c r="KB279" s="1050"/>
      <c r="KC279" s="1050"/>
      <c r="KD279" s="1050"/>
      <c r="KE279" s="1050"/>
      <c r="KF279" s="1050"/>
      <c r="KH279" s="1050"/>
      <c r="KI279" s="1050"/>
      <c r="KJ279" s="1050"/>
      <c r="KK279" s="1050"/>
      <c r="KL279" s="1050"/>
      <c r="KM279" s="1050"/>
      <c r="KN279" s="1050"/>
      <c r="KO279" s="1050"/>
      <c r="KQ279" s="1050"/>
      <c r="KR279" s="1050"/>
      <c r="KS279" s="1050"/>
      <c r="KT279" s="1050"/>
      <c r="KU279" s="1050"/>
      <c r="KV279" s="1050"/>
      <c r="KW279" s="1050"/>
      <c r="KX279" s="1050"/>
      <c r="KY279" s="1050"/>
      <c r="KZ279" s="1050"/>
      <c r="LB279" s="1049">
        <f>+IFERROR((LB169+LB191)/LB204," ")</f>
        <v>6.3464240667009744E-2</v>
      </c>
      <c r="LC279" s="1049">
        <f>+IFERROR((LC169+LC191)/LC204," ")</f>
        <v>6.4404035781375837E-2</v>
      </c>
      <c r="LD279" s="1049">
        <f>+IFERROR((LD169+LD191)/LD204," ")</f>
        <v>0.21143248895709668</v>
      </c>
      <c r="LE279" s="1049">
        <f>+IFERROR((LE169+LE191)/LE204," ")</f>
        <v>0.66972051084286544</v>
      </c>
      <c r="LF279" s="1049">
        <f>+IFERROR((LF169+LF191)/LF204," ")</f>
        <v>0.9451287622395449</v>
      </c>
      <c r="LG279" s="1049"/>
      <c r="LH279" s="1049"/>
      <c r="LI279" s="1049"/>
      <c r="LJ279" s="1049"/>
      <c r="LK279" s="1049"/>
      <c r="LL279" s="1049"/>
      <c r="LM279" s="1049">
        <f>+IFERROR((LM169+LM191)/LM204," ")</f>
        <v>0.35963474211410734</v>
      </c>
      <c r="LN279" s="1049" t="str">
        <f>+IFERROR((LN169+LN191)/LN204," ")</f>
        <v xml:space="preserve"> </v>
      </c>
      <c r="LO279" s="1049" t="str">
        <f>+IFERROR((LO169+LO191)/LO204," ")</f>
        <v xml:space="preserve"> </v>
      </c>
    </row>
    <row r="280" spans="1:327">
      <c r="A280" s="867"/>
      <c r="C280" s="186" t="s">
        <v>808</v>
      </c>
      <c r="D280" s="191" t="s">
        <v>251</v>
      </c>
      <c r="E280" s="1051" t="str">
        <f t="shared" ref="E280:AN280" si="1231">+IFERROR((E169+E191)/E230," ")</f>
        <v xml:space="preserve"> </v>
      </c>
      <c r="F280" s="1051" t="str">
        <f t="shared" si="1231"/>
        <v xml:space="preserve"> </v>
      </c>
      <c r="G280" s="1051" t="str">
        <f t="shared" si="1231"/>
        <v xml:space="preserve"> </v>
      </c>
      <c r="H280" s="1051" t="str">
        <f t="shared" si="1231"/>
        <v xml:space="preserve"> </v>
      </c>
      <c r="I280" s="1051" t="str">
        <f t="shared" si="1231"/>
        <v xml:space="preserve"> </v>
      </c>
      <c r="J280" s="1051" t="str">
        <f t="shared" si="1231"/>
        <v xml:space="preserve"> </v>
      </c>
      <c r="K280" s="1051" t="str">
        <f t="shared" si="1231"/>
        <v xml:space="preserve"> </v>
      </c>
      <c r="L280" s="1051" t="str">
        <f t="shared" si="1231"/>
        <v xml:space="preserve"> </v>
      </c>
      <c r="M280" s="1051" t="str">
        <f t="shared" si="1231"/>
        <v xml:space="preserve"> </v>
      </c>
      <c r="N280" s="1051" t="str">
        <f t="shared" si="1231"/>
        <v xml:space="preserve"> </v>
      </c>
      <c r="O280" s="1051" t="str">
        <f t="shared" si="1231"/>
        <v xml:space="preserve"> </v>
      </c>
      <c r="P280" s="1051" t="str">
        <f t="shared" si="1231"/>
        <v xml:space="preserve"> </v>
      </c>
      <c r="Q280" s="1051" t="str">
        <f t="shared" si="1231"/>
        <v xml:space="preserve"> </v>
      </c>
      <c r="R280" s="1051" t="str">
        <f t="shared" si="1231"/>
        <v xml:space="preserve"> </v>
      </c>
      <c r="S280" s="1051" t="str">
        <f t="shared" si="1231"/>
        <v xml:space="preserve"> </v>
      </c>
      <c r="T280" s="1051" t="str">
        <f t="shared" si="1231"/>
        <v xml:space="preserve"> </v>
      </c>
      <c r="U280" s="1051" t="str">
        <f t="shared" si="1231"/>
        <v xml:space="preserve"> </v>
      </c>
      <c r="V280" s="1051" t="str">
        <f t="shared" si="1231"/>
        <v xml:space="preserve"> </v>
      </c>
      <c r="W280" s="1051" t="str">
        <f t="shared" si="1231"/>
        <v xml:space="preserve"> </v>
      </c>
      <c r="X280" s="1051" t="str">
        <f t="shared" si="1231"/>
        <v xml:space="preserve"> </v>
      </c>
      <c r="Y280" s="1051" t="str">
        <f t="shared" si="1231"/>
        <v xml:space="preserve"> </v>
      </c>
      <c r="Z280" s="1051" t="str">
        <f t="shared" si="1231"/>
        <v xml:space="preserve"> </v>
      </c>
      <c r="AA280" s="1051" t="str">
        <f t="shared" si="1231"/>
        <v xml:space="preserve"> </v>
      </c>
      <c r="AB280" s="1051" t="str">
        <f t="shared" si="1231"/>
        <v xml:space="preserve"> </v>
      </c>
      <c r="AC280" s="1051" t="str">
        <f t="shared" si="1231"/>
        <v xml:space="preserve"> </v>
      </c>
      <c r="AD280" s="1051" t="str">
        <f t="shared" si="1231"/>
        <v xml:space="preserve"> </v>
      </c>
      <c r="AE280" s="1051" t="str">
        <f t="shared" si="1231"/>
        <v xml:space="preserve"> </v>
      </c>
      <c r="AF280" s="1051" t="str">
        <f t="shared" si="1231"/>
        <v xml:space="preserve"> </v>
      </c>
      <c r="AG280" s="1051" t="str">
        <f t="shared" si="1231"/>
        <v xml:space="preserve"> </v>
      </c>
      <c r="AH280" s="1051" t="str">
        <f t="shared" si="1231"/>
        <v xml:space="preserve"> </v>
      </c>
      <c r="AI280" s="1051" t="str">
        <f t="shared" si="1231"/>
        <v xml:space="preserve"> </v>
      </c>
      <c r="AJ280" s="1051" t="str">
        <f t="shared" si="1231"/>
        <v xml:space="preserve"> </v>
      </c>
      <c r="AK280" s="1051" t="str">
        <f t="shared" si="1231"/>
        <v xml:space="preserve"> </v>
      </c>
      <c r="AL280" s="1051" t="str">
        <f t="shared" si="1231"/>
        <v xml:space="preserve"> </v>
      </c>
      <c r="AM280" s="1051" t="str">
        <f t="shared" si="1231"/>
        <v xml:space="preserve"> </v>
      </c>
      <c r="AN280" s="1051" t="str">
        <f t="shared" si="1231"/>
        <v xml:space="preserve"> </v>
      </c>
      <c r="AO280" s="1051">
        <v>-1.3294312998140572</v>
      </c>
      <c r="AP280" s="1051">
        <v>-3.6125212088242029</v>
      </c>
      <c r="AQ280" s="1051">
        <v>-4.4252669338722983</v>
      </c>
      <c r="AR280" s="1051">
        <v>-12.430346106179536</v>
      </c>
      <c r="AS280" s="1051">
        <v>-3.596886550422874</v>
      </c>
      <c r="AT280" s="1051">
        <v>-9.8180980860894582</v>
      </c>
      <c r="AU280" s="1051">
        <v>260.50932841925663</v>
      </c>
      <c r="AV280" s="1051">
        <v>-22.940524291565843</v>
      </c>
      <c r="AW280" s="1051">
        <v>-12.489587082565325</v>
      </c>
      <c r="AX280" s="1051">
        <v>12.226709457637952</v>
      </c>
      <c r="AY280" s="1051">
        <v>110.44747346055274</v>
      </c>
      <c r="AZ280" s="1051">
        <v>5.9630772140395818</v>
      </c>
      <c r="BA280" s="1051">
        <v>-12.773582935556345</v>
      </c>
      <c r="BB280" s="1051">
        <v>17.933952490817795</v>
      </c>
      <c r="BC280" s="1051">
        <v>133.10513502288313</v>
      </c>
      <c r="BD280" s="1051">
        <v>7.4821868913913114</v>
      </c>
      <c r="BE280" s="1051">
        <v>-8.3089191053201912</v>
      </c>
      <c r="BF280" s="1051">
        <v>-47.354271523890766</v>
      </c>
      <c r="BG280" s="1051">
        <v>-18.550425597634472</v>
      </c>
      <c r="BH280" s="1051">
        <v>13412.887438113594</v>
      </c>
      <c r="BI280" s="1051">
        <v>47.927469229790852</v>
      </c>
      <c r="BJ280" s="1051">
        <v>-83.908807199961487</v>
      </c>
      <c r="BK280" s="1051">
        <v>6.8245315289365029</v>
      </c>
      <c r="BL280" s="1051">
        <v>-29.36827207988431</v>
      </c>
      <c r="BM280" s="1051">
        <f t="shared" ref="BM280:DX280" si="1232">+IFERROR((BM169+BM191)/BM230," ")</f>
        <v>-16.787203656834684</v>
      </c>
      <c r="BN280" s="1051">
        <f t="shared" si="1232"/>
        <v>-15.810187648439667</v>
      </c>
      <c r="BO280" s="1051">
        <f t="shared" si="1232"/>
        <v>15.398301818892968</v>
      </c>
      <c r="BP280" s="1051">
        <f t="shared" si="1232"/>
        <v>-35.52263219999849</v>
      </c>
      <c r="BQ280" s="1051">
        <f t="shared" si="1232"/>
        <v>14.312618651108528</v>
      </c>
      <c r="BR280" s="1051">
        <f t="shared" si="1232"/>
        <v>1052.6094345194631</v>
      </c>
      <c r="BS280" s="1051">
        <f t="shared" si="1232"/>
        <v>-40.953056525166026</v>
      </c>
      <c r="BT280" s="1051">
        <f t="shared" si="1232"/>
        <v>24.34891659489168</v>
      </c>
      <c r="BU280" s="1051">
        <f t="shared" si="1232"/>
        <v>-36.479173106929004</v>
      </c>
      <c r="BV280" s="1051">
        <f t="shared" si="1232"/>
        <v>9.08037659599092</v>
      </c>
      <c r="BW280" s="1051">
        <f t="shared" si="1232"/>
        <v>108.42284705468909</v>
      </c>
      <c r="BX280" s="1051">
        <f t="shared" si="1232"/>
        <v>14.775669697474179</v>
      </c>
      <c r="BY280" s="1051">
        <f t="shared" si="1232"/>
        <v>-15.27239397295395</v>
      </c>
      <c r="BZ280" s="1051">
        <f t="shared" si="1232"/>
        <v>21.396140170804749</v>
      </c>
      <c r="CA280" s="1051">
        <f t="shared" si="1232"/>
        <v>-151.68727689716653</v>
      </c>
      <c r="CB280" s="1051">
        <f t="shared" si="1232"/>
        <v>40.135894775825761</v>
      </c>
      <c r="CC280" s="1051">
        <f t="shared" si="1232"/>
        <v>76.232852251121301</v>
      </c>
      <c r="CD280" s="1051">
        <f t="shared" si="1232"/>
        <v>-94.503613755680774</v>
      </c>
      <c r="CE280" s="1051">
        <f t="shared" si="1232"/>
        <v>7.3805906698070842</v>
      </c>
      <c r="CF280" s="1051">
        <f t="shared" si="1232"/>
        <v>18.564626845639584</v>
      </c>
      <c r="CG280" s="1051">
        <f t="shared" si="1232"/>
        <v>-10.35233388392742</v>
      </c>
      <c r="CH280" s="1051">
        <f t="shared" si="1232"/>
        <v>-19.416241002524934</v>
      </c>
      <c r="CI280" s="1051">
        <f t="shared" si="1232"/>
        <v>3896.4276430419254</v>
      </c>
      <c r="CJ280" s="1051">
        <f t="shared" si="1232"/>
        <v>51.727988237796964</v>
      </c>
      <c r="CK280" s="1051">
        <f t="shared" si="1232"/>
        <v>-19.858041689396849</v>
      </c>
      <c r="CL280" s="1051">
        <f t="shared" si="1232"/>
        <v>15.352352172648452</v>
      </c>
      <c r="CM280" s="1051">
        <f t="shared" si="1232"/>
        <v>17.975085963837355</v>
      </c>
      <c r="CN280" s="1051">
        <f t="shared" si="1232"/>
        <v>-382.69320137728658</v>
      </c>
      <c r="CO280" s="1051">
        <f t="shared" si="1232"/>
        <v>41.077415119733047</v>
      </c>
      <c r="CP280" s="1051">
        <f t="shared" si="1232"/>
        <v>20.061010731285378</v>
      </c>
      <c r="CQ280" s="1051">
        <f t="shared" si="1232"/>
        <v>12.094056268236878</v>
      </c>
      <c r="CR280" s="1051">
        <f t="shared" si="1232"/>
        <v>7.7653132888357037</v>
      </c>
      <c r="CS280" s="1051">
        <f t="shared" si="1232"/>
        <v>69.727215105470577</v>
      </c>
      <c r="CT280" s="1051">
        <f t="shared" si="1232"/>
        <v>-18.671295542817429</v>
      </c>
      <c r="CU280" s="1051">
        <f t="shared" si="1232"/>
        <v>-23.332583236268476</v>
      </c>
      <c r="CV280" s="1051">
        <f t="shared" si="1232"/>
        <v>6.6036590612590755</v>
      </c>
      <c r="CW280" s="1051">
        <f t="shared" si="1232"/>
        <v>-27.82756359552452</v>
      </c>
      <c r="CX280" s="1051">
        <f t="shared" si="1232"/>
        <v>-10.190176529785679</v>
      </c>
      <c r="CY280" s="1051">
        <f t="shared" si="1232"/>
        <v>-9.6744809930924873</v>
      </c>
      <c r="CZ280" s="1051">
        <f t="shared" si="1232"/>
        <v>4.2735144981507949</v>
      </c>
      <c r="DA280" s="1051">
        <f t="shared" si="1232"/>
        <v>54.512777270092556</v>
      </c>
      <c r="DB280" s="1051">
        <f t="shared" si="1232"/>
        <v>11.745244182011824</v>
      </c>
      <c r="DC280" s="1051">
        <f t="shared" si="1232"/>
        <v>-47.697205195334313</v>
      </c>
      <c r="DD280" s="1051">
        <f t="shared" si="1232"/>
        <v>-14.153051043121859</v>
      </c>
      <c r="DE280" s="1051">
        <f t="shared" si="1232"/>
        <v>-12.064861372065577</v>
      </c>
      <c r="DF280" s="1051">
        <f t="shared" si="1232"/>
        <v>38.867699062841062</v>
      </c>
      <c r="DG280" s="1051">
        <f t="shared" si="1232"/>
        <v>23.109823048842156</v>
      </c>
      <c r="DH280" s="1051">
        <f t="shared" si="1232"/>
        <v>6.1978516060174753</v>
      </c>
      <c r="DI280" s="1051">
        <f t="shared" si="1232"/>
        <v>-10.194492701286578</v>
      </c>
      <c r="DJ280" s="1051">
        <f t="shared" si="1232"/>
        <v>16.156333047074281</v>
      </c>
      <c r="DK280" s="1051">
        <f t="shared" si="1232"/>
        <v>-21.681247073177985</v>
      </c>
      <c r="DL280" s="1051">
        <f t="shared" si="1232"/>
        <v>10.103702061135232</v>
      </c>
      <c r="DM280" s="1051">
        <f t="shared" si="1232"/>
        <v>-39.96322070858524</v>
      </c>
      <c r="DN280" s="1051">
        <f t="shared" si="1232"/>
        <v>370.18950594706575</v>
      </c>
      <c r="DO280" s="1051">
        <f t="shared" si="1232"/>
        <v>-35.809155595813955</v>
      </c>
      <c r="DP280" s="1051">
        <f t="shared" si="1232"/>
        <v>55.596290624361004</v>
      </c>
      <c r="DQ280" s="1178">
        <f t="shared" si="1232"/>
        <v>5.1520596144960766</v>
      </c>
      <c r="DR280" s="1178">
        <f t="shared" si="1232"/>
        <v>7.0981567424509215</v>
      </c>
      <c r="DS280" s="1178">
        <f t="shared" si="1232"/>
        <v>-6.815553749877175</v>
      </c>
      <c r="DT280" s="1178">
        <f t="shared" si="1232"/>
        <v>20.879176117967994</v>
      </c>
      <c r="DU280" s="1178">
        <f t="shared" si="1232"/>
        <v>-21.225466617689719</v>
      </c>
      <c r="DV280" s="1178">
        <f t="shared" si="1232"/>
        <v>7.5934663363828037</v>
      </c>
      <c r="DW280" s="1178">
        <f t="shared" si="1232"/>
        <v>-15.065479442375414</v>
      </c>
      <c r="DX280" s="1178">
        <f t="shared" si="1232"/>
        <v>-28.694802526188845</v>
      </c>
      <c r="DY280" s="1178">
        <f t="shared" ref="DY280:EF280" si="1233">+IFERROR((DY169+DY191)/DY230," ")</f>
        <v>12.03803305985395</v>
      </c>
      <c r="DZ280" s="1178">
        <f t="shared" si="1233"/>
        <v>8.1838329729335282</v>
      </c>
      <c r="EA280" s="1178">
        <f t="shared" si="1233"/>
        <v>-34.787657265234813</v>
      </c>
      <c r="EB280" s="1178">
        <f t="shared" si="1233"/>
        <v>7.8466640623781547</v>
      </c>
      <c r="EC280" s="1178">
        <f t="shared" si="1233"/>
        <v>-7.9467602809730939</v>
      </c>
      <c r="ED280" s="1178">
        <f t="shared" si="1233"/>
        <v>175.11193415993279</v>
      </c>
      <c r="EE280" s="1178">
        <f t="shared" si="1233"/>
        <v>8.9030799195151769</v>
      </c>
      <c r="EF280" s="1178">
        <f t="shared" si="1233"/>
        <v>2.0583046207630677</v>
      </c>
      <c r="EH280" s="1051">
        <f t="shared" ref="EH280:ER280" si="1234">+IFERROR((CL169+CL191)/CL230," ")</f>
        <v>15.352352172648452</v>
      </c>
      <c r="EI280" s="1051">
        <f t="shared" si="1234"/>
        <v>17.975085963837355</v>
      </c>
      <c r="EJ280" s="1051">
        <f t="shared" si="1234"/>
        <v>-382.69320137728658</v>
      </c>
      <c r="EK280" s="1051">
        <f t="shared" si="1234"/>
        <v>41.077415119733047</v>
      </c>
      <c r="EL280" s="1051">
        <f t="shared" si="1234"/>
        <v>20.061010731285378</v>
      </c>
      <c r="EM280" s="1051">
        <f t="shared" si="1234"/>
        <v>12.094056268236878</v>
      </c>
      <c r="EN280" s="1051">
        <f t="shared" si="1234"/>
        <v>7.7653132888357037</v>
      </c>
      <c r="EO280" s="1051">
        <f t="shared" si="1234"/>
        <v>69.727215105470577</v>
      </c>
      <c r="EP280" s="1051">
        <f t="shared" si="1234"/>
        <v>-18.671295542817429</v>
      </c>
      <c r="EQ280" s="1051">
        <f t="shared" si="1234"/>
        <v>-23.332583236268476</v>
      </c>
      <c r="ER280" s="1051">
        <f t="shared" si="1234"/>
        <v>6.6036590612590755</v>
      </c>
      <c r="ES280" s="1051" t="str">
        <f>+IFERROR((EG169+EG191)/EG230," ")</f>
        <v xml:space="preserve"> </v>
      </c>
      <c r="HD280" s="1051" t="str">
        <f>+IFERROR((HD169+HD191)/HD230," ")</f>
        <v xml:space="preserve"> </v>
      </c>
      <c r="HE280" s="1051" t="str">
        <f>+IFERROR((HE169+HE191)/HE230," ")</f>
        <v xml:space="preserve"> </v>
      </c>
      <c r="HF280" s="1051" t="str">
        <f>+IFERROR((HF169+HF191)/HF230," ")</f>
        <v xml:space="preserve"> </v>
      </c>
      <c r="HG280" s="1051" t="str">
        <f>+IFERROR((HG169+HG191)/HG230," ")</f>
        <v xml:space="preserve"> </v>
      </c>
      <c r="HH280" s="1051">
        <f t="shared" si="1222"/>
        <v>-29.36827207988431</v>
      </c>
      <c r="HI280" s="1051">
        <f t="shared" si="1222"/>
        <v>0</v>
      </c>
      <c r="HJ280" s="1051"/>
      <c r="HK280" s="1051"/>
      <c r="HL280" s="1178"/>
      <c r="HM280" s="1178"/>
      <c r="HN280" s="1178"/>
      <c r="HO280" s="1051"/>
      <c r="HP280" s="1051" t="str">
        <f>+IFERROR((HP169+HP191)/HP230," ")</f>
        <v xml:space="preserve"> </v>
      </c>
      <c r="IA280" s="1052"/>
      <c r="IB280" s="1052"/>
      <c r="IC280" s="1052"/>
      <c r="IF280" s="1052"/>
      <c r="IG280" s="1052"/>
      <c r="IH280" s="1052"/>
      <c r="II280" s="1052"/>
      <c r="IJ280" s="1052"/>
      <c r="IK280" s="1052"/>
      <c r="IL280" s="1052"/>
      <c r="IM280" s="1052"/>
      <c r="IN280" s="1052"/>
      <c r="IP280" s="1052"/>
      <c r="IQ280" s="1052"/>
      <c r="IR280" s="1052"/>
      <c r="IS280" s="1052"/>
      <c r="IT280" s="1052"/>
      <c r="IU280" s="1052"/>
      <c r="IV280" s="1052"/>
      <c r="IW280" s="1052"/>
      <c r="IX280" s="1052"/>
      <c r="IY280" s="1052"/>
      <c r="JA280" s="1051" t="str">
        <f>+IFERROR((JA169+JA191)/JA230," ")</f>
        <v xml:space="preserve"> </v>
      </c>
      <c r="JB280" s="1051" t="str">
        <f>+IFERROR((JB169+JB191)/JB230," ")</f>
        <v xml:space="preserve"> </v>
      </c>
      <c r="JC280" s="1051" t="str">
        <f>+IFERROR((JC169+JC191)/JC230," ")</f>
        <v xml:space="preserve"> </v>
      </c>
      <c r="JD280" s="1051"/>
      <c r="JE280" s="1051"/>
      <c r="JF280" s="1051"/>
      <c r="JG280" s="1051"/>
      <c r="JH280" s="1051"/>
      <c r="JI280" s="1051"/>
      <c r="JJ280" s="1051"/>
      <c r="JK280" s="1051"/>
      <c r="JL280" s="1051" t="str">
        <f>+IFERROR((JL169+JL191)/JL230," ")</f>
        <v xml:space="preserve"> </v>
      </c>
      <c r="JM280" s="1051" t="str">
        <f>+IFERROR((JM169+JM191)/JM230," ")</f>
        <v xml:space="preserve"> </v>
      </c>
      <c r="JN280" s="1051" t="str">
        <f>+IFERROR((JN169+JN191)/JN230," ")</f>
        <v xml:space="preserve"> </v>
      </c>
      <c r="JY280" s="1052"/>
      <c r="JZ280" s="1052"/>
      <c r="KA280" s="1052"/>
      <c r="KB280" s="1052"/>
      <c r="KC280" s="1052"/>
      <c r="KD280" s="1052"/>
      <c r="KE280" s="1052"/>
      <c r="KF280" s="1052"/>
      <c r="KH280" s="1052"/>
      <c r="KI280" s="1052"/>
      <c r="KJ280" s="1052"/>
      <c r="KK280" s="1052"/>
      <c r="KL280" s="1052"/>
      <c r="KM280" s="1052"/>
      <c r="KN280" s="1052"/>
      <c r="KO280" s="1052"/>
      <c r="KQ280" s="1052"/>
      <c r="KR280" s="1052"/>
      <c r="KS280" s="1052"/>
      <c r="KT280" s="1052"/>
      <c r="KU280" s="1052"/>
      <c r="KV280" s="1052"/>
      <c r="KW280" s="1052"/>
      <c r="KX280" s="1052"/>
      <c r="KY280" s="1052"/>
      <c r="KZ280" s="1052"/>
      <c r="LB280" s="1051" t="str">
        <f>+IFERROR((LB169+LB191)/LB230," ")</f>
        <v xml:space="preserve"> </v>
      </c>
      <c r="LC280" s="1051" t="str">
        <f>+IFERROR((LC169+LC191)/LC230," ")</f>
        <v xml:space="preserve"> </v>
      </c>
      <c r="LD280" s="1051" t="str">
        <f>+IFERROR((LD169+LD191)/LD230," ")</f>
        <v xml:space="preserve"> </v>
      </c>
      <c r="LE280" s="1051" t="str">
        <f>+IFERROR((LE169+LE191)/LE230," ")</f>
        <v xml:space="preserve"> </v>
      </c>
      <c r="LF280" s="1051" t="str">
        <f>+IFERROR((LF169+LF191)/LF230," ")</f>
        <v xml:space="preserve"> </v>
      </c>
      <c r="LG280" s="1051"/>
      <c r="LH280" s="1051"/>
      <c r="LI280" s="1051"/>
      <c r="LJ280" s="1051"/>
      <c r="LK280" s="1051"/>
      <c r="LL280" s="1051"/>
      <c r="LM280" s="1051" t="str">
        <f>+IFERROR((LM169+LM191)/LM230," ")</f>
        <v xml:space="preserve"> </v>
      </c>
      <c r="LN280" s="1051" t="str">
        <f>+IFERROR((LN169+LN191)/LN230," ")</f>
        <v xml:space="preserve"> </v>
      </c>
      <c r="LO280" s="1051" t="str">
        <f>+IFERROR((LO169+LO191)/LO230," ")</f>
        <v xml:space="preserve"> </v>
      </c>
    </row>
    <row r="281" spans="1:327">
      <c r="A281" s="867"/>
      <c r="C281" s="657"/>
      <c r="D281" s="18"/>
      <c r="AQ281" s="17"/>
      <c r="DQ281" s="873"/>
      <c r="DR281" s="873"/>
      <c r="DS281" s="873"/>
      <c r="DT281" s="873"/>
      <c r="DU281" s="873"/>
      <c r="DV281" s="873"/>
      <c r="DW281" s="873"/>
      <c r="DX281" s="873"/>
      <c r="DY281" s="873"/>
      <c r="DZ281" s="873"/>
      <c r="EA281" s="873"/>
      <c r="EB281" s="873"/>
      <c r="EC281" s="873"/>
      <c r="ED281" s="873"/>
      <c r="EE281" s="873"/>
      <c r="EF281" s="873"/>
    </row>
    <row r="282" spans="1:327">
      <c r="A282" s="867"/>
      <c r="C282" s="185" t="s">
        <v>263</v>
      </c>
      <c r="D282" s="191"/>
      <c r="AQ282" s="17"/>
      <c r="DQ282" s="873"/>
      <c r="DR282" s="873"/>
      <c r="DS282" s="873"/>
      <c r="DT282" s="873"/>
      <c r="DU282" s="873"/>
      <c r="DV282" s="873"/>
      <c r="DW282" s="873"/>
      <c r="DX282" s="873"/>
      <c r="DY282" s="873"/>
      <c r="DZ282" s="873"/>
      <c r="EA282" s="873"/>
      <c r="EB282" s="873"/>
      <c r="EC282" s="873"/>
      <c r="ED282" s="873"/>
      <c r="EE282" s="873"/>
      <c r="EF282" s="873"/>
    </row>
    <row r="283" spans="1:327">
      <c r="A283" s="867"/>
      <c r="C283" s="17" t="s">
        <v>809</v>
      </c>
      <c r="D283" s="18" t="s">
        <v>59</v>
      </c>
      <c r="E283" s="1053">
        <f t="shared" ref="E283:AN283" si="1235">+SUM(E121:E135)-SUM(E169:E183)</f>
        <v>-3310.1281169200015</v>
      </c>
      <c r="F283" s="1053">
        <f t="shared" si="1235"/>
        <v>151.44569386999956</v>
      </c>
      <c r="G283" s="1053">
        <f t="shared" si="1235"/>
        <v>-564.18657432000145</v>
      </c>
      <c r="H283" s="1053">
        <f t="shared" si="1235"/>
        <v>9.4352325399995607</v>
      </c>
      <c r="I283" s="1053">
        <f t="shared" si="1235"/>
        <v>846.72961034999844</v>
      </c>
      <c r="J283" s="1053">
        <f t="shared" si="1235"/>
        <v>1130.0356621499986</v>
      </c>
      <c r="K283" s="1053">
        <f t="shared" si="1235"/>
        <v>554.40992096999889</v>
      </c>
      <c r="L283" s="1053">
        <f t="shared" si="1235"/>
        <v>2183.5749249399996</v>
      </c>
      <c r="M283" s="1053">
        <f t="shared" si="1235"/>
        <v>2759.3862050000016</v>
      </c>
      <c r="N283" s="1053">
        <f t="shared" si="1235"/>
        <v>3395.3514779700017</v>
      </c>
      <c r="O283" s="1053">
        <f t="shared" si="1235"/>
        <v>5197.4469050700009</v>
      </c>
      <c r="P283" s="1053">
        <f t="shared" si="1235"/>
        <v>4646.0965365399989</v>
      </c>
      <c r="Q283" s="1053">
        <f t="shared" si="1235"/>
        <v>3027.11438567</v>
      </c>
      <c r="R283" s="1053">
        <f t="shared" si="1235"/>
        <v>5603.8152087799999</v>
      </c>
      <c r="S283" s="1053">
        <f t="shared" si="1235"/>
        <v>3802.0984213900028</v>
      </c>
      <c r="T283" s="1053">
        <f t="shared" si="1235"/>
        <v>-2297.496793459999</v>
      </c>
      <c r="U283" s="1053">
        <f t="shared" si="1235"/>
        <v>-183.42203487999905</v>
      </c>
      <c r="V283" s="1053">
        <f t="shared" si="1235"/>
        <v>355.965788659998</v>
      </c>
      <c r="W283" s="1053">
        <f t="shared" si="1235"/>
        <v>857.50047892000202</v>
      </c>
      <c r="X283" s="1053">
        <f t="shared" si="1235"/>
        <v>2036.7296002399989</v>
      </c>
      <c r="Y283" s="1053">
        <f t="shared" si="1235"/>
        <v>1839.8360151100014</v>
      </c>
      <c r="Z283" s="1053">
        <f t="shared" si="1235"/>
        <v>1795.1473001099985</v>
      </c>
      <c r="AA283" s="1053">
        <f t="shared" si="1235"/>
        <v>3789.5660362900026</v>
      </c>
      <c r="AB283" s="1053">
        <f t="shared" si="1235"/>
        <v>4526.0165277899996</v>
      </c>
      <c r="AC283" s="1053">
        <f t="shared" si="1235"/>
        <v>5427.6434272700017</v>
      </c>
      <c r="AD283" s="1053">
        <f t="shared" si="1235"/>
        <v>8503.4629413499988</v>
      </c>
      <c r="AE283" s="1053">
        <f t="shared" si="1235"/>
        <v>9180.3562599299948</v>
      </c>
      <c r="AF283" s="1053">
        <f t="shared" si="1235"/>
        <v>369.59161294999649</v>
      </c>
      <c r="AG283" s="1053">
        <f t="shared" si="1235"/>
        <v>764.13656623999668</v>
      </c>
      <c r="AH283" s="1053">
        <f t="shared" si="1235"/>
        <v>2906.3250314899997</v>
      </c>
      <c r="AI283" s="1053">
        <f t="shared" si="1235"/>
        <v>3131.8301997000017</v>
      </c>
      <c r="AJ283" s="1053">
        <f t="shared" si="1235"/>
        <v>2030.7160156600039</v>
      </c>
      <c r="AK283" s="1053">
        <f t="shared" si="1235"/>
        <v>2750.1214892199987</v>
      </c>
      <c r="AL283" s="1053">
        <f t="shared" si="1235"/>
        <v>4154.970340869997</v>
      </c>
      <c r="AM283" s="1053">
        <f t="shared" si="1235"/>
        <v>-989.17333063000478</v>
      </c>
      <c r="AN283" s="1053">
        <f t="shared" si="1235"/>
        <v>3473.7227598999962</v>
      </c>
      <c r="AO283" s="345">
        <v>8190.8005409299876</v>
      </c>
      <c r="AP283" s="345">
        <v>-666.10701269000856</v>
      </c>
      <c r="AQ283" s="345">
        <v>1147.7565694899931</v>
      </c>
      <c r="AR283" s="345">
        <v>-2917.1198457900064</v>
      </c>
      <c r="AS283" s="345">
        <v>-5420.1098593899987</v>
      </c>
      <c r="AT283" s="345">
        <v>-8919.3164212199972</v>
      </c>
      <c r="AU283" s="345">
        <v>-7979.5680737000093</v>
      </c>
      <c r="AV283" s="345">
        <v>-6772.4387825300073</v>
      </c>
      <c r="AW283" s="345">
        <v>-7179.2915862600039</v>
      </c>
      <c r="AX283" s="345">
        <v>-9069.951805210012</v>
      </c>
      <c r="AY283" s="345">
        <v>-9595.024736870002</v>
      </c>
      <c r="AZ283" s="345">
        <v>-10076.086040540002</v>
      </c>
      <c r="BA283" s="960">
        <v>-10310.227171099999</v>
      </c>
      <c r="BB283" s="960">
        <v>-10405.802270630002</v>
      </c>
      <c r="BC283" s="960">
        <v>-10509.270796570006</v>
      </c>
      <c r="BD283" s="960">
        <v>-10832.958171030006</v>
      </c>
      <c r="BE283" s="961">
        <v>-10659.483003579997</v>
      </c>
      <c r="BF283" s="961">
        <v>-11026.040453170004</v>
      </c>
      <c r="BG283" s="961">
        <v>-11215.51135809</v>
      </c>
      <c r="BH283" s="961">
        <v>-12023.929779870001</v>
      </c>
      <c r="BI283" s="961">
        <v>-12285.21188287</v>
      </c>
      <c r="BJ283" s="961">
        <v>-12443.584590959999</v>
      </c>
      <c r="BK283" s="961">
        <v>-13080.653537309996</v>
      </c>
      <c r="BL283" s="961">
        <v>-12604.75903637</v>
      </c>
      <c r="BM283" s="960">
        <f t="shared" ref="BM283:CR283" si="1236">+SUM(BM121:BM135)-SUM(BM169:BM183)</f>
        <v>-12399.1289638</v>
      </c>
      <c r="BN283" s="960">
        <f t="shared" si="1236"/>
        <v>-11062.778569870008</v>
      </c>
      <c r="BO283" s="960">
        <f t="shared" si="1236"/>
        <v>-11416.728518849995</v>
      </c>
      <c r="BP283" s="960">
        <f t="shared" si="1236"/>
        <v>-10854.005781329995</v>
      </c>
      <c r="BQ283" s="960">
        <f t="shared" si="1236"/>
        <v>-11412.565925330002</v>
      </c>
      <c r="BR283" s="961">
        <f t="shared" si="1236"/>
        <v>-10993.7469153</v>
      </c>
      <c r="BS283" s="961">
        <f t="shared" si="1236"/>
        <v>-10715.412976979998</v>
      </c>
      <c r="BT283" s="961">
        <f t="shared" si="1236"/>
        <v>-10452.652420480003</v>
      </c>
      <c r="BU283" s="961">
        <f t="shared" si="1236"/>
        <v>-10385.782976159999</v>
      </c>
      <c r="BV283" s="961">
        <f t="shared" si="1236"/>
        <v>-10991.907318840005</v>
      </c>
      <c r="BW283" s="961">
        <f t="shared" si="1236"/>
        <v>-10649.669568960006</v>
      </c>
      <c r="BX283" s="961">
        <f t="shared" si="1236"/>
        <v>-11874.201359500001</v>
      </c>
      <c r="BY283" s="960">
        <f t="shared" si="1236"/>
        <v>-10971.114466079995</v>
      </c>
      <c r="BZ283" s="960">
        <f t="shared" si="1236"/>
        <v>-10555.005634619998</v>
      </c>
      <c r="CA283" s="960">
        <f t="shared" si="1236"/>
        <v>-10770.596279700001</v>
      </c>
      <c r="CB283" s="960">
        <f t="shared" si="1236"/>
        <v>-11093.917851700002</v>
      </c>
      <c r="CC283" s="960">
        <f t="shared" si="1236"/>
        <v>-11294.616037200003</v>
      </c>
      <c r="CD283" s="960">
        <f t="shared" si="1236"/>
        <v>-11214.090523520008</v>
      </c>
      <c r="CE283" s="960">
        <f t="shared" si="1236"/>
        <v>-11746.462082900005</v>
      </c>
      <c r="CF283" s="960">
        <f t="shared" si="1236"/>
        <v>-10493.136240470001</v>
      </c>
      <c r="CG283" s="960">
        <f t="shared" si="1236"/>
        <v>-9728.7962641100021</v>
      </c>
      <c r="CH283" s="960">
        <f t="shared" si="1236"/>
        <v>-9788.8310765000024</v>
      </c>
      <c r="CI283" s="960">
        <f t="shared" si="1236"/>
        <v>-9482.4539417200012</v>
      </c>
      <c r="CJ283" s="960">
        <f t="shared" si="1236"/>
        <v>-10173.174961360002</v>
      </c>
      <c r="CK283" s="960">
        <f t="shared" si="1236"/>
        <v>-9264.7769362199979</v>
      </c>
      <c r="CL283" s="960">
        <f t="shared" si="1236"/>
        <v>-9631.4520505199998</v>
      </c>
      <c r="CM283" s="960">
        <f t="shared" si="1236"/>
        <v>-9169.05666647</v>
      </c>
      <c r="CN283" s="960">
        <f t="shared" si="1236"/>
        <v>-8995.9378658100031</v>
      </c>
      <c r="CO283" s="960">
        <f t="shared" si="1236"/>
        <v>-8611.7738491300024</v>
      </c>
      <c r="CP283" s="960">
        <f t="shared" si="1236"/>
        <v>-8921.621583330003</v>
      </c>
      <c r="CQ283" s="960">
        <f t="shared" si="1236"/>
        <v>-9370.7151251400064</v>
      </c>
      <c r="CR283" s="960">
        <f t="shared" si="1236"/>
        <v>-9825.6814358100073</v>
      </c>
      <c r="CS283" s="960">
        <f t="shared" ref="CS283:EF283" si="1237">+SUM(CS121:CS135)-SUM(CS169:CS183)</f>
        <v>-9630.8250022800003</v>
      </c>
      <c r="CT283" s="960">
        <f t="shared" si="1237"/>
        <v>-8606.9846354900037</v>
      </c>
      <c r="CU283" s="960">
        <f t="shared" si="1237"/>
        <v>-7870.3452418899997</v>
      </c>
      <c r="CV283" s="960">
        <f t="shared" si="1237"/>
        <v>-9629.6137318900001</v>
      </c>
      <c r="CW283" s="960">
        <f t="shared" si="1237"/>
        <v>-8284.8911711899982</v>
      </c>
      <c r="CX283" s="960">
        <f t="shared" si="1237"/>
        <v>-7106.2529335300023</v>
      </c>
      <c r="CY283" s="960">
        <f t="shared" si="1237"/>
        <v>-5839.2759903300012</v>
      </c>
      <c r="CZ283" s="960">
        <f t="shared" si="1237"/>
        <v>-7497.3120411100044</v>
      </c>
      <c r="DA283" s="960">
        <f t="shared" si="1237"/>
        <v>-7449.8002745799968</v>
      </c>
      <c r="DB283" s="960">
        <f t="shared" si="1237"/>
        <v>-9675.5227270700016</v>
      </c>
      <c r="DC283" s="960">
        <f t="shared" si="1237"/>
        <v>-9657.064025509997</v>
      </c>
      <c r="DD283" s="960">
        <f t="shared" si="1237"/>
        <v>-8974.9365522200023</v>
      </c>
      <c r="DE283" s="960">
        <f t="shared" si="1237"/>
        <v>-8199.5063487799998</v>
      </c>
      <c r="DF283" s="960">
        <f t="shared" si="1237"/>
        <v>-8092.5156898099976</v>
      </c>
      <c r="DG283" s="960">
        <f t="shared" si="1237"/>
        <v>-8000.3528074600017</v>
      </c>
      <c r="DH283" s="960">
        <f t="shared" si="1237"/>
        <v>-8729.6945085599982</v>
      </c>
      <c r="DI283" s="960">
        <f t="shared" si="1237"/>
        <v>-7439.2911700799987</v>
      </c>
      <c r="DJ283" s="960">
        <f t="shared" si="1237"/>
        <v>-7591.3991239000006</v>
      </c>
      <c r="DK283" s="960">
        <f t="shared" si="1237"/>
        <v>-7268.1613638700001</v>
      </c>
      <c r="DL283" s="960">
        <f t="shared" si="1237"/>
        <v>-7016.64630975</v>
      </c>
      <c r="DM283" s="960">
        <f t="shared" si="1237"/>
        <v>-6595.7012370199973</v>
      </c>
      <c r="DN283" s="960">
        <f t="shared" si="1237"/>
        <v>-6504.1581482899983</v>
      </c>
      <c r="DO283" s="960">
        <f t="shared" si="1237"/>
        <v>-6041.8106051099967</v>
      </c>
      <c r="DP283" s="960">
        <f t="shared" si="1237"/>
        <v>-5748.5814832899978</v>
      </c>
      <c r="DQ283" s="960">
        <f t="shared" si="1237"/>
        <v>-6540.7443182900015</v>
      </c>
      <c r="DR283" s="960">
        <f t="shared" si="1237"/>
        <v>-7291.1849898100008</v>
      </c>
      <c r="DS283" s="960">
        <f t="shared" si="1237"/>
        <v>-6450.0720028200003</v>
      </c>
      <c r="DT283" s="960">
        <f t="shared" si="1237"/>
        <v>-6797.7859314099987</v>
      </c>
      <c r="DU283" s="960">
        <f t="shared" si="1237"/>
        <v>-5248.5950740500011</v>
      </c>
      <c r="DV283" s="960">
        <f t="shared" si="1237"/>
        <v>-6051.6298187699977</v>
      </c>
      <c r="DW283" s="960">
        <f t="shared" si="1237"/>
        <v>-5991.9124421300021</v>
      </c>
      <c r="DX283" s="960">
        <f t="shared" si="1237"/>
        <v>-5873.8230090800025</v>
      </c>
      <c r="DY283" s="960">
        <f t="shared" si="1237"/>
        <v>-5880.6188689899973</v>
      </c>
      <c r="DZ283" s="960">
        <f t="shared" si="1237"/>
        <v>-6049.969463110001</v>
      </c>
      <c r="EA283" s="960">
        <f t="shared" si="1237"/>
        <v>-5789.6856585299993</v>
      </c>
      <c r="EB283" s="960">
        <f t="shared" si="1237"/>
        <v>-5899.7725913399972</v>
      </c>
      <c r="EC283" s="960">
        <f t="shared" si="1237"/>
        <v>-5207.0915126599994</v>
      </c>
      <c r="ED283" s="960">
        <f t="shared" si="1237"/>
        <v>-4149.4610180799991</v>
      </c>
      <c r="EE283" s="960">
        <f t="shared" si="1237"/>
        <v>-2945.2957983700053</v>
      </c>
      <c r="EF283" s="960">
        <f t="shared" si="1237"/>
        <v>-7184.3328839900041</v>
      </c>
      <c r="EH283" s="1053">
        <f t="shared" ref="EH283:ER283" si="1238">+SUM(CL121:CL135)-SUM(CL169:CL183)</f>
        <v>-9631.4520505199998</v>
      </c>
      <c r="EI283" s="1053">
        <f t="shared" si="1238"/>
        <v>-9169.05666647</v>
      </c>
      <c r="EJ283" s="1053">
        <f t="shared" si="1238"/>
        <v>-8995.9378658100031</v>
      </c>
      <c r="EK283" s="1053">
        <f t="shared" si="1238"/>
        <v>-8611.7738491300024</v>
      </c>
      <c r="EL283" s="1053">
        <f t="shared" si="1238"/>
        <v>-8921.621583330003</v>
      </c>
      <c r="EM283" s="1053">
        <f t="shared" si="1238"/>
        <v>-9370.7151251400064</v>
      </c>
      <c r="EN283" s="1053">
        <f t="shared" si="1238"/>
        <v>-9825.6814358100073</v>
      </c>
      <c r="EO283" s="1053">
        <f t="shared" si="1238"/>
        <v>-9630.8250022800003</v>
      </c>
      <c r="EP283" s="1053">
        <f t="shared" si="1238"/>
        <v>-8606.9846354900037</v>
      </c>
      <c r="EQ283" s="1053">
        <f t="shared" si="1238"/>
        <v>-7870.3452418899997</v>
      </c>
      <c r="ER283" s="1053">
        <f t="shared" si="1238"/>
        <v>-9629.6137318900001</v>
      </c>
      <c r="ES283" s="1053">
        <f>+SUM(EG121:EG135)-SUM(EG169:EG183)</f>
        <v>0</v>
      </c>
      <c r="HD283" s="1053">
        <f>+SUM(HD121:HD135)-SUM(HD169:HD183)</f>
        <v>4646.0965365399989</v>
      </c>
      <c r="HE283" s="1053">
        <f>+SUM(HE121:HE135)-SUM(HE169:HE183)</f>
        <v>4526.0165277899996</v>
      </c>
      <c r="HF283" s="1053">
        <f>+SUM(HF121:HF135)-SUM(HF169:HF183)</f>
        <v>3473.7227598999962</v>
      </c>
      <c r="HG283" s="1053">
        <f>+SUM(HG121:HG135)-SUM(HG169:HG183)</f>
        <v>-11205.13976034</v>
      </c>
      <c r="HH283" s="960">
        <f>+SUMIFS($E283:$BL283,$E$6:$BL$6,HH$7,$E$5:$BL$5,12)</f>
        <v>-12604.75903637</v>
      </c>
      <c r="HI283" s="960">
        <f>+SUMIFS($E283:$BL283,$E$6:$BL$6,HI$7,$E$5:$BL$5,12)</f>
        <v>0</v>
      </c>
      <c r="HJ283" s="960"/>
      <c r="HK283" s="960"/>
      <c r="HL283" s="960"/>
      <c r="HM283" s="960"/>
      <c r="HN283" s="960"/>
      <c r="HO283" s="1053"/>
      <c r="HP283" s="1053">
        <f>+SUM(HP121:HP135)-SUM(HP169:HP183)</f>
        <v>0</v>
      </c>
      <c r="JA283" s="1053">
        <f>+SUM(JA121:JA135)-SUM(JA169:JA183)</f>
        <v>4646.0965365399989</v>
      </c>
      <c r="JB283" s="1053">
        <f>+SUM(JB121:JB135)-SUM(JB169:JB183)</f>
        <v>4526.0165277899996</v>
      </c>
      <c r="JC283" s="1053">
        <f>+SUM(JC121:JC135)-SUM(JC169:JC183)</f>
        <v>3473.7227598999962</v>
      </c>
      <c r="JD283" s="1053"/>
      <c r="JE283" s="1053"/>
      <c r="JF283" s="1053"/>
      <c r="JG283" s="1053"/>
      <c r="JH283" s="1053"/>
      <c r="JI283" s="1053"/>
      <c r="JJ283" s="1053"/>
      <c r="JK283" s="1053"/>
      <c r="JL283" s="1053">
        <f>+SUM(JL121:JL135)-SUM(JL169:JL183)</f>
        <v>-7184.3328839900041</v>
      </c>
      <c r="JM283" s="1053">
        <f>+SUM(JM121:JM135)-SUM(JM169:JM183)</f>
        <v>0</v>
      </c>
      <c r="JN283" s="1053">
        <f>+SUM(JN121:JN135)-SUM(JN169:JN183)</f>
        <v>0</v>
      </c>
      <c r="LB283" s="1053">
        <f>+SUM(LB121:LB135)-SUM(LB169:LB183)</f>
        <v>4646.0965365399989</v>
      </c>
      <c r="LC283" s="1053">
        <f>+SUM(LC121:LC135)-SUM(LC169:LC183)</f>
        <v>4526.0165277899996</v>
      </c>
      <c r="LD283" s="1053">
        <f>+SUM(LD121:LD135)-SUM(LD169:LD183)</f>
        <v>3473.7227598999962</v>
      </c>
      <c r="LE283" s="1053">
        <f>+SUM(LE121:LE135)-SUM(LE169:LE183)</f>
        <v>-11205.13976034</v>
      </c>
      <c r="LF283" s="1053">
        <f>+SUM(LF121:LF135)-SUM(LF169:LF183)</f>
        <v>-11589.810827510004</v>
      </c>
      <c r="LG283" s="1053"/>
      <c r="LH283" s="1053"/>
      <c r="LI283" s="1053"/>
      <c r="LJ283" s="1053"/>
      <c r="LK283" s="1053"/>
      <c r="LL283" s="1053"/>
      <c r="LM283" s="1053">
        <f>+SUM(LM121:LM135)-SUM(LM169:LM183)</f>
        <v>-7184.3328839900041</v>
      </c>
      <c r="LN283" s="1053">
        <f>+SUM(LN121:LN135)-SUM(LN169:LN183)</f>
        <v>0</v>
      </c>
      <c r="LO283" s="1053">
        <f>+SUM(LO121:LO135)-SUM(LO169:LO183)</f>
        <v>0</v>
      </c>
    </row>
    <row r="284" spans="1:327">
      <c r="A284" s="867"/>
      <c r="C284" s="17" t="s">
        <v>263</v>
      </c>
      <c r="D284" s="18"/>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1029"/>
      <c r="AP284" s="1029"/>
      <c r="AQ284" s="1029"/>
      <c r="AR284" s="1029"/>
      <c r="AS284" s="1029"/>
      <c r="AT284" s="1029"/>
      <c r="AU284" s="1029"/>
      <c r="AV284" s="1029"/>
      <c r="AW284" s="1029"/>
      <c r="AX284" s="1029"/>
      <c r="AY284" s="1029"/>
      <c r="AZ284" s="1029"/>
      <c r="BA284" s="940"/>
      <c r="BB284" s="940"/>
      <c r="BC284" s="940"/>
      <c r="BD284" s="940"/>
      <c r="BE284" s="963"/>
      <c r="BF284" s="963"/>
      <c r="BG284" s="963"/>
      <c r="BH284" s="963"/>
      <c r="BI284" s="963"/>
      <c r="BJ284" s="963"/>
      <c r="BK284" s="963"/>
      <c r="BL284" s="963"/>
      <c r="BM284" s="940"/>
      <c r="BN284" s="940"/>
      <c r="BO284" s="940"/>
      <c r="BP284" s="940"/>
      <c r="BQ284" s="940"/>
      <c r="BR284" s="963"/>
      <c r="BS284" s="963"/>
      <c r="BT284" s="963"/>
      <c r="BU284" s="963"/>
      <c r="BV284" s="963"/>
      <c r="BW284" s="963"/>
      <c r="BX284" s="963"/>
      <c r="BY284" s="940"/>
      <c r="BZ284" s="940"/>
      <c r="CA284" s="940"/>
      <c r="CB284" s="940"/>
      <c r="CC284" s="940"/>
      <c r="CD284" s="940"/>
      <c r="CE284" s="940"/>
      <c r="CF284" s="940"/>
      <c r="CG284" s="940"/>
      <c r="CH284" s="940"/>
      <c r="CI284" s="940"/>
      <c r="CJ284" s="940"/>
      <c r="CK284" s="940"/>
      <c r="CL284" s="940"/>
      <c r="CM284" s="940"/>
      <c r="CN284" s="940"/>
      <c r="CO284" s="940"/>
      <c r="CP284" s="940"/>
      <c r="CQ284" s="940"/>
      <c r="CR284" s="940"/>
      <c r="CS284" s="940"/>
      <c r="CT284" s="940"/>
      <c r="CU284" s="940"/>
      <c r="CV284" s="940"/>
      <c r="CW284" s="940"/>
      <c r="CX284" s="940"/>
      <c r="CY284" s="940"/>
      <c r="CZ284" s="940"/>
      <c r="DA284" s="940"/>
      <c r="DB284" s="940"/>
      <c r="DC284" s="940"/>
      <c r="DD284" s="940"/>
      <c r="DE284" s="940"/>
      <c r="DF284" s="940"/>
      <c r="DG284" s="940"/>
      <c r="DH284" s="940"/>
      <c r="DI284" s="940"/>
      <c r="DJ284" s="940"/>
      <c r="DK284" s="940"/>
      <c r="DL284" s="940"/>
      <c r="DM284" s="940"/>
      <c r="DN284" s="940"/>
      <c r="DO284" s="940"/>
      <c r="DP284" s="940"/>
      <c r="DQ284" s="940"/>
      <c r="DR284" s="940"/>
      <c r="DS284" s="940"/>
      <c r="DT284" s="940"/>
      <c r="DU284" s="940"/>
      <c r="DV284" s="940"/>
      <c r="DW284" s="940"/>
      <c r="DX284" s="940"/>
      <c r="DY284" s="940"/>
      <c r="DZ284" s="940"/>
      <c r="EA284" s="940"/>
      <c r="EB284" s="940"/>
      <c r="EC284" s="940"/>
      <c r="ED284" s="940"/>
      <c r="EE284" s="940"/>
      <c r="EF284" s="940"/>
      <c r="EH284" s="77"/>
      <c r="EI284" s="77"/>
      <c r="EJ284" s="77"/>
      <c r="EK284" s="77"/>
      <c r="EL284" s="77"/>
      <c r="EM284" s="77"/>
      <c r="EN284" s="77"/>
      <c r="EO284" s="77"/>
      <c r="EP284" s="77"/>
      <c r="EQ284" s="77"/>
      <c r="ER284" s="77"/>
      <c r="ES284" s="77"/>
      <c r="HD284" s="77"/>
      <c r="HE284" s="77"/>
      <c r="HF284" s="77"/>
      <c r="HG284" s="77"/>
      <c r="HH284" s="940"/>
      <c r="HI284" s="940"/>
      <c r="HJ284" s="940"/>
      <c r="HK284" s="940"/>
      <c r="HL284" s="940"/>
      <c r="HM284" s="940"/>
      <c r="HN284" s="940"/>
      <c r="HO284" s="77"/>
      <c r="HP284" s="77"/>
      <c r="JA284" s="77"/>
      <c r="JB284" s="77"/>
      <c r="JC284" s="77"/>
      <c r="JD284" s="77"/>
      <c r="JE284" s="77"/>
      <c r="JF284" s="77"/>
      <c r="JG284" s="77"/>
      <c r="JH284" s="77"/>
      <c r="JI284" s="77"/>
      <c r="JJ284" s="77"/>
      <c r="JK284" s="77"/>
      <c r="JL284" s="77"/>
      <c r="JM284" s="77"/>
      <c r="JN284" s="77"/>
      <c r="LB284" s="77"/>
      <c r="LC284" s="77"/>
      <c r="LD284" s="77"/>
      <c r="LE284" s="77"/>
      <c r="LF284" s="77"/>
      <c r="LG284" s="77"/>
      <c r="LH284" s="77"/>
      <c r="LI284" s="77"/>
      <c r="LJ284" s="77"/>
      <c r="LK284" s="77"/>
      <c r="LL284" s="77"/>
      <c r="LM284" s="77"/>
      <c r="LN284" s="77"/>
      <c r="LO284" s="77"/>
    </row>
    <row r="285" spans="1:327">
      <c r="A285" s="867"/>
      <c r="C285" s="17" t="s">
        <v>810</v>
      </c>
      <c r="D285" s="18" t="s">
        <v>269</v>
      </c>
      <c r="Q285" s="1049">
        <f t="shared" ref="Q285:AN285" si="1239">+SUM(Q118:Q119)/SUM(F11:Q11)*365</f>
        <v>33.035501446779591</v>
      </c>
      <c r="R285" s="1049">
        <f t="shared" si="1239"/>
        <v>16.074437724047758</v>
      </c>
      <c r="S285" s="1049">
        <f t="shared" si="1239"/>
        <v>28.507006839195864</v>
      </c>
      <c r="T285" s="1049">
        <f t="shared" si="1239"/>
        <v>18.201506885104671</v>
      </c>
      <c r="U285" s="1049">
        <f t="shared" si="1239"/>
        <v>10.906517435461929</v>
      </c>
      <c r="V285" s="1049">
        <f t="shared" si="1239"/>
        <v>21.544026652524664</v>
      </c>
      <c r="W285" s="1049">
        <f t="shared" si="1239"/>
        <v>24.937705824612777</v>
      </c>
      <c r="X285" s="1049">
        <f t="shared" si="1239"/>
        <v>24.132917565936143</v>
      </c>
      <c r="Y285" s="1049">
        <f t="shared" si="1239"/>
        <v>20.383838182594136</v>
      </c>
      <c r="Z285" s="1049">
        <f t="shared" si="1239"/>
        <v>19.920739205884317</v>
      </c>
      <c r="AA285" s="1049">
        <f t="shared" si="1239"/>
        <v>23.302143665525289</v>
      </c>
      <c r="AB285" s="1049">
        <f t="shared" si="1239"/>
        <v>46.128768900222596</v>
      </c>
      <c r="AC285" s="1049">
        <f t="shared" si="1239"/>
        <v>36.0754813265251</v>
      </c>
      <c r="AD285" s="1049">
        <f t="shared" si="1239"/>
        <v>23.557476977861988</v>
      </c>
      <c r="AE285" s="1049">
        <f t="shared" si="1239"/>
        <v>20.221986170059328</v>
      </c>
      <c r="AF285" s="1049">
        <f t="shared" si="1239"/>
        <v>15.855522325255947</v>
      </c>
      <c r="AG285" s="1049">
        <f t="shared" si="1239"/>
        <v>19.43973964927422</v>
      </c>
      <c r="AH285" s="1049">
        <f t="shared" si="1239"/>
        <v>9.632355472826081</v>
      </c>
      <c r="AI285" s="1049">
        <f t="shared" si="1239"/>
        <v>10.759480584191641</v>
      </c>
      <c r="AJ285" s="1049">
        <f t="shared" si="1239"/>
        <v>18.294134115075607</v>
      </c>
      <c r="AK285" s="1049">
        <f t="shared" si="1239"/>
        <v>17.528214965546148</v>
      </c>
      <c r="AL285" s="1049">
        <f t="shared" si="1239"/>
        <v>16.430952917673512</v>
      </c>
      <c r="AM285" s="1049">
        <f t="shared" si="1239"/>
        <v>64.160435460471959</v>
      </c>
      <c r="AN285" s="1049">
        <f t="shared" si="1239"/>
        <v>62.109720684120127</v>
      </c>
      <c r="AO285" s="1029">
        <v>35.21592275191292</v>
      </c>
      <c r="AP285" s="1029">
        <v>47.705737623773494</v>
      </c>
      <c r="AQ285" s="1029">
        <v>33.383045031140803</v>
      </c>
      <c r="AR285" s="1029">
        <v>23.981818244356401</v>
      </c>
      <c r="AS285" s="1029">
        <v>17.666269300880085</v>
      </c>
      <c r="AT285" s="1029">
        <v>16.587618114969814</v>
      </c>
      <c r="AU285" s="1029">
        <v>16.399238216066365</v>
      </c>
      <c r="AV285" s="1029">
        <v>9.5660570356544596</v>
      </c>
      <c r="AW285" s="1029">
        <v>1.7335164458747589</v>
      </c>
      <c r="AX285" s="1029">
        <v>21.398375841905622</v>
      </c>
      <c r="AY285" s="1029">
        <v>22.897562492682201</v>
      </c>
      <c r="AZ285" s="1029">
        <v>33.679659308812234</v>
      </c>
      <c r="BA285" s="1029">
        <v>9.5268850559729756</v>
      </c>
      <c r="BB285" s="1029">
        <v>12.795515106694266</v>
      </c>
      <c r="BC285" s="1029">
        <v>7.3742994707457212</v>
      </c>
      <c r="BD285" s="1029">
        <v>25.507521683691717</v>
      </c>
      <c r="BE285" s="963">
        <v>8.596671849668537</v>
      </c>
      <c r="BF285" s="963">
        <v>2.9137266274644213</v>
      </c>
      <c r="BG285" s="963">
        <v>5.0600531238069184</v>
      </c>
      <c r="BH285" s="963">
        <v>0.30550004657145463</v>
      </c>
      <c r="BI285" s="963">
        <v>5.321899557605394</v>
      </c>
      <c r="BJ285" s="963">
        <v>3.9870932549932054</v>
      </c>
      <c r="BK285" s="963">
        <v>24.540950510030797</v>
      </c>
      <c r="BL285" s="963">
        <v>18.817994094376882</v>
      </c>
      <c r="BM285" s="1029">
        <f t="shared" ref="BM285:BX285" si="1240">+SUM(BM118:BM119)/SUM(AT12:BM12)*365</f>
        <v>20.164530217136868</v>
      </c>
      <c r="BN285" s="1029">
        <f t="shared" si="1240"/>
        <v>2.9761516202179936</v>
      </c>
      <c r="BO285" s="1029">
        <f t="shared" si="1240"/>
        <v>14.680542316775785</v>
      </c>
      <c r="BP285" s="1029">
        <f t="shared" si="1240"/>
        <v>7.4336104424038476</v>
      </c>
      <c r="BQ285" s="1029">
        <f t="shared" si="1240"/>
        <v>22.361808143934581</v>
      </c>
      <c r="BR285" s="963">
        <f t="shared" si="1240"/>
        <v>21.599094104582946</v>
      </c>
      <c r="BS285" s="963">
        <f t="shared" si="1240"/>
        <v>13.213555953383883</v>
      </c>
      <c r="BT285" s="963">
        <f t="shared" si="1240"/>
        <v>15.33583335855254</v>
      </c>
      <c r="BU285" s="963">
        <f t="shared" si="1240"/>
        <v>5.6332224889970135</v>
      </c>
      <c r="BV285" s="963">
        <f t="shared" si="1240"/>
        <v>25.504906279383029</v>
      </c>
      <c r="BW285" s="963">
        <f t="shared" si="1240"/>
        <v>19.916787047223526</v>
      </c>
      <c r="BX285" s="963">
        <f t="shared" si="1240"/>
        <v>29.68635398943281</v>
      </c>
      <c r="BY285" s="1029">
        <f t="shared" ref="BY285:EF285" si="1241">+SUM(BY118:BY119)/SUM(BG12:BY12)*365</f>
        <v>13.971512896859272</v>
      </c>
      <c r="BZ285" s="1029">
        <f t="shared" si="1241"/>
        <v>14.162633242908658</v>
      </c>
      <c r="CA285" s="1029">
        <f t="shared" si="1241"/>
        <v>10.015400081933972</v>
      </c>
      <c r="CB285" s="1029">
        <f t="shared" si="1241"/>
        <v>12.798983797817918</v>
      </c>
      <c r="CC285" s="1029">
        <f t="shared" si="1241"/>
        <v>14.038852485661891</v>
      </c>
      <c r="CD285" s="1029">
        <f t="shared" si="1241"/>
        <v>12.094042589450448</v>
      </c>
      <c r="CE285" s="1029">
        <f t="shared" si="1241"/>
        <v>33.643154650276841</v>
      </c>
      <c r="CF285" s="1029">
        <f t="shared" si="1241"/>
        <v>28.834058354607404</v>
      </c>
      <c r="CG285" s="1029">
        <f t="shared" si="1241"/>
        <v>14.936957793515617</v>
      </c>
      <c r="CH285" s="1029">
        <f t="shared" si="1241"/>
        <v>8.0262527551649789</v>
      </c>
      <c r="CI285" s="1029">
        <f t="shared" si="1241"/>
        <v>7.5260938675729232</v>
      </c>
      <c r="CJ285" s="1029">
        <f t="shared" si="1241"/>
        <v>10.288191821873662</v>
      </c>
      <c r="CK285" s="1029">
        <f t="shared" si="1241"/>
        <v>2.7195180147514728</v>
      </c>
      <c r="CL285" s="1029">
        <f t="shared" si="1241"/>
        <v>8.3316237655433376</v>
      </c>
      <c r="CM285" s="1029">
        <f t="shared" si="1241"/>
        <v>8.8234486059030797</v>
      </c>
      <c r="CN285" s="1029">
        <f t="shared" si="1241"/>
        <v>7.6100663890879803</v>
      </c>
      <c r="CO285" s="1029">
        <f t="shared" si="1241"/>
        <v>8.6721212660082188</v>
      </c>
      <c r="CP285" s="1029">
        <f t="shared" si="1241"/>
        <v>11.832597637176228</v>
      </c>
      <c r="CQ285" s="1029">
        <f t="shared" si="1241"/>
        <v>18.359956586246032</v>
      </c>
      <c r="CR285" s="1029">
        <f t="shared" si="1241"/>
        <v>29.080602812459674</v>
      </c>
      <c r="CS285" s="1029">
        <f t="shared" si="1241"/>
        <v>27.12459951207363</v>
      </c>
      <c r="CT285" s="1029">
        <f t="shared" si="1241"/>
        <v>19.8601612837708</v>
      </c>
      <c r="CU285" s="1029">
        <f t="shared" si="1241"/>
        <v>13.338978736076774</v>
      </c>
      <c r="CV285" s="1029">
        <f t="shared" si="1241"/>
        <v>22.077843814106448</v>
      </c>
      <c r="CW285" s="1029">
        <f t="shared" si="1241"/>
        <v>17.318640842186724</v>
      </c>
      <c r="CX285" s="1029">
        <f t="shared" si="1241"/>
        <v>8.2044959477708979</v>
      </c>
      <c r="CY285" s="1029">
        <f t="shared" si="1241"/>
        <v>3.5479043306682176</v>
      </c>
      <c r="CZ285" s="1029">
        <f t="shared" si="1241"/>
        <v>19.532414860695152</v>
      </c>
      <c r="DA285" s="1029">
        <f t="shared" si="1241"/>
        <v>15.70141290229081</v>
      </c>
      <c r="DB285" s="1029">
        <f t="shared" si="1241"/>
        <v>22.839914728184603</v>
      </c>
      <c r="DC285" s="1029">
        <f t="shared" si="1241"/>
        <v>19.074480009798428</v>
      </c>
      <c r="DD285" s="1029">
        <f t="shared" si="1241"/>
        <v>12.506925498092263</v>
      </c>
      <c r="DE285" s="1029">
        <f t="shared" si="1241"/>
        <v>5.1235904386905347</v>
      </c>
      <c r="DF285" s="1029">
        <f t="shared" si="1241"/>
        <v>6.8658780854678811</v>
      </c>
      <c r="DG285" s="1029">
        <f t="shared" si="1241"/>
        <v>7.0597730756671462</v>
      </c>
      <c r="DH285" s="1029">
        <f t="shared" si="1241"/>
        <v>22.260755030063006</v>
      </c>
      <c r="DI285" s="1029">
        <f t="shared" si="1241"/>
        <v>13.418902341987664</v>
      </c>
      <c r="DJ285" s="1029">
        <f t="shared" si="1241"/>
        <v>18.535896417323663</v>
      </c>
      <c r="DK285" s="1029">
        <f t="shared" si="1241"/>
        <v>14.089676552769648</v>
      </c>
      <c r="DL285" s="1029">
        <f t="shared" si="1241"/>
        <v>24.479202615098639</v>
      </c>
      <c r="DM285" s="1029">
        <f t="shared" si="1241"/>
        <v>21.10366387697848</v>
      </c>
      <c r="DN285" s="1029">
        <f t="shared" si="1241"/>
        <v>21.279940265592607</v>
      </c>
      <c r="DO285" s="1029">
        <f t="shared" si="1241"/>
        <v>18.725448102918126</v>
      </c>
      <c r="DP285" s="1029">
        <f t="shared" si="1241"/>
        <v>18.044693910244643</v>
      </c>
      <c r="DQ285" s="940">
        <f t="shared" si="1241"/>
        <v>20.099749518508283</v>
      </c>
      <c r="DR285" s="940">
        <f t="shared" si="1241"/>
        <v>34.536020966022903</v>
      </c>
      <c r="DS285" s="940">
        <f t="shared" si="1241"/>
        <v>17.943737063632238</v>
      </c>
      <c r="DT285" s="940">
        <f t="shared" si="1241"/>
        <v>13.580257726428149</v>
      </c>
      <c r="DU285" s="940">
        <f t="shared" si="1241"/>
        <v>7.3692164881934552</v>
      </c>
      <c r="DV285" s="940">
        <f t="shared" si="1241"/>
        <v>16.322296891727007</v>
      </c>
      <c r="DW285" s="940">
        <f t="shared" si="1241"/>
        <v>6.5617069363018503</v>
      </c>
      <c r="DX285" s="940">
        <f t="shared" si="1241"/>
        <v>3.1428491631933904</v>
      </c>
      <c r="DY285" s="940">
        <f t="shared" si="1241"/>
        <v>5.016029230322129</v>
      </c>
      <c r="DZ285" s="940">
        <f t="shared" si="1241"/>
        <v>14.176607789324182</v>
      </c>
      <c r="EA285" s="940">
        <f t="shared" si="1241"/>
        <v>10.531031906477645</v>
      </c>
      <c r="EB285" s="940">
        <f t="shared" si="1241"/>
        <v>15.374015068492419</v>
      </c>
      <c r="EC285" s="940">
        <f t="shared" si="1241"/>
        <v>6.6517286929760306</v>
      </c>
      <c r="ED285" s="940">
        <f t="shared" si="1241"/>
        <v>7.1331499850696547</v>
      </c>
      <c r="EE285" s="940">
        <f t="shared" si="1241"/>
        <v>6.1653562286682133</v>
      </c>
      <c r="EF285" s="940">
        <f t="shared" si="1241"/>
        <v>17.446333311905967</v>
      </c>
      <c r="EH285" s="1032"/>
      <c r="EI285" s="1032"/>
      <c r="EJ285" s="1032"/>
      <c r="EK285" s="1032"/>
      <c r="EL285" s="1032"/>
      <c r="EM285" s="1032"/>
      <c r="EN285" s="1032"/>
      <c r="EO285" s="1032"/>
      <c r="EP285" s="1032"/>
      <c r="EQ285" s="1032"/>
      <c r="ER285" s="1032"/>
      <c r="ES285" s="1032"/>
      <c r="HD285" s="1032"/>
      <c r="HE285" s="1032"/>
      <c r="HF285" s="1032"/>
      <c r="HG285" s="1032"/>
      <c r="HH285" s="1054"/>
      <c r="HI285" s="1054"/>
      <c r="HJ285" s="1054"/>
      <c r="HK285" s="1054"/>
      <c r="HL285" s="1054"/>
      <c r="HM285" s="1054"/>
      <c r="HN285" s="1054"/>
      <c r="HO285" s="1032"/>
      <c r="HP285" s="1032"/>
      <c r="JA285" s="1032"/>
      <c r="JB285" s="1032"/>
      <c r="JC285" s="1032"/>
      <c r="JD285" s="1032"/>
      <c r="JE285" s="1032"/>
      <c r="JF285" s="1032"/>
      <c r="JG285" s="1032"/>
      <c r="JH285" s="1032"/>
      <c r="JI285" s="1032"/>
      <c r="JJ285" s="1032"/>
      <c r="JK285" s="1032"/>
      <c r="JL285" s="1032"/>
      <c r="JM285" s="1032"/>
      <c r="JN285" s="1032"/>
      <c r="LB285" s="1032"/>
      <c r="LC285" s="1032"/>
      <c r="LD285" s="1032"/>
      <c r="LE285" s="1032"/>
      <c r="LF285" s="1032"/>
      <c r="LG285" s="1032"/>
      <c r="LH285" s="1032"/>
      <c r="LI285" s="1032"/>
      <c r="LJ285" s="1032"/>
      <c r="LK285" s="1032"/>
      <c r="LL285" s="1032"/>
      <c r="LM285" s="1032"/>
      <c r="LN285" s="1032"/>
      <c r="LO285" s="1032"/>
    </row>
    <row r="286" spans="1:327">
      <c r="A286" s="867"/>
      <c r="C286" s="17" t="s">
        <v>811</v>
      </c>
      <c r="D286" s="18" t="s">
        <v>269</v>
      </c>
      <c r="Q286" s="1049">
        <f t="shared" ref="Q286:AN286" si="1242">+SUM(Q121,Q124)/SUM(F11:Q11)*365</f>
        <v>42.175346633291646</v>
      </c>
      <c r="R286" s="1049">
        <f t="shared" si="1242"/>
        <v>60.873417192493079</v>
      </c>
      <c r="S286" s="1049">
        <f t="shared" si="1242"/>
        <v>41.89413573463252</v>
      </c>
      <c r="T286" s="1049">
        <f t="shared" si="1242"/>
        <v>36.589577480970831</v>
      </c>
      <c r="U286" s="1049">
        <f t="shared" si="1242"/>
        <v>54.495845368564595</v>
      </c>
      <c r="V286" s="1049">
        <f t="shared" si="1242"/>
        <v>48.270200330482453</v>
      </c>
      <c r="W286" s="1049">
        <f t="shared" si="1242"/>
        <v>36.995755314062087</v>
      </c>
      <c r="X286" s="1049">
        <f t="shared" si="1242"/>
        <v>45.350182652350227</v>
      </c>
      <c r="Y286" s="1049">
        <f t="shared" si="1242"/>
        <v>38.361598541225625</v>
      </c>
      <c r="Z286" s="1049">
        <f t="shared" si="1242"/>
        <v>39.710091944253172</v>
      </c>
      <c r="AA286" s="1049">
        <f t="shared" si="1242"/>
        <v>62.687645506889105</v>
      </c>
      <c r="AB286" s="1049">
        <f t="shared" si="1242"/>
        <v>67.760442398574128</v>
      </c>
      <c r="AC286" s="1049">
        <f t="shared" si="1242"/>
        <v>61.436599130016134</v>
      </c>
      <c r="AD286" s="1049">
        <f t="shared" si="1242"/>
        <v>85.460363307555781</v>
      </c>
      <c r="AE286" s="1049">
        <f t="shared" si="1242"/>
        <v>85.689361328096396</v>
      </c>
      <c r="AF286" s="1049">
        <f t="shared" si="1242"/>
        <v>90.878024740624497</v>
      </c>
      <c r="AG286" s="1049">
        <f t="shared" si="1242"/>
        <v>96.997175859255734</v>
      </c>
      <c r="AH286" s="1049">
        <f t="shared" si="1242"/>
        <v>107.43356765360105</v>
      </c>
      <c r="AI286" s="1049">
        <f t="shared" si="1242"/>
        <v>99.888637742037403</v>
      </c>
      <c r="AJ286" s="1049">
        <f t="shared" si="1242"/>
        <v>102.83967086462621</v>
      </c>
      <c r="AK286" s="1049">
        <f t="shared" si="1242"/>
        <v>99.421766718380482</v>
      </c>
      <c r="AL286" s="1049">
        <f t="shared" si="1242"/>
        <v>110.39316492866993</v>
      </c>
      <c r="AM286" s="1049">
        <f t="shared" si="1242"/>
        <v>110.63439345697905</v>
      </c>
      <c r="AN286" s="1049">
        <f t="shared" si="1242"/>
        <v>107.47180703539416</v>
      </c>
      <c r="AO286" s="1029">
        <v>110.16113237176808</v>
      </c>
      <c r="AP286" s="1029">
        <v>103.93124240814241</v>
      </c>
      <c r="AQ286" s="1029">
        <v>93.824912213401291</v>
      </c>
      <c r="AR286" s="1029">
        <v>100.80261295375536</v>
      </c>
      <c r="AS286" s="1029">
        <v>105.34895893689597</v>
      </c>
      <c r="AT286" s="1029">
        <v>100.52334243275857</v>
      </c>
      <c r="AU286" s="1029">
        <v>97.904523732796989</v>
      </c>
      <c r="AV286" s="1029">
        <v>110.26263511770097</v>
      </c>
      <c r="AW286" s="1029">
        <v>119.97132984075128</v>
      </c>
      <c r="AX286" s="1029">
        <v>123.5837709238313</v>
      </c>
      <c r="AY286" s="1029">
        <v>136.94640021531364</v>
      </c>
      <c r="AZ286" s="1029">
        <v>130.95260213584379</v>
      </c>
      <c r="BA286" s="1029">
        <v>86.251467881200512</v>
      </c>
      <c r="BB286" s="1029">
        <v>76.101604823519068</v>
      </c>
      <c r="BC286" s="1029">
        <v>63.672642054398032</v>
      </c>
      <c r="BD286" s="1029">
        <v>45.997902842926216</v>
      </c>
      <c r="BE286" s="963">
        <v>54.09618012106931</v>
      </c>
      <c r="BF286" s="963">
        <v>58.985468698094586</v>
      </c>
      <c r="BG286" s="963">
        <v>66.02702425946282</v>
      </c>
      <c r="BH286" s="963">
        <v>68.661419214713817</v>
      </c>
      <c r="BI286" s="963">
        <v>69.954266142567235</v>
      </c>
      <c r="BJ286" s="963">
        <v>74.622635554503177</v>
      </c>
      <c r="BK286" s="963">
        <v>89.866541020682021</v>
      </c>
      <c r="BL286" s="963">
        <v>92.031715366021373</v>
      </c>
      <c r="BM286" s="1029">
        <f>SUM(BM122,BM124)/SUM(BA11:BL11)*365</f>
        <v>132.60041051754465</v>
      </c>
      <c r="BN286" s="1029">
        <f t="shared" ref="BN286:BX286" si="1243">SUM(BN122,BN124)/SUM(BB11:BL11)*365</f>
        <v>186.37571890451048</v>
      </c>
      <c r="BO286" s="1029">
        <f t="shared" si="1243"/>
        <v>125.25326411858924</v>
      </c>
      <c r="BP286" s="1029">
        <f t="shared" si="1243"/>
        <v>115.30082875472442</v>
      </c>
      <c r="BQ286" s="1029">
        <f t="shared" si="1243"/>
        <v>107.38213783550923</v>
      </c>
      <c r="BR286" s="963">
        <f t="shared" si="1243"/>
        <v>100.77566775717798</v>
      </c>
      <c r="BS286" s="963">
        <f t="shared" si="1243"/>
        <v>97.792622467892841</v>
      </c>
      <c r="BT286" s="963">
        <f t="shared" si="1243"/>
        <v>79.914499416410848</v>
      </c>
      <c r="BU286" s="963">
        <f t="shared" si="1243"/>
        <v>75.494436760866165</v>
      </c>
      <c r="BV286" s="963">
        <f t="shared" si="1243"/>
        <v>73.204228616768688</v>
      </c>
      <c r="BW286" s="963">
        <f t="shared" si="1243"/>
        <v>69.716990387909576</v>
      </c>
      <c r="BX286" s="963">
        <f t="shared" si="1243"/>
        <v>68.477169154251229</v>
      </c>
      <c r="BY286" s="1029">
        <f t="shared" ref="BY286:DH286" si="1244">SUM(BY121)/SUM(BN11:BY11)*360</f>
        <v>113.99254762176029</v>
      </c>
      <c r="BZ286" s="1029">
        <f t="shared" si="1244"/>
        <v>101.09596929075788</v>
      </c>
      <c r="CA286" s="1029">
        <f t="shared" si="1244"/>
        <v>100.37309889492558</v>
      </c>
      <c r="CB286" s="1029">
        <f t="shared" si="1244"/>
        <v>88.344893166354638</v>
      </c>
      <c r="CC286" s="1029">
        <f t="shared" si="1244"/>
        <v>67.323634805040086</v>
      </c>
      <c r="CD286" s="1029">
        <f t="shared" si="1244"/>
        <v>77.561914696781344</v>
      </c>
      <c r="CE286" s="1029">
        <f t="shared" si="1244"/>
        <v>84.363782943796792</v>
      </c>
      <c r="CF286" s="1029">
        <f t="shared" si="1244"/>
        <v>79.253913986259192</v>
      </c>
      <c r="CG286" s="1029">
        <f t="shared" si="1244"/>
        <v>93.05902630469997</v>
      </c>
      <c r="CH286" s="1029">
        <f t="shared" si="1244"/>
        <v>117.9045756831439</v>
      </c>
      <c r="CI286" s="1029">
        <f t="shared" si="1244"/>
        <v>126.88705649862992</v>
      </c>
      <c r="CJ286" s="1029">
        <f t="shared" si="1244"/>
        <v>115.88299501170471</v>
      </c>
      <c r="CK286" s="1029">
        <f t="shared" si="1244"/>
        <v>129.83049807695576</v>
      </c>
      <c r="CL286" s="1029">
        <f t="shared" si="1244"/>
        <v>105.47955426047416</v>
      </c>
      <c r="CM286" s="1029">
        <f t="shared" si="1244"/>
        <v>104.27981352890158</v>
      </c>
      <c r="CN286" s="1029">
        <f t="shared" si="1244"/>
        <v>105.50451059178388</v>
      </c>
      <c r="CO286" s="1029">
        <f t="shared" si="1244"/>
        <v>91.024029906365712</v>
      </c>
      <c r="CP286" s="1029">
        <f t="shared" si="1244"/>
        <v>78.748157371108505</v>
      </c>
      <c r="CQ286" s="1029">
        <f t="shared" si="1244"/>
        <v>84.421929768647658</v>
      </c>
      <c r="CR286" s="1029">
        <f t="shared" si="1244"/>
        <v>73.333439299060288</v>
      </c>
      <c r="CS286" s="1029">
        <f t="shared" si="1244"/>
        <v>71.933238690905497</v>
      </c>
      <c r="CT286" s="1029">
        <f t="shared" si="1244"/>
        <v>90.78024943767916</v>
      </c>
      <c r="CU286" s="1029">
        <f t="shared" si="1244"/>
        <v>91.170206602895647</v>
      </c>
      <c r="CV286" s="1029">
        <f t="shared" si="1244"/>
        <v>76.26574299998525</v>
      </c>
      <c r="CW286" s="1029">
        <f t="shared" si="1244"/>
        <v>75.657775007027041</v>
      </c>
      <c r="CX286" s="1029">
        <f t="shared" si="1244"/>
        <v>85.845456998700584</v>
      </c>
      <c r="CY286" s="1029">
        <f t="shared" si="1244"/>
        <v>110.75240583549085</v>
      </c>
      <c r="CZ286" s="1029">
        <f t="shared" si="1244"/>
        <v>70.802911596617605</v>
      </c>
      <c r="DA286" s="1029">
        <f t="shared" si="1244"/>
        <v>45.933557631234798</v>
      </c>
      <c r="DB286" s="1029">
        <f t="shared" si="1244"/>
        <v>24.609219081052675</v>
      </c>
      <c r="DC286" s="1029">
        <f t="shared" si="1244"/>
        <v>22.54920106975667</v>
      </c>
      <c r="DD286" s="1029">
        <f t="shared" si="1244"/>
        <v>45.57851671815574</v>
      </c>
      <c r="DE286" s="1029">
        <f t="shared" si="1244"/>
        <v>66.773381231235035</v>
      </c>
      <c r="DF286" s="1029">
        <f t="shared" si="1244"/>
        <v>78.612535825541229</v>
      </c>
      <c r="DG286" s="1029">
        <f t="shared" si="1244"/>
        <v>84.170745183283302</v>
      </c>
      <c r="DH286" s="1029">
        <f t="shared" si="1244"/>
        <v>73.872031323934195</v>
      </c>
      <c r="DI286" s="1029">
        <f t="shared" ref="DI286:EF286" si="1245">SUM(DI121)/SUM(CX11:DI11)*360</f>
        <v>87.147707036600934</v>
      </c>
      <c r="DJ286" s="1029">
        <f t="shared" si="1245"/>
        <v>72.723819697115871</v>
      </c>
      <c r="DK286" s="1029">
        <f t="shared" si="1245"/>
        <v>80.378566440361766</v>
      </c>
      <c r="DL286" s="1029">
        <f t="shared" si="1245"/>
        <v>96.525473556211509</v>
      </c>
      <c r="DM286" s="1029">
        <f t="shared" si="1245"/>
        <v>105.52713766284108</v>
      </c>
      <c r="DN286" s="1029">
        <f t="shared" si="1245"/>
        <v>95.31102350832505</v>
      </c>
      <c r="DO286" s="1029">
        <f t="shared" si="1245"/>
        <v>93.239517158544771</v>
      </c>
      <c r="DP286" s="1029">
        <f t="shared" si="1245"/>
        <v>97.623607058794889</v>
      </c>
      <c r="DQ286" s="940">
        <f t="shared" si="1245"/>
        <v>92.319055166821599</v>
      </c>
      <c r="DR286" s="940">
        <f t="shared" si="1245"/>
        <v>81.800140960562175</v>
      </c>
      <c r="DS286" s="940">
        <f t="shared" si="1245"/>
        <v>95.992363408768298</v>
      </c>
      <c r="DT286" s="940">
        <f t="shared" si="1245"/>
        <v>97.983172281401224</v>
      </c>
      <c r="DU286" s="940">
        <f t="shared" si="1245"/>
        <v>116.68008006770066</v>
      </c>
      <c r="DV286" s="940">
        <f t="shared" si="1245"/>
        <v>84.548981636378912</v>
      </c>
      <c r="DW286" s="940">
        <f t="shared" si="1245"/>
        <v>72.695082163462644</v>
      </c>
      <c r="DX286" s="940">
        <f t="shared" si="1245"/>
        <v>80.132228545283255</v>
      </c>
      <c r="DY286" s="940">
        <f t="shared" si="1245"/>
        <v>65.290830814377628</v>
      </c>
      <c r="DZ286" s="940">
        <f t="shared" si="1245"/>
        <v>61.296696078635328</v>
      </c>
      <c r="EA286" s="940">
        <f t="shared" si="1245"/>
        <v>77.91916446923166</v>
      </c>
      <c r="EB286" s="940">
        <f t="shared" si="1245"/>
        <v>73.164328605653722</v>
      </c>
      <c r="EC286" s="940">
        <f t="shared" si="1245"/>
        <v>90.358020923639785</v>
      </c>
      <c r="ED286" s="940">
        <f t="shared" si="1245"/>
        <v>102.39166917489162</v>
      </c>
      <c r="EE286" s="940">
        <f t="shared" si="1245"/>
        <v>113.82432131523377</v>
      </c>
      <c r="EF286" s="940">
        <f t="shared" si="1245"/>
        <v>98.270058465022103</v>
      </c>
      <c r="EH286" s="1032"/>
      <c r="EI286" s="1032"/>
      <c r="EJ286" s="1032"/>
      <c r="EK286" s="1032"/>
      <c r="EL286" s="1032"/>
      <c r="EM286" s="1032"/>
      <c r="EN286" s="1032"/>
      <c r="EO286" s="1032"/>
      <c r="EP286" s="1032"/>
      <c r="EQ286" s="1032"/>
      <c r="ER286" s="1032"/>
      <c r="ES286" s="1032"/>
      <c r="HD286" s="1032"/>
      <c r="HE286" s="1032"/>
      <c r="HF286" s="1032"/>
      <c r="HG286" s="1032"/>
      <c r="HH286" s="1054"/>
      <c r="HI286" s="1054"/>
      <c r="HJ286" s="1054"/>
      <c r="HK286" s="1054"/>
      <c r="HL286" s="1054"/>
      <c r="HM286" s="1054"/>
      <c r="HN286" s="1054"/>
      <c r="HO286" s="1032"/>
      <c r="HP286" s="1032"/>
      <c r="JA286" s="1032"/>
      <c r="JB286" s="1032"/>
      <c r="JC286" s="1032"/>
      <c r="JD286" s="1032"/>
      <c r="JE286" s="1032"/>
      <c r="JF286" s="1032"/>
      <c r="JG286" s="1032"/>
      <c r="JH286" s="1032"/>
      <c r="JI286" s="1032"/>
      <c r="JJ286" s="1032"/>
      <c r="JK286" s="1032"/>
      <c r="JL286" s="1032"/>
      <c r="JM286" s="1032"/>
      <c r="JN286" s="1032"/>
      <c r="LB286" s="1032"/>
      <c r="LC286" s="1032"/>
      <c r="LD286" s="1032"/>
      <c r="LE286" s="1032"/>
      <c r="LF286" s="1032"/>
      <c r="LG286" s="1032"/>
      <c r="LH286" s="1032"/>
      <c r="LI286" s="1032"/>
      <c r="LJ286" s="1032"/>
      <c r="LK286" s="1032"/>
      <c r="LL286" s="1032"/>
      <c r="LM286" s="1032"/>
      <c r="LN286" s="1032"/>
      <c r="LO286" s="1032"/>
    </row>
    <row r="287" spans="1:327">
      <c r="A287" s="867"/>
      <c r="C287" s="17" t="s">
        <v>812</v>
      </c>
      <c r="D287" s="18" t="s">
        <v>269</v>
      </c>
      <c r="Q287" s="1049">
        <f t="shared" ref="Q287:AN287" si="1246">+SUM(Q123)/SUM(F11:Q11)*365</f>
        <v>7.3669932951232244</v>
      </c>
      <c r="R287" s="1049">
        <f t="shared" si="1246"/>
        <v>7.5913768310704146</v>
      </c>
      <c r="S287" s="1049">
        <f t="shared" si="1246"/>
        <v>5.1851246194046476</v>
      </c>
      <c r="T287" s="1049">
        <f t="shared" si="1246"/>
        <v>5.5208725242713159</v>
      </c>
      <c r="U287" s="1049">
        <f t="shared" si="1246"/>
        <v>4.8595240243255873</v>
      </c>
      <c r="V287" s="1049">
        <f t="shared" si="1246"/>
        <v>4.7792663460270353</v>
      </c>
      <c r="W287" s="1049">
        <f t="shared" si="1246"/>
        <v>5.0137836238459608</v>
      </c>
      <c r="X287" s="1049">
        <f t="shared" si="1246"/>
        <v>5.0456391222898569</v>
      </c>
      <c r="Y287" s="1049">
        <f t="shared" si="1246"/>
        <v>5.5581322170741387</v>
      </c>
      <c r="Z287" s="1049">
        <f t="shared" si="1246"/>
        <v>5.6831525391726361</v>
      </c>
      <c r="AA287" s="1049">
        <f t="shared" si="1246"/>
        <v>5.4040024324004756</v>
      </c>
      <c r="AB287" s="1049">
        <f t="shared" si="1246"/>
        <v>4.0126768335093344</v>
      </c>
      <c r="AC287" s="1049">
        <f t="shared" si="1246"/>
        <v>4.0183054479562994</v>
      </c>
      <c r="AD287" s="1049">
        <f t="shared" si="1246"/>
        <v>3.8884581141734431</v>
      </c>
      <c r="AE287" s="1049">
        <f t="shared" si="1246"/>
        <v>3.6603693561416573</v>
      </c>
      <c r="AF287" s="1049">
        <f t="shared" si="1246"/>
        <v>3.6245657766491313</v>
      </c>
      <c r="AG287" s="1049">
        <f t="shared" si="1246"/>
        <v>3.8137095349000067</v>
      </c>
      <c r="AH287" s="1049">
        <f t="shared" si="1246"/>
        <v>3.7535948397494145</v>
      </c>
      <c r="AI287" s="1049">
        <f t="shared" si="1246"/>
        <v>3.7122765269868911</v>
      </c>
      <c r="AJ287" s="1049">
        <f t="shared" si="1246"/>
        <v>3.4026479157455332</v>
      </c>
      <c r="AK287" s="1049">
        <f t="shared" si="1246"/>
        <v>3.5285665084542095</v>
      </c>
      <c r="AL287" s="1049">
        <f t="shared" si="1246"/>
        <v>3.2854104733235787</v>
      </c>
      <c r="AM287" s="1049">
        <f t="shared" si="1246"/>
        <v>3.3772613213753404</v>
      </c>
      <c r="AN287" s="1049">
        <f t="shared" si="1246"/>
        <v>2.8553383792864362</v>
      </c>
      <c r="AO287" s="1029">
        <v>2.9861467539206008</v>
      </c>
      <c r="AP287" s="1029">
        <v>2.6142683554069892</v>
      </c>
      <c r="AQ287" s="1029">
        <v>2.8519997116256328</v>
      </c>
      <c r="AR287" s="1029">
        <v>3.0214462640473498</v>
      </c>
      <c r="AS287" s="1029">
        <v>3.3073740457451302</v>
      </c>
      <c r="AT287" s="1029">
        <v>3.9524909205431964</v>
      </c>
      <c r="AU287" s="1029">
        <v>4.3180657584022173</v>
      </c>
      <c r="AV287" s="1029">
        <v>4.3435785043784412</v>
      </c>
      <c r="AW287" s="1029">
        <v>4.2890041732794737</v>
      </c>
      <c r="AX287" s="1029">
        <v>4.8177436465211363</v>
      </c>
      <c r="AY287" s="1029">
        <v>5.6133894422751682</v>
      </c>
      <c r="AZ287" s="1029">
        <v>8.4932323430245162</v>
      </c>
      <c r="BA287" s="1029">
        <v>5.4368649002309661</v>
      </c>
      <c r="BB287" s="1029">
        <v>5.8171015363142224</v>
      </c>
      <c r="BC287" s="1029">
        <v>6.0086523059886909</v>
      </c>
      <c r="BD287" s="1029">
        <v>6.23859520291062</v>
      </c>
      <c r="BE287" s="963">
        <v>6.2647380499450236</v>
      </c>
      <c r="BF287" s="963">
        <v>6.394243839218567</v>
      </c>
      <c r="BG287" s="963">
        <v>6.6127788084645864</v>
      </c>
      <c r="BH287" s="963">
        <v>6.7804720485749685</v>
      </c>
      <c r="BI287" s="963">
        <v>7.8359898591966326</v>
      </c>
      <c r="BJ287" s="963">
        <v>7.6418949180160674</v>
      </c>
      <c r="BK287" s="963">
        <v>6.8879132193016908</v>
      </c>
      <c r="BL287" s="963">
        <v>6.5872754454309499</v>
      </c>
      <c r="BM287" s="1029"/>
      <c r="BN287" s="1029"/>
      <c r="BO287" s="1029"/>
      <c r="BP287" s="1029"/>
      <c r="BQ287" s="963"/>
      <c r="BR287" s="963"/>
      <c r="BS287" s="963"/>
      <c r="BT287" s="963"/>
      <c r="BU287" s="963"/>
      <c r="BV287" s="963"/>
      <c r="BW287" s="963"/>
      <c r="BX287" s="963"/>
      <c r="BY287" s="1029"/>
      <c r="BZ287" s="1029"/>
      <c r="CA287" s="1029"/>
      <c r="CB287" s="1029"/>
      <c r="CC287" s="1029"/>
      <c r="CD287" s="1029"/>
      <c r="CE287" s="1029"/>
      <c r="CF287" s="1029"/>
      <c r="CG287" s="1029"/>
      <c r="CH287" s="1029"/>
      <c r="CI287" s="1029"/>
      <c r="CJ287" s="1029"/>
      <c r="CK287" s="1029"/>
      <c r="CL287" s="1029"/>
      <c r="CM287" s="1029"/>
      <c r="CN287" s="1029"/>
      <c r="CO287" s="1029"/>
      <c r="CP287" s="1029"/>
      <c r="CQ287" s="1029"/>
      <c r="CR287" s="1029"/>
      <c r="CS287" s="1029"/>
      <c r="CT287" s="1029"/>
      <c r="CU287" s="1029"/>
      <c r="CV287" s="1029"/>
      <c r="CW287" s="1029"/>
      <c r="CX287" s="1029"/>
      <c r="CY287" s="1029"/>
      <c r="CZ287" s="1029"/>
      <c r="DA287" s="1029"/>
      <c r="DB287" s="1029"/>
      <c r="DC287" s="1029"/>
      <c r="DD287" s="1029"/>
      <c r="DE287" s="1029"/>
      <c r="DF287" s="1029"/>
      <c r="DG287" s="1029"/>
      <c r="DH287" s="1029"/>
      <c r="DI287" s="1029"/>
      <c r="DJ287" s="1029"/>
      <c r="DK287" s="1029"/>
      <c r="DL287" s="1029"/>
      <c r="DM287" s="1029"/>
      <c r="DN287" s="1029"/>
      <c r="DO287" s="1029"/>
      <c r="DP287" s="1029"/>
      <c r="DQ287" s="940"/>
      <c r="DR287" s="940"/>
      <c r="DS287" s="940"/>
      <c r="DT287" s="940"/>
      <c r="DU287" s="940"/>
      <c r="DV287" s="940"/>
      <c r="DW287" s="940"/>
      <c r="DX287" s="940"/>
      <c r="DY287" s="940"/>
      <c r="DZ287" s="940"/>
      <c r="EA287" s="940"/>
      <c r="EB287" s="940"/>
      <c r="EC287" s="940"/>
      <c r="ED287" s="940"/>
      <c r="EE287" s="940"/>
      <c r="EF287" s="940"/>
      <c r="EH287" s="1032"/>
      <c r="EI287" s="1032"/>
      <c r="EJ287" s="1032"/>
      <c r="EK287" s="1032"/>
      <c r="EL287" s="1032"/>
      <c r="EM287" s="1032"/>
      <c r="EN287" s="1032"/>
      <c r="EO287" s="1032"/>
      <c r="EP287" s="1032"/>
      <c r="EQ287" s="1032"/>
      <c r="ER287" s="1032"/>
      <c r="ES287" s="1032"/>
      <c r="HD287" s="1032"/>
      <c r="HE287" s="1032"/>
      <c r="HF287" s="1032"/>
      <c r="HG287" s="1032"/>
      <c r="HH287" s="1054"/>
      <c r="HI287" s="1054"/>
      <c r="HJ287" s="1054"/>
      <c r="HK287" s="1054"/>
      <c r="HL287" s="1054"/>
      <c r="HM287" s="1054"/>
      <c r="HN287" s="1054"/>
      <c r="HO287" s="1032"/>
      <c r="HP287" s="1032"/>
      <c r="JA287" s="1032"/>
      <c r="JB287" s="1032"/>
      <c r="JC287" s="1032"/>
      <c r="JD287" s="1032"/>
      <c r="JE287" s="1032"/>
      <c r="JF287" s="1032"/>
      <c r="JG287" s="1032"/>
      <c r="JH287" s="1032"/>
      <c r="JI287" s="1032"/>
      <c r="JJ287" s="1032"/>
      <c r="JK287" s="1032"/>
      <c r="JL287" s="1032"/>
      <c r="JM287" s="1032"/>
      <c r="JN287" s="1032"/>
      <c r="LB287" s="1032"/>
      <c r="LC287" s="1032"/>
      <c r="LD287" s="1032"/>
      <c r="LE287" s="1032"/>
      <c r="LF287" s="1032"/>
      <c r="LG287" s="1032"/>
      <c r="LH287" s="1032"/>
      <c r="LI287" s="1032"/>
      <c r="LJ287" s="1032"/>
      <c r="LK287" s="1032"/>
      <c r="LL287" s="1032"/>
      <c r="LM287" s="1032"/>
      <c r="LN287" s="1032"/>
      <c r="LO287" s="1032"/>
    </row>
    <row r="288" spans="1:327">
      <c r="A288" s="867"/>
      <c r="C288" s="186" t="s">
        <v>813</v>
      </c>
      <c r="D288" s="191" t="s">
        <v>269</v>
      </c>
      <c r="E288" s="186"/>
      <c r="F288" s="186"/>
      <c r="G288" s="186"/>
      <c r="H288" s="186"/>
      <c r="I288" s="186"/>
      <c r="J288" s="186"/>
      <c r="K288" s="186"/>
      <c r="L288" s="186"/>
      <c r="M288" s="186"/>
      <c r="N288" s="186"/>
      <c r="O288" s="186"/>
      <c r="P288" s="186"/>
      <c r="Q288" s="1051">
        <f t="shared" ref="Q288:AN288" si="1247">+SUM(Q173)/SUM(F21:Q21,F42:Q42)*365</f>
        <v>-7.9862410539807556</v>
      </c>
      <c r="R288" s="1051">
        <f t="shared" si="1247"/>
        <v>-4.7844332774676657</v>
      </c>
      <c r="S288" s="1051">
        <f t="shared" si="1247"/>
        <v>-4.1904898068823613</v>
      </c>
      <c r="T288" s="1051">
        <f t="shared" si="1247"/>
        <v>-7.5082290463601238</v>
      </c>
      <c r="U288" s="1051">
        <f t="shared" si="1247"/>
        <v>-7.840395893978684</v>
      </c>
      <c r="V288" s="1051">
        <f t="shared" si="1247"/>
        <v>-6.5615180460052516</v>
      </c>
      <c r="W288" s="1051">
        <f t="shared" si="1247"/>
        <v>-5.4742335520919241</v>
      </c>
      <c r="X288" s="1051">
        <f t="shared" si="1247"/>
        <v>-4.5603357002737486</v>
      </c>
      <c r="Y288" s="1051">
        <f t="shared" si="1247"/>
        <v>-3.6302870532933831</v>
      </c>
      <c r="Z288" s="1051">
        <f t="shared" si="1247"/>
        <v>-3.2430928463902364</v>
      </c>
      <c r="AA288" s="1051">
        <f t="shared" si="1247"/>
        <v>-3.233537711681242</v>
      </c>
      <c r="AB288" s="1051">
        <f t="shared" si="1247"/>
        <v>-2.4686710925027859</v>
      </c>
      <c r="AC288" s="1051">
        <f t="shared" si="1247"/>
        <v>-3.0972226891124786</v>
      </c>
      <c r="AD288" s="1051">
        <f t="shared" si="1247"/>
        <v>-4.8015066836596798</v>
      </c>
      <c r="AE288" s="1051">
        <f t="shared" si="1247"/>
        <v>-2.7492848211963334</v>
      </c>
      <c r="AF288" s="1051">
        <f t="shared" si="1247"/>
        <v>-4.6184357123421265</v>
      </c>
      <c r="AG288" s="1051">
        <f t="shared" si="1247"/>
        <v>-4.0854406707001019</v>
      </c>
      <c r="AH288" s="1051">
        <f t="shared" si="1247"/>
        <v>-3.3114488953014853</v>
      </c>
      <c r="AI288" s="1051">
        <f t="shared" si="1247"/>
        <v>-3.959651597851499</v>
      </c>
      <c r="AJ288" s="1051">
        <f t="shared" si="1247"/>
        <v>-5.4621233025565292</v>
      </c>
      <c r="AK288" s="1051">
        <f t="shared" si="1247"/>
        <v>-5.376440067190158</v>
      </c>
      <c r="AL288" s="1051">
        <f t="shared" si="1247"/>
        <v>-7.1785062025097304</v>
      </c>
      <c r="AM288" s="1051">
        <f t="shared" si="1247"/>
        <v>-9.6456397660001123</v>
      </c>
      <c r="AN288" s="1051">
        <f t="shared" si="1247"/>
        <v>-12.027430909003899</v>
      </c>
      <c r="AO288" s="233">
        <v>-8.3401564685490683</v>
      </c>
      <c r="AP288" s="233">
        <v>-31.765056170830974</v>
      </c>
      <c r="AQ288" s="233">
        <v>-11.296767174460149</v>
      </c>
      <c r="AR288" s="233">
        <v>-15.459061551135166</v>
      </c>
      <c r="AS288" s="233">
        <v>-11.774700779159753</v>
      </c>
      <c r="AT288" s="233">
        <v>-15.570245550015491</v>
      </c>
      <c r="AU288" s="233">
        <v>-14.68803938664405</v>
      </c>
      <c r="AV288" s="233">
        <v>-19.071555020885576</v>
      </c>
      <c r="AW288" s="233">
        <v>-19.316979271782298</v>
      </c>
      <c r="AX288" s="233">
        <v>-18.511847136309001</v>
      </c>
      <c r="AY288" s="233">
        <v>-21.899757825798954</v>
      </c>
      <c r="AZ288" s="233">
        <v>-20.499777709748315</v>
      </c>
      <c r="BA288" s="233">
        <v>-10.771375313488358</v>
      </c>
      <c r="BB288" s="233">
        <v>-12.76191126145426</v>
      </c>
      <c r="BC288" s="233">
        <v>-10.545676466396749</v>
      </c>
      <c r="BD288" s="233">
        <v>-7.5646229386378154</v>
      </c>
      <c r="BE288" s="1043">
        <v>-6.2861200801374695</v>
      </c>
      <c r="BF288" s="1043">
        <v>-9.1068016759447463</v>
      </c>
      <c r="BG288" s="1043">
        <v>-9.8663600653573145</v>
      </c>
      <c r="BH288" s="1043">
        <v>-7.9023026820429125</v>
      </c>
      <c r="BI288" s="1043">
        <v>-9.2161085044693021</v>
      </c>
      <c r="BJ288" s="1043">
        <v>-9.6905629828271831</v>
      </c>
      <c r="BK288" s="1043">
        <v>-5.0577242406465972</v>
      </c>
      <c r="BL288" s="1043">
        <v>-7.8827831486418303</v>
      </c>
      <c r="BM288" s="233"/>
      <c r="BN288" s="233"/>
      <c r="BO288" s="233"/>
      <c r="BP288" s="233"/>
      <c r="BQ288" s="1043"/>
      <c r="BR288" s="1043"/>
      <c r="BS288" s="1043"/>
      <c r="BT288" s="1043"/>
      <c r="BU288" s="1043"/>
      <c r="BV288" s="1043"/>
      <c r="BW288" s="1043"/>
      <c r="BX288" s="1043"/>
      <c r="BY288" s="233">
        <f t="shared" ref="BY288:DH288" si="1248">+SUM(BY173,BY174)/-SUM(BN21:BY21)*360</f>
        <v>48.003050932558011</v>
      </c>
      <c r="BZ288" s="233">
        <f t="shared" si="1248"/>
        <v>57.450269046599644</v>
      </c>
      <c r="CA288" s="233">
        <f t="shared" si="1248"/>
        <v>67.266733485886746</v>
      </c>
      <c r="CB288" s="233">
        <f t="shared" si="1248"/>
        <v>48.350553689350612</v>
      </c>
      <c r="CC288" s="233">
        <f t="shared" si="1248"/>
        <v>35.904050428938461</v>
      </c>
      <c r="CD288" s="233">
        <f t="shared" si="1248"/>
        <v>35.478053868499529</v>
      </c>
      <c r="CE288" s="233">
        <f t="shared" si="1248"/>
        <v>40.172859339863372</v>
      </c>
      <c r="CF288" s="233">
        <f t="shared" si="1248"/>
        <v>47.158778795033292</v>
      </c>
      <c r="CG288" s="233">
        <f t="shared" si="1248"/>
        <v>56.694574713867738</v>
      </c>
      <c r="CH288" s="233">
        <f t="shared" si="1248"/>
        <v>70.899129147719265</v>
      </c>
      <c r="CI288" s="233">
        <f t="shared" si="1248"/>
        <v>74.377633138915371</v>
      </c>
      <c r="CJ288" s="233">
        <f t="shared" si="1248"/>
        <v>101.40683737915479</v>
      </c>
      <c r="CK288" s="233">
        <f t="shared" si="1248"/>
        <v>83.803717407423022</v>
      </c>
      <c r="CL288" s="233">
        <f t="shared" si="1248"/>
        <v>88.450747761553501</v>
      </c>
      <c r="CM288" s="233">
        <f t="shared" si="1248"/>
        <v>80.891129112424892</v>
      </c>
      <c r="CN288" s="233">
        <f t="shared" si="1248"/>
        <v>88.391901664566333</v>
      </c>
      <c r="CO288" s="233">
        <f t="shared" si="1248"/>
        <v>63.146021709571826</v>
      </c>
      <c r="CP288" s="233">
        <f t="shared" si="1248"/>
        <v>75.997813760495646</v>
      </c>
      <c r="CQ288" s="233">
        <f t="shared" si="1248"/>
        <v>54.83441219008327</v>
      </c>
      <c r="CR288" s="233">
        <f t="shared" si="1248"/>
        <v>64.948710331165572</v>
      </c>
      <c r="CS288" s="233">
        <f t="shared" si="1248"/>
        <v>52.508020617920145</v>
      </c>
      <c r="CT288" s="233">
        <f t="shared" si="1248"/>
        <v>66.944436434465189</v>
      </c>
      <c r="CU288" s="233">
        <f t="shared" si="1248"/>
        <v>48.819891602307543</v>
      </c>
      <c r="CV288" s="233">
        <f t="shared" si="1248"/>
        <v>76.843688473732499</v>
      </c>
      <c r="CW288" s="233">
        <f t="shared" si="1248"/>
        <v>45.787042779290601</v>
      </c>
      <c r="CX288" s="233">
        <f t="shared" si="1248"/>
        <v>68.264892975880258</v>
      </c>
      <c r="CY288" s="233">
        <f t="shared" si="1248"/>
        <v>74.689465207308544</v>
      </c>
      <c r="CZ288" s="233">
        <f t="shared" si="1248"/>
        <v>87.186584906007823</v>
      </c>
      <c r="DA288" s="233">
        <f t="shared" si="1248"/>
        <v>56.723972824005493</v>
      </c>
      <c r="DB288" s="233">
        <f t="shared" si="1248"/>
        <v>24.023158891851313</v>
      </c>
      <c r="DC288" s="233">
        <f t="shared" si="1248"/>
        <v>15.487131248429447</v>
      </c>
      <c r="DD288" s="233">
        <f t="shared" si="1248"/>
        <v>22.416290905032781</v>
      </c>
      <c r="DE288" s="233">
        <f t="shared" si="1248"/>
        <v>30.104178839143859</v>
      </c>
      <c r="DF288" s="233">
        <f t="shared" si="1248"/>
        <v>42.820949679908516</v>
      </c>
      <c r="DG288" s="233">
        <f t="shared" si="1248"/>
        <v>43.803882644443902</v>
      </c>
      <c r="DH288" s="233">
        <f t="shared" si="1248"/>
        <v>77.827702651317125</v>
      </c>
      <c r="DI288" s="233">
        <f t="shared" ref="DI288:EF288" si="1249">+SUM(DI173,DI174)/-SUM(CX21:DI21)*360</f>
        <v>42.211065449953303</v>
      </c>
      <c r="DJ288" s="233">
        <f t="shared" si="1249"/>
        <v>58.630416314598186</v>
      </c>
      <c r="DK288" s="233">
        <f t="shared" si="1249"/>
        <v>36.53730128893725</v>
      </c>
      <c r="DL288" s="233">
        <f t="shared" si="1249"/>
        <v>52.534422239749723</v>
      </c>
      <c r="DM288" s="233">
        <f t="shared" si="1249"/>
        <v>43.277035752085354</v>
      </c>
      <c r="DN288" s="233">
        <f t="shared" si="1249"/>
        <v>52.038685862101048</v>
      </c>
      <c r="DO288" s="233">
        <f t="shared" si="1249"/>
        <v>37.795712740319452</v>
      </c>
      <c r="DP288" s="233">
        <f t="shared" si="1249"/>
        <v>50.512904084633576</v>
      </c>
      <c r="DQ288" s="941">
        <f t="shared" si="1249"/>
        <v>35.943081288991408</v>
      </c>
      <c r="DR288" s="941">
        <f t="shared" si="1249"/>
        <v>53.475439453607727</v>
      </c>
      <c r="DS288" s="941">
        <f t="shared" si="1249"/>
        <v>42.735245809350836</v>
      </c>
      <c r="DT288" s="941">
        <f t="shared" si="1249"/>
        <v>69.105435662785169</v>
      </c>
      <c r="DU288" s="941">
        <f t="shared" si="1249"/>
        <v>48.264055274118832</v>
      </c>
      <c r="DV288" s="941">
        <f t="shared" si="1249"/>
        <v>75.320438588678272</v>
      </c>
      <c r="DW288" s="941">
        <f t="shared" si="1249"/>
        <v>48.858737468783865</v>
      </c>
      <c r="DX288" s="941">
        <f t="shared" si="1249"/>
        <v>62.78658038099023</v>
      </c>
      <c r="DY288" s="941">
        <f t="shared" si="1249"/>
        <v>49.716110713097478</v>
      </c>
      <c r="DZ288" s="941">
        <f t="shared" si="1249"/>
        <v>72.497413757129664</v>
      </c>
      <c r="EA288" s="941">
        <f t="shared" si="1249"/>
        <v>50.945148879285796</v>
      </c>
      <c r="EB288" s="941">
        <f t="shared" si="1249"/>
        <v>72.275800263405642</v>
      </c>
      <c r="EC288" s="941">
        <f t="shared" si="1249"/>
        <v>77.90141290079778</v>
      </c>
      <c r="ED288" s="941">
        <f t="shared" si="1249"/>
        <v>83.526586726124606</v>
      </c>
      <c r="EE288" s="941">
        <f t="shared" si="1249"/>
        <v>89.034643568395197</v>
      </c>
      <c r="EF288" s="941">
        <f t="shared" si="1249"/>
        <v>101.5270911845312</v>
      </c>
      <c r="EH288" s="1042"/>
      <c r="EI288" s="1042"/>
      <c r="EJ288" s="1042"/>
      <c r="EK288" s="1042"/>
      <c r="EL288" s="1042"/>
      <c r="EM288" s="1042"/>
      <c r="EN288" s="1042"/>
      <c r="EO288" s="1042"/>
      <c r="EP288" s="1042"/>
      <c r="EQ288" s="1042"/>
      <c r="ER288" s="1042"/>
      <c r="ES288" s="1042"/>
      <c r="HD288" s="1042"/>
      <c r="HE288" s="1042"/>
      <c r="HF288" s="1042"/>
      <c r="HG288" s="1042"/>
      <c r="HH288" s="1055"/>
      <c r="HI288" s="1055"/>
      <c r="HJ288" s="1055"/>
      <c r="HK288" s="1055"/>
      <c r="HL288" s="1055"/>
      <c r="HM288" s="1055"/>
      <c r="HN288" s="1055"/>
      <c r="HO288" s="1042"/>
      <c r="HP288" s="1042"/>
      <c r="JA288" s="1042"/>
      <c r="JB288" s="1042"/>
      <c r="JC288" s="1042"/>
      <c r="JD288" s="1042"/>
      <c r="JE288" s="1042"/>
      <c r="JF288" s="1042"/>
      <c r="JG288" s="1042"/>
      <c r="JH288" s="1042"/>
      <c r="JI288" s="1042"/>
      <c r="JJ288" s="1042"/>
      <c r="JK288" s="1042"/>
      <c r="JL288" s="1042"/>
      <c r="JM288" s="1042"/>
      <c r="JN288" s="1042"/>
      <c r="LB288" s="1042"/>
      <c r="LC288" s="1042"/>
      <c r="LD288" s="1042"/>
      <c r="LE288" s="1042"/>
      <c r="LF288" s="1042"/>
      <c r="LG288" s="1042"/>
      <c r="LH288" s="1042"/>
      <c r="LI288" s="1042"/>
      <c r="LJ288" s="1042"/>
      <c r="LK288" s="1042"/>
      <c r="LL288" s="1042"/>
      <c r="LM288" s="1042"/>
      <c r="LN288" s="1042"/>
      <c r="LO288" s="1042"/>
    </row>
    <row r="289" spans="1:149">
      <c r="A289" s="867"/>
      <c r="D289" s="18"/>
      <c r="AO289" s="1029"/>
      <c r="AP289" s="1029"/>
      <c r="AQ289" s="1029"/>
      <c r="AR289" s="1029"/>
      <c r="AS289" s="1029"/>
      <c r="AT289" s="1029"/>
      <c r="AU289" s="1029"/>
      <c r="AV289" s="1029"/>
      <c r="AW289" s="1029"/>
      <c r="AX289" s="1029"/>
      <c r="AY289" s="1029"/>
      <c r="AZ289" s="1029"/>
      <c r="BA289" s="1029"/>
      <c r="BB289" s="1029"/>
      <c r="BC289" s="1029"/>
      <c r="BD289" s="1029"/>
      <c r="BE289" s="873"/>
      <c r="BF289" s="873"/>
      <c r="BG289" s="873"/>
      <c r="BH289" s="873"/>
      <c r="BI289" s="873"/>
      <c r="BL289" s="972"/>
      <c r="BM289" s="1029"/>
      <c r="BN289" s="1029"/>
      <c r="BO289" s="1029"/>
      <c r="BP289" s="1029"/>
      <c r="BQ289" s="873"/>
      <c r="BR289" s="873"/>
      <c r="BS289" s="873"/>
      <c r="BT289" s="873"/>
      <c r="BU289" s="873"/>
      <c r="BY289" s="1029"/>
      <c r="BZ289" s="1029"/>
      <c r="CA289" s="1029"/>
      <c r="CB289" s="1029"/>
      <c r="CC289" s="1029"/>
      <c r="CD289" s="1029"/>
      <c r="CE289" s="1029"/>
      <c r="CF289" s="1029"/>
      <c r="CG289" s="1029"/>
      <c r="CH289" s="1029"/>
      <c r="CI289" s="1029"/>
      <c r="CJ289" s="1029"/>
      <c r="CK289" s="1029"/>
      <c r="CL289" s="1029"/>
      <c r="CM289" s="1029"/>
      <c r="CN289" s="1029"/>
      <c r="CO289" s="1029"/>
      <c r="CP289" s="1029"/>
      <c r="CQ289" s="1029"/>
      <c r="CR289" s="1029"/>
      <c r="CS289" s="1029"/>
      <c r="CT289" s="1029"/>
      <c r="CU289" s="1029"/>
      <c r="CV289" s="1029"/>
      <c r="CW289" s="1029"/>
      <c r="CX289" s="1029"/>
      <c r="CY289" s="1029"/>
      <c r="CZ289" s="1029"/>
      <c r="DA289" s="1029"/>
      <c r="DB289" s="1029"/>
      <c r="DC289" s="1029"/>
      <c r="DD289" s="1029"/>
      <c r="DE289" s="1029"/>
      <c r="DF289" s="1029"/>
      <c r="DG289" s="1029"/>
      <c r="DH289" s="1029"/>
      <c r="DI289" s="1029"/>
      <c r="DJ289" s="1029"/>
      <c r="DK289" s="1029"/>
      <c r="DL289" s="1029"/>
      <c r="DM289" s="1029"/>
      <c r="DN289" s="1029"/>
      <c r="DO289" s="1029"/>
      <c r="DP289" s="1029"/>
      <c r="DQ289" s="873"/>
      <c r="DR289" s="873"/>
      <c r="DS289" s="873"/>
      <c r="DT289" s="873"/>
      <c r="DU289" s="873"/>
      <c r="DV289" s="873"/>
      <c r="DW289" s="873"/>
      <c r="DX289" s="873"/>
      <c r="DY289" s="873"/>
      <c r="DZ289" s="873"/>
      <c r="EA289" s="873"/>
      <c r="EB289" s="873"/>
      <c r="EC289" s="873"/>
      <c r="ED289" s="873"/>
      <c r="EE289" s="873"/>
      <c r="EF289" s="873"/>
    </row>
    <row r="290" spans="1:149">
      <c r="A290" s="867"/>
      <c r="C290" s="25" t="s">
        <v>814</v>
      </c>
      <c r="D290" s="18"/>
      <c r="AO290" s="1029"/>
      <c r="AP290" s="1029"/>
      <c r="AQ290" s="1029"/>
      <c r="AR290" s="1029"/>
      <c r="AS290" s="1029"/>
      <c r="AT290" s="1029"/>
      <c r="AU290" s="1029"/>
      <c r="AV290" s="1029"/>
      <c r="AW290" s="1029"/>
      <c r="AX290" s="1029"/>
      <c r="AY290" s="1029"/>
      <c r="AZ290" s="1029"/>
      <c r="BA290" s="1029"/>
      <c r="BB290" s="1029"/>
      <c r="BC290" s="1029"/>
      <c r="BD290" s="1029"/>
      <c r="BE290" s="873"/>
      <c r="BF290" s="873"/>
      <c r="BG290" s="873"/>
      <c r="BH290" s="873"/>
      <c r="BI290" s="873"/>
      <c r="BL290" s="972"/>
      <c r="BM290" s="1029"/>
      <c r="BN290" s="1029"/>
      <c r="BO290" s="1029"/>
      <c r="BP290" s="1029"/>
      <c r="BQ290" s="873"/>
      <c r="BR290" s="873"/>
      <c r="BS290" s="873"/>
      <c r="BT290" s="873"/>
      <c r="BU290" s="873"/>
      <c r="BY290" s="1029"/>
      <c r="BZ290" s="1029"/>
      <c r="CA290" s="1029"/>
      <c r="CB290" s="1029"/>
      <c r="CC290" s="1029"/>
      <c r="CD290" s="1029"/>
      <c r="CE290" s="1029"/>
      <c r="CF290" s="1029"/>
      <c r="CG290" s="1029"/>
      <c r="CH290" s="1029"/>
      <c r="CI290" s="1029"/>
      <c r="CJ290" s="1029"/>
      <c r="CK290" s="1029"/>
      <c r="CL290" s="1029"/>
      <c r="CM290" s="1029"/>
      <c r="CN290" s="1029"/>
      <c r="CO290" s="1029"/>
      <c r="CP290" s="1029"/>
      <c r="CQ290" s="1029"/>
      <c r="CR290" s="1029"/>
      <c r="CS290" s="1029"/>
      <c r="CT290" s="1029"/>
      <c r="CU290" s="1029"/>
      <c r="CV290" s="1029"/>
      <c r="CW290" s="1029"/>
      <c r="CX290" s="1029"/>
      <c r="CY290" s="1029"/>
      <c r="CZ290" s="1029"/>
      <c r="DA290" s="1029"/>
      <c r="DB290" s="1029"/>
      <c r="DC290" s="1029"/>
      <c r="DD290" s="1029"/>
      <c r="DE290" s="1029"/>
      <c r="DF290" s="1029"/>
      <c r="DG290" s="1029"/>
      <c r="DH290" s="1029"/>
      <c r="DI290" s="1029"/>
      <c r="DJ290" s="1029"/>
      <c r="DK290" s="1029"/>
      <c r="DL290" s="1029"/>
      <c r="DM290" s="1029"/>
      <c r="DN290" s="1029"/>
      <c r="DO290" s="1029"/>
      <c r="DP290" s="1029"/>
      <c r="DQ290" s="873"/>
      <c r="DR290" s="873"/>
      <c r="DS290" s="873"/>
      <c r="DT290" s="873"/>
      <c r="DU290" s="873"/>
      <c r="DV290" s="873"/>
      <c r="DW290" s="873"/>
      <c r="DX290" s="873"/>
      <c r="DY290" s="873"/>
      <c r="DZ290" s="873"/>
      <c r="EA290" s="873"/>
      <c r="EB290" s="873"/>
      <c r="EC290" s="873"/>
      <c r="ED290" s="873"/>
      <c r="EE290" s="873"/>
      <c r="EF290" s="873"/>
    </row>
    <row r="291" spans="1:149">
      <c r="A291" s="867"/>
      <c r="C291" s="47" t="s">
        <v>815</v>
      </c>
      <c r="D291" s="51" t="s">
        <v>35</v>
      </c>
      <c r="E291" s="1048"/>
      <c r="F291" s="1048"/>
      <c r="G291" s="1048"/>
      <c r="H291" s="1048"/>
      <c r="I291" s="1048"/>
      <c r="J291" s="1048"/>
      <c r="K291" s="1048"/>
      <c r="L291" s="1048"/>
      <c r="M291" s="1048"/>
      <c r="N291" s="1048"/>
      <c r="O291" s="1048"/>
      <c r="P291" s="1048"/>
      <c r="Q291" s="1047">
        <f t="shared" ref="Q291:AN291" si="1250">+(SUM(F74:Q74)*39%)/SUM(F205:Q205,F169:Q169,F191:Q191)</f>
        <v>0.27755435864272571</v>
      </c>
      <c r="R291" s="1047">
        <f t="shared" si="1250"/>
        <v>0.28198560289823699</v>
      </c>
      <c r="S291" s="1047">
        <f t="shared" si="1250"/>
        <v>0.26565501212242493</v>
      </c>
      <c r="T291" s="1047">
        <f t="shared" si="1250"/>
        <v>0.21511798594507592</v>
      </c>
      <c r="U291" s="1047">
        <f t="shared" si="1250"/>
        <v>0.20700999636561399</v>
      </c>
      <c r="V291" s="1047">
        <f t="shared" si="1250"/>
        <v>0.21496402033571696</v>
      </c>
      <c r="W291" s="1047">
        <f t="shared" si="1250"/>
        <v>0.20646511328791825</v>
      </c>
      <c r="X291" s="1047">
        <f t="shared" si="1250"/>
        <v>0.19408638163001929</v>
      </c>
      <c r="Y291" s="1047">
        <f t="shared" si="1250"/>
        <v>0.14393826136730931</v>
      </c>
      <c r="Z291" s="1047">
        <f t="shared" si="1250"/>
        <v>0.11911724076571197</v>
      </c>
      <c r="AA291" s="1047">
        <f t="shared" si="1250"/>
        <v>0.13635027095060745</v>
      </c>
      <c r="AB291" s="1047">
        <f t="shared" si="1250"/>
        <v>0.15199044006384607</v>
      </c>
      <c r="AC291" s="1047">
        <f t="shared" si="1250"/>
        <v>0.13025074010104234</v>
      </c>
      <c r="AD291" s="1047">
        <f t="shared" si="1250"/>
        <v>0.11904120256717482</v>
      </c>
      <c r="AE291" s="1047">
        <f t="shared" si="1250"/>
        <v>0.11290280753513296</v>
      </c>
      <c r="AF291" s="1047">
        <f t="shared" si="1250"/>
        <v>0.11206896299223396</v>
      </c>
      <c r="AG291" s="1047">
        <f t="shared" si="1250"/>
        <v>9.0679928274689403E-2</v>
      </c>
      <c r="AH291" s="1047">
        <f t="shared" si="1250"/>
        <v>7.5109427771559323E-2</v>
      </c>
      <c r="AI291" s="1047">
        <f t="shared" si="1250"/>
        <v>6.5632337159963805E-2</v>
      </c>
      <c r="AJ291" s="1047">
        <f t="shared" si="1250"/>
        <v>5.774365269402381E-2</v>
      </c>
      <c r="AK291" s="1047">
        <f t="shared" si="1250"/>
        <v>6.0627453887171473E-2</v>
      </c>
      <c r="AL291" s="1047">
        <f t="shared" si="1250"/>
        <v>6.1391628282350556E-2</v>
      </c>
      <c r="AM291" s="1047">
        <f t="shared" si="1250"/>
        <v>5.8461737870958916E-2</v>
      </c>
      <c r="AN291" s="1047">
        <f t="shared" si="1250"/>
        <v>4.5056633612296525E-2</v>
      </c>
      <c r="AO291" s="345">
        <v>5.0593828986426406E-2</v>
      </c>
      <c r="AP291" s="345">
        <v>3.8169855057002329E-2</v>
      </c>
      <c r="AQ291" s="345">
        <v>3.3669008726366523E-2</v>
      </c>
      <c r="AR291" s="345">
        <v>2.810688820940745E-2</v>
      </c>
      <c r="AS291" s="345">
        <v>1.9446645123001458E-2</v>
      </c>
      <c r="AT291" s="345">
        <v>1.3269016620293166E-2</v>
      </c>
      <c r="AU291" s="345">
        <v>1.1341291661979044E-2</v>
      </c>
      <c r="AV291" s="345">
        <v>8.428949451272507E-3</v>
      </c>
      <c r="AW291" s="345">
        <v>5.5984845727536422E-3</v>
      </c>
      <c r="AX291" s="345">
        <v>1.899220860706327E-3</v>
      </c>
      <c r="AY291" s="345">
        <v>-9.7579654914363694E-3</v>
      </c>
      <c r="AZ291" s="345">
        <v>-1.1026934782369104E-2</v>
      </c>
      <c r="BA291" s="345">
        <v>-2.9883779219698984E-2</v>
      </c>
      <c r="BB291" s="345">
        <v>-3.0473310043786922E-2</v>
      </c>
      <c r="BC291" s="345">
        <v>-3.0957649042384849E-2</v>
      </c>
      <c r="BD291" s="345">
        <v>-2.9270377506716003E-2</v>
      </c>
      <c r="BE291" s="960">
        <v>-2.7831203789239031E-2</v>
      </c>
      <c r="BF291" s="960">
        <v>-2.9677384087628191E-2</v>
      </c>
      <c r="BG291" s="960">
        <v>-3.0535970481987487E-2</v>
      </c>
      <c r="BH291" s="960">
        <v>-3.0720101277818407E-2</v>
      </c>
      <c r="BI291" s="960">
        <v>-3.1909819535393187E-2</v>
      </c>
      <c r="BJ291" s="960">
        <v>-3.107505125415563E-2</v>
      </c>
      <c r="BK291" s="345">
        <v>-2.465680504747873E-2</v>
      </c>
      <c r="BL291" s="1056">
        <v>-9.643176811518708E-3</v>
      </c>
      <c r="BM291" s="1056"/>
      <c r="BN291" s="1056"/>
      <c r="BO291" s="1056"/>
      <c r="BP291" s="345"/>
      <c r="BQ291" s="960"/>
      <c r="BR291" s="960"/>
      <c r="BS291" s="960"/>
      <c r="BT291" s="960"/>
      <c r="BU291" s="960"/>
      <c r="BV291" s="960"/>
      <c r="BW291" s="345"/>
      <c r="BX291" s="345"/>
      <c r="BY291" s="1056"/>
      <c r="BZ291" s="1056"/>
      <c r="CA291" s="1056"/>
      <c r="CB291" s="1056"/>
      <c r="CC291" s="1056"/>
      <c r="CD291" s="1056"/>
      <c r="CE291" s="1056"/>
      <c r="CF291" s="1056"/>
      <c r="CG291" s="1056"/>
      <c r="CH291" s="1056"/>
      <c r="CI291" s="1056"/>
      <c r="CJ291" s="1056"/>
      <c r="CK291" s="1056"/>
      <c r="CL291" s="1056"/>
      <c r="CM291" s="1056"/>
      <c r="CN291" s="1056"/>
      <c r="CO291" s="1056"/>
      <c r="CP291" s="1056"/>
      <c r="CQ291" s="1056"/>
      <c r="CR291" s="1056"/>
      <c r="CS291" s="1056"/>
      <c r="CT291" s="1056"/>
      <c r="CU291" s="1056"/>
      <c r="CV291" s="1056"/>
      <c r="CW291" s="1056"/>
      <c r="CX291" s="1056"/>
      <c r="CY291" s="1056"/>
      <c r="CZ291" s="1056"/>
      <c r="DA291" s="1056"/>
      <c r="DB291" s="1056"/>
      <c r="DC291" s="1056"/>
      <c r="DD291" s="1056"/>
      <c r="DE291" s="1056"/>
      <c r="DF291" s="1056"/>
      <c r="DG291" s="1056"/>
      <c r="DH291" s="1056"/>
      <c r="DI291" s="1056"/>
      <c r="DJ291" s="1056"/>
      <c r="DK291" s="1056"/>
      <c r="DL291" s="1056"/>
      <c r="DM291" s="1056"/>
      <c r="DN291" s="1056"/>
      <c r="DO291" s="1056"/>
      <c r="DP291" s="1056"/>
      <c r="DQ291" s="960"/>
      <c r="DR291" s="960"/>
      <c r="DS291" s="960"/>
      <c r="DT291" s="960"/>
      <c r="DU291" s="960"/>
      <c r="DV291" s="960"/>
      <c r="DW291" s="960"/>
      <c r="DX291" s="960"/>
      <c r="DY291" s="960"/>
      <c r="DZ291" s="960"/>
      <c r="EA291" s="960"/>
      <c r="EB291" s="960"/>
      <c r="EC291" s="960"/>
      <c r="ED291" s="960"/>
      <c r="EE291" s="960"/>
      <c r="EF291" s="960"/>
      <c r="EH291" s="47"/>
      <c r="EI291" s="47"/>
      <c r="EJ291" s="47"/>
      <c r="EK291" s="47"/>
      <c r="EL291" s="47"/>
      <c r="EM291" s="47"/>
      <c r="EN291" s="47"/>
      <c r="EO291" s="47"/>
      <c r="EP291" s="47"/>
      <c r="EQ291" s="47"/>
      <c r="ER291" s="47"/>
      <c r="ES291" s="47"/>
    </row>
    <row r="292" spans="1:149">
      <c r="A292" s="867"/>
      <c r="C292" s="17" t="s">
        <v>816</v>
      </c>
      <c r="D292" s="18" t="s">
        <v>35</v>
      </c>
      <c r="E292" s="1050"/>
      <c r="F292" s="1050"/>
      <c r="G292" s="1050"/>
      <c r="H292" s="1050"/>
      <c r="I292" s="1050"/>
      <c r="J292" s="1050"/>
      <c r="K292" s="1050"/>
      <c r="L292" s="1050"/>
      <c r="M292" s="1050"/>
      <c r="N292" s="1050"/>
      <c r="O292" s="1050"/>
      <c r="P292" s="1050"/>
      <c r="Q292" s="1049">
        <f t="shared" ref="Q292:AN292" si="1251">+SUM(F111:Q111)/AVERAGE(F166:Q166)</f>
        <v>0.39891204909690303</v>
      </c>
      <c r="R292" s="1049">
        <f t="shared" si="1251"/>
        <v>0.39266941852362286</v>
      </c>
      <c r="S292" s="1049">
        <f t="shared" si="1251"/>
        <v>0.36223159411007172</v>
      </c>
      <c r="T292" s="1049">
        <f t="shared" si="1251"/>
        <v>0.31233630391311101</v>
      </c>
      <c r="U292" s="1049">
        <f t="shared" si="1251"/>
        <v>0.31151028336574327</v>
      </c>
      <c r="V292" s="1049">
        <f t="shared" si="1251"/>
        <v>0.33107112099089975</v>
      </c>
      <c r="W292" s="1049">
        <f t="shared" si="1251"/>
        <v>0.32131835250652929</v>
      </c>
      <c r="X292" s="1049">
        <f t="shared" si="1251"/>
        <v>0.30037262119179448</v>
      </c>
      <c r="Y292" s="1049">
        <f t="shared" si="1251"/>
        <v>0.24149997519849054</v>
      </c>
      <c r="Z292" s="1049">
        <f t="shared" si="1251"/>
        <v>0.21263313201741893</v>
      </c>
      <c r="AA292" s="1049">
        <f t="shared" si="1251"/>
        <v>0.23639643764323801</v>
      </c>
      <c r="AB292" s="1049">
        <f t="shared" si="1251"/>
        <v>0.34453696004534079</v>
      </c>
      <c r="AC292" s="1049">
        <f t="shared" si="1251"/>
        <v>0.32915574787020591</v>
      </c>
      <c r="AD292" s="1049">
        <f t="shared" si="1251"/>
        <v>0.34680158081538243</v>
      </c>
      <c r="AE292" s="1049">
        <f t="shared" si="1251"/>
        <v>0.36016106049600799</v>
      </c>
      <c r="AF292" s="1049">
        <f t="shared" si="1251"/>
        <v>0.40073804376064431</v>
      </c>
      <c r="AG292" s="1049">
        <f t="shared" si="1251"/>
        <v>0.36224368743477248</v>
      </c>
      <c r="AH292" s="1049">
        <f t="shared" si="1251"/>
        <v>0.33039119306083314</v>
      </c>
      <c r="AI292" s="1049">
        <f t="shared" si="1251"/>
        <v>0.31478900889665457</v>
      </c>
      <c r="AJ292" s="1049">
        <f t="shared" si="1251"/>
        <v>0.29916192407414693</v>
      </c>
      <c r="AK292" s="1049">
        <f t="shared" si="1251"/>
        <v>0.3363889338575487</v>
      </c>
      <c r="AL292" s="1049">
        <f t="shared" si="1251"/>
        <v>0.35856357546492257</v>
      </c>
      <c r="AM292" s="1049">
        <f t="shared" si="1251"/>
        <v>0.37962913480698385</v>
      </c>
      <c r="AN292" s="1049">
        <f t="shared" si="1251"/>
        <v>0.28082329697103275</v>
      </c>
      <c r="AO292" s="1029">
        <v>0.32092922290174386</v>
      </c>
      <c r="AP292" s="1029">
        <v>0.24545097257437304</v>
      </c>
      <c r="AQ292" s="1029">
        <v>0.22733883543570385</v>
      </c>
      <c r="AR292" s="1029">
        <v>0.17090152933962255</v>
      </c>
      <c r="AS292" s="1029">
        <v>0.13108560202009592</v>
      </c>
      <c r="AT292" s="1029">
        <v>9.5955859060312163E-2</v>
      </c>
      <c r="AU292" s="1029">
        <v>9.017727953330322E-2</v>
      </c>
      <c r="AV292" s="1029">
        <v>7.2491430093603426E-2</v>
      </c>
      <c r="AW292" s="1029">
        <v>4.7766553807969507E-2</v>
      </c>
      <c r="AX292" s="1029">
        <v>-2.3123378524454605E-2</v>
      </c>
      <c r="AY292" s="1029">
        <v>-0.13036676667999847</v>
      </c>
      <c r="AZ292" s="1029">
        <v>-0.15336597409448338</v>
      </c>
      <c r="BA292" s="1029">
        <v>-0.43663154761355788</v>
      </c>
      <c r="BB292" s="1029">
        <v>-0.46786772388641612</v>
      </c>
      <c r="BC292" s="1029">
        <v>-0.4736177179073523</v>
      </c>
      <c r="BD292" s="1029">
        <v>-0.4901259748951019</v>
      </c>
      <c r="BE292" s="940">
        <v>-0.48972258889164944</v>
      </c>
      <c r="BF292" s="940">
        <v>-0.53717197984882226</v>
      </c>
      <c r="BG292" s="940">
        <v>-0.5665233641122791</v>
      </c>
      <c r="BH292" s="940">
        <v>-0.58766216850387165</v>
      </c>
      <c r="BI292" s="940">
        <v>-0.55364979995564756</v>
      </c>
      <c r="BJ292" s="940">
        <v>-0.54926345188853587</v>
      </c>
      <c r="BK292" s="1029">
        <v>-0.47011661083443007</v>
      </c>
      <c r="BL292" s="113">
        <v>-0.47818335521001171</v>
      </c>
      <c r="BM292" s="113"/>
      <c r="BN292" s="113"/>
      <c r="BO292" s="113"/>
      <c r="BP292" s="1029"/>
      <c r="BQ292" s="940"/>
      <c r="BR292" s="940"/>
      <c r="BS292" s="940"/>
      <c r="BT292" s="940"/>
      <c r="BU292" s="940"/>
      <c r="BV292" s="940"/>
      <c r="BW292" s="1029"/>
      <c r="BX292" s="1029"/>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c r="CZ292" s="113"/>
      <c r="DA292" s="113"/>
      <c r="DB292" s="113"/>
      <c r="DC292" s="113"/>
      <c r="DD292" s="113"/>
      <c r="DE292" s="113"/>
      <c r="DF292" s="113"/>
      <c r="DG292" s="113"/>
      <c r="DH292" s="113"/>
      <c r="DI292" s="113"/>
      <c r="DJ292" s="113"/>
      <c r="DK292" s="113"/>
      <c r="DL292" s="113"/>
      <c r="DM292" s="113"/>
      <c r="DN292" s="113"/>
      <c r="DO292" s="113"/>
      <c r="DP292" s="113"/>
      <c r="DQ292" s="940"/>
      <c r="DR292" s="940"/>
      <c r="DS292" s="940"/>
      <c r="DT292" s="940"/>
      <c r="DU292" s="940"/>
      <c r="DV292" s="940"/>
      <c r="DW292" s="940"/>
      <c r="DX292" s="940"/>
      <c r="DY292" s="940"/>
      <c r="DZ292" s="940"/>
      <c r="EA292" s="940"/>
      <c r="EB292" s="940"/>
      <c r="EC292" s="940"/>
      <c r="ED292" s="940"/>
      <c r="EE292" s="940"/>
      <c r="EF292" s="940"/>
    </row>
    <row r="293" spans="1:149">
      <c r="A293" s="867"/>
      <c r="C293" s="186" t="s">
        <v>817</v>
      </c>
      <c r="D293" s="191" t="s">
        <v>35</v>
      </c>
      <c r="E293" s="1052"/>
      <c r="F293" s="1052"/>
      <c r="G293" s="1052"/>
      <c r="H293" s="1052"/>
      <c r="I293" s="1052"/>
      <c r="J293" s="1052"/>
      <c r="K293" s="1052"/>
      <c r="L293" s="1052"/>
      <c r="M293" s="1052"/>
      <c r="N293" s="1052"/>
      <c r="O293" s="1052"/>
      <c r="P293" s="1052"/>
      <c r="Q293" s="1051">
        <f t="shared" ref="Q293:AN293" si="1252">+SUM(F111:Q111)/AVERAGE(F204:Q204)</f>
        <v>0.66112021232582496</v>
      </c>
      <c r="R293" s="1051">
        <f t="shared" si="1252"/>
        <v>0.64518565799126859</v>
      </c>
      <c r="S293" s="1051">
        <f t="shared" si="1252"/>
        <v>0.58826077180037928</v>
      </c>
      <c r="T293" s="1051">
        <f t="shared" si="1252"/>
        <v>0.50326948257074489</v>
      </c>
      <c r="U293" s="1051">
        <f t="shared" si="1252"/>
        <v>0.49807752140582973</v>
      </c>
      <c r="V293" s="1051">
        <f t="shared" si="1252"/>
        <v>0.52500121561435598</v>
      </c>
      <c r="W293" s="1051">
        <f t="shared" si="1252"/>
        <v>0.50325987423237184</v>
      </c>
      <c r="X293" s="1051">
        <f t="shared" si="1252"/>
        <v>0.46619174971816568</v>
      </c>
      <c r="Y293" s="1051">
        <f t="shared" si="1252"/>
        <v>0.3860831165800358</v>
      </c>
      <c r="Z293" s="1051">
        <f t="shared" si="1252"/>
        <v>0.33893763884732708</v>
      </c>
      <c r="AA293" s="1051">
        <f t="shared" si="1252"/>
        <v>0.3766546477043497</v>
      </c>
      <c r="AB293" s="1051">
        <f t="shared" si="1252"/>
        <v>0.54625457343208195</v>
      </c>
      <c r="AC293" s="1051">
        <f t="shared" si="1252"/>
        <v>0.51790686245954975</v>
      </c>
      <c r="AD293" s="1051">
        <f t="shared" si="1252"/>
        <v>0.54218173130525982</v>
      </c>
      <c r="AE293" s="1051">
        <f t="shared" si="1252"/>
        <v>0.57713553926442662</v>
      </c>
      <c r="AF293" s="1051">
        <f t="shared" si="1252"/>
        <v>0.64690551956688425</v>
      </c>
      <c r="AG293" s="1051">
        <f t="shared" si="1252"/>
        <v>0.58896376411196527</v>
      </c>
      <c r="AH293" s="1051">
        <f t="shared" si="1252"/>
        <v>0.54068670240456684</v>
      </c>
      <c r="AI293" s="1051">
        <f t="shared" si="1252"/>
        <v>0.5194890806025958</v>
      </c>
      <c r="AJ293" s="1051">
        <f t="shared" si="1252"/>
        <v>0.49959713271604961</v>
      </c>
      <c r="AK293" s="1051">
        <f t="shared" si="1252"/>
        <v>0.56880053990788526</v>
      </c>
      <c r="AL293" s="1051">
        <f t="shared" si="1252"/>
        <v>0.61405510872694946</v>
      </c>
      <c r="AM293" s="1051">
        <f t="shared" si="1252"/>
        <v>0.66451080349080127</v>
      </c>
      <c r="AN293" s="1051">
        <f t="shared" si="1252"/>
        <v>0.49959058669746248</v>
      </c>
      <c r="AO293" s="233">
        <v>0.57573724829164585</v>
      </c>
      <c r="AP293" s="233">
        <v>0.4506349172281347</v>
      </c>
      <c r="AQ293" s="233">
        <v>0.41339963441349697</v>
      </c>
      <c r="AR293" s="233">
        <v>0.30898955687826102</v>
      </c>
      <c r="AS293" s="233">
        <v>0.23638261367537966</v>
      </c>
      <c r="AT293" s="233">
        <v>0.17401000111124226</v>
      </c>
      <c r="AU293" s="233">
        <v>0.16437781434539203</v>
      </c>
      <c r="AV293" s="233">
        <v>0.13240467158349031</v>
      </c>
      <c r="AW293" s="233">
        <v>8.7595273026594589E-2</v>
      </c>
      <c r="AX293" s="233">
        <v>-4.2901116688958969E-2</v>
      </c>
      <c r="AY293" s="233">
        <v>-0.24318706847950211</v>
      </c>
      <c r="AZ293" s="233">
        <v>-0.28962854839723357</v>
      </c>
      <c r="BA293" s="233">
        <v>-0.83844336182261991</v>
      </c>
      <c r="BB293" s="233">
        <v>-0.90875038683770226</v>
      </c>
      <c r="BC293" s="233">
        <v>-0.93933430194155965</v>
      </c>
      <c r="BD293" s="233">
        <v>-0.98951614981615732</v>
      </c>
      <c r="BE293" s="941">
        <v>-0.9995755847088279</v>
      </c>
      <c r="BF293" s="941">
        <v>-1.1157236622954501</v>
      </c>
      <c r="BG293" s="941">
        <v>-1.2001956595353573</v>
      </c>
      <c r="BH293" s="941">
        <v>-1.268336874458714</v>
      </c>
      <c r="BI293" s="941">
        <v>-1.2043549980199761</v>
      </c>
      <c r="BJ293" s="941">
        <v>-1.2039867136121081</v>
      </c>
      <c r="BK293" s="233">
        <v>-1.0307436294873478</v>
      </c>
      <c r="BL293" s="236">
        <v>-1.0560992653006787</v>
      </c>
      <c r="BM293" s="236"/>
      <c r="BN293" s="236"/>
      <c r="BO293" s="236"/>
      <c r="BP293" s="233"/>
      <c r="BQ293" s="941"/>
      <c r="BR293" s="941"/>
      <c r="BS293" s="941"/>
      <c r="BT293" s="941"/>
      <c r="BU293" s="941"/>
      <c r="BV293" s="941"/>
      <c r="BW293" s="233"/>
      <c r="BX293" s="233"/>
      <c r="BY293" s="236"/>
      <c r="BZ293" s="236"/>
      <c r="CA293" s="236"/>
      <c r="CB293" s="236"/>
      <c r="CC293" s="236"/>
      <c r="CD293" s="236"/>
      <c r="CE293" s="236"/>
      <c r="CF293" s="236"/>
      <c r="CG293" s="236"/>
      <c r="CH293" s="236"/>
      <c r="CI293" s="236"/>
      <c r="CJ293" s="236"/>
      <c r="CK293" s="236"/>
      <c r="CL293" s="236"/>
      <c r="CM293" s="236"/>
      <c r="CN293" s="236"/>
      <c r="CO293" s="236"/>
      <c r="CP293" s="236"/>
      <c r="CQ293" s="236"/>
      <c r="CR293" s="236"/>
      <c r="CS293" s="236"/>
      <c r="CT293" s="236"/>
      <c r="CU293" s="236"/>
      <c r="CV293" s="236"/>
      <c r="CW293" s="236"/>
      <c r="CX293" s="236"/>
      <c r="CY293" s="236"/>
      <c r="CZ293" s="236"/>
      <c r="DA293" s="236"/>
      <c r="DB293" s="236"/>
      <c r="DC293" s="236"/>
      <c r="DD293" s="236"/>
      <c r="DE293" s="236"/>
      <c r="DF293" s="236"/>
      <c r="DG293" s="236"/>
      <c r="DH293" s="236"/>
      <c r="DI293" s="236"/>
      <c r="DJ293" s="236"/>
      <c r="DK293" s="236"/>
      <c r="DL293" s="236"/>
      <c r="DM293" s="236"/>
      <c r="DN293" s="236"/>
      <c r="DO293" s="236"/>
      <c r="DP293" s="236"/>
      <c r="DQ293" s="941"/>
      <c r="DR293" s="941"/>
      <c r="DS293" s="941"/>
      <c r="DT293" s="941"/>
      <c r="DU293" s="941"/>
      <c r="DV293" s="941"/>
      <c r="DW293" s="941"/>
      <c r="DX293" s="941"/>
      <c r="DY293" s="941"/>
      <c r="DZ293" s="941"/>
      <c r="EA293" s="941"/>
      <c r="EB293" s="941"/>
      <c r="EC293" s="941"/>
      <c r="ED293" s="941"/>
      <c r="EE293" s="941"/>
      <c r="EF293" s="941"/>
      <c r="EH293" s="186"/>
      <c r="EI293" s="186"/>
      <c r="EJ293" s="186"/>
      <c r="EK293" s="186"/>
      <c r="EL293" s="186"/>
      <c r="EM293" s="186"/>
      <c r="EN293" s="186"/>
      <c r="EO293" s="186"/>
      <c r="EP293" s="186"/>
      <c r="EQ293" s="186"/>
      <c r="ER293" s="186"/>
      <c r="ES293" s="186"/>
    </row>
    <row r="294" spans="1:149">
      <c r="A294" s="867"/>
      <c r="D294" s="31"/>
      <c r="BK294" s="1029"/>
      <c r="BW294" s="1029"/>
      <c r="BX294" s="1029"/>
      <c r="DQ294" s="963"/>
      <c r="DR294" s="963"/>
      <c r="DS294" s="963"/>
      <c r="DT294" s="963"/>
      <c r="DU294" s="963"/>
      <c r="DV294" s="963"/>
      <c r="DW294" s="963"/>
      <c r="DX294" s="963"/>
      <c r="DY294" s="963"/>
      <c r="DZ294" s="963"/>
      <c r="EA294" s="963"/>
      <c r="EB294" s="963"/>
      <c r="EC294" s="963"/>
      <c r="ED294" s="963"/>
      <c r="EE294" s="963"/>
      <c r="EF294" s="963"/>
    </row>
    <row r="295" spans="1:149">
      <c r="A295" s="917" t="s">
        <v>618</v>
      </c>
      <c r="C295" s="25" t="s">
        <v>818</v>
      </c>
      <c r="D295" s="31"/>
      <c r="DQ295" s="963"/>
      <c r="DR295" s="963"/>
      <c r="DS295" s="963"/>
      <c r="DT295" s="963"/>
      <c r="DU295" s="963"/>
      <c r="DV295" s="963"/>
      <c r="DW295" s="963"/>
      <c r="DX295" s="963"/>
      <c r="DY295" s="963"/>
      <c r="DZ295" s="963"/>
      <c r="EA295" s="963"/>
      <c r="EB295" s="963"/>
      <c r="EC295" s="963"/>
      <c r="ED295" s="963"/>
      <c r="EE295" s="963"/>
      <c r="EF295" s="963"/>
    </row>
    <row r="296" spans="1:149">
      <c r="A296" s="867"/>
      <c r="C296" s="29"/>
      <c r="D296" s="31"/>
      <c r="DQ296" s="963"/>
      <c r="DR296" s="963"/>
      <c r="DS296" s="963"/>
      <c r="DT296" s="963"/>
      <c r="DU296" s="963"/>
      <c r="DV296" s="963"/>
      <c r="DW296" s="963"/>
      <c r="DX296" s="963"/>
      <c r="DY296" s="963"/>
      <c r="DZ296" s="963"/>
      <c r="EA296" s="963"/>
      <c r="EB296" s="963"/>
      <c r="EC296" s="963"/>
      <c r="ED296" s="963"/>
      <c r="EE296" s="963"/>
      <c r="EF296" s="963"/>
    </row>
    <row r="297" spans="1:149">
      <c r="C297" s="47" t="s">
        <v>819</v>
      </c>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961">
        <f t="shared" ref="BA297:DH297" si="1253">+(BA121/SUM(AP11:BA11))*360</f>
        <v>135.72699392895615</v>
      </c>
      <c r="BB297" s="961">
        <f t="shared" si="1253"/>
        <v>121.71543504252485</v>
      </c>
      <c r="BC297" s="961">
        <f t="shared" si="1253"/>
        <v>106.6251575159455</v>
      </c>
      <c r="BD297" s="961">
        <f t="shared" si="1253"/>
        <v>76.31823869143787</v>
      </c>
      <c r="BE297" s="961">
        <f t="shared" si="1253"/>
        <v>96.659606524810457</v>
      </c>
      <c r="BF297" s="961">
        <f t="shared" si="1253"/>
        <v>106.84258416429093</v>
      </c>
      <c r="BG297" s="961">
        <f>+(BG121/SUM(AV11:BG11))*360</f>
        <v>130.95256232453906</v>
      </c>
      <c r="BH297" s="961">
        <f t="shared" si="1253"/>
        <v>154.7342806813966</v>
      </c>
      <c r="BI297" s="961">
        <f t="shared" si="1253"/>
        <v>179.7285082365656</v>
      </c>
      <c r="BJ297" s="961">
        <f t="shared" si="1253"/>
        <v>225.40742884804322</v>
      </c>
      <c r="BK297" s="961">
        <f t="shared" si="1253"/>
        <v>281.28832254982268</v>
      </c>
      <c r="BL297" s="961">
        <f t="shared" si="1253"/>
        <v>264.38138561643837</v>
      </c>
      <c r="BM297" s="961">
        <f t="shared" si="1253"/>
        <v>268.39086065730032</v>
      </c>
      <c r="BN297" s="961">
        <f t="shared" si="1253"/>
        <v>235.35647388381921</v>
      </c>
      <c r="BO297" s="961">
        <f t="shared" si="1253"/>
        <v>240.88650536540359</v>
      </c>
      <c r="BP297" s="961">
        <f t="shared" si="1253"/>
        <v>227.20245659013099</v>
      </c>
      <c r="BQ297" s="961">
        <f t="shared" si="1253"/>
        <v>178.88681359937203</v>
      </c>
      <c r="BR297" s="961">
        <f t="shared" si="1253"/>
        <v>164.73645106546795</v>
      </c>
      <c r="BS297" s="961">
        <f t="shared" si="1253"/>
        <v>165.04323576714623</v>
      </c>
      <c r="BT297" s="961">
        <f t="shared" si="1253"/>
        <v>164.0387608415231</v>
      </c>
      <c r="BU297" s="961">
        <f t="shared" si="1253"/>
        <v>156.13830472235355</v>
      </c>
      <c r="BV297" s="961">
        <f t="shared" si="1253"/>
        <v>134.08643926726106</v>
      </c>
      <c r="BW297" s="961">
        <f t="shared" si="1253"/>
        <v>134.75438369101457</v>
      </c>
      <c r="BX297" s="961">
        <f t="shared" si="1253"/>
        <v>104.23610302047081</v>
      </c>
      <c r="BY297" s="961">
        <f t="shared" si="1253"/>
        <v>113.99254762176029</v>
      </c>
      <c r="BZ297" s="961">
        <f t="shared" si="1253"/>
        <v>101.09596929075788</v>
      </c>
      <c r="CA297" s="961">
        <f t="shared" si="1253"/>
        <v>100.37309889492558</v>
      </c>
      <c r="CB297" s="961">
        <f t="shared" si="1253"/>
        <v>88.344893166354638</v>
      </c>
      <c r="CC297" s="961">
        <f t="shared" si="1253"/>
        <v>67.323634805040086</v>
      </c>
      <c r="CD297" s="961">
        <f t="shared" si="1253"/>
        <v>77.561914696781344</v>
      </c>
      <c r="CE297" s="961">
        <f t="shared" si="1253"/>
        <v>84.363782943796792</v>
      </c>
      <c r="CF297" s="961">
        <f t="shared" si="1253"/>
        <v>79.253913986259192</v>
      </c>
      <c r="CG297" s="961">
        <f t="shared" si="1253"/>
        <v>93.05902630469997</v>
      </c>
      <c r="CH297" s="961">
        <f t="shared" si="1253"/>
        <v>117.9045756831439</v>
      </c>
      <c r="CI297" s="961">
        <f t="shared" si="1253"/>
        <v>126.88705649862992</v>
      </c>
      <c r="CJ297" s="961">
        <f t="shared" si="1253"/>
        <v>115.88299501170471</v>
      </c>
      <c r="CK297" s="961">
        <f t="shared" si="1253"/>
        <v>129.83049807695576</v>
      </c>
      <c r="CL297" s="961">
        <f t="shared" si="1253"/>
        <v>105.47955426047416</v>
      </c>
      <c r="CM297" s="961">
        <f t="shared" si="1253"/>
        <v>104.27981352890158</v>
      </c>
      <c r="CN297" s="961">
        <f t="shared" si="1253"/>
        <v>105.50451059178388</v>
      </c>
      <c r="CO297" s="961">
        <f t="shared" si="1253"/>
        <v>91.024029906365712</v>
      </c>
      <c r="CP297" s="961">
        <f t="shared" si="1253"/>
        <v>78.748157371108505</v>
      </c>
      <c r="CQ297" s="961">
        <f t="shared" si="1253"/>
        <v>84.421929768647658</v>
      </c>
      <c r="CR297" s="961">
        <f t="shared" si="1253"/>
        <v>73.333439299060288</v>
      </c>
      <c r="CS297" s="961">
        <f t="shared" si="1253"/>
        <v>71.933238690905497</v>
      </c>
      <c r="CT297" s="961">
        <f t="shared" si="1253"/>
        <v>90.78024943767916</v>
      </c>
      <c r="CU297" s="961">
        <f t="shared" si="1253"/>
        <v>91.170206602895647</v>
      </c>
      <c r="CV297" s="961">
        <f t="shared" si="1253"/>
        <v>76.26574299998525</v>
      </c>
      <c r="CW297" s="961">
        <f t="shared" si="1253"/>
        <v>75.657775007027041</v>
      </c>
      <c r="CX297" s="961">
        <f t="shared" si="1253"/>
        <v>85.845456998700584</v>
      </c>
      <c r="CY297" s="961">
        <f t="shared" si="1253"/>
        <v>110.75240583549085</v>
      </c>
      <c r="CZ297" s="961">
        <f t="shared" si="1253"/>
        <v>70.802911596617605</v>
      </c>
      <c r="DA297" s="961">
        <f t="shared" si="1253"/>
        <v>45.933557631234798</v>
      </c>
      <c r="DB297" s="961">
        <f t="shared" si="1253"/>
        <v>24.609219081052675</v>
      </c>
      <c r="DC297" s="961">
        <f t="shared" si="1253"/>
        <v>22.54920106975667</v>
      </c>
      <c r="DD297" s="961">
        <f t="shared" si="1253"/>
        <v>45.57851671815574</v>
      </c>
      <c r="DE297" s="961">
        <f t="shared" si="1253"/>
        <v>66.773381231235035</v>
      </c>
      <c r="DF297" s="961">
        <f t="shared" si="1253"/>
        <v>78.612535825541229</v>
      </c>
      <c r="DG297" s="961">
        <f t="shared" si="1253"/>
        <v>84.170745183283302</v>
      </c>
      <c r="DH297" s="961">
        <f t="shared" si="1253"/>
        <v>73.872031323934195</v>
      </c>
      <c r="DI297" s="961">
        <f t="shared" ref="DI297:EF297" si="1254">+(DI121/SUM(CX11:DI11))*360</f>
        <v>87.147707036600934</v>
      </c>
      <c r="DJ297" s="961">
        <f t="shared" si="1254"/>
        <v>72.723819697115871</v>
      </c>
      <c r="DK297" s="961">
        <f t="shared" si="1254"/>
        <v>80.378566440361766</v>
      </c>
      <c r="DL297" s="961">
        <f t="shared" si="1254"/>
        <v>96.525473556211509</v>
      </c>
      <c r="DM297" s="961">
        <f t="shared" si="1254"/>
        <v>105.52713766284108</v>
      </c>
      <c r="DN297" s="961">
        <f t="shared" si="1254"/>
        <v>95.31102350832505</v>
      </c>
      <c r="DO297" s="961">
        <f t="shared" si="1254"/>
        <v>93.239517158544771</v>
      </c>
      <c r="DP297" s="961">
        <f t="shared" si="1254"/>
        <v>97.623607058794889</v>
      </c>
      <c r="DQ297" s="961">
        <f t="shared" si="1254"/>
        <v>92.319055166821599</v>
      </c>
      <c r="DR297" s="961">
        <f t="shared" si="1254"/>
        <v>81.800140960562175</v>
      </c>
      <c r="DS297" s="961">
        <f t="shared" si="1254"/>
        <v>95.992363408768298</v>
      </c>
      <c r="DT297" s="961">
        <f t="shared" si="1254"/>
        <v>97.983172281401224</v>
      </c>
      <c r="DU297" s="961">
        <f t="shared" si="1254"/>
        <v>116.68008006770066</v>
      </c>
      <c r="DV297" s="961">
        <f t="shared" si="1254"/>
        <v>84.548981636378912</v>
      </c>
      <c r="DW297" s="961">
        <f t="shared" si="1254"/>
        <v>72.695082163462644</v>
      </c>
      <c r="DX297" s="961">
        <f t="shared" si="1254"/>
        <v>80.132228545283255</v>
      </c>
      <c r="DY297" s="961">
        <f t="shared" si="1254"/>
        <v>65.290830814377628</v>
      </c>
      <c r="DZ297" s="961">
        <f t="shared" si="1254"/>
        <v>61.296696078635328</v>
      </c>
      <c r="EA297" s="961">
        <f t="shared" si="1254"/>
        <v>77.91916446923166</v>
      </c>
      <c r="EB297" s="961">
        <f t="shared" si="1254"/>
        <v>73.164328605653722</v>
      </c>
      <c r="EC297" s="961">
        <f t="shared" si="1254"/>
        <v>90.358020923639785</v>
      </c>
      <c r="ED297" s="961">
        <f t="shared" si="1254"/>
        <v>102.39166917489162</v>
      </c>
      <c r="EE297" s="961">
        <f t="shared" si="1254"/>
        <v>113.82432131523377</v>
      </c>
      <c r="EF297" s="961">
        <f t="shared" si="1254"/>
        <v>98.270058465022103</v>
      </c>
    </row>
    <row r="298" spans="1:149">
      <c r="C298" s="186" t="s">
        <v>820</v>
      </c>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027"/>
      <c r="AR298" s="186"/>
      <c r="AS298" s="186"/>
      <c r="AT298" s="186"/>
      <c r="AU298" s="186"/>
      <c r="AV298" s="186"/>
      <c r="AW298" s="186"/>
      <c r="AX298" s="186"/>
      <c r="AY298" s="186"/>
      <c r="AZ298" s="186"/>
      <c r="BA298" s="1043">
        <f t="shared" ref="BA298:CF298" si="1255">+(BA123/-SUM(AP21:BA21))*360</f>
        <v>11.018231710273083</v>
      </c>
      <c r="BB298" s="1043">
        <f t="shared" si="1255"/>
        <v>12.024481884541537</v>
      </c>
      <c r="BC298" s="1043">
        <f t="shared" si="1255"/>
        <v>12.835481398130398</v>
      </c>
      <c r="BD298" s="1043">
        <f t="shared" si="1255"/>
        <v>13.635543415647765</v>
      </c>
      <c r="BE298" s="1043">
        <f t="shared" si="1255"/>
        <v>15.697713360007853</v>
      </c>
      <c r="BF298" s="1043">
        <f t="shared" si="1255"/>
        <v>16.279366586256042</v>
      </c>
      <c r="BG298" s="1043">
        <f t="shared" si="1255"/>
        <v>17.227805320734038</v>
      </c>
      <c r="BH298" s="1043">
        <f t="shared" si="1255"/>
        <v>18.256917380444996</v>
      </c>
      <c r="BI298" s="1043">
        <f t="shared" si="1255"/>
        <v>21.946554983332316</v>
      </c>
      <c r="BJ298" s="1043">
        <f t="shared" si="1255"/>
        <v>22.888599141881837</v>
      </c>
      <c r="BK298" s="1043">
        <f t="shared" si="1255"/>
        <v>23.415257352039589</v>
      </c>
      <c r="BL298" s="1043">
        <f t="shared" si="1255"/>
        <v>24.407964784194977</v>
      </c>
      <c r="BM298" s="1043">
        <f t="shared" si="1255"/>
        <v>24.786163954571872</v>
      </c>
      <c r="BN298" s="1043">
        <f t="shared" si="1255"/>
        <v>23.6799122651754</v>
      </c>
      <c r="BO298" s="1043">
        <f t="shared" si="1255"/>
        <v>21.023607037218049</v>
      </c>
      <c r="BP298" s="1043">
        <f t="shared" si="1255"/>
        <v>21.279602377334186</v>
      </c>
      <c r="BQ298" s="1043">
        <f t="shared" si="1255"/>
        <v>22.879079707350041</v>
      </c>
      <c r="BR298" s="1043">
        <f t="shared" si="1255"/>
        <v>24.433313670995741</v>
      </c>
      <c r="BS298" s="1043">
        <f t="shared" si="1255"/>
        <v>20.811763900512268</v>
      </c>
      <c r="BT298" s="1043">
        <f t="shared" si="1255"/>
        <v>20.342037995137943</v>
      </c>
      <c r="BU298" s="1043">
        <f t="shared" si="1255"/>
        <v>21.848533053436558</v>
      </c>
      <c r="BV298" s="1043">
        <f t="shared" si="1255"/>
        <v>22.970549942322762</v>
      </c>
      <c r="BW298" s="1043">
        <f t="shared" si="1255"/>
        <v>23.762638436681392</v>
      </c>
      <c r="BX298" s="1043">
        <f t="shared" si="1255"/>
        <v>25.2656811870052</v>
      </c>
      <c r="BY298" s="1043">
        <f t="shared" si="1255"/>
        <v>23.849494406884489</v>
      </c>
      <c r="BZ298" s="1043">
        <f t="shared" si="1255"/>
        <v>24.647820013623864</v>
      </c>
      <c r="CA298" s="1043">
        <f t="shared" si="1255"/>
        <v>23.374330362226676</v>
      </c>
      <c r="CB298" s="1043">
        <f t="shared" si="1255"/>
        <v>23.835788567580462</v>
      </c>
      <c r="CC298" s="1043">
        <f t="shared" si="1255"/>
        <v>23.730824423970795</v>
      </c>
      <c r="CD298" s="1043">
        <f t="shared" si="1255"/>
        <v>23.566021525820016</v>
      </c>
      <c r="CE298" s="1043">
        <f t="shared" si="1255"/>
        <v>24.395896714853954</v>
      </c>
      <c r="CF298" s="1043">
        <f t="shared" si="1255"/>
        <v>24.725198255083072</v>
      </c>
      <c r="CG298" s="1043">
        <f t="shared" ref="CG298:DH298" si="1256">+(CG123/-SUM(BV21:CG21))*360</f>
        <v>25.860701428333151</v>
      </c>
      <c r="CH298" s="1043">
        <f t="shared" si="1256"/>
        <v>26.21672911894759</v>
      </c>
      <c r="CI298" s="1043">
        <f t="shared" si="1256"/>
        <v>24.593399188996205</v>
      </c>
      <c r="CJ298" s="1043">
        <f t="shared" si="1256"/>
        <v>25.246471430477541</v>
      </c>
      <c r="CK298" s="1043">
        <f t="shared" si="1256"/>
        <v>25.114264592472715</v>
      </c>
      <c r="CL298" s="1043">
        <f t="shared" si="1256"/>
        <v>25.096266236637778</v>
      </c>
      <c r="CM298" s="1043">
        <f t="shared" si="1256"/>
        <v>24.241369209303716</v>
      </c>
      <c r="CN298" s="1043">
        <f t="shared" si="1256"/>
        <v>22.393228118805393</v>
      </c>
      <c r="CO298" s="1043">
        <f t="shared" si="1256"/>
        <v>22.959858182812059</v>
      </c>
      <c r="CP298" s="1043">
        <f t="shared" si="1256"/>
        <v>21.86379907639266</v>
      </c>
      <c r="CQ298" s="1043">
        <f t="shared" si="1256"/>
        <v>23.416285543306746</v>
      </c>
      <c r="CR298" s="1043">
        <f t="shared" si="1256"/>
        <v>24.026018321335393</v>
      </c>
      <c r="CS298" s="1043">
        <f t="shared" si="1256"/>
        <v>23.913757979359541</v>
      </c>
      <c r="CT298" s="1043">
        <f t="shared" si="1256"/>
        <v>24.212574442825577</v>
      </c>
      <c r="CU298" s="1043">
        <f t="shared" si="1256"/>
        <v>22.632884079872085</v>
      </c>
      <c r="CV298" s="1043">
        <f t="shared" si="1256"/>
        <v>23.197958546947891</v>
      </c>
      <c r="CW298" s="1043">
        <f t="shared" si="1256"/>
        <v>23.675587406745482</v>
      </c>
      <c r="CX298" s="1043">
        <f t="shared" si="1256"/>
        <v>23.839084097220216</v>
      </c>
      <c r="CY298" s="1043">
        <f t="shared" si="1256"/>
        <v>25.08169306512805</v>
      </c>
      <c r="CZ298" s="1043">
        <f t="shared" si="1256"/>
        <v>26.675519086872594</v>
      </c>
      <c r="DA298" s="1043">
        <f t="shared" si="1256"/>
        <v>28.30661798580886</v>
      </c>
      <c r="DB298" s="1043">
        <f t="shared" si="1256"/>
        <v>29.962082886687053</v>
      </c>
      <c r="DC298" s="1043">
        <f t="shared" si="1256"/>
        <v>32.566592021474712</v>
      </c>
      <c r="DD298" s="1043">
        <f t="shared" si="1256"/>
        <v>34.227802196405179</v>
      </c>
      <c r="DE298" s="1043">
        <f t="shared" si="1256"/>
        <v>40.55041652563915</v>
      </c>
      <c r="DF298" s="1043">
        <f t="shared" si="1256"/>
        <v>39.102068146227204</v>
      </c>
      <c r="DG298" s="1043">
        <f t="shared" si="1256"/>
        <v>40.904643304228294</v>
      </c>
      <c r="DH298" s="1043">
        <f t="shared" si="1256"/>
        <v>51.034090679858437</v>
      </c>
      <c r="DI298" s="1043">
        <f t="shared" ref="DI298:EF298" si="1257">+(DI123/-SUM(CX21:DI21))*360</f>
        <v>52.568636130590484</v>
      </c>
      <c r="DJ298" s="1043">
        <f t="shared" si="1257"/>
        <v>55.839621785467401</v>
      </c>
      <c r="DK298" s="1043">
        <f t="shared" si="1257"/>
        <v>58.468562484990535</v>
      </c>
      <c r="DL298" s="1043">
        <f t="shared" si="1257"/>
        <v>53.377042390923542</v>
      </c>
      <c r="DM298" s="1043">
        <f t="shared" si="1257"/>
        <v>48.572552255785574</v>
      </c>
      <c r="DN298" s="1043">
        <f t="shared" si="1257"/>
        <v>50.536704401459687</v>
      </c>
      <c r="DO298" s="1043">
        <f t="shared" si="1257"/>
        <v>48.771342450416945</v>
      </c>
      <c r="DP298" s="1043">
        <f t="shared" si="1257"/>
        <v>47.488017072671312</v>
      </c>
      <c r="DQ298" s="1043">
        <f t="shared" si="1257"/>
        <v>50.158270935924925</v>
      </c>
      <c r="DR298" s="1043">
        <f t="shared" si="1257"/>
        <v>46.08726047704738</v>
      </c>
      <c r="DS298" s="1043">
        <f t="shared" si="1257"/>
        <v>47.093524904639928</v>
      </c>
      <c r="DT298" s="1043">
        <f t="shared" si="1257"/>
        <v>47.491398821012694</v>
      </c>
      <c r="DU298" s="1043">
        <f t="shared" si="1257"/>
        <v>49.714712837397016</v>
      </c>
      <c r="DV298" s="1043">
        <f t="shared" si="1257"/>
        <v>51.970885233874064</v>
      </c>
      <c r="DW298" s="1043">
        <f t="shared" si="1257"/>
        <v>55.553518255085507</v>
      </c>
      <c r="DX298" s="1043">
        <f t="shared" si="1257"/>
        <v>56.420518364574868</v>
      </c>
      <c r="DY298" s="1043">
        <f t="shared" si="1257"/>
        <v>54.102273997176447</v>
      </c>
      <c r="DZ298" s="1043">
        <f t="shared" si="1257"/>
        <v>47.748773388974342</v>
      </c>
      <c r="EA298" s="1043">
        <f t="shared" si="1257"/>
        <v>50.881771102223169</v>
      </c>
      <c r="EB298" s="1043">
        <f t="shared" si="1257"/>
        <v>50.789699491458101</v>
      </c>
      <c r="EC298" s="1043">
        <f t="shared" si="1257"/>
        <v>49.781527686288563</v>
      </c>
      <c r="ED298" s="1043">
        <f t="shared" si="1257"/>
        <v>47.343259415459734</v>
      </c>
      <c r="EE298" s="1043">
        <f t="shared" si="1257"/>
        <v>40.630748946991183</v>
      </c>
      <c r="EF298" s="1043">
        <f t="shared" si="1257"/>
        <v>11.101562001772349</v>
      </c>
    </row>
    <row r="299" spans="1:149">
      <c r="C299" s="1032" t="s">
        <v>821</v>
      </c>
      <c r="D299" s="1032"/>
      <c r="E299" s="1032"/>
      <c r="F299" s="1032"/>
      <c r="G299" s="1032"/>
      <c r="H299" s="1032"/>
      <c r="I299" s="1032"/>
      <c r="J299" s="1032"/>
      <c r="K299" s="1032"/>
      <c r="L299" s="1032"/>
      <c r="M299" s="1032"/>
      <c r="N299" s="1032"/>
      <c r="O299" s="1032"/>
      <c r="P299" s="1032"/>
      <c r="Q299" s="1032"/>
      <c r="R299" s="1032"/>
      <c r="S299" s="1032"/>
      <c r="T299" s="1032"/>
      <c r="U299" s="1032"/>
      <c r="V299" s="1032"/>
      <c r="W299" s="1032"/>
      <c r="X299" s="1032"/>
      <c r="Y299" s="1032"/>
      <c r="Z299" s="1032"/>
      <c r="AA299" s="1032"/>
      <c r="AB299" s="1032"/>
      <c r="AC299" s="1032"/>
      <c r="AD299" s="1032"/>
      <c r="AE299" s="1032"/>
      <c r="AF299" s="1032"/>
      <c r="AG299" s="1032"/>
      <c r="AH299" s="1032"/>
      <c r="AI299" s="1032"/>
      <c r="AJ299" s="1032"/>
      <c r="AK299" s="1032"/>
      <c r="AL299" s="1032"/>
      <c r="AM299" s="1032"/>
      <c r="AN299" s="1032"/>
      <c r="AO299" s="1032"/>
      <c r="AP299" s="1032"/>
      <c r="AQ299" s="1174"/>
      <c r="AR299" s="1032"/>
      <c r="AS299" s="1032"/>
      <c r="AT299" s="1032"/>
      <c r="AU299" s="1032"/>
      <c r="AV299" s="1032"/>
      <c r="AW299" s="1032"/>
      <c r="AX299" s="1032"/>
      <c r="AY299" s="1032"/>
      <c r="AZ299" s="1032"/>
      <c r="BA299" s="1054">
        <f t="shared" ref="BA299:DL299" si="1258">+SUM(BA297:BA298)</f>
        <v>146.74522563922923</v>
      </c>
      <c r="BB299" s="1054">
        <f t="shared" si="1258"/>
        <v>133.73991692706639</v>
      </c>
      <c r="BC299" s="1054">
        <f t="shared" si="1258"/>
        <v>119.4606389140759</v>
      </c>
      <c r="BD299" s="1054">
        <f t="shared" si="1258"/>
        <v>89.95378210708563</v>
      </c>
      <c r="BE299" s="1054">
        <f t="shared" si="1258"/>
        <v>112.35731988481831</v>
      </c>
      <c r="BF299" s="1054">
        <f t="shared" si="1258"/>
        <v>123.12195075054697</v>
      </c>
      <c r="BG299" s="1054">
        <f t="shared" si="1258"/>
        <v>148.18036764527309</v>
      </c>
      <c r="BH299" s="1054">
        <f t="shared" si="1258"/>
        <v>172.9911980618416</v>
      </c>
      <c r="BI299" s="1054">
        <f t="shared" si="1258"/>
        <v>201.67506321989791</v>
      </c>
      <c r="BJ299" s="1054">
        <f t="shared" si="1258"/>
        <v>248.29602798992505</v>
      </c>
      <c r="BK299" s="1054">
        <f t="shared" si="1258"/>
        <v>304.70357990186227</v>
      </c>
      <c r="BL299" s="1054">
        <f t="shared" si="1258"/>
        <v>288.78935040063334</v>
      </c>
      <c r="BM299" s="1054">
        <f t="shared" si="1258"/>
        <v>293.17702461187218</v>
      </c>
      <c r="BN299" s="1054">
        <f t="shared" si="1258"/>
        <v>259.03638614899461</v>
      </c>
      <c r="BO299" s="1054">
        <f t="shared" si="1258"/>
        <v>261.91011240262162</v>
      </c>
      <c r="BP299" s="1054">
        <f t="shared" si="1258"/>
        <v>248.48205896746518</v>
      </c>
      <c r="BQ299" s="1054">
        <f t="shared" si="1258"/>
        <v>201.76589330672206</v>
      </c>
      <c r="BR299" s="1054">
        <f t="shared" si="1258"/>
        <v>189.16976473646369</v>
      </c>
      <c r="BS299" s="1054">
        <f t="shared" si="1258"/>
        <v>185.85499966765849</v>
      </c>
      <c r="BT299" s="1054">
        <f t="shared" si="1258"/>
        <v>184.38079883666103</v>
      </c>
      <c r="BU299" s="1054">
        <f t="shared" si="1258"/>
        <v>177.98683777579012</v>
      </c>
      <c r="BV299" s="1054">
        <f t="shared" si="1258"/>
        <v>157.05698920958383</v>
      </c>
      <c r="BW299" s="1054">
        <f t="shared" si="1258"/>
        <v>158.51702212769595</v>
      </c>
      <c r="BX299" s="1054">
        <f t="shared" si="1258"/>
        <v>129.50178420747602</v>
      </c>
      <c r="BY299" s="1054">
        <f t="shared" si="1258"/>
        <v>137.84204202864478</v>
      </c>
      <c r="BZ299" s="1054">
        <f t="shared" si="1258"/>
        <v>125.74378930438175</v>
      </c>
      <c r="CA299" s="1054">
        <f t="shared" si="1258"/>
        <v>123.74742925715225</v>
      </c>
      <c r="CB299" s="1054">
        <f t="shared" si="1258"/>
        <v>112.1806817339351</v>
      </c>
      <c r="CC299" s="1054">
        <f t="shared" si="1258"/>
        <v>91.054459229010888</v>
      </c>
      <c r="CD299" s="1054">
        <f t="shared" si="1258"/>
        <v>101.12793622260136</v>
      </c>
      <c r="CE299" s="1054">
        <f t="shared" si="1258"/>
        <v>108.75967965865075</v>
      </c>
      <c r="CF299" s="1054">
        <f t="shared" si="1258"/>
        <v>103.97911224134226</v>
      </c>
      <c r="CG299" s="1054">
        <f t="shared" si="1258"/>
        <v>118.91972773303311</v>
      </c>
      <c r="CH299" s="1054">
        <f t="shared" si="1258"/>
        <v>144.12130480209149</v>
      </c>
      <c r="CI299" s="1054">
        <f t="shared" si="1258"/>
        <v>151.48045568762612</v>
      </c>
      <c r="CJ299" s="1054">
        <f t="shared" si="1258"/>
        <v>141.12946644218226</v>
      </c>
      <c r="CK299" s="1054">
        <f t="shared" si="1258"/>
        <v>154.94476266942848</v>
      </c>
      <c r="CL299" s="1054">
        <f t="shared" si="1258"/>
        <v>130.57582049711195</v>
      </c>
      <c r="CM299" s="1054">
        <f t="shared" si="1258"/>
        <v>128.52118273820531</v>
      </c>
      <c r="CN299" s="1054">
        <f t="shared" si="1258"/>
        <v>127.89773871058928</v>
      </c>
      <c r="CO299" s="1054">
        <f t="shared" si="1258"/>
        <v>113.98388808917777</v>
      </c>
      <c r="CP299" s="1054">
        <f t="shared" si="1258"/>
        <v>100.61195644750117</v>
      </c>
      <c r="CQ299" s="1054">
        <f t="shared" si="1258"/>
        <v>107.8382153119544</v>
      </c>
      <c r="CR299" s="1054">
        <f t="shared" si="1258"/>
        <v>97.359457620395688</v>
      </c>
      <c r="CS299" s="1054">
        <f t="shared" si="1258"/>
        <v>95.846996670265042</v>
      </c>
      <c r="CT299" s="1054">
        <f t="shared" si="1258"/>
        <v>114.99282388050474</v>
      </c>
      <c r="CU299" s="1054">
        <f t="shared" si="1258"/>
        <v>113.80309068276773</v>
      </c>
      <c r="CV299" s="1054">
        <f t="shared" si="1258"/>
        <v>99.463701546933137</v>
      </c>
      <c r="CW299" s="1054">
        <f t="shared" si="1258"/>
        <v>99.33336241377252</v>
      </c>
      <c r="CX299" s="1054">
        <f t="shared" si="1258"/>
        <v>109.68454109592079</v>
      </c>
      <c r="CY299" s="1054">
        <f t="shared" si="1258"/>
        <v>135.8340989006189</v>
      </c>
      <c r="CZ299" s="1054">
        <f t="shared" si="1258"/>
        <v>97.478430683490203</v>
      </c>
      <c r="DA299" s="1054">
        <f t="shared" si="1258"/>
        <v>74.240175617043661</v>
      </c>
      <c r="DB299" s="1054">
        <f t="shared" si="1258"/>
        <v>54.571301967739728</v>
      </c>
      <c r="DC299" s="1054">
        <f t="shared" si="1258"/>
        <v>55.115793091231382</v>
      </c>
      <c r="DD299" s="1054">
        <f t="shared" si="1258"/>
        <v>79.806318914560919</v>
      </c>
      <c r="DE299" s="1054">
        <f t="shared" si="1258"/>
        <v>107.32379775687419</v>
      </c>
      <c r="DF299" s="1054">
        <f t="shared" si="1258"/>
        <v>117.71460397176844</v>
      </c>
      <c r="DG299" s="1054">
        <f t="shared" si="1258"/>
        <v>125.07538848751159</v>
      </c>
      <c r="DH299" s="1054">
        <f t="shared" si="1258"/>
        <v>124.90612200379263</v>
      </c>
      <c r="DI299" s="1054">
        <f t="shared" si="1258"/>
        <v>139.71634316719141</v>
      </c>
      <c r="DJ299" s="1054">
        <f t="shared" si="1258"/>
        <v>128.56344148258327</v>
      </c>
      <c r="DK299" s="1054">
        <f t="shared" si="1258"/>
        <v>138.84712892535231</v>
      </c>
      <c r="DL299" s="1054">
        <f t="shared" si="1258"/>
        <v>149.90251594713504</v>
      </c>
      <c r="DM299" s="1054">
        <f t="shared" ref="DM299:DO299" si="1259">+SUM(DM297:DM298)</f>
        <v>154.09968991862667</v>
      </c>
      <c r="DN299" s="1054">
        <f t="shared" si="1259"/>
        <v>145.84772790978474</v>
      </c>
      <c r="DO299" s="1054">
        <f t="shared" si="1259"/>
        <v>142.01085960896171</v>
      </c>
      <c r="DP299" s="1054">
        <f t="shared" ref="DP299:EF299" si="1260">+SUM(DP297:DP298)</f>
        <v>145.11162413146621</v>
      </c>
      <c r="DQ299" s="1054">
        <f t="shared" si="1260"/>
        <v>142.47732610274653</v>
      </c>
      <c r="DR299" s="1054">
        <f t="shared" si="1260"/>
        <v>127.88740143760955</v>
      </c>
      <c r="DS299" s="1054">
        <f t="shared" si="1260"/>
        <v>143.08588831340822</v>
      </c>
      <c r="DT299" s="1054">
        <f t="shared" si="1260"/>
        <v>145.4745711024139</v>
      </c>
      <c r="DU299" s="1054">
        <f t="shared" si="1260"/>
        <v>166.39479290509769</v>
      </c>
      <c r="DV299" s="1054">
        <f t="shared" si="1260"/>
        <v>136.51986687025297</v>
      </c>
      <c r="DW299" s="1054">
        <f t="shared" si="1260"/>
        <v>128.24860041854816</v>
      </c>
      <c r="DX299" s="1054">
        <f t="shared" si="1260"/>
        <v>136.55274690985812</v>
      </c>
      <c r="DY299" s="1054">
        <f t="shared" si="1260"/>
        <v>119.39310481155408</v>
      </c>
      <c r="DZ299" s="1054">
        <f t="shared" si="1260"/>
        <v>109.04546946760968</v>
      </c>
      <c r="EA299" s="1054">
        <f t="shared" si="1260"/>
        <v>128.80093557145483</v>
      </c>
      <c r="EB299" s="1054">
        <f t="shared" si="1260"/>
        <v>123.95402809711183</v>
      </c>
      <c r="EC299" s="1054">
        <f t="shared" si="1260"/>
        <v>140.13954860992834</v>
      </c>
      <c r="ED299" s="1054">
        <f t="shared" si="1260"/>
        <v>149.73492859035136</v>
      </c>
      <c r="EE299" s="1054">
        <f t="shared" si="1260"/>
        <v>154.45507026222495</v>
      </c>
      <c r="EF299" s="1054">
        <f t="shared" si="1260"/>
        <v>109.37162046679445</v>
      </c>
    </row>
    <row r="300" spans="1:149">
      <c r="AQ300" s="17"/>
      <c r="DQ300" s="963"/>
      <c r="DR300" s="963"/>
      <c r="DS300" s="963"/>
      <c r="DT300" s="963"/>
      <c r="DU300" s="963"/>
      <c r="DV300" s="963"/>
      <c r="DW300" s="963"/>
      <c r="DX300" s="963"/>
      <c r="DY300" s="963"/>
      <c r="DZ300" s="963"/>
      <c r="EA300" s="963"/>
      <c r="EB300" s="963"/>
      <c r="EC300" s="963"/>
      <c r="ED300" s="963"/>
      <c r="EE300" s="963"/>
      <c r="EF300" s="963"/>
    </row>
    <row r="301" spans="1:149">
      <c r="C301" s="47" t="s">
        <v>822</v>
      </c>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1177"/>
      <c r="AR301" s="47"/>
      <c r="AS301" s="47"/>
      <c r="AT301" s="47"/>
      <c r="AU301" s="47"/>
      <c r="AV301" s="47"/>
      <c r="AW301" s="47"/>
      <c r="AX301" s="47"/>
      <c r="AY301" s="47"/>
      <c r="AZ301" s="47"/>
      <c r="BA301" s="961">
        <f t="shared" ref="BA301:CF301" si="1261">+((BA173+BA174)/-SUM(AP21:BA21))*360</f>
        <v>32.446273520764045</v>
      </c>
      <c r="BB301" s="961">
        <f t="shared" si="1261"/>
        <v>39.852442066594506</v>
      </c>
      <c r="BC301" s="961">
        <f t="shared" si="1261"/>
        <v>37.364569840973523</v>
      </c>
      <c r="BD301" s="961">
        <f t="shared" si="1261"/>
        <v>29.816352372917926</v>
      </c>
      <c r="BE301" s="961">
        <f t="shared" si="1261"/>
        <v>31.786293739532127</v>
      </c>
      <c r="BF301" s="961">
        <f t="shared" si="1261"/>
        <v>50.843837772886744</v>
      </c>
      <c r="BG301" s="961">
        <f t="shared" si="1261"/>
        <v>54.043279215977272</v>
      </c>
      <c r="BH301" s="961">
        <f t="shared" si="1261"/>
        <v>48.884168622466888</v>
      </c>
      <c r="BI301" s="961">
        <f t="shared" si="1261"/>
        <v>51.107458626049187</v>
      </c>
      <c r="BJ301" s="961">
        <f t="shared" si="1261"/>
        <v>54.936353786829613</v>
      </c>
      <c r="BK301" s="961">
        <f t="shared" si="1261"/>
        <v>43.630939828336267</v>
      </c>
      <c r="BL301" s="961">
        <f t="shared" si="1261"/>
        <v>44.354508224276429</v>
      </c>
      <c r="BM301" s="961">
        <f t="shared" si="1261"/>
        <v>117.34993722164737</v>
      </c>
      <c r="BN301" s="961">
        <f t="shared" si="1261"/>
        <v>99.354687516571602</v>
      </c>
      <c r="BO301" s="961">
        <f t="shared" si="1261"/>
        <v>109.97748993465095</v>
      </c>
      <c r="BP301" s="961">
        <f t="shared" si="1261"/>
        <v>87.787063178700635</v>
      </c>
      <c r="BQ301" s="961">
        <f t="shared" si="1261"/>
        <v>78.081939763370571</v>
      </c>
      <c r="BR301" s="961">
        <f t="shared" si="1261"/>
        <v>69.904587184335739</v>
      </c>
      <c r="BS301" s="961">
        <f t="shared" si="1261"/>
        <v>71.667766901079787</v>
      </c>
      <c r="BT301" s="961">
        <f t="shared" si="1261"/>
        <v>55.36173426400687</v>
      </c>
      <c r="BU301" s="961">
        <f t="shared" si="1261"/>
        <v>51.603778877903764</v>
      </c>
      <c r="BV301" s="961">
        <f t="shared" si="1261"/>
        <v>46.277874726477641</v>
      </c>
      <c r="BW301" s="961">
        <f t="shared" si="1261"/>
        <v>34.127847784072138</v>
      </c>
      <c r="BX301" s="961">
        <f t="shared" si="1261"/>
        <v>74.790292760336925</v>
      </c>
      <c r="BY301" s="961">
        <f t="shared" si="1261"/>
        <v>48.003050932558011</v>
      </c>
      <c r="BZ301" s="961">
        <f t="shared" si="1261"/>
        <v>57.450269046599644</v>
      </c>
      <c r="CA301" s="961">
        <f t="shared" si="1261"/>
        <v>67.266733485886746</v>
      </c>
      <c r="CB301" s="961">
        <f t="shared" si="1261"/>
        <v>48.350553689350612</v>
      </c>
      <c r="CC301" s="961">
        <f t="shared" si="1261"/>
        <v>35.904050428938461</v>
      </c>
      <c r="CD301" s="961">
        <f t="shared" si="1261"/>
        <v>35.478053868499529</v>
      </c>
      <c r="CE301" s="961">
        <f t="shared" si="1261"/>
        <v>40.172859339863372</v>
      </c>
      <c r="CF301" s="961">
        <f t="shared" si="1261"/>
        <v>47.158778795033292</v>
      </c>
      <c r="CG301" s="961">
        <f t="shared" ref="CG301:DH301" si="1262">+((CG173+CG174)/-SUM(BV21:CG21))*360</f>
        <v>56.694574713867738</v>
      </c>
      <c r="CH301" s="961">
        <f t="shared" si="1262"/>
        <v>70.899129147719265</v>
      </c>
      <c r="CI301" s="961">
        <f t="shared" si="1262"/>
        <v>74.377633138915371</v>
      </c>
      <c r="CJ301" s="961">
        <f t="shared" si="1262"/>
        <v>101.40683737915479</v>
      </c>
      <c r="CK301" s="961">
        <f t="shared" si="1262"/>
        <v>83.803717407423022</v>
      </c>
      <c r="CL301" s="961">
        <f t="shared" si="1262"/>
        <v>88.450747761553501</v>
      </c>
      <c r="CM301" s="961">
        <f t="shared" si="1262"/>
        <v>80.891129112424892</v>
      </c>
      <c r="CN301" s="961">
        <f t="shared" si="1262"/>
        <v>88.391901664566333</v>
      </c>
      <c r="CO301" s="961">
        <f t="shared" si="1262"/>
        <v>63.146021709571826</v>
      </c>
      <c r="CP301" s="961">
        <f t="shared" si="1262"/>
        <v>75.997813760495646</v>
      </c>
      <c r="CQ301" s="961">
        <f t="shared" si="1262"/>
        <v>54.83441219008327</v>
      </c>
      <c r="CR301" s="961">
        <f t="shared" si="1262"/>
        <v>64.948710331165572</v>
      </c>
      <c r="CS301" s="961">
        <f t="shared" si="1262"/>
        <v>52.508020617920145</v>
      </c>
      <c r="CT301" s="961">
        <f t="shared" si="1262"/>
        <v>66.944436434465189</v>
      </c>
      <c r="CU301" s="961">
        <f t="shared" si="1262"/>
        <v>48.819891602307543</v>
      </c>
      <c r="CV301" s="961">
        <f t="shared" si="1262"/>
        <v>76.843688473732499</v>
      </c>
      <c r="CW301" s="961">
        <f t="shared" si="1262"/>
        <v>45.787042779290601</v>
      </c>
      <c r="CX301" s="961">
        <f t="shared" si="1262"/>
        <v>68.264892975880258</v>
      </c>
      <c r="CY301" s="961">
        <f t="shared" si="1262"/>
        <v>74.689465207308544</v>
      </c>
      <c r="CZ301" s="961">
        <f t="shared" si="1262"/>
        <v>87.186584906007823</v>
      </c>
      <c r="DA301" s="961">
        <f t="shared" si="1262"/>
        <v>56.723972824005493</v>
      </c>
      <c r="DB301" s="961">
        <f t="shared" si="1262"/>
        <v>24.023158891851313</v>
      </c>
      <c r="DC301" s="961">
        <f t="shared" si="1262"/>
        <v>15.487131248429447</v>
      </c>
      <c r="DD301" s="961">
        <f t="shared" si="1262"/>
        <v>22.416290905032781</v>
      </c>
      <c r="DE301" s="961">
        <f t="shared" si="1262"/>
        <v>30.104178839143859</v>
      </c>
      <c r="DF301" s="961">
        <f t="shared" si="1262"/>
        <v>42.820949679908516</v>
      </c>
      <c r="DG301" s="961">
        <f t="shared" si="1262"/>
        <v>43.803882644443902</v>
      </c>
      <c r="DH301" s="961">
        <f t="shared" si="1262"/>
        <v>77.827702651317125</v>
      </c>
      <c r="DI301" s="961">
        <f t="shared" ref="DI301:EF301" si="1263">+((DI173+DI174)/-SUM(CX21:DI21))*360</f>
        <v>42.211065449953303</v>
      </c>
      <c r="DJ301" s="961">
        <f t="shared" si="1263"/>
        <v>58.630416314598186</v>
      </c>
      <c r="DK301" s="961">
        <f t="shared" si="1263"/>
        <v>36.53730128893725</v>
      </c>
      <c r="DL301" s="961">
        <f t="shared" si="1263"/>
        <v>52.534422239749723</v>
      </c>
      <c r="DM301" s="961">
        <f t="shared" si="1263"/>
        <v>43.277035752085354</v>
      </c>
      <c r="DN301" s="961">
        <f t="shared" si="1263"/>
        <v>52.038685862101048</v>
      </c>
      <c r="DO301" s="961">
        <f t="shared" si="1263"/>
        <v>37.795712740319452</v>
      </c>
      <c r="DP301" s="961">
        <f t="shared" si="1263"/>
        <v>50.512904084633576</v>
      </c>
      <c r="DQ301" s="961">
        <f t="shared" si="1263"/>
        <v>35.943081288991408</v>
      </c>
      <c r="DR301" s="961">
        <f t="shared" si="1263"/>
        <v>53.475439453607727</v>
      </c>
      <c r="DS301" s="961">
        <f t="shared" si="1263"/>
        <v>42.735245809350836</v>
      </c>
      <c r="DT301" s="961">
        <f t="shared" si="1263"/>
        <v>69.105435662785169</v>
      </c>
      <c r="DU301" s="961">
        <f t="shared" si="1263"/>
        <v>48.264055274118832</v>
      </c>
      <c r="DV301" s="961">
        <f t="shared" si="1263"/>
        <v>75.320438588678272</v>
      </c>
      <c r="DW301" s="961">
        <f t="shared" si="1263"/>
        <v>48.858737468783865</v>
      </c>
      <c r="DX301" s="961">
        <f t="shared" si="1263"/>
        <v>62.78658038099023</v>
      </c>
      <c r="DY301" s="961">
        <f t="shared" si="1263"/>
        <v>49.716110713097478</v>
      </c>
      <c r="DZ301" s="961">
        <f t="shared" si="1263"/>
        <v>72.497413757129664</v>
      </c>
      <c r="EA301" s="961">
        <f t="shared" si="1263"/>
        <v>50.945148879285796</v>
      </c>
      <c r="EB301" s="961">
        <f t="shared" si="1263"/>
        <v>72.275800263405642</v>
      </c>
      <c r="EC301" s="961">
        <f t="shared" si="1263"/>
        <v>77.90141290079778</v>
      </c>
      <c r="ED301" s="961">
        <f t="shared" si="1263"/>
        <v>83.526586726124606</v>
      </c>
      <c r="EE301" s="961">
        <f t="shared" si="1263"/>
        <v>89.034643568395197</v>
      </c>
      <c r="EF301" s="961">
        <f t="shared" si="1263"/>
        <v>101.5270911845312</v>
      </c>
    </row>
    <row r="302" spans="1:149">
      <c r="C302" s="17" t="s">
        <v>823</v>
      </c>
      <c r="AQ302" s="17"/>
      <c r="BA302" s="963">
        <f t="shared" ref="BA302:CF302" si="1264">+(BA196+BA183)/-SUM(AP21:BA21)*360</f>
        <v>29.704596084609459</v>
      </c>
      <c r="BB302" s="963">
        <f t="shared" si="1264"/>
        <v>36.364639303128392</v>
      </c>
      <c r="BC302" s="963">
        <f t="shared" si="1264"/>
        <v>37.643583742243692</v>
      </c>
      <c r="BD302" s="963">
        <f t="shared" si="1264"/>
        <v>36.225486237419844</v>
      </c>
      <c r="BE302" s="963">
        <f t="shared" si="1264"/>
        <v>32.414320026381631</v>
      </c>
      <c r="BF302" s="963">
        <f t="shared" si="1264"/>
        <v>35.146404303949367</v>
      </c>
      <c r="BG302" s="963">
        <f t="shared" si="1264"/>
        <v>44.154060690868143</v>
      </c>
      <c r="BH302" s="963">
        <f t="shared" si="1264"/>
        <v>13.530379929447632</v>
      </c>
      <c r="BI302" s="963">
        <f t="shared" si="1264"/>
        <v>20.290209098955771</v>
      </c>
      <c r="BJ302" s="963">
        <f t="shared" si="1264"/>
        <v>27.139745663693553</v>
      </c>
      <c r="BK302" s="963">
        <f t="shared" si="1264"/>
        <v>27.856581841182557</v>
      </c>
      <c r="BL302" s="963">
        <f t="shared" si="1264"/>
        <v>39.626257468894444</v>
      </c>
      <c r="BM302" s="963">
        <f t="shared" si="1264"/>
        <v>42.552206818159746</v>
      </c>
      <c r="BN302" s="963">
        <f t="shared" si="1264"/>
        <v>52.838184094195128</v>
      </c>
      <c r="BO302" s="963">
        <f t="shared" si="1264"/>
        <v>39.489836245764948</v>
      </c>
      <c r="BP302" s="963">
        <f t="shared" si="1264"/>
        <v>48.420559508998025</v>
      </c>
      <c r="BQ302" s="963">
        <f t="shared" si="1264"/>
        <v>30.88714604984602</v>
      </c>
      <c r="BR302" s="963">
        <f t="shared" si="1264"/>
        <v>40.280673816328786</v>
      </c>
      <c r="BS302" s="963">
        <f t="shared" si="1264"/>
        <v>31.700766654338693</v>
      </c>
      <c r="BT302" s="963">
        <f t="shared" si="1264"/>
        <v>41.236437851523803</v>
      </c>
      <c r="BU302" s="963">
        <f t="shared" si="1264"/>
        <v>27.319822983151944</v>
      </c>
      <c r="BV302" s="963">
        <f t="shared" si="1264"/>
        <v>37.027148910591002</v>
      </c>
      <c r="BW302" s="963">
        <f t="shared" si="1264"/>
        <v>37.719696609963414</v>
      </c>
      <c r="BX302" s="963">
        <f t="shared" si="1264"/>
        <v>5.0263192757446529</v>
      </c>
      <c r="BY302" s="963">
        <f t="shared" si="1264"/>
        <v>32.852590272788028</v>
      </c>
      <c r="BZ302" s="963">
        <f t="shared" si="1264"/>
        <v>39.614038650821762</v>
      </c>
      <c r="CA302" s="963">
        <f t="shared" si="1264"/>
        <v>30.594108651517356</v>
      </c>
      <c r="CB302" s="963">
        <f t="shared" si="1264"/>
        <v>33.854808611560408</v>
      </c>
      <c r="CC302" s="963">
        <f t="shared" si="1264"/>
        <v>26.640156816144675</v>
      </c>
      <c r="CD302" s="963">
        <f t="shared" si="1264"/>
        <v>32.976620754998002</v>
      </c>
      <c r="CE302" s="963">
        <f t="shared" si="1264"/>
        <v>29.138894972547583</v>
      </c>
      <c r="CF302" s="963">
        <f t="shared" si="1264"/>
        <v>38.507299229422422</v>
      </c>
      <c r="CG302" s="963">
        <f t="shared" ref="CG302:DH302" si="1265">+(CG196+CG183)/-SUM(BV21:CG21)*360</f>
        <v>30.917088424183106</v>
      </c>
      <c r="CH302" s="963">
        <f t="shared" si="1265"/>
        <v>29.010686474630937</v>
      </c>
      <c r="CI302" s="963">
        <f t="shared" si="1265"/>
        <v>29.027362352918374</v>
      </c>
      <c r="CJ302" s="963">
        <f t="shared" si="1265"/>
        <v>4.1090942589899342</v>
      </c>
      <c r="CK302" s="963">
        <f t="shared" si="1265"/>
        <v>25.843794096826599</v>
      </c>
      <c r="CL302" s="963">
        <f t="shared" si="1265"/>
        <v>22.015161580009067</v>
      </c>
      <c r="CM302" s="963">
        <f t="shared" si="1265"/>
        <v>24.603971832937077</v>
      </c>
      <c r="CN302" s="963">
        <f t="shared" si="1265"/>
        <v>15.845899745268939</v>
      </c>
      <c r="CO302" s="963">
        <f t="shared" si="1265"/>
        <v>29.541505895532953</v>
      </c>
      <c r="CP302" s="963">
        <f t="shared" si="1265"/>
        <v>16.702769611641372</v>
      </c>
      <c r="CQ302" s="963">
        <f t="shared" si="1265"/>
        <v>24.809919296796672</v>
      </c>
      <c r="CR302" s="963">
        <f t="shared" si="1265"/>
        <v>20.810262162166719</v>
      </c>
      <c r="CS302" s="963">
        <f t="shared" si="1265"/>
        <v>20.165425725782352</v>
      </c>
      <c r="CT302" s="963">
        <f t="shared" si="1265"/>
        <v>18.712335583480396</v>
      </c>
      <c r="CU302" s="963">
        <f t="shared" si="1265"/>
        <v>29.255244231395505</v>
      </c>
      <c r="CV302" s="963">
        <f t="shared" si="1265"/>
        <v>5.6778323250193541</v>
      </c>
      <c r="CW302" s="963">
        <f t="shared" si="1265"/>
        <v>28.617780613570964</v>
      </c>
      <c r="CX302" s="963">
        <f t="shared" si="1265"/>
        <v>18.127282951896845</v>
      </c>
      <c r="CY302" s="963">
        <f t="shared" si="1265"/>
        <v>27.128392637226725</v>
      </c>
      <c r="CZ302" s="963">
        <f t="shared" si="1265"/>
        <v>9.3749190099250939</v>
      </c>
      <c r="DA302" s="963">
        <f t="shared" si="1265"/>
        <v>16.847374111354366</v>
      </c>
      <c r="DB302" s="963">
        <f t="shared" si="1265"/>
        <v>13.412436117342413</v>
      </c>
      <c r="DC302" s="963">
        <f t="shared" si="1265"/>
        <v>19.025223598199258</v>
      </c>
      <c r="DD302" s="963">
        <f t="shared" si="1265"/>
        <v>21.525256663773281</v>
      </c>
      <c r="DE302" s="963">
        <f t="shared" si="1265"/>
        <v>30.522548182174223</v>
      </c>
      <c r="DF302" s="963">
        <f t="shared" si="1265"/>
        <v>23.242026363538631</v>
      </c>
      <c r="DG302" s="963">
        <f t="shared" si="1265"/>
        <v>35.754690107912751</v>
      </c>
      <c r="DH302" s="963">
        <f t="shared" si="1265"/>
        <v>6.9353350816991233</v>
      </c>
      <c r="DI302" s="963">
        <f t="shared" ref="DI302:EF302" si="1266">+(DI196+DI183)/-SUM(CX21:DI21)*360</f>
        <v>37.896515709315558</v>
      </c>
      <c r="DJ302" s="963">
        <f t="shared" si="1266"/>
        <v>24.675136595246354</v>
      </c>
      <c r="DK302" s="963">
        <f t="shared" si="1266"/>
        <v>28.971679567559104</v>
      </c>
      <c r="DL302" s="963">
        <f t="shared" si="1266"/>
        <v>20.749353125457308</v>
      </c>
      <c r="DM302" s="963">
        <f t="shared" si="1266"/>
        <v>26.065901762986531</v>
      </c>
      <c r="DN302" s="963">
        <f t="shared" si="1266"/>
        <v>17.001062441434808</v>
      </c>
      <c r="DO302" s="963">
        <f t="shared" si="1266"/>
        <v>27.660448030278143</v>
      </c>
      <c r="DP302" s="963">
        <f t="shared" si="1266"/>
        <v>14.715866830743465</v>
      </c>
      <c r="DQ302" s="963">
        <f t="shared" si="1266"/>
        <v>29.411099106300018</v>
      </c>
      <c r="DR302" s="963">
        <f t="shared" si="1266"/>
        <v>18.094521627120542</v>
      </c>
      <c r="DS302" s="963">
        <f t="shared" si="1266"/>
        <v>25.426778711705548</v>
      </c>
      <c r="DT302" s="963">
        <f t="shared" si="1266"/>
        <v>8.4342839635286104</v>
      </c>
      <c r="DU302" s="963">
        <f t="shared" si="1266"/>
        <v>42.700268004128837</v>
      </c>
      <c r="DV302" s="963">
        <f t="shared" si="1266"/>
        <v>18.308229239403879</v>
      </c>
      <c r="DW302" s="963">
        <f t="shared" si="1266"/>
        <v>19.745987359690041</v>
      </c>
      <c r="DX302" s="963">
        <f t="shared" si="1266"/>
        <v>16.088547003312375</v>
      </c>
      <c r="DY302" s="963">
        <f t="shared" si="1266"/>
        <v>29.140210484169323</v>
      </c>
      <c r="DZ302" s="963">
        <f t="shared" si="1266"/>
        <v>19.514474472772839</v>
      </c>
      <c r="EA302" s="963">
        <f t="shared" si="1266"/>
        <v>27.465908869146595</v>
      </c>
      <c r="EB302" s="963">
        <f t="shared" si="1266"/>
        <v>23.484273680878847</v>
      </c>
      <c r="EC302" s="963">
        <f t="shared" si="1266"/>
        <v>26.951854487304271</v>
      </c>
      <c r="ED302" s="963">
        <f t="shared" si="1266"/>
        <v>26.522097602858814</v>
      </c>
      <c r="EE302" s="963">
        <f t="shared" si="1266"/>
        <v>40.781178612539584</v>
      </c>
      <c r="EF302" s="963">
        <f t="shared" si="1266"/>
        <v>28.729964222133866</v>
      </c>
    </row>
    <row r="303" spans="1:149">
      <c r="C303" s="186" t="s">
        <v>824</v>
      </c>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043">
        <f t="shared" ref="BA303:DL303" si="1267">+((BA179+BA176)/-SUM(AP21:BA21))*360</f>
        <v>22.522178706046009</v>
      </c>
      <c r="BB303" s="1043">
        <f t="shared" si="1267"/>
        <v>13.380426693781429</v>
      </c>
      <c r="BC303" s="1043">
        <f t="shared" si="1267"/>
        <v>15.609749214633529</v>
      </c>
      <c r="BD303" s="1043">
        <f t="shared" si="1267"/>
        <v>13.484845630559258</v>
      </c>
      <c r="BE303" s="1043">
        <f t="shared" si="1267"/>
        <v>18.642220053498502</v>
      </c>
      <c r="BF303" s="1043">
        <f t="shared" si="1267"/>
        <v>21.504666399145787</v>
      </c>
      <c r="BG303" s="1043">
        <f t="shared" si="1267"/>
        <v>13.659363480432884</v>
      </c>
      <c r="BH303" s="1043">
        <f t="shared" si="1267"/>
        <v>16.063467196431162</v>
      </c>
      <c r="BI303" s="1043">
        <f t="shared" si="1267"/>
        <v>16.885540926661395</v>
      </c>
      <c r="BJ303" s="1043">
        <f t="shared" si="1267"/>
        <v>26.215636461550382</v>
      </c>
      <c r="BK303" s="1043">
        <f t="shared" si="1267"/>
        <v>29.995371259596901</v>
      </c>
      <c r="BL303" s="1043">
        <f t="shared" si="1267"/>
        <v>31.786385073028061</v>
      </c>
      <c r="BM303" s="1043">
        <f t="shared" si="1267"/>
        <v>36.477669769911081</v>
      </c>
      <c r="BN303" s="1043">
        <f t="shared" si="1267"/>
        <v>28.031976917694674</v>
      </c>
      <c r="BO303" s="1043">
        <f t="shared" si="1267"/>
        <v>27.808566580477951</v>
      </c>
      <c r="BP303" s="1043">
        <f t="shared" si="1267"/>
        <v>31.914519917395783</v>
      </c>
      <c r="BQ303" s="1043">
        <f t="shared" si="1267"/>
        <v>30.123179250960778</v>
      </c>
      <c r="BR303" s="1043">
        <f t="shared" si="1267"/>
        <v>20.558135471659494</v>
      </c>
      <c r="BS303" s="1043">
        <f t="shared" si="1267"/>
        <v>22.814294799599161</v>
      </c>
      <c r="BT303" s="1043">
        <f t="shared" si="1267"/>
        <v>22.764989472885588</v>
      </c>
      <c r="BU303" s="1043">
        <f t="shared" si="1267"/>
        <v>24.66815941918837</v>
      </c>
      <c r="BV303" s="1043">
        <f t="shared" si="1267"/>
        <v>25.518037699514821</v>
      </c>
      <c r="BW303" s="1043">
        <f t="shared" si="1267"/>
        <v>27.43654273985592</v>
      </c>
      <c r="BX303" s="1043">
        <f t="shared" si="1267"/>
        <v>24.330998737604961</v>
      </c>
      <c r="BY303" s="1043">
        <f t="shared" si="1267"/>
        <v>25.930008163815316</v>
      </c>
      <c r="BZ303" s="1043">
        <f t="shared" si="1267"/>
        <v>16.556170890979082</v>
      </c>
      <c r="CA303" s="1043">
        <f t="shared" si="1267"/>
        <v>20.085095768561636</v>
      </c>
      <c r="CB303" s="1043">
        <f t="shared" si="1267"/>
        <v>21.599150569269909</v>
      </c>
      <c r="CC303" s="1043">
        <f t="shared" si="1267"/>
        <v>21.921197283259765</v>
      </c>
      <c r="CD303" s="1043">
        <f t="shared" si="1267"/>
        <v>19.408693159454842</v>
      </c>
      <c r="CE303" s="1043">
        <f t="shared" si="1267"/>
        <v>22.907636201381528</v>
      </c>
      <c r="CF303" s="1043">
        <f t="shared" si="1267"/>
        <v>26.327790665358087</v>
      </c>
      <c r="CG303" s="1043">
        <f t="shared" si="1267"/>
        <v>28.591327657562523</v>
      </c>
      <c r="CH303" s="1043">
        <f t="shared" si="1267"/>
        <v>32.277375993358433</v>
      </c>
      <c r="CI303" s="1043">
        <f t="shared" si="1267"/>
        <v>32.956345288943119</v>
      </c>
      <c r="CJ303" s="1043">
        <f t="shared" si="1267"/>
        <v>26.690808957739304</v>
      </c>
      <c r="CK303" s="1043">
        <f t="shared" si="1267"/>
        <v>27.146294465299391</v>
      </c>
      <c r="CL303" s="1043">
        <f t="shared" si="1267"/>
        <v>21.744408174437726</v>
      </c>
      <c r="CM303" s="1043">
        <f t="shared" si="1267"/>
        <v>26.250663114838591</v>
      </c>
      <c r="CN303" s="1043">
        <f t="shared" si="1267"/>
        <v>26.766727469740406</v>
      </c>
      <c r="CO303" s="1043">
        <f t="shared" si="1267"/>
        <v>29.508688890838162</v>
      </c>
      <c r="CP303" s="1043">
        <f t="shared" si="1267"/>
        <v>24.32291608488152</v>
      </c>
      <c r="CQ303" s="1043">
        <f t="shared" si="1267"/>
        <v>26.598406259061079</v>
      </c>
      <c r="CR303" s="1043">
        <f t="shared" si="1267"/>
        <v>28.519708764934521</v>
      </c>
      <c r="CS303" s="1043">
        <f t="shared" si="1267"/>
        <v>29.240482735293021</v>
      </c>
      <c r="CT303" s="1043">
        <f t="shared" si="1267"/>
        <v>31.963554453403827</v>
      </c>
      <c r="CU303" s="1043">
        <f t="shared" si="1267"/>
        <v>32.088669114601196</v>
      </c>
      <c r="CV303" s="1043">
        <f t="shared" si="1267"/>
        <v>29.815755059017587</v>
      </c>
      <c r="CW303" s="1043">
        <f t="shared" si="1267"/>
        <v>29.232333309574877</v>
      </c>
      <c r="CX303" s="1043">
        <f t="shared" si="1267"/>
        <v>18.90883095386986</v>
      </c>
      <c r="CY303" s="1043">
        <f t="shared" si="1267"/>
        <v>19.494655796929596</v>
      </c>
      <c r="CZ303" s="1043">
        <f t="shared" si="1267"/>
        <v>15.507705986300785</v>
      </c>
      <c r="DA303" s="1043">
        <f t="shared" si="1267"/>
        <v>12.344206762048758</v>
      </c>
      <c r="DB303" s="1043">
        <f t="shared" si="1267"/>
        <v>10.252778436678508</v>
      </c>
      <c r="DC303" s="1043">
        <f t="shared" si="1267"/>
        <v>13.376056611332299</v>
      </c>
      <c r="DD303" s="1043">
        <f t="shared" si="1267"/>
        <v>16.421553354707079</v>
      </c>
      <c r="DE303" s="1043">
        <f t="shared" si="1267"/>
        <v>18.371001230548128</v>
      </c>
      <c r="DF303" s="1043">
        <f t="shared" si="1267"/>
        <v>20.66693297614226</v>
      </c>
      <c r="DG303" s="1043">
        <f t="shared" si="1267"/>
        <v>23.472245301517805</v>
      </c>
      <c r="DH303" s="1043">
        <f t="shared" si="1267"/>
        <v>25.831837914748359</v>
      </c>
      <c r="DI303" s="1043">
        <f t="shared" si="1267"/>
        <v>27.997781817473246</v>
      </c>
      <c r="DJ303" s="1043">
        <f t="shared" si="1267"/>
        <v>21.701655845246222</v>
      </c>
      <c r="DK303" s="1043">
        <f t="shared" si="1267"/>
        <v>26.254144105126255</v>
      </c>
      <c r="DL303" s="1043">
        <f t="shared" si="1267"/>
        <v>27.797255743483085</v>
      </c>
      <c r="DM303" s="1043">
        <f t="shared" ref="DM303:EF303" si="1268">+((DM179+DM176)/-SUM(DB21:DM21))*360</f>
        <v>29.651102407735262</v>
      </c>
      <c r="DN303" s="1043">
        <f t="shared" si="1268"/>
        <v>24.461418106368729</v>
      </c>
      <c r="DO303" s="1043">
        <f t="shared" si="1268"/>
        <v>25.567617306814729</v>
      </c>
      <c r="DP303" s="1043">
        <f t="shared" si="1268"/>
        <v>28.295472015901595</v>
      </c>
      <c r="DQ303" s="1043">
        <f t="shared" si="1268"/>
        <v>29.699822543878518</v>
      </c>
      <c r="DR303" s="1043">
        <f t="shared" si="1268"/>
        <v>31.675193246675565</v>
      </c>
      <c r="DS303" s="1043">
        <f t="shared" si="1268"/>
        <v>33.700015937283993</v>
      </c>
      <c r="DT303" s="1043">
        <f t="shared" si="1268"/>
        <v>32.935209719855763</v>
      </c>
      <c r="DU303" s="1043">
        <f t="shared" si="1268"/>
        <v>33.151152488048666</v>
      </c>
      <c r="DV303" s="1043">
        <f t="shared" si="1268"/>
        <v>24.443890958868291</v>
      </c>
      <c r="DW303" s="1043">
        <f t="shared" si="1268"/>
        <v>28.65475257753241</v>
      </c>
      <c r="DX303" s="1043">
        <f t="shared" si="1268"/>
        <v>30.057297061506951</v>
      </c>
      <c r="DY303" s="1043">
        <f t="shared" si="1268"/>
        <v>31.805984088265738</v>
      </c>
      <c r="DZ303" s="1043">
        <f t="shared" si="1268"/>
        <v>26.40629882069042</v>
      </c>
      <c r="EA303" s="1043">
        <f t="shared" si="1268"/>
        <v>27.528299655103702</v>
      </c>
      <c r="EB303" s="1043">
        <f t="shared" si="1268"/>
        <v>29.128193260141735</v>
      </c>
      <c r="EC303" s="1043">
        <f t="shared" si="1268"/>
        <v>30.668436801824235</v>
      </c>
      <c r="ED303" s="1043">
        <f t="shared" si="1268"/>
        <v>33.788627616861653</v>
      </c>
      <c r="EE303" s="1043">
        <f t="shared" si="1268"/>
        <v>31.569149483327966</v>
      </c>
      <c r="EF303" s="1043">
        <f t="shared" si="1268"/>
        <v>24.244067126763273</v>
      </c>
    </row>
    <row r="304" spans="1:149">
      <c r="C304" s="1032" t="s">
        <v>825</v>
      </c>
      <c r="D304" s="1032"/>
      <c r="E304" s="1032"/>
      <c r="F304" s="1032"/>
      <c r="G304" s="1032"/>
      <c r="H304" s="1032"/>
      <c r="I304" s="1032"/>
      <c r="J304" s="1032"/>
      <c r="K304" s="1032"/>
      <c r="L304" s="1032"/>
      <c r="M304" s="1032"/>
      <c r="N304" s="1032"/>
      <c r="O304" s="1032"/>
      <c r="P304" s="1032"/>
      <c r="Q304" s="1032"/>
      <c r="R304" s="1032"/>
      <c r="S304" s="1032"/>
      <c r="T304" s="1032"/>
      <c r="U304" s="1032"/>
      <c r="V304" s="1032"/>
      <c r="W304" s="1032"/>
      <c r="X304" s="1032"/>
      <c r="Y304" s="1032"/>
      <c r="Z304" s="1032"/>
      <c r="AA304" s="1032"/>
      <c r="AB304" s="1032"/>
      <c r="AC304" s="1032"/>
      <c r="AD304" s="1032"/>
      <c r="AE304" s="1032"/>
      <c r="AF304" s="1032"/>
      <c r="AG304" s="1032"/>
      <c r="AH304" s="1032"/>
      <c r="AI304" s="1032"/>
      <c r="AJ304" s="1032"/>
      <c r="AK304" s="1032"/>
      <c r="AL304" s="1032"/>
      <c r="AM304" s="1032"/>
      <c r="AN304" s="1032"/>
      <c r="AO304" s="1032"/>
      <c r="AP304" s="1032"/>
      <c r="AQ304" s="1174"/>
      <c r="AR304" s="1032"/>
      <c r="AS304" s="1032"/>
      <c r="AT304" s="1032"/>
      <c r="AU304" s="1032"/>
      <c r="AV304" s="1032"/>
      <c r="AW304" s="1032"/>
      <c r="AX304" s="1032"/>
      <c r="AY304" s="1032"/>
      <c r="AZ304" s="1032"/>
      <c r="BA304" s="1033">
        <f t="shared" ref="BA304:CF304" si="1269">+SUM(BA301:BA303)</f>
        <v>84.673048311419507</v>
      </c>
      <c r="BB304" s="1033">
        <f t="shared" si="1269"/>
        <v>89.597508063504335</v>
      </c>
      <c r="BC304" s="1033">
        <f t="shared" si="1269"/>
        <v>90.617902797850746</v>
      </c>
      <c r="BD304" s="1033">
        <f t="shared" si="1269"/>
        <v>79.52668424089704</v>
      </c>
      <c r="BE304" s="1033">
        <f t="shared" si="1269"/>
        <v>82.842833819412263</v>
      </c>
      <c r="BF304" s="1033">
        <f t="shared" si="1269"/>
        <v>107.4949084759819</v>
      </c>
      <c r="BG304" s="1033">
        <f t="shared" si="1269"/>
        <v>111.8567033872783</v>
      </c>
      <c r="BH304" s="1033">
        <f t="shared" si="1269"/>
        <v>78.478015748345683</v>
      </c>
      <c r="BI304" s="1033">
        <f t="shared" si="1269"/>
        <v>88.283208651666357</v>
      </c>
      <c r="BJ304" s="1033">
        <f t="shared" si="1269"/>
        <v>108.29173591207356</v>
      </c>
      <c r="BK304" s="1033">
        <f t="shared" si="1269"/>
        <v>101.48289292911574</v>
      </c>
      <c r="BL304" s="1033">
        <f t="shared" si="1269"/>
        <v>115.76715076619892</v>
      </c>
      <c r="BM304" s="1033">
        <f t="shared" si="1269"/>
        <v>196.3798138097182</v>
      </c>
      <c r="BN304" s="1033">
        <f t="shared" si="1269"/>
        <v>180.22484852846139</v>
      </c>
      <c r="BO304" s="1033">
        <f t="shared" si="1269"/>
        <v>177.27589276089387</v>
      </c>
      <c r="BP304" s="1033">
        <f t="shared" si="1269"/>
        <v>168.12214260509444</v>
      </c>
      <c r="BQ304" s="1033">
        <f t="shared" si="1269"/>
        <v>139.09226506417738</v>
      </c>
      <c r="BR304" s="1033">
        <f t="shared" si="1269"/>
        <v>130.74339647232401</v>
      </c>
      <c r="BS304" s="1033">
        <f t="shared" si="1269"/>
        <v>126.18282835501765</v>
      </c>
      <c r="BT304" s="1033">
        <f t="shared" si="1269"/>
        <v>119.36316158841626</v>
      </c>
      <c r="BU304" s="1033">
        <f t="shared" si="1269"/>
        <v>103.59176128024409</v>
      </c>
      <c r="BV304" s="1033">
        <f t="shared" si="1269"/>
        <v>108.82306133658346</v>
      </c>
      <c r="BW304" s="1033">
        <f t="shared" si="1269"/>
        <v>99.284087133891475</v>
      </c>
      <c r="BX304" s="1033">
        <f t="shared" si="1269"/>
        <v>104.14761077368654</v>
      </c>
      <c r="BY304" s="1033">
        <f t="shared" si="1269"/>
        <v>106.78564936916136</v>
      </c>
      <c r="BZ304" s="1033">
        <f t="shared" si="1269"/>
        <v>113.62047858840049</v>
      </c>
      <c r="CA304" s="1033">
        <f t="shared" si="1269"/>
        <v>117.94593790596574</v>
      </c>
      <c r="CB304" s="1033">
        <f t="shared" si="1269"/>
        <v>103.80451287018093</v>
      </c>
      <c r="CC304" s="1033">
        <f t="shared" si="1269"/>
        <v>84.465404528342901</v>
      </c>
      <c r="CD304" s="1033">
        <f t="shared" si="1269"/>
        <v>87.86336778295238</v>
      </c>
      <c r="CE304" s="1033">
        <f t="shared" si="1269"/>
        <v>92.21939051379249</v>
      </c>
      <c r="CF304" s="1033">
        <f t="shared" si="1269"/>
        <v>111.99386868981381</v>
      </c>
      <c r="CG304" s="1033">
        <f t="shared" ref="CG304:DL304" si="1270">+SUM(CG301:CG303)</f>
        <v>116.20299079561337</v>
      </c>
      <c r="CH304" s="1033">
        <f t="shared" si="1270"/>
        <v>132.18719161570863</v>
      </c>
      <c r="CI304" s="1033">
        <f t="shared" si="1270"/>
        <v>136.36134078077686</v>
      </c>
      <c r="CJ304" s="1033">
        <f t="shared" si="1270"/>
        <v>132.20674059588404</v>
      </c>
      <c r="CK304" s="1033">
        <f t="shared" si="1270"/>
        <v>136.793805969549</v>
      </c>
      <c r="CL304" s="1033">
        <f t="shared" si="1270"/>
        <v>132.21031751600029</v>
      </c>
      <c r="CM304" s="1033">
        <f t="shared" si="1270"/>
        <v>131.74576406020057</v>
      </c>
      <c r="CN304" s="1033">
        <f t="shared" si="1270"/>
        <v>131.00452887957567</v>
      </c>
      <c r="CO304" s="1033">
        <f t="shared" si="1270"/>
        <v>122.19621649594293</v>
      </c>
      <c r="CP304" s="1033">
        <f t="shared" si="1270"/>
        <v>117.02349945701854</v>
      </c>
      <c r="CQ304" s="1033">
        <f t="shared" si="1270"/>
        <v>106.24273774594101</v>
      </c>
      <c r="CR304" s="1033">
        <f t="shared" si="1270"/>
        <v>114.27868125826681</v>
      </c>
      <c r="CS304" s="1033">
        <f t="shared" si="1270"/>
        <v>101.91392907899552</v>
      </c>
      <c r="CT304" s="1033">
        <f t="shared" si="1270"/>
        <v>117.62032647134941</v>
      </c>
      <c r="CU304" s="1033">
        <f t="shared" si="1270"/>
        <v>110.16380494830423</v>
      </c>
      <c r="CV304" s="1033">
        <f t="shared" si="1270"/>
        <v>112.33727585776944</v>
      </c>
      <c r="CW304" s="1033">
        <f t="shared" si="1270"/>
        <v>103.63715670243644</v>
      </c>
      <c r="CX304" s="1033">
        <f t="shared" si="1270"/>
        <v>105.30100688164697</v>
      </c>
      <c r="CY304" s="1033">
        <f t="shared" si="1270"/>
        <v>121.31251364146486</v>
      </c>
      <c r="CZ304" s="1033">
        <f t="shared" si="1270"/>
        <v>112.06920990223369</v>
      </c>
      <c r="DA304" s="1033">
        <f t="shared" si="1270"/>
        <v>85.915553697408612</v>
      </c>
      <c r="DB304" s="1033">
        <f t="shared" si="1270"/>
        <v>47.68837344587223</v>
      </c>
      <c r="DC304" s="1033">
        <f t="shared" si="1270"/>
        <v>47.888411457960999</v>
      </c>
      <c r="DD304" s="1033">
        <f t="shared" si="1270"/>
        <v>60.363100923513137</v>
      </c>
      <c r="DE304" s="1033">
        <f t="shared" si="1270"/>
        <v>78.997728251866207</v>
      </c>
      <c r="DF304" s="1033">
        <f t="shared" si="1270"/>
        <v>86.729909019589414</v>
      </c>
      <c r="DG304" s="1033">
        <f t="shared" si="1270"/>
        <v>103.03081805387446</v>
      </c>
      <c r="DH304" s="1033">
        <f t="shared" si="1270"/>
        <v>110.59487564776461</v>
      </c>
      <c r="DI304" s="1033">
        <f t="shared" si="1270"/>
        <v>108.1053629767421</v>
      </c>
      <c r="DJ304" s="1033">
        <f t="shared" si="1270"/>
        <v>105.00720875509076</v>
      </c>
      <c r="DK304" s="1033">
        <f t="shared" si="1270"/>
        <v>91.763124961622609</v>
      </c>
      <c r="DL304" s="1033">
        <f t="shared" si="1270"/>
        <v>101.08103110869013</v>
      </c>
      <c r="DM304" s="1033">
        <f t="shared" ref="DM304:EF304" si="1271">+SUM(DM301:DM303)</f>
        <v>98.994039922807147</v>
      </c>
      <c r="DN304" s="1033">
        <f t="shared" si="1271"/>
        <v>93.501166409904584</v>
      </c>
      <c r="DO304" s="1033">
        <f t="shared" si="1271"/>
        <v>91.023778077412317</v>
      </c>
      <c r="DP304" s="1033">
        <f t="shared" si="1271"/>
        <v>93.524242931278636</v>
      </c>
      <c r="DQ304" s="1054">
        <f t="shared" si="1271"/>
        <v>95.054002939169948</v>
      </c>
      <c r="DR304" s="1054">
        <f t="shared" si="1271"/>
        <v>103.24515432740382</v>
      </c>
      <c r="DS304" s="1054">
        <f t="shared" si="1271"/>
        <v>101.86204045834037</v>
      </c>
      <c r="DT304" s="1054">
        <f t="shared" si="1271"/>
        <v>110.47492934616955</v>
      </c>
      <c r="DU304" s="1054">
        <f t="shared" si="1271"/>
        <v>124.11547576629633</v>
      </c>
      <c r="DV304" s="1054">
        <f t="shared" si="1271"/>
        <v>118.07255878695044</v>
      </c>
      <c r="DW304" s="1054">
        <f t="shared" si="1271"/>
        <v>97.259477406006312</v>
      </c>
      <c r="DX304" s="1054">
        <f t="shared" si="1271"/>
        <v>108.93242444580954</v>
      </c>
      <c r="DY304" s="1054">
        <f t="shared" si="1271"/>
        <v>110.66230528553254</v>
      </c>
      <c r="DZ304" s="1054">
        <f t="shared" si="1271"/>
        <v>118.41818705059292</v>
      </c>
      <c r="EA304" s="1054">
        <f t="shared" si="1271"/>
        <v>105.93935740353609</v>
      </c>
      <c r="EB304" s="1054">
        <f t="shared" si="1271"/>
        <v>124.88826720442623</v>
      </c>
      <c r="EC304" s="1054">
        <f t="shared" si="1271"/>
        <v>135.52170418992628</v>
      </c>
      <c r="ED304" s="1054">
        <f t="shared" si="1271"/>
        <v>143.83731194584507</v>
      </c>
      <c r="EE304" s="1054">
        <f t="shared" si="1271"/>
        <v>161.38497166426276</v>
      </c>
      <c r="EF304" s="1054">
        <f t="shared" si="1271"/>
        <v>154.50112253342834</v>
      </c>
    </row>
    <row r="305" spans="3:136">
      <c r="DQ305" s="963"/>
      <c r="DR305" s="963"/>
      <c r="DS305" s="963"/>
      <c r="DT305" s="963"/>
      <c r="DU305" s="963"/>
      <c r="DV305" s="963"/>
      <c r="DW305" s="963"/>
      <c r="DX305" s="963"/>
      <c r="DY305" s="963"/>
      <c r="DZ305" s="963"/>
      <c r="EA305" s="963"/>
      <c r="EB305" s="963"/>
      <c r="EC305" s="963"/>
      <c r="ED305" s="963"/>
      <c r="EE305" s="963"/>
      <c r="EF305" s="963"/>
    </row>
    <row r="306" spans="3:136">
      <c r="C306" s="17" t="s">
        <v>818</v>
      </c>
      <c r="BA306" s="628">
        <f t="shared" ref="BA306:DL306" si="1272">+BA299-BA304</f>
        <v>62.072177327809726</v>
      </c>
      <c r="BB306" s="628">
        <f t="shared" si="1272"/>
        <v>44.142408863562054</v>
      </c>
      <c r="BC306" s="628">
        <f t="shared" si="1272"/>
        <v>28.842736116225154</v>
      </c>
      <c r="BD306" s="628">
        <f t="shared" si="1272"/>
        <v>10.427097866188589</v>
      </c>
      <c r="BE306" s="628">
        <f t="shared" si="1272"/>
        <v>29.514486065406047</v>
      </c>
      <c r="BF306" s="628">
        <f t="shared" si="1272"/>
        <v>15.627042274565071</v>
      </c>
      <c r="BG306" s="628">
        <f t="shared" si="1272"/>
        <v>36.323664257994793</v>
      </c>
      <c r="BH306" s="628">
        <f t="shared" si="1272"/>
        <v>94.513182313495918</v>
      </c>
      <c r="BI306" s="628">
        <f t="shared" si="1272"/>
        <v>113.39185456823155</v>
      </c>
      <c r="BJ306" s="628">
        <f t="shared" si="1272"/>
        <v>140.00429207785149</v>
      </c>
      <c r="BK306" s="628">
        <f t="shared" si="1272"/>
        <v>203.22068697274653</v>
      </c>
      <c r="BL306" s="628">
        <f t="shared" si="1272"/>
        <v>173.0221996344344</v>
      </c>
      <c r="BM306" s="628">
        <f t="shared" si="1272"/>
        <v>96.797210802153984</v>
      </c>
      <c r="BN306" s="628">
        <f t="shared" si="1272"/>
        <v>78.811537620533215</v>
      </c>
      <c r="BO306" s="628">
        <f t="shared" si="1272"/>
        <v>84.634219641727753</v>
      </c>
      <c r="BP306" s="628">
        <f t="shared" si="1272"/>
        <v>80.35991636237074</v>
      </c>
      <c r="BQ306" s="628">
        <f t="shared" si="1272"/>
        <v>62.67362824254468</v>
      </c>
      <c r="BR306" s="628">
        <f t="shared" si="1272"/>
        <v>58.426368264139683</v>
      </c>
      <c r="BS306" s="628">
        <f t="shared" si="1272"/>
        <v>59.672171312640842</v>
      </c>
      <c r="BT306" s="628">
        <f t="shared" si="1272"/>
        <v>65.017637248244768</v>
      </c>
      <c r="BU306" s="628">
        <f t="shared" si="1272"/>
        <v>74.395076495546036</v>
      </c>
      <c r="BV306" s="628">
        <f t="shared" si="1272"/>
        <v>48.233927873000368</v>
      </c>
      <c r="BW306" s="628">
        <f t="shared" si="1272"/>
        <v>59.232934993804477</v>
      </c>
      <c r="BX306" s="628">
        <f t="shared" si="1272"/>
        <v>25.354173433789484</v>
      </c>
      <c r="BY306" s="628">
        <f t="shared" si="1272"/>
        <v>31.056392659483421</v>
      </c>
      <c r="BZ306" s="628">
        <f t="shared" si="1272"/>
        <v>12.123310715981262</v>
      </c>
      <c r="CA306" s="628">
        <f t="shared" si="1272"/>
        <v>5.8014913511865132</v>
      </c>
      <c r="CB306" s="628">
        <f t="shared" si="1272"/>
        <v>8.3761688637541738</v>
      </c>
      <c r="CC306" s="628">
        <f t="shared" si="1272"/>
        <v>6.5890547006679867</v>
      </c>
      <c r="CD306" s="628">
        <f t="shared" si="1272"/>
        <v>13.264568439648983</v>
      </c>
      <c r="CE306" s="628">
        <f t="shared" si="1272"/>
        <v>16.540289144858264</v>
      </c>
      <c r="CF306" s="628">
        <f t="shared" si="1272"/>
        <v>-8.0147564484715446</v>
      </c>
      <c r="CG306" s="628">
        <f t="shared" si="1272"/>
        <v>2.7167369374197392</v>
      </c>
      <c r="CH306" s="628">
        <f t="shared" si="1272"/>
        <v>11.934113186382859</v>
      </c>
      <c r="CI306" s="628">
        <f t="shared" si="1272"/>
        <v>15.119114906849262</v>
      </c>
      <c r="CJ306" s="628">
        <f t="shared" si="1272"/>
        <v>8.9227258462982206</v>
      </c>
      <c r="CK306" s="628">
        <f t="shared" si="1272"/>
        <v>18.150956699879487</v>
      </c>
      <c r="CL306" s="628">
        <f t="shared" si="1272"/>
        <v>-1.6344970188883394</v>
      </c>
      <c r="CM306" s="628">
        <f t="shared" si="1272"/>
        <v>-3.2245813219952595</v>
      </c>
      <c r="CN306" s="628">
        <f t="shared" si="1272"/>
        <v>-3.106790168986393</v>
      </c>
      <c r="CO306" s="628">
        <f t="shared" si="1272"/>
        <v>-8.2123284067651667</v>
      </c>
      <c r="CP306" s="628">
        <f t="shared" si="1272"/>
        <v>-16.411543009517374</v>
      </c>
      <c r="CQ306" s="628">
        <f t="shared" si="1272"/>
        <v>1.5954775660133862</v>
      </c>
      <c r="CR306" s="628">
        <f t="shared" si="1272"/>
        <v>-16.919223637871127</v>
      </c>
      <c r="CS306" s="628">
        <f t="shared" si="1272"/>
        <v>-6.0669324087304801</v>
      </c>
      <c r="CT306" s="628">
        <f t="shared" si="1272"/>
        <v>-2.6275025908446707</v>
      </c>
      <c r="CU306" s="628">
        <f t="shared" si="1272"/>
        <v>3.639285734463499</v>
      </c>
      <c r="CV306" s="628">
        <f t="shared" si="1272"/>
        <v>-12.873574310836304</v>
      </c>
      <c r="CW306" s="628">
        <f t="shared" si="1272"/>
        <v>-4.3037942886639229</v>
      </c>
      <c r="CX306" s="628">
        <f t="shared" si="1272"/>
        <v>4.3835342142738227</v>
      </c>
      <c r="CY306" s="628">
        <f t="shared" si="1272"/>
        <v>14.521585259154037</v>
      </c>
      <c r="CZ306" s="628">
        <f t="shared" si="1272"/>
        <v>-14.590779218743492</v>
      </c>
      <c r="DA306" s="628">
        <f t="shared" si="1272"/>
        <v>-11.675378080364951</v>
      </c>
      <c r="DB306" s="628">
        <f t="shared" si="1272"/>
        <v>6.8829285218674983</v>
      </c>
      <c r="DC306" s="628">
        <f t="shared" si="1272"/>
        <v>7.2273816332703831</v>
      </c>
      <c r="DD306" s="628">
        <f t="shared" si="1272"/>
        <v>19.443217991047781</v>
      </c>
      <c r="DE306" s="628">
        <f t="shared" si="1272"/>
        <v>28.326069505007979</v>
      </c>
      <c r="DF306" s="628">
        <f t="shared" si="1272"/>
        <v>30.984694952179026</v>
      </c>
      <c r="DG306" s="628">
        <f t="shared" si="1272"/>
        <v>22.044570433637134</v>
      </c>
      <c r="DH306" s="628">
        <f t="shared" si="1272"/>
        <v>14.311246356028022</v>
      </c>
      <c r="DI306" s="628">
        <f t="shared" si="1272"/>
        <v>31.610980190449311</v>
      </c>
      <c r="DJ306" s="628">
        <f t="shared" si="1272"/>
        <v>23.556232727492514</v>
      </c>
      <c r="DK306" s="628">
        <f t="shared" si="1272"/>
        <v>47.0840039637297</v>
      </c>
      <c r="DL306" s="628">
        <f t="shared" si="1272"/>
        <v>48.821484838444917</v>
      </c>
      <c r="DM306" s="628">
        <f t="shared" ref="DM306:EF306" si="1273">+DM299-DM304</f>
        <v>55.105649995819519</v>
      </c>
      <c r="DN306" s="628">
        <f t="shared" si="1273"/>
        <v>52.346561499880153</v>
      </c>
      <c r="DO306" s="628">
        <f t="shared" si="1273"/>
        <v>50.987081531549393</v>
      </c>
      <c r="DP306" s="628">
        <f t="shared" si="1273"/>
        <v>51.587381200187579</v>
      </c>
      <c r="DQ306" s="963">
        <f t="shared" si="1273"/>
        <v>47.423323163576583</v>
      </c>
      <c r="DR306" s="963">
        <f t="shared" si="1273"/>
        <v>24.64224711020573</v>
      </c>
      <c r="DS306" s="963">
        <f t="shared" si="1273"/>
        <v>41.223847855067845</v>
      </c>
      <c r="DT306" s="963">
        <f t="shared" si="1273"/>
        <v>34.999641756244358</v>
      </c>
      <c r="DU306" s="963">
        <f t="shared" si="1273"/>
        <v>42.27931713880136</v>
      </c>
      <c r="DV306" s="963">
        <f t="shared" si="1273"/>
        <v>18.447308083302531</v>
      </c>
      <c r="DW306" s="963">
        <f t="shared" si="1273"/>
        <v>30.989123012541853</v>
      </c>
      <c r="DX306" s="963">
        <f t="shared" si="1273"/>
        <v>27.62032246404857</v>
      </c>
      <c r="DY306" s="963">
        <f t="shared" si="1273"/>
        <v>8.7307995260215421</v>
      </c>
      <c r="DZ306" s="963">
        <f t="shared" si="1273"/>
        <v>-9.3727175829832419</v>
      </c>
      <c r="EA306" s="963">
        <f t="shared" si="1273"/>
        <v>22.861578167918736</v>
      </c>
      <c r="EB306" s="963">
        <f t="shared" si="1273"/>
        <v>-0.93423910731439719</v>
      </c>
      <c r="EC306" s="963">
        <f t="shared" si="1273"/>
        <v>4.6178444200020579</v>
      </c>
      <c r="ED306" s="963">
        <f t="shared" si="1273"/>
        <v>5.8976166445062859</v>
      </c>
      <c r="EE306" s="963">
        <f t="shared" si="1273"/>
        <v>-6.9299014020378138</v>
      </c>
      <c r="EF306" s="963">
        <f t="shared" si="1273"/>
        <v>-45.12950206663389</v>
      </c>
    </row>
    <row r="307" spans="3:136">
      <c r="C307" s="17" t="s">
        <v>826</v>
      </c>
      <c r="BA307" s="77">
        <f t="shared" ref="BA307:CF307" si="1274">+BA306*SUM(AP11:BA11)/360</f>
        <v>2509.8326272922191</v>
      </c>
      <c r="BB307" s="77">
        <f t="shared" si="1274"/>
        <v>1645.1576447325374</v>
      </c>
      <c r="BC307" s="77">
        <f t="shared" si="1274"/>
        <v>964.59757719861125</v>
      </c>
      <c r="BD307" s="77">
        <f t="shared" si="1274"/>
        <v>313.06023606414959</v>
      </c>
      <c r="BE307" s="77">
        <f t="shared" si="1274"/>
        <v>827.05800152226686</v>
      </c>
      <c r="BF307" s="77">
        <f t="shared" si="1274"/>
        <v>412.61184235883724</v>
      </c>
      <c r="BG307" s="77">
        <f t="shared" si="1274"/>
        <v>844.03376519764129</v>
      </c>
      <c r="BH307" s="77">
        <f t="shared" si="1274"/>
        <v>1933.1384999305269</v>
      </c>
      <c r="BI307" s="77">
        <f t="shared" si="1274"/>
        <v>1920.7601299004054</v>
      </c>
      <c r="BJ307" s="77">
        <f t="shared" si="1274"/>
        <v>1998.3356248399098</v>
      </c>
      <c r="BK307" s="77">
        <f t="shared" si="1274"/>
        <v>2950.5607186553748</v>
      </c>
      <c r="BL307" s="77">
        <f t="shared" si="1274"/>
        <v>2956.7700248720439</v>
      </c>
      <c r="BM307" s="77">
        <f t="shared" si="1274"/>
        <v>1831.0494873822163</v>
      </c>
      <c r="BN307" s="77">
        <f t="shared" si="1274"/>
        <v>1669.8792039191826</v>
      </c>
      <c r="BO307" s="77">
        <f t="shared" si="1274"/>
        <v>2001.6828731250396</v>
      </c>
      <c r="BP307" s="77">
        <f t="shared" si="1274"/>
        <v>2203.2968674104864</v>
      </c>
      <c r="BQ307" s="77">
        <f t="shared" si="1274"/>
        <v>1807.9145662369226</v>
      </c>
      <c r="BR307" s="77">
        <f t="shared" si="1274"/>
        <v>1799.3237327342413</v>
      </c>
      <c r="BS307" s="77">
        <f t="shared" si="1274"/>
        <v>1959.364329154392</v>
      </c>
      <c r="BT307" s="77">
        <f t="shared" si="1274"/>
        <v>2267.2983578140115</v>
      </c>
      <c r="BU307" s="77">
        <f t="shared" si="1274"/>
        <v>2724.0395250726888</v>
      </c>
      <c r="BV307" s="77">
        <f t="shared" si="1274"/>
        <v>1851.8696294208617</v>
      </c>
      <c r="BW307" s="77">
        <f t="shared" si="1274"/>
        <v>2321.0410429206668</v>
      </c>
      <c r="BX307" s="77">
        <f t="shared" si="1274"/>
        <v>959.85371723409469</v>
      </c>
      <c r="BY307" s="77">
        <f t="shared" si="1274"/>
        <v>1157.442932615694</v>
      </c>
      <c r="BZ307" s="77">
        <f t="shared" si="1274"/>
        <v>446.90081294168709</v>
      </c>
      <c r="CA307" s="77">
        <f t="shared" si="1274"/>
        <v>211.28990019568474</v>
      </c>
      <c r="CB307" s="77">
        <f t="shared" si="1274"/>
        <v>289.88173194128996</v>
      </c>
      <c r="CC307" s="77">
        <f t="shared" si="1274"/>
        <v>221.71856204184252</v>
      </c>
      <c r="CD307" s="77">
        <f t="shared" si="1274"/>
        <v>441.30319500912617</v>
      </c>
      <c r="CE307" s="77">
        <f t="shared" si="1274"/>
        <v>551.255279744615</v>
      </c>
      <c r="CF307" s="77">
        <f t="shared" si="1274"/>
        <v>-279.02954380841709</v>
      </c>
      <c r="CG307" s="77">
        <f t="shared" ref="CG307:DH307" si="1275">+CG306*SUM(BV11:CG11)/360</f>
        <v>97.02723154300547</v>
      </c>
      <c r="CH307" s="77">
        <f t="shared" si="1275"/>
        <v>433.65498304015586</v>
      </c>
      <c r="CI307" s="77">
        <f t="shared" si="1275"/>
        <v>572.18310082228766</v>
      </c>
      <c r="CJ307" s="77">
        <f t="shared" si="1275"/>
        <v>350.7259280050103</v>
      </c>
      <c r="CK307" s="77">
        <f t="shared" si="1275"/>
        <v>743.45277947873058</v>
      </c>
      <c r="CL307" s="77">
        <f t="shared" si="1275"/>
        <v>-68.042982797080555</v>
      </c>
      <c r="CM307" s="77">
        <f t="shared" si="1275"/>
        <v>-141.92502129235811</v>
      </c>
      <c r="CN307" s="77">
        <f t="shared" si="1275"/>
        <v>-142.92738279814068</v>
      </c>
      <c r="CO307" s="77">
        <f t="shared" si="1275"/>
        <v>-403.56027541442279</v>
      </c>
      <c r="CP307" s="77">
        <f t="shared" si="1275"/>
        <v>-836.24333119236542</v>
      </c>
      <c r="CQ307" s="77">
        <f t="shared" si="1275"/>
        <v>84.080820613415682</v>
      </c>
      <c r="CR307" s="77">
        <f t="shared" si="1275"/>
        <v>-902.06151404258173</v>
      </c>
      <c r="CS307" s="77">
        <f t="shared" si="1275"/>
        <v>-334.2268358448419</v>
      </c>
      <c r="CT307" s="77">
        <f t="shared" si="1275"/>
        <v>-151.2183174188238</v>
      </c>
      <c r="CU307" s="77">
        <f t="shared" si="1275"/>
        <v>211.30469165584319</v>
      </c>
      <c r="CV307" s="77">
        <f t="shared" si="1275"/>
        <v>-759.16007540059422</v>
      </c>
      <c r="CW307" s="77">
        <f t="shared" si="1275"/>
        <v>-258.32260240546248</v>
      </c>
      <c r="CX307" s="77">
        <f t="shared" si="1275"/>
        <v>266.95758893752441</v>
      </c>
      <c r="CY307" s="77">
        <f t="shared" si="1275"/>
        <v>885.88728135116457</v>
      </c>
      <c r="CZ307" s="77">
        <f t="shared" si="1275"/>
        <v>-842.99564133745378</v>
      </c>
      <c r="DA307" s="77">
        <f t="shared" si="1275"/>
        <v>-629.45329561323672</v>
      </c>
      <c r="DB307" s="77">
        <f t="shared" si="1275"/>
        <v>348.91408068042881</v>
      </c>
      <c r="DC307" s="77">
        <f t="shared" si="1275"/>
        <v>342.11943675282487</v>
      </c>
      <c r="DD307" s="77">
        <f t="shared" si="1275"/>
        <v>880.73044914275897</v>
      </c>
      <c r="DE307" s="77">
        <f t="shared" si="1275"/>
        <v>1224.437033457699</v>
      </c>
      <c r="DF307" s="77">
        <f t="shared" si="1275"/>
        <v>1248.7473665935622</v>
      </c>
      <c r="DG307" s="77">
        <f t="shared" si="1275"/>
        <v>815.10195472391285</v>
      </c>
      <c r="DH307" s="77">
        <f t="shared" si="1275"/>
        <v>501.68420870426633</v>
      </c>
      <c r="DI307" s="77">
        <f t="shared" ref="DI307:EF307" si="1276">+DI306*SUM(CX11:DI11)/360</f>
        <v>1030.8029511017464</v>
      </c>
      <c r="DJ307" s="77">
        <f t="shared" si="1276"/>
        <v>715.08477288540121</v>
      </c>
      <c r="DK307" s="77">
        <f t="shared" si="1276"/>
        <v>1326.7138905538663</v>
      </c>
      <c r="DL307" s="77">
        <f t="shared" si="1276"/>
        <v>1506.3274969374204</v>
      </c>
      <c r="DM307" s="77">
        <f t="shared" si="1276"/>
        <v>1815.6112886224541</v>
      </c>
      <c r="DN307" s="77">
        <f t="shared" si="1276"/>
        <v>1826.4354963692147</v>
      </c>
      <c r="DO307" s="77">
        <f t="shared" si="1276"/>
        <v>1881.2397435542312</v>
      </c>
      <c r="DP307" s="77">
        <f t="shared" si="1276"/>
        <v>1936.8274423773132</v>
      </c>
      <c r="DQ307" s="963">
        <f t="shared" si="1276"/>
        <v>1809.9484626425901</v>
      </c>
      <c r="DR307" s="963">
        <f t="shared" si="1276"/>
        <v>952.37341070970808</v>
      </c>
      <c r="DS307" s="963">
        <f t="shared" si="1276"/>
        <v>1649.5504084783799</v>
      </c>
      <c r="DT307" s="963">
        <f t="shared" si="1276"/>
        <v>1468.9983552598974</v>
      </c>
      <c r="DU307" s="963">
        <f t="shared" si="1276"/>
        <v>1869.0754804925609</v>
      </c>
      <c r="DV307" s="963">
        <f t="shared" si="1276"/>
        <v>843.68202097914309</v>
      </c>
      <c r="DW307" s="963">
        <f t="shared" si="1276"/>
        <v>1466.2053169142882</v>
      </c>
      <c r="DX307" s="963">
        <f t="shared" si="1276"/>
        <v>1320.2151713649316</v>
      </c>
      <c r="DY307" s="963">
        <f t="shared" si="1276"/>
        <v>429.77906364584254</v>
      </c>
      <c r="DZ307" s="963">
        <f t="shared" si="1276"/>
        <v>-497.44346204575783</v>
      </c>
      <c r="EA307" s="963">
        <f t="shared" si="1276"/>
        <v>1264.3127582801847</v>
      </c>
      <c r="EB307" s="963">
        <f t="shared" si="1276"/>
        <v>-54.74916000177685</v>
      </c>
      <c r="EC307" s="963">
        <f t="shared" si="1276"/>
        <v>290.84212285509454</v>
      </c>
      <c r="ED307" s="963">
        <f t="shared" si="1276"/>
        <v>412.57787265222481</v>
      </c>
      <c r="EE307" s="963">
        <f t="shared" si="1276"/>
        <v>-538.70719162520436</v>
      </c>
      <c r="EF307" s="963">
        <f t="shared" si="1276"/>
        <v>-3784.8075734293393</v>
      </c>
    </row>
    <row r="308" spans="3:136">
      <c r="DQ308" s="963"/>
      <c r="DR308" s="963"/>
      <c r="DS308" s="963"/>
      <c r="DT308" s="963"/>
      <c r="DU308" s="963"/>
      <c r="DV308" s="963"/>
      <c r="DW308" s="963"/>
      <c r="DX308" s="963"/>
      <c r="DY308" s="963"/>
      <c r="DZ308" s="963"/>
      <c r="EA308" s="963"/>
      <c r="EB308" s="963"/>
      <c r="EC308" s="963"/>
      <c r="ED308" s="963"/>
      <c r="EE308" s="963"/>
      <c r="EF308" s="963"/>
    </row>
    <row r="309" spans="3:136">
      <c r="C309" s="25" t="s">
        <v>827</v>
      </c>
      <c r="CC309"/>
      <c r="DQ309" s="963"/>
      <c r="DR309" s="963"/>
      <c r="DS309" s="963"/>
      <c r="DT309" s="963"/>
      <c r="DU309" s="963"/>
      <c r="DV309" s="963"/>
      <c r="DW309" s="963"/>
      <c r="DX309" s="963"/>
      <c r="DY309" s="963"/>
      <c r="DZ309" s="963"/>
      <c r="EA309" s="963"/>
      <c r="EB309" s="963"/>
      <c r="EC309" s="963"/>
      <c r="ED309" s="963"/>
      <c r="EE309" s="963"/>
      <c r="EF309" s="963"/>
    </row>
    <row r="310" spans="3:136">
      <c r="C310" s="47" t="s">
        <v>828</v>
      </c>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1177"/>
      <c r="AR310" s="47"/>
      <c r="AS310" s="47"/>
      <c r="AT310" s="47"/>
      <c r="AU310" s="47"/>
      <c r="AV310" s="47"/>
      <c r="AW310" s="47"/>
      <c r="AX310" s="47"/>
      <c r="AY310" s="47"/>
      <c r="AZ310" s="47"/>
      <c r="BA310" s="1053">
        <f t="shared" ref="BA310:DL310" si="1277">+BA118</f>
        <v>639.71991041000001</v>
      </c>
      <c r="BB310" s="1053">
        <f t="shared" si="1277"/>
        <v>816.52032979000001</v>
      </c>
      <c r="BC310" s="1053">
        <f t="shared" si="1277"/>
        <v>452.61249125000001</v>
      </c>
      <c r="BD310" s="1053">
        <f t="shared" si="1277"/>
        <v>1506.3966861600002</v>
      </c>
      <c r="BE310" s="1053">
        <f t="shared" si="1277"/>
        <v>499.77373542000004</v>
      </c>
      <c r="BF310" s="1053">
        <f t="shared" si="1277"/>
        <v>161.23459261000002</v>
      </c>
      <c r="BG310" s="1053">
        <f t="shared" si="1277"/>
        <v>267.75896308</v>
      </c>
      <c r="BH310" s="1053">
        <f t="shared" si="1277"/>
        <v>15.51668682</v>
      </c>
      <c r="BI310" s="1053">
        <f t="shared" si="1277"/>
        <v>255.01679605999999</v>
      </c>
      <c r="BJ310" s="1053">
        <f t="shared" si="1277"/>
        <v>188.56719293999998</v>
      </c>
      <c r="BK310" s="1053">
        <f t="shared" si="1277"/>
        <v>1201.4780900399999</v>
      </c>
      <c r="BL310" s="1053">
        <f t="shared" si="1277"/>
        <v>994.77457359000005</v>
      </c>
      <c r="BM310" s="1053">
        <f t="shared" si="1277"/>
        <v>718.85212844</v>
      </c>
      <c r="BN310" s="1053">
        <f t="shared" si="1277"/>
        <v>109.49317959999999</v>
      </c>
      <c r="BO310" s="1053">
        <f t="shared" si="1277"/>
        <v>532.60934043999998</v>
      </c>
      <c r="BP310" s="1053">
        <f t="shared" si="1277"/>
        <v>273.69954139999999</v>
      </c>
      <c r="BQ310" s="1053">
        <f t="shared" si="1277"/>
        <v>809.50538270000004</v>
      </c>
      <c r="BR310" s="1053">
        <f t="shared" si="1277"/>
        <v>760.83605007000006</v>
      </c>
      <c r="BS310" s="1053">
        <f t="shared" si="1277"/>
        <v>476.58964413999996</v>
      </c>
      <c r="BT310" s="1053">
        <f t="shared" si="1277"/>
        <v>581.39037716999997</v>
      </c>
      <c r="BU310" s="1053">
        <f t="shared" si="1277"/>
        <v>220.19216511000002</v>
      </c>
      <c r="BV310" s="1053">
        <f t="shared" si="1277"/>
        <v>1055.3493798500001</v>
      </c>
      <c r="BW310" s="1053">
        <f t="shared" si="1277"/>
        <v>882.44866953999997</v>
      </c>
      <c r="BX310" s="1053">
        <f t="shared" si="1277"/>
        <v>1388.09621137</v>
      </c>
      <c r="BY310" s="1053">
        <f t="shared" si="1277"/>
        <v>667.90073370000005</v>
      </c>
      <c r="BZ310" s="1053">
        <f t="shared" si="1277"/>
        <v>702.00959488000001</v>
      </c>
      <c r="CA310" s="1053">
        <f t="shared" si="1277"/>
        <v>510.77248453999999</v>
      </c>
      <c r="CB310" s="1053">
        <f t="shared" si="1277"/>
        <v>671.07141213</v>
      </c>
      <c r="CC310" s="1176">
        <f t="shared" si="1277"/>
        <v>738.70474507000006</v>
      </c>
      <c r="CD310" s="1053">
        <f t="shared" si="1277"/>
        <v>629.21219284000006</v>
      </c>
      <c r="CE310" s="1053">
        <f t="shared" si="1277"/>
        <v>1715.98444193</v>
      </c>
      <c r="CF310" s="1053">
        <f t="shared" si="1277"/>
        <v>1509.72160919</v>
      </c>
      <c r="CG310" s="1053">
        <f t="shared" si="1277"/>
        <v>782.64187455999991</v>
      </c>
      <c r="CH310" s="1053">
        <f t="shared" si="1277"/>
        <v>427.26837176999999</v>
      </c>
      <c r="CI310" s="1053">
        <f t="shared" si="1277"/>
        <v>407.80054681000001</v>
      </c>
      <c r="CJ310" s="1053">
        <f t="shared" si="1277"/>
        <v>571.73365359000002</v>
      </c>
      <c r="CK310" s="1053">
        <f t="shared" si="1277"/>
        <v>155.42977234</v>
      </c>
      <c r="CL310" s="1053">
        <f t="shared" si="1277"/>
        <v>477.99723272000006</v>
      </c>
      <c r="CM310" s="1053">
        <f t="shared" si="1277"/>
        <v>520.68249633999994</v>
      </c>
      <c r="CN310" s="1053">
        <f t="shared" si="1277"/>
        <v>462.44139431999997</v>
      </c>
      <c r="CO310" s="1053">
        <f t="shared" si="1277"/>
        <v>539.25651461000007</v>
      </c>
      <c r="CP310" s="1053">
        <f t="shared" si="1277"/>
        <v>749.59060105999993</v>
      </c>
      <c r="CQ310" s="1053">
        <f t="shared" si="1277"/>
        <v>1199.6205524000002</v>
      </c>
      <c r="CR310" s="1053">
        <f t="shared" si="1277"/>
        <v>1980.7564374600001</v>
      </c>
      <c r="CS310" s="1053">
        <f t="shared" si="1277"/>
        <v>1907.68393758</v>
      </c>
      <c r="CT310" s="1053">
        <f t="shared" si="1277"/>
        <v>1463.4634760199999</v>
      </c>
      <c r="CU310" s="1053">
        <f t="shared" si="1277"/>
        <v>1025.66350713</v>
      </c>
      <c r="CV310" s="1053">
        <f t="shared" si="1277"/>
        <v>1771.27937219</v>
      </c>
      <c r="CW310" s="1053">
        <f t="shared" si="1277"/>
        <v>1439.87897802</v>
      </c>
      <c r="CX310" s="1053">
        <f t="shared" si="1277"/>
        <v>693.67248210000002</v>
      </c>
      <c r="CY310" s="1053">
        <f t="shared" si="1277"/>
        <v>300.89807716000001</v>
      </c>
      <c r="CZ310" s="1053">
        <f t="shared" si="1277"/>
        <v>1616.4487882999999</v>
      </c>
      <c r="DA310" s="1053">
        <f t="shared" si="1277"/>
        <v>1255.9867732600001</v>
      </c>
      <c r="DB310" s="1053">
        <f t="shared" si="1277"/>
        <v>1741.70615357</v>
      </c>
      <c r="DC310" s="1053">
        <f t="shared" si="1277"/>
        <v>1403.95910942</v>
      </c>
      <c r="DD310" s="1053">
        <f t="shared" si="1277"/>
        <v>909.46979744000009</v>
      </c>
      <c r="DE310" s="1053">
        <f t="shared" si="1277"/>
        <v>370.59758851999999</v>
      </c>
      <c r="DF310" s="1053">
        <f t="shared" si="1277"/>
        <v>487.45576002999996</v>
      </c>
      <c r="DG310" s="1053">
        <f t="shared" si="1277"/>
        <v>489.28558096</v>
      </c>
      <c r="DH310" s="1053">
        <f t="shared" si="1277"/>
        <v>1512.67682281</v>
      </c>
      <c r="DI310" s="1053">
        <f t="shared" si="1277"/>
        <v>888.06089162000001</v>
      </c>
      <c r="DJ310" s="1053">
        <f t="shared" si="1277"/>
        <v>1176.2797645599999</v>
      </c>
      <c r="DK310" s="1053">
        <f t="shared" si="1277"/>
        <v>858.49408739</v>
      </c>
      <c r="DL310" s="1053">
        <f t="shared" si="1277"/>
        <v>1450.47924051</v>
      </c>
      <c r="DM310" s="1053">
        <f t="shared" ref="DM310:EF310" si="1278">+DM118</f>
        <v>1190.4904555099999</v>
      </c>
      <c r="DN310" s="1053">
        <f t="shared" si="1278"/>
        <v>1151.4078454400001</v>
      </c>
      <c r="DO310" s="1053">
        <f t="shared" si="1278"/>
        <v>980.39310338999996</v>
      </c>
      <c r="DP310" s="1053">
        <f t="shared" si="1278"/>
        <v>919.07762648000005</v>
      </c>
      <c r="DQ310" s="961">
        <f t="shared" si="1278"/>
        <v>1002.16662962</v>
      </c>
      <c r="DR310" s="961">
        <f t="shared" si="1278"/>
        <v>1689.8505163099999</v>
      </c>
      <c r="DS310" s="961">
        <f t="shared" si="1278"/>
        <v>925.62286967</v>
      </c>
      <c r="DT310" s="961">
        <f t="shared" si="1278"/>
        <v>747.73482663000004</v>
      </c>
      <c r="DU310" s="961">
        <f t="shared" si="1278"/>
        <v>433.50848317999998</v>
      </c>
      <c r="DV310" s="961">
        <f t="shared" si="1278"/>
        <v>996.37145862</v>
      </c>
      <c r="DW310" s="961">
        <f t="shared" si="1278"/>
        <v>407.33405283999997</v>
      </c>
      <c r="DX310" s="961">
        <f t="shared" si="1278"/>
        <v>199.19478481000002</v>
      </c>
      <c r="DY310" s="961">
        <f t="shared" si="1278"/>
        <v>321.31342788000001</v>
      </c>
      <c r="DZ310" s="961">
        <f t="shared" si="1278"/>
        <v>967.08853899999997</v>
      </c>
      <c r="EA310" s="961">
        <f t="shared" si="1278"/>
        <v>742.95935427999996</v>
      </c>
      <c r="EB310" s="961">
        <f t="shared" si="1278"/>
        <v>1142.3230494700001</v>
      </c>
      <c r="EC310" s="961">
        <f t="shared" si="1278"/>
        <v>530.92659312000001</v>
      </c>
      <c r="ED310" s="961">
        <f t="shared" si="1278"/>
        <v>621.63636726000004</v>
      </c>
      <c r="EE310" s="961">
        <f t="shared" si="1278"/>
        <v>582.54742284000008</v>
      </c>
      <c r="EF310" s="961">
        <f t="shared" si="1278"/>
        <v>1780.0150192999999</v>
      </c>
    </row>
    <row r="311" spans="3:136">
      <c r="C311" s="17" t="s">
        <v>829</v>
      </c>
      <c r="BA311" s="77">
        <f t="shared" ref="BA311:DL311" si="1279">+BA121+BA122+BA123+BA124+BA134+BA135</f>
        <v>9858.2418330000019</v>
      </c>
      <c r="BB311" s="77">
        <f t="shared" si="1279"/>
        <v>9062.0735724999995</v>
      </c>
      <c r="BC311" s="77">
        <f t="shared" si="1279"/>
        <v>8203.1702713800005</v>
      </c>
      <c r="BD311" s="77">
        <f t="shared" si="1279"/>
        <v>6986.0277160599999</v>
      </c>
      <c r="BE311" s="77">
        <f t="shared" si="1279"/>
        <v>6982.1227845099993</v>
      </c>
      <c r="BF311" s="77">
        <f t="shared" si="1279"/>
        <v>7059.2958359499999</v>
      </c>
      <c r="BG311" s="77">
        <f t="shared" si="1279"/>
        <v>7190.4140771900002</v>
      </c>
      <c r="BH311" s="77">
        <f t="shared" si="1279"/>
        <v>6356.6778817299992</v>
      </c>
      <c r="BI311" s="77">
        <f t="shared" si="1279"/>
        <v>5990.5233416599995</v>
      </c>
      <c r="BJ311" s="77">
        <f t="shared" si="1279"/>
        <v>6128.7680624799996</v>
      </c>
      <c r="BK311" s="77">
        <f t="shared" si="1279"/>
        <v>5219.7041757299994</v>
      </c>
      <c r="BL311" s="77">
        <f t="shared" si="1279"/>
        <v>6590.8676114399996</v>
      </c>
      <c r="BM311" s="77">
        <f t="shared" si="1279"/>
        <v>7349.6962048300002</v>
      </c>
      <c r="BN311" s="77">
        <f t="shared" si="1279"/>
        <v>7966.6780430499994</v>
      </c>
      <c r="BO311" s="77">
        <f t="shared" si="1279"/>
        <v>7706.3452299700002</v>
      </c>
      <c r="BP311" s="77">
        <f t="shared" si="1279"/>
        <v>8409.7576590500012</v>
      </c>
      <c r="BQ311" s="77">
        <f t="shared" si="1279"/>
        <v>7480.9544032700005</v>
      </c>
      <c r="BR311" s="77">
        <f t="shared" si="1279"/>
        <v>7501.8772309500009</v>
      </c>
      <c r="BS311" s="77">
        <f t="shared" si="1279"/>
        <v>7913.8402906600004</v>
      </c>
      <c r="BT311" s="77">
        <f t="shared" si="1279"/>
        <v>7827.6906110600003</v>
      </c>
      <c r="BU311" s="77">
        <f t="shared" si="1279"/>
        <v>7931.43824915</v>
      </c>
      <c r="BV311" s="77">
        <f t="shared" si="1279"/>
        <v>7549.4050655299998</v>
      </c>
      <c r="BW311" s="77">
        <f t="shared" si="1279"/>
        <v>7679.6671845999999</v>
      </c>
      <c r="BX311" s="77">
        <f t="shared" si="1279"/>
        <v>7087.0863352200013</v>
      </c>
      <c r="BY311" s="77">
        <f t="shared" si="1279"/>
        <v>7573.3967866100011</v>
      </c>
      <c r="BZ311" s="77">
        <f t="shared" si="1279"/>
        <v>7285.6526918700001</v>
      </c>
      <c r="CA311" s="77">
        <f t="shared" si="1279"/>
        <v>7325.4971001200001</v>
      </c>
      <c r="CB311" s="77">
        <f t="shared" si="1279"/>
        <v>6729.9038866600004</v>
      </c>
      <c r="CC311" s="279">
        <f t="shared" si="1279"/>
        <v>6042.5018794899997</v>
      </c>
      <c r="CD311" s="77">
        <f t="shared" si="1279"/>
        <v>6220.507122009999</v>
      </c>
      <c r="CE311" s="77">
        <f t="shared" si="1279"/>
        <v>5145.2835092599998</v>
      </c>
      <c r="CF311" s="77">
        <f t="shared" si="1279"/>
        <v>5511.4335300100001</v>
      </c>
      <c r="CG311" s="77">
        <f t="shared" si="1279"/>
        <v>6352.1382350100002</v>
      </c>
      <c r="CH311" s="77">
        <f t="shared" si="1279"/>
        <v>7248.3405575400011</v>
      </c>
      <c r="CI311" s="77">
        <f t="shared" si="1279"/>
        <v>7807.8767521400014</v>
      </c>
      <c r="CJ311" s="77">
        <f t="shared" si="1279"/>
        <v>7645.4361783300001</v>
      </c>
      <c r="CK311" s="77">
        <f t="shared" si="1279"/>
        <v>8453.2045851700004</v>
      </c>
      <c r="CL311" s="77">
        <f t="shared" si="1279"/>
        <v>7901.8171494200005</v>
      </c>
      <c r="CM311" s="77">
        <f t="shared" si="1279"/>
        <v>8304.2198851499998</v>
      </c>
      <c r="CN311" s="77">
        <f t="shared" si="1279"/>
        <v>8682.5460448199992</v>
      </c>
      <c r="CO311" s="77">
        <f t="shared" si="1279"/>
        <v>8709.6773496900005</v>
      </c>
      <c r="CP311" s="77">
        <f t="shared" si="1279"/>
        <v>8348.8281821700002</v>
      </c>
      <c r="CQ311" s="77">
        <f t="shared" si="1279"/>
        <v>7678.4543259499997</v>
      </c>
      <c r="CR311" s="77">
        <f t="shared" si="1279"/>
        <v>7569.7791045699996</v>
      </c>
      <c r="CS311" s="77">
        <f t="shared" si="1279"/>
        <v>7815.4341087200009</v>
      </c>
      <c r="CT311" s="77">
        <f t="shared" si="1279"/>
        <v>9510.8741900299992</v>
      </c>
      <c r="CU311" s="77">
        <f t="shared" si="1279"/>
        <v>9950.7536746099995</v>
      </c>
      <c r="CV311" s="77">
        <f t="shared" si="1279"/>
        <v>9266.8651842000017</v>
      </c>
      <c r="CW311" s="77">
        <f t="shared" si="1279"/>
        <v>9605.5544461800018</v>
      </c>
      <c r="CX311" s="77">
        <f t="shared" si="1279"/>
        <v>10478.007660769999</v>
      </c>
      <c r="CY311" s="77">
        <f t="shared" si="1279"/>
        <v>12282.53526542</v>
      </c>
      <c r="CZ311" s="77">
        <f t="shared" si="1279"/>
        <v>9756.6882004099989</v>
      </c>
      <c r="DA311" s="77">
        <f t="shared" si="1279"/>
        <v>8314.1780486900007</v>
      </c>
      <c r="DB311" s="77">
        <f t="shared" si="1279"/>
        <v>4463.6861183299989</v>
      </c>
      <c r="DC311" s="77">
        <f t="shared" si="1279"/>
        <v>4326.0412161500008</v>
      </c>
      <c r="DD311" s="77">
        <f t="shared" si="1279"/>
        <v>5318.8223554400001</v>
      </c>
      <c r="DE311" s="77">
        <f t="shared" si="1279"/>
        <v>6490.5109507199995</v>
      </c>
      <c r="DF311" s="77">
        <f t="shared" si="1279"/>
        <v>6805.7080806000004</v>
      </c>
      <c r="DG311" s="77">
        <f t="shared" si="1279"/>
        <v>6970.9236397299992</v>
      </c>
      <c r="DH311" s="77">
        <f t="shared" si="1279"/>
        <v>6628.8579295500003</v>
      </c>
      <c r="DI311" s="77">
        <f t="shared" si="1279"/>
        <v>7101.0129993500004</v>
      </c>
      <c r="DJ311" s="77">
        <f t="shared" si="1279"/>
        <v>6497.6113582299995</v>
      </c>
      <c r="DK311" s="77">
        <f t="shared" si="1279"/>
        <v>6593.2089520400004</v>
      </c>
      <c r="DL311" s="77">
        <f t="shared" si="1279"/>
        <v>7210.01228498</v>
      </c>
      <c r="DM311" s="77">
        <f t="shared" ref="DM311:EF311" si="1280">+DM121+DM122+DM123+DM124+DM134+DM135</f>
        <v>7564.8187753100001</v>
      </c>
      <c r="DN311" s="77">
        <f t="shared" si="1280"/>
        <v>7628.8763336599995</v>
      </c>
      <c r="DO311" s="77">
        <f t="shared" si="1280"/>
        <v>8045.1197662700015</v>
      </c>
      <c r="DP311" s="77">
        <f t="shared" si="1280"/>
        <v>8401.0695643700019</v>
      </c>
      <c r="DQ311" s="963">
        <f t="shared" si="1280"/>
        <v>6974.6469251600001</v>
      </c>
      <c r="DR311" s="963">
        <f t="shared" si="1280"/>
        <v>6544.61859104</v>
      </c>
      <c r="DS311" s="963">
        <f t="shared" si="1280"/>
        <v>7451.1225649400003</v>
      </c>
      <c r="DT311" s="963">
        <f t="shared" si="1280"/>
        <v>7775.1548978600003</v>
      </c>
      <c r="DU311" s="963">
        <f t="shared" si="1280"/>
        <v>9392.1993936299987</v>
      </c>
      <c r="DV311" s="963">
        <f t="shared" si="1280"/>
        <v>8441.8692136900008</v>
      </c>
      <c r="DW311" s="963">
        <f t="shared" si="1280"/>
        <v>8352.8681084400014</v>
      </c>
      <c r="DX311" s="963">
        <f t="shared" si="1280"/>
        <v>8892.1668201799985</v>
      </c>
      <c r="DY311" s="963">
        <f t="shared" si="1280"/>
        <v>8766.2195393000002</v>
      </c>
      <c r="DZ311" s="963">
        <f t="shared" si="1280"/>
        <v>8863.5380005700008</v>
      </c>
      <c r="EA311" s="963">
        <f t="shared" si="1280"/>
        <v>8758.8393620999977</v>
      </c>
      <c r="EB311" s="963">
        <f t="shared" si="1280"/>
        <v>9257.0972470199995</v>
      </c>
      <c r="EC311" s="963">
        <f t="shared" si="1280"/>
        <v>11174.612696139999</v>
      </c>
      <c r="ED311" s="963">
        <f t="shared" si="1280"/>
        <v>13003.934687110001</v>
      </c>
      <c r="EE311" s="963">
        <f t="shared" si="1280"/>
        <v>15186.469242819998</v>
      </c>
      <c r="EF311" s="963">
        <f t="shared" si="1280"/>
        <v>13121.140694939999</v>
      </c>
    </row>
    <row r="312" spans="3:136">
      <c r="C312" s="17" t="s">
        <v>830</v>
      </c>
      <c r="BA312" s="77">
        <f t="shared" ref="BA312:DL312" si="1281">+BA173+BA174+BA175+BA176+BA179+BA182+BA183</f>
        <v>2560.1802636299999</v>
      </c>
      <c r="BB312" s="77">
        <f t="shared" si="1281"/>
        <v>2700.1144423400001</v>
      </c>
      <c r="BC312" s="77">
        <f t="shared" si="1281"/>
        <v>2417.7734636499999</v>
      </c>
      <c r="BD312" s="77">
        <f t="shared" si="1281"/>
        <v>1677.9690845299999</v>
      </c>
      <c r="BE312" s="77">
        <f t="shared" si="1281"/>
        <v>1442.5354647200002</v>
      </c>
      <c r="BF312" s="77">
        <f t="shared" si="1281"/>
        <v>1872.6183801700001</v>
      </c>
      <c r="BG312" s="77">
        <f t="shared" si="1281"/>
        <v>1682.1888929199999</v>
      </c>
      <c r="BH312" s="77">
        <f t="shared" si="1281"/>
        <v>1504.7335952600001</v>
      </c>
      <c r="BI312" s="77">
        <f t="shared" si="1281"/>
        <v>1495.2488756200003</v>
      </c>
      <c r="BJ312" s="77">
        <f t="shared" si="1281"/>
        <v>1676.2642885100001</v>
      </c>
      <c r="BK312" s="77">
        <f t="shared" si="1281"/>
        <v>1395.1770825800002</v>
      </c>
      <c r="BL312" s="77">
        <f t="shared" si="1281"/>
        <v>1448.61037502</v>
      </c>
      <c r="BM312" s="77">
        <f t="shared" si="1281"/>
        <v>2918.7458759299998</v>
      </c>
      <c r="BN312" s="77">
        <f t="shared" si="1281"/>
        <v>2770.5329364899999</v>
      </c>
      <c r="BO312" s="77">
        <f t="shared" si="1281"/>
        <v>2866.8003008400001</v>
      </c>
      <c r="BP312" s="77">
        <f t="shared" si="1281"/>
        <v>2930.8114374799998</v>
      </c>
      <c r="BQ312" s="77">
        <f t="shared" si="1281"/>
        <v>2540.9815978399997</v>
      </c>
      <c r="BR312" s="77">
        <f t="shared" si="1281"/>
        <v>2372.4597271900002</v>
      </c>
      <c r="BS312" s="77">
        <f t="shared" si="1281"/>
        <v>2410.2961243300001</v>
      </c>
      <c r="BT312" s="77">
        <f t="shared" si="1281"/>
        <v>2389.4269459299999</v>
      </c>
      <c r="BU312" s="77">
        <f t="shared" si="1281"/>
        <v>2147.25168334</v>
      </c>
      <c r="BV312" s="77">
        <f t="shared" si="1281"/>
        <v>2284.1985896599999</v>
      </c>
      <c r="BW312" s="77">
        <f t="shared" si="1281"/>
        <v>2006.0480953800002</v>
      </c>
      <c r="BX312" s="77">
        <f t="shared" si="1281"/>
        <v>2652.2812820000004</v>
      </c>
      <c r="BY312" s="77">
        <f t="shared" si="1281"/>
        <v>2227.5832035900003</v>
      </c>
      <c r="BZ312" s="77">
        <f t="shared" si="1281"/>
        <v>2422.78742874</v>
      </c>
      <c r="CA312" s="77">
        <f t="shared" si="1281"/>
        <v>2503.36842394</v>
      </c>
      <c r="CB312" s="77">
        <f t="shared" si="1281"/>
        <v>2126.1846391399999</v>
      </c>
      <c r="CC312" s="279">
        <f t="shared" si="1281"/>
        <v>1645.0054451600001</v>
      </c>
      <c r="CD312" s="77">
        <f t="shared" si="1281"/>
        <v>1712.86158897</v>
      </c>
      <c r="CE312" s="77">
        <f t="shared" si="1281"/>
        <v>1868.8783809000001</v>
      </c>
      <c r="CF312" s="77">
        <f t="shared" si="1281"/>
        <v>2101.3368316900001</v>
      </c>
      <c r="CG312" s="77">
        <f t="shared" si="1281"/>
        <v>2239.2539514</v>
      </c>
      <c r="CH312" s="77">
        <f t="shared" si="1281"/>
        <v>2739.5392676700003</v>
      </c>
      <c r="CI312" s="77">
        <f t="shared" si="1281"/>
        <v>2852.20439872</v>
      </c>
      <c r="CJ312" s="77">
        <f t="shared" si="1281"/>
        <v>3481.9220031200002</v>
      </c>
      <c r="CK312" s="77">
        <f t="shared" si="1281"/>
        <v>3287.7956981700004</v>
      </c>
      <c r="CL312" s="77">
        <f t="shared" si="1281"/>
        <v>3234.4226230800004</v>
      </c>
      <c r="CM312" s="77">
        <f t="shared" si="1281"/>
        <v>3580.8180545600003</v>
      </c>
      <c r="CN312" s="77">
        <f t="shared" si="1281"/>
        <v>3708.7891210299999</v>
      </c>
      <c r="CO312" s="77">
        <f t="shared" si="1281"/>
        <v>3382.7779097999996</v>
      </c>
      <c r="CP312" s="77">
        <f t="shared" si="1281"/>
        <v>3421.9313603999999</v>
      </c>
      <c r="CQ312" s="77">
        <f t="shared" si="1281"/>
        <v>3078.7162793699999</v>
      </c>
      <c r="CR312" s="77">
        <f t="shared" si="1281"/>
        <v>3406.6300688399992</v>
      </c>
      <c r="CS312" s="77">
        <f t="shared" si="1281"/>
        <v>3430.1526309200003</v>
      </c>
      <c r="CT312" s="77">
        <f t="shared" si="1281"/>
        <v>4015.7502048299998</v>
      </c>
      <c r="CU312" s="77">
        <f t="shared" si="1281"/>
        <v>3790.3827685100005</v>
      </c>
      <c r="CV312" s="77">
        <f t="shared" si="1281"/>
        <v>4829.7895098899999</v>
      </c>
      <c r="CW312" s="77">
        <f t="shared" si="1281"/>
        <v>3859.7706930400009</v>
      </c>
      <c r="CX312" s="77">
        <f t="shared" si="1281"/>
        <v>4105.2252606100001</v>
      </c>
      <c r="CY312" s="77">
        <f t="shared" si="1281"/>
        <v>4600.1863671700003</v>
      </c>
      <c r="CZ312" s="77">
        <f t="shared" si="1281"/>
        <v>3958.5322574899992</v>
      </c>
      <c r="DA312" s="77">
        <f t="shared" si="1281"/>
        <v>2641.3742739500003</v>
      </c>
      <c r="DB312" s="77">
        <f t="shared" si="1281"/>
        <v>1114.3858225999998</v>
      </c>
      <c r="DC312" s="77">
        <f t="shared" si="1281"/>
        <v>896.08398958999987</v>
      </c>
      <c r="DD312" s="77">
        <f t="shared" si="1281"/>
        <v>1118.1815537299999</v>
      </c>
      <c r="DE312" s="77">
        <f t="shared" si="1281"/>
        <v>1497.6028308</v>
      </c>
      <c r="DF312" s="77">
        <f t="shared" si="1281"/>
        <v>1653.7057236000001</v>
      </c>
      <c r="DG312" s="77">
        <f t="shared" si="1281"/>
        <v>1910.6769058800003</v>
      </c>
      <c r="DH312" s="77">
        <f t="shared" si="1281"/>
        <v>2473.8406770800002</v>
      </c>
      <c r="DI312" s="77">
        <f t="shared" si="1281"/>
        <v>1712.7612273700001</v>
      </c>
      <c r="DJ312" s="77">
        <f t="shared" si="1281"/>
        <v>1584.9560412599999</v>
      </c>
      <c r="DK312" s="77">
        <f t="shared" si="1281"/>
        <v>1288.3648001200002</v>
      </c>
      <c r="DL312" s="77">
        <f t="shared" si="1281"/>
        <v>1640.88740624</v>
      </c>
      <c r="DM312" s="77">
        <f t="shared" ref="DM312:EF312" si="1282">+DM173+DM174+DM175+DM176+DM179+DM182+DM183</f>
        <v>1750.9501750099998</v>
      </c>
      <c r="DN312" s="77">
        <f t="shared" si="1282"/>
        <v>1758.5922597399999</v>
      </c>
      <c r="DO312" s="77">
        <f t="shared" si="1282"/>
        <v>1721.2901670199999</v>
      </c>
      <c r="DP312" s="77">
        <f t="shared" si="1282"/>
        <v>1910.7874105200001</v>
      </c>
      <c r="DQ312" s="963">
        <f t="shared" si="1282"/>
        <v>1895.45205887</v>
      </c>
      <c r="DR312" s="963">
        <f t="shared" si="1282"/>
        <v>2110.13614667</v>
      </c>
      <c r="DS312" s="963">
        <f t="shared" si="1282"/>
        <v>2085.3802456499998</v>
      </c>
      <c r="DT312" s="963">
        <f t="shared" si="1282"/>
        <v>2708.5768457699996</v>
      </c>
      <c r="DU312" s="963">
        <f t="shared" si="1282"/>
        <v>2722.1062884399998</v>
      </c>
      <c r="DV312" s="963">
        <f t="shared" si="1282"/>
        <v>2922.2923789199999</v>
      </c>
      <c r="DW312" s="963">
        <f t="shared" si="1282"/>
        <v>2606.5745783800003</v>
      </c>
      <c r="DX312" s="963">
        <f t="shared" si="1282"/>
        <v>2957.9167453500004</v>
      </c>
      <c r="DY312" s="963">
        <f t="shared" si="1282"/>
        <v>3203.8537465000004</v>
      </c>
      <c r="DZ312" s="963">
        <f t="shared" si="1282"/>
        <v>3544.32537121</v>
      </c>
      <c r="EA312" s="963">
        <f t="shared" si="1282"/>
        <v>3143.8145699199995</v>
      </c>
      <c r="EB312" s="963">
        <f t="shared" si="1282"/>
        <v>4040.9607235499993</v>
      </c>
      <c r="EC312" s="963">
        <f t="shared" si="1282"/>
        <v>5029.5973814199997</v>
      </c>
      <c r="ED312" s="963">
        <f t="shared" si="1282"/>
        <v>5488.6542959400003</v>
      </c>
      <c r="EE312" s="963">
        <f t="shared" si="1282"/>
        <v>6889.3688421199986</v>
      </c>
      <c r="EF312" s="963">
        <f t="shared" si="1282"/>
        <v>9099.6508949400013</v>
      </c>
    </row>
    <row r="313" spans="3:136">
      <c r="C313" s="17" t="s">
        <v>823</v>
      </c>
      <c r="BA313" s="77">
        <f t="shared" ref="BA313:DL313" si="1283">+BA196+BA183</f>
        <v>984.23597255999994</v>
      </c>
      <c r="BB313" s="77">
        <f t="shared" si="1283"/>
        <v>1122.6096848899999</v>
      </c>
      <c r="BC313" s="77">
        <f t="shared" si="1283"/>
        <v>1081.5874514299999</v>
      </c>
      <c r="BD313" s="77">
        <f t="shared" si="1283"/>
        <v>978.81286094999996</v>
      </c>
      <c r="BE313" s="77">
        <f t="shared" si="1283"/>
        <v>752.04965616999993</v>
      </c>
      <c r="BF313" s="77">
        <f t="shared" si="1283"/>
        <v>763.90967977999992</v>
      </c>
      <c r="BG313" s="77">
        <f t="shared" si="1283"/>
        <v>896.83723718999988</v>
      </c>
      <c r="BH313" s="77">
        <f t="shared" si="1283"/>
        <v>255.22909780000001</v>
      </c>
      <c r="BI313" s="77">
        <f t="shared" si="1283"/>
        <v>347.14917857</v>
      </c>
      <c r="BJ313" s="77">
        <f t="shared" si="1283"/>
        <v>428.82188972999995</v>
      </c>
      <c r="BK313" s="77">
        <f t="shared" si="1283"/>
        <v>401.18162417999997</v>
      </c>
      <c r="BL313" s="77">
        <f t="shared" si="1283"/>
        <v>565.33862852999994</v>
      </c>
      <c r="BM313" s="77">
        <f t="shared" si="1283"/>
        <v>652.09430696999993</v>
      </c>
      <c r="BN313" s="77">
        <f t="shared" si="1283"/>
        <v>834.96829415000002</v>
      </c>
      <c r="BO313" s="77">
        <f t="shared" si="1283"/>
        <v>658.61627985000007</v>
      </c>
      <c r="BP313" s="77">
        <f t="shared" si="1283"/>
        <v>871.10942902999989</v>
      </c>
      <c r="BQ313" s="77">
        <f t="shared" si="1283"/>
        <v>579.03190605999998</v>
      </c>
      <c r="BR313" s="77">
        <f t="shared" si="1283"/>
        <v>759.4481232600001</v>
      </c>
      <c r="BS313" s="77">
        <f t="shared" si="1283"/>
        <v>629.26394112000003</v>
      </c>
      <c r="BT313" s="77">
        <f t="shared" si="1283"/>
        <v>872.65255883000009</v>
      </c>
      <c r="BU313" s="77">
        <f t="shared" si="1283"/>
        <v>598.57667303000005</v>
      </c>
      <c r="BV313" s="77">
        <f t="shared" si="1283"/>
        <v>827.68345443999999</v>
      </c>
      <c r="BW313" s="77">
        <f t="shared" si="1283"/>
        <v>871.39234237000005</v>
      </c>
      <c r="BX313" s="77">
        <f t="shared" si="1283"/>
        <v>116.26851327999999</v>
      </c>
      <c r="BY313" s="77">
        <f t="shared" si="1283"/>
        <v>757.72072219999995</v>
      </c>
      <c r="BZ313" s="77">
        <f t="shared" si="1283"/>
        <v>914.15011960000004</v>
      </c>
      <c r="CA313" s="77">
        <f t="shared" si="1283"/>
        <v>701.32104760999994</v>
      </c>
      <c r="CB313" s="77">
        <f t="shared" si="1283"/>
        <v>760.18999695000002</v>
      </c>
      <c r="CC313" s="279">
        <f t="shared" si="1283"/>
        <v>585.59775833999993</v>
      </c>
      <c r="CD313" s="77">
        <f t="shared" si="1283"/>
        <v>723.15326658999993</v>
      </c>
      <c r="CE313" s="77">
        <f t="shared" si="1283"/>
        <v>644.44221522999999</v>
      </c>
      <c r="CF313" s="77">
        <f t="shared" si="1283"/>
        <v>864.65225873000009</v>
      </c>
      <c r="CG313" s="77">
        <f t="shared" si="1283"/>
        <v>726.68969564999998</v>
      </c>
      <c r="CH313" s="77">
        <f t="shared" si="1283"/>
        <v>711.98655736000001</v>
      </c>
      <c r="CI313" s="77">
        <f t="shared" si="1283"/>
        <v>737.71410753999999</v>
      </c>
      <c r="CJ313" s="77">
        <f t="shared" si="1283"/>
        <v>108.22100029000001</v>
      </c>
      <c r="CK313" s="77">
        <f t="shared" si="1283"/>
        <v>711.64167419</v>
      </c>
      <c r="CL313" s="77">
        <f t="shared" si="1283"/>
        <v>624.36826822</v>
      </c>
      <c r="CM313" s="77">
        <f t="shared" si="1283"/>
        <v>731.02580734000003</v>
      </c>
      <c r="CN313" s="77">
        <f t="shared" si="1283"/>
        <v>491.72367590999994</v>
      </c>
      <c r="CO313" s="77">
        <f t="shared" si="1283"/>
        <v>962.11935943000003</v>
      </c>
      <c r="CP313" s="77">
        <f t="shared" si="1283"/>
        <v>569.72978094999996</v>
      </c>
      <c r="CQ313" s="77">
        <f t="shared" si="1283"/>
        <v>871.59095332000004</v>
      </c>
      <c r="CR313" s="77">
        <f t="shared" si="1283"/>
        <v>756.80756922</v>
      </c>
      <c r="CS313" s="77">
        <f t="shared" si="1283"/>
        <v>746.54287551000004</v>
      </c>
      <c r="CT313" s="77">
        <f t="shared" si="1283"/>
        <v>705.79557808999994</v>
      </c>
      <c r="CU313" s="77">
        <f t="shared" si="1283"/>
        <v>1126.64785695</v>
      </c>
      <c r="CV313" s="77">
        <f t="shared" si="1283"/>
        <v>223.58387968000002</v>
      </c>
      <c r="CW313" s="77">
        <f t="shared" si="1283"/>
        <v>1136.9444488300001</v>
      </c>
      <c r="CX313" s="77">
        <f t="shared" si="1283"/>
        <v>722.71337850000009</v>
      </c>
      <c r="CY313" s="77">
        <f t="shared" si="1283"/>
        <v>1070.8697516</v>
      </c>
      <c r="CZ313" s="77">
        <f t="shared" si="1283"/>
        <v>347.95580246000003</v>
      </c>
      <c r="DA313" s="77">
        <f t="shared" si="1283"/>
        <v>584.64341221999996</v>
      </c>
      <c r="DB313" s="77">
        <f t="shared" si="1283"/>
        <v>435.79377007000005</v>
      </c>
      <c r="DC313" s="77">
        <f t="shared" si="1283"/>
        <v>581.17816623999988</v>
      </c>
      <c r="DD313" s="77">
        <f t="shared" si="1283"/>
        <v>619.34635460000004</v>
      </c>
      <c r="DE313" s="77">
        <f t="shared" si="1283"/>
        <v>837.71437293999998</v>
      </c>
      <c r="DF313" s="77">
        <f t="shared" si="1283"/>
        <v>605.14228860000003</v>
      </c>
      <c r="DG313" s="77">
        <f t="shared" si="1283"/>
        <v>867.56607691999989</v>
      </c>
      <c r="DH313" s="77">
        <f t="shared" si="1283"/>
        <v>156.68423303999998</v>
      </c>
      <c r="DI313" s="77">
        <f t="shared" si="1283"/>
        <v>799.70959605000007</v>
      </c>
      <c r="DJ313" s="77">
        <f t="shared" si="1283"/>
        <v>486.84175278999999</v>
      </c>
      <c r="DK313" s="77">
        <f t="shared" si="1283"/>
        <v>547.20379978999995</v>
      </c>
      <c r="DL313" s="77">
        <f t="shared" si="1283"/>
        <v>423.75258004</v>
      </c>
      <c r="DM313" s="77">
        <f t="shared" ref="DM313:EF313" si="1284">+DM196+DM183</f>
        <v>572.65206198999999</v>
      </c>
      <c r="DN313" s="77">
        <f t="shared" si="1284"/>
        <v>389.80739922999999</v>
      </c>
      <c r="DO313" s="77">
        <f t="shared" si="1284"/>
        <v>661.61562529000003</v>
      </c>
      <c r="DP313" s="77">
        <f t="shared" si="1284"/>
        <v>356.83701493000007</v>
      </c>
      <c r="DQ313" s="963">
        <f t="shared" si="1284"/>
        <v>722.27844619999996</v>
      </c>
      <c r="DR313" s="963">
        <f t="shared" si="1284"/>
        <v>448.27875237000006</v>
      </c>
      <c r="DS313" s="963">
        <f t="shared" si="1284"/>
        <v>642.41983641000002</v>
      </c>
      <c r="DT313" s="963">
        <f t="shared" si="1284"/>
        <v>223.88037956000002</v>
      </c>
      <c r="DU313" s="963">
        <f t="shared" si="1284"/>
        <v>1193.436719</v>
      </c>
      <c r="DV313" s="963">
        <f t="shared" si="1284"/>
        <v>536.28205191000006</v>
      </c>
      <c r="DW313" s="963">
        <f t="shared" si="1284"/>
        <v>606.40314065999996</v>
      </c>
      <c r="DX313" s="963">
        <f t="shared" si="1284"/>
        <v>512.56565215000001</v>
      </c>
      <c r="DY313" s="963">
        <f t="shared" si="1284"/>
        <v>968.18335651999996</v>
      </c>
      <c r="DZ313" s="963">
        <f t="shared" si="1284"/>
        <v>699.32306054999992</v>
      </c>
      <c r="EA313" s="963">
        <f t="shared" si="1284"/>
        <v>1024.2881069499999</v>
      </c>
      <c r="EB313" s="963">
        <f t="shared" si="1284"/>
        <v>935.85800005999999</v>
      </c>
      <c r="EC313" s="963">
        <f t="shared" si="1284"/>
        <v>1151.0917727600001</v>
      </c>
      <c r="ED313" s="963">
        <f t="shared" si="1284"/>
        <v>1237.88701421</v>
      </c>
      <c r="EE313" s="963">
        <f t="shared" si="1284"/>
        <v>2109.6133113599999</v>
      </c>
      <c r="EF313" s="963">
        <f t="shared" si="1284"/>
        <v>1688.0501745599997</v>
      </c>
    </row>
    <row r="314" spans="3:136">
      <c r="C314" s="17" t="s">
        <v>824</v>
      </c>
      <c r="BA314" s="77">
        <f t="shared" ref="BA314:DL314" si="1285">+BA179+BA176</f>
        <v>746.25281555000004</v>
      </c>
      <c r="BB314" s="77">
        <f t="shared" si="1285"/>
        <v>413.06601363999999</v>
      </c>
      <c r="BC314" s="77">
        <f t="shared" si="1285"/>
        <v>448.50429188999999</v>
      </c>
      <c r="BD314" s="77">
        <f t="shared" si="1285"/>
        <v>364.36061187999996</v>
      </c>
      <c r="BE314" s="77">
        <f t="shared" si="1285"/>
        <v>432.52103298999998</v>
      </c>
      <c r="BF314" s="77">
        <f t="shared" si="1285"/>
        <v>467.40550415000001</v>
      </c>
      <c r="BG314" s="77">
        <f t="shared" si="1285"/>
        <v>277.44279039999998</v>
      </c>
      <c r="BH314" s="77">
        <f t="shared" si="1285"/>
        <v>303.01176031</v>
      </c>
      <c r="BI314" s="77">
        <f t="shared" si="1285"/>
        <v>288.89804111000001</v>
      </c>
      <c r="BJ314" s="77">
        <f t="shared" si="1285"/>
        <v>414.22049075999996</v>
      </c>
      <c r="BK314" s="77">
        <f t="shared" si="1285"/>
        <v>431.98378855000004</v>
      </c>
      <c r="BL314" s="77">
        <f t="shared" si="1285"/>
        <v>453.48898661999999</v>
      </c>
      <c r="BM314" s="77">
        <f t="shared" si="1285"/>
        <v>559.00463377000005</v>
      </c>
      <c r="BN314" s="77">
        <f t="shared" si="1285"/>
        <v>442.97154321000005</v>
      </c>
      <c r="BO314" s="77">
        <f t="shared" si="1285"/>
        <v>463.79464718999998</v>
      </c>
      <c r="BP314" s="77">
        <f t="shared" si="1285"/>
        <v>574.15774425000006</v>
      </c>
      <c r="BQ314" s="77">
        <f t="shared" si="1285"/>
        <v>564.71005350000007</v>
      </c>
      <c r="BR314" s="77">
        <f t="shared" si="1285"/>
        <v>387.60119736000001</v>
      </c>
      <c r="BS314" s="77">
        <f t="shared" si="1285"/>
        <v>452.86643114999998</v>
      </c>
      <c r="BT314" s="77">
        <f t="shared" si="1285"/>
        <v>481.75660532999996</v>
      </c>
      <c r="BU314" s="77">
        <f t="shared" si="1285"/>
        <v>540.47878729000001</v>
      </c>
      <c r="BV314" s="77">
        <f t="shared" si="1285"/>
        <v>570.41544420999992</v>
      </c>
      <c r="BW314" s="77">
        <f t="shared" si="1285"/>
        <v>633.83312681000007</v>
      </c>
      <c r="BX314" s="77">
        <f t="shared" si="1285"/>
        <v>562.82319022000001</v>
      </c>
      <c r="BY314" s="77">
        <f t="shared" si="1285"/>
        <v>598.05648045999999</v>
      </c>
      <c r="BZ314" s="77">
        <f t="shared" si="1285"/>
        <v>382.05712206000004</v>
      </c>
      <c r="CA314" s="77">
        <f t="shared" si="1285"/>
        <v>460.41872198999999</v>
      </c>
      <c r="CB314" s="77">
        <f t="shared" si="1285"/>
        <v>484.99633815000004</v>
      </c>
      <c r="CC314" s="279">
        <f t="shared" si="1285"/>
        <v>481.86668261</v>
      </c>
      <c r="CD314" s="77">
        <f t="shared" si="1285"/>
        <v>425.61849992999998</v>
      </c>
      <c r="CE314" s="77">
        <f t="shared" si="1285"/>
        <v>506.63032462999996</v>
      </c>
      <c r="CF314" s="77">
        <f t="shared" si="1285"/>
        <v>591.17061236999996</v>
      </c>
      <c r="CG314" s="77">
        <f t="shared" si="1285"/>
        <v>672.02392763</v>
      </c>
      <c r="CH314" s="77">
        <f t="shared" si="1285"/>
        <v>792.15835979000008</v>
      </c>
      <c r="CI314" s="77">
        <f t="shared" si="1285"/>
        <v>837.56700167999998</v>
      </c>
      <c r="CJ314" s="77">
        <f t="shared" si="1285"/>
        <v>702.95443762000002</v>
      </c>
      <c r="CK314" s="77">
        <f t="shared" si="1285"/>
        <v>747.50767510999992</v>
      </c>
      <c r="CL314" s="77">
        <f t="shared" si="1285"/>
        <v>616.68947675000004</v>
      </c>
      <c r="CM314" s="77">
        <f t="shared" si="1285"/>
        <v>779.95180318999996</v>
      </c>
      <c r="CN314" s="77">
        <f t="shared" si="1285"/>
        <v>830.61447031000012</v>
      </c>
      <c r="CO314" s="77">
        <f t="shared" si="1285"/>
        <v>961.05056234000006</v>
      </c>
      <c r="CP314" s="77">
        <f t="shared" si="1285"/>
        <v>829.65220590999991</v>
      </c>
      <c r="CQ314" s="77">
        <f t="shared" si="1285"/>
        <v>934.42183308999995</v>
      </c>
      <c r="CR314" s="77">
        <f t="shared" si="1285"/>
        <v>1037.1772972899998</v>
      </c>
      <c r="CS314" s="77">
        <f t="shared" si="1285"/>
        <v>1082.50995339</v>
      </c>
      <c r="CT314" s="77">
        <f t="shared" si="1285"/>
        <v>1205.6076748200001</v>
      </c>
      <c r="CU314" s="77">
        <f t="shared" si="1285"/>
        <v>1235.76579995</v>
      </c>
      <c r="CV314" s="77">
        <f t="shared" si="1285"/>
        <v>1174.0963469999999</v>
      </c>
      <c r="CW314" s="77">
        <f t="shared" si="1285"/>
        <v>1161.3597690000001</v>
      </c>
      <c r="CX314" s="77">
        <f t="shared" si="1285"/>
        <v>753.87277500000005</v>
      </c>
      <c r="CY314" s="77">
        <f t="shared" si="1285"/>
        <v>769.53461600000003</v>
      </c>
      <c r="CZ314" s="77">
        <f t="shared" si="1285"/>
        <v>575.57790899999998</v>
      </c>
      <c r="DA314" s="77">
        <f t="shared" si="1285"/>
        <v>428.37293899999997</v>
      </c>
      <c r="DB314" s="77">
        <f t="shared" si="1285"/>
        <v>333.13090399999999</v>
      </c>
      <c r="DC314" s="77">
        <f t="shared" si="1285"/>
        <v>408.60870899999998</v>
      </c>
      <c r="DD314" s="77">
        <f t="shared" si="1285"/>
        <v>472.49746499999998</v>
      </c>
      <c r="DE314" s="77">
        <f t="shared" si="1285"/>
        <v>504.20599499999997</v>
      </c>
      <c r="DF314" s="77">
        <f t="shared" si="1285"/>
        <v>538.09572899999989</v>
      </c>
      <c r="DG314" s="77">
        <f t="shared" si="1285"/>
        <v>569.53993200000002</v>
      </c>
      <c r="DH314" s="77">
        <f t="shared" si="1285"/>
        <v>583.59713899999997</v>
      </c>
      <c r="DI314" s="77">
        <f t="shared" si="1285"/>
        <v>590.82198900000003</v>
      </c>
      <c r="DJ314" s="77">
        <f t="shared" si="1285"/>
        <v>428.17482000000001</v>
      </c>
      <c r="DK314" s="77">
        <f t="shared" si="1285"/>
        <v>495.87623600000001</v>
      </c>
      <c r="DL314" s="77">
        <f t="shared" si="1285"/>
        <v>567.68800299999998</v>
      </c>
      <c r="DM314" s="77">
        <f t="shared" ref="DM314:EF314" si="1286">+DM179+DM176</f>
        <v>651.41674699999999</v>
      </c>
      <c r="DN314" s="77">
        <f t="shared" si="1286"/>
        <v>560.86152300000003</v>
      </c>
      <c r="DO314" s="77">
        <f t="shared" si="1286"/>
        <v>611.55680099999995</v>
      </c>
      <c r="DP314" s="77">
        <f t="shared" si="1286"/>
        <v>686.121442</v>
      </c>
      <c r="DQ314" s="963">
        <f t="shared" si="1286"/>
        <v>729.368923</v>
      </c>
      <c r="DR314" s="963">
        <f t="shared" si="1286"/>
        <v>784.73011899999995</v>
      </c>
      <c r="DS314" s="963">
        <f t="shared" si="1286"/>
        <v>851.44716799999992</v>
      </c>
      <c r="DT314" s="963">
        <f t="shared" si="1286"/>
        <v>874.23511999999994</v>
      </c>
      <c r="DU314" s="963">
        <f t="shared" si="1286"/>
        <v>926.54694000000006</v>
      </c>
      <c r="DV314" s="963">
        <f t="shared" si="1286"/>
        <v>716.0069840000001</v>
      </c>
      <c r="DW314" s="963">
        <f t="shared" si="1286"/>
        <v>879.993066</v>
      </c>
      <c r="DX314" s="963">
        <f t="shared" si="1286"/>
        <v>957.59660999999994</v>
      </c>
      <c r="DY314" s="963">
        <f t="shared" si="1286"/>
        <v>1056.7536720000001</v>
      </c>
      <c r="DZ314" s="963">
        <f t="shared" si="1286"/>
        <v>946.29930899999999</v>
      </c>
      <c r="EA314" s="963">
        <f t="shared" si="1286"/>
        <v>1026.6148509999998</v>
      </c>
      <c r="EB314" s="963">
        <f t="shared" si="1286"/>
        <v>1160.7705249999999</v>
      </c>
      <c r="EC314" s="963">
        <f t="shared" si="1286"/>
        <v>1309.823979</v>
      </c>
      <c r="ED314" s="963">
        <f t="shared" si="1286"/>
        <v>1577.0435649999999</v>
      </c>
      <c r="EE314" s="963">
        <f t="shared" si="1286"/>
        <v>1633.07438</v>
      </c>
      <c r="EF314" s="963">
        <f t="shared" si="1286"/>
        <v>1424.4779919999999</v>
      </c>
    </row>
    <row r="315" spans="3:136">
      <c r="C315" s="186" t="s">
        <v>831</v>
      </c>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c r="AP315" s="186"/>
      <c r="AQ315" s="1027"/>
      <c r="AR315" s="186"/>
      <c r="AS315" s="186"/>
      <c r="AT315" s="186"/>
      <c r="AU315" s="186"/>
      <c r="AV315" s="186"/>
      <c r="AW315" s="186"/>
      <c r="AX315" s="186"/>
      <c r="AY315" s="186"/>
      <c r="AZ315" s="186"/>
      <c r="BA315" s="1175"/>
      <c r="BB315" s="1175"/>
      <c r="BC315" s="1175"/>
      <c r="BD315" s="1175"/>
      <c r="BE315" s="1175"/>
      <c r="BF315" s="1175"/>
      <c r="BG315" s="1175"/>
      <c r="BH315" s="1175"/>
      <c r="BI315" s="1175"/>
      <c r="BJ315" s="1175"/>
      <c r="BK315" s="1175"/>
      <c r="BL315" s="1175"/>
      <c r="BM315" s="1175"/>
      <c r="BN315" s="1175"/>
      <c r="BO315" s="1175"/>
      <c r="BP315" s="1175"/>
      <c r="BQ315" s="1175"/>
      <c r="BR315" s="1175"/>
      <c r="BS315" s="1175"/>
      <c r="BT315" s="1175"/>
      <c r="BU315" s="1175"/>
      <c r="BV315" s="1175"/>
      <c r="BW315" s="1175"/>
      <c r="BX315" s="1175"/>
      <c r="BY315" s="1175"/>
      <c r="BZ315" s="1175"/>
      <c r="CA315" s="1175"/>
      <c r="CB315" s="1175"/>
      <c r="CC315" s="1175"/>
      <c r="CD315" s="1175"/>
      <c r="CE315" s="1175"/>
      <c r="CF315" s="1175"/>
      <c r="CG315" s="1175"/>
      <c r="CH315" s="1175"/>
      <c r="CI315" s="1175"/>
      <c r="CJ315" s="1175"/>
      <c r="CK315" s="1175"/>
      <c r="CL315" s="1175"/>
      <c r="CM315" s="1175"/>
      <c r="CN315" s="1175"/>
      <c r="CO315" s="1175"/>
      <c r="CP315" s="1175"/>
      <c r="CQ315" s="1175"/>
      <c r="CR315" s="1175"/>
      <c r="CS315" s="1175"/>
      <c r="CT315" s="1175"/>
      <c r="CU315" s="1175"/>
      <c r="CV315" s="1175"/>
      <c r="CW315" s="1175"/>
      <c r="CX315" s="1175"/>
      <c r="CY315" s="1175"/>
      <c r="CZ315" s="1175"/>
      <c r="DA315" s="1175"/>
      <c r="DB315" s="1175"/>
      <c r="DC315" s="1175"/>
      <c r="DD315" s="1175"/>
      <c r="DE315" s="1175"/>
      <c r="DF315" s="1175"/>
      <c r="DG315" s="1175"/>
      <c r="DH315" s="1175"/>
      <c r="DI315" s="1175"/>
      <c r="DJ315" s="1175"/>
      <c r="DK315" s="1175"/>
      <c r="DL315" s="1175"/>
      <c r="DM315" s="1175"/>
      <c r="DN315" s="1175"/>
      <c r="DO315" s="1175"/>
      <c r="DP315" s="1175"/>
      <c r="DQ315" s="941"/>
      <c r="DR315" s="1043"/>
      <c r="DS315" s="1043"/>
      <c r="DT315" s="1043"/>
      <c r="DU315" s="1043"/>
      <c r="DV315" s="1043"/>
      <c r="DW315" s="1043"/>
      <c r="DX315" s="1043"/>
      <c r="DY315" s="1043"/>
      <c r="DZ315" s="1043"/>
      <c r="EA315" s="1043"/>
      <c r="EB315" s="1043"/>
      <c r="EC315" s="1043"/>
      <c r="ED315" s="1043"/>
      <c r="EE315" s="1043"/>
      <c r="EF315" s="1043"/>
    </row>
    <row r="316" spans="3:136">
      <c r="C316" s="1032" t="s">
        <v>832</v>
      </c>
      <c r="D316" s="1032"/>
      <c r="E316" s="1032"/>
      <c r="F316" s="1032"/>
      <c r="G316" s="1032"/>
      <c r="H316" s="1032"/>
      <c r="I316" s="1032"/>
      <c r="J316" s="1032"/>
      <c r="K316" s="1032"/>
      <c r="L316" s="1032"/>
      <c r="M316" s="1032"/>
      <c r="N316" s="1032"/>
      <c r="O316" s="1032"/>
      <c r="P316" s="1032"/>
      <c r="Q316" s="1032"/>
      <c r="R316" s="1032"/>
      <c r="S316" s="1032"/>
      <c r="T316" s="1032"/>
      <c r="U316" s="1032"/>
      <c r="V316" s="1032"/>
      <c r="W316" s="1032"/>
      <c r="X316" s="1032"/>
      <c r="Y316" s="1032"/>
      <c r="Z316" s="1032"/>
      <c r="AA316" s="1032"/>
      <c r="AB316" s="1032"/>
      <c r="AC316" s="1032"/>
      <c r="AD316" s="1032"/>
      <c r="AE316" s="1032"/>
      <c r="AF316" s="1032"/>
      <c r="AG316" s="1032"/>
      <c r="AH316" s="1032"/>
      <c r="AI316" s="1032"/>
      <c r="AJ316" s="1032"/>
      <c r="AK316" s="1032"/>
      <c r="AL316" s="1032"/>
      <c r="AM316" s="1032"/>
      <c r="AN316" s="1032"/>
      <c r="AO316" s="1032"/>
      <c r="AP316" s="1032"/>
      <c r="AQ316" s="1174"/>
      <c r="AR316" s="1032"/>
      <c r="AS316" s="1032"/>
      <c r="AT316" s="1032"/>
      <c r="AU316" s="1032"/>
      <c r="AV316" s="1032"/>
      <c r="AW316" s="1032"/>
      <c r="AX316" s="1032"/>
      <c r="AY316" s="1032"/>
      <c r="AZ316" s="1032"/>
      <c r="BA316" s="1172"/>
      <c r="BB316" s="1172"/>
      <c r="BC316" s="1172"/>
      <c r="BD316" s="1172"/>
      <c r="BE316" s="1172"/>
      <c r="BF316" s="1172"/>
      <c r="BG316" s="1172"/>
      <c r="BH316" s="1172"/>
      <c r="BI316" s="1172"/>
      <c r="BJ316" s="1172"/>
      <c r="BK316" s="1172"/>
      <c r="BL316" s="1172"/>
      <c r="BM316" s="1172"/>
      <c r="BN316" s="1172"/>
      <c r="BO316" s="1172"/>
      <c r="BP316" s="1172"/>
      <c r="BQ316" s="1172"/>
      <c r="BR316" s="1172"/>
      <c r="BS316" s="1172"/>
      <c r="BT316" s="1172"/>
      <c r="BU316" s="1172"/>
      <c r="BV316" s="1172"/>
      <c r="BW316" s="1172"/>
      <c r="BX316" s="1172"/>
      <c r="BY316" s="1172"/>
      <c r="BZ316" s="1172"/>
      <c r="CA316" s="1172"/>
      <c r="CB316" s="1172"/>
      <c r="CC316" s="1173"/>
      <c r="CD316" s="1172"/>
      <c r="CE316" s="1172"/>
      <c r="CF316" s="1172"/>
      <c r="CG316" s="1172"/>
      <c r="CH316" s="1172"/>
      <c r="CI316" s="1172"/>
      <c r="CJ316" s="1172"/>
      <c r="CK316" s="1172"/>
      <c r="CL316" s="1172"/>
      <c r="CM316" s="1172"/>
      <c r="CN316" s="1172"/>
      <c r="CO316" s="1172"/>
      <c r="CP316" s="1172"/>
      <c r="CQ316" s="1172"/>
      <c r="CR316" s="1172"/>
      <c r="CS316" s="1172"/>
      <c r="CT316" s="1172"/>
      <c r="CU316" s="1172"/>
      <c r="CV316" s="1172"/>
      <c r="CW316" s="1172"/>
      <c r="CX316" s="1172"/>
      <c r="CY316" s="1172"/>
      <c r="CZ316" s="1172"/>
      <c r="DA316" s="1172"/>
      <c r="DB316" s="1172"/>
      <c r="DC316" s="1172"/>
      <c r="DD316" s="1172"/>
      <c r="DE316" s="1172"/>
      <c r="DF316" s="1172"/>
      <c r="DG316" s="1172"/>
      <c r="DH316" s="1172"/>
      <c r="DI316" s="1172"/>
      <c r="DJ316" s="1172"/>
      <c r="DK316" s="1172"/>
      <c r="DL316" s="1172"/>
      <c r="DM316" s="1172"/>
      <c r="DN316" s="1172"/>
      <c r="DO316" s="1172"/>
      <c r="DP316" s="1172"/>
      <c r="DQ316" s="1054"/>
      <c r="DR316" s="1054"/>
      <c r="DS316" s="1054"/>
      <c r="DT316" s="1054"/>
      <c r="DU316" s="1054"/>
      <c r="DV316" s="1054"/>
      <c r="DW316" s="1054"/>
      <c r="DX316" s="1054"/>
      <c r="DY316" s="1054"/>
      <c r="DZ316" s="1054"/>
      <c r="EA316" s="1054"/>
      <c r="EB316" s="1054"/>
      <c r="EC316" s="1054"/>
      <c r="ED316" s="1054"/>
      <c r="EE316" s="1054"/>
      <c r="EF316" s="1054"/>
    </row>
    <row r="317" spans="3:136">
      <c r="CC317"/>
      <c r="DQ317" s="963"/>
      <c r="DR317" s="963"/>
      <c r="DS317" s="963"/>
      <c r="DT317" s="963"/>
      <c r="DU317" s="963"/>
      <c r="DV317" s="963"/>
      <c r="DW317" s="963"/>
      <c r="DX317" s="963"/>
      <c r="DY317" s="963"/>
      <c r="DZ317" s="963"/>
      <c r="EA317" s="963"/>
      <c r="EB317" s="963"/>
      <c r="EC317" s="963"/>
      <c r="ED317" s="963"/>
      <c r="EE317" s="963"/>
    </row>
    <row r="318" spans="3:136">
      <c r="C318" s="17" t="s">
        <v>833</v>
      </c>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279"/>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963"/>
      <c r="DR318" s="963"/>
      <c r="DS318" s="963"/>
      <c r="DT318" s="963"/>
      <c r="DU318" s="963"/>
      <c r="DV318" s="963"/>
      <c r="DW318" s="963"/>
      <c r="DX318" s="963"/>
      <c r="DY318" s="963"/>
      <c r="DZ318" s="963"/>
      <c r="EA318" s="963"/>
      <c r="EB318" s="963"/>
      <c r="EC318" s="963"/>
      <c r="ED318" s="963"/>
      <c r="EE318" s="963"/>
    </row>
    <row r="319" spans="3:136">
      <c r="C319" s="17" t="s">
        <v>834</v>
      </c>
      <c r="BA319" s="873"/>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279"/>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963"/>
      <c r="DR319" s="963"/>
      <c r="DS319" s="963"/>
      <c r="DT319" s="963"/>
      <c r="DU319" s="963"/>
      <c r="DV319" s="77"/>
      <c r="DW319" s="77"/>
      <c r="DX319" s="77"/>
      <c r="DY319" s="77"/>
      <c r="DZ319" s="77"/>
      <c r="EA319" s="77"/>
      <c r="EB319" s="77"/>
      <c r="EC319" s="77"/>
      <c r="ED319" s="77"/>
      <c r="EE319" s="77"/>
    </row>
    <row r="320" spans="3:136">
      <c r="CC320"/>
    </row>
    <row r="321" spans="81:81">
      <c r="CC321"/>
    </row>
    <row r="322" spans="81:81">
      <c r="CC322"/>
    </row>
    <row r="323" spans="81:81">
      <c r="CC323"/>
    </row>
    <row r="324" spans="81:81">
      <c r="CC324"/>
    </row>
    <row r="325" spans="81:81">
      <c r="CC325"/>
    </row>
    <row r="326" spans="81:81">
      <c r="CC326"/>
    </row>
    <row r="327" spans="81:81">
      <c r="CC327"/>
    </row>
    <row r="328" spans="81:81">
      <c r="CC328"/>
    </row>
    <row r="329" spans="81:81">
      <c r="CC329"/>
    </row>
    <row r="330" spans="81:81">
      <c r="CC330"/>
    </row>
    <row r="331" spans="81:81">
      <c r="CC331"/>
    </row>
    <row r="332" spans="81:81">
      <c r="CC332"/>
    </row>
    <row r="333" spans="81:81">
      <c r="CC333"/>
    </row>
    <row r="334" spans="81:81">
      <c r="CC334"/>
    </row>
    <row r="335" spans="81:81">
      <c r="CC335"/>
    </row>
    <row r="336" spans="81:81">
      <c r="CC336"/>
    </row>
    <row r="337" spans="81:81">
      <c r="CC337"/>
    </row>
    <row r="338" spans="81:81">
      <c r="CC338"/>
    </row>
    <row r="339" spans="81:81">
      <c r="CC339"/>
    </row>
    <row r="340" spans="81:81">
      <c r="CC340"/>
    </row>
    <row r="341" spans="81:81">
      <c r="CC341"/>
    </row>
    <row r="342" spans="81:81">
      <c r="CC342"/>
    </row>
    <row r="343" spans="81:81">
      <c r="CC343"/>
    </row>
    <row r="344" spans="81:81">
      <c r="CC344"/>
    </row>
    <row r="345" spans="81:81">
      <c r="CC345"/>
    </row>
    <row r="346" spans="81:81">
      <c r="CC346"/>
    </row>
    <row r="347" spans="81:81">
      <c r="CC347"/>
    </row>
    <row r="348" spans="81:81">
      <c r="CC348"/>
    </row>
    <row r="349" spans="81:81">
      <c r="CC349"/>
    </row>
    <row r="350" spans="81:81">
      <c r="CC350"/>
    </row>
    <row r="351" spans="81:81">
      <c r="CC351"/>
    </row>
    <row r="352" spans="81:81">
      <c r="CC352"/>
    </row>
    <row r="353" spans="81:81">
      <c r="CC353"/>
    </row>
    <row r="354" spans="81:81">
      <c r="CC354"/>
    </row>
    <row r="355" spans="81:81">
      <c r="CC355"/>
    </row>
    <row r="356" spans="81:81">
      <c r="CC356"/>
    </row>
    <row r="357" spans="81:81">
      <c r="CC357"/>
    </row>
    <row r="358" spans="81:81">
      <c r="CC358"/>
    </row>
    <row r="359" spans="81:81">
      <c r="CC359"/>
    </row>
    <row r="360" spans="81:81">
      <c r="CC360"/>
    </row>
    <row r="361" spans="81:81">
      <c r="CC361"/>
    </row>
    <row r="362" spans="81:81">
      <c r="CC362"/>
    </row>
    <row r="363" spans="81:81">
      <c r="CC363"/>
    </row>
    <row r="364" spans="81:81">
      <c r="CC364"/>
    </row>
    <row r="365" spans="81:81">
      <c r="CC365"/>
    </row>
    <row r="366" spans="81:81">
      <c r="CC366"/>
    </row>
    <row r="367" spans="81:81">
      <c r="CC367"/>
    </row>
    <row r="368" spans="81:81">
      <c r="CC368"/>
    </row>
    <row r="369" spans="81:81">
      <c r="CC369"/>
    </row>
    <row r="370" spans="81:81">
      <c r="CC370"/>
    </row>
    <row r="371" spans="81:81">
      <c r="CC371"/>
    </row>
    <row r="372" spans="81:81">
      <c r="CC372"/>
    </row>
    <row r="373" spans="81:81">
      <c r="CC373"/>
    </row>
    <row r="374" spans="81:81">
      <c r="CC374"/>
    </row>
    <row r="375" spans="81:81">
      <c r="CC375"/>
    </row>
    <row r="376" spans="81:81">
      <c r="CC376"/>
    </row>
    <row r="377" spans="81:81">
      <c r="CC377"/>
    </row>
    <row r="378" spans="81:81">
      <c r="CC378"/>
    </row>
    <row r="379" spans="81:81">
      <c r="CC379"/>
    </row>
    <row r="380" spans="81:81">
      <c r="CC380"/>
    </row>
    <row r="381" spans="81:81">
      <c r="CC381"/>
    </row>
    <row r="382" spans="81:81">
      <c r="CC382"/>
    </row>
    <row r="383" spans="81:81">
      <c r="CC383"/>
    </row>
    <row r="384" spans="81:81">
      <c r="CC384"/>
    </row>
    <row r="385" spans="81:81">
      <c r="CC385"/>
    </row>
    <row r="386" spans="81:81">
      <c r="CC386"/>
    </row>
    <row r="387" spans="81:81">
      <c r="CC387"/>
    </row>
    <row r="388" spans="81:81">
      <c r="CC388"/>
    </row>
    <row r="389" spans="81:81">
      <c r="CC389"/>
    </row>
    <row r="390" spans="81:81">
      <c r="CC390"/>
    </row>
    <row r="391" spans="81:81">
      <c r="CC391"/>
    </row>
    <row r="392" spans="81:81">
      <c r="CC392"/>
    </row>
    <row r="393" spans="81:81">
      <c r="CC393"/>
    </row>
    <row r="394" spans="81:81">
      <c r="CC394"/>
    </row>
    <row r="395" spans="81:81">
      <c r="CC395"/>
    </row>
    <row r="396" spans="81:81">
      <c r="CC396"/>
    </row>
    <row r="397" spans="81:81">
      <c r="CC397"/>
    </row>
    <row r="398" spans="81:81">
      <c r="CC398"/>
    </row>
    <row r="399" spans="81:81">
      <c r="CC399"/>
    </row>
    <row r="400" spans="81:81">
      <c r="CC400"/>
    </row>
    <row r="401" spans="81:81">
      <c r="CC401"/>
    </row>
    <row r="402" spans="81:81">
      <c r="CC402"/>
    </row>
    <row r="403" spans="81:81">
      <c r="CC403"/>
    </row>
    <row r="404" spans="81:81">
      <c r="CC404"/>
    </row>
    <row r="405" spans="81:81">
      <c r="CC405"/>
    </row>
    <row r="406" spans="81:81">
      <c r="CC406"/>
    </row>
    <row r="407" spans="81:81">
      <c r="CC407"/>
    </row>
    <row r="408" spans="81:81">
      <c r="CC408"/>
    </row>
    <row r="409" spans="81:81">
      <c r="CC409"/>
    </row>
    <row r="410" spans="81:81">
      <c r="CC410"/>
    </row>
    <row r="411" spans="81:81">
      <c r="CC411"/>
    </row>
    <row r="412" spans="81:81">
      <c r="CC412"/>
    </row>
    <row r="413" spans="81:81">
      <c r="CC413"/>
    </row>
    <row r="414" spans="81:81">
      <c r="CC414"/>
    </row>
    <row r="415" spans="81:81">
      <c r="CC415"/>
    </row>
    <row r="416" spans="81:81">
      <c r="CC416"/>
    </row>
    <row r="417" spans="81:81">
      <c r="CC417"/>
    </row>
    <row r="418" spans="81:81">
      <c r="CC418"/>
    </row>
    <row r="419" spans="81:81">
      <c r="CC419"/>
    </row>
    <row r="420" spans="81:81">
      <c r="CC420"/>
    </row>
    <row r="421" spans="81:81">
      <c r="CC421"/>
    </row>
    <row r="422" spans="81:81">
      <c r="CC422"/>
    </row>
    <row r="423" spans="81:81">
      <c r="CC423"/>
    </row>
    <row r="424" spans="81:81">
      <c r="CC424"/>
    </row>
    <row r="425" spans="81:81">
      <c r="CC425"/>
    </row>
    <row r="426" spans="81:81">
      <c r="CC426"/>
    </row>
    <row r="427" spans="81:81">
      <c r="CC427"/>
    </row>
    <row r="428" spans="81:81">
      <c r="CC428"/>
    </row>
    <row r="429" spans="81:81">
      <c r="CC429"/>
    </row>
    <row r="430" spans="81:81">
      <c r="CC430"/>
    </row>
    <row r="431" spans="81:81">
      <c r="CC431"/>
    </row>
    <row r="432" spans="81:81">
      <c r="CC432"/>
    </row>
    <row r="433" spans="81:81">
      <c r="CC433"/>
    </row>
    <row r="434" spans="81:81">
      <c r="CC434"/>
    </row>
    <row r="435" spans="81:81">
      <c r="CC435"/>
    </row>
    <row r="436" spans="81:81">
      <c r="CC436"/>
    </row>
    <row r="437" spans="81:81">
      <c r="CC437"/>
    </row>
    <row r="438" spans="81:81">
      <c r="CC438"/>
    </row>
    <row r="439" spans="81:81">
      <c r="CC439"/>
    </row>
    <row r="440" spans="81:81">
      <c r="CC440"/>
    </row>
    <row r="441" spans="81:81">
      <c r="CC441"/>
    </row>
    <row r="442" spans="81:81">
      <c r="CC442"/>
    </row>
    <row r="443" spans="81:81">
      <c r="CC443"/>
    </row>
    <row r="444" spans="81:81">
      <c r="CC444"/>
    </row>
    <row r="445" spans="81:81">
      <c r="CC445"/>
    </row>
    <row r="446" spans="81:81">
      <c r="CC446"/>
    </row>
    <row r="447" spans="81:81">
      <c r="CC447"/>
    </row>
    <row r="448" spans="81:81">
      <c r="CC448"/>
    </row>
    <row r="449" spans="81:81">
      <c r="CC449"/>
    </row>
    <row r="450" spans="81:81">
      <c r="CC450"/>
    </row>
    <row r="451" spans="81:81">
      <c r="CC451"/>
    </row>
    <row r="452" spans="81:81">
      <c r="CC452"/>
    </row>
    <row r="453" spans="81:81">
      <c r="CC453"/>
    </row>
    <row r="454" spans="81:81">
      <c r="CC454"/>
    </row>
    <row r="455" spans="81:81">
      <c r="CC455"/>
    </row>
    <row r="456" spans="81:81">
      <c r="CC456"/>
    </row>
    <row r="457" spans="81:81">
      <c r="CC457"/>
    </row>
    <row r="458" spans="81:81">
      <c r="CC458"/>
    </row>
    <row r="459" spans="81:81">
      <c r="CC459"/>
    </row>
    <row r="460" spans="81:81">
      <c r="CC460"/>
    </row>
    <row r="461" spans="81:81">
      <c r="CC461"/>
    </row>
    <row r="462" spans="81:81">
      <c r="CC462"/>
    </row>
    <row r="463" spans="81:81">
      <c r="CC463"/>
    </row>
    <row r="464" spans="81:81">
      <c r="CC464"/>
    </row>
    <row r="465" spans="81:81">
      <c r="CC465"/>
    </row>
    <row r="466" spans="81:81">
      <c r="CC466"/>
    </row>
    <row r="467" spans="81:81">
      <c r="CC467"/>
    </row>
    <row r="468" spans="81:81">
      <c r="CC468"/>
    </row>
    <row r="469" spans="81:81">
      <c r="CC469"/>
    </row>
    <row r="470" spans="81:81">
      <c r="CC470"/>
    </row>
    <row r="471" spans="81:81">
      <c r="CC471"/>
    </row>
    <row r="472" spans="81:81">
      <c r="CC472"/>
    </row>
    <row r="473" spans="81:81">
      <c r="CC473"/>
    </row>
    <row r="474" spans="81:81">
      <c r="CC474"/>
    </row>
    <row r="475" spans="81:81">
      <c r="CC475"/>
    </row>
    <row r="476" spans="81:81">
      <c r="CC476"/>
    </row>
    <row r="477" spans="81:81">
      <c r="CC477"/>
    </row>
    <row r="478" spans="81:81">
      <c r="CC478"/>
    </row>
    <row r="479" spans="81:81">
      <c r="CC479"/>
    </row>
    <row r="480" spans="81:81">
      <c r="CC480"/>
    </row>
    <row r="481" spans="81:81">
      <c r="CC481"/>
    </row>
    <row r="482" spans="81:81">
      <c r="CC482"/>
    </row>
    <row r="483" spans="81:81">
      <c r="CC483"/>
    </row>
    <row r="484" spans="81:81">
      <c r="CC484"/>
    </row>
    <row r="485" spans="81:81">
      <c r="CC485"/>
    </row>
    <row r="486" spans="81:81">
      <c r="CC486"/>
    </row>
    <row r="487" spans="81:81">
      <c r="CC487"/>
    </row>
    <row r="488" spans="81:81">
      <c r="CC488"/>
    </row>
    <row r="489" spans="81:81">
      <c r="CC489"/>
    </row>
    <row r="490" spans="81:81">
      <c r="CC490"/>
    </row>
    <row r="491" spans="81:81">
      <c r="CC491"/>
    </row>
    <row r="492" spans="81:81">
      <c r="CC492"/>
    </row>
    <row r="493" spans="81:81">
      <c r="CC493"/>
    </row>
    <row r="494" spans="81:81">
      <c r="CC494"/>
    </row>
    <row r="495" spans="81:81">
      <c r="CC495"/>
    </row>
    <row r="496" spans="81:81">
      <c r="CC496"/>
    </row>
    <row r="497" spans="81:81">
      <c r="CC497"/>
    </row>
    <row r="498" spans="81:81">
      <c r="CC498"/>
    </row>
    <row r="499" spans="81:81">
      <c r="CC499"/>
    </row>
    <row r="500" spans="81:81">
      <c r="CC500"/>
    </row>
    <row r="501" spans="81:81">
      <c r="CC501"/>
    </row>
    <row r="502" spans="81:81">
      <c r="CC502"/>
    </row>
    <row r="503" spans="81:81">
      <c r="CC503"/>
    </row>
    <row r="504" spans="81:81">
      <c r="CC504"/>
    </row>
    <row r="505" spans="81:81">
      <c r="CC505"/>
    </row>
    <row r="506" spans="81:81">
      <c r="CC506"/>
    </row>
    <row r="507" spans="81:81">
      <c r="CC507"/>
    </row>
    <row r="508" spans="81:81">
      <c r="CC508"/>
    </row>
    <row r="509" spans="81:81">
      <c r="CC509"/>
    </row>
    <row r="510" spans="81:81">
      <c r="CC510"/>
    </row>
    <row r="511" spans="81:81">
      <c r="CC511"/>
    </row>
    <row r="512" spans="81:81">
      <c r="CC512"/>
    </row>
    <row r="513" spans="81:81">
      <c r="CC513"/>
    </row>
    <row r="514" spans="81:81">
      <c r="CC514"/>
    </row>
    <row r="515" spans="81:81">
      <c r="CC515"/>
    </row>
    <row r="516" spans="81:81">
      <c r="CC516"/>
    </row>
    <row r="517" spans="81:81">
      <c r="CC517"/>
    </row>
    <row r="518" spans="81:81">
      <c r="CC518"/>
    </row>
    <row r="519" spans="81:81">
      <c r="CC519"/>
    </row>
    <row r="520" spans="81:81">
      <c r="CC520"/>
    </row>
    <row r="521" spans="81:81">
      <c r="CC521"/>
    </row>
    <row r="522" spans="81:81">
      <c r="CC522"/>
    </row>
    <row r="523" spans="81:81">
      <c r="CC523"/>
    </row>
    <row r="524" spans="81:81">
      <c r="CC524"/>
    </row>
    <row r="525" spans="81:81">
      <c r="CC525"/>
    </row>
    <row r="526" spans="81:81">
      <c r="CC526"/>
    </row>
    <row r="527" spans="81:81">
      <c r="CC527"/>
    </row>
    <row r="528" spans="81:81">
      <c r="CC528"/>
    </row>
    <row r="529" spans="81:81">
      <c r="CC529"/>
    </row>
    <row r="530" spans="81:81">
      <c r="CC530"/>
    </row>
    <row r="531" spans="81:81">
      <c r="CC531"/>
    </row>
    <row r="532" spans="81:81">
      <c r="CC532"/>
    </row>
    <row r="533" spans="81:81">
      <c r="CC533"/>
    </row>
    <row r="534" spans="81:81">
      <c r="CC534"/>
    </row>
    <row r="535" spans="81:81">
      <c r="CC535"/>
    </row>
    <row r="536" spans="81:81">
      <c r="CC536"/>
    </row>
    <row r="537" spans="81:81">
      <c r="CC537"/>
    </row>
    <row r="538" spans="81:81">
      <c r="CC538"/>
    </row>
    <row r="539" spans="81:81">
      <c r="CC539"/>
    </row>
    <row r="540" spans="81:81">
      <c r="CC540"/>
    </row>
    <row r="541" spans="81:81">
      <c r="CC541"/>
    </row>
    <row r="542" spans="81:81">
      <c r="CC542"/>
    </row>
    <row r="543" spans="81:81">
      <c r="CC543"/>
    </row>
    <row r="544" spans="81:81">
      <c r="CC544"/>
    </row>
    <row r="545" spans="81:81">
      <c r="CC545"/>
    </row>
    <row r="546" spans="81:81">
      <c r="CC546"/>
    </row>
    <row r="547" spans="81:81">
      <c r="CC547"/>
    </row>
    <row r="548" spans="81:81">
      <c r="CC548"/>
    </row>
    <row r="549" spans="81:81">
      <c r="CC549"/>
    </row>
    <row r="550" spans="81:81">
      <c r="CC550"/>
    </row>
    <row r="551" spans="81:81">
      <c r="CC551"/>
    </row>
    <row r="552" spans="81:81">
      <c r="CC552"/>
    </row>
    <row r="553" spans="81:81">
      <c r="CC553"/>
    </row>
    <row r="554" spans="81:81">
      <c r="CC554"/>
    </row>
    <row r="555" spans="81:81">
      <c r="CC555"/>
    </row>
    <row r="556" spans="81:81">
      <c r="CC556"/>
    </row>
    <row r="557" spans="81:81">
      <c r="CC557"/>
    </row>
    <row r="558" spans="81:81">
      <c r="CC558"/>
    </row>
    <row r="559" spans="81:81">
      <c r="CC559"/>
    </row>
    <row r="560" spans="81:81">
      <c r="CC560"/>
    </row>
    <row r="561" spans="81:81">
      <c r="CC561"/>
    </row>
    <row r="562" spans="81:81">
      <c r="CC562"/>
    </row>
    <row r="563" spans="81:81">
      <c r="CC563"/>
    </row>
    <row r="564" spans="81:81">
      <c r="CC564"/>
    </row>
    <row r="565" spans="81:81">
      <c r="CC565"/>
    </row>
    <row r="566" spans="81:81">
      <c r="CC566"/>
    </row>
    <row r="567" spans="81:81">
      <c r="CC567"/>
    </row>
    <row r="568" spans="81:81">
      <c r="CC568"/>
    </row>
  </sheetData>
  <mergeCells count="26">
    <mergeCell ref="KQ4:KZ4"/>
    <mergeCell ref="BM4:BX4"/>
    <mergeCell ref="BY4:CJ4"/>
    <mergeCell ref="GE4:GP4"/>
    <mergeCell ref="E4:P4"/>
    <mergeCell ref="Q4:AB4"/>
    <mergeCell ref="AC4:AN4"/>
    <mergeCell ref="AO4:AZ4"/>
    <mergeCell ref="BA4:BL4"/>
    <mergeCell ref="FS4:GD4"/>
    <mergeCell ref="JP5:JW5"/>
    <mergeCell ref="JP4:JW4"/>
    <mergeCell ref="CK4:CV4"/>
    <mergeCell ref="GQ4:HB4"/>
    <mergeCell ref="MH4:MP4"/>
    <mergeCell ref="EH4:ES4"/>
    <mergeCell ref="FG4:FR4"/>
    <mergeCell ref="IP4:IY4"/>
    <mergeCell ref="IE4:IN4"/>
    <mergeCell ref="EU4:FF4"/>
    <mergeCell ref="HD4:HP4"/>
    <mergeCell ref="LR4:LX4"/>
    <mergeCell ref="LZ4:MF4"/>
    <mergeCell ref="LB4:LO4"/>
    <mergeCell ref="JY4:KF4"/>
    <mergeCell ref="KH4:KO4"/>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8ECE-6598-443D-9614-73C1359630C1}">
  <sheetPr>
    <tabColor rgb="FFC00000"/>
  </sheetPr>
  <dimension ref="A1:LO558"/>
  <sheetViews>
    <sheetView showGridLines="0" topLeftCell="A4" zoomScale="80" zoomScaleNormal="80" workbookViewId="0">
      <pane xSplit="3" ySplit="4" topLeftCell="FT140" activePane="bottomRight" state="frozen"/>
      <selection pane="topRight" activeCell="D4" sqref="D4"/>
      <selection pane="bottomLeft" activeCell="A8" sqref="A8"/>
      <selection pane="bottomRight" activeCell="GM161" sqref="GM161"/>
    </sheetView>
  </sheetViews>
  <sheetFormatPr baseColWidth="10" defaultColWidth="0" defaultRowHeight="14.5" zeroHeight="1" outlineLevelRow="4" outlineLevelCol="1"/>
  <cols>
    <col min="1" max="1" width="9.453125" style="17" customWidth="1"/>
    <col min="2" max="2" width="13.453125" style="17" customWidth="1"/>
    <col min="3" max="3" width="33.26953125" style="17" customWidth="1"/>
    <col min="4" max="4" width="11.453125" style="17" customWidth="1"/>
    <col min="5" max="42" width="10.453125" style="17" hidden="1" customWidth="1" outlineLevel="1"/>
    <col min="43" max="43" width="10.453125" style="657" hidden="1" customWidth="1" outlineLevel="1"/>
    <col min="44" max="76" width="10.453125" style="17" hidden="1" customWidth="1" outlineLevel="1"/>
    <col min="77" max="77" width="10.453125" style="17" hidden="1" customWidth="1" outlineLevel="1" collapsed="1"/>
    <col min="78" max="78" width="10.453125" style="17" hidden="1" customWidth="1" outlineLevel="1"/>
    <col min="79" max="79" width="11.81640625" style="17" hidden="1" customWidth="1" outlineLevel="1"/>
    <col min="80" max="80" width="12.453125" style="17" hidden="1" customWidth="1" outlineLevel="1"/>
    <col min="81" max="88" width="10.453125" style="17" hidden="1" customWidth="1" outlineLevel="1"/>
    <col min="89" max="89" width="10.7265625" style="17" customWidth="1" collapsed="1"/>
    <col min="90" max="96" width="10.7265625" style="17" customWidth="1"/>
    <col min="97" max="112" width="10.453125" style="17" customWidth="1"/>
    <col min="113" max="113" width="11.81640625" style="17" customWidth="1"/>
    <col min="114" max="114" width="12" style="17" bestFit="1" customWidth="1"/>
    <col min="115" max="125" width="10" style="17" customWidth="1"/>
    <col min="126" max="126" width="4.26953125" customWidth="1"/>
    <col min="127" max="150" width="12" style="17" hidden="1" customWidth="1" outlineLevel="1"/>
    <col min="151" max="174" width="10.7265625" style="17" hidden="1" customWidth="1" outlineLevel="1"/>
    <col min="175" max="175" width="10.7265625" style="17" customWidth="1" collapsed="1"/>
    <col min="176" max="186" width="10.7265625" style="17" customWidth="1"/>
    <col min="187" max="187" width="8.1796875" style="17" customWidth="1"/>
    <col min="188" max="197" width="13.26953125" style="17" customWidth="1"/>
    <col min="198" max="198" width="1.7265625" style="17" customWidth="1"/>
    <col min="199" max="204" width="11.453125" style="17" customWidth="1"/>
    <col min="205" max="205" width="11.453125" style="17" hidden="1" customWidth="1" outlineLevel="1"/>
    <col min="206" max="206" width="10.7265625" style="17" hidden="1" customWidth="1" outlineLevel="1"/>
    <col min="207" max="207" width="11.453125" style="17" hidden="1" customWidth="1" outlineLevel="1"/>
    <col min="208" max="208" width="1.7265625" style="17" customWidth="1" collapsed="1"/>
    <col min="209" max="209" width="11.453125" style="17" customWidth="1"/>
    <col min="210" max="217" width="11.453125" style="17" hidden="1" customWidth="1" outlineLevel="1"/>
    <col min="218" max="218" width="1.7265625" style="17" customWidth="1" collapsed="1"/>
    <col min="219" max="227" width="11.453125" style="17" hidden="1" customWidth="1" outlineLevel="1"/>
    <col min="228" max="228" width="5.7265625" style="17" customWidth="1" collapsed="1"/>
    <col min="229" max="230" width="11.453125" style="17" customWidth="1"/>
    <col min="231" max="237" width="11.7265625" style="17" customWidth="1"/>
    <col min="238" max="238" width="11.453125" style="17" customWidth="1"/>
    <col min="239" max="239" width="11.7265625" style="17" customWidth="1"/>
    <col min="240" max="240" width="9.453125" style="50" customWidth="1"/>
    <col min="241" max="242" width="11.453125" style="17" customWidth="1"/>
    <col min="243" max="243" width="4.453125" style="17" customWidth="1"/>
    <col min="244" max="245" width="11.453125" style="17" customWidth="1"/>
    <col min="246" max="246" width="4" style="17" customWidth="1"/>
    <col min="247" max="248" width="11.453125" style="17" customWidth="1"/>
    <col min="249" max="249" width="1.7265625" style="17" customWidth="1"/>
    <col min="250" max="256" width="11.453125" style="17" hidden="1" customWidth="1" outlineLevel="1"/>
    <col min="257" max="257" width="1.7265625" style="17" customWidth="1" collapsed="1"/>
    <col min="258" max="264" width="11.453125" style="17" hidden="1" customWidth="1" outlineLevel="1"/>
    <col min="265" max="265" width="1.7265625" style="17" customWidth="1" collapsed="1"/>
    <col min="266" max="273" width="11.453125" style="17" hidden="1" customWidth="1" outlineLevel="1"/>
    <col min="274" max="274" width="5.7265625" style="17" customWidth="1" collapsed="1"/>
    <col min="275" max="285" width="11.7265625" style="17" customWidth="1"/>
    <col min="286" max="286" width="1.7265625" style="17" customWidth="1"/>
    <col min="287" max="287" width="1.7265625" style="17" customWidth="1" collapsed="1"/>
    <col min="288" max="294" width="11.453125" style="17" hidden="1" customWidth="1" outlineLevel="1"/>
    <col min="295" max="295" width="1.7265625" style="17" customWidth="1" collapsed="1"/>
    <col min="296" max="302" width="11.453125" style="17" hidden="1" customWidth="1" outlineLevel="1"/>
    <col min="303" max="303" width="1.7265625" style="17" customWidth="1" collapsed="1"/>
    <col min="304" max="312" width="11.453125" style="17" hidden="1" customWidth="1" outlineLevel="1"/>
    <col min="313" max="313" width="11.453125" style="17" customWidth="1" collapsed="1"/>
    <col min="314" max="314" width="11.453125" style="17" customWidth="1"/>
    <col min="315" max="325" width="11.453125" style="17" hidden="1" customWidth="1"/>
    <col min="326" max="327" width="0" style="17" hidden="1" customWidth="1"/>
    <col min="328" max="353" width="11.453125" style="17" hidden="1" customWidth="1"/>
    <col min="354" max="16384" width="11.453125" style="17" hidden="1"/>
  </cols>
  <sheetData>
    <row r="1" spans="1:325" ht="15" customHeight="1">
      <c r="A1" s="867"/>
      <c r="C1" s="53"/>
      <c r="P1" s="868"/>
      <c r="Q1" s="868"/>
      <c r="R1" s="868"/>
      <c r="S1" s="868"/>
      <c r="T1" s="868"/>
      <c r="U1" s="868"/>
      <c r="V1" s="868"/>
      <c r="W1" s="868"/>
      <c r="X1" s="868"/>
      <c r="Y1" s="868"/>
      <c r="Z1" s="868"/>
      <c r="AA1" s="868"/>
      <c r="AB1" s="868" t="s">
        <v>48</v>
      </c>
      <c r="AC1" s="868"/>
      <c r="AD1" s="868"/>
      <c r="AE1" s="868"/>
      <c r="AF1" s="868"/>
      <c r="AG1" s="868"/>
      <c r="AH1" s="868"/>
      <c r="AI1" s="868"/>
      <c r="AJ1" s="868"/>
      <c r="AK1" s="868"/>
      <c r="AL1" s="868"/>
      <c r="AM1" s="868"/>
      <c r="AN1" s="868" t="s">
        <v>48</v>
      </c>
      <c r="AO1" s="133" t="s">
        <v>532</v>
      </c>
      <c r="AP1" s="868"/>
      <c r="AQ1" s="869"/>
      <c r="AR1" s="868"/>
      <c r="AS1" s="868"/>
      <c r="AT1" s="868"/>
      <c r="AU1" s="868"/>
      <c r="AV1" s="868"/>
      <c r="AW1" s="868"/>
      <c r="AX1" s="868"/>
      <c r="AY1" s="868"/>
      <c r="AZ1" s="868"/>
      <c r="BA1" s="25"/>
      <c r="BB1" s="868"/>
      <c r="BC1" s="868"/>
      <c r="BD1" s="868"/>
      <c r="BE1" s="868"/>
      <c r="BF1" s="868"/>
      <c r="BG1" s="868"/>
      <c r="BH1" s="868"/>
      <c r="BI1" s="868"/>
      <c r="BJ1" s="868"/>
      <c r="BK1" s="868"/>
      <c r="BL1" s="868"/>
      <c r="BM1" s="25"/>
      <c r="BN1" s="870"/>
      <c r="BO1" s="868"/>
      <c r="BP1" s="868"/>
      <c r="BQ1" s="868"/>
      <c r="BR1" s="868"/>
      <c r="BS1" s="868"/>
      <c r="BT1" s="868"/>
      <c r="BU1" s="868"/>
      <c r="BV1" s="868"/>
      <c r="BW1" s="868"/>
      <c r="BX1" s="868"/>
      <c r="BY1" s="871"/>
      <c r="BZ1" s="868"/>
      <c r="CA1" s="868"/>
      <c r="CB1" s="868"/>
      <c r="CC1" s="868"/>
      <c r="CD1" s="868"/>
      <c r="CE1" s="868"/>
      <c r="CF1" s="868"/>
      <c r="CG1" s="868"/>
      <c r="CH1" s="868"/>
      <c r="CI1" s="868"/>
      <c r="CJ1" s="868"/>
      <c r="CK1" s="868"/>
      <c r="CL1" s="868"/>
      <c r="CM1" s="868"/>
      <c r="CN1" s="868"/>
      <c r="CO1" s="868"/>
      <c r="CP1" s="868"/>
      <c r="CQ1" s="868"/>
      <c r="CR1" s="868"/>
      <c r="CS1" s="868"/>
      <c r="CT1" s="868"/>
      <c r="CU1" s="868"/>
      <c r="CV1" s="868"/>
      <c r="CW1" s="868"/>
      <c r="CX1" s="868"/>
      <c r="CY1" s="868"/>
      <c r="CZ1" s="868"/>
      <c r="DA1" s="868"/>
      <c r="DB1" s="868"/>
      <c r="DC1" s="868"/>
      <c r="DD1" s="868"/>
      <c r="DE1" s="868"/>
      <c r="DF1" s="868"/>
      <c r="DG1" s="868"/>
      <c r="DH1" s="868"/>
      <c r="DI1" s="868"/>
      <c r="DJ1" s="871"/>
      <c r="DK1" s="868"/>
      <c r="DL1" s="868"/>
      <c r="DM1" s="868"/>
      <c r="DN1" s="868"/>
      <c r="DO1" s="868"/>
      <c r="DP1" s="868"/>
      <c r="DQ1" s="868"/>
      <c r="DR1" s="868"/>
      <c r="DS1" s="868"/>
      <c r="DT1" s="868"/>
      <c r="DU1" s="868"/>
      <c r="DW1" s="868"/>
      <c r="DX1" s="868"/>
      <c r="DY1" s="868"/>
      <c r="DZ1" s="868"/>
      <c r="EA1" s="868"/>
      <c r="EB1" s="868"/>
      <c r="EC1" s="868"/>
      <c r="ED1" s="868"/>
      <c r="EE1" s="868"/>
      <c r="EF1" s="868"/>
      <c r="EG1" s="868"/>
      <c r="EH1" s="868"/>
      <c r="EI1" s="868"/>
      <c r="EJ1" s="868"/>
      <c r="EK1" s="868"/>
      <c r="EL1" s="868"/>
      <c r="EM1" s="868"/>
      <c r="EN1" s="868"/>
      <c r="EO1" s="868"/>
      <c r="EP1" s="868"/>
      <c r="EQ1" s="868"/>
      <c r="ER1" s="868"/>
      <c r="ES1" s="868"/>
      <c r="ET1" s="868"/>
      <c r="EU1" s="868"/>
      <c r="EV1" s="868"/>
      <c r="EW1" s="868"/>
      <c r="EX1" s="868"/>
      <c r="EY1" s="868"/>
      <c r="EZ1" s="868"/>
      <c r="FA1" s="868"/>
      <c r="FB1" s="868"/>
      <c r="FC1" s="868"/>
      <c r="FD1" s="868"/>
      <c r="FE1" s="868"/>
      <c r="FF1" s="868"/>
      <c r="FG1" s="871"/>
      <c r="FH1" s="868"/>
      <c r="FI1" s="868"/>
      <c r="FJ1" s="868"/>
      <c r="FK1" s="868"/>
      <c r="FL1" s="868"/>
      <c r="FM1" s="868"/>
      <c r="FN1" s="868"/>
      <c r="FO1" s="868"/>
      <c r="FP1" s="868"/>
      <c r="FQ1" s="868"/>
      <c r="FR1" s="868"/>
      <c r="FS1" s="868"/>
      <c r="FT1" s="868"/>
      <c r="FU1" s="868"/>
      <c r="FV1" s="868"/>
      <c r="FW1" s="868"/>
      <c r="FX1" s="868"/>
      <c r="FY1" s="868"/>
      <c r="FZ1" s="868"/>
      <c r="GA1" s="868"/>
      <c r="GB1" s="868"/>
      <c r="GC1" s="868"/>
      <c r="GD1" s="868"/>
      <c r="GE1" s="868"/>
      <c r="GF1" s="872" t="s">
        <v>533</v>
      </c>
      <c r="GG1" s="868"/>
      <c r="GH1" s="868"/>
      <c r="GI1" s="868"/>
      <c r="GJ1" s="868"/>
      <c r="GK1" s="868"/>
      <c r="GL1" s="868"/>
      <c r="GM1" s="868"/>
      <c r="GN1" s="868"/>
      <c r="GO1" s="868"/>
      <c r="GP1" s="868"/>
      <c r="GW1" s="868"/>
      <c r="GX1" s="868"/>
      <c r="GY1" s="868"/>
      <c r="GZ1" s="868"/>
      <c r="HA1" s="868"/>
      <c r="HB1" s="868"/>
      <c r="HH1" s="868"/>
      <c r="HI1" s="868"/>
      <c r="HJ1" s="868"/>
      <c r="HK1" s="868"/>
      <c r="HL1" s="868"/>
      <c r="HM1" s="868"/>
      <c r="HN1" s="868"/>
      <c r="HO1" s="868"/>
      <c r="HP1" s="868"/>
      <c r="HQ1" s="868"/>
      <c r="HS1" s="868"/>
      <c r="HT1" s="868"/>
      <c r="HU1" s="872" t="s">
        <v>534</v>
      </c>
      <c r="HV1" s="868"/>
      <c r="HW1" s="868"/>
      <c r="HX1" s="868"/>
      <c r="HY1" s="868"/>
      <c r="HZ1" s="868"/>
      <c r="IA1" s="868"/>
      <c r="IB1" s="868"/>
      <c r="IC1" s="868"/>
      <c r="ID1" s="868"/>
      <c r="IE1" s="868" t="s">
        <v>48</v>
      </c>
      <c r="IG1" s="868"/>
      <c r="IH1" s="868"/>
      <c r="II1" s="868"/>
      <c r="IJ1" s="868"/>
      <c r="IK1" s="868"/>
      <c r="IL1" s="868"/>
      <c r="IM1" s="868"/>
      <c r="IN1" s="868" t="s">
        <v>48</v>
      </c>
      <c r="IO1" s="25"/>
      <c r="JD1" s="868"/>
      <c r="JM1" s="868" t="s">
        <v>48</v>
      </c>
      <c r="JO1" s="872" t="s">
        <v>535</v>
      </c>
      <c r="JP1" s="868"/>
      <c r="JQ1" s="868"/>
      <c r="JR1" s="868"/>
      <c r="JS1" s="868"/>
      <c r="JT1" s="868"/>
      <c r="JU1" s="868"/>
      <c r="JV1" s="868"/>
      <c r="JW1" s="868"/>
      <c r="JX1" s="868"/>
      <c r="JY1" s="868" t="s">
        <v>48</v>
      </c>
      <c r="JZ1" s="868"/>
      <c r="KP1" s="868"/>
      <c r="KZ1" s="868" t="s">
        <v>48</v>
      </c>
      <c r="LL1" s="17">
        <v>1</v>
      </c>
      <c r="LM1" s="17" t="s">
        <v>536</v>
      </c>
    </row>
    <row r="2" spans="1:325" ht="15" customHeight="1" outlineLevel="1">
      <c r="A2" s="867"/>
      <c r="BN2" s="873"/>
      <c r="BO2" s="78"/>
      <c r="LL2" s="17">
        <v>2</v>
      </c>
      <c r="LM2" s="17" t="s">
        <v>537</v>
      </c>
    </row>
    <row r="3" spans="1:325" ht="15" customHeight="1" outlineLevel="1" thickBot="1">
      <c r="A3" s="867"/>
      <c r="LL3" s="17">
        <v>3</v>
      </c>
      <c r="LM3" s="17" t="s">
        <v>538</v>
      </c>
    </row>
    <row r="4" spans="1:325" ht="15" customHeight="1" thickBot="1">
      <c r="A4" s="867"/>
      <c r="B4" s="874" t="s">
        <v>539</v>
      </c>
      <c r="E4" s="1619" t="s">
        <v>540</v>
      </c>
      <c r="F4" s="1620"/>
      <c r="G4" s="1620"/>
      <c r="H4" s="1620"/>
      <c r="I4" s="1620"/>
      <c r="J4" s="1620"/>
      <c r="K4" s="1620"/>
      <c r="L4" s="1620"/>
      <c r="M4" s="1620"/>
      <c r="N4" s="1620"/>
      <c r="O4" s="1620"/>
      <c r="P4" s="1621"/>
      <c r="Q4" s="1619" t="s">
        <v>541</v>
      </c>
      <c r="R4" s="1620"/>
      <c r="S4" s="1620"/>
      <c r="T4" s="1620"/>
      <c r="U4" s="1620"/>
      <c r="V4" s="1620"/>
      <c r="W4" s="1620"/>
      <c r="X4" s="1620"/>
      <c r="Y4" s="1620"/>
      <c r="Z4" s="1620"/>
      <c r="AA4" s="1620"/>
      <c r="AB4" s="1621"/>
      <c r="AC4" s="1619" t="s">
        <v>542</v>
      </c>
      <c r="AD4" s="1620"/>
      <c r="AE4" s="1620"/>
      <c r="AF4" s="1620"/>
      <c r="AG4" s="1620"/>
      <c r="AH4" s="1620"/>
      <c r="AI4" s="1620"/>
      <c r="AJ4" s="1620"/>
      <c r="AK4" s="1620"/>
      <c r="AL4" s="1620"/>
      <c r="AM4" s="1620"/>
      <c r="AN4" s="1621"/>
      <c r="AO4" s="1619" t="s">
        <v>543</v>
      </c>
      <c r="AP4" s="1620"/>
      <c r="AQ4" s="1620"/>
      <c r="AR4" s="1620"/>
      <c r="AS4" s="1620"/>
      <c r="AT4" s="1620"/>
      <c r="AU4" s="1620"/>
      <c r="AV4" s="1620"/>
      <c r="AW4" s="1620"/>
      <c r="AX4" s="1620"/>
      <c r="AY4" s="1620"/>
      <c r="AZ4" s="1621"/>
      <c r="BA4" s="1619" t="s">
        <v>544</v>
      </c>
      <c r="BB4" s="1620"/>
      <c r="BC4" s="1620"/>
      <c r="BD4" s="1620"/>
      <c r="BE4" s="1620"/>
      <c r="BF4" s="1620"/>
      <c r="BG4" s="1620"/>
      <c r="BH4" s="1620"/>
      <c r="BI4" s="1620"/>
      <c r="BJ4" s="1620"/>
      <c r="BK4" s="1620"/>
      <c r="BL4" s="1621"/>
      <c r="BM4" s="1619" t="s">
        <v>545</v>
      </c>
      <c r="BN4" s="1620"/>
      <c r="BO4" s="1620"/>
      <c r="BP4" s="1620"/>
      <c r="BQ4" s="1620"/>
      <c r="BR4" s="1620"/>
      <c r="BS4" s="1620"/>
      <c r="BT4" s="1620"/>
      <c r="BU4" s="1620"/>
      <c r="BV4" s="1620"/>
      <c r="BW4" s="1620"/>
      <c r="BX4" s="1621"/>
      <c r="BY4" s="1619" t="s">
        <v>546</v>
      </c>
      <c r="BZ4" s="1620"/>
      <c r="CA4" s="1620"/>
      <c r="CB4" s="1620"/>
      <c r="CC4" s="1620"/>
      <c r="CD4" s="1620"/>
      <c r="CE4" s="1620"/>
      <c r="CF4" s="1620"/>
      <c r="CG4" s="1620"/>
      <c r="CH4" s="1620"/>
      <c r="CI4" s="1620"/>
      <c r="CJ4" s="1621"/>
      <c r="CK4" s="1607" t="s">
        <v>547</v>
      </c>
      <c r="CL4" s="1608"/>
      <c r="CM4" s="1608"/>
      <c r="CN4" s="1608"/>
      <c r="CO4" s="1608"/>
      <c r="CP4" s="1608"/>
      <c r="CQ4" s="1608"/>
      <c r="CR4" s="1608"/>
      <c r="CS4" s="1608"/>
      <c r="CT4" s="1608"/>
      <c r="CU4" s="1608"/>
      <c r="CV4" s="1609"/>
      <c r="CW4" s="1622" t="s">
        <v>548</v>
      </c>
      <c r="CX4" s="1623"/>
      <c r="CY4" s="1623"/>
      <c r="CZ4" s="1623"/>
      <c r="DA4" s="1623"/>
      <c r="DB4" s="1623"/>
      <c r="DC4" s="1623"/>
      <c r="DD4" s="1623"/>
      <c r="DE4" s="1623"/>
      <c r="DF4" s="1623"/>
      <c r="DG4" s="1623"/>
      <c r="DH4" s="1623"/>
      <c r="DJ4" s="1613" t="s">
        <v>835</v>
      </c>
      <c r="DK4" s="1614"/>
      <c r="DL4" s="1614"/>
      <c r="DM4" s="1614"/>
      <c r="DN4" s="1614"/>
      <c r="DO4" s="1614"/>
      <c r="DP4" s="1614"/>
      <c r="DQ4" s="1614"/>
      <c r="DR4" s="1614"/>
      <c r="DS4" s="1614"/>
      <c r="DT4" s="1614"/>
      <c r="DU4" s="1615"/>
      <c r="DW4" s="1610" t="s">
        <v>552</v>
      </c>
      <c r="DX4" s="1611"/>
      <c r="DY4" s="1611"/>
      <c r="DZ4" s="1611"/>
      <c r="EA4" s="1611"/>
      <c r="EB4" s="1611"/>
      <c r="EC4" s="1611"/>
      <c r="ED4" s="1611"/>
      <c r="EE4" s="1611"/>
      <c r="EF4" s="1611"/>
      <c r="EG4" s="1611"/>
      <c r="EH4" s="1612"/>
      <c r="EI4" s="1610" t="s">
        <v>553</v>
      </c>
      <c r="EJ4" s="1611"/>
      <c r="EK4" s="1611"/>
      <c r="EL4" s="1611"/>
      <c r="EM4" s="1611"/>
      <c r="EN4" s="1611"/>
      <c r="EO4" s="1611"/>
      <c r="EP4" s="1611"/>
      <c r="EQ4" s="1611"/>
      <c r="ER4" s="1611"/>
      <c r="ES4" s="1611"/>
      <c r="ET4" s="1612"/>
      <c r="EU4" s="1610" t="s">
        <v>554</v>
      </c>
      <c r="EV4" s="1611"/>
      <c r="EW4" s="1611"/>
      <c r="EX4" s="1611"/>
      <c r="EY4" s="1611"/>
      <c r="EZ4" s="1611"/>
      <c r="FA4" s="1611"/>
      <c r="FB4" s="1611"/>
      <c r="FC4" s="1611"/>
      <c r="FD4" s="1611"/>
      <c r="FE4" s="1611"/>
      <c r="FF4" s="1612"/>
      <c r="FG4" s="1610" t="s">
        <v>555</v>
      </c>
      <c r="FH4" s="1611"/>
      <c r="FI4" s="1611"/>
      <c r="FJ4" s="1611"/>
      <c r="FK4" s="1611"/>
      <c r="FL4" s="1611"/>
      <c r="FM4" s="1611"/>
      <c r="FN4" s="1611"/>
      <c r="FO4" s="1611"/>
      <c r="FP4" s="1611"/>
      <c r="FQ4" s="1611"/>
      <c r="FR4" s="1612"/>
      <c r="FS4" s="1610" t="s">
        <v>836</v>
      </c>
      <c r="FT4" s="1611"/>
      <c r="FU4" s="1611"/>
      <c r="FV4" s="1611"/>
      <c r="FW4" s="1611"/>
      <c r="FX4" s="1611"/>
      <c r="FY4" s="1611"/>
      <c r="FZ4" s="1611"/>
      <c r="GA4" s="1611"/>
      <c r="GB4" s="1611"/>
      <c r="GC4" s="1611"/>
      <c r="GD4" s="1612"/>
      <c r="GE4" s="875"/>
      <c r="GF4" s="1617" t="s">
        <v>557</v>
      </c>
      <c r="GG4" s="1606"/>
      <c r="GH4" s="1606"/>
      <c r="GI4" s="1606"/>
      <c r="GJ4" s="1606"/>
      <c r="GK4" s="1606"/>
      <c r="GL4" s="1606"/>
      <c r="GM4" s="1606"/>
      <c r="GN4" s="1606"/>
      <c r="GO4" s="1618"/>
      <c r="GQ4" s="876" t="s">
        <v>558</v>
      </c>
      <c r="GR4" s="877"/>
      <c r="GS4" s="877"/>
      <c r="GT4" s="877"/>
      <c r="GU4" s="877"/>
      <c r="GV4" s="877"/>
      <c r="GW4" s="877"/>
      <c r="GX4" s="877"/>
      <c r="GY4" s="877"/>
      <c r="GZ4" s="878"/>
      <c r="HA4" s="1616" t="s">
        <v>559</v>
      </c>
      <c r="HB4" s="1606"/>
      <c r="HC4" s="1606"/>
      <c r="HD4" s="1606"/>
      <c r="HE4" s="1606"/>
      <c r="HF4" s="1606"/>
      <c r="HG4" s="1606"/>
      <c r="HH4" s="1606"/>
      <c r="HI4" s="1606"/>
      <c r="HJ4" s="25"/>
      <c r="HK4" s="1616" t="s">
        <v>560</v>
      </c>
      <c r="HL4" s="1606"/>
      <c r="HM4" s="1606"/>
      <c r="HN4" s="1606"/>
      <c r="HO4" s="1606"/>
      <c r="HP4" s="1606"/>
      <c r="HQ4" s="1606"/>
      <c r="HR4" s="1606"/>
      <c r="HS4" s="1606"/>
      <c r="HT4" s="25"/>
      <c r="HU4" s="879" t="s">
        <v>561</v>
      </c>
      <c r="HV4" s="1513"/>
      <c r="HW4" s="1513"/>
      <c r="HX4" s="1513"/>
      <c r="HY4" s="1513"/>
      <c r="HZ4" s="1513"/>
      <c r="IA4" s="1513"/>
      <c r="IB4" s="1513"/>
      <c r="IC4" s="1513"/>
      <c r="ID4" s="1513"/>
      <c r="IE4" s="880"/>
      <c r="IF4" s="32"/>
      <c r="IG4" s="1606" t="s">
        <v>562</v>
      </c>
      <c r="IH4" s="1606"/>
      <c r="II4" s="1606"/>
      <c r="IJ4" s="1606"/>
      <c r="IK4" s="1606"/>
      <c r="IL4" s="1606"/>
      <c r="IM4" s="1606"/>
      <c r="IN4" s="1606"/>
      <c r="IO4" s="25"/>
      <c r="IP4" s="1606" t="s">
        <v>563</v>
      </c>
      <c r="IQ4" s="1606"/>
      <c r="IR4" s="1606"/>
      <c r="IS4" s="1606"/>
      <c r="IT4" s="1606"/>
      <c r="IU4" s="1606"/>
      <c r="IV4" s="1606"/>
      <c r="IX4" s="1606" t="s">
        <v>564</v>
      </c>
      <c r="IY4" s="1606"/>
      <c r="IZ4" s="1606"/>
      <c r="JA4" s="1606"/>
      <c r="JB4" s="1606"/>
      <c r="JC4" s="1606"/>
      <c r="JD4" s="1606"/>
      <c r="JF4" s="1606" t="s">
        <v>565</v>
      </c>
      <c r="JG4" s="1606"/>
      <c r="JH4" s="1606"/>
      <c r="JI4" s="1606"/>
      <c r="JJ4" s="1606"/>
      <c r="JK4" s="1606"/>
      <c r="JL4" s="1606"/>
      <c r="JM4" s="1606"/>
      <c r="JO4" s="1606" t="s">
        <v>566</v>
      </c>
      <c r="JP4" s="1606"/>
      <c r="JQ4" s="1606"/>
      <c r="JR4" s="1606"/>
      <c r="JS4" s="1606"/>
      <c r="JT4" s="1606"/>
      <c r="JU4" s="1606"/>
      <c r="JV4" s="1606"/>
      <c r="JW4" s="1606"/>
      <c r="JX4" s="1606"/>
      <c r="JY4" s="1606"/>
      <c r="KB4" s="1606" t="s">
        <v>567</v>
      </c>
      <c r="KC4" s="1606"/>
      <c r="KD4" s="1606"/>
      <c r="KE4" s="1606"/>
      <c r="KF4" s="1606"/>
      <c r="KG4" s="1606"/>
      <c r="KH4" s="1606"/>
      <c r="KJ4" s="1606" t="s">
        <v>568</v>
      </c>
      <c r="KK4" s="1606"/>
      <c r="KL4" s="1606"/>
      <c r="KM4" s="1606"/>
      <c r="KN4" s="1606"/>
      <c r="KO4" s="1606"/>
      <c r="KP4" s="1606"/>
      <c r="KR4" s="1606" t="s">
        <v>565</v>
      </c>
      <c r="KS4" s="1606"/>
      <c r="KT4" s="1606"/>
      <c r="KU4" s="1606"/>
      <c r="KV4" s="1606"/>
      <c r="KW4" s="1606"/>
      <c r="KX4" s="1606"/>
      <c r="KY4" s="1606"/>
      <c r="KZ4" s="1606"/>
      <c r="LL4" s="17">
        <v>4</v>
      </c>
      <c r="LM4" s="17" t="s">
        <v>569</v>
      </c>
    </row>
    <row r="5" spans="1:325" ht="15" customHeight="1">
      <c r="A5" s="867"/>
      <c r="E5" s="881">
        <v>1</v>
      </c>
      <c r="F5" s="881">
        <v>2</v>
      </c>
      <c r="G5" s="881">
        <v>3</v>
      </c>
      <c r="H5" s="881">
        <v>4</v>
      </c>
      <c r="I5" s="881">
        <v>5</v>
      </c>
      <c r="J5" s="881">
        <v>6</v>
      </c>
      <c r="K5" s="881">
        <v>7</v>
      </c>
      <c r="L5" s="881">
        <v>8</v>
      </c>
      <c r="M5" s="881">
        <v>9</v>
      </c>
      <c r="N5" s="881">
        <v>10</v>
      </c>
      <c r="O5" s="881">
        <v>11</v>
      </c>
      <c r="P5" s="881">
        <v>12</v>
      </c>
      <c r="Q5" s="881">
        <v>1</v>
      </c>
      <c r="R5" s="881">
        <v>2</v>
      </c>
      <c r="S5" s="881">
        <v>3</v>
      </c>
      <c r="T5" s="881">
        <v>4</v>
      </c>
      <c r="U5" s="881">
        <v>5</v>
      </c>
      <c r="V5" s="881">
        <v>6</v>
      </c>
      <c r="W5" s="881">
        <v>7</v>
      </c>
      <c r="X5" s="881">
        <v>8</v>
      </c>
      <c r="Y5" s="881">
        <v>9</v>
      </c>
      <c r="Z5" s="881">
        <v>10</v>
      </c>
      <c r="AA5" s="881">
        <v>11</v>
      </c>
      <c r="AB5" s="881">
        <v>12</v>
      </c>
      <c r="AC5" s="881">
        <v>1</v>
      </c>
      <c r="AD5" s="881">
        <v>2</v>
      </c>
      <c r="AE5" s="881">
        <v>3</v>
      </c>
      <c r="AF5" s="881">
        <v>4</v>
      </c>
      <c r="AG5" s="881">
        <v>5</v>
      </c>
      <c r="AH5" s="881">
        <v>6</v>
      </c>
      <c r="AI5" s="881">
        <v>7</v>
      </c>
      <c r="AJ5" s="881">
        <v>8</v>
      </c>
      <c r="AK5" s="881">
        <v>9</v>
      </c>
      <c r="AL5" s="881">
        <v>10</v>
      </c>
      <c r="AM5" s="881">
        <v>11</v>
      </c>
      <c r="AN5" s="881">
        <v>12</v>
      </c>
      <c r="AO5" s="881">
        <v>1</v>
      </c>
      <c r="AP5" s="881">
        <v>2</v>
      </c>
      <c r="AQ5" s="881">
        <v>3</v>
      </c>
      <c r="AR5" s="881">
        <v>4</v>
      </c>
      <c r="AS5" s="881">
        <v>5</v>
      </c>
      <c r="AT5" s="881">
        <v>6</v>
      </c>
      <c r="AU5" s="881">
        <v>7</v>
      </c>
      <c r="AV5" s="881">
        <v>8</v>
      </c>
      <c r="AW5" s="881">
        <v>9</v>
      </c>
      <c r="AX5" s="881">
        <v>10</v>
      </c>
      <c r="AY5" s="881">
        <v>11</v>
      </c>
      <c r="AZ5" s="881">
        <v>12</v>
      </c>
      <c r="BA5" s="881">
        <v>1</v>
      </c>
      <c r="BB5" s="881">
        <v>2</v>
      </c>
      <c r="BC5" s="881">
        <v>3</v>
      </c>
      <c r="BD5" s="881">
        <v>4</v>
      </c>
      <c r="BE5" s="881">
        <v>5</v>
      </c>
      <c r="BF5" s="881">
        <v>6</v>
      </c>
      <c r="BG5" s="881">
        <v>7</v>
      </c>
      <c r="BH5" s="881">
        <v>8</v>
      </c>
      <c r="BI5" s="881">
        <v>9</v>
      </c>
      <c r="BJ5" s="881">
        <v>10</v>
      </c>
      <c r="BK5" s="881">
        <v>11</v>
      </c>
      <c r="BL5" s="881">
        <v>12</v>
      </c>
      <c r="BM5" s="881">
        <v>1</v>
      </c>
      <c r="BN5" s="881">
        <v>2</v>
      </c>
      <c r="BO5" s="881">
        <v>3</v>
      </c>
      <c r="BP5" s="881">
        <v>4</v>
      </c>
      <c r="BQ5" s="881">
        <v>5</v>
      </c>
      <c r="BR5" s="881">
        <v>6</v>
      </c>
      <c r="BS5" s="881">
        <v>7</v>
      </c>
      <c r="BT5" s="881">
        <v>8</v>
      </c>
      <c r="BU5" s="881">
        <v>9</v>
      </c>
      <c r="BV5" s="881">
        <v>10</v>
      </c>
      <c r="BW5" s="881">
        <v>11</v>
      </c>
      <c r="BX5" s="881">
        <v>12</v>
      </c>
      <c r="BY5" s="881">
        <v>1</v>
      </c>
      <c r="BZ5" s="881">
        <v>2</v>
      </c>
      <c r="CA5" s="881">
        <v>3</v>
      </c>
      <c r="CB5" s="881">
        <v>4</v>
      </c>
      <c r="CC5" s="881">
        <v>5</v>
      </c>
      <c r="CD5" s="881">
        <v>6</v>
      </c>
      <c r="CE5" s="881">
        <v>7</v>
      </c>
      <c r="CF5" s="881">
        <v>8</v>
      </c>
      <c r="CG5" s="881">
        <v>9</v>
      </c>
      <c r="CH5" s="881">
        <v>10</v>
      </c>
      <c r="CI5" s="881">
        <v>11</v>
      </c>
      <c r="CJ5" s="881">
        <v>12</v>
      </c>
      <c r="CK5" s="881">
        <v>1</v>
      </c>
      <c r="CL5" s="881">
        <v>2</v>
      </c>
      <c r="CM5" s="881">
        <v>3</v>
      </c>
      <c r="CN5" s="881">
        <v>4</v>
      </c>
      <c r="CO5" s="881">
        <v>5</v>
      </c>
      <c r="CP5" s="881">
        <v>6</v>
      </c>
      <c r="CQ5" s="881">
        <v>7</v>
      </c>
      <c r="CR5" s="881">
        <v>8</v>
      </c>
      <c r="CS5" s="881">
        <v>9</v>
      </c>
      <c r="CT5" s="881">
        <v>10</v>
      </c>
      <c r="CU5" s="881">
        <v>11</v>
      </c>
      <c r="CV5" s="881">
        <v>12</v>
      </c>
      <c r="CW5" s="881">
        <v>1</v>
      </c>
      <c r="CX5" s="881">
        <v>2</v>
      </c>
      <c r="CY5" s="881">
        <v>3</v>
      </c>
      <c r="CZ5" s="881">
        <v>4</v>
      </c>
      <c r="DA5" s="881">
        <v>5</v>
      </c>
      <c r="DB5" s="881">
        <v>6</v>
      </c>
      <c r="DC5" s="881">
        <v>7</v>
      </c>
      <c r="DD5" s="881">
        <v>8</v>
      </c>
      <c r="DE5" s="881">
        <v>9</v>
      </c>
      <c r="DF5" s="881">
        <v>10</v>
      </c>
      <c r="DG5" s="881">
        <v>11</v>
      </c>
      <c r="DH5" s="881">
        <v>12</v>
      </c>
      <c r="DJ5" s="657">
        <v>1</v>
      </c>
      <c r="DK5" s="657">
        <v>2</v>
      </c>
      <c r="DL5" s="657">
        <v>3</v>
      </c>
      <c r="DM5" s="657">
        <v>4</v>
      </c>
      <c r="DN5" s="657">
        <v>5</v>
      </c>
      <c r="DO5" s="657">
        <v>6</v>
      </c>
      <c r="DP5" s="657">
        <v>7</v>
      </c>
      <c r="DQ5" s="657">
        <v>8</v>
      </c>
      <c r="DR5" s="657">
        <v>9</v>
      </c>
      <c r="DS5" s="657">
        <v>10</v>
      </c>
      <c r="DT5" s="657">
        <v>11</v>
      </c>
      <c r="DU5" s="657">
        <v>12</v>
      </c>
      <c r="DW5" s="657">
        <v>1</v>
      </c>
      <c r="DX5" s="657">
        <v>2</v>
      </c>
      <c r="DY5" s="657">
        <v>3</v>
      </c>
      <c r="DZ5" s="657">
        <v>4</v>
      </c>
      <c r="EA5" s="657">
        <v>5</v>
      </c>
      <c r="EB5" s="657">
        <v>6</v>
      </c>
      <c r="EC5" s="657">
        <v>7</v>
      </c>
      <c r="ED5" s="657">
        <v>8</v>
      </c>
      <c r="EE5" s="657">
        <v>9</v>
      </c>
      <c r="EF5" s="657">
        <v>10</v>
      </c>
      <c r="EG5" s="657">
        <v>11</v>
      </c>
      <c r="EH5" s="657">
        <v>12</v>
      </c>
      <c r="EI5" s="657">
        <v>1</v>
      </c>
      <c r="EJ5" s="657">
        <v>2</v>
      </c>
      <c r="EK5" s="657">
        <v>3</v>
      </c>
      <c r="EL5" s="657">
        <v>4</v>
      </c>
      <c r="EM5" s="657">
        <v>5</v>
      </c>
      <c r="EN5" s="657">
        <v>6</v>
      </c>
      <c r="EO5" s="657">
        <v>7</v>
      </c>
      <c r="EP5" s="657">
        <v>8</v>
      </c>
      <c r="EQ5" s="657">
        <v>9</v>
      </c>
      <c r="ER5" s="657">
        <v>10</v>
      </c>
      <c r="ES5" s="657">
        <v>11</v>
      </c>
      <c r="ET5" s="657">
        <v>12</v>
      </c>
      <c r="EU5" s="657">
        <v>1</v>
      </c>
      <c r="EV5" s="657">
        <v>2</v>
      </c>
      <c r="EW5" s="657">
        <v>3</v>
      </c>
      <c r="EX5" s="657">
        <v>4</v>
      </c>
      <c r="EY5" s="657">
        <v>5</v>
      </c>
      <c r="EZ5" s="657">
        <v>6</v>
      </c>
      <c r="FA5" s="657">
        <v>7</v>
      </c>
      <c r="FB5" s="657">
        <v>8</v>
      </c>
      <c r="FC5" s="657">
        <v>9</v>
      </c>
      <c r="FD5" s="657">
        <v>10</v>
      </c>
      <c r="FE5" s="657">
        <v>11</v>
      </c>
      <c r="FF5" s="657">
        <v>12</v>
      </c>
      <c r="FG5" s="657">
        <v>1</v>
      </c>
      <c r="FH5" s="657">
        <v>2</v>
      </c>
      <c r="FI5" s="657">
        <v>3</v>
      </c>
      <c r="FJ5" s="657">
        <v>4</v>
      </c>
      <c r="FK5" s="657">
        <v>5</v>
      </c>
      <c r="FL5" s="657">
        <v>6</v>
      </c>
      <c r="FM5" s="657">
        <v>7</v>
      </c>
      <c r="FN5" s="657">
        <v>8</v>
      </c>
      <c r="FO5" s="657">
        <v>9</v>
      </c>
      <c r="FP5" s="657">
        <v>10</v>
      </c>
      <c r="FQ5" s="657">
        <v>11</v>
      </c>
      <c r="FR5" s="657">
        <v>12</v>
      </c>
      <c r="FS5" s="657">
        <v>1</v>
      </c>
      <c r="FT5" s="657">
        <v>2</v>
      </c>
      <c r="FU5" s="657">
        <v>3</v>
      </c>
      <c r="FV5" s="657">
        <v>4</v>
      </c>
      <c r="FW5" s="657">
        <v>5</v>
      </c>
      <c r="FX5" s="657">
        <v>6</v>
      </c>
      <c r="FY5" s="657">
        <v>7</v>
      </c>
      <c r="FZ5" s="657">
        <v>8</v>
      </c>
      <c r="GA5" s="657">
        <v>9</v>
      </c>
      <c r="GB5" s="657">
        <v>10</v>
      </c>
      <c r="GC5" s="657">
        <v>11</v>
      </c>
      <c r="GD5" s="657">
        <v>12</v>
      </c>
      <c r="GE5" s="875"/>
      <c r="GF5" s="133"/>
      <c r="GG5" s="133"/>
      <c r="GH5" s="133"/>
      <c r="GI5" s="133"/>
      <c r="GJ5" s="133"/>
      <c r="GK5" s="133"/>
      <c r="GL5" s="133"/>
      <c r="GM5" s="133"/>
      <c r="GN5" s="133"/>
      <c r="GO5" s="133"/>
      <c r="GQ5" s="133"/>
      <c r="GR5" s="133"/>
      <c r="GS5" s="133"/>
      <c r="GT5" s="133"/>
      <c r="GU5" s="133"/>
      <c r="GV5" s="133"/>
      <c r="GW5" s="133"/>
      <c r="GX5" s="133"/>
      <c r="GY5" s="133"/>
      <c r="HA5" s="133"/>
      <c r="HB5" s="133"/>
      <c r="HC5" s="133"/>
      <c r="HD5" s="133"/>
      <c r="HE5" s="133"/>
      <c r="HF5" s="133"/>
      <c r="HG5" s="133"/>
      <c r="HH5" s="133"/>
      <c r="HI5" s="133"/>
      <c r="HJ5" s="133"/>
      <c r="HK5" s="133"/>
      <c r="HL5" s="133"/>
      <c r="HM5" s="133"/>
      <c r="HN5" s="133"/>
      <c r="HO5" s="133"/>
      <c r="HP5" s="133"/>
      <c r="HQ5" s="133"/>
      <c r="HR5" s="133"/>
      <c r="HS5" s="133"/>
      <c r="HT5" s="133"/>
      <c r="HU5" s="882" t="s">
        <v>570</v>
      </c>
      <c r="HV5" s="882" t="s">
        <v>571</v>
      </c>
      <c r="HW5" s="882">
        <v>6</v>
      </c>
      <c r="HX5" s="882"/>
      <c r="HY5" s="882"/>
      <c r="HZ5" s="882"/>
      <c r="IA5" s="882"/>
      <c r="IB5" s="882"/>
      <c r="IC5" s="882" t="str">
        <f>+VLOOKUP(HW5,$LL$1:$LM$12,2,FALSE)</f>
        <v>Jun</v>
      </c>
      <c r="ID5" s="882"/>
      <c r="IE5" s="882"/>
      <c r="IF5" s="95"/>
      <c r="IG5" s="1605" t="str">
        <f>+IC5</f>
        <v>Jun</v>
      </c>
      <c r="IH5" s="1605"/>
      <c r="II5" s="1605"/>
      <c r="IJ5" s="1605"/>
      <c r="IK5" s="1605"/>
      <c r="IL5" s="1605"/>
      <c r="IM5" s="1605"/>
      <c r="IN5" s="1605"/>
      <c r="IO5" s="70"/>
      <c r="JO5" s="882" t="s">
        <v>570</v>
      </c>
      <c r="JP5" s="882" t="s">
        <v>571</v>
      </c>
      <c r="JQ5" s="883">
        <f>+HW5</f>
        <v>6</v>
      </c>
      <c r="JR5" s="882" t="str">
        <f>+VLOOKUP(JQ5,$LL$1:$LM$12,2,FALSE)</f>
        <v>Jun</v>
      </c>
      <c r="JS5" s="882"/>
      <c r="JT5" s="882"/>
      <c r="JU5" s="882"/>
      <c r="JV5" s="882"/>
      <c r="JW5" s="882"/>
      <c r="JX5" s="882"/>
      <c r="JY5" s="882"/>
      <c r="LL5" s="17">
        <v>5</v>
      </c>
      <c r="LM5" s="17" t="s">
        <v>572</v>
      </c>
    </row>
    <row r="6" spans="1:325" ht="15" customHeight="1" thickBot="1">
      <c r="A6" s="867"/>
      <c r="E6" s="881">
        <v>2012</v>
      </c>
      <c r="F6" s="881">
        <v>2012</v>
      </c>
      <c r="G6" s="881">
        <v>2012</v>
      </c>
      <c r="H6" s="881">
        <v>2012</v>
      </c>
      <c r="I6" s="881">
        <v>2012</v>
      </c>
      <c r="J6" s="881">
        <v>2012</v>
      </c>
      <c r="K6" s="881">
        <v>2012</v>
      </c>
      <c r="L6" s="881">
        <v>2012</v>
      </c>
      <c r="M6" s="881">
        <v>2012</v>
      </c>
      <c r="N6" s="881">
        <v>2012</v>
      </c>
      <c r="O6" s="881">
        <v>2012</v>
      </c>
      <c r="P6" s="881">
        <v>2012</v>
      </c>
      <c r="Q6" s="881">
        <v>2013</v>
      </c>
      <c r="R6" s="881">
        <v>2013</v>
      </c>
      <c r="S6" s="881">
        <v>2013</v>
      </c>
      <c r="T6" s="881">
        <v>2013</v>
      </c>
      <c r="U6" s="881">
        <v>2013</v>
      </c>
      <c r="V6" s="881">
        <v>2013</v>
      </c>
      <c r="W6" s="881">
        <v>2013</v>
      </c>
      <c r="X6" s="881">
        <v>2013</v>
      </c>
      <c r="Y6" s="881">
        <v>2013</v>
      </c>
      <c r="Z6" s="881">
        <v>2013</v>
      </c>
      <c r="AA6" s="881">
        <v>2013</v>
      </c>
      <c r="AB6" s="881">
        <v>2013</v>
      </c>
      <c r="AC6" s="881">
        <v>2014</v>
      </c>
      <c r="AD6" s="881">
        <v>2014</v>
      </c>
      <c r="AE6" s="881">
        <v>2014</v>
      </c>
      <c r="AF6" s="881">
        <v>2014</v>
      </c>
      <c r="AG6" s="881">
        <v>2014</v>
      </c>
      <c r="AH6" s="881">
        <v>2014</v>
      </c>
      <c r="AI6" s="881">
        <v>2014</v>
      </c>
      <c r="AJ6" s="881">
        <v>2014</v>
      </c>
      <c r="AK6" s="881">
        <v>2014</v>
      </c>
      <c r="AL6" s="881">
        <v>2014</v>
      </c>
      <c r="AM6" s="881">
        <v>2014</v>
      </c>
      <c r="AN6" s="881">
        <v>2014</v>
      </c>
      <c r="AO6" s="881">
        <v>2015</v>
      </c>
      <c r="AP6" s="881">
        <v>2015</v>
      </c>
      <c r="AQ6" s="881">
        <v>2015</v>
      </c>
      <c r="AR6" s="881">
        <v>2015</v>
      </c>
      <c r="AS6" s="881">
        <v>2015</v>
      </c>
      <c r="AT6" s="881">
        <v>2015</v>
      </c>
      <c r="AU6" s="881">
        <v>2015</v>
      </c>
      <c r="AV6" s="881">
        <v>2015</v>
      </c>
      <c r="AW6" s="881">
        <v>2015</v>
      </c>
      <c r="AX6" s="881">
        <v>2015</v>
      </c>
      <c r="AY6" s="881">
        <v>2015</v>
      </c>
      <c r="AZ6" s="881">
        <v>2015</v>
      </c>
      <c r="BA6" s="881">
        <v>2016</v>
      </c>
      <c r="BB6" s="881">
        <v>2016</v>
      </c>
      <c r="BC6" s="881">
        <v>2016</v>
      </c>
      <c r="BD6" s="881">
        <v>2016</v>
      </c>
      <c r="BE6" s="881">
        <v>2016</v>
      </c>
      <c r="BF6" s="881">
        <v>2016</v>
      </c>
      <c r="BG6" s="881">
        <v>2016</v>
      </c>
      <c r="BH6" s="881">
        <v>2016</v>
      </c>
      <c r="BI6" s="881">
        <v>2016</v>
      </c>
      <c r="BJ6" s="881">
        <v>2016</v>
      </c>
      <c r="BK6" s="881">
        <v>2016</v>
      </c>
      <c r="BL6" s="881">
        <v>2016</v>
      </c>
      <c r="BM6" s="881">
        <v>2017</v>
      </c>
      <c r="BN6" s="881">
        <v>2017</v>
      </c>
      <c r="BO6" s="881">
        <v>2017</v>
      </c>
      <c r="BP6" s="881">
        <v>2017</v>
      </c>
      <c r="BQ6" s="881">
        <v>2017</v>
      </c>
      <c r="BR6" s="881">
        <v>2017</v>
      </c>
      <c r="BS6" s="881">
        <v>2017</v>
      </c>
      <c r="BT6" s="881">
        <v>2017</v>
      </c>
      <c r="BU6" s="881">
        <v>2017</v>
      </c>
      <c r="BV6" s="881">
        <v>2017</v>
      </c>
      <c r="BW6" s="881">
        <v>2017</v>
      </c>
      <c r="BX6" s="881">
        <v>2017</v>
      </c>
      <c r="BY6" s="881">
        <v>2018</v>
      </c>
      <c r="BZ6" s="881">
        <v>2018</v>
      </c>
      <c r="CA6" s="881">
        <v>2018</v>
      </c>
      <c r="CB6" s="881">
        <v>2018</v>
      </c>
      <c r="CC6" s="881">
        <v>2018</v>
      </c>
      <c r="CD6" s="881">
        <v>2018</v>
      </c>
      <c r="CE6" s="881">
        <v>2018</v>
      </c>
      <c r="CF6" s="881">
        <v>2018</v>
      </c>
      <c r="CG6" s="881">
        <v>2018</v>
      </c>
      <c r="CH6" s="881">
        <v>2018</v>
      </c>
      <c r="CI6" s="881">
        <v>2018</v>
      </c>
      <c r="CJ6" s="881">
        <v>2018</v>
      </c>
      <c r="CK6" s="881">
        <v>2019</v>
      </c>
      <c r="CL6" s="881">
        <v>2019</v>
      </c>
      <c r="CM6" s="881">
        <v>2019</v>
      </c>
      <c r="CN6" s="881">
        <v>2019</v>
      </c>
      <c r="CO6" s="881">
        <v>2019</v>
      </c>
      <c r="CP6" s="881">
        <v>2019</v>
      </c>
      <c r="CQ6" s="881">
        <v>2019</v>
      </c>
      <c r="CR6" s="881">
        <v>2019</v>
      </c>
      <c r="CS6" s="881">
        <v>2019</v>
      </c>
      <c r="CT6" s="881">
        <v>2019</v>
      </c>
      <c r="CU6" s="881">
        <v>2019</v>
      </c>
      <c r="CV6" s="881">
        <v>2019</v>
      </c>
      <c r="CW6" s="881">
        <v>2020</v>
      </c>
      <c r="CX6" s="881">
        <v>2020</v>
      </c>
      <c r="CY6" s="881">
        <v>2020</v>
      </c>
      <c r="CZ6" s="881">
        <v>2020</v>
      </c>
      <c r="DA6" s="881">
        <v>2020</v>
      </c>
      <c r="DB6" s="881">
        <v>2020</v>
      </c>
      <c r="DC6" s="881">
        <v>2020</v>
      </c>
      <c r="DD6" s="881">
        <v>2020</v>
      </c>
      <c r="DE6" s="881">
        <v>2020</v>
      </c>
      <c r="DF6" s="881">
        <v>2020</v>
      </c>
      <c r="DG6" s="881">
        <v>2020</v>
      </c>
      <c r="DH6" s="881">
        <v>2020</v>
      </c>
      <c r="DJ6" s="657">
        <v>2019</v>
      </c>
      <c r="DK6" s="657">
        <v>2019</v>
      </c>
      <c r="DL6" s="657">
        <v>2019</v>
      </c>
      <c r="DM6" s="657">
        <v>2019</v>
      </c>
      <c r="DN6" s="657">
        <v>2019</v>
      </c>
      <c r="DO6" s="657">
        <v>2019</v>
      </c>
      <c r="DP6" s="657">
        <v>2019</v>
      </c>
      <c r="DQ6" s="657">
        <v>2019</v>
      </c>
      <c r="DR6" s="657">
        <v>2019</v>
      </c>
      <c r="DS6" s="657">
        <v>2019</v>
      </c>
      <c r="DT6" s="657">
        <v>2019</v>
      </c>
      <c r="DU6" s="657">
        <v>2019</v>
      </c>
      <c r="DW6" s="657">
        <v>2015</v>
      </c>
      <c r="DX6" s="657">
        <v>2015</v>
      </c>
      <c r="DY6" s="657">
        <v>2015</v>
      </c>
      <c r="DZ6" s="657">
        <v>2015</v>
      </c>
      <c r="EA6" s="657">
        <v>2015</v>
      </c>
      <c r="EB6" s="657">
        <v>2015</v>
      </c>
      <c r="EC6" s="657">
        <v>2015</v>
      </c>
      <c r="ED6" s="657">
        <v>2015</v>
      </c>
      <c r="EE6" s="657">
        <v>2015</v>
      </c>
      <c r="EF6" s="657">
        <v>2015</v>
      </c>
      <c r="EG6" s="657">
        <v>2015</v>
      </c>
      <c r="EH6" s="657">
        <v>2015</v>
      </c>
      <c r="EI6" s="657">
        <v>2016</v>
      </c>
      <c r="EJ6" s="657">
        <v>2016</v>
      </c>
      <c r="EK6" s="657">
        <v>2016</v>
      </c>
      <c r="EL6" s="657">
        <v>2016</v>
      </c>
      <c r="EM6" s="657">
        <v>2016</v>
      </c>
      <c r="EN6" s="657">
        <v>2016</v>
      </c>
      <c r="EO6" s="657">
        <v>2016</v>
      </c>
      <c r="EP6" s="657">
        <v>2016</v>
      </c>
      <c r="EQ6" s="657">
        <v>2016</v>
      </c>
      <c r="ER6" s="657">
        <v>2016</v>
      </c>
      <c r="ES6" s="657">
        <v>2016</v>
      </c>
      <c r="ET6" s="657">
        <v>2016</v>
      </c>
      <c r="EU6" s="657">
        <v>2017</v>
      </c>
      <c r="EV6" s="657">
        <v>2017</v>
      </c>
      <c r="EW6" s="657">
        <v>2017</v>
      </c>
      <c r="EX6" s="657">
        <v>2017</v>
      </c>
      <c r="EY6" s="657">
        <v>2017</v>
      </c>
      <c r="EZ6" s="657">
        <v>2017</v>
      </c>
      <c r="FA6" s="657">
        <v>2017</v>
      </c>
      <c r="FB6" s="657">
        <v>2017</v>
      </c>
      <c r="FC6" s="657">
        <v>2017</v>
      </c>
      <c r="FD6" s="657">
        <v>2017</v>
      </c>
      <c r="FE6" s="657">
        <v>2017</v>
      </c>
      <c r="FF6" s="657">
        <v>2017</v>
      </c>
      <c r="FG6" s="657">
        <v>2018</v>
      </c>
      <c r="FH6" s="657">
        <v>2018</v>
      </c>
      <c r="FI6" s="657">
        <v>2018</v>
      </c>
      <c r="FJ6" s="657">
        <v>2018</v>
      </c>
      <c r="FK6" s="657">
        <v>2018</v>
      </c>
      <c r="FL6" s="657">
        <v>2018</v>
      </c>
      <c r="FM6" s="657">
        <v>2018</v>
      </c>
      <c r="FN6" s="657">
        <v>2018</v>
      </c>
      <c r="FO6" s="657">
        <v>2018</v>
      </c>
      <c r="FP6" s="657">
        <v>2018</v>
      </c>
      <c r="FQ6" s="657">
        <v>2018</v>
      </c>
      <c r="FR6" s="657">
        <v>2018</v>
      </c>
      <c r="FS6" s="657">
        <v>2019</v>
      </c>
      <c r="FT6" s="657">
        <v>2019</v>
      </c>
      <c r="FU6" s="657">
        <v>2019</v>
      </c>
      <c r="FV6" s="657">
        <v>2019</v>
      </c>
      <c r="FW6" s="657">
        <v>2019</v>
      </c>
      <c r="FX6" s="657">
        <v>2019</v>
      </c>
      <c r="FY6" s="657">
        <v>2019</v>
      </c>
      <c r="FZ6" s="657">
        <v>2019</v>
      </c>
      <c r="GA6" s="657">
        <v>2019</v>
      </c>
      <c r="GB6" s="657">
        <v>2019</v>
      </c>
      <c r="GC6" s="657">
        <v>2019</v>
      </c>
      <c r="GD6" s="657">
        <v>2019</v>
      </c>
      <c r="LL6" s="17">
        <v>6</v>
      </c>
      <c r="LM6" s="17" t="s">
        <v>573</v>
      </c>
    </row>
    <row r="7" spans="1:325" ht="28.5" customHeight="1" thickBot="1">
      <c r="A7" s="884"/>
      <c r="B7" s="70"/>
      <c r="C7" s="70"/>
      <c r="D7" s="70"/>
      <c r="E7" s="885">
        <v>40909</v>
      </c>
      <c r="F7" s="886">
        <v>40940</v>
      </c>
      <c r="G7" s="886">
        <v>40969</v>
      </c>
      <c r="H7" s="886">
        <v>41000</v>
      </c>
      <c r="I7" s="886">
        <v>41030</v>
      </c>
      <c r="J7" s="886">
        <v>41061</v>
      </c>
      <c r="K7" s="886">
        <v>41091</v>
      </c>
      <c r="L7" s="886">
        <v>41122</v>
      </c>
      <c r="M7" s="886">
        <v>41153</v>
      </c>
      <c r="N7" s="886">
        <v>41183</v>
      </c>
      <c r="O7" s="886">
        <v>41214</v>
      </c>
      <c r="P7" s="887">
        <v>41244</v>
      </c>
      <c r="Q7" s="885">
        <v>41275</v>
      </c>
      <c r="R7" s="886">
        <v>41306</v>
      </c>
      <c r="S7" s="886">
        <v>41334</v>
      </c>
      <c r="T7" s="886">
        <v>41365</v>
      </c>
      <c r="U7" s="886">
        <v>41395</v>
      </c>
      <c r="V7" s="886">
        <v>41426</v>
      </c>
      <c r="W7" s="886">
        <v>41456</v>
      </c>
      <c r="X7" s="886">
        <v>41487</v>
      </c>
      <c r="Y7" s="886">
        <v>41518</v>
      </c>
      <c r="Z7" s="886">
        <v>41548</v>
      </c>
      <c r="AA7" s="886">
        <v>41579</v>
      </c>
      <c r="AB7" s="886">
        <v>41609</v>
      </c>
      <c r="AC7" s="885">
        <v>41640</v>
      </c>
      <c r="AD7" s="886">
        <v>41671</v>
      </c>
      <c r="AE7" s="886">
        <v>41699</v>
      </c>
      <c r="AF7" s="886">
        <v>41730</v>
      </c>
      <c r="AG7" s="886">
        <v>41760</v>
      </c>
      <c r="AH7" s="886">
        <v>41791</v>
      </c>
      <c r="AI7" s="886">
        <v>41821</v>
      </c>
      <c r="AJ7" s="886">
        <v>41852</v>
      </c>
      <c r="AK7" s="886">
        <v>41883</v>
      </c>
      <c r="AL7" s="886">
        <v>41913</v>
      </c>
      <c r="AM7" s="886">
        <v>41944</v>
      </c>
      <c r="AN7" s="886">
        <v>41974</v>
      </c>
      <c r="AO7" s="885">
        <v>42005</v>
      </c>
      <c r="AP7" s="886">
        <v>42036</v>
      </c>
      <c r="AQ7" s="886">
        <v>42064</v>
      </c>
      <c r="AR7" s="886">
        <v>42095</v>
      </c>
      <c r="AS7" s="886">
        <v>42125</v>
      </c>
      <c r="AT7" s="886">
        <v>42156</v>
      </c>
      <c r="AU7" s="886">
        <v>42186</v>
      </c>
      <c r="AV7" s="886">
        <v>42217</v>
      </c>
      <c r="AW7" s="886">
        <v>42248</v>
      </c>
      <c r="AX7" s="886">
        <v>42278</v>
      </c>
      <c r="AY7" s="886">
        <v>42309</v>
      </c>
      <c r="AZ7" s="887">
        <v>42339</v>
      </c>
      <c r="BA7" s="885">
        <v>42370</v>
      </c>
      <c r="BB7" s="886">
        <v>42401</v>
      </c>
      <c r="BC7" s="886">
        <v>42430</v>
      </c>
      <c r="BD7" s="886">
        <v>42461</v>
      </c>
      <c r="BE7" s="886">
        <v>42491</v>
      </c>
      <c r="BF7" s="886">
        <v>42522</v>
      </c>
      <c r="BG7" s="886">
        <v>42552</v>
      </c>
      <c r="BH7" s="886">
        <v>42583</v>
      </c>
      <c r="BI7" s="886">
        <v>42614</v>
      </c>
      <c r="BJ7" s="886">
        <v>42644</v>
      </c>
      <c r="BK7" s="886">
        <v>42675</v>
      </c>
      <c r="BL7" s="887">
        <v>42705</v>
      </c>
      <c r="BM7" s="885">
        <v>42736</v>
      </c>
      <c r="BN7" s="886">
        <v>42767</v>
      </c>
      <c r="BO7" s="886">
        <v>42795</v>
      </c>
      <c r="BP7" s="886">
        <v>42826</v>
      </c>
      <c r="BQ7" s="886">
        <v>42856</v>
      </c>
      <c r="BR7" s="886">
        <v>42887</v>
      </c>
      <c r="BS7" s="886">
        <v>42917</v>
      </c>
      <c r="BT7" s="886">
        <v>42948</v>
      </c>
      <c r="BU7" s="886">
        <v>42979</v>
      </c>
      <c r="BV7" s="886">
        <v>43009</v>
      </c>
      <c r="BW7" s="886">
        <v>43040</v>
      </c>
      <c r="BX7" s="887">
        <v>43070</v>
      </c>
      <c r="BY7" s="885">
        <v>43101</v>
      </c>
      <c r="BZ7" s="886">
        <v>43132</v>
      </c>
      <c r="CA7" s="886">
        <v>43160</v>
      </c>
      <c r="CB7" s="886">
        <v>43191</v>
      </c>
      <c r="CC7" s="886">
        <v>43221</v>
      </c>
      <c r="CD7" s="886">
        <v>43252</v>
      </c>
      <c r="CE7" s="886">
        <v>43282</v>
      </c>
      <c r="CF7" s="886">
        <v>43313</v>
      </c>
      <c r="CG7" s="886">
        <v>43344</v>
      </c>
      <c r="CH7" s="886">
        <v>43374</v>
      </c>
      <c r="CI7" s="886">
        <v>43405</v>
      </c>
      <c r="CJ7" s="887">
        <v>43435</v>
      </c>
      <c r="CK7" s="888">
        <v>43466</v>
      </c>
      <c r="CL7" s="889">
        <v>43497</v>
      </c>
      <c r="CM7" s="889">
        <v>43525</v>
      </c>
      <c r="CN7" s="889">
        <v>43556</v>
      </c>
      <c r="CO7" s="889">
        <v>43586</v>
      </c>
      <c r="CP7" s="889">
        <v>43617</v>
      </c>
      <c r="CQ7" s="889">
        <v>43647</v>
      </c>
      <c r="CR7" s="889">
        <v>43678</v>
      </c>
      <c r="CS7" s="889">
        <v>43709</v>
      </c>
      <c r="CT7" s="889">
        <v>43739</v>
      </c>
      <c r="CU7" s="889">
        <v>43770</v>
      </c>
      <c r="CV7" s="890">
        <v>43800</v>
      </c>
      <c r="CW7" s="891">
        <v>43831</v>
      </c>
      <c r="CX7" s="892">
        <v>43862</v>
      </c>
      <c r="CY7" s="892">
        <v>43891</v>
      </c>
      <c r="CZ7" s="892">
        <v>43922</v>
      </c>
      <c r="DA7" s="892">
        <v>43952</v>
      </c>
      <c r="DB7" s="892">
        <v>43983</v>
      </c>
      <c r="DC7" s="892">
        <v>44013</v>
      </c>
      <c r="DD7" s="892">
        <v>44044</v>
      </c>
      <c r="DE7" s="892">
        <v>44075</v>
      </c>
      <c r="DF7" s="892">
        <v>44105</v>
      </c>
      <c r="DG7" s="892">
        <v>44136</v>
      </c>
      <c r="DH7" s="893">
        <v>44166</v>
      </c>
      <c r="DI7" s="894"/>
      <c r="DJ7" s="895">
        <v>43466</v>
      </c>
      <c r="DK7" s="896">
        <v>43497</v>
      </c>
      <c r="DL7" s="896">
        <v>43525</v>
      </c>
      <c r="DM7" s="896">
        <v>43556</v>
      </c>
      <c r="DN7" s="896">
        <v>43586</v>
      </c>
      <c r="DO7" s="896">
        <v>43617</v>
      </c>
      <c r="DP7" s="896">
        <v>43647</v>
      </c>
      <c r="DQ7" s="896">
        <v>43678</v>
      </c>
      <c r="DR7" s="896">
        <v>43709</v>
      </c>
      <c r="DS7" s="896">
        <v>43739</v>
      </c>
      <c r="DT7" s="896">
        <v>43770</v>
      </c>
      <c r="DU7" s="897">
        <v>43800</v>
      </c>
      <c r="DW7" s="898">
        <v>42005</v>
      </c>
      <c r="DX7" s="899">
        <v>42036</v>
      </c>
      <c r="DY7" s="899">
        <v>42064</v>
      </c>
      <c r="DZ7" s="899">
        <v>42095</v>
      </c>
      <c r="EA7" s="899">
        <v>42125</v>
      </c>
      <c r="EB7" s="899">
        <v>42156</v>
      </c>
      <c r="EC7" s="899">
        <v>42186</v>
      </c>
      <c r="ED7" s="899">
        <v>42217</v>
      </c>
      <c r="EE7" s="899">
        <v>42248</v>
      </c>
      <c r="EF7" s="899">
        <v>42278</v>
      </c>
      <c r="EG7" s="899">
        <v>42309</v>
      </c>
      <c r="EH7" s="900">
        <v>42339</v>
      </c>
      <c r="EI7" s="898">
        <v>42370</v>
      </c>
      <c r="EJ7" s="899">
        <v>42401</v>
      </c>
      <c r="EK7" s="899">
        <v>42430</v>
      </c>
      <c r="EL7" s="899">
        <v>42461</v>
      </c>
      <c r="EM7" s="899">
        <v>42491</v>
      </c>
      <c r="EN7" s="899">
        <v>42522</v>
      </c>
      <c r="EO7" s="899">
        <v>42552</v>
      </c>
      <c r="EP7" s="899">
        <v>42583</v>
      </c>
      <c r="EQ7" s="899">
        <v>42614</v>
      </c>
      <c r="ER7" s="899">
        <v>42644</v>
      </c>
      <c r="ES7" s="899">
        <v>42675</v>
      </c>
      <c r="ET7" s="900">
        <v>42705</v>
      </c>
      <c r="EU7" s="898">
        <v>42736</v>
      </c>
      <c r="EV7" s="899">
        <v>42767</v>
      </c>
      <c r="EW7" s="899">
        <v>42795</v>
      </c>
      <c r="EX7" s="899">
        <v>42826</v>
      </c>
      <c r="EY7" s="899">
        <v>42856</v>
      </c>
      <c r="EZ7" s="899">
        <v>42887</v>
      </c>
      <c r="FA7" s="899">
        <v>42917</v>
      </c>
      <c r="FB7" s="899">
        <v>42948</v>
      </c>
      <c r="FC7" s="899">
        <v>42979</v>
      </c>
      <c r="FD7" s="899">
        <v>43009</v>
      </c>
      <c r="FE7" s="899">
        <v>43040</v>
      </c>
      <c r="FF7" s="900">
        <v>43070</v>
      </c>
      <c r="FG7" s="898">
        <v>43101</v>
      </c>
      <c r="FH7" s="899">
        <v>43132</v>
      </c>
      <c r="FI7" s="899">
        <v>43160</v>
      </c>
      <c r="FJ7" s="899">
        <v>43191</v>
      </c>
      <c r="FK7" s="899">
        <v>43221</v>
      </c>
      <c r="FL7" s="899">
        <v>43252</v>
      </c>
      <c r="FM7" s="899">
        <v>43282</v>
      </c>
      <c r="FN7" s="899">
        <v>43313</v>
      </c>
      <c r="FO7" s="899">
        <v>43344</v>
      </c>
      <c r="FP7" s="899">
        <v>43374</v>
      </c>
      <c r="FQ7" s="899">
        <v>43405</v>
      </c>
      <c r="FR7" s="900">
        <v>43435</v>
      </c>
      <c r="FS7" s="901">
        <v>43466</v>
      </c>
      <c r="FT7" s="902">
        <v>43497</v>
      </c>
      <c r="FU7" s="902">
        <v>43525</v>
      </c>
      <c r="FV7" s="902">
        <v>43556</v>
      </c>
      <c r="FW7" s="902">
        <v>43586</v>
      </c>
      <c r="FX7" s="902">
        <v>43617</v>
      </c>
      <c r="FY7" s="902">
        <v>43647</v>
      </c>
      <c r="FZ7" s="902">
        <v>43678</v>
      </c>
      <c r="GA7" s="902">
        <v>43709</v>
      </c>
      <c r="GB7" s="902">
        <v>43739</v>
      </c>
      <c r="GC7" s="902">
        <v>43770</v>
      </c>
      <c r="GD7" s="903">
        <v>43800</v>
      </c>
      <c r="GE7" s="894"/>
      <c r="GF7" s="885">
        <v>2012</v>
      </c>
      <c r="GG7" s="886">
        <v>2013</v>
      </c>
      <c r="GH7" s="886">
        <v>2014</v>
      </c>
      <c r="GI7" s="886">
        <v>2015</v>
      </c>
      <c r="GJ7" s="886">
        <v>2016</v>
      </c>
      <c r="GK7" s="886">
        <v>2017</v>
      </c>
      <c r="GL7" s="886">
        <v>2018</v>
      </c>
      <c r="GM7" s="886">
        <v>2019</v>
      </c>
      <c r="GN7" s="904">
        <v>2020</v>
      </c>
      <c r="GO7" s="905" t="s">
        <v>837</v>
      </c>
      <c r="GP7" s="906"/>
      <c r="GQ7" s="886" t="s">
        <v>575</v>
      </c>
      <c r="GR7" s="886" t="s">
        <v>576</v>
      </c>
      <c r="GS7" s="886" t="s">
        <v>577</v>
      </c>
      <c r="GT7" s="886" t="s">
        <v>578</v>
      </c>
      <c r="GU7" s="886" t="s">
        <v>579</v>
      </c>
      <c r="GV7" s="886" t="s">
        <v>580</v>
      </c>
      <c r="GW7" s="904" t="s">
        <v>838</v>
      </c>
      <c r="GX7" s="889" t="s">
        <v>839</v>
      </c>
      <c r="GY7" s="907" t="s">
        <v>840</v>
      </c>
      <c r="GZ7" s="906"/>
      <c r="HA7" s="886" t="s">
        <v>587</v>
      </c>
      <c r="HB7" s="886" t="s">
        <v>588</v>
      </c>
      <c r="HC7" s="886" t="s">
        <v>589</v>
      </c>
      <c r="HD7" s="886" t="s">
        <v>590</v>
      </c>
      <c r="HE7" s="886" t="s">
        <v>591</v>
      </c>
      <c r="HF7" s="886" t="s">
        <v>592</v>
      </c>
      <c r="HG7" s="904" t="s">
        <v>841</v>
      </c>
      <c r="HH7" s="889" t="s">
        <v>842</v>
      </c>
      <c r="HI7" s="907" t="s">
        <v>843</v>
      </c>
      <c r="HJ7" s="894"/>
      <c r="HK7" s="886">
        <v>2013</v>
      </c>
      <c r="HL7" s="886">
        <v>2014</v>
      </c>
      <c r="HM7" s="886">
        <v>2015</v>
      </c>
      <c r="HN7" s="886">
        <v>2016</v>
      </c>
      <c r="HO7" s="886">
        <v>2017</v>
      </c>
      <c r="HP7" s="886">
        <v>2018</v>
      </c>
      <c r="HQ7" s="886">
        <v>2019</v>
      </c>
      <c r="HR7" s="904">
        <v>2020</v>
      </c>
      <c r="HS7" s="905" t="s">
        <v>837</v>
      </c>
      <c r="HT7" s="894"/>
      <c r="HU7" s="886">
        <v>2012</v>
      </c>
      <c r="HV7" s="886">
        <v>2013</v>
      </c>
      <c r="HW7" s="886">
        <v>2014</v>
      </c>
      <c r="HX7" s="886">
        <v>2015</v>
      </c>
      <c r="HY7" s="886">
        <v>2016</v>
      </c>
      <c r="HZ7" s="886">
        <v>2017</v>
      </c>
      <c r="IA7" s="886">
        <v>2018</v>
      </c>
      <c r="IB7" s="886">
        <v>2019</v>
      </c>
      <c r="IC7" s="908">
        <v>2020</v>
      </c>
      <c r="ID7" s="904">
        <v>2020</v>
      </c>
      <c r="IE7" s="905" t="s">
        <v>837</v>
      </c>
      <c r="IF7" s="909"/>
      <c r="IG7" s="910" t="s">
        <v>598</v>
      </c>
      <c r="IH7" s="911" t="s">
        <v>599</v>
      </c>
      <c r="II7" s="894"/>
      <c r="IJ7" s="885" t="s">
        <v>600</v>
      </c>
      <c r="IK7" s="887" t="s">
        <v>601</v>
      </c>
      <c r="IL7" s="894"/>
      <c r="IM7" s="888" t="s">
        <v>602</v>
      </c>
      <c r="IN7" s="904" t="s">
        <v>603</v>
      </c>
      <c r="IP7" s="912" t="s">
        <v>604</v>
      </c>
      <c r="IQ7" s="912" t="s">
        <v>576</v>
      </c>
      <c r="IR7" s="912" t="s">
        <v>577</v>
      </c>
      <c r="IS7" s="912" t="s">
        <v>578</v>
      </c>
      <c r="IT7" s="912" t="s">
        <v>579</v>
      </c>
      <c r="IU7" s="912" t="s">
        <v>580</v>
      </c>
      <c r="IV7" s="913" t="s">
        <v>844</v>
      </c>
      <c r="IX7" s="912" t="s">
        <v>606</v>
      </c>
      <c r="IY7" s="912" t="s">
        <v>607</v>
      </c>
      <c r="IZ7" s="912" t="s">
        <v>608</v>
      </c>
      <c r="JA7" s="912" t="s">
        <v>609</v>
      </c>
      <c r="JB7" s="912" t="s">
        <v>610</v>
      </c>
      <c r="JC7" s="912" t="s">
        <v>611</v>
      </c>
      <c r="JD7" s="913" t="s">
        <v>845</v>
      </c>
      <c r="JF7" s="886">
        <v>2012</v>
      </c>
      <c r="JG7" s="886">
        <v>2013</v>
      </c>
      <c r="JH7" s="886">
        <v>2014</v>
      </c>
      <c r="JI7" s="886">
        <v>2015</v>
      </c>
      <c r="JJ7" s="886">
        <v>2016</v>
      </c>
      <c r="JK7" s="886">
        <v>2017</v>
      </c>
      <c r="JL7" s="886">
        <v>2018</v>
      </c>
      <c r="JM7" s="907">
        <v>2019</v>
      </c>
      <c r="JO7" s="886">
        <v>2012</v>
      </c>
      <c r="JP7" s="886">
        <v>2013</v>
      </c>
      <c r="JQ7" s="886">
        <v>2014</v>
      </c>
      <c r="JR7" s="886">
        <v>2015</v>
      </c>
      <c r="JS7" s="886">
        <v>2016</v>
      </c>
      <c r="JT7" s="886">
        <v>2017</v>
      </c>
      <c r="JU7" s="886">
        <v>2018</v>
      </c>
      <c r="JV7" s="886">
        <v>2019</v>
      </c>
      <c r="JW7" s="908">
        <v>2020</v>
      </c>
      <c r="JX7" s="904">
        <v>2020</v>
      </c>
      <c r="JY7" s="905">
        <v>2020</v>
      </c>
      <c r="JZ7" s="914"/>
      <c r="KB7" s="912" t="s">
        <v>604</v>
      </c>
      <c r="KC7" s="912" t="s">
        <v>576</v>
      </c>
      <c r="KD7" s="912" t="s">
        <v>577</v>
      </c>
      <c r="KE7" s="912" t="s">
        <v>578</v>
      </c>
      <c r="KF7" s="912" t="s">
        <v>579</v>
      </c>
      <c r="KG7" s="912" t="s">
        <v>580</v>
      </c>
      <c r="KH7" s="913" t="s">
        <v>614</v>
      </c>
      <c r="KJ7" s="912" t="s">
        <v>606</v>
      </c>
      <c r="KK7" s="912" t="s">
        <v>607</v>
      </c>
      <c r="KL7" s="912" t="s">
        <v>608</v>
      </c>
      <c r="KM7" s="912" t="s">
        <v>609</v>
      </c>
      <c r="KN7" s="912" t="s">
        <v>610</v>
      </c>
      <c r="KO7" s="912" t="s">
        <v>611</v>
      </c>
      <c r="KP7" s="913" t="s">
        <v>615</v>
      </c>
      <c r="KR7" s="886">
        <v>2012</v>
      </c>
      <c r="KS7" s="886">
        <v>2013</v>
      </c>
      <c r="KT7" s="886">
        <v>2014</v>
      </c>
      <c r="KU7" s="886">
        <v>2015</v>
      </c>
      <c r="KV7" s="886">
        <v>2016</v>
      </c>
      <c r="KW7" s="886">
        <v>2017</v>
      </c>
      <c r="KX7" s="886">
        <v>2018</v>
      </c>
      <c r="KY7" s="886">
        <v>2019</v>
      </c>
      <c r="KZ7" s="905">
        <v>2020</v>
      </c>
      <c r="LL7" s="17">
        <v>7</v>
      </c>
      <c r="LM7" s="17" t="s">
        <v>616</v>
      </c>
    </row>
    <row r="8" spans="1:325">
      <c r="A8" s="884"/>
      <c r="B8" s="70"/>
      <c r="C8" s="70"/>
      <c r="D8" s="70"/>
      <c r="E8" s="915"/>
      <c r="F8" s="915"/>
      <c r="G8" s="915"/>
      <c r="H8" s="915"/>
      <c r="I8" s="915"/>
      <c r="J8" s="915"/>
      <c r="K8" s="915"/>
      <c r="L8" s="915"/>
      <c r="M8" s="915"/>
      <c r="N8" s="915"/>
      <c r="O8" s="915"/>
      <c r="P8" s="915"/>
      <c r="Q8" s="1081"/>
      <c r="R8" s="915"/>
      <c r="S8" s="915"/>
      <c r="T8" s="915"/>
      <c r="U8" s="915"/>
      <c r="V8" s="915"/>
      <c r="W8" s="915"/>
      <c r="X8" s="915"/>
      <c r="Y8" s="915"/>
      <c r="Z8" s="915"/>
      <c r="AA8" s="915"/>
      <c r="AB8" s="915"/>
      <c r="AC8" s="915"/>
      <c r="AD8" s="915"/>
      <c r="AN8" s="916"/>
      <c r="IF8" s="95"/>
      <c r="LL8" s="17">
        <v>8</v>
      </c>
      <c r="LM8" s="17" t="s">
        <v>617</v>
      </c>
    </row>
    <row r="9" spans="1:325">
      <c r="A9" s="917" t="s">
        <v>618</v>
      </c>
      <c r="C9" s="918" t="s">
        <v>619</v>
      </c>
      <c r="D9" s="70"/>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N9" s="916"/>
      <c r="AQ9" s="919"/>
      <c r="CJ9" s="77"/>
      <c r="CK9" s="77"/>
      <c r="CL9" s="77"/>
      <c r="CM9" s="77"/>
      <c r="CN9" s="77"/>
      <c r="CO9" s="77"/>
      <c r="CP9" s="77"/>
      <c r="CQ9" s="77"/>
      <c r="CR9" s="77"/>
      <c r="CS9" s="77"/>
      <c r="CT9" s="77"/>
      <c r="CU9" s="77"/>
      <c r="CV9" s="77"/>
      <c r="CW9" s="77"/>
      <c r="CX9" s="77"/>
      <c r="CY9" s="77"/>
      <c r="CZ9" s="77"/>
      <c r="DA9" s="77"/>
      <c r="DB9" s="77"/>
      <c r="DC9" s="77"/>
      <c r="DD9" s="77"/>
      <c r="DE9" s="77"/>
      <c r="DF9" s="77"/>
      <c r="DG9" s="77"/>
      <c r="DH9" s="77"/>
      <c r="GF9" s="920"/>
      <c r="GG9" s="920"/>
      <c r="GH9" s="920"/>
      <c r="IF9" s="95"/>
      <c r="LL9" s="17">
        <v>9</v>
      </c>
      <c r="LM9" s="17" t="s">
        <v>620</v>
      </c>
    </row>
    <row r="10" spans="1:325">
      <c r="A10" s="884"/>
      <c r="B10" s="70"/>
      <c r="C10" s="918"/>
      <c r="D10" s="70"/>
      <c r="E10" s="915"/>
      <c r="F10" s="915"/>
      <c r="G10" s="915"/>
      <c r="H10" s="915"/>
      <c r="I10" s="915"/>
      <c r="J10" s="915"/>
      <c r="K10" s="915"/>
      <c r="L10" s="915"/>
      <c r="M10" s="915"/>
      <c r="N10" s="915"/>
      <c r="O10" s="915"/>
      <c r="P10" s="915"/>
      <c r="Q10" s="915"/>
      <c r="R10" s="915"/>
      <c r="S10" s="915"/>
      <c r="T10" s="915"/>
      <c r="V10" s="915"/>
      <c r="W10" s="915"/>
      <c r="X10" s="915"/>
      <c r="Y10" s="915"/>
      <c r="Z10" s="915"/>
      <c r="AA10" s="915"/>
      <c r="AB10" s="915"/>
      <c r="AC10" s="915"/>
      <c r="AD10" s="915"/>
      <c r="AG10" s="326"/>
      <c r="AJ10" s="920"/>
      <c r="AN10" s="916"/>
      <c r="AQ10" s="71"/>
      <c r="BM10" s="77"/>
      <c r="BN10" s="77"/>
      <c r="BO10" s="77"/>
      <c r="BP10" s="77"/>
      <c r="BQ10" s="77"/>
      <c r="BR10" s="77"/>
      <c r="BS10" s="77"/>
      <c r="BT10" s="77"/>
      <c r="BU10" s="77"/>
      <c r="BV10" s="77"/>
      <c r="BW10" s="77"/>
      <c r="BX10" s="77"/>
      <c r="GO10" s="95"/>
      <c r="IF10" s="95"/>
      <c r="LL10" s="17">
        <v>10</v>
      </c>
      <c r="LM10" s="17" t="s">
        <v>621</v>
      </c>
    </row>
    <row r="11" spans="1:325">
      <c r="A11" s="884"/>
      <c r="B11" s="884"/>
      <c r="C11" s="1513" t="s">
        <v>622</v>
      </c>
      <c r="D11" s="1512" t="s">
        <v>59</v>
      </c>
      <c r="E11" s="1514">
        <f t="shared" ref="E11:AN11" si="0">SUM(E12:E14)</f>
        <v>835.97354164000001</v>
      </c>
      <c r="F11" s="1514">
        <f t="shared" si="0"/>
        <v>3016.6705547299998</v>
      </c>
      <c r="G11" s="1514">
        <f t="shared" si="0"/>
        <v>2589.3316354900003</v>
      </c>
      <c r="H11" s="1514">
        <f t="shared" si="0"/>
        <v>2843.5107886300002</v>
      </c>
      <c r="I11" s="1514">
        <f t="shared" si="0"/>
        <v>3503.3560199499984</v>
      </c>
      <c r="J11" s="1514">
        <f t="shared" si="0"/>
        <v>3205.8233163100003</v>
      </c>
      <c r="K11" s="1514">
        <f t="shared" si="0"/>
        <v>3311.9597569999996</v>
      </c>
      <c r="L11" s="1514">
        <f t="shared" si="0"/>
        <v>3557.3410814700005</v>
      </c>
      <c r="M11" s="1514">
        <f t="shared" si="0"/>
        <v>3468.6943789100014</v>
      </c>
      <c r="N11" s="1514">
        <f t="shared" si="0"/>
        <v>2885.5047947999988</v>
      </c>
      <c r="O11" s="1514">
        <f t="shared" si="0"/>
        <v>4063.8569845800025</v>
      </c>
      <c r="P11" s="1514">
        <f t="shared" si="0"/>
        <v>2999.3442447499956</v>
      </c>
      <c r="Q11" s="1514">
        <f t="shared" si="0"/>
        <v>2212.6551601000001</v>
      </c>
      <c r="R11" s="1514">
        <f t="shared" si="0"/>
        <v>3437.6140474100002</v>
      </c>
      <c r="S11" s="1514">
        <f t="shared" si="0"/>
        <v>1989.5428492399997</v>
      </c>
      <c r="T11" s="1514">
        <f t="shared" si="0"/>
        <v>1980.9788988500004</v>
      </c>
      <c r="U11" s="1514">
        <f t="shared" si="0"/>
        <v>4067.2925829099995</v>
      </c>
      <c r="V11" s="1514">
        <f t="shared" si="0"/>
        <v>3363.2457611200002</v>
      </c>
      <c r="W11" s="1514">
        <f t="shared" si="0"/>
        <v>2617.31935002</v>
      </c>
      <c r="X11" s="1514">
        <f t="shared" si="0"/>
        <v>3123.0083105199997</v>
      </c>
      <c r="Y11" s="1514">
        <f t="shared" si="0"/>
        <v>1305.5721921599986</v>
      </c>
      <c r="Z11" s="1514">
        <f t="shared" si="0"/>
        <v>2319.8687631699991</v>
      </c>
      <c r="AA11" s="1514">
        <f t="shared" si="0"/>
        <v>4824.5182406699996</v>
      </c>
      <c r="AB11" s="1514">
        <f t="shared" si="0"/>
        <v>5513.6640016800056</v>
      </c>
      <c r="AC11" s="1514">
        <f t="shared" si="0"/>
        <v>1501.6413520900001</v>
      </c>
      <c r="AD11" s="1514">
        <f t="shared" si="0"/>
        <v>3793.2044982100001</v>
      </c>
      <c r="AE11" s="1514">
        <f t="shared" si="0"/>
        <v>2634.9838081499997</v>
      </c>
      <c r="AF11" s="1514">
        <f t="shared" si="0"/>
        <v>2938.6630078600001</v>
      </c>
      <c r="AG11" s="1514">
        <f t="shared" si="0"/>
        <v>2877.8450223400005</v>
      </c>
      <c r="AH11" s="1514">
        <f t="shared" si="0"/>
        <v>2508.9330035600001</v>
      </c>
      <c r="AI11" s="1514">
        <f t="shared" si="0"/>
        <v>2448.53934028</v>
      </c>
      <c r="AJ11" s="1514">
        <f t="shared" si="0"/>
        <v>3163.2625131</v>
      </c>
      <c r="AK11" s="1514">
        <f t="shared" si="0"/>
        <v>2912.77122134</v>
      </c>
      <c r="AL11" s="1514">
        <f t="shared" si="0"/>
        <v>3610.7360158900001</v>
      </c>
      <c r="AM11" s="1514">
        <f t="shared" si="0"/>
        <v>5866.2540838000004</v>
      </c>
      <c r="AN11" s="1514">
        <f t="shared" si="0"/>
        <v>5126.1475260099987</v>
      </c>
      <c r="AO11" s="1514">
        <f>SUM(AO12:AO14)</f>
        <v>2827.5471428500005</v>
      </c>
      <c r="AP11" s="1514">
        <f t="shared" ref="AP11:DA11" si="1">SUM(AP12:AP14)</f>
        <v>1496.6152094700003</v>
      </c>
      <c r="AQ11" s="1514">
        <f t="shared" si="1"/>
        <v>1608.1179328899998</v>
      </c>
      <c r="AR11" s="1514">
        <f t="shared" si="1"/>
        <v>1331.6406091799997</v>
      </c>
      <c r="AS11" s="1514">
        <f t="shared" si="1"/>
        <v>1195.4859279</v>
      </c>
      <c r="AT11" s="1514">
        <f t="shared" si="1"/>
        <v>894.66701813999998</v>
      </c>
      <c r="AU11" s="1514">
        <f t="shared" si="1"/>
        <v>1502.2517050600002</v>
      </c>
      <c r="AV11" s="1514">
        <f t="shared" si="1"/>
        <v>1422.27380937</v>
      </c>
      <c r="AW11" s="1514">
        <f t="shared" si="1"/>
        <v>1507.7778365699996</v>
      </c>
      <c r="AX11" s="1514">
        <f t="shared" si="1"/>
        <v>1540.3695378399998</v>
      </c>
      <c r="AY11" s="1514">
        <f t="shared" si="1"/>
        <v>944.76474992999977</v>
      </c>
      <c r="AZ11" s="1514">
        <f t="shared" si="1"/>
        <v>581.27176664000001</v>
      </c>
      <c r="BA11" s="1514">
        <f t="shared" si="1"/>
        <v>531.03990862000001</v>
      </c>
      <c r="BB11" s="1514">
        <f t="shared" si="1"/>
        <v>357.29507659999996</v>
      </c>
      <c r="BC11" s="1514">
        <f t="shared" si="1"/>
        <v>230.76628560000003</v>
      </c>
      <c r="BD11" s="1514">
        <f t="shared" si="1"/>
        <v>100.57451838999999</v>
      </c>
      <c r="BE11" s="1514">
        <f t="shared" si="1"/>
        <v>474.90526982</v>
      </c>
      <c r="BF11" s="1514">
        <f t="shared" si="1"/>
        <v>312.04398333000006</v>
      </c>
      <c r="BG11" s="1514">
        <f t="shared" si="1"/>
        <v>362.04675835</v>
      </c>
      <c r="BH11" s="1514">
        <f t="shared" si="1"/>
        <v>420.45430316999989</v>
      </c>
      <c r="BI11" s="1514">
        <f t="shared" si="1"/>
        <v>242.55706863999981</v>
      </c>
      <c r="BJ11" s="1514">
        <f t="shared" si="1"/>
        <v>580.70009980000009</v>
      </c>
      <c r="BK11" s="1514">
        <f t="shared" si="1"/>
        <v>1033.18418956</v>
      </c>
      <c r="BL11" s="1514">
        <f t="shared" si="1"/>
        <v>1506.4593370100001</v>
      </c>
      <c r="BM11" s="1514">
        <f t="shared" si="1"/>
        <v>1188.8975061399999</v>
      </c>
      <c r="BN11" s="1514">
        <f t="shared" si="1"/>
        <v>1175.1836124399999</v>
      </c>
      <c r="BO11" s="1514">
        <f t="shared" si="1"/>
        <v>1117.3488631600001</v>
      </c>
      <c r="BP11" s="1514">
        <f t="shared" si="1"/>
        <v>1456.6482993600002</v>
      </c>
      <c r="BQ11" s="1515">
        <f t="shared" si="1"/>
        <v>989.2145380799999</v>
      </c>
      <c r="BR11" s="1515">
        <f t="shared" si="1"/>
        <v>1014.02128614</v>
      </c>
      <c r="BS11" s="1515">
        <f t="shared" si="1"/>
        <v>1096.10334334</v>
      </c>
      <c r="BT11" s="1515">
        <f t="shared" si="1"/>
        <v>1153.62019304</v>
      </c>
      <c r="BU11" s="1515">
        <f t="shared" si="1"/>
        <v>870.32745811000007</v>
      </c>
      <c r="BV11" s="1515">
        <f t="shared" si="1"/>
        <v>1220.6537592099999</v>
      </c>
      <c r="BW11" s="1515">
        <f t="shared" si="1"/>
        <v>1318.1125974000004</v>
      </c>
      <c r="BX11" s="1515">
        <f t="shared" si="1"/>
        <v>1028.6835040300002</v>
      </c>
      <c r="BY11" s="1515">
        <f t="shared" si="1"/>
        <v>976.94844864000015</v>
      </c>
      <c r="BZ11" s="1515">
        <f t="shared" si="1"/>
        <v>1028.9742511000002</v>
      </c>
      <c r="CA11" s="1515">
        <f t="shared" si="1"/>
        <v>957.86658106000004</v>
      </c>
      <c r="CB11" s="1515">
        <f t="shared" si="1"/>
        <v>804.32309081000005</v>
      </c>
      <c r="CC11" s="1515">
        <f t="shared" si="1"/>
        <v>644.19455078999999</v>
      </c>
      <c r="CD11" s="1515">
        <f t="shared" si="1"/>
        <v>877.14804474999983</v>
      </c>
      <c r="CE11" s="1515">
        <f t="shared" si="1"/>
        <v>1117.23890689</v>
      </c>
      <c r="CF11" s="1515">
        <f t="shared" si="1"/>
        <v>1688.7400678200001</v>
      </c>
      <c r="CG11" s="1515">
        <f t="shared" si="1"/>
        <v>1194.37995181</v>
      </c>
      <c r="CH11" s="1515">
        <f t="shared" si="1"/>
        <v>1444.8642172100001</v>
      </c>
      <c r="CI11" s="1515">
        <f t="shared" si="1"/>
        <v>1860.8430799499999</v>
      </c>
      <c r="CJ11" s="1515">
        <f t="shared" si="1"/>
        <v>1555.01265463</v>
      </c>
      <c r="CK11" s="1515">
        <f t="shared" si="1"/>
        <v>1571.8081952499997</v>
      </c>
      <c r="CL11" s="1515">
        <f t="shared" si="1"/>
        <v>1270.1321937699997</v>
      </c>
      <c r="CM11" s="1515">
        <f t="shared" si="1"/>
        <v>1816.16514104</v>
      </c>
      <c r="CN11" s="1515">
        <f t="shared" si="1"/>
        <v>1521.21518292</v>
      </c>
      <c r="CO11" s="1515">
        <f t="shared" si="1"/>
        <v>1773.13543863</v>
      </c>
      <c r="CP11" s="1515">
        <f t="shared" si="1"/>
        <v>1530.1148666599997</v>
      </c>
      <c r="CQ11" s="1515">
        <f t="shared" si="1"/>
        <v>1745.3978690599999</v>
      </c>
      <c r="CR11" s="1515">
        <f t="shared" si="1"/>
        <v>1910.6100684500002</v>
      </c>
      <c r="CS11" s="1515">
        <f t="shared" si="1"/>
        <v>1833.0731707800001</v>
      </c>
      <c r="CT11" s="1515">
        <f t="shared" si="1"/>
        <v>2331.2516409300001</v>
      </c>
      <c r="CU11" s="1515">
        <f t="shared" si="1"/>
        <v>2044.4513902599999</v>
      </c>
      <c r="CV11" s="1515">
        <f t="shared" si="1"/>
        <v>1881.9958014599997</v>
      </c>
      <c r="CW11" s="1515">
        <f t="shared" si="1"/>
        <v>1950.3991190700001</v>
      </c>
      <c r="CX11" s="1515">
        <f t="shared" si="1"/>
        <v>1586.2194889699997</v>
      </c>
      <c r="CY11" s="1515">
        <f t="shared" si="1"/>
        <v>1853.8857025900004</v>
      </c>
      <c r="CZ11" s="1515">
        <f t="shared" si="1"/>
        <v>358.79537143000016</v>
      </c>
      <c r="DA11" s="1515">
        <f t="shared" si="1"/>
        <v>382.44348857000011</v>
      </c>
      <c r="DB11" s="1515">
        <f t="shared" ref="DB11:DF11" si="2">SUM(DB12:DB14)</f>
        <v>370.84104293000001</v>
      </c>
      <c r="DC11" s="1515">
        <f t="shared" si="2"/>
        <v>537.19792596000002</v>
      </c>
      <c r="DD11" s="1515">
        <f t="shared" si="2"/>
        <v>1176.5695974400001</v>
      </c>
      <c r="DE11" s="1515">
        <f t="shared" si="2"/>
        <v>1087.4918451199999</v>
      </c>
      <c r="DF11" s="1515">
        <f t="shared" si="2"/>
        <v>1278.45467835</v>
      </c>
      <c r="DG11" s="1515">
        <f>SUM(DG12:DG14)</f>
        <v>846.77065510999978</v>
      </c>
      <c r="DH11" s="1515">
        <f>SUM(DH12:DH14)</f>
        <v>1190.81831444</v>
      </c>
      <c r="DI11" s="77"/>
      <c r="DJ11" s="1515">
        <f t="shared" ref="DJ11:DU11" si="3">SUM(DJ12:DJ19)</f>
        <v>2065.86994972</v>
      </c>
      <c r="DK11" s="1515">
        <f t="shared" si="3"/>
        <v>1606.1799959699997</v>
      </c>
      <c r="DL11" s="1515">
        <f t="shared" si="3"/>
        <v>1983.2034694099998</v>
      </c>
      <c r="DM11" s="1515">
        <f t="shared" si="3"/>
        <v>374.66073754000007</v>
      </c>
      <c r="DN11" s="1515">
        <f t="shared" si="3"/>
        <v>422.28751201</v>
      </c>
      <c r="DO11" s="1515">
        <f t="shared" si="3"/>
        <v>366.48519312000002</v>
      </c>
      <c r="DP11" s="1515">
        <f t="shared" si="3"/>
        <v>565.24948345820007</v>
      </c>
      <c r="DQ11" s="1515">
        <f t="shared" si="3"/>
        <v>1230.2294617307998</v>
      </c>
      <c r="DR11" s="1515">
        <f t="shared" si="3"/>
        <v>1127.2252221342001</v>
      </c>
      <c r="DS11" s="1515">
        <f t="shared" si="3"/>
        <v>1315.0799138008001</v>
      </c>
      <c r="DT11" s="1515">
        <f t="shared" si="3"/>
        <v>743.06114658549984</v>
      </c>
      <c r="DU11" s="1515">
        <f t="shared" si="3"/>
        <v>772.40837570199983</v>
      </c>
      <c r="DW11" s="1515">
        <v>2837.2043889999995</v>
      </c>
      <c r="DX11" s="1515">
        <v>1393.0557751024799</v>
      </c>
      <c r="DY11" s="1515">
        <v>1797.3272679249887</v>
      </c>
      <c r="DZ11" s="1515">
        <v>2598.7213989249885</v>
      </c>
      <c r="EA11" s="1515">
        <v>2062.4111679249886</v>
      </c>
      <c r="EB11" s="1515">
        <v>2365.110998924989</v>
      </c>
      <c r="EC11" s="1515">
        <v>3651.6794372949885</v>
      </c>
      <c r="ED11" s="1515">
        <v>4554.0275492949886</v>
      </c>
      <c r="EE11" s="1515">
        <v>3584.7368182949886</v>
      </c>
      <c r="EF11" s="1515">
        <v>3934.7402492949886</v>
      </c>
      <c r="EG11" s="1515">
        <v>3655.5343182949887</v>
      </c>
      <c r="EH11" s="1515">
        <v>4007.3877492949887</v>
      </c>
      <c r="EI11" s="1515">
        <f>SUM(EI12:EI19)</f>
        <v>526.66035112099996</v>
      </c>
      <c r="EJ11" s="1515">
        <f t="shared" ref="EJ11:GD11" si="4">SUM(EJ12:EJ19)</f>
        <v>1011.0001314360001</v>
      </c>
      <c r="EK11" s="1515">
        <f t="shared" si="4"/>
        <v>1055.2088493537499</v>
      </c>
      <c r="EL11" s="1515">
        <f t="shared" si="4"/>
        <v>1001.8022665574999</v>
      </c>
      <c r="EM11" s="1515">
        <f t="shared" si="4"/>
        <v>1122.5571211345</v>
      </c>
      <c r="EN11" s="1515">
        <f t="shared" si="4"/>
        <v>1542.0547941325003</v>
      </c>
      <c r="EO11" s="1515">
        <f t="shared" si="4"/>
        <v>1628.3747597077497</v>
      </c>
      <c r="EP11" s="1515">
        <f t="shared" si="4"/>
        <v>1722.6314388242499</v>
      </c>
      <c r="EQ11" s="1515">
        <f t="shared" si="4"/>
        <v>1754.3460036554998</v>
      </c>
      <c r="ER11" s="1515">
        <f t="shared" si="4"/>
        <v>1769.59341402625</v>
      </c>
      <c r="ES11" s="1515">
        <f t="shared" si="4"/>
        <v>1598.7046832220001</v>
      </c>
      <c r="ET11" s="1515">
        <f t="shared" si="4"/>
        <v>1154.26984631</v>
      </c>
      <c r="EU11" s="1515">
        <f t="shared" si="4"/>
        <v>956.80026999999995</v>
      </c>
      <c r="EV11" s="1515">
        <f t="shared" si="4"/>
        <v>1122.9616000000001</v>
      </c>
      <c r="EW11" s="1515">
        <f t="shared" si="4"/>
        <v>1148.49136</v>
      </c>
      <c r="EX11" s="1515">
        <f t="shared" si="4"/>
        <v>1042.459869</v>
      </c>
      <c r="EY11" s="1515">
        <f t="shared" si="4"/>
        <v>1111.559295</v>
      </c>
      <c r="EZ11" s="1515">
        <f t="shared" si="4"/>
        <v>958.42984999999999</v>
      </c>
      <c r="FA11" s="1515">
        <f t="shared" si="4"/>
        <v>1079.7007409999999</v>
      </c>
      <c r="FB11" s="1515">
        <f t="shared" si="4"/>
        <v>730.25059999999996</v>
      </c>
      <c r="FC11" s="1515">
        <f t="shared" si="4"/>
        <v>550.72499999999991</v>
      </c>
      <c r="FD11" s="1515">
        <f t="shared" si="4"/>
        <v>448.065</v>
      </c>
      <c r="FE11" s="1515">
        <f t="shared" si="4"/>
        <v>523.07699999999988</v>
      </c>
      <c r="FF11" s="1515">
        <f t="shared" si="4"/>
        <v>476.09699999999998</v>
      </c>
      <c r="FG11" s="1515">
        <f t="shared" si="4"/>
        <v>1464.597</v>
      </c>
      <c r="FH11" s="1515">
        <f t="shared" si="4"/>
        <v>1206.2969999999998</v>
      </c>
      <c r="FI11" s="1515">
        <f t="shared" si="4"/>
        <v>1106.943</v>
      </c>
      <c r="FJ11" s="1515">
        <f t="shared" si="4"/>
        <v>968.25900000000013</v>
      </c>
      <c r="FK11" s="1515">
        <f t="shared" si="4"/>
        <v>1150.2154</v>
      </c>
      <c r="FL11" s="1515">
        <f t="shared" si="4"/>
        <v>1164.6253999999999</v>
      </c>
      <c r="FM11" s="1515">
        <f t="shared" si="4"/>
        <v>1273.201</v>
      </c>
      <c r="FN11" s="1515">
        <f t="shared" si="4"/>
        <v>1293.3519999999999</v>
      </c>
      <c r="FO11" s="1515">
        <f t="shared" si="4"/>
        <v>1312.7520000000002</v>
      </c>
      <c r="FP11" s="1515">
        <f t="shared" si="4"/>
        <v>1550.8039999999999</v>
      </c>
      <c r="FQ11" s="1515">
        <f t="shared" si="4"/>
        <v>1692.192</v>
      </c>
      <c r="FR11" s="1515">
        <f t="shared" si="4"/>
        <v>1549.059</v>
      </c>
      <c r="FS11" s="1515">
        <f t="shared" si="4"/>
        <v>1464.597</v>
      </c>
      <c r="FT11" s="1515">
        <f t="shared" si="4"/>
        <v>1206.2969999999998</v>
      </c>
      <c r="FU11" s="1515">
        <f t="shared" si="4"/>
        <v>1106.943</v>
      </c>
      <c r="FV11" s="1515">
        <f t="shared" si="4"/>
        <v>968.25900000000013</v>
      </c>
      <c r="FW11" s="1515">
        <f t="shared" si="4"/>
        <v>1150.2154</v>
      </c>
      <c r="FX11" s="1515">
        <f t="shared" si="4"/>
        <v>1164.6253999999999</v>
      </c>
      <c r="FY11" s="1515">
        <f t="shared" si="4"/>
        <v>1273.201</v>
      </c>
      <c r="FZ11" s="1515">
        <f t="shared" si="4"/>
        <v>1293.3519999999999</v>
      </c>
      <c r="GA11" s="1515">
        <f t="shared" si="4"/>
        <v>1312.7520000000002</v>
      </c>
      <c r="GB11" s="1515">
        <f t="shared" si="4"/>
        <v>1550.8039999999999</v>
      </c>
      <c r="GC11" s="1515">
        <f t="shared" si="4"/>
        <v>1692.192</v>
      </c>
      <c r="GD11" s="1515">
        <f t="shared" si="4"/>
        <v>1549.059</v>
      </c>
      <c r="GF11" s="921">
        <f t="shared" ref="GF11:GI19" si="5">+SUMIF($E$6:$AZ$6,GF$7,$E11:$AZ11)</f>
        <v>36281.367098260002</v>
      </c>
      <c r="GG11" s="1517">
        <f t="shared" si="5"/>
        <v>36755.28015785</v>
      </c>
      <c r="GH11" s="1517">
        <f t="shared" si="5"/>
        <v>39382.981392629998</v>
      </c>
      <c r="GI11" s="1517">
        <f t="shared" si="5"/>
        <v>16852.783245840001</v>
      </c>
      <c r="GJ11" s="1517">
        <f>+SUMIF($E$6:$BL$6,GJ$7,$E11:$BL11)</f>
        <v>6152.0267988899996</v>
      </c>
      <c r="GK11" s="1517">
        <f>+SUMIF($E$6:$BX$6,GK$7,$E11:$BX11)</f>
        <v>13628.814960449999</v>
      </c>
      <c r="GL11" s="1517">
        <f>+SUMIF($E$6:$CJ$6,GL$7,$E11:$CJ11)</f>
        <v>14150.533845460002</v>
      </c>
      <c r="GM11" s="1517">
        <f t="shared" ref="GM11:GM19" si="6">+SUMIF($E$6:$CV$6,GM$7,$E11:$CV11)</f>
        <v>21229.350959210002</v>
      </c>
      <c r="GN11" s="1517">
        <f t="shared" ref="GN11:GN74" si="7">+SUM(FS11:GD11)</f>
        <v>15732.296799999998</v>
      </c>
      <c r="GO11" s="1518">
        <v>12619.887229980002</v>
      </c>
      <c r="GQ11" s="1519">
        <f t="shared" ref="GQ11:GX26" si="8">+IFERROR(GH11/GG11-1,"")</f>
        <v>7.1491802633390833E-2</v>
      </c>
      <c r="GR11" s="1519">
        <f t="shared" si="8"/>
        <v>-0.57207954680155892</v>
      </c>
      <c r="GS11" s="1519">
        <f t="shared" si="8"/>
        <v>-0.6349548493475945</v>
      </c>
      <c r="GT11" s="1519">
        <f t="shared" si="8"/>
        <v>1.2153373848938736</v>
      </c>
      <c r="GU11" s="1519">
        <f t="shared" si="8"/>
        <v>3.8280575862538191E-2</v>
      </c>
      <c r="GV11" s="1519">
        <f t="shared" si="8"/>
        <v>0.50025088742649371</v>
      </c>
      <c r="GW11" s="1519">
        <f t="shared" si="8"/>
        <v>-0.25893651528829231</v>
      </c>
      <c r="GX11" s="1519">
        <f t="shared" si="8"/>
        <v>-0.19783567584486428</v>
      </c>
      <c r="GY11" s="1519">
        <f t="shared" ref="GY11:GY74" si="9">+IFERROR(GO11/GM11-1,"")</f>
        <v>-0.40554531063018329</v>
      </c>
      <c r="HA11" s="1517">
        <f t="shared" ref="HA11:HH26" si="10">+GH11-GG11</f>
        <v>2627.7012347799973</v>
      </c>
      <c r="HB11" s="1517">
        <f t="shared" si="10"/>
        <v>-22530.198146789997</v>
      </c>
      <c r="HC11" s="1517">
        <f t="shared" si="10"/>
        <v>-10700.756446950001</v>
      </c>
      <c r="HD11" s="1517">
        <f t="shared" si="10"/>
        <v>7476.7881615599999</v>
      </c>
      <c r="HE11" s="1517">
        <f t="shared" si="10"/>
        <v>521.71888501000285</v>
      </c>
      <c r="HF11" s="1517">
        <f t="shared" si="10"/>
        <v>7078.8171137499994</v>
      </c>
      <c r="HG11" s="1517">
        <f t="shared" si="10"/>
        <v>-5497.0541592100035</v>
      </c>
      <c r="HH11" s="1517">
        <f t="shared" si="10"/>
        <v>-3112.409570019996</v>
      </c>
      <c r="HI11" s="1517">
        <f t="shared" ref="HI11:HI74" si="11">+GO11-GM11</f>
        <v>-8609.4637292299994</v>
      </c>
      <c r="HK11" s="1520">
        <f t="shared" ref="HK11:HS26" si="12">+GG11/GG$11</f>
        <v>1</v>
      </c>
      <c r="HL11" s="1520">
        <f t="shared" si="12"/>
        <v>1</v>
      </c>
      <c r="HM11" s="1520">
        <f t="shared" si="12"/>
        <v>1</v>
      </c>
      <c r="HN11" s="1520">
        <f t="shared" si="12"/>
        <v>1</v>
      </c>
      <c r="HO11" s="1520">
        <f t="shared" si="12"/>
        <v>1</v>
      </c>
      <c r="HP11" s="1520">
        <f>+GL11/GL$11</f>
        <v>1</v>
      </c>
      <c r="HQ11" s="1520">
        <f>+GM11/GM$11</f>
        <v>1</v>
      </c>
      <c r="HR11" s="1520">
        <f t="shared" ref="HR11:HS19" si="13">+GN11/GN$11</f>
        <v>1</v>
      </c>
      <c r="HS11" s="1520">
        <f t="shared" si="13"/>
        <v>1</v>
      </c>
      <c r="HU11" s="1521">
        <f t="shared" ref="HU11:HZ19" si="14">+IFERROR(SUMIFS($E11:$BX11,$E$6:$BX$6,HU$7,$E$5:$BX$5,"&lt;="&amp;$HW$5),"NA")</f>
        <v>15994.665856750002</v>
      </c>
      <c r="HV11" s="1521">
        <f t="shared" si="14"/>
        <v>17051.329299630001</v>
      </c>
      <c r="HW11" s="1521">
        <f t="shared" si="14"/>
        <v>16255.270692210001</v>
      </c>
      <c r="HX11" s="1521">
        <f t="shared" si="14"/>
        <v>9354.0738404300009</v>
      </c>
      <c r="HY11" s="1521">
        <f t="shared" si="14"/>
        <v>2006.62504236</v>
      </c>
      <c r="HZ11" s="1521">
        <f t="shared" si="14"/>
        <v>6941.3141053199997</v>
      </c>
      <c r="IA11" s="1521">
        <f t="shared" ref="IA11:IA19" si="15">+IFERROR(SUMIFS($E11:$CJ11,$E$6:$CJ$6,IA$7,$E$5:$CJ$5,"&lt;="&amp;$HW$5),"NA")</f>
        <v>5289.4549671500008</v>
      </c>
      <c r="IB11" s="1521">
        <f t="shared" ref="IB11:IB19" si="16">+IFERROR(SUMIFS($E11:$CV11,$E$6:$CV$6,IB$7,$E$5:$CV$5,"&lt;="&amp;$HW$5),"NA")</f>
        <v>9482.5710182699986</v>
      </c>
      <c r="IC11" s="1521">
        <f t="shared" ref="IC11:IC19" si="17">+SUMIF($CW$5:$DH$5,"&lt;="&amp;$HW$5,$CW11:$DH11)</f>
        <v>6502.5842135600005</v>
      </c>
      <c r="ID11" s="1517">
        <f t="shared" ref="ID11:ID74" si="18">+SUMIF($FG$5:$FR$5,"&lt;="&amp;$HW$5,$FG11:$FR11)</f>
        <v>7060.9367999999995</v>
      </c>
      <c r="IE11" s="1517">
        <f t="shared" ref="IE11:IE19" si="19">+SUMIF($DJ$5:$DU$5,"&lt;="&amp;$HW$5,$DJ11:$DU11)</f>
        <v>6818.6868577699997</v>
      </c>
      <c r="IF11" s="922">
        <f t="shared" ref="IF11:IF60" si="20">+IFERROR(IC11/IB11-1,"")</f>
        <v>-0.31425937111026958</v>
      </c>
      <c r="IG11" s="1517">
        <f t="shared" ref="IG11:IH42" si="21">+IC11</f>
        <v>6502.5842135600005</v>
      </c>
      <c r="IH11" s="1517">
        <f>+ID11</f>
        <v>7060.9367999999995</v>
      </c>
      <c r="II11" s="97"/>
      <c r="IJ11" s="1519">
        <f>+IFERROR(IG11/IH11,"")</f>
        <v>0.92092372410980949</v>
      </c>
      <c r="IK11" s="1517">
        <f>+IG11-IH11</f>
        <v>-558.35258643999896</v>
      </c>
      <c r="IM11" s="1520">
        <f>+IG11/IG$11</f>
        <v>1</v>
      </c>
      <c r="IN11" s="1519">
        <f t="shared" ref="IN11:IN37" si="22">+IFERROR(IH11/IH$11,"")</f>
        <v>1</v>
      </c>
      <c r="IP11" s="1519">
        <f t="shared" ref="IP11:IU17" si="23">+IFERROR(HW11/HV11-1,"NA")</f>
        <v>-4.6686014528924402E-2</v>
      </c>
      <c r="IQ11" s="1519">
        <f t="shared" si="23"/>
        <v>-0.42455133368448017</v>
      </c>
      <c r="IR11" s="1519">
        <f t="shared" si="23"/>
        <v>-0.78548116290391001</v>
      </c>
      <c r="IS11" s="1519">
        <f t="shared" si="23"/>
        <v>2.4591983847447114</v>
      </c>
      <c r="IT11" s="1519">
        <f t="shared" si="23"/>
        <v>-0.23797498760414426</v>
      </c>
      <c r="IU11" s="1519">
        <f t="shared" si="23"/>
        <v>0.79273121279247438</v>
      </c>
      <c r="IV11" s="1519">
        <f>+IFERROR(IE11/IB11-1,"NA")</f>
        <v>-0.28092425096184492</v>
      </c>
      <c r="IX11" s="1517">
        <f t="shared" ref="IX11:JC19" si="24">+HW11-HV11</f>
        <v>-796.05860742000004</v>
      </c>
      <c r="IY11" s="1517">
        <f t="shared" si="24"/>
        <v>-6901.1968517799996</v>
      </c>
      <c r="IZ11" s="1517">
        <f t="shared" si="24"/>
        <v>-7347.4487980700014</v>
      </c>
      <c r="JA11" s="1517">
        <f t="shared" si="24"/>
        <v>4934.6890629600002</v>
      </c>
      <c r="JB11" s="1517">
        <f t="shared" si="24"/>
        <v>-1651.8591381699989</v>
      </c>
      <c r="JC11" s="1517">
        <f t="shared" si="24"/>
        <v>4193.1160511199978</v>
      </c>
      <c r="JD11" s="1517">
        <f t="shared" ref="JD11:JD19" si="25">+IE11-IB11</f>
        <v>-2663.8841604999989</v>
      </c>
      <c r="JF11" s="1520">
        <f t="shared" ref="JF11:JL19" si="26">+HU11/HU$11</f>
        <v>1</v>
      </c>
      <c r="JG11" s="1520">
        <f t="shared" si="26"/>
        <v>1</v>
      </c>
      <c r="JH11" s="1520">
        <f t="shared" si="26"/>
        <v>1</v>
      </c>
      <c r="JI11" s="1520">
        <f t="shared" si="26"/>
        <v>1</v>
      </c>
      <c r="JJ11" s="1520">
        <f t="shared" si="26"/>
        <v>1</v>
      </c>
      <c r="JK11" s="1520">
        <f t="shared" si="26"/>
        <v>1</v>
      </c>
      <c r="JL11" s="1520">
        <f t="shared" si="26"/>
        <v>1</v>
      </c>
      <c r="JM11" s="1520">
        <f>+IE11/IE$11</f>
        <v>1</v>
      </c>
      <c r="JO11" s="1517">
        <f t="shared" ref="JO11:JS19" si="27">+SUMIFS($E11:$BX11,$E$6:$BX$6,JO$7,$E$5:$BX$5,$JQ$5)</f>
        <v>3205.8233163100003</v>
      </c>
      <c r="JP11" s="1517">
        <f t="shared" si="27"/>
        <v>3363.2457611200002</v>
      </c>
      <c r="JQ11" s="1517">
        <f t="shared" si="27"/>
        <v>2508.9330035600001</v>
      </c>
      <c r="JR11" s="1517">
        <f t="shared" si="27"/>
        <v>894.66701813999998</v>
      </c>
      <c r="JS11" s="1517">
        <f t="shared" si="27"/>
        <v>312.04398333000006</v>
      </c>
      <c r="JT11" s="1517">
        <f t="shared" ref="JT11:JT19" si="28">+SUMIFS($E11:$CJ11,$E$6:$CJ$6,JT$7,$E$5:$CJ$5,$JQ$5)</f>
        <v>1014.02128614</v>
      </c>
      <c r="JU11" s="1517">
        <f t="shared" ref="JU11:JV19" si="29">+SUMIFS($E11:$CV11,$E$6:$CV$6,JU$7,$E$5:$CV$5,$JQ$5)</f>
        <v>877.14804474999983</v>
      </c>
      <c r="JV11" s="1517">
        <f t="shared" si="29"/>
        <v>1530.1148666599997</v>
      </c>
      <c r="JW11" s="1517">
        <f t="shared" ref="JW11:JW19" si="30">+SUMIFS($E11:$DH11,$E$6:$DH$6,JW$7,$E$5:$DH$5,$JQ$5)</f>
        <v>370.84104293000001</v>
      </c>
      <c r="JX11" s="1517">
        <f>+SUMIF($FS$5:$GD$5,$JQ$5,$FS11:$GD11)</f>
        <v>1164.6253999999999</v>
      </c>
      <c r="JY11" s="1517">
        <f t="shared" ref="JY11:JY19" si="31">+SUMIF($DJ$5:$DU$5,$JQ$5,$DJ11:$DU11)</f>
        <v>366.48519312000002</v>
      </c>
      <c r="KB11" s="1520">
        <f t="shared" ref="KB11:KG19" si="32">+IFERROR(JQ11/JP11-1," ")</f>
        <v>-0.2540143713064561</v>
      </c>
      <c r="KC11" s="1520">
        <f t="shared" si="32"/>
        <v>-0.64340737003717108</v>
      </c>
      <c r="KD11" s="1520">
        <f t="shared" si="32"/>
        <v>-0.65121774134612109</v>
      </c>
      <c r="KE11" s="1520">
        <f t="shared" si="32"/>
        <v>2.2496101200824259</v>
      </c>
      <c r="KF11" s="1520">
        <f t="shared" si="32"/>
        <v>-0.13498063922407932</v>
      </c>
      <c r="KG11" s="1520">
        <f t="shared" si="32"/>
        <v>0.74442031287444199</v>
      </c>
      <c r="KH11" s="1520">
        <f t="shared" ref="KH11:KH19" si="33">+IFERROR(JY11/JV11-1," ")</f>
        <v>-0.76048517591363607</v>
      </c>
      <c r="KJ11" s="1517">
        <f t="shared" ref="KJ11:KO19" si="34">+JQ11-JP11</f>
        <v>-854.31275756000014</v>
      </c>
      <c r="KK11" s="1517">
        <f t="shared" si="34"/>
        <v>-1614.2659854200001</v>
      </c>
      <c r="KL11" s="1517">
        <f t="shared" si="34"/>
        <v>-582.62303480999992</v>
      </c>
      <c r="KM11" s="1517">
        <f t="shared" si="34"/>
        <v>701.97730280999997</v>
      </c>
      <c r="KN11" s="1517">
        <f t="shared" si="34"/>
        <v>-136.8732413900002</v>
      </c>
      <c r="KO11" s="1517">
        <f t="shared" si="34"/>
        <v>652.96682190999991</v>
      </c>
      <c r="KP11" s="1517">
        <f t="shared" ref="KP11:KP19" si="35">+JY11-JV11</f>
        <v>-1163.6296735399997</v>
      </c>
      <c r="KR11" s="1520">
        <f t="shared" ref="KR11:KY19" si="36">+JO11/JO$11</f>
        <v>1</v>
      </c>
      <c r="KS11" s="1520">
        <f t="shared" si="36"/>
        <v>1</v>
      </c>
      <c r="KT11" s="1520">
        <f t="shared" si="36"/>
        <v>1</v>
      </c>
      <c r="KU11" s="1520">
        <f t="shared" si="36"/>
        <v>1</v>
      </c>
      <c r="KV11" s="1520">
        <f t="shared" si="36"/>
        <v>1</v>
      </c>
      <c r="KW11" s="1520">
        <f t="shared" si="36"/>
        <v>1</v>
      </c>
      <c r="KX11" s="1520">
        <f t="shared" si="36"/>
        <v>1</v>
      </c>
      <c r="KY11" s="1520">
        <f t="shared" si="36"/>
        <v>1</v>
      </c>
      <c r="KZ11" s="1520">
        <f>+JY11/JY$11</f>
        <v>1</v>
      </c>
      <c r="LL11" s="17">
        <v>11</v>
      </c>
      <c r="LM11" s="17" t="s">
        <v>623</v>
      </c>
    </row>
    <row r="12" spans="1:325" outlineLevel="1">
      <c r="A12" s="884">
        <v>4115</v>
      </c>
      <c r="B12" s="884"/>
      <c r="C12" s="47" t="s">
        <v>61</v>
      </c>
      <c r="D12" s="923" t="s">
        <v>59</v>
      </c>
      <c r="E12" s="924">
        <v>806.00994534000006</v>
      </c>
      <c r="F12" s="924">
        <v>2815.45580883</v>
      </c>
      <c r="G12" s="924">
        <v>2539.5062277200004</v>
      </c>
      <c r="H12" s="924">
        <v>2776.8382550300003</v>
      </c>
      <c r="I12" s="924">
        <v>3220.4018057999983</v>
      </c>
      <c r="J12" s="924">
        <v>3105.2472103500004</v>
      </c>
      <c r="K12" s="924">
        <v>3079.5271261199996</v>
      </c>
      <c r="L12" s="924">
        <v>3358.9268205900007</v>
      </c>
      <c r="M12" s="924">
        <v>3780.1017433000015</v>
      </c>
      <c r="N12" s="924">
        <v>2698.6643336999987</v>
      </c>
      <c r="O12" s="924">
        <v>3968.0127670300026</v>
      </c>
      <c r="P12" s="924">
        <v>2842.1425627499957</v>
      </c>
      <c r="Q12" s="924">
        <v>2007.81015819</v>
      </c>
      <c r="R12" s="924">
        <v>3153.6947178600003</v>
      </c>
      <c r="S12" s="924">
        <v>1771.1106629899996</v>
      </c>
      <c r="T12" s="924">
        <v>1799.7027402000003</v>
      </c>
      <c r="U12" s="924">
        <v>3638.2909794499992</v>
      </c>
      <c r="V12" s="924">
        <v>3154.8550032700005</v>
      </c>
      <c r="W12" s="924">
        <v>2389.2905699200001</v>
      </c>
      <c r="X12" s="924">
        <v>2826.9334321599999</v>
      </c>
      <c r="Y12" s="924">
        <v>1316.0914770499985</v>
      </c>
      <c r="Z12" s="924">
        <v>2055.0782477399989</v>
      </c>
      <c r="AA12" s="924">
        <v>4468.3473309399997</v>
      </c>
      <c r="AB12" s="924">
        <v>4976.5699636900063</v>
      </c>
      <c r="AC12" s="924">
        <v>1454.74166231</v>
      </c>
      <c r="AD12" s="924">
        <v>3586.7124426300002</v>
      </c>
      <c r="AE12" s="924">
        <v>2398.7299562799999</v>
      </c>
      <c r="AF12" s="924">
        <v>2701.7248327000002</v>
      </c>
      <c r="AG12" s="924">
        <v>2517.9466260000004</v>
      </c>
      <c r="AH12" s="924">
        <v>2055.7923256200002</v>
      </c>
      <c r="AI12" s="924">
        <v>2206.05538316</v>
      </c>
      <c r="AJ12" s="924">
        <v>2940.1640838499998</v>
      </c>
      <c r="AK12" s="924">
        <v>2595.7349299299999</v>
      </c>
      <c r="AL12" s="924">
        <v>3458.8198831</v>
      </c>
      <c r="AM12" s="924">
        <v>5531.3532719300001</v>
      </c>
      <c r="AN12" s="924">
        <v>4928.1485160799984</v>
      </c>
      <c r="AO12" s="924">
        <v>2664.6834696900005</v>
      </c>
      <c r="AP12" s="925">
        <v>1384.7325453700003</v>
      </c>
      <c r="AQ12" s="926">
        <v>1454.9750595399998</v>
      </c>
      <c r="AR12" s="926">
        <v>1017.1720344899998</v>
      </c>
      <c r="AS12" s="924">
        <v>896.22157375999996</v>
      </c>
      <c r="AT12" s="924">
        <v>662.16882564000002</v>
      </c>
      <c r="AU12" s="924">
        <v>1232.4711715800001</v>
      </c>
      <c r="AV12" s="924">
        <v>1194.46167621</v>
      </c>
      <c r="AW12" s="924">
        <v>1170.7436105399997</v>
      </c>
      <c r="AX12" s="924">
        <v>1262.9364039199997</v>
      </c>
      <c r="AY12" s="924">
        <v>760.17841794999981</v>
      </c>
      <c r="AZ12" s="924">
        <v>392.13785157000001</v>
      </c>
      <c r="BA12" s="924">
        <v>373.00147486999998</v>
      </c>
      <c r="BB12" s="924">
        <v>237.37286455999995</v>
      </c>
      <c r="BC12" s="924">
        <v>128.03406410000002</v>
      </c>
      <c r="BD12" s="924">
        <v>49.401375719999997</v>
      </c>
      <c r="BE12" s="924">
        <v>325.91743058000003</v>
      </c>
      <c r="BF12" s="924">
        <v>210.64934957000003</v>
      </c>
      <c r="BG12" s="924">
        <v>311.17049824999998</v>
      </c>
      <c r="BH12" s="924">
        <v>395.07319631999991</v>
      </c>
      <c r="BI12" s="924">
        <v>214.38890093999981</v>
      </c>
      <c r="BJ12" s="924">
        <v>543.54372692000004</v>
      </c>
      <c r="BK12" s="924">
        <v>988.26771884000016</v>
      </c>
      <c r="BL12" s="924">
        <v>1425.2714274300001</v>
      </c>
      <c r="BM12" s="924">
        <v>1134.8179341</v>
      </c>
      <c r="BN12" s="924">
        <v>1078.57976833</v>
      </c>
      <c r="BO12" s="924">
        <v>1046.23403975</v>
      </c>
      <c r="BP12" s="924">
        <v>1391.2855790100002</v>
      </c>
      <c r="BQ12" s="924">
        <v>944.86738002999994</v>
      </c>
      <c r="BR12" s="924">
        <v>907.06652005000001</v>
      </c>
      <c r="BS12" s="924">
        <v>1067.82475217</v>
      </c>
      <c r="BT12" s="924">
        <v>1064.59464486</v>
      </c>
      <c r="BU12" s="924">
        <v>802.80836103000001</v>
      </c>
      <c r="BV12" s="924">
        <v>1073.2787726899999</v>
      </c>
      <c r="BW12" s="924">
        <v>1196.9327283900004</v>
      </c>
      <c r="BX12" s="924">
        <v>944.36372681000023</v>
      </c>
      <c r="BY12" s="924">
        <v>918.26094842000009</v>
      </c>
      <c r="BZ12" s="924">
        <v>954.76169004000008</v>
      </c>
      <c r="CA12" s="924">
        <v>917.38053848000004</v>
      </c>
      <c r="CB12" s="924">
        <v>737.39982370000007</v>
      </c>
      <c r="CC12" s="924">
        <v>611.79216925000003</v>
      </c>
      <c r="CD12" s="924">
        <v>772.19654496999988</v>
      </c>
      <c r="CE12" s="924">
        <v>1052.5454931199999</v>
      </c>
      <c r="CF12" s="924">
        <v>1628.8507312200002</v>
      </c>
      <c r="CG12" s="924">
        <v>1092.21856727</v>
      </c>
      <c r="CH12" s="924">
        <v>1351.92794015</v>
      </c>
      <c r="CI12" s="924">
        <v>1738.41247299</v>
      </c>
      <c r="CJ12" s="924">
        <v>1451.10176058</v>
      </c>
      <c r="CK12" s="1168">
        <v>1484.3489215999998</v>
      </c>
      <c r="CL12" s="1168">
        <v>1147.3988774099998</v>
      </c>
      <c r="CM12" s="1168">
        <v>1663.1164521399999</v>
      </c>
      <c r="CN12" s="1168">
        <v>1443.6903451399999</v>
      </c>
      <c r="CO12" s="1168">
        <v>1590.0110032299999</v>
      </c>
      <c r="CP12" s="1168">
        <v>1622.8344388899998</v>
      </c>
      <c r="CQ12" s="1168">
        <v>1670.4733395999999</v>
      </c>
      <c r="CR12" s="1168">
        <v>1930.6500692200002</v>
      </c>
      <c r="CS12" s="1168">
        <v>1764.24656562</v>
      </c>
      <c r="CT12" s="1168">
        <v>2143.0498825</v>
      </c>
      <c r="CU12" s="1168">
        <v>1906.7897882</v>
      </c>
      <c r="CV12" s="1168">
        <v>1829.6563514899997</v>
      </c>
      <c r="CW12" s="1168">
        <v>1834.9282884200002</v>
      </c>
      <c r="CX12" s="1168">
        <v>1566.2589819699997</v>
      </c>
      <c r="CY12" s="1168">
        <v>1724.5679357700003</v>
      </c>
      <c r="CZ12" s="1168">
        <v>342.93000532000019</v>
      </c>
      <c r="DA12" s="1168">
        <v>342.59946513000011</v>
      </c>
      <c r="DB12" s="1168">
        <v>375.19689274000001</v>
      </c>
      <c r="DC12" s="1168">
        <v>482.73311514</v>
      </c>
      <c r="DD12" s="1168">
        <v>1160.6810653699999</v>
      </c>
      <c r="DE12" s="1168">
        <v>1006.6267351499998</v>
      </c>
      <c r="DF12" s="1168">
        <v>1175.92829244</v>
      </c>
      <c r="DG12" s="1168">
        <v>826.57680589999984</v>
      </c>
      <c r="DH12" s="1168">
        <v>1095.9814840199999</v>
      </c>
      <c r="DJ12" s="924">
        <v>1950.3991190699999</v>
      </c>
      <c r="DK12" s="924">
        <v>1586.2194889699997</v>
      </c>
      <c r="DL12" s="924">
        <v>1853.8857025899997</v>
      </c>
      <c r="DM12" s="924">
        <v>358.79537143000005</v>
      </c>
      <c r="DN12" s="924">
        <v>382.44348857</v>
      </c>
      <c r="DO12" s="924">
        <v>370.84104293000001</v>
      </c>
      <c r="DP12" s="924">
        <v>537.19792596000002</v>
      </c>
      <c r="DQ12" s="924">
        <v>1176.5695974400001</v>
      </c>
      <c r="DR12" s="924">
        <v>1087.4918451200001</v>
      </c>
      <c r="DS12" s="924">
        <v>1278.4546783500002</v>
      </c>
      <c r="DT12" s="924">
        <v>725.3178453884999</v>
      </c>
      <c r="DU12" s="924">
        <v>732.17832409799985</v>
      </c>
      <c r="DW12" s="924">
        <v>2346.0224999178708</v>
      </c>
      <c r="DX12" s="924">
        <v>1084.1125971215647</v>
      </c>
      <c r="DY12" s="924">
        <v>1428.7414120000001</v>
      </c>
      <c r="DZ12" s="924">
        <v>2119.2564029999999</v>
      </c>
      <c r="EA12" s="924">
        <v>1672.590962</v>
      </c>
      <c r="EB12" s="924">
        <v>1943.9716530000001</v>
      </c>
      <c r="EC12" s="924">
        <v>1828.3130570000001</v>
      </c>
      <c r="ED12" s="924">
        <v>2634.5620290000002</v>
      </c>
      <c r="EE12" s="924">
        <v>1774.750438</v>
      </c>
      <c r="EF12" s="924">
        <v>2088.454729</v>
      </c>
      <c r="EG12" s="924">
        <v>1870.747938</v>
      </c>
      <c r="EH12" s="924">
        <v>2104.9022289999998</v>
      </c>
      <c r="EI12" s="924">
        <v>446.26534096</v>
      </c>
      <c r="EJ12" s="924">
        <v>904.26112222000006</v>
      </c>
      <c r="EK12" s="924">
        <v>943.12623017999999</v>
      </c>
      <c r="EL12" s="924">
        <v>860.76040476999992</v>
      </c>
      <c r="EM12" s="924">
        <v>982.73107812000001</v>
      </c>
      <c r="EN12" s="924">
        <v>1382.5991659200001</v>
      </c>
      <c r="EO12" s="924">
        <v>1475.6108230699999</v>
      </c>
      <c r="EP12" s="924">
        <v>1581.7440380799999</v>
      </c>
      <c r="EQ12" s="924">
        <v>1605.8868916299998</v>
      </c>
      <c r="ER12" s="924">
        <v>1641.2495051200001</v>
      </c>
      <c r="ES12" s="924">
        <v>1449.2515671600001</v>
      </c>
      <c r="ET12" s="924">
        <v>1037.3682571600002</v>
      </c>
      <c r="EU12" s="924">
        <f>891.285+3.6</f>
        <v>894.88499999999999</v>
      </c>
      <c r="EV12" s="924">
        <f>1032.89+3.6</f>
        <v>1036.49</v>
      </c>
      <c r="EW12" s="924">
        <f>1054.780508+3.6</f>
        <v>1058.380508</v>
      </c>
      <c r="EX12" s="924">
        <f>963.770508+3.6</f>
        <v>967.37050799999997</v>
      </c>
      <c r="EY12" s="924">
        <f>1000.710262+6.75</f>
        <v>1007.4602619999999</v>
      </c>
      <c r="EZ12" s="924">
        <f>897.960262+6.75</f>
        <v>904.71026199999994</v>
      </c>
      <c r="FA12" s="924">
        <f>996.705262+6.75</f>
        <v>1003.4552619999999</v>
      </c>
      <c r="FB12" s="924">
        <f>678.997+6.75</f>
        <v>685.74699999999996</v>
      </c>
      <c r="FC12" s="924">
        <f>533.185+6.75</f>
        <v>539.93499999999995</v>
      </c>
      <c r="FD12" s="924">
        <f>430.525+6.75</f>
        <v>437.27499999999998</v>
      </c>
      <c r="FE12" s="924">
        <f>494.275+6.75</f>
        <v>501.02499999999998</v>
      </c>
      <c r="FF12" s="924">
        <f>442.945+6.75</f>
        <v>449.69499999999999</v>
      </c>
      <c r="FG12" s="924">
        <v>1289.376</v>
      </c>
      <c r="FH12" s="924">
        <v>1126.818</v>
      </c>
      <c r="FI12" s="924">
        <v>1049.1389999999999</v>
      </c>
      <c r="FJ12" s="924">
        <v>908.46</v>
      </c>
      <c r="FK12" s="924">
        <v>1074.3389999999999</v>
      </c>
      <c r="FL12" s="924">
        <v>1081.6289999999999</v>
      </c>
      <c r="FM12" s="924">
        <v>1173.9870000000001</v>
      </c>
      <c r="FN12" s="924">
        <v>1188.9179999999999</v>
      </c>
      <c r="FO12" s="924">
        <v>1209.7080000000001</v>
      </c>
      <c r="FP12" s="924">
        <v>1424.538</v>
      </c>
      <c r="FQ12" s="924">
        <v>1571.2380000000001</v>
      </c>
      <c r="FR12" s="924">
        <v>1405.3589999999999</v>
      </c>
      <c r="FS12" s="924">
        <v>1289.376</v>
      </c>
      <c r="FT12" s="924">
        <v>1126.818</v>
      </c>
      <c r="FU12" s="924">
        <v>1049.1389999999999</v>
      </c>
      <c r="FV12" s="924">
        <v>908.46</v>
      </c>
      <c r="FW12" s="924">
        <v>1074.3389999999999</v>
      </c>
      <c r="FX12" s="924">
        <v>1081.6289999999999</v>
      </c>
      <c r="FY12" s="924">
        <v>1173.9870000000001</v>
      </c>
      <c r="FZ12" s="924">
        <v>1188.9179999999999</v>
      </c>
      <c r="GA12" s="924">
        <v>1209.7080000000001</v>
      </c>
      <c r="GB12" s="924">
        <v>1424.538</v>
      </c>
      <c r="GC12" s="924">
        <v>1571.2380000000001</v>
      </c>
      <c r="GD12" s="924">
        <v>1405.3589999999999</v>
      </c>
      <c r="GF12" s="924">
        <f t="shared" si="5"/>
        <v>34990.834606559998</v>
      </c>
      <c r="GG12" s="924">
        <f t="shared" si="5"/>
        <v>33557.775283460003</v>
      </c>
      <c r="GH12" s="924">
        <f t="shared" si="5"/>
        <v>36375.923913590006</v>
      </c>
      <c r="GI12" s="924">
        <f t="shared" si="5"/>
        <v>14092.882640259997</v>
      </c>
      <c r="GJ12" s="924">
        <f>+SUMIF($E$6:$BL$6,GJ$7,$E12:$BL12)</f>
        <v>5202.0920280999999</v>
      </c>
      <c r="GK12" s="924">
        <f t="shared" ref="GK12:GK74" si="37">+SUMIF($E$6:$BX$6,GK$7,$E12:$BX12)</f>
        <v>12652.654207220003</v>
      </c>
      <c r="GL12" s="924">
        <f t="shared" ref="GL12:GL74" si="38">+SUMIF($E$6:$CJ$6,GL$7,$E12:$CJ12)</f>
        <v>13226.848680190002</v>
      </c>
      <c r="GM12" s="924">
        <f t="shared" si="6"/>
        <v>20196.26603504</v>
      </c>
      <c r="GN12" s="924">
        <f>+SUM(FS12:GD12)</f>
        <v>14503.509</v>
      </c>
      <c r="GO12" s="924">
        <v>11935.00906737</v>
      </c>
      <c r="GQ12" s="927">
        <f t="shared" si="8"/>
        <v>8.397900654394741E-2</v>
      </c>
      <c r="GR12" s="927">
        <f t="shared" si="8"/>
        <v>-0.61257664069956697</v>
      </c>
      <c r="GS12" s="927">
        <f t="shared" si="8"/>
        <v>-0.63087097502402623</v>
      </c>
      <c r="GT12" s="927">
        <f t="shared" si="8"/>
        <v>1.4322242165026116</v>
      </c>
      <c r="GU12" s="927">
        <f t="shared" si="8"/>
        <v>4.5381345571140708E-2</v>
      </c>
      <c r="GV12" s="927">
        <f t="shared" si="8"/>
        <v>0.52691442409015932</v>
      </c>
      <c r="GW12" s="927">
        <f t="shared" si="8"/>
        <v>-0.2818717591243457</v>
      </c>
      <c r="GX12" s="927">
        <f t="shared" si="8"/>
        <v>-0.17709506938148556</v>
      </c>
      <c r="GY12" s="927">
        <f t="shared" si="9"/>
        <v>-0.40904872976702389</v>
      </c>
      <c r="HA12" s="924">
        <f t="shared" si="10"/>
        <v>2818.1486301300029</v>
      </c>
      <c r="HB12" s="924">
        <f t="shared" si="10"/>
        <v>-22283.041273330011</v>
      </c>
      <c r="HC12" s="924">
        <f t="shared" si="10"/>
        <v>-8890.7906121599972</v>
      </c>
      <c r="HD12" s="924">
        <f t="shared" si="10"/>
        <v>7450.5621791200028</v>
      </c>
      <c r="HE12" s="924">
        <f t="shared" si="10"/>
        <v>574.19447296999897</v>
      </c>
      <c r="HF12" s="924">
        <f t="shared" si="10"/>
        <v>6969.4173548499984</v>
      </c>
      <c r="HG12" s="924">
        <f t="shared" si="10"/>
        <v>-5692.7570350400001</v>
      </c>
      <c r="HH12" s="924">
        <f t="shared" si="10"/>
        <v>-2568.4999326300003</v>
      </c>
      <c r="HI12" s="924">
        <f t="shared" si="11"/>
        <v>-8261.2569676700004</v>
      </c>
      <c r="HK12" s="76">
        <f t="shared" si="12"/>
        <v>0.91300556380857589</v>
      </c>
      <c r="HL12" s="76">
        <f t="shared" si="12"/>
        <v>0.92364576340574556</v>
      </c>
      <c r="HM12" s="76">
        <f t="shared" si="12"/>
        <v>0.83623472958027467</v>
      </c>
      <c r="HN12" s="76">
        <f t="shared" si="12"/>
        <v>0.84558994915929253</v>
      </c>
      <c r="HO12" s="76">
        <f t="shared" si="12"/>
        <v>0.92837522880288881</v>
      </c>
      <c r="HP12" s="76">
        <f t="shared" si="12"/>
        <v>0.93472435914024887</v>
      </c>
      <c r="HQ12" s="76">
        <f t="shared" si="12"/>
        <v>0.95133695202670265</v>
      </c>
      <c r="HR12" s="76">
        <f t="shared" si="13"/>
        <v>0.92189393477499115</v>
      </c>
      <c r="HS12" s="76">
        <f t="shared" si="13"/>
        <v>0.94573024701972019</v>
      </c>
      <c r="HU12" s="924">
        <f t="shared" si="14"/>
        <v>15263.459253069999</v>
      </c>
      <c r="HV12" s="924">
        <f t="shared" si="14"/>
        <v>15525.46426196</v>
      </c>
      <c r="HW12" s="924">
        <f t="shared" si="14"/>
        <v>14715.647845540003</v>
      </c>
      <c r="HX12" s="924">
        <f t="shared" si="14"/>
        <v>8079.9535084900008</v>
      </c>
      <c r="HY12" s="924">
        <f t="shared" si="14"/>
        <v>1324.3765594000001</v>
      </c>
      <c r="HZ12" s="924">
        <f t="shared" si="14"/>
        <v>6502.8512212700007</v>
      </c>
      <c r="IA12" s="924">
        <f t="shared" si="15"/>
        <v>4911.79171486</v>
      </c>
      <c r="IB12" s="924">
        <f t="shared" si="16"/>
        <v>8951.40003841</v>
      </c>
      <c r="IC12" s="924">
        <f t="shared" si="17"/>
        <v>6186.4815693500004</v>
      </c>
      <c r="ID12" s="924">
        <f t="shared" si="18"/>
        <v>6529.7609999999995</v>
      </c>
      <c r="IE12" s="924">
        <f t="shared" si="19"/>
        <v>6502.5842135599996</v>
      </c>
      <c r="IF12" s="922">
        <f t="shared" si="20"/>
        <v>-0.30888111995842837</v>
      </c>
      <c r="IG12" s="924">
        <f t="shared" si="21"/>
        <v>6186.4815693500004</v>
      </c>
      <c r="IH12" s="924">
        <f t="shared" si="21"/>
        <v>6529.7609999999995</v>
      </c>
      <c r="II12" s="145"/>
      <c r="IJ12" s="927">
        <f t="shared" ref="IJ12:IJ20" si="39">+IFERROR(IG12/IH12,"NA")</f>
        <v>0.94742848464897889</v>
      </c>
      <c r="IK12" s="928">
        <f t="shared" ref="IK12:IK37" si="40">+IFERROR(IG12-IH12,"NA")</f>
        <v>-343.27943064999909</v>
      </c>
      <c r="IM12" s="76">
        <f t="shared" ref="IM12:IM37" si="41">+IG12/IG$11</f>
        <v>0.95138815064465854</v>
      </c>
      <c r="IN12" s="927">
        <f t="shared" si="22"/>
        <v>0.92477261657405008</v>
      </c>
      <c r="IP12" s="76">
        <f t="shared" si="23"/>
        <v>-5.2160528197806255E-2</v>
      </c>
      <c r="IQ12" s="76">
        <f t="shared" si="23"/>
        <v>-0.45092777475380663</v>
      </c>
      <c r="IR12" s="76">
        <f t="shared" si="23"/>
        <v>-0.83609106685967771</v>
      </c>
      <c r="IS12" s="76">
        <f>+IFERROR(HZ12/HY12-1,"NA")</f>
        <v>3.9101225592637139</v>
      </c>
      <c r="IT12" s="76">
        <f>+IFERROR(IA12/HZ12-1,"NA")</f>
        <v>-0.24467106078113043</v>
      </c>
      <c r="IU12" s="76">
        <f>+IFERROR(IB12/IA12-1,"NA")</f>
        <v>0.82243070513936489</v>
      </c>
      <c r="IV12" s="76">
        <f>+IFERROR(IE12/IB12-1,"NA")</f>
        <v>-0.27356791276697012</v>
      </c>
      <c r="IX12" s="924">
        <f t="shared" si="24"/>
        <v>-809.81641641999704</v>
      </c>
      <c r="IY12" s="924">
        <f t="shared" si="24"/>
        <v>-6635.6943370500021</v>
      </c>
      <c r="IZ12" s="924">
        <f t="shared" si="24"/>
        <v>-6755.5769490900002</v>
      </c>
      <c r="JA12" s="924">
        <f t="shared" si="24"/>
        <v>5178.474661870001</v>
      </c>
      <c r="JB12" s="924">
        <f t="shared" si="24"/>
        <v>-1591.0595064100007</v>
      </c>
      <c r="JC12" s="924">
        <f t="shared" si="24"/>
        <v>4039.60832355</v>
      </c>
      <c r="JD12" s="924">
        <f t="shared" si="25"/>
        <v>-2448.8158248500004</v>
      </c>
      <c r="JF12" s="76">
        <f t="shared" si="26"/>
        <v>0.95428434640468451</v>
      </c>
      <c r="JG12" s="76">
        <f t="shared" si="26"/>
        <v>0.91051342620524545</v>
      </c>
      <c r="JH12" s="76">
        <f t="shared" si="26"/>
        <v>0.90528469960159874</v>
      </c>
      <c r="JI12" s="76">
        <f t="shared" si="26"/>
        <v>0.86378979323072891</v>
      </c>
      <c r="JJ12" s="76">
        <f t="shared" si="26"/>
        <v>0.66000200906612594</v>
      </c>
      <c r="JK12" s="76">
        <f t="shared" si="26"/>
        <v>0.93683287092368428</v>
      </c>
      <c r="JL12" s="76">
        <f t="shared" si="26"/>
        <v>0.9286007245291874</v>
      </c>
      <c r="JM12" s="76">
        <f>+IE12/IE$11</f>
        <v>0.95364171272217957</v>
      </c>
      <c r="JO12" s="924">
        <f t="shared" si="27"/>
        <v>3105.2472103500004</v>
      </c>
      <c r="JP12" s="924">
        <f t="shared" si="27"/>
        <v>3154.8550032700005</v>
      </c>
      <c r="JQ12" s="924">
        <f t="shared" si="27"/>
        <v>2055.7923256200002</v>
      </c>
      <c r="JR12" s="924">
        <f t="shared" si="27"/>
        <v>662.16882564000002</v>
      </c>
      <c r="JS12" s="924">
        <f t="shared" si="27"/>
        <v>210.64934957000003</v>
      </c>
      <c r="JT12" s="924">
        <f t="shared" si="28"/>
        <v>907.06652005000001</v>
      </c>
      <c r="JU12" s="924">
        <f t="shared" si="29"/>
        <v>772.19654496999988</v>
      </c>
      <c r="JV12" s="924">
        <f t="shared" si="29"/>
        <v>1622.8344388899998</v>
      </c>
      <c r="JW12" s="924">
        <f t="shared" si="30"/>
        <v>375.19689274000001</v>
      </c>
      <c r="JX12" s="924">
        <f t="shared" ref="JX12:JX19" si="42">+SUMIF($FS$5:$GD$5,$JQ$5,$FS12:$GD12)</f>
        <v>1081.6289999999999</v>
      </c>
      <c r="JY12" s="924">
        <f t="shared" si="31"/>
        <v>370.84104293000001</v>
      </c>
      <c r="KB12" s="76">
        <f t="shared" si="32"/>
        <v>-0.34837185116616265</v>
      </c>
      <c r="KC12" s="76">
        <f t="shared" si="32"/>
        <v>-0.67790091567722022</v>
      </c>
      <c r="KD12" s="76">
        <f t="shared" si="32"/>
        <v>-0.68187969379802338</v>
      </c>
      <c r="KE12" s="76">
        <f t="shared" si="32"/>
        <v>3.3060494698967791</v>
      </c>
      <c r="KF12" s="76">
        <f t="shared" si="32"/>
        <v>-0.14868807534927619</v>
      </c>
      <c r="KG12" s="76">
        <f t="shared" si="32"/>
        <v>1.1015821029774844</v>
      </c>
      <c r="KH12" s="76">
        <f t="shared" si="33"/>
        <v>-0.77148559702513397</v>
      </c>
      <c r="KJ12" s="924">
        <f t="shared" si="34"/>
        <v>-1099.0626776500003</v>
      </c>
      <c r="KK12" s="924">
        <f t="shared" si="34"/>
        <v>-1393.6234999800001</v>
      </c>
      <c r="KL12" s="924">
        <f t="shared" si="34"/>
        <v>-451.51947607</v>
      </c>
      <c r="KM12" s="924">
        <f t="shared" si="34"/>
        <v>696.41717047999998</v>
      </c>
      <c r="KN12" s="924">
        <f t="shared" si="34"/>
        <v>-134.86997508000013</v>
      </c>
      <c r="KO12" s="924">
        <f t="shared" si="34"/>
        <v>850.6378939199999</v>
      </c>
      <c r="KP12" s="924">
        <f t="shared" si="35"/>
        <v>-1251.9933959599998</v>
      </c>
      <c r="KR12" s="76">
        <f t="shared" si="36"/>
        <v>0.96862705893730727</v>
      </c>
      <c r="KS12" s="76">
        <f t="shared" si="36"/>
        <v>0.93803879566011761</v>
      </c>
      <c r="KT12" s="76">
        <f t="shared" si="36"/>
        <v>0.81938908799197707</v>
      </c>
      <c r="KU12" s="76">
        <f t="shared" si="36"/>
        <v>0.74012879899902828</v>
      </c>
      <c r="KV12" s="76">
        <f t="shared" si="36"/>
        <v>0.6750630065737534</v>
      </c>
      <c r="KW12" s="76">
        <f t="shared" si="36"/>
        <v>0.89452414110838163</v>
      </c>
      <c r="KX12" s="76">
        <f t="shared" si="36"/>
        <v>0.88034916065974622</v>
      </c>
      <c r="KY12" s="76">
        <f t="shared" si="36"/>
        <v>1.0605964782450563</v>
      </c>
      <c r="KZ12" s="76">
        <f>+JY12/JY$11</f>
        <v>1.0118854728424833</v>
      </c>
      <c r="LL12" s="17">
        <v>12</v>
      </c>
      <c r="LM12" s="17" t="s">
        <v>624</v>
      </c>
    </row>
    <row r="13" spans="1:325" outlineLevel="1">
      <c r="A13" s="884"/>
      <c r="B13" s="884"/>
      <c r="D13" s="31" t="s">
        <v>59</v>
      </c>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45"/>
      <c r="AQ13" s="143"/>
      <c r="AR13" s="143"/>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169">
        <v>0</v>
      </c>
      <c r="CL13" s="1169">
        <v>0</v>
      </c>
      <c r="CM13" s="1169">
        <v>0</v>
      </c>
      <c r="CN13" s="1169">
        <v>0</v>
      </c>
      <c r="CO13" s="1169">
        <v>0</v>
      </c>
      <c r="CP13" s="1169">
        <v>0</v>
      </c>
      <c r="CQ13" s="1169">
        <v>0</v>
      </c>
      <c r="CR13" s="1169">
        <v>0</v>
      </c>
      <c r="CS13" s="1169">
        <v>0</v>
      </c>
      <c r="CT13" s="1169">
        <v>0</v>
      </c>
      <c r="CU13" s="1169">
        <v>0</v>
      </c>
      <c r="CV13" s="1169">
        <v>0</v>
      </c>
      <c r="CW13" s="1169">
        <v>0</v>
      </c>
      <c r="CX13" s="1169">
        <v>0</v>
      </c>
      <c r="CY13" s="1169">
        <v>0</v>
      </c>
      <c r="CZ13" s="1169">
        <v>0</v>
      </c>
      <c r="DA13" s="1169">
        <v>0</v>
      </c>
      <c r="DB13" s="1169">
        <v>0</v>
      </c>
      <c r="DC13" s="1169">
        <v>0</v>
      </c>
      <c r="DD13" s="1169">
        <v>0</v>
      </c>
      <c r="DE13" s="1169">
        <v>0</v>
      </c>
      <c r="DF13" s="1169">
        <v>0</v>
      </c>
      <c r="DG13" s="1169">
        <v>0</v>
      </c>
      <c r="DH13" s="1169">
        <v>0</v>
      </c>
      <c r="DJ13" s="102"/>
      <c r="DK13" s="102"/>
      <c r="DL13" s="102"/>
      <c r="DM13" s="102"/>
      <c r="DN13" s="102"/>
      <c r="DO13" s="102"/>
      <c r="DP13" s="102"/>
      <c r="DQ13" s="102"/>
      <c r="DR13" s="102"/>
      <c r="DS13" s="102"/>
      <c r="DT13" s="102"/>
      <c r="DU13" s="102"/>
      <c r="DW13" s="102">
        <v>27.730757507004331</v>
      </c>
      <c r="DX13" s="102">
        <v>25.01125</v>
      </c>
      <c r="DY13" s="102">
        <v>25.01125</v>
      </c>
      <c r="DZ13" s="102">
        <v>25.01125</v>
      </c>
      <c r="EA13" s="102">
        <v>25.01125</v>
      </c>
      <c r="EB13" s="102">
        <v>25.01125</v>
      </c>
      <c r="EC13" s="102">
        <v>1435.01125</v>
      </c>
      <c r="ED13" s="102">
        <v>1435.01125</v>
      </c>
      <c r="EE13" s="102">
        <v>1435.01125</v>
      </c>
      <c r="EF13" s="102">
        <v>1435.01125</v>
      </c>
      <c r="EG13" s="102">
        <v>1435.01125</v>
      </c>
      <c r="EH13" s="102">
        <v>1435.01125</v>
      </c>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F13" s="102">
        <f t="shared" si="5"/>
        <v>0</v>
      </c>
      <c r="GG13" s="102">
        <f t="shared" si="5"/>
        <v>0</v>
      </c>
      <c r="GH13" s="102">
        <f t="shared" si="5"/>
        <v>0</v>
      </c>
      <c r="GI13" s="102">
        <f t="shared" si="5"/>
        <v>0</v>
      </c>
      <c r="GJ13" s="102">
        <f t="shared" ref="GJ13:GJ19" si="43">+SUMIF($E$6:$BL$6,GJ$7,$E13:$BL13)</f>
        <v>0</v>
      </c>
      <c r="GK13" s="102">
        <f t="shared" si="37"/>
        <v>0</v>
      </c>
      <c r="GL13" s="102">
        <f t="shared" si="38"/>
        <v>0</v>
      </c>
      <c r="GM13" s="102">
        <f t="shared" si="6"/>
        <v>0</v>
      </c>
      <c r="GN13" s="102">
        <f t="shared" si="7"/>
        <v>0</v>
      </c>
      <c r="GO13" s="102">
        <v>0</v>
      </c>
      <c r="GQ13" s="929" t="str">
        <f t="shared" si="8"/>
        <v/>
      </c>
      <c r="GR13" s="929" t="str">
        <f t="shared" si="8"/>
        <v/>
      </c>
      <c r="GS13" s="929" t="str">
        <f t="shared" si="8"/>
        <v/>
      </c>
      <c r="GT13" s="929" t="str">
        <f t="shared" si="8"/>
        <v/>
      </c>
      <c r="GU13" s="929" t="str">
        <f t="shared" si="8"/>
        <v/>
      </c>
      <c r="GV13" s="929" t="str">
        <f t="shared" si="8"/>
        <v/>
      </c>
      <c r="GW13" s="929" t="str">
        <f t="shared" si="8"/>
        <v/>
      </c>
      <c r="GX13" s="929" t="str">
        <f t="shared" si="8"/>
        <v/>
      </c>
      <c r="GY13" s="929" t="str">
        <f t="shared" si="9"/>
        <v/>
      </c>
      <c r="HA13" s="102">
        <f t="shared" si="10"/>
        <v>0</v>
      </c>
      <c r="HB13" s="102">
        <f t="shared" si="10"/>
        <v>0</v>
      </c>
      <c r="HC13" s="102">
        <f t="shared" si="10"/>
        <v>0</v>
      </c>
      <c r="HD13" s="102">
        <f t="shared" si="10"/>
        <v>0</v>
      </c>
      <c r="HE13" s="102">
        <f t="shared" si="10"/>
        <v>0</v>
      </c>
      <c r="HF13" s="102">
        <f t="shared" si="10"/>
        <v>0</v>
      </c>
      <c r="HG13" s="102">
        <f t="shared" si="10"/>
        <v>0</v>
      </c>
      <c r="HH13" s="102">
        <f t="shared" si="10"/>
        <v>0</v>
      </c>
      <c r="HI13" s="102">
        <f t="shared" si="11"/>
        <v>0</v>
      </c>
      <c r="HK13" s="32">
        <f t="shared" si="12"/>
        <v>0</v>
      </c>
      <c r="HL13" s="32">
        <f t="shared" si="12"/>
        <v>0</v>
      </c>
      <c r="HM13" s="32">
        <f t="shared" si="12"/>
        <v>0</v>
      </c>
      <c r="HN13" s="32">
        <f t="shared" si="12"/>
        <v>0</v>
      </c>
      <c r="HO13" s="32">
        <f t="shared" si="12"/>
        <v>0</v>
      </c>
      <c r="HP13" s="32">
        <f t="shared" si="12"/>
        <v>0</v>
      </c>
      <c r="HQ13" s="32">
        <f t="shared" si="12"/>
        <v>0</v>
      </c>
      <c r="HR13" s="32">
        <f t="shared" si="13"/>
        <v>0</v>
      </c>
      <c r="HS13" s="32">
        <f t="shared" si="13"/>
        <v>0</v>
      </c>
      <c r="HU13" s="102">
        <f t="shared" si="14"/>
        <v>0</v>
      </c>
      <c r="HV13" s="102">
        <f t="shared" si="14"/>
        <v>0</v>
      </c>
      <c r="HW13" s="102">
        <f t="shared" si="14"/>
        <v>0</v>
      </c>
      <c r="HX13" s="102">
        <f t="shared" si="14"/>
        <v>0</v>
      </c>
      <c r="HY13" s="102">
        <f t="shared" si="14"/>
        <v>0</v>
      </c>
      <c r="HZ13" s="102">
        <f t="shared" si="14"/>
        <v>0</v>
      </c>
      <c r="IA13" s="102">
        <f t="shared" si="15"/>
        <v>0</v>
      </c>
      <c r="IB13" s="102">
        <f t="shared" si="16"/>
        <v>0</v>
      </c>
      <c r="IC13" s="102">
        <f t="shared" si="17"/>
        <v>0</v>
      </c>
      <c r="ID13" s="102">
        <f t="shared" si="18"/>
        <v>0</v>
      </c>
      <c r="IE13" s="102">
        <f t="shared" si="19"/>
        <v>0</v>
      </c>
      <c r="IF13" s="922" t="str">
        <f t="shared" si="20"/>
        <v/>
      </c>
      <c r="IG13" s="102">
        <f t="shared" si="21"/>
        <v>0</v>
      </c>
      <c r="IH13" s="102">
        <f t="shared" si="21"/>
        <v>0</v>
      </c>
      <c r="II13" s="145"/>
      <c r="IJ13" s="929" t="str">
        <f t="shared" si="39"/>
        <v>NA</v>
      </c>
      <c r="IK13" s="930">
        <f t="shared" si="40"/>
        <v>0</v>
      </c>
      <c r="IM13" s="32">
        <f t="shared" si="41"/>
        <v>0</v>
      </c>
      <c r="IN13" s="929">
        <f t="shared" si="22"/>
        <v>0</v>
      </c>
      <c r="IP13" s="929" t="str">
        <f t="shared" ref="IP13:IU13" si="44">+IFERROR(HW13/HV13-1,"")</f>
        <v/>
      </c>
      <c r="IQ13" s="929" t="str">
        <f t="shared" si="44"/>
        <v/>
      </c>
      <c r="IR13" s="929" t="str">
        <f t="shared" si="44"/>
        <v/>
      </c>
      <c r="IS13" s="929" t="str">
        <f t="shared" si="44"/>
        <v/>
      </c>
      <c r="IT13" s="929" t="str">
        <f t="shared" si="44"/>
        <v/>
      </c>
      <c r="IU13" s="929" t="str">
        <f t="shared" si="44"/>
        <v/>
      </c>
      <c r="IV13" s="929" t="str">
        <f>+IFERROR(IE13/IB13-1,"")</f>
        <v/>
      </c>
      <c r="IX13" s="102">
        <f t="shared" si="24"/>
        <v>0</v>
      </c>
      <c r="IY13" s="102">
        <f t="shared" si="24"/>
        <v>0</v>
      </c>
      <c r="IZ13" s="102">
        <f t="shared" si="24"/>
        <v>0</v>
      </c>
      <c r="JA13" s="102">
        <f t="shared" si="24"/>
        <v>0</v>
      </c>
      <c r="JB13" s="102">
        <f t="shared" si="24"/>
        <v>0</v>
      </c>
      <c r="JC13" s="102">
        <f t="shared" si="24"/>
        <v>0</v>
      </c>
      <c r="JD13" s="102">
        <f t="shared" si="25"/>
        <v>0</v>
      </c>
      <c r="JF13" s="32">
        <f t="shared" si="26"/>
        <v>0</v>
      </c>
      <c r="JG13" s="32">
        <f t="shared" si="26"/>
        <v>0</v>
      </c>
      <c r="JH13" s="32">
        <f t="shared" si="26"/>
        <v>0</v>
      </c>
      <c r="JI13" s="32">
        <f t="shared" si="26"/>
        <v>0</v>
      </c>
      <c r="JJ13" s="32">
        <f t="shared" si="26"/>
        <v>0</v>
      </c>
      <c r="JK13" s="32">
        <f t="shared" si="26"/>
        <v>0</v>
      </c>
      <c r="JL13" s="32">
        <f t="shared" si="26"/>
        <v>0</v>
      </c>
      <c r="JM13" s="32">
        <f t="shared" ref="JM13:JM19" si="45">+IE13/IE$11</f>
        <v>0</v>
      </c>
      <c r="JO13" s="102">
        <f t="shared" si="27"/>
        <v>0</v>
      </c>
      <c r="JP13" s="102">
        <f t="shared" si="27"/>
        <v>0</v>
      </c>
      <c r="JQ13" s="102">
        <f t="shared" si="27"/>
        <v>0</v>
      </c>
      <c r="JR13" s="102">
        <f t="shared" si="27"/>
        <v>0</v>
      </c>
      <c r="JS13" s="102">
        <f t="shared" si="27"/>
        <v>0</v>
      </c>
      <c r="JT13" s="102">
        <f t="shared" si="28"/>
        <v>0</v>
      </c>
      <c r="JU13" s="102">
        <f t="shared" si="29"/>
        <v>0</v>
      </c>
      <c r="JV13" s="102">
        <f t="shared" si="29"/>
        <v>0</v>
      </c>
      <c r="JW13" s="102">
        <f t="shared" si="30"/>
        <v>0</v>
      </c>
      <c r="JX13" s="102">
        <f t="shared" si="42"/>
        <v>0</v>
      </c>
      <c r="JY13" s="102">
        <f t="shared" si="31"/>
        <v>0</v>
      </c>
      <c r="KB13" s="32" t="str">
        <f t="shared" si="32"/>
        <v xml:space="preserve"> </v>
      </c>
      <c r="KC13" s="32" t="str">
        <f t="shared" si="32"/>
        <v xml:space="preserve"> </v>
      </c>
      <c r="KD13" s="32" t="str">
        <f t="shared" si="32"/>
        <v xml:space="preserve"> </v>
      </c>
      <c r="KE13" s="32" t="str">
        <f t="shared" si="32"/>
        <v xml:space="preserve"> </v>
      </c>
      <c r="KF13" s="32" t="str">
        <f t="shared" si="32"/>
        <v xml:space="preserve"> </v>
      </c>
      <c r="KG13" s="32" t="str">
        <f t="shared" si="32"/>
        <v xml:space="preserve"> </v>
      </c>
      <c r="KH13" s="32" t="str">
        <f t="shared" si="33"/>
        <v xml:space="preserve"> </v>
      </c>
      <c r="KJ13" s="102">
        <f t="shared" si="34"/>
        <v>0</v>
      </c>
      <c r="KK13" s="102">
        <f t="shared" si="34"/>
        <v>0</v>
      </c>
      <c r="KL13" s="102">
        <f t="shared" si="34"/>
        <v>0</v>
      </c>
      <c r="KM13" s="102">
        <f t="shared" si="34"/>
        <v>0</v>
      </c>
      <c r="KN13" s="102">
        <f t="shared" si="34"/>
        <v>0</v>
      </c>
      <c r="KO13" s="102">
        <f t="shared" si="34"/>
        <v>0</v>
      </c>
      <c r="KP13" s="102">
        <f t="shared" si="35"/>
        <v>0</v>
      </c>
      <c r="KR13" s="32">
        <f t="shared" si="36"/>
        <v>0</v>
      </c>
      <c r="KS13" s="32">
        <f t="shared" si="36"/>
        <v>0</v>
      </c>
      <c r="KT13" s="32">
        <f t="shared" si="36"/>
        <v>0</v>
      </c>
      <c r="KU13" s="32">
        <f t="shared" si="36"/>
        <v>0</v>
      </c>
      <c r="KV13" s="32">
        <f t="shared" si="36"/>
        <v>0</v>
      </c>
      <c r="KW13" s="32">
        <f t="shared" si="36"/>
        <v>0</v>
      </c>
      <c r="KX13" s="32">
        <f t="shared" si="36"/>
        <v>0</v>
      </c>
      <c r="KY13" s="32">
        <f t="shared" si="36"/>
        <v>0</v>
      </c>
      <c r="KZ13" s="32">
        <f t="shared" ref="KZ13:KZ80" si="46">+JY13/JY$11</f>
        <v>0</v>
      </c>
    </row>
    <row r="14" spans="1:325" outlineLevel="1">
      <c r="A14" s="884"/>
      <c r="B14" s="70"/>
      <c r="C14" s="186" t="s">
        <v>62</v>
      </c>
      <c r="D14" s="307" t="s">
        <v>59</v>
      </c>
      <c r="E14" s="931">
        <v>29.963596299999999</v>
      </c>
      <c r="F14" s="931">
        <v>201.21474589999997</v>
      </c>
      <c r="G14" s="931">
        <v>49.825407770000027</v>
      </c>
      <c r="H14" s="931">
        <v>66.67253359999998</v>
      </c>
      <c r="I14" s="931">
        <v>282.95421415000004</v>
      </c>
      <c r="J14" s="931">
        <v>100.57610596000004</v>
      </c>
      <c r="K14" s="931">
        <v>232.43263087999998</v>
      </c>
      <c r="L14" s="931">
        <v>198.41426088</v>
      </c>
      <c r="M14" s="931">
        <v>-311.40736439</v>
      </c>
      <c r="N14" s="931">
        <v>186.84046110000003</v>
      </c>
      <c r="O14" s="931">
        <v>95.844217549999826</v>
      </c>
      <c r="P14" s="931">
        <v>157.20168200000012</v>
      </c>
      <c r="Q14" s="931">
        <v>204.84500191000001</v>
      </c>
      <c r="R14" s="931">
        <v>283.91932955000004</v>
      </c>
      <c r="S14" s="931">
        <v>218.43218624999997</v>
      </c>
      <c r="T14" s="931">
        <v>181.27615864999999</v>
      </c>
      <c r="U14" s="931">
        <v>429.00160346000007</v>
      </c>
      <c r="V14" s="931">
        <v>208.39075784999997</v>
      </c>
      <c r="W14" s="931">
        <v>228.02878009999995</v>
      </c>
      <c r="X14" s="931">
        <v>296.07487835999984</v>
      </c>
      <c r="Y14" s="931">
        <v>-10.519284889999852</v>
      </c>
      <c r="Z14" s="931">
        <v>264.79051543000014</v>
      </c>
      <c r="AA14" s="931">
        <v>356.17090973000023</v>
      </c>
      <c r="AB14" s="931">
        <v>537.09403798999961</v>
      </c>
      <c r="AC14" s="931">
        <v>46.899689780000003</v>
      </c>
      <c r="AD14" s="931">
        <v>206.49205558000006</v>
      </c>
      <c r="AE14" s="931">
        <v>236.25385187000001</v>
      </c>
      <c r="AF14" s="931">
        <v>236.93817516000001</v>
      </c>
      <c r="AG14" s="931">
        <v>359.89839634000003</v>
      </c>
      <c r="AH14" s="931">
        <v>453.14067794000005</v>
      </c>
      <c r="AI14" s="931">
        <v>242.48395712000001</v>
      </c>
      <c r="AJ14" s="931">
        <v>223.09842925000001</v>
      </c>
      <c r="AK14" s="931">
        <v>317.03629140999999</v>
      </c>
      <c r="AL14" s="931">
        <v>151.91613279000006</v>
      </c>
      <c r="AM14" s="931">
        <v>334.90081186999998</v>
      </c>
      <c r="AN14" s="931">
        <f>+AN15+AN19</f>
        <v>197.99900993000006</v>
      </c>
      <c r="AO14" s="931">
        <f>+AO15+AO19</f>
        <v>162.86367316000005</v>
      </c>
      <c r="AP14" s="932">
        <f t="shared" ref="AP14:DA14" si="47">+AP15+AP19</f>
        <v>111.88266409999999</v>
      </c>
      <c r="AQ14" s="931">
        <f t="shared" si="47"/>
        <v>153.14287335</v>
      </c>
      <c r="AR14" s="931">
        <f t="shared" si="47"/>
        <v>314.46857468999997</v>
      </c>
      <c r="AS14" s="931">
        <f t="shared" si="47"/>
        <v>299.26435413999997</v>
      </c>
      <c r="AT14" s="931">
        <f t="shared" si="47"/>
        <v>232.49819250000002</v>
      </c>
      <c r="AU14" s="931">
        <f t="shared" si="47"/>
        <v>269.78053348000003</v>
      </c>
      <c r="AV14" s="931">
        <f t="shared" si="47"/>
        <v>227.81213316</v>
      </c>
      <c r="AW14" s="931">
        <f t="shared" si="47"/>
        <v>337.03422603000001</v>
      </c>
      <c r="AX14" s="931">
        <f t="shared" si="47"/>
        <v>277.43313392000005</v>
      </c>
      <c r="AY14" s="931">
        <f t="shared" si="47"/>
        <v>184.58633197999998</v>
      </c>
      <c r="AZ14" s="931">
        <f t="shared" si="47"/>
        <v>189.13391507</v>
      </c>
      <c r="BA14" s="931">
        <f t="shared" si="47"/>
        <v>158.03843375</v>
      </c>
      <c r="BB14" s="931">
        <f t="shared" si="47"/>
        <v>119.92221204000001</v>
      </c>
      <c r="BC14" s="931">
        <f t="shared" si="47"/>
        <v>102.73222150000001</v>
      </c>
      <c r="BD14" s="931">
        <f t="shared" si="47"/>
        <v>51.173142669999997</v>
      </c>
      <c r="BE14" s="931">
        <f t="shared" si="47"/>
        <v>148.98783923999997</v>
      </c>
      <c r="BF14" s="931">
        <f t="shared" si="47"/>
        <v>101.39463376000002</v>
      </c>
      <c r="BG14" s="931">
        <f t="shared" si="47"/>
        <v>50.87626010000001</v>
      </c>
      <c r="BH14" s="931">
        <f t="shared" si="47"/>
        <v>25.381106849999998</v>
      </c>
      <c r="BI14" s="931">
        <f t="shared" si="47"/>
        <v>28.168167700000005</v>
      </c>
      <c r="BJ14" s="931">
        <f t="shared" si="47"/>
        <v>37.156372879999999</v>
      </c>
      <c r="BK14" s="931">
        <f t="shared" si="47"/>
        <v>44.916470720000007</v>
      </c>
      <c r="BL14" s="931">
        <f t="shared" si="47"/>
        <v>81.187909579999996</v>
      </c>
      <c r="BM14" s="933">
        <f t="shared" si="47"/>
        <v>54.079572040000002</v>
      </c>
      <c r="BN14" s="933">
        <f t="shared" si="47"/>
        <v>96.603844110000011</v>
      </c>
      <c r="BO14" s="933">
        <f t="shared" si="47"/>
        <v>71.11482341</v>
      </c>
      <c r="BP14" s="933">
        <f t="shared" si="47"/>
        <v>65.362720350000004</v>
      </c>
      <c r="BQ14" s="931">
        <f t="shared" si="47"/>
        <v>44.347158050000004</v>
      </c>
      <c r="BR14" s="931">
        <f t="shared" si="47"/>
        <v>106.95476609000001</v>
      </c>
      <c r="BS14" s="931">
        <f t="shared" si="47"/>
        <v>28.278591170000013</v>
      </c>
      <c r="BT14" s="931">
        <f t="shared" si="47"/>
        <v>89.025548180000001</v>
      </c>
      <c r="BU14" s="931">
        <f t="shared" si="47"/>
        <v>67.519097080000009</v>
      </c>
      <c r="BV14" s="931">
        <f t="shared" si="47"/>
        <v>147.37498651999999</v>
      </c>
      <c r="BW14" s="931">
        <f t="shared" si="47"/>
        <v>121.17986901</v>
      </c>
      <c r="BX14" s="931">
        <f t="shared" si="47"/>
        <v>84.319777220000006</v>
      </c>
      <c r="BY14" s="931">
        <f t="shared" si="47"/>
        <v>58.687500220000004</v>
      </c>
      <c r="BZ14" s="931">
        <f t="shared" si="47"/>
        <v>74.212561059999999</v>
      </c>
      <c r="CA14" s="931">
        <f t="shared" si="47"/>
        <v>40.486042579999989</v>
      </c>
      <c r="CB14" s="931">
        <f t="shared" si="47"/>
        <v>66.923267109999998</v>
      </c>
      <c r="CC14" s="931">
        <f t="shared" si="47"/>
        <v>32.40238154</v>
      </c>
      <c r="CD14" s="931">
        <f t="shared" si="47"/>
        <v>104.95149977999999</v>
      </c>
      <c r="CE14" s="931">
        <f t="shared" si="47"/>
        <v>64.693413770000006</v>
      </c>
      <c r="CF14" s="931">
        <f t="shared" si="47"/>
        <v>59.889336599999993</v>
      </c>
      <c r="CG14" s="931">
        <f t="shared" si="47"/>
        <v>102.16138454000001</v>
      </c>
      <c r="CH14" s="931">
        <f t="shared" si="47"/>
        <v>92.936277059999995</v>
      </c>
      <c r="CI14" s="931">
        <f t="shared" si="47"/>
        <v>122.43060696000001</v>
      </c>
      <c r="CJ14" s="931">
        <f t="shared" si="47"/>
        <v>103.91089405</v>
      </c>
      <c r="CK14" s="931">
        <f t="shared" si="47"/>
        <v>87.45927365</v>
      </c>
      <c r="CL14" s="931">
        <f t="shared" si="47"/>
        <v>122.73331635999998</v>
      </c>
      <c r="CM14" s="931">
        <f t="shared" si="47"/>
        <v>153.0486889</v>
      </c>
      <c r="CN14" s="931">
        <f t="shared" si="47"/>
        <v>77.524837779999999</v>
      </c>
      <c r="CO14" s="931">
        <f t="shared" si="47"/>
        <v>183.12443540000001</v>
      </c>
      <c r="CP14" s="931">
        <f>+CP15+CP19</f>
        <v>-92.719572230000011</v>
      </c>
      <c r="CQ14" s="931">
        <f t="shared" si="47"/>
        <v>74.924529460000002</v>
      </c>
      <c r="CR14" s="931">
        <f t="shared" si="47"/>
        <v>-20.040000769999981</v>
      </c>
      <c r="CS14" s="931">
        <f t="shared" si="47"/>
        <v>68.826605159999986</v>
      </c>
      <c r="CT14" s="931">
        <f t="shared" si="47"/>
        <v>188.20175842999996</v>
      </c>
      <c r="CU14" s="931">
        <f t="shared" si="47"/>
        <v>137.66160206000001</v>
      </c>
      <c r="CV14" s="931">
        <f t="shared" si="47"/>
        <v>52.33944996999999</v>
      </c>
      <c r="CW14" s="931">
        <f t="shared" si="47"/>
        <v>115.47083065000001</v>
      </c>
      <c r="CX14" s="931">
        <f t="shared" si="47"/>
        <v>19.960506999999993</v>
      </c>
      <c r="CY14" s="931">
        <f t="shared" si="47"/>
        <v>129.31776682</v>
      </c>
      <c r="CZ14" s="931">
        <f t="shared" si="47"/>
        <v>15.865366109999993</v>
      </c>
      <c r="DA14" s="931">
        <f t="shared" si="47"/>
        <v>39.844023440000001</v>
      </c>
      <c r="DB14" s="931">
        <f t="shared" ref="DB14:DG14" si="48">+DB15+DB19</f>
        <v>-4.3558498099999996</v>
      </c>
      <c r="DC14" s="931">
        <f t="shared" si="48"/>
        <v>54.464810820000004</v>
      </c>
      <c r="DD14" s="931">
        <f t="shared" si="48"/>
        <v>15.888532070000004</v>
      </c>
      <c r="DE14" s="931">
        <f t="shared" si="48"/>
        <v>80.865109969999992</v>
      </c>
      <c r="DF14" s="931">
        <f t="shared" si="48"/>
        <v>102.52638590999999</v>
      </c>
      <c r="DG14" s="931">
        <f t="shared" si="48"/>
        <v>20.193849209999996</v>
      </c>
      <c r="DH14" s="931">
        <f>+DH15+DH19</f>
        <v>94.836830419999998</v>
      </c>
      <c r="DJ14" s="933"/>
      <c r="DK14" s="933"/>
      <c r="DL14" s="933"/>
      <c r="DM14" s="933"/>
      <c r="DN14" s="933"/>
      <c r="DO14" s="933"/>
      <c r="DP14" s="933"/>
      <c r="DQ14" s="933"/>
      <c r="DR14" s="933"/>
      <c r="DS14" s="933"/>
      <c r="DT14" s="933"/>
      <c r="DU14" s="933"/>
      <c r="DW14" s="931">
        <v>463.45113157512446</v>
      </c>
      <c r="DX14" s="931">
        <v>283.93192798091508</v>
      </c>
      <c r="DY14" s="931">
        <v>343.57460592498865</v>
      </c>
      <c r="DZ14" s="931">
        <v>454.4537459249886</v>
      </c>
      <c r="EA14" s="931">
        <v>364.80895592498865</v>
      </c>
      <c r="EB14" s="931">
        <v>396.12809592498866</v>
      </c>
      <c r="EC14" s="931">
        <v>388.35513029498867</v>
      </c>
      <c r="ED14" s="931">
        <v>484.45427029498865</v>
      </c>
      <c r="EE14" s="931">
        <v>374.97513029498862</v>
      </c>
      <c r="EF14" s="931">
        <v>411.27427029498864</v>
      </c>
      <c r="EG14" s="931">
        <v>349.77513029498868</v>
      </c>
      <c r="EH14" s="931">
        <v>467.47427029498863</v>
      </c>
      <c r="EI14" s="931"/>
      <c r="EJ14" s="931"/>
      <c r="EK14" s="931"/>
      <c r="EL14" s="931"/>
      <c r="EM14" s="931"/>
      <c r="EN14" s="931"/>
      <c r="EO14" s="931"/>
      <c r="EP14" s="931"/>
      <c r="EQ14" s="931"/>
      <c r="ER14" s="931"/>
      <c r="ES14" s="931"/>
      <c r="ET14" s="931"/>
      <c r="EU14" s="931"/>
      <c r="EV14" s="931"/>
      <c r="EW14" s="931"/>
      <c r="EX14" s="931"/>
      <c r="EY14" s="931"/>
      <c r="EZ14" s="931"/>
      <c r="FA14" s="931"/>
      <c r="FB14" s="931"/>
      <c r="FC14" s="931"/>
      <c r="FD14" s="931"/>
      <c r="FE14" s="931"/>
      <c r="FF14" s="931"/>
      <c r="FG14" s="933"/>
      <c r="FH14" s="933"/>
      <c r="FI14" s="933"/>
      <c r="FJ14" s="933"/>
      <c r="FK14" s="933"/>
      <c r="FL14" s="933"/>
      <c r="FM14" s="933"/>
      <c r="FN14" s="933"/>
      <c r="FO14" s="933"/>
      <c r="FP14" s="933"/>
      <c r="FQ14" s="933"/>
      <c r="FR14" s="933"/>
      <c r="FS14" s="933"/>
      <c r="FT14" s="933"/>
      <c r="FU14" s="933"/>
      <c r="FV14" s="933"/>
      <c r="FW14" s="933"/>
      <c r="FX14" s="933"/>
      <c r="FY14" s="933"/>
      <c r="FZ14" s="933"/>
      <c r="GA14" s="933"/>
      <c r="GB14" s="933"/>
      <c r="GC14" s="933"/>
      <c r="GD14" s="933"/>
      <c r="GF14" s="931">
        <f t="shared" si="5"/>
        <v>1290.5324917</v>
      </c>
      <c r="GG14" s="931">
        <f t="shared" si="5"/>
        <v>3197.5048743900006</v>
      </c>
      <c r="GH14" s="931">
        <f t="shared" si="5"/>
        <v>3007.0574790400005</v>
      </c>
      <c r="GI14" s="931">
        <f t="shared" si="5"/>
        <v>2759.9006055800005</v>
      </c>
      <c r="GJ14" s="931">
        <f t="shared" si="43"/>
        <v>949.93477079000013</v>
      </c>
      <c r="GK14" s="931">
        <f t="shared" si="37"/>
        <v>976.16075323000007</v>
      </c>
      <c r="GL14" s="931">
        <f t="shared" si="38"/>
        <v>923.68516526999997</v>
      </c>
      <c r="GM14" s="931">
        <f t="shared" si="6"/>
        <v>1033.08492417</v>
      </c>
      <c r="GN14" s="931">
        <f t="shared" si="7"/>
        <v>0</v>
      </c>
      <c r="GO14" s="931">
        <v>684.87816261</v>
      </c>
      <c r="GQ14" s="934">
        <f t="shared" si="8"/>
        <v>-5.9561252548937071E-2</v>
      </c>
      <c r="GR14" s="934">
        <f t="shared" si="8"/>
        <v>-8.2192267751032388E-2</v>
      </c>
      <c r="GS14" s="934">
        <f t="shared" si="8"/>
        <v>-0.65580834002883637</v>
      </c>
      <c r="GT14" s="934">
        <f t="shared" si="8"/>
        <v>2.7608192948016308E-2</v>
      </c>
      <c r="GU14" s="934">
        <f t="shared" si="8"/>
        <v>-5.3757117141172261E-2</v>
      </c>
      <c r="GV14" s="934">
        <f t="shared" si="8"/>
        <v>0.11843836299787469</v>
      </c>
      <c r="GW14" s="934">
        <f t="shared" si="8"/>
        <v>-1</v>
      </c>
      <c r="GX14" s="934" t="str">
        <f t="shared" si="8"/>
        <v/>
      </c>
      <c r="GY14" s="934">
        <f t="shared" si="9"/>
        <v>-0.33705531211749695</v>
      </c>
      <c r="HA14" s="931">
        <f t="shared" si="10"/>
        <v>-190.44739535000008</v>
      </c>
      <c r="HB14" s="931">
        <f t="shared" si="10"/>
        <v>-247.15687346000004</v>
      </c>
      <c r="HC14" s="931">
        <f t="shared" si="10"/>
        <v>-1809.9658347900004</v>
      </c>
      <c r="HD14" s="931">
        <f t="shared" si="10"/>
        <v>26.225982439999939</v>
      </c>
      <c r="HE14" s="931">
        <f t="shared" si="10"/>
        <v>-52.475587960000098</v>
      </c>
      <c r="HF14" s="931">
        <f t="shared" si="10"/>
        <v>109.39975890000005</v>
      </c>
      <c r="HG14" s="931">
        <f t="shared" si="10"/>
        <v>-1033.08492417</v>
      </c>
      <c r="HH14" s="931">
        <f t="shared" si="10"/>
        <v>684.87816261</v>
      </c>
      <c r="HI14" s="931">
        <f t="shared" si="11"/>
        <v>-348.20676156000002</v>
      </c>
      <c r="HK14" s="230">
        <f t="shared" si="12"/>
        <v>8.6994436191424163E-2</v>
      </c>
      <c r="HL14" s="230">
        <f t="shared" si="12"/>
        <v>7.6354236594254679E-2</v>
      </c>
      <c r="HM14" s="230">
        <f t="shared" si="12"/>
        <v>0.16376527041972511</v>
      </c>
      <c r="HN14" s="230">
        <f t="shared" si="12"/>
        <v>0.15441005084070755</v>
      </c>
      <c r="HO14" s="230">
        <f t="shared" si="12"/>
        <v>7.16247711971114E-2</v>
      </c>
      <c r="HP14" s="230">
        <f t="shared" si="12"/>
        <v>6.5275640859751113E-2</v>
      </c>
      <c r="HQ14" s="230">
        <f t="shared" si="12"/>
        <v>4.8663047973297235E-2</v>
      </c>
      <c r="HR14" s="230">
        <f t="shared" si="13"/>
        <v>0</v>
      </c>
      <c r="HS14" s="230">
        <f t="shared" si="13"/>
        <v>5.4269752980279626E-2</v>
      </c>
      <c r="HU14" s="931">
        <f t="shared" si="14"/>
        <v>731.20660368000006</v>
      </c>
      <c r="HV14" s="931">
        <f t="shared" si="14"/>
        <v>1525.86503767</v>
      </c>
      <c r="HW14" s="931">
        <f t="shared" si="14"/>
        <v>1539.6228466700004</v>
      </c>
      <c r="HX14" s="931">
        <f t="shared" si="14"/>
        <v>1274.1203319399999</v>
      </c>
      <c r="HY14" s="931">
        <f t="shared" si="14"/>
        <v>682.24848296000005</v>
      </c>
      <c r="HZ14" s="931">
        <f t="shared" si="14"/>
        <v>438.46288405000007</v>
      </c>
      <c r="IA14" s="931">
        <f t="shared" si="15"/>
        <v>377.66325229</v>
      </c>
      <c r="IB14" s="931">
        <f t="shared" si="16"/>
        <v>531.17097985999999</v>
      </c>
      <c r="IC14" s="931">
        <f t="shared" si="17"/>
        <v>316.10264420999999</v>
      </c>
      <c r="ID14" s="931">
        <f t="shared" si="18"/>
        <v>0</v>
      </c>
      <c r="IE14" s="931">
        <f t="shared" si="19"/>
        <v>0</v>
      </c>
      <c r="IF14" s="922">
        <f t="shared" si="20"/>
        <v>-0.40489473974403734</v>
      </c>
      <c r="IG14" s="931">
        <f t="shared" si="21"/>
        <v>316.10264420999999</v>
      </c>
      <c r="IH14" s="931">
        <f t="shared" si="21"/>
        <v>0</v>
      </c>
      <c r="II14" s="145"/>
      <c r="IJ14" s="934" t="str">
        <f t="shared" si="39"/>
        <v>NA</v>
      </c>
      <c r="IK14" s="935">
        <f t="shared" si="40"/>
        <v>316.10264420999999</v>
      </c>
      <c r="IM14" s="230">
        <f t="shared" si="41"/>
        <v>4.8611849355341415E-2</v>
      </c>
      <c r="IN14" s="934">
        <f t="shared" si="22"/>
        <v>0</v>
      </c>
      <c r="IP14" s="230">
        <f t="shared" si="23"/>
        <v>9.0163996555086001E-3</v>
      </c>
      <c r="IQ14" s="230">
        <f t="shared" si="23"/>
        <v>-0.17244646330381963</v>
      </c>
      <c r="IR14" s="230">
        <f t="shared" si="23"/>
        <v>-0.46453371329441429</v>
      </c>
      <c r="IS14" s="230">
        <f t="shared" si="23"/>
        <v>-0.35732669987379517</v>
      </c>
      <c r="IT14" s="230">
        <f t="shared" si="23"/>
        <v>-0.13866540127274896</v>
      </c>
      <c r="IU14" s="230">
        <f t="shared" si="23"/>
        <v>0.40646720759615906</v>
      </c>
      <c r="IV14" s="230">
        <f>+IFERROR(IE14/IB14-1,"NA")</f>
        <v>-1</v>
      </c>
      <c r="IX14" s="931">
        <f t="shared" si="24"/>
        <v>13.757809000000407</v>
      </c>
      <c r="IY14" s="931">
        <f t="shared" si="24"/>
        <v>-265.50251473000048</v>
      </c>
      <c r="IZ14" s="931">
        <f t="shared" si="24"/>
        <v>-591.87184897999987</v>
      </c>
      <c r="JA14" s="931">
        <f t="shared" si="24"/>
        <v>-243.78559890999998</v>
      </c>
      <c r="JB14" s="931">
        <f t="shared" si="24"/>
        <v>-60.799631760000068</v>
      </c>
      <c r="JC14" s="931">
        <f t="shared" si="24"/>
        <v>153.50772756999999</v>
      </c>
      <c r="JD14" s="931">
        <f t="shared" si="25"/>
        <v>-531.17097985999999</v>
      </c>
      <c r="JF14" s="230">
        <f t="shared" si="26"/>
        <v>4.5715653595315299E-2</v>
      </c>
      <c r="JG14" s="230">
        <f t="shared" si="26"/>
        <v>8.9486573794754526E-2</v>
      </c>
      <c r="JH14" s="230">
        <f t="shared" si="26"/>
        <v>9.4715300398401397E-2</v>
      </c>
      <c r="JI14" s="230">
        <f t="shared" si="26"/>
        <v>0.13621020676927106</v>
      </c>
      <c r="JJ14" s="230">
        <f t="shared" si="26"/>
        <v>0.33999799093387412</v>
      </c>
      <c r="JK14" s="230">
        <f t="shared" si="26"/>
        <v>6.3167129076315817E-2</v>
      </c>
      <c r="JL14" s="230">
        <f t="shared" si="26"/>
        <v>7.1399275470812429E-2</v>
      </c>
      <c r="JM14" s="230">
        <f t="shared" si="45"/>
        <v>0</v>
      </c>
      <c r="JO14" s="931">
        <f t="shared" si="27"/>
        <v>100.57610596000004</v>
      </c>
      <c r="JP14" s="931">
        <f t="shared" si="27"/>
        <v>208.39075784999997</v>
      </c>
      <c r="JQ14" s="931">
        <f t="shared" si="27"/>
        <v>453.14067794000005</v>
      </c>
      <c r="JR14" s="931">
        <f t="shared" si="27"/>
        <v>232.49819250000002</v>
      </c>
      <c r="JS14" s="931">
        <f t="shared" si="27"/>
        <v>101.39463376000002</v>
      </c>
      <c r="JT14" s="931">
        <f t="shared" si="28"/>
        <v>106.95476609000001</v>
      </c>
      <c r="JU14" s="931">
        <f t="shared" si="29"/>
        <v>104.95149977999999</v>
      </c>
      <c r="JV14" s="931">
        <f t="shared" si="29"/>
        <v>-92.719572230000011</v>
      </c>
      <c r="JW14" s="931">
        <f t="shared" si="30"/>
        <v>-4.3558498099999996</v>
      </c>
      <c r="JX14" s="931">
        <f t="shared" si="42"/>
        <v>0</v>
      </c>
      <c r="JY14" s="931">
        <f t="shared" si="31"/>
        <v>0</v>
      </c>
      <c r="KB14" s="230">
        <f t="shared" si="32"/>
        <v>1.1744758866233957</v>
      </c>
      <c r="KC14" s="230">
        <f t="shared" si="32"/>
        <v>-0.48691829310723478</v>
      </c>
      <c r="KD14" s="230">
        <f t="shared" si="32"/>
        <v>-0.56389065794565263</v>
      </c>
      <c r="KE14" s="230">
        <f t="shared" si="32"/>
        <v>5.4836554202274179E-2</v>
      </c>
      <c r="KF14" s="230">
        <f t="shared" si="32"/>
        <v>-1.8730033108709798E-2</v>
      </c>
      <c r="KG14" s="230">
        <f t="shared" si="32"/>
        <v>-1.8834516174076539</v>
      </c>
      <c r="KH14" s="230">
        <f t="shared" si="33"/>
        <v>-1</v>
      </c>
      <c r="KJ14" s="931">
        <f t="shared" si="34"/>
        <v>244.74992009000007</v>
      </c>
      <c r="KK14" s="931">
        <f t="shared" si="34"/>
        <v>-220.64248544000003</v>
      </c>
      <c r="KL14" s="931">
        <f t="shared" si="34"/>
        <v>-131.10355873999998</v>
      </c>
      <c r="KM14" s="931">
        <f t="shared" si="34"/>
        <v>5.5601323299999876</v>
      </c>
      <c r="KN14" s="931">
        <f t="shared" si="34"/>
        <v>-2.003266310000015</v>
      </c>
      <c r="KO14" s="931">
        <f t="shared" si="34"/>
        <v>-197.67107200999999</v>
      </c>
      <c r="KP14" s="931">
        <f t="shared" si="35"/>
        <v>92.719572230000011</v>
      </c>
      <c r="KR14" s="230">
        <f t="shared" si="36"/>
        <v>3.1372941062692804E-2</v>
      </c>
      <c r="KS14" s="230">
        <f t="shared" si="36"/>
        <v>6.1961204339882496E-2</v>
      </c>
      <c r="KT14" s="230">
        <f t="shared" si="36"/>
        <v>0.18061091200802301</v>
      </c>
      <c r="KU14" s="230">
        <f t="shared" si="36"/>
        <v>0.25987120100097177</v>
      </c>
      <c r="KV14" s="230">
        <f t="shared" si="36"/>
        <v>0.32493699342624655</v>
      </c>
      <c r="KW14" s="230">
        <f t="shared" si="36"/>
        <v>0.10547585889161835</v>
      </c>
      <c r="KX14" s="230">
        <f t="shared" si="36"/>
        <v>0.11965083934025382</v>
      </c>
      <c r="KY14" s="230">
        <f t="shared" si="36"/>
        <v>-6.0596478245056373E-2</v>
      </c>
      <c r="KZ14" s="230">
        <f t="shared" si="46"/>
        <v>0</v>
      </c>
    </row>
    <row r="15" spans="1:325" outlineLevel="2">
      <c r="A15" s="884"/>
      <c r="B15" s="70"/>
      <c r="C15" s="29" t="s">
        <v>385</v>
      </c>
      <c r="D15" s="31" t="s">
        <v>59</v>
      </c>
      <c r="E15" s="102">
        <v>29.963596299999999</v>
      </c>
      <c r="F15" s="102">
        <v>63.195764299999986</v>
      </c>
      <c r="G15" s="102">
        <v>49.825407770000027</v>
      </c>
      <c r="H15" s="102">
        <v>66.67253359999998</v>
      </c>
      <c r="I15" s="102">
        <v>62.695531750000001</v>
      </c>
      <c r="J15" s="102">
        <v>79.853098760000051</v>
      </c>
      <c r="K15" s="102">
        <v>69.186141379999981</v>
      </c>
      <c r="L15" s="102">
        <v>87.758138000000002</v>
      </c>
      <c r="M15" s="102">
        <v>-311.40736439</v>
      </c>
      <c r="N15" s="102">
        <v>59.307500000000061</v>
      </c>
      <c r="O15" s="102">
        <v>26.819975549999867</v>
      </c>
      <c r="P15" s="102">
        <v>61.160349200000041</v>
      </c>
      <c r="Q15" s="102">
        <v>123.36986531000001</v>
      </c>
      <c r="R15" s="102">
        <v>283.91932955000004</v>
      </c>
      <c r="S15" s="102">
        <v>154.74517664999996</v>
      </c>
      <c r="T15" s="102">
        <v>140.58412024999998</v>
      </c>
      <c r="U15" s="102">
        <v>345.87208328000008</v>
      </c>
      <c r="V15" s="102">
        <v>208.39075784999997</v>
      </c>
      <c r="W15" s="102">
        <v>197.93486009999998</v>
      </c>
      <c r="X15" s="102">
        <v>200.12913755999983</v>
      </c>
      <c r="Y15" s="102">
        <v>21.966342790000141</v>
      </c>
      <c r="Z15" s="102">
        <v>185.28047383000012</v>
      </c>
      <c r="AA15" s="102">
        <v>294.73442973000022</v>
      </c>
      <c r="AB15" s="102">
        <v>399.60143078999948</v>
      </c>
      <c r="AC15" s="102">
        <v>46.899689780000003</v>
      </c>
      <c r="AD15" s="102">
        <v>140.29764058000004</v>
      </c>
      <c r="AE15" s="102">
        <v>180.25948586999999</v>
      </c>
      <c r="AF15" s="102">
        <v>233.06789516000001</v>
      </c>
      <c r="AG15" s="102">
        <v>363.76867634000001</v>
      </c>
      <c r="AH15" s="102">
        <v>248.00936704000003</v>
      </c>
      <c r="AI15" s="102">
        <v>193.68132212</v>
      </c>
      <c r="AJ15" s="102">
        <v>177.11067265</v>
      </c>
      <c r="AK15" s="102">
        <v>267.98764500999999</v>
      </c>
      <c r="AL15" s="102">
        <v>102.33455919000005</v>
      </c>
      <c r="AM15" s="102">
        <v>287.92078427000001</v>
      </c>
      <c r="AN15" s="102">
        <f>SUM(AN16:AN18)</f>
        <v>158.69680343000005</v>
      </c>
      <c r="AO15" s="102">
        <f>SUM(AO16:AO18)</f>
        <v>132.14797526000004</v>
      </c>
      <c r="AP15" s="145">
        <v>52.125833999999998</v>
      </c>
      <c r="AQ15" s="102">
        <v>96.029778749999991</v>
      </c>
      <c r="AR15" s="102">
        <v>242.68713698999997</v>
      </c>
      <c r="AS15" s="102">
        <v>235.32027363999998</v>
      </c>
      <c r="AT15" s="102">
        <v>153.98955530000001</v>
      </c>
      <c r="AU15" s="102">
        <v>181.05980428000001</v>
      </c>
      <c r="AV15" s="102">
        <v>98.074661959999986</v>
      </c>
      <c r="AW15" s="102">
        <v>279.39800202999999</v>
      </c>
      <c r="AX15" s="102">
        <v>128.31973792000002</v>
      </c>
      <c r="AY15" s="102">
        <v>126.14100418</v>
      </c>
      <c r="AZ15" s="102">
        <v>179.45848307</v>
      </c>
      <c r="BA15" s="102">
        <f t="shared" ref="BA15:DH15" si="49">SUM(BA16:BA18)</f>
        <v>76.486102549999998</v>
      </c>
      <c r="BB15" s="102">
        <f t="shared" si="49"/>
        <v>85.539812040000001</v>
      </c>
      <c r="BC15" s="102">
        <f t="shared" si="49"/>
        <v>33.075263100000001</v>
      </c>
      <c r="BD15" s="102">
        <f t="shared" si="49"/>
        <v>9.6187746700000005</v>
      </c>
      <c r="BE15" s="102">
        <f t="shared" si="49"/>
        <v>104.79179123999998</v>
      </c>
      <c r="BF15" s="102">
        <f t="shared" si="49"/>
        <v>55.011760960000004</v>
      </c>
      <c r="BG15" s="102">
        <f t="shared" si="49"/>
        <v>49.738454500000003</v>
      </c>
      <c r="BH15" s="102">
        <f t="shared" si="49"/>
        <v>25.381106849999998</v>
      </c>
      <c r="BI15" s="102">
        <f t="shared" si="49"/>
        <v>28.168167700000005</v>
      </c>
      <c r="BJ15" s="102">
        <f t="shared" si="49"/>
        <v>37.156372879999999</v>
      </c>
      <c r="BK15" s="102">
        <f t="shared" si="49"/>
        <v>44.916470720000007</v>
      </c>
      <c r="BL15" s="102">
        <f t="shared" si="49"/>
        <v>81.187909579999996</v>
      </c>
      <c r="BM15" s="146">
        <f t="shared" si="49"/>
        <v>54.079572040000002</v>
      </c>
      <c r="BN15" s="146">
        <f t="shared" si="49"/>
        <v>96.603844110000011</v>
      </c>
      <c r="BO15" s="146">
        <f t="shared" si="49"/>
        <v>71.11482341</v>
      </c>
      <c r="BP15" s="146">
        <f t="shared" si="49"/>
        <v>65.362720350000004</v>
      </c>
      <c r="BQ15" s="102">
        <f t="shared" si="49"/>
        <v>44.347158050000004</v>
      </c>
      <c r="BR15" s="102">
        <f t="shared" si="49"/>
        <v>106.95476609000001</v>
      </c>
      <c r="BS15" s="102">
        <f t="shared" si="49"/>
        <v>28.278591170000013</v>
      </c>
      <c r="BT15" s="102">
        <f t="shared" si="49"/>
        <v>89.025548180000001</v>
      </c>
      <c r="BU15" s="102">
        <f t="shared" si="49"/>
        <v>67.519097080000009</v>
      </c>
      <c r="BV15" s="102">
        <f t="shared" si="49"/>
        <v>147.37498651999999</v>
      </c>
      <c r="BW15" s="102">
        <f t="shared" si="49"/>
        <v>121.17986901</v>
      </c>
      <c r="BX15" s="102">
        <f t="shared" si="49"/>
        <v>84.319777220000006</v>
      </c>
      <c r="BY15" s="102">
        <f t="shared" si="49"/>
        <v>58.687500220000004</v>
      </c>
      <c r="BZ15" s="102">
        <f t="shared" si="49"/>
        <v>74.212561059999999</v>
      </c>
      <c r="CA15" s="102">
        <f t="shared" si="49"/>
        <v>40.486042579999989</v>
      </c>
      <c r="CB15" s="102">
        <f t="shared" si="49"/>
        <v>66.923267109999998</v>
      </c>
      <c r="CC15" s="102">
        <f t="shared" si="49"/>
        <v>32.40238154</v>
      </c>
      <c r="CD15" s="102">
        <f t="shared" si="49"/>
        <v>104.95149977999999</v>
      </c>
      <c r="CE15" s="102">
        <f t="shared" si="49"/>
        <v>64.693413770000006</v>
      </c>
      <c r="CF15" s="102">
        <f t="shared" si="49"/>
        <v>59.889336599999993</v>
      </c>
      <c r="CG15" s="102">
        <f t="shared" si="49"/>
        <v>102.16138454000001</v>
      </c>
      <c r="CH15" s="102">
        <f t="shared" si="49"/>
        <v>92.936277059999995</v>
      </c>
      <c r="CI15" s="102">
        <f t="shared" si="49"/>
        <v>122.43060696000001</v>
      </c>
      <c r="CJ15" s="102">
        <f t="shared" si="49"/>
        <v>103.91089405</v>
      </c>
      <c r="CK15" s="102">
        <f t="shared" si="49"/>
        <v>87.45927365</v>
      </c>
      <c r="CL15" s="102">
        <f t="shared" si="49"/>
        <v>122.73331635999998</v>
      </c>
      <c r="CM15" s="102">
        <f t="shared" si="49"/>
        <v>153.0486889</v>
      </c>
      <c r="CN15" s="102">
        <f t="shared" si="49"/>
        <v>77.524837779999999</v>
      </c>
      <c r="CO15" s="102">
        <f t="shared" si="49"/>
        <v>183.12443540000001</v>
      </c>
      <c r="CP15" s="102">
        <f>SUM(CP16:CP18)</f>
        <v>-92.719572230000011</v>
      </c>
      <c r="CQ15" s="102">
        <f t="shared" si="49"/>
        <v>74.924529460000002</v>
      </c>
      <c r="CR15" s="102">
        <f t="shared" si="49"/>
        <v>-20.040000769999981</v>
      </c>
      <c r="CS15" s="102">
        <f t="shared" si="49"/>
        <v>68.826605159999986</v>
      </c>
      <c r="CT15" s="102">
        <f t="shared" si="49"/>
        <v>185.95165636999997</v>
      </c>
      <c r="CU15" s="102">
        <f t="shared" si="49"/>
        <v>137.66160206000001</v>
      </c>
      <c r="CV15" s="102">
        <f t="shared" si="49"/>
        <v>52.33944996999999</v>
      </c>
      <c r="CW15" s="102">
        <f t="shared" si="49"/>
        <v>115.47083065000001</v>
      </c>
      <c r="CX15" s="102">
        <f>SUM(CX16:CX18)</f>
        <v>19.960506999999993</v>
      </c>
      <c r="CY15" s="102">
        <f t="shared" si="49"/>
        <v>129.31776682</v>
      </c>
      <c r="CZ15" s="102">
        <f t="shared" si="49"/>
        <v>15.865366109999993</v>
      </c>
      <c r="DA15" s="102">
        <f t="shared" si="49"/>
        <v>39.844023440000001</v>
      </c>
      <c r="DB15" s="102">
        <f t="shared" si="49"/>
        <v>-4.3558498099999996</v>
      </c>
      <c r="DC15" s="102">
        <f t="shared" si="49"/>
        <v>54.464810820000004</v>
      </c>
      <c r="DD15" s="102">
        <f t="shared" si="49"/>
        <v>15.888532070000004</v>
      </c>
      <c r="DE15" s="102">
        <f t="shared" si="49"/>
        <v>80.865109969999992</v>
      </c>
      <c r="DF15" s="102">
        <f t="shared" si="49"/>
        <v>102.52638590999999</v>
      </c>
      <c r="DG15" s="102">
        <f t="shared" si="49"/>
        <v>20.193849209999996</v>
      </c>
      <c r="DH15" s="102">
        <f t="shared" si="49"/>
        <v>94.836830419999998</v>
      </c>
      <c r="DJ15" s="102"/>
      <c r="DK15" s="102"/>
      <c r="DL15" s="102"/>
      <c r="DM15" s="102"/>
      <c r="DN15" s="102"/>
      <c r="DO15" s="102"/>
      <c r="DP15" s="102"/>
      <c r="DQ15" s="102"/>
      <c r="DR15" s="102"/>
      <c r="DS15" s="102"/>
      <c r="DT15" s="102"/>
      <c r="DU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F15" s="102">
        <f t="shared" si="5"/>
        <v>345.03067221999999</v>
      </c>
      <c r="GG15" s="102">
        <f t="shared" si="5"/>
        <v>2556.5280076899999</v>
      </c>
      <c r="GH15" s="102">
        <f t="shared" si="5"/>
        <v>2400.0345414399999</v>
      </c>
      <c r="GI15" s="102">
        <f t="shared" si="5"/>
        <v>1904.7522473800002</v>
      </c>
      <c r="GJ15" s="102">
        <f t="shared" si="43"/>
        <v>631.07198678999998</v>
      </c>
      <c r="GK15" s="102">
        <f t="shared" si="37"/>
        <v>976.16075323000007</v>
      </c>
      <c r="GL15" s="102">
        <f t="shared" si="38"/>
        <v>923.68516526999997</v>
      </c>
      <c r="GM15" s="102">
        <f t="shared" si="6"/>
        <v>1030.83482211</v>
      </c>
      <c r="GN15" s="102">
        <f t="shared" si="7"/>
        <v>0</v>
      </c>
      <c r="GO15" s="102">
        <v>684.87816261</v>
      </c>
      <c r="GQ15" s="929">
        <f t="shared" si="8"/>
        <v>-6.1213280581816409E-2</v>
      </c>
      <c r="GR15" s="929">
        <f t="shared" si="8"/>
        <v>-0.206364652469891</v>
      </c>
      <c r="GS15" s="929">
        <f t="shared" si="8"/>
        <v>-0.66868552712929263</v>
      </c>
      <c r="GT15" s="929">
        <f t="shared" si="8"/>
        <v>0.54682948009675214</v>
      </c>
      <c r="GU15" s="929">
        <f t="shared" si="8"/>
        <v>-5.3757117141172261E-2</v>
      </c>
      <c r="GV15" s="929">
        <f t="shared" si="8"/>
        <v>0.11600235758758703</v>
      </c>
      <c r="GW15" s="929">
        <f t="shared" si="8"/>
        <v>-1</v>
      </c>
      <c r="GX15" s="929" t="str">
        <f t="shared" si="8"/>
        <v/>
      </c>
      <c r="GY15" s="929">
        <f t="shared" si="9"/>
        <v>-0.33560823914724436</v>
      </c>
      <c r="HA15" s="102">
        <f t="shared" si="10"/>
        <v>-156.49346624999998</v>
      </c>
      <c r="HB15" s="102">
        <f t="shared" si="10"/>
        <v>-495.28229405999969</v>
      </c>
      <c r="HC15" s="102">
        <f t="shared" si="10"/>
        <v>-1273.6802605900002</v>
      </c>
      <c r="HD15" s="102">
        <f t="shared" si="10"/>
        <v>345.08876644000009</v>
      </c>
      <c r="HE15" s="102">
        <f t="shared" si="10"/>
        <v>-52.475587960000098</v>
      </c>
      <c r="HF15" s="102">
        <f t="shared" si="10"/>
        <v>107.14965684000003</v>
      </c>
      <c r="HG15" s="102">
        <f t="shared" si="10"/>
        <v>-1030.83482211</v>
      </c>
      <c r="HH15" s="102">
        <f t="shared" si="10"/>
        <v>684.87816261</v>
      </c>
      <c r="HI15" s="102">
        <f t="shared" si="11"/>
        <v>-345.9566595</v>
      </c>
      <c r="HK15" s="32">
        <f t="shared" si="12"/>
        <v>6.9555394400768564E-2</v>
      </c>
      <c r="HL15" s="32">
        <f t="shared" si="12"/>
        <v>6.0940905349769543E-2</v>
      </c>
      <c r="HM15" s="32">
        <f t="shared" si="12"/>
        <v>0.11302300751124748</v>
      </c>
      <c r="HN15" s="32">
        <f t="shared" si="12"/>
        <v>0.1025795249955451</v>
      </c>
      <c r="HO15" s="32">
        <f t="shared" si="12"/>
        <v>7.16247711971114E-2</v>
      </c>
      <c r="HP15" s="32">
        <f t="shared" si="12"/>
        <v>6.5275640859751113E-2</v>
      </c>
      <c r="HQ15" s="32">
        <f t="shared" si="12"/>
        <v>4.8557057824831398E-2</v>
      </c>
      <c r="HR15" s="32">
        <f t="shared" si="13"/>
        <v>0</v>
      </c>
      <c r="HS15" s="32">
        <f t="shared" si="13"/>
        <v>5.4269752980279626E-2</v>
      </c>
      <c r="HU15" s="102">
        <f t="shared" si="14"/>
        <v>352.20593248</v>
      </c>
      <c r="HV15" s="102">
        <f t="shared" si="14"/>
        <v>1256.8813328900001</v>
      </c>
      <c r="HW15" s="102">
        <f t="shared" si="14"/>
        <v>1212.3027547699999</v>
      </c>
      <c r="HX15" s="102">
        <f t="shared" si="14"/>
        <v>912.30055393999999</v>
      </c>
      <c r="HY15" s="102">
        <f t="shared" si="14"/>
        <v>364.52350455999999</v>
      </c>
      <c r="HZ15" s="102">
        <f t="shared" si="14"/>
        <v>438.46288405000007</v>
      </c>
      <c r="IA15" s="102">
        <f t="shared" si="15"/>
        <v>377.66325229</v>
      </c>
      <c r="IB15" s="102">
        <f t="shared" si="16"/>
        <v>531.17097985999999</v>
      </c>
      <c r="IC15" s="102">
        <f t="shared" si="17"/>
        <v>316.10264420999999</v>
      </c>
      <c r="ID15" s="102">
        <f t="shared" si="18"/>
        <v>0</v>
      </c>
      <c r="IE15" s="102">
        <f t="shared" si="19"/>
        <v>0</v>
      </c>
      <c r="IF15" s="922">
        <f t="shared" si="20"/>
        <v>-0.40489473974403734</v>
      </c>
      <c r="IG15" s="102">
        <f t="shared" si="21"/>
        <v>316.10264420999999</v>
      </c>
      <c r="IH15" s="102">
        <f t="shared" si="21"/>
        <v>0</v>
      </c>
      <c r="II15" s="145"/>
      <c r="IJ15" s="929" t="str">
        <f t="shared" si="39"/>
        <v>NA</v>
      </c>
      <c r="IK15" s="930">
        <f t="shared" si="40"/>
        <v>316.10264420999999</v>
      </c>
      <c r="IM15" s="32">
        <f t="shared" si="41"/>
        <v>4.8611849355341415E-2</v>
      </c>
      <c r="IN15" s="929">
        <f t="shared" si="22"/>
        <v>0</v>
      </c>
      <c r="IP15" s="32">
        <f t="shared" si="23"/>
        <v>-3.5467610945815187E-2</v>
      </c>
      <c r="IQ15" s="32">
        <f t="shared" si="23"/>
        <v>-0.24746475222430453</v>
      </c>
      <c r="IR15" s="32">
        <f t="shared" si="23"/>
        <v>-0.6004348534200562</v>
      </c>
      <c r="IS15" s="32">
        <f t="shared" si="23"/>
        <v>0.2028384413214972</v>
      </c>
      <c r="IT15" s="32">
        <f t="shared" si="23"/>
        <v>-0.13866540127274896</v>
      </c>
      <c r="IU15" s="32">
        <f t="shared" si="23"/>
        <v>0.40646720759615906</v>
      </c>
      <c r="IV15" s="32">
        <f>+IFERROR(IE15/IB15-1,"NA")</f>
        <v>-1</v>
      </c>
      <c r="IX15" s="102">
        <f t="shared" si="24"/>
        <v>-44.578578120000202</v>
      </c>
      <c r="IY15" s="102">
        <f t="shared" si="24"/>
        <v>-300.00220082999988</v>
      </c>
      <c r="IZ15" s="102">
        <f t="shared" si="24"/>
        <v>-547.77704937999999</v>
      </c>
      <c r="JA15" s="102">
        <f t="shared" si="24"/>
        <v>73.939379490000078</v>
      </c>
      <c r="JB15" s="102">
        <f t="shared" si="24"/>
        <v>-60.799631760000068</v>
      </c>
      <c r="JC15" s="102">
        <f t="shared" si="24"/>
        <v>153.50772756999999</v>
      </c>
      <c r="JD15" s="102">
        <f t="shared" si="25"/>
        <v>-531.17097985999999</v>
      </c>
      <c r="JF15" s="32">
        <f t="shared" si="26"/>
        <v>2.2020211965313643E-2</v>
      </c>
      <c r="JG15" s="32">
        <f t="shared" si="26"/>
        <v>7.3711633316311198E-2</v>
      </c>
      <c r="JH15" s="32">
        <f t="shared" si="26"/>
        <v>7.4579056708724681E-2</v>
      </c>
      <c r="JI15" s="32">
        <f t="shared" si="26"/>
        <v>9.7529757569036049E-2</v>
      </c>
      <c r="JJ15" s="32">
        <f t="shared" si="26"/>
        <v>0.18165999968348964</v>
      </c>
      <c r="JK15" s="32">
        <f t="shared" si="26"/>
        <v>6.3167129076315817E-2</v>
      </c>
      <c r="JL15" s="32">
        <f t="shared" si="26"/>
        <v>7.1399275470812429E-2</v>
      </c>
      <c r="JM15" s="32">
        <f t="shared" si="45"/>
        <v>0</v>
      </c>
      <c r="JO15" s="102">
        <f t="shared" si="27"/>
        <v>79.853098760000051</v>
      </c>
      <c r="JP15" s="102">
        <f t="shared" si="27"/>
        <v>208.39075784999997</v>
      </c>
      <c r="JQ15" s="102">
        <f t="shared" si="27"/>
        <v>248.00936704000003</v>
      </c>
      <c r="JR15" s="102">
        <f t="shared" si="27"/>
        <v>153.98955530000001</v>
      </c>
      <c r="JS15" s="102">
        <f t="shared" si="27"/>
        <v>55.011760960000004</v>
      </c>
      <c r="JT15" s="102">
        <f t="shared" si="28"/>
        <v>106.95476609000001</v>
      </c>
      <c r="JU15" s="102">
        <f t="shared" si="29"/>
        <v>104.95149977999999</v>
      </c>
      <c r="JV15" s="102">
        <f t="shared" si="29"/>
        <v>-92.719572230000011</v>
      </c>
      <c r="JW15" s="102">
        <f t="shared" si="30"/>
        <v>-4.3558498099999996</v>
      </c>
      <c r="JX15" s="102">
        <f t="shared" si="42"/>
        <v>0</v>
      </c>
      <c r="JY15" s="102">
        <f t="shared" si="31"/>
        <v>0</v>
      </c>
      <c r="KB15" s="32">
        <f t="shared" si="32"/>
        <v>0.19011692072504283</v>
      </c>
      <c r="KC15" s="32">
        <f t="shared" si="32"/>
        <v>-0.37909782546574577</v>
      </c>
      <c r="KD15" s="32">
        <f t="shared" si="32"/>
        <v>-0.64275654376151059</v>
      </c>
      <c r="KE15" s="32">
        <f t="shared" si="32"/>
        <v>0.94421636798299646</v>
      </c>
      <c r="KF15" s="32">
        <f t="shared" si="32"/>
        <v>-1.8730033108709798E-2</v>
      </c>
      <c r="KG15" s="32">
        <f t="shared" si="32"/>
        <v>-1.8834516174076539</v>
      </c>
      <c r="KH15" s="32">
        <f t="shared" si="33"/>
        <v>-1</v>
      </c>
      <c r="KJ15" s="102">
        <f t="shared" si="34"/>
        <v>39.618609190000058</v>
      </c>
      <c r="KK15" s="102">
        <f t="shared" si="34"/>
        <v>-94.019811740000023</v>
      </c>
      <c r="KL15" s="102">
        <f t="shared" si="34"/>
        <v>-98.977794340000003</v>
      </c>
      <c r="KM15" s="102">
        <f t="shared" si="34"/>
        <v>51.943005130000003</v>
      </c>
      <c r="KN15" s="102">
        <f t="shared" si="34"/>
        <v>-2.003266310000015</v>
      </c>
      <c r="KO15" s="102">
        <f t="shared" si="34"/>
        <v>-197.67107200999999</v>
      </c>
      <c r="KP15" s="102">
        <f t="shared" si="35"/>
        <v>92.719572230000011</v>
      </c>
      <c r="KR15" s="32">
        <f t="shared" si="36"/>
        <v>2.4908764732522248E-2</v>
      </c>
      <c r="KS15" s="32">
        <f t="shared" si="36"/>
        <v>6.1961204339882496E-2</v>
      </c>
      <c r="KT15" s="32">
        <f t="shared" si="36"/>
        <v>9.8850533947336228E-2</v>
      </c>
      <c r="KU15" s="32">
        <f t="shared" si="36"/>
        <v>0.17211940551932059</v>
      </c>
      <c r="KV15" s="32">
        <f t="shared" si="36"/>
        <v>0.17629489398557857</v>
      </c>
      <c r="KW15" s="32">
        <f t="shared" si="36"/>
        <v>0.10547585889161835</v>
      </c>
      <c r="KX15" s="32">
        <f t="shared" si="36"/>
        <v>0.11965083934025382</v>
      </c>
      <c r="KY15" s="32">
        <f t="shared" si="36"/>
        <v>-6.0596478245056373E-2</v>
      </c>
      <c r="KZ15" s="32">
        <f t="shared" si="46"/>
        <v>0</v>
      </c>
    </row>
    <row r="16" spans="1:325" outlineLevel="2">
      <c r="A16" s="884">
        <v>4135</v>
      </c>
      <c r="B16" s="884"/>
      <c r="C16" s="40" t="s">
        <v>625</v>
      </c>
      <c r="D16" s="31" t="s">
        <v>59</v>
      </c>
      <c r="E16" s="102">
        <v>21.142002300000001</v>
      </c>
      <c r="F16" s="102">
        <v>51.692941299999987</v>
      </c>
      <c r="G16" s="102">
        <v>38.045752520000022</v>
      </c>
      <c r="H16" s="102">
        <v>66.67253359999998</v>
      </c>
      <c r="I16" s="102">
        <v>63.582999999999998</v>
      </c>
      <c r="J16" s="102">
        <v>79.853098760000051</v>
      </c>
      <c r="K16" s="102">
        <v>69.174415379999971</v>
      </c>
      <c r="L16" s="102">
        <v>56.659735000000012</v>
      </c>
      <c r="M16" s="102">
        <v>65.139999999999986</v>
      </c>
      <c r="N16" s="102">
        <v>37.11850000000004</v>
      </c>
      <c r="O16" s="102">
        <v>28.227946299999871</v>
      </c>
      <c r="P16" s="102">
        <v>61.160349200000041</v>
      </c>
      <c r="Q16" s="102">
        <v>166.79830931000001</v>
      </c>
      <c r="R16" s="102">
        <v>205.76976255000002</v>
      </c>
      <c r="S16" s="102">
        <v>128.26546664999995</v>
      </c>
      <c r="T16" s="102">
        <v>106.27531624</v>
      </c>
      <c r="U16" s="102">
        <v>264.13164634000009</v>
      </c>
      <c r="V16" s="102">
        <v>183.13586784999995</v>
      </c>
      <c r="W16" s="102">
        <v>155.64896109999995</v>
      </c>
      <c r="X16" s="102">
        <v>188.59275755999988</v>
      </c>
      <c r="Y16" s="102">
        <v>83.821412510000073</v>
      </c>
      <c r="Z16" s="102">
        <v>185.28047383000012</v>
      </c>
      <c r="AA16" s="102">
        <v>251.42247333000023</v>
      </c>
      <c r="AB16" s="102">
        <v>299.82982478999952</v>
      </c>
      <c r="AC16" s="102">
        <v>50.809689779999999</v>
      </c>
      <c r="AD16" s="102">
        <v>119.49460378000001</v>
      </c>
      <c r="AE16" s="102">
        <v>133.77032087000001</v>
      </c>
      <c r="AF16" s="102">
        <v>160.97389676</v>
      </c>
      <c r="AG16" s="102">
        <v>325.51129874000003</v>
      </c>
      <c r="AH16" s="102">
        <v>201.43995205000002</v>
      </c>
      <c r="AI16" s="102">
        <v>153.66707830000001</v>
      </c>
      <c r="AJ16" s="102">
        <v>111.22953903</v>
      </c>
      <c r="AK16" s="102">
        <v>187.88988547999998</v>
      </c>
      <c r="AL16" s="102">
        <v>162.53435330000002</v>
      </c>
      <c r="AM16" s="102">
        <v>160.82386536000001</v>
      </c>
      <c r="AN16" s="102">
        <v>89.973029440000005</v>
      </c>
      <c r="AO16" s="102">
        <v>104.49969126000002</v>
      </c>
      <c r="AP16" s="145">
        <v>0</v>
      </c>
      <c r="AQ16" s="143">
        <v>43.36941075</v>
      </c>
      <c r="AR16" s="143">
        <v>115.47035474999998</v>
      </c>
      <c r="AS16" s="102">
        <v>152.74680264</v>
      </c>
      <c r="AT16" s="102">
        <v>95.883857680000006</v>
      </c>
      <c r="AU16" s="102">
        <v>159.17693929000001</v>
      </c>
      <c r="AV16" s="102">
        <v>59.728838840000002</v>
      </c>
      <c r="AW16" s="102">
        <v>249.85835850999999</v>
      </c>
      <c r="AX16" s="102">
        <v>118.67445554000001</v>
      </c>
      <c r="AY16" s="102">
        <v>50.702601799999997</v>
      </c>
      <c r="AZ16" s="102">
        <v>109.10093608</v>
      </c>
      <c r="BA16" s="102">
        <v>28.8005034</v>
      </c>
      <c r="BB16" s="102">
        <v>45.4135834</v>
      </c>
      <c r="BC16" s="102">
        <v>25.110596100000002</v>
      </c>
      <c r="BD16" s="102">
        <v>6.0962618700000011</v>
      </c>
      <c r="BE16" s="102">
        <v>71.247046239999989</v>
      </c>
      <c r="BF16" s="102">
        <v>40.357252539999998</v>
      </c>
      <c r="BG16" s="102">
        <v>10.610996349999999</v>
      </c>
      <c r="BH16" s="102">
        <v>7.8633170399999992</v>
      </c>
      <c r="BI16" s="102">
        <v>15.339855350000002</v>
      </c>
      <c r="BJ16" s="102">
        <v>36.112292060000001</v>
      </c>
      <c r="BK16" s="102">
        <v>37.226572590000004</v>
      </c>
      <c r="BL16" s="102">
        <v>43.878845140000003</v>
      </c>
      <c r="BM16" s="102">
        <v>25.228000329999997</v>
      </c>
      <c r="BN16" s="102">
        <v>78.838129860000009</v>
      </c>
      <c r="BO16" s="102">
        <v>26.394481400000007</v>
      </c>
      <c r="BP16" s="102">
        <v>8.8533542300000043</v>
      </c>
      <c r="BQ16" s="102">
        <v>22.977751700000002</v>
      </c>
      <c r="BR16" s="102">
        <v>85.191499030000003</v>
      </c>
      <c r="BS16" s="102">
        <v>8.9835746500000067</v>
      </c>
      <c r="BT16" s="102">
        <v>54.007644130000003</v>
      </c>
      <c r="BU16" s="102">
        <v>22.870611400000005</v>
      </c>
      <c r="BV16" s="102">
        <v>102.76223566</v>
      </c>
      <c r="BW16" s="102">
        <v>74.244537550000004</v>
      </c>
      <c r="BX16" s="102">
        <v>58.273237590000001</v>
      </c>
      <c r="BY16" s="102">
        <v>28.119578360000006</v>
      </c>
      <c r="BZ16" s="102">
        <v>43.781139799999998</v>
      </c>
      <c r="CA16" s="102">
        <v>4.0142447399999943</v>
      </c>
      <c r="CB16" s="102">
        <v>24.935324089999998</v>
      </c>
      <c r="CC16" s="102">
        <v>15.169416199999999</v>
      </c>
      <c r="CD16" s="102">
        <v>57.703453719999999</v>
      </c>
      <c r="CE16" s="102">
        <v>53.099356760000006</v>
      </c>
      <c r="CF16" s="102">
        <v>33.761645239999993</v>
      </c>
      <c r="CG16" s="102">
        <v>66.28897984000001</v>
      </c>
      <c r="CH16" s="102">
        <v>60.268908549999999</v>
      </c>
      <c r="CI16" s="102">
        <v>81.934043860000017</v>
      </c>
      <c r="CJ16" s="102">
        <v>70.322487340000009</v>
      </c>
      <c r="CK16" s="1169">
        <v>38.123651180000003</v>
      </c>
      <c r="CL16" s="1169">
        <v>78.312254419999988</v>
      </c>
      <c r="CM16" s="1169">
        <v>72.146328400000002</v>
      </c>
      <c r="CN16" s="1169">
        <v>38.761566389999999</v>
      </c>
      <c r="CO16" s="1169">
        <v>119.76387136000001</v>
      </c>
      <c r="CP16" s="1169">
        <v>60.903104019999994</v>
      </c>
      <c r="CQ16" s="1169">
        <v>77.046015310000001</v>
      </c>
      <c r="CR16" s="1169">
        <v>18.549274860000015</v>
      </c>
      <c r="CS16" s="1169">
        <v>76.114040129999992</v>
      </c>
      <c r="CT16" s="1169">
        <v>160.81246675999998</v>
      </c>
      <c r="CU16" s="1169">
        <v>107.98665509</v>
      </c>
      <c r="CV16" s="1169">
        <v>86.030316800000008</v>
      </c>
      <c r="CW16" s="1169">
        <v>128.07611483000002</v>
      </c>
      <c r="CX16" s="1169">
        <v>84.622979389999998</v>
      </c>
      <c r="CY16" s="1169">
        <v>117.63821735000001</v>
      </c>
      <c r="CZ16" s="1169">
        <v>25.853954719999997</v>
      </c>
      <c r="DA16" s="1169">
        <v>42.1913597</v>
      </c>
      <c r="DB16" s="1169">
        <v>0</v>
      </c>
      <c r="DC16" s="1169">
        <v>40.280212820000003</v>
      </c>
      <c r="DD16" s="1169">
        <v>26.313048070000001</v>
      </c>
      <c r="DE16" s="1169">
        <v>56.411685869999999</v>
      </c>
      <c r="DF16" s="1169">
        <v>110.98544321</v>
      </c>
      <c r="DG16" s="1169">
        <v>30.007655379999999</v>
      </c>
      <c r="DH16" s="1169">
        <v>27.222494409999999</v>
      </c>
      <c r="DJ16" s="102">
        <v>128.07611482999999</v>
      </c>
      <c r="DK16" s="102">
        <v>84.622979389999998</v>
      </c>
      <c r="DL16" s="102">
        <v>117.63821734999999</v>
      </c>
      <c r="DM16" s="102">
        <v>25.853954720000001</v>
      </c>
      <c r="DN16" s="102">
        <v>42.191359699999992</v>
      </c>
      <c r="DO16" s="102">
        <v>0</v>
      </c>
      <c r="DP16" s="102">
        <v>32.310285300000004</v>
      </c>
      <c r="DQ16" s="102">
        <v>38.877985100000004</v>
      </c>
      <c r="DR16" s="102">
        <v>37.665398900000007</v>
      </c>
      <c r="DS16" s="102">
        <v>29.1240764</v>
      </c>
      <c r="DT16" s="102">
        <v>21.852640300000001</v>
      </c>
      <c r="DU16" s="102">
        <v>21.852640300000001</v>
      </c>
      <c r="DW16" s="102">
        <v>289.20163538498684</v>
      </c>
      <c r="DX16" s="102">
        <v>133.18110590382614</v>
      </c>
      <c r="DY16" s="102">
        <v>181.60249654362499</v>
      </c>
      <c r="DZ16" s="102">
        <v>260.85163654362498</v>
      </c>
      <c r="EA16" s="102">
        <v>218.57559654362501</v>
      </c>
      <c r="EB16" s="102">
        <v>228.32473654362499</v>
      </c>
      <c r="EC16" s="102">
        <v>219.775596543625</v>
      </c>
      <c r="ED16" s="102">
        <v>273.82473654362502</v>
      </c>
      <c r="EE16" s="102">
        <v>219.775596543625</v>
      </c>
      <c r="EF16" s="102">
        <v>228.32473654362499</v>
      </c>
      <c r="EG16" s="102">
        <v>194.57559654362501</v>
      </c>
      <c r="EH16" s="102">
        <v>253.52473654362501</v>
      </c>
      <c r="EI16" s="102">
        <v>32.946757480000002</v>
      </c>
      <c r="EJ16" s="102">
        <v>74.239009215999985</v>
      </c>
      <c r="EK16" s="102">
        <v>56.355345436000007</v>
      </c>
      <c r="EL16" s="102">
        <v>87.501651219999999</v>
      </c>
      <c r="EM16" s="102">
        <v>81.71974822</v>
      </c>
      <c r="EN16" s="102">
        <v>83.183957509999985</v>
      </c>
      <c r="EO16" s="102">
        <v>83.193792353999996</v>
      </c>
      <c r="EP16" s="102">
        <v>80.459298574000002</v>
      </c>
      <c r="EQ16" s="102">
        <v>79.596733003999987</v>
      </c>
      <c r="ER16" s="102">
        <v>73.986845736000006</v>
      </c>
      <c r="ES16" s="102">
        <v>86.843116062000007</v>
      </c>
      <c r="ET16" s="102">
        <v>58.464550150000008</v>
      </c>
      <c r="EU16" s="102">
        <v>36.944000000000003</v>
      </c>
      <c r="EV16" s="102">
        <v>56.646599999999999</v>
      </c>
      <c r="EW16" s="102">
        <v>66.073361000000006</v>
      </c>
      <c r="EX16" s="102">
        <v>56.761361000000001</v>
      </c>
      <c r="EY16" s="102">
        <v>66.674049999999994</v>
      </c>
      <c r="EZ16" s="102">
        <v>50.094588000000002</v>
      </c>
      <c r="FA16" s="102">
        <v>45.857987999999999</v>
      </c>
      <c r="FB16" s="102">
        <v>26.147600000000001</v>
      </c>
      <c r="FC16" s="102">
        <v>10.79</v>
      </c>
      <c r="FD16" s="102">
        <v>10.79</v>
      </c>
      <c r="FE16" s="102">
        <v>19.501999999999999</v>
      </c>
      <c r="FF16" s="102">
        <v>19.501999999999999</v>
      </c>
      <c r="FG16" s="102">
        <v>94.343999999999994</v>
      </c>
      <c r="FH16" s="102">
        <v>71.513999999999996</v>
      </c>
      <c r="FI16" s="102">
        <v>57.804000000000002</v>
      </c>
      <c r="FJ16" s="102">
        <v>51.834000000000003</v>
      </c>
      <c r="FK16" s="102">
        <v>59.601399999999998</v>
      </c>
      <c r="FL16" s="102">
        <v>59.331400000000002</v>
      </c>
      <c r="FM16" s="102">
        <v>83.513999999999996</v>
      </c>
      <c r="FN16" s="102">
        <v>87.584000000000003</v>
      </c>
      <c r="FO16" s="102">
        <v>87.343999999999994</v>
      </c>
      <c r="FP16" s="102">
        <v>94.494</v>
      </c>
      <c r="FQ16" s="102">
        <v>97.403999999999996</v>
      </c>
      <c r="FR16" s="102">
        <v>84.414000000000001</v>
      </c>
      <c r="FS16" s="102">
        <v>94.343999999999994</v>
      </c>
      <c r="FT16" s="102">
        <v>71.513999999999996</v>
      </c>
      <c r="FU16" s="102">
        <v>57.804000000000002</v>
      </c>
      <c r="FV16" s="102">
        <v>51.834000000000003</v>
      </c>
      <c r="FW16" s="102">
        <v>59.601399999999998</v>
      </c>
      <c r="FX16" s="102">
        <v>59.331400000000002</v>
      </c>
      <c r="FY16" s="102">
        <v>83.513999999999996</v>
      </c>
      <c r="FZ16" s="102">
        <v>87.584000000000003</v>
      </c>
      <c r="GA16" s="102">
        <v>87.343999999999994</v>
      </c>
      <c r="GB16" s="102">
        <v>94.494</v>
      </c>
      <c r="GC16" s="102">
        <v>97.403999999999996</v>
      </c>
      <c r="GD16" s="102">
        <v>84.414000000000001</v>
      </c>
      <c r="GF16" s="102">
        <f t="shared" si="5"/>
        <v>638.47027435999996</v>
      </c>
      <c r="GG16" s="102">
        <f t="shared" si="5"/>
        <v>2218.9722720599998</v>
      </c>
      <c r="GH16" s="102">
        <f t="shared" si="5"/>
        <v>1858.1175128900004</v>
      </c>
      <c r="GI16" s="102">
        <f t="shared" si="5"/>
        <v>1259.2122471399998</v>
      </c>
      <c r="GJ16" s="102">
        <f t="shared" si="43"/>
        <v>368.05712207999994</v>
      </c>
      <c r="GK16" s="102">
        <f t="shared" si="37"/>
        <v>568.62505753000005</v>
      </c>
      <c r="GL16" s="102">
        <f t="shared" si="38"/>
        <v>539.39857849999999</v>
      </c>
      <c r="GM16" s="102">
        <f t="shared" si="6"/>
        <v>934.54954471999997</v>
      </c>
      <c r="GN16" s="102">
        <f t="shared" si="7"/>
        <v>929.18280000000016</v>
      </c>
      <c r="GO16" s="102">
        <v>689.6031657499999</v>
      </c>
      <c r="GQ16" s="929">
        <f t="shared" si="8"/>
        <v>-0.16262247334663493</v>
      </c>
      <c r="GR16" s="929">
        <f t="shared" si="8"/>
        <v>-0.32231829343156049</v>
      </c>
      <c r="GS16" s="929">
        <f t="shared" si="8"/>
        <v>-0.70770843206460721</v>
      </c>
      <c r="GT16" s="929">
        <f t="shared" si="8"/>
        <v>0.54493697694676091</v>
      </c>
      <c r="GU16" s="929">
        <f t="shared" si="8"/>
        <v>-5.1398507053055931E-2</v>
      </c>
      <c r="GV16" s="929">
        <f t="shared" si="8"/>
        <v>0.73257695138697887</v>
      </c>
      <c r="GW16" s="929">
        <f t="shared" si="8"/>
        <v>-5.7426005398223401E-3</v>
      </c>
      <c r="GX16" s="929">
        <f t="shared" si="8"/>
        <v>-0.25783907563721609</v>
      </c>
      <c r="GY16" s="929">
        <f t="shared" si="9"/>
        <v>-0.2621010093620969</v>
      </c>
      <c r="HA16" s="102">
        <f t="shared" si="10"/>
        <v>-360.8547591699994</v>
      </c>
      <c r="HB16" s="102">
        <f t="shared" si="10"/>
        <v>-598.90526575000058</v>
      </c>
      <c r="HC16" s="102">
        <f t="shared" si="10"/>
        <v>-891.15512505999982</v>
      </c>
      <c r="HD16" s="102">
        <f t="shared" si="10"/>
        <v>200.56793545000011</v>
      </c>
      <c r="HE16" s="102">
        <f t="shared" si="10"/>
        <v>-29.226479030000064</v>
      </c>
      <c r="HF16" s="102">
        <f t="shared" si="10"/>
        <v>395.15096621999999</v>
      </c>
      <c r="HG16" s="102">
        <f t="shared" si="10"/>
        <v>-5.3667447199998151</v>
      </c>
      <c r="HH16" s="102">
        <f t="shared" si="10"/>
        <v>-239.57963425000025</v>
      </c>
      <c r="HI16" s="102">
        <f t="shared" si="11"/>
        <v>-244.94637897000007</v>
      </c>
      <c r="HK16" s="32">
        <f t="shared" si="12"/>
        <v>6.0371523833592199E-2</v>
      </c>
      <c r="HL16" s="32">
        <f t="shared" si="12"/>
        <v>4.7180722413202633E-2</v>
      </c>
      <c r="HM16" s="32">
        <f t="shared" si="12"/>
        <v>7.4718355346487242E-2</v>
      </c>
      <c r="HN16" s="32">
        <f t="shared" si="12"/>
        <v>5.9826969893305389E-2</v>
      </c>
      <c r="HO16" s="32">
        <f t="shared" si="12"/>
        <v>4.1722267062845576E-2</v>
      </c>
      <c r="HP16" s="32">
        <f t="shared" si="12"/>
        <v>3.8118602760210236E-2</v>
      </c>
      <c r="HQ16" s="32">
        <f t="shared" si="12"/>
        <v>4.4021578733878394E-2</v>
      </c>
      <c r="HR16" s="32">
        <f t="shared" si="13"/>
        <v>5.9062119906102981E-2</v>
      </c>
      <c r="HS16" s="32">
        <f t="shared" si="13"/>
        <v>5.4644162279974089E-2</v>
      </c>
      <c r="HU16" s="102">
        <f t="shared" si="14"/>
        <v>320.98932848000004</v>
      </c>
      <c r="HV16" s="102">
        <f t="shared" si="14"/>
        <v>1054.37636894</v>
      </c>
      <c r="HW16" s="102">
        <f t="shared" si="14"/>
        <v>991.99976198000002</v>
      </c>
      <c r="HX16" s="102">
        <f t="shared" si="14"/>
        <v>511.97011707999997</v>
      </c>
      <c r="HY16" s="102">
        <f t="shared" si="14"/>
        <v>217.02524354999997</v>
      </c>
      <c r="HZ16" s="102">
        <f t="shared" si="14"/>
        <v>247.48321655000001</v>
      </c>
      <c r="IA16" s="102">
        <f t="shared" si="15"/>
        <v>173.72315691</v>
      </c>
      <c r="IB16" s="102">
        <f t="shared" si="16"/>
        <v>408.01077576999995</v>
      </c>
      <c r="IC16" s="102">
        <f t="shared" si="17"/>
        <v>398.38262599000001</v>
      </c>
      <c r="ID16" s="102">
        <f t="shared" si="18"/>
        <v>394.42880000000002</v>
      </c>
      <c r="IE16" s="102">
        <f t="shared" si="19"/>
        <v>398.38262598999995</v>
      </c>
      <c r="IF16" s="922">
        <f t="shared" si="20"/>
        <v>-2.3597783077737744E-2</v>
      </c>
      <c r="IG16" s="102">
        <f t="shared" si="21"/>
        <v>398.38262599000001</v>
      </c>
      <c r="IH16" s="102">
        <f t="shared" si="21"/>
        <v>394.42880000000002</v>
      </c>
      <c r="II16" s="145"/>
      <c r="IJ16" s="929">
        <f t="shared" si="39"/>
        <v>1.0100241817788154</v>
      </c>
      <c r="IK16" s="930">
        <f t="shared" si="40"/>
        <v>3.9538259899999844</v>
      </c>
      <c r="IM16" s="32">
        <f t="shared" si="41"/>
        <v>6.126527745065459E-2</v>
      </c>
      <c r="IN16" s="929">
        <f t="shared" si="22"/>
        <v>5.5860689760032979E-2</v>
      </c>
      <c r="IP16" s="32">
        <f t="shared" si="23"/>
        <v>-5.91597163949239E-2</v>
      </c>
      <c r="IQ16" s="32">
        <f t="shared" si="23"/>
        <v>-0.48390096782067382</v>
      </c>
      <c r="IR16" s="32">
        <f t="shared" si="23"/>
        <v>-0.57609783010814319</v>
      </c>
      <c r="IS16" s="32">
        <f t="shared" si="23"/>
        <v>0.14034299651866489</v>
      </c>
      <c r="IT16" s="32">
        <f t="shared" si="23"/>
        <v>-0.29804065369862354</v>
      </c>
      <c r="IU16" s="32">
        <f t="shared" si="23"/>
        <v>1.3486263030631909</v>
      </c>
      <c r="IV16" s="32">
        <f>+IFERROR(IE16/IB16-1,"NA")</f>
        <v>-2.3597783077737855E-2</v>
      </c>
      <c r="IX16" s="102">
        <f t="shared" si="24"/>
        <v>-62.376606960000004</v>
      </c>
      <c r="IY16" s="102">
        <f t="shared" si="24"/>
        <v>-480.02964490000005</v>
      </c>
      <c r="IZ16" s="102">
        <f t="shared" si="24"/>
        <v>-294.94487353</v>
      </c>
      <c r="JA16" s="102">
        <f t="shared" si="24"/>
        <v>30.457973000000038</v>
      </c>
      <c r="JB16" s="102">
        <f t="shared" si="24"/>
        <v>-73.760059640000009</v>
      </c>
      <c r="JC16" s="102">
        <f t="shared" si="24"/>
        <v>234.28761885999995</v>
      </c>
      <c r="JD16" s="102">
        <f t="shared" si="25"/>
        <v>-9.6281497800000011</v>
      </c>
      <c r="JF16" s="32">
        <f t="shared" si="26"/>
        <v>2.006852355371572E-2</v>
      </c>
      <c r="JG16" s="32">
        <f t="shared" si="26"/>
        <v>6.1835435256234195E-2</v>
      </c>
      <c r="JH16" s="32">
        <f t="shared" si="26"/>
        <v>6.1026345285987466E-2</v>
      </c>
      <c r="JI16" s="32">
        <f t="shared" si="26"/>
        <v>5.4732315118913473E-2</v>
      </c>
      <c r="JJ16" s="32">
        <f t="shared" si="26"/>
        <v>0.10815435817284313</v>
      </c>
      <c r="JK16" s="32">
        <f t="shared" si="26"/>
        <v>3.5653654739571945E-2</v>
      </c>
      <c r="JL16" s="32">
        <f t="shared" si="26"/>
        <v>3.284330011105159E-2</v>
      </c>
      <c r="JM16" s="32">
        <f t="shared" si="45"/>
        <v>5.8425124118441772E-2</v>
      </c>
      <c r="JO16" s="102">
        <f t="shared" si="27"/>
        <v>79.853098760000051</v>
      </c>
      <c r="JP16" s="102">
        <f t="shared" si="27"/>
        <v>183.13586784999995</v>
      </c>
      <c r="JQ16" s="102">
        <f t="shared" si="27"/>
        <v>201.43995205000002</v>
      </c>
      <c r="JR16" s="102">
        <f t="shared" si="27"/>
        <v>95.883857680000006</v>
      </c>
      <c r="JS16" s="102">
        <f t="shared" si="27"/>
        <v>40.357252539999998</v>
      </c>
      <c r="JT16" s="102">
        <f t="shared" si="28"/>
        <v>85.191499030000003</v>
      </c>
      <c r="JU16" s="102">
        <f t="shared" si="29"/>
        <v>57.703453719999999</v>
      </c>
      <c r="JV16" s="102">
        <f t="shared" si="29"/>
        <v>60.903104019999994</v>
      </c>
      <c r="JW16" s="102">
        <f t="shared" si="30"/>
        <v>0</v>
      </c>
      <c r="JX16" s="102">
        <f t="shared" si="42"/>
        <v>59.331400000000002</v>
      </c>
      <c r="JY16" s="102">
        <f t="shared" si="31"/>
        <v>0</v>
      </c>
      <c r="KB16" s="32">
        <f t="shared" si="32"/>
        <v>9.9948111830241215E-2</v>
      </c>
      <c r="KC16" s="32">
        <f t="shared" si="32"/>
        <v>-0.52400774174032572</v>
      </c>
      <c r="KD16" s="32">
        <f t="shared" si="32"/>
        <v>-0.57910274454447674</v>
      </c>
      <c r="KE16" s="32">
        <f t="shared" si="32"/>
        <v>1.1109340618656498</v>
      </c>
      <c r="KF16" s="32">
        <f t="shared" si="32"/>
        <v>-0.32266183390340564</v>
      </c>
      <c r="KG16" s="32">
        <f t="shared" si="32"/>
        <v>5.5449892402038348E-2</v>
      </c>
      <c r="KH16" s="32">
        <f t="shared" si="33"/>
        <v>-1</v>
      </c>
      <c r="KJ16" s="102">
        <f t="shared" si="34"/>
        <v>18.304084200000062</v>
      </c>
      <c r="KK16" s="102">
        <f t="shared" si="34"/>
        <v>-105.55609437000001</v>
      </c>
      <c r="KL16" s="102">
        <f t="shared" si="34"/>
        <v>-55.526605140000008</v>
      </c>
      <c r="KM16" s="102">
        <f t="shared" si="34"/>
        <v>44.834246490000005</v>
      </c>
      <c r="KN16" s="102">
        <f t="shared" si="34"/>
        <v>-27.488045310000004</v>
      </c>
      <c r="KO16" s="102">
        <f t="shared" si="34"/>
        <v>3.1996502999999947</v>
      </c>
      <c r="KP16" s="102">
        <f t="shared" si="35"/>
        <v>-60.903104019999994</v>
      </c>
      <c r="KR16" s="32">
        <f t="shared" si="36"/>
        <v>2.4908764732522248E-2</v>
      </c>
      <c r="KS16" s="32">
        <f t="shared" si="36"/>
        <v>5.4452121806588871E-2</v>
      </c>
      <c r="KT16" s="32">
        <f t="shared" si="36"/>
        <v>8.0289091723123276E-2</v>
      </c>
      <c r="KU16" s="32">
        <f t="shared" si="36"/>
        <v>0.10717267512480921</v>
      </c>
      <c r="KV16" s="32">
        <f t="shared" si="36"/>
        <v>0.12933193618836883</v>
      </c>
      <c r="KW16" s="32">
        <f t="shared" si="36"/>
        <v>8.4013521406727257E-2</v>
      </c>
      <c r="KX16" s="32">
        <f t="shared" si="36"/>
        <v>6.5785307355323744E-2</v>
      </c>
      <c r="KY16" s="32">
        <f t="shared" si="36"/>
        <v>3.9802962082802255E-2</v>
      </c>
      <c r="KZ16" s="32">
        <f t="shared" si="46"/>
        <v>0</v>
      </c>
    </row>
    <row r="17" spans="1:312" outlineLevel="2">
      <c r="A17" s="884">
        <v>4145</v>
      </c>
      <c r="B17" s="884"/>
      <c r="C17" s="40" t="s">
        <v>626</v>
      </c>
      <c r="D17" s="31" t="s">
        <v>59</v>
      </c>
      <c r="E17" s="102">
        <v>8.8215939999999993</v>
      </c>
      <c r="F17" s="102">
        <v>11.502823000000001</v>
      </c>
      <c r="G17" s="102">
        <v>15.665075249999997</v>
      </c>
      <c r="H17" s="102">
        <v>0</v>
      </c>
      <c r="I17" s="102">
        <v>-0.88746824999999774</v>
      </c>
      <c r="J17" s="102">
        <v>0</v>
      </c>
      <c r="K17" s="102">
        <v>1.1726000000003012E-2</v>
      </c>
      <c r="L17" s="102">
        <v>31.098402999999998</v>
      </c>
      <c r="M17" s="102">
        <v>10.75</v>
      </c>
      <c r="N17" s="102">
        <v>28</v>
      </c>
      <c r="O17" s="102">
        <v>0</v>
      </c>
      <c r="P17" s="102">
        <v>0</v>
      </c>
      <c r="Q17" s="102">
        <v>20</v>
      </c>
      <c r="R17" s="102">
        <v>78.149567000000005</v>
      </c>
      <c r="S17" s="102">
        <v>26.479709999999997</v>
      </c>
      <c r="T17" s="102">
        <v>34.308804009999989</v>
      </c>
      <c r="U17" s="102">
        <v>81.740436939999995</v>
      </c>
      <c r="V17" s="102">
        <v>25.254890000000017</v>
      </c>
      <c r="W17" s="102">
        <v>47.933039000000008</v>
      </c>
      <c r="X17" s="102">
        <v>11.536379999999951</v>
      </c>
      <c r="Y17" s="102">
        <v>12.178890280000076</v>
      </c>
      <c r="Z17" s="102">
        <v>0</v>
      </c>
      <c r="AA17" s="102">
        <v>43.311956399999985</v>
      </c>
      <c r="AB17" s="102">
        <v>99.771605999999963</v>
      </c>
      <c r="AC17" s="102">
        <v>-3.91</v>
      </c>
      <c r="AD17" s="102">
        <v>21.283150800000001</v>
      </c>
      <c r="AE17" s="102">
        <v>46.489165</v>
      </c>
      <c r="AF17" s="102">
        <v>72.093998400000004</v>
      </c>
      <c r="AG17" s="102">
        <v>38.257377599999998</v>
      </c>
      <c r="AH17" s="102">
        <v>46.569414990000006</v>
      </c>
      <c r="AI17" s="102">
        <v>40.014243819999997</v>
      </c>
      <c r="AJ17" s="102">
        <v>65.88113362</v>
      </c>
      <c r="AK17" s="102">
        <v>80.097759530000005</v>
      </c>
      <c r="AL17" s="102">
        <v>92.000409040000008</v>
      </c>
      <c r="AM17" s="102">
        <v>127.09691891</v>
      </c>
      <c r="AN17" s="102">
        <v>68.723773990000041</v>
      </c>
      <c r="AO17" s="102">
        <v>27.648284000000011</v>
      </c>
      <c r="AP17" s="145">
        <v>52.125833999999998</v>
      </c>
      <c r="AQ17" s="143">
        <v>52.660367999999998</v>
      </c>
      <c r="AR17" s="143">
        <v>127.21678223999999</v>
      </c>
      <c r="AS17" s="102">
        <v>82.573470999999998</v>
      </c>
      <c r="AT17" s="102">
        <v>58.105697620000001</v>
      </c>
      <c r="AU17" s="102">
        <v>21.882864989999998</v>
      </c>
      <c r="AV17" s="102">
        <v>38.345823119999991</v>
      </c>
      <c r="AW17" s="102">
        <v>29.539643520000002</v>
      </c>
      <c r="AX17" s="102">
        <v>9.6452823799999994</v>
      </c>
      <c r="AY17" s="102">
        <v>75.438402379999999</v>
      </c>
      <c r="AZ17" s="102">
        <v>70.357546989999989</v>
      </c>
      <c r="BA17" s="102">
        <v>47.685599150000002</v>
      </c>
      <c r="BB17" s="102">
        <v>40.126228640000001</v>
      </c>
      <c r="BC17" s="102">
        <v>7.9646670000000004</v>
      </c>
      <c r="BD17" s="102">
        <v>3.5225127999999999</v>
      </c>
      <c r="BE17" s="102">
        <v>33.544744999999999</v>
      </c>
      <c r="BF17" s="102">
        <v>14.654508420000003</v>
      </c>
      <c r="BG17" s="102">
        <v>39.127458150000002</v>
      </c>
      <c r="BH17" s="102">
        <v>17.51778981</v>
      </c>
      <c r="BI17" s="102">
        <v>12.828312350000001</v>
      </c>
      <c r="BJ17" s="102">
        <v>1.0440808200000002</v>
      </c>
      <c r="BK17" s="102">
        <v>7.6898981299999996</v>
      </c>
      <c r="BL17" s="102">
        <v>37.30906444</v>
      </c>
      <c r="BM17" s="102">
        <v>28.851571710000002</v>
      </c>
      <c r="BN17" s="102">
        <v>17.765714249999998</v>
      </c>
      <c r="BO17" s="102">
        <v>44.720342009999996</v>
      </c>
      <c r="BP17" s="102">
        <v>56.509366119999996</v>
      </c>
      <c r="BQ17" s="102">
        <v>21.369406350000002</v>
      </c>
      <c r="BR17" s="102">
        <v>21.763267060000004</v>
      </c>
      <c r="BS17" s="102">
        <v>19.295016520000004</v>
      </c>
      <c r="BT17" s="102">
        <v>35.017904049999999</v>
      </c>
      <c r="BU17" s="102">
        <v>44.64848568</v>
      </c>
      <c r="BV17" s="102">
        <v>44.612750859999998</v>
      </c>
      <c r="BW17" s="102">
        <v>46.935331459999993</v>
      </c>
      <c r="BX17" s="102">
        <v>26.046539630000002</v>
      </c>
      <c r="BY17" s="102">
        <v>30.567921859999998</v>
      </c>
      <c r="BZ17" s="102">
        <v>30.43142126</v>
      </c>
      <c r="CA17" s="102">
        <v>36.471797839999994</v>
      </c>
      <c r="CB17" s="102">
        <v>41.987943020000003</v>
      </c>
      <c r="CC17" s="102">
        <v>17.23296534</v>
      </c>
      <c r="CD17" s="102">
        <v>47.248046059999993</v>
      </c>
      <c r="CE17" s="102">
        <v>11.594057009999998</v>
      </c>
      <c r="CF17" s="102">
        <v>26.12769136</v>
      </c>
      <c r="CG17" s="102">
        <v>35.872404700000004</v>
      </c>
      <c r="CH17" s="102">
        <v>32.667368509999996</v>
      </c>
      <c r="CI17" s="102">
        <v>40.496563099999996</v>
      </c>
      <c r="CJ17" s="102">
        <v>33.588406709999994</v>
      </c>
      <c r="CK17" s="1169">
        <v>49.335622469999997</v>
      </c>
      <c r="CL17" s="1169">
        <v>44.421061939999994</v>
      </c>
      <c r="CM17" s="1169">
        <v>80.9023605</v>
      </c>
      <c r="CN17" s="1169">
        <v>38.76327139</v>
      </c>
      <c r="CO17" s="1169">
        <v>63.360564039999993</v>
      </c>
      <c r="CP17" s="1169">
        <v>22.47492175</v>
      </c>
      <c r="CQ17" s="1169">
        <v>41.494114840000002</v>
      </c>
      <c r="CR17" s="1169">
        <v>5.3691563700000051</v>
      </c>
      <c r="CS17" s="1169">
        <v>37.360989089999997</v>
      </c>
      <c r="CT17" s="1169">
        <v>76.028441470000004</v>
      </c>
      <c r="CU17" s="1169">
        <v>69.922946920000001</v>
      </c>
      <c r="CV17" s="1169">
        <v>38.741981319999994</v>
      </c>
      <c r="CW17" s="1169">
        <v>34.567566820000003</v>
      </c>
      <c r="CX17" s="1169">
        <v>-19.78091439</v>
      </c>
      <c r="CY17" s="1169">
        <v>59.170817469999996</v>
      </c>
      <c r="CZ17" s="1169">
        <v>19.52461139</v>
      </c>
      <c r="DA17" s="1169">
        <v>4.3425167400000024</v>
      </c>
      <c r="DB17" s="1169">
        <v>7.5746441899999999</v>
      </c>
      <c r="DC17" s="1169">
        <v>0</v>
      </c>
      <c r="DD17" s="1169">
        <v>17.8</v>
      </c>
      <c r="DE17" s="1169">
        <v>49.787512100000001</v>
      </c>
      <c r="DF17" s="1169">
        <v>22.562262700000002</v>
      </c>
      <c r="DG17" s="1169">
        <v>10.607556829999998</v>
      </c>
      <c r="DH17" s="1169">
        <v>30.801465009999998</v>
      </c>
      <c r="DJ17" s="102">
        <v>34.567566820000003</v>
      </c>
      <c r="DK17" s="102">
        <v>-19.78091439</v>
      </c>
      <c r="DL17" s="102">
        <v>59.170817469999996</v>
      </c>
      <c r="DM17" s="102">
        <v>19.524611389999993</v>
      </c>
      <c r="DN17" s="102">
        <v>4.3425167400000007</v>
      </c>
      <c r="DO17" s="102">
        <v>7.5746441900000017</v>
      </c>
      <c r="DP17" s="102">
        <v>0</v>
      </c>
      <c r="DQ17" s="102">
        <v>22.59635214</v>
      </c>
      <c r="DR17" s="102">
        <v>8.0950000000000006</v>
      </c>
      <c r="DS17" s="102">
        <v>12.360091240000001</v>
      </c>
      <c r="DT17" s="102">
        <v>0</v>
      </c>
      <c r="DU17" s="102">
        <v>22.713889300000002</v>
      </c>
      <c r="DW17" s="102">
        <v>105.6556681901376</v>
      </c>
      <c r="DX17" s="102">
        <v>95.750822077088927</v>
      </c>
      <c r="DY17" s="102">
        <v>106.97210938136365</v>
      </c>
      <c r="DZ17" s="102">
        <v>138.60210938136362</v>
      </c>
      <c r="EA17" s="102">
        <v>91.233359381363641</v>
      </c>
      <c r="EB17" s="102">
        <v>112.80335938136365</v>
      </c>
      <c r="EC17" s="102">
        <v>113.57953375136366</v>
      </c>
      <c r="ED17" s="102">
        <v>155.62953375136362</v>
      </c>
      <c r="EE17" s="102">
        <v>100.19953375136365</v>
      </c>
      <c r="EF17" s="102">
        <v>127.94953375136365</v>
      </c>
      <c r="EG17" s="102">
        <v>100.19953375136365</v>
      </c>
      <c r="EH17" s="102">
        <v>158.94953375136365</v>
      </c>
      <c r="EI17" s="102">
        <v>20.448252681000003</v>
      </c>
      <c r="EJ17" s="102">
        <v>5.5</v>
      </c>
      <c r="EK17" s="102">
        <v>28.72727373775</v>
      </c>
      <c r="EL17" s="102">
        <v>26.540210567499997</v>
      </c>
      <c r="EM17" s="102">
        <v>31.106294794499998</v>
      </c>
      <c r="EN17" s="102">
        <v>38.1116707025</v>
      </c>
      <c r="EO17" s="102">
        <v>22.086144283749999</v>
      </c>
      <c r="EP17" s="102">
        <v>11.82810217025</v>
      </c>
      <c r="EQ17" s="102">
        <v>20.262379021499999</v>
      </c>
      <c r="ER17" s="102">
        <v>5.7570631702500004</v>
      </c>
      <c r="ES17" s="102">
        <v>14.01</v>
      </c>
      <c r="ET17" s="102">
        <v>21.741039000000001</v>
      </c>
      <c r="EU17" s="102">
        <v>24.971270000000001</v>
      </c>
      <c r="EV17" s="102">
        <v>29.824999999999999</v>
      </c>
      <c r="EW17" s="102">
        <v>24.037490999999999</v>
      </c>
      <c r="EX17" s="102">
        <v>18.327999999999999</v>
      </c>
      <c r="EY17" s="102">
        <v>37.424982999999997</v>
      </c>
      <c r="EZ17" s="102">
        <v>3.625</v>
      </c>
      <c r="FA17" s="102">
        <v>30.387491000000001</v>
      </c>
      <c r="FB17" s="102">
        <v>18.356000000000002</v>
      </c>
      <c r="FC17" s="102">
        <v>0</v>
      </c>
      <c r="FD17" s="102">
        <v>0</v>
      </c>
      <c r="FE17" s="102">
        <v>2.5499999999999998</v>
      </c>
      <c r="FF17" s="102">
        <v>6.9</v>
      </c>
      <c r="FG17" s="102">
        <v>80.876999999999995</v>
      </c>
      <c r="FH17" s="102">
        <v>7.9649999999999999</v>
      </c>
      <c r="FI17" s="102">
        <v>0</v>
      </c>
      <c r="FJ17" s="102">
        <v>7.9649999999999999</v>
      </c>
      <c r="FK17" s="102">
        <v>16.274999999999999</v>
      </c>
      <c r="FL17" s="102">
        <v>23.664999999999999</v>
      </c>
      <c r="FM17" s="102">
        <v>15.7</v>
      </c>
      <c r="FN17" s="102">
        <v>16.850000000000001</v>
      </c>
      <c r="FO17" s="102">
        <v>15.7</v>
      </c>
      <c r="FP17" s="102">
        <v>31.771999999999998</v>
      </c>
      <c r="FQ17" s="102">
        <v>23.55</v>
      </c>
      <c r="FR17" s="102">
        <v>59.286000000000001</v>
      </c>
      <c r="FS17" s="102">
        <v>80.876999999999995</v>
      </c>
      <c r="FT17" s="102">
        <v>7.9649999999999999</v>
      </c>
      <c r="FU17" s="102">
        <v>0</v>
      </c>
      <c r="FV17" s="102">
        <v>7.9649999999999999</v>
      </c>
      <c r="FW17" s="102">
        <v>16.274999999999999</v>
      </c>
      <c r="FX17" s="102">
        <v>23.664999999999999</v>
      </c>
      <c r="FY17" s="102">
        <v>15.7</v>
      </c>
      <c r="FZ17" s="102">
        <v>16.850000000000001</v>
      </c>
      <c r="GA17" s="102">
        <v>15.7</v>
      </c>
      <c r="GB17" s="102">
        <v>31.771999999999998</v>
      </c>
      <c r="GC17" s="102">
        <v>23.55</v>
      </c>
      <c r="GD17" s="102">
        <v>59.286000000000001</v>
      </c>
      <c r="GF17" s="102">
        <f t="shared" si="5"/>
        <v>104.962153</v>
      </c>
      <c r="GG17" s="102">
        <f t="shared" si="5"/>
        <v>480.66527962999999</v>
      </c>
      <c r="GH17" s="102">
        <f t="shared" si="5"/>
        <v>694.59734570000012</v>
      </c>
      <c r="GI17" s="102">
        <f t="shared" si="5"/>
        <v>645.54000023999993</v>
      </c>
      <c r="GJ17" s="102">
        <f t="shared" si="43"/>
        <v>263.01486471000004</v>
      </c>
      <c r="GK17" s="102">
        <f t="shared" si="37"/>
        <v>407.53569569999996</v>
      </c>
      <c r="GL17" s="102">
        <f t="shared" si="38"/>
        <v>384.28658677000004</v>
      </c>
      <c r="GM17" s="102">
        <f t="shared" si="6"/>
        <v>568.17543209999997</v>
      </c>
      <c r="GN17" s="102">
        <f t="shared" si="7"/>
        <v>299.60499999999996</v>
      </c>
      <c r="GO17" s="102">
        <v>236.95803885999999</v>
      </c>
      <c r="GQ17" s="929">
        <f t="shared" si="8"/>
        <v>0.44507493080148808</v>
      </c>
      <c r="GR17" s="929">
        <f t="shared" si="8"/>
        <v>-7.0627026958419048E-2</v>
      </c>
      <c r="GS17" s="929">
        <f t="shared" si="8"/>
        <v>-0.59256612353654936</v>
      </c>
      <c r="GT17" s="929">
        <f t="shared" si="8"/>
        <v>0.5494778066986763</v>
      </c>
      <c r="GU17" s="929">
        <f t="shared" si="8"/>
        <v>-5.7048030823573126E-2</v>
      </c>
      <c r="GV17" s="929">
        <f t="shared" si="8"/>
        <v>0.47852007241683792</v>
      </c>
      <c r="GW17" s="929">
        <f t="shared" si="8"/>
        <v>-0.47268927328897792</v>
      </c>
      <c r="GX17" s="929">
        <f t="shared" si="8"/>
        <v>-0.20909851684718206</v>
      </c>
      <c r="GY17" s="929">
        <f t="shared" si="9"/>
        <v>-0.58294916416186238</v>
      </c>
      <c r="HA17" s="102">
        <f t="shared" si="10"/>
        <v>213.93206607000013</v>
      </c>
      <c r="HB17" s="102">
        <f t="shared" si="10"/>
        <v>-49.057345460000192</v>
      </c>
      <c r="HC17" s="102">
        <f t="shared" si="10"/>
        <v>-382.52513552999989</v>
      </c>
      <c r="HD17" s="102">
        <f t="shared" si="10"/>
        <v>144.52083098999992</v>
      </c>
      <c r="HE17" s="102">
        <f t="shared" si="10"/>
        <v>-23.24910892999992</v>
      </c>
      <c r="HF17" s="102">
        <f t="shared" si="10"/>
        <v>183.88884532999992</v>
      </c>
      <c r="HG17" s="102">
        <f t="shared" si="10"/>
        <v>-268.5704321</v>
      </c>
      <c r="HH17" s="102">
        <f t="shared" si="10"/>
        <v>-62.646961139999974</v>
      </c>
      <c r="HI17" s="102">
        <f t="shared" si="11"/>
        <v>-331.21739323999998</v>
      </c>
      <c r="HK17" s="32">
        <f t="shared" si="12"/>
        <v>1.3077448398317868E-2</v>
      </c>
      <c r="HL17" s="32">
        <f t="shared" si="12"/>
        <v>1.7636992455578409E-2</v>
      </c>
      <c r="HM17" s="32">
        <f t="shared" si="12"/>
        <v>3.8304652164760221E-2</v>
      </c>
      <c r="HN17" s="32">
        <f t="shared" si="12"/>
        <v>4.27525551022397E-2</v>
      </c>
      <c r="HO17" s="32">
        <f t="shared" si="12"/>
        <v>2.9902504134265821E-2</v>
      </c>
      <c r="HP17" s="32">
        <f t="shared" si="12"/>
        <v>2.7157038099540884E-2</v>
      </c>
      <c r="HQ17" s="32">
        <f t="shared" si="12"/>
        <v>2.676367417881452E-2</v>
      </c>
      <c r="HR17" s="32">
        <f t="shared" si="13"/>
        <v>1.9043945318906009E-2</v>
      </c>
      <c r="HS17" s="32">
        <f t="shared" si="13"/>
        <v>1.8776557550932684E-2</v>
      </c>
      <c r="HU17" s="102">
        <f t="shared" si="14"/>
        <v>35.102024</v>
      </c>
      <c r="HV17" s="102">
        <f t="shared" si="14"/>
        <v>265.93340795</v>
      </c>
      <c r="HW17" s="102">
        <f t="shared" si="14"/>
        <v>220.78310679000001</v>
      </c>
      <c r="HX17" s="102">
        <f t="shared" si="14"/>
        <v>400.33043686000002</v>
      </c>
      <c r="HY17" s="102">
        <f t="shared" si="14"/>
        <v>147.49826101000002</v>
      </c>
      <c r="HZ17" s="102">
        <f t="shared" si="14"/>
        <v>190.97966750000001</v>
      </c>
      <c r="IA17" s="102">
        <f t="shared" si="15"/>
        <v>203.94009538</v>
      </c>
      <c r="IB17" s="102">
        <f t="shared" si="16"/>
        <v>299.25780208999998</v>
      </c>
      <c r="IC17" s="102">
        <f t="shared" si="17"/>
        <v>105.39924222000002</v>
      </c>
      <c r="ID17" s="102">
        <f t="shared" si="18"/>
        <v>136.74699999999999</v>
      </c>
      <c r="IE17" s="102">
        <f t="shared" si="19"/>
        <v>105.39924222</v>
      </c>
      <c r="IF17" s="922">
        <f t="shared" si="20"/>
        <v>-0.64779784692697229</v>
      </c>
      <c r="IG17" s="102">
        <f t="shared" si="21"/>
        <v>105.39924222000002</v>
      </c>
      <c r="IH17" s="102">
        <f t="shared" si="21"/>
        <v>136.74699999999999</v>
      </c>
      <c r="II17" s="145"/>
      <c r="IJ17" s="929">
        <f t="shared" si="39"/>
        <v>0.77076091044044859</v>
      </c>
      <c r="IK17" s="930">
        <f t="shared" si="40"/>
        <v>-31.347757779999966</v>
      </c>
      <c r="IM17" s="32">
        <f t="shared" si="41"/>
        <v>1.620882387039423E-2</v>
      </c>
      <c r="IN17" s="929">
        <f t="shared" si="22"/>
        <v>1.9366693665916965E-2</v>
      </c>
      <c r="IP17" s="32">
        <f t="shared" si="23"/>
        <v>-0.16978047815823505</v>
      </c>
      <c r="IQ17" s="32">
        <f t="shared" si="23"/>
        <v>0.81322947520970534</v>
      </c>
      <c r="IR17" s="32">
        <f t="shared" si="23"/>
        <v>-0.63155871392915897</v>
      </c>
      <c r="IS17" s="32">
        <f t="shared" si="23"/>
        <v>0.29479267207802562</v>
      </c>
      <c r="IT17" s="32">
        <f t="shared" si="23"/>
        <v>6.7862867548452499E-2</v>
      </c>
      <c r="IU17" s="32">
        <f t="shared" si="23"/>
        <v>0.46738090679223832</v>
      </c>
      <c r="IV17" s="32">
        <f>+IFERROR(IE17/IB17-1,"NA")</f>
        <v>-0.64779784692697229</v>
      </c>
      <c r="IX17" s="102">
        <f t="shared" si="24"/>
        <v>-45.150301159999998</v>
      </c>
      <c r="IY17" s="102">
        <f t="shared" si="24"/>
        <v>179.54733007000002</v>
      </c>
      <c r="IZ17" s="102">
        <f t="shared" si="24"/>
        <v>-252.83217585</v>
      </c>
      <c r="JA17" s="102">
        <f t="shared" si="24"/>
        <v>43.481406489999983</v>
      </c>
      <c r="JB17" s="102">
        <f t="shared" si="24"/>
        <v>12.960427879999997</v>
      </c>
      <c r="JC17" s="102">
        <f t="shared" si="24"/>
        <v>95.317706709999982</v>
      </c>
      <c r="JD17" s="102">
        <f t="shared" si="25"/>
        <v>-193.85855986999997</v>
      </c>
      <c r="JF17" s="32">
        <f t="shared" si="26"/>
        <v>2.1946081471396536E-3</v>
      </c>
      <c r="JG17" s="32">
        <f t="shared" si="26"/>
        <v>1.559605138561077E-2</v>
      </c>
      <c r="JH17" s="32">
        <f t="shared" si="26"/>
        <v>1.358224731968356E-2</v>
      </c>
      <c r="JI17" s="32">
        <f t="shared" si="26"/>
        <v>4.2797442450122576E-2</v>
      </c>
      <c r="JJ17" s="32">
        <f t="shared" si="26"/>
        <v>7.3505641510646508E-2</v>
      </c>
      <c r="JK17" s="32">
        <f t="shared" si="26"/>
        <v>2.7513474336743865E-2</v>
      </c>
      <c r="JL17" s="32">
        <f t="shared" si="26"/>
        <v>3.8555975359760838E-2</v>
      </c>
      <c r="JM17" s="32">
        <f t="shared" si="45"/>
        <v>1.54574105569749E-2</v>
      </c>
      <c r="JO17" s="102">
        <f t="shared" si="27"/>
        <v>0</v>
      </c>
      <c r="JP17" s="102">
        <f t="shared" si="27"/>
        <v>25.254890000000017</v>
      </c>
      <c r="JQ17" s="102">
        <f t="shared" si="27"/>
        <v>46.569414990000006</v>
      </c>
      <c r="JR17" s="102">
        <f t="shared" si="27"/>
        <v>58.105697620000001</v>
      </c>
      <c r="JS17" s="102">
        <f t="shared" si="27"/>
        <v>14.654508420000003</v>
      </c>
      <c r="JT17" s="102">
        <f t="shared" si="28"/>
        <v>21.763267060000004</v>
      </c>
      <c r="JU17" s="102">
        <f t="shared" si="29"/>
        <v>47.248046059999993</v>
      </c>
      <c r="JV17" s="102">
        <f t="shared" si="29"/>
        <v>22.47492175</v>
      </c>
      <c r="JW17" s="102">
        <f t="shared" si="30"/>
        <v>7.5746441899999999</v>
      </c>
      <c r="JX17" s="102">
        <f t="shared" si="42"/>
        <v>23.664999999999999</v>
      </c>
      <c r="JY17" s="102">
        <f t="shared" si="31"/>
        <v>7.5746441900000017</v>
      </c>
      <c r="KB17" s="32">
        <f t="shared" si="32"/>
        <v>0.84397615630081835</v>
      </c>
      <c r="KC17" s="32">
        <f t="shared" si="32"/>
        <v>0.24772230083794722</v>
      </c>
      <c r="KD17" s="32">
        <f t="shared" si="32"/>
        <v>-0.74779567202105302</v>
      </c>
      <c r="KE17" s="32">
        <f t="shared" si="32"/>
        <v>0.48509021498791438</v>
      </c>
      <c r="KF17" s="32">
        <f t="shared" si="32"/>
        <v>1.1709996908892402</v>
      </c>
      <c r="KG17" s="32">
        <f t="shared" si="32"/>
        <v>-0.52432060954522353</v>
      </c>
      <c r="KH17" s="32">
        <f t="shared" si="33"/>
        <v>-0.66297350112019848</v>
      </c>
      <c r="KJ17" s="102">
        <f t="shared" si="34"/>
        <v>21.314524989999988</v>
      </c>
      <c r="KK17" s="102">
        <f t="shared" si="34"/>
        <v>11.536282629999995</v>
      </c>
      <c r="KL17" s="102">
        <f t="shared" si="34"/>
        <v>-43.451189200000002</v>
      </c>
      <c r="KM17" s="102">
        <f t="shared" si="34"/>
        <v>7.1087586400000013</v>
      </c>
      <c r="KN17" s="102">
        <f t="shared" si="34"/>
        <v>25.484778999999989</v>
      </c>
      <c r="KO17" s="102">
        <f t="shared" si="34"/>
        <v>-24.773124309999993</v>
      </c>
      <c r="KP17" s="102">
        <f t="shared" si="35"/>
        <v>-14.900277559999999</v>
      </c>
      <c r="KR17" s="32">
        <f t="shared" si="36"/>
        <v>0</v>
      </c>
      <c r="KS17" s="32">
        <f t="shared" si="36"/>
        <v>7.5090825332936248E-3</v>
      </c>
      <c r="KT17" s="32">
        <f t="shared" si="36"/>
        <v>1.8561442224212951E-2</v>
      </c>
      <c r="KU17" s="32">
        <f t="shared" si="36"/>
        <v>6.4946730394511376E-2</v>
      </c>
      <c r="KV17" s="32">
        <f t="shared" si="36"/>
        <v>4.6962957797209708E-2</v>
      </c>
      <c r="KW17" s="32">
        <f t="shared" si="36"/>
        <v>2.1462337484891097E-2</v>
      </c>
      <c r="KX17" s="32">
        <f t="shared" si="36"/>
        <v>5.3865531984930076E-2</v>
      </c>
      <c r="KY17" s="32">
        <f t="shared" si="36"/>
        <v>1.4688388590759348E-2</v>
      </c>
      <c r="KZ17" s="32">
        <f t="shared" si="46"/>
        <v>2.0668349860235143E-2</v>
      </c>
    </row>
    <row r="18" spans="1:312" outlineLevel="2">
      <c r="A18" s="884">
        <v>4175</v>
      </c>
      <c r="B18" s="70" t="s">
        <v>627</v>
      </c>
      <c r="C18" s="40" t="s">
        <v>628</v>
      </c>
      <c r="D18" s="31" t="s">
        <v>59</v>
      </c>
      <c r="E18" s="102">
        <v>0</v>
      </c>
      <c r="F18" s="102">
        <v>0</v>
      </c>
      <c r="G18" s="102">
        <v>-3.8854199999999999</v>
      </c>
      <c r="H18" s="102">
        <v>0</v>
      </c>
      <c r="I18" s="102">
        <v>0</v>
      </c>
      <c r="J18" s="102">
        <v>0</v>
      </c>
      <c r="K18" s="102">
        <v>0</v>
      </c>
      <c r="L18" s="102">
        <v>0</v>
      </c>
      <c r="M18" s="102">
        <v>-387.29736438999998</v>
      </c>
      <c r="N18" s="102">
        <v>-5.8109999999999786</v>
      </c>
      <c r="O18" s="102">
        <v>-1.407970750000004</v>
      </c>
      <c r="P18" s="102">
        <v>0</v>
      </c>
      <c r="Q18" s="102">
        <v>-63.428443999999999</v>
      </c>
      <c r="R18" s="102">
        <v>0</v>
      </c>
      <c r="S18" s="102">
        <v>0</v>
      </c>
      <c r="T18" s="102">
        <v>0</v>
      </c>
      <c r="U18" s="102">
        <v>0</v>
      </c>
      <c r="V18" s="102">
        <v>0</v>
      </c>
      <c r="W18" s="102">
        <v>-5.6471399999999932</v>
      </c>
      <c r="X18" s="102">
        <v>0</v>
      </c>
      <c r="Y18" s="102">
        <v>-74.033960000000008</v>
      </c>
      <c r="Z18" s="102">
        <v>0</v>
      </c>
      <c r="AA18" s="102">
        <v>0</v>
      </c>
      <c r="AB18" s="102">
        <v>0</v>
      </c>
      <c r="AC18" s="102">
        <v>0</v>
      </c>
      <c r="AD18" s="102">
        <v>-0.48011399999999999</v>
      </c>
      <c r="AE18" s="102">
        <v>0</v>
      </c>
      <c r="AF18" s="102">
        <v>0</v>
      </c>
      <c r="AG18" s="102">
        <v>0</v>
      </c>
      <c r="AH18" s="102">
        <v>0</v>
      </c>
      <c r="AI18" s="102">
        <v>0</v>
      </c>
      <c r="AJ18" s="102">
        <v>0</v>
      </c>
      <c r="AK18" s="102">
        <v>0</v>
      </c>
      <c r="AL18" s="102">
        <v>-152.20020314999999</v>
      </c>
      <c r="AM18" s="102">
        <v>0</v>
      </c>
      <c r="AN18" s="102">
        <v>0</v>
      </c>
      <c r="AO18" s="102">
        <v>0</v>
      </c>
      <c r="AP18" s="145">
        <v>0</v>
      </c>
      <c r="AQ18" s="143">
        <v>0</v>
      </c>
      <c r="AR18" s="143">
        <v>0</v>
      </c>
      <c r="AS18" s="102">
        <v>0</v>
      </c>
      <c r="AT18" s="102">
        <v>0</v>
      </c>
      <c r="AU18" s="102">
        <v>0</v>
      </c>
      <c r="AV18" s="102">
        <v>0</v>
      </c>
      <c r="AW18" s="102">
        <v>0</v>
      </c>
      <c r="AX18" s="102">
        <v>0</v>
      </c>
      <c r="AY18" s="102">
        <v>0</v>
      </c>
      <c r="AZ18" s="102">
        <v>0</v>
      </c>
      <c r="BA18" s="102">
        <v>0</v>
      </c>
      <c r="BB18" s="102">
        <v>0</v>
      </c>
      <c r="BC18" s="102">
        <v>0</v>
      </c>
      <c r="BD18" s="102">
        <v>0</v>
      </c>
      <c r="BE18" s="102">
        <v>0</v>
      </c>
      <c r="BF18" s="102">
        <v>0</v>
      </c>
      <c r="BG18" s="102">
        <v>0</v>
      </c>
      <c r="BH18" s="102">
        <v>0</v>
      </c>
      <c r="BI18" s="102">
        <v>0</v>
      </c>
      <c r="BJ18" s="102">
        <v>0</v>
      </c>
      <c r="BK18" s="102">
        <v>0</v>
      </c>
      <c r="BL18" s="102">
        <v>0</v>
      </c>
      <c r="BM18" s="102">
        <v>0</v>
      </c>
      <c r="BN18" s="102">
        <v>0</v>
      </c>
      <c r="BO18" s="102">
        <v>0</v>
      </c>
      <c r="BP18" s="102">
        <v>0</v>
      </c>
      <c r="BQ18" s="102">
        <v>0</v>
      </c>
      <c r="BR18" s="102">
        <v>0</v>
      </c>
      <c r="BS18" s="102">
        <v>0</v>
      </c>
      <c r="BT18" s="102">
        <v>0</v>
      </c>
      <c r="BU18" s="102">
        <v>0</v>
      </c>
      <c r="BV18" s="102">
        <v>0</v>
      </c>
      <c r="BW18" s="102">
        <v>0</v>
      </c>
      <c r="BX18" s="102">
        <v>0</v>
      </c>
      <c r="BY18" s="102">
        <v>0</v>
      </c>
      <c r="BZ18" s="102">
        <v>0</v>
      </c>
      <c r="CA18" s="102">
        <v>0</v>
      </c>
      <c r="CB18" s="102">
        <v>0</v>
      </c>
      <c r="CC18" s="102">
        <v>0</v>
      </c>
      <c r="CD18" s="102">
        <v>0</v>
      </c>
      <c r="CE18" s="102">
        <v>0</v>
      </c>
      <c r="CF18" s="102">
        <v>0</v>
      </c>
      <c r="CG18" s="102">
        <v>0</v>
      </c>
      <c r="CH18" s="102">
        <v>0</v>
      </c>
      <c r="CI18" s="102">
        <v>0</v>
      </c>
      <c r="CJ18" s="102">
        <v>0</v>
      </c>
      <c r="CK18" s="1169">
        <v>0</v>
      </c>
      <c r="CL18" s="1169">
        <v>0</v>
      </c>
      <c r="CM18" s="1169">
        <v>0</v>
      </c>
      <c r="CN18" s="1169">
        <v>0</v>
      </c>
      <c r="CO18" s="1169">
        <v>0</v>
      </c>
      <c r="CP18" s="1169">
        <v>-176.097598</v>
      </c>
      <c r="CQ18" s="1169">
        <v>-43.615600690000001</v>
      </c>
      <c r="CR18" s="1169">
        <v>-43.958432000000002</v>
      </c>
      <c r="CS18" s="1169">
        <v>-44.648424060000004</v>
      </c>
      <c r="CT18" s="1169">
        <v>-50.889251860000002</v>
      </c>
      <c r="CU18" s="1169">
        <v>-40.247999950000001</v>
      </c>
      <c r="CV18" s="1169">
        <v>-72.432848150000012</v>
      </c>
      <c r="CW18" s="1169">
        <v>-47.172851000000001</v>
      </c>
      <c r="CX18" s="1169">
        <v>-44.881557999999998</v>
      </c>
      <c r="CY18" s="1169">
        <v>-47.491267999999998</v>
      </c>
      <c r="CZ18" s="1169">
        <v>-29.513200000000001</v>
      </c>
      <c r="DA18" s="1169">
        <v>-6.6898530000000003</v>
      </c>
      <c r="DB18" s="1169">
        <v>-11.930493999999999</v>
      </c>
      <c r="DC18" s="1169">
        <v>14.184597999999999</v>
      </c>
      <c r="DD18" s="1169">
        <v>-28.224516000000001</v>
      </c>
      <c r="DE18" s="1169">
        <v>-25.334088000000001</v>
      </c>
      <c r="DF18" s="1169">
        <v>-31.021319999999999</v>
      </c>
      <c r="DG18" s="1169">
        <v>-20.421362999999999</v>
      </c>
      <c r="DH18" s="1169">
        <v>36.812871000000001</v>
      </c>
      <c r="DJ18" s="102">
        <v>-47.172851000000001</v>
      </c>
      <c r="DK18" s="102">
        <v>-44.881557999999998</v>
      </c>
      <c r="DL18" s="102">
        <v>-47.491267999999998</v>
      </c>
      <c r="DM18" s="102">
        <v>-29.513200000000001</v>
      </c>
      <c r="DN18" s="102">
        <v>-6.6898530000000003</v>
      </c>
      <c r="DO18" s="102">
        <v>-11.930493999999999</v>
      </c>
      <c r="DP18" s="102">
        <v>-4.258727801800001</v>
      </c>
      <c r="DQ18" s="102">
        <v>-7.8144729492000007</v>
      </c>
      <c r="DR18" s="102">
        <v>-6.0270218858000018</v>
      </c>
      <c r="DS18" s="102">
        <v>-4.8589321892000008</v>
      </c>
      <c r="DT18" s="102">
        <v>-4.1093391030000008</v>
      </c>
      <c r="DU18" s="102">
        <v>-4.3364779960000011</v>
      </c>
      <c r="DW18" s="102">
        <v>0</v>
      </c>
      <c r="DX18" s="102">
        <v>0</v>
      </c>
      <c r="DY18" s="102">
        <v>0</v>
      </c>
      <c r="DZ18" s="102">
        <v>0</v>
      </c>
      <c r="EA18" s="102">
        <v>0</v>
      </c>
      <c r="EB18" s="102">
        <v>0</v>
      </c>
      <c r="EC18" s="102">
        <v>0</v>
      </c>
      <c r="ED18" s="102">
        <v>0</v>
      </c>
      <c r="EE18" s="102">
        <v>0</v>
      </c>
      <c r="EF18" s="102">
        <v>0</v>
      </c>
      <c r="EG18" s="102">
        <v>0</v>
      </c>
      <c r="EH18" s="102">
        <v>0</v>
      </c>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F18" s="102">
        <f t="shared" si="5"/>
        <v>-398.40175513999998</v>
      </c>
      <c r="GG18" s="102">
        <f t="shared" si="5"/>
        <v>-143.109544</v>
      </c>
      <c r="GH18" s="102">
        <f t="shared" si="5"/>
        <v>-152.68031714999998</v>
      </c>
      <c r="GI18" s="102">
        <f t="shared" si="5"/>
        <v>0</v>
      </c>
      <c r="GJ18" s="102">
        <f t="shared" si="43"/>
        <v>0</v>
      </c>
      <c r="GK18" s="102">
        <f t="shared" si="37"/>
        <v>0</v>
      </c>
      <c r="GL18" s="102">
        <f t="shared" si="38"/>
        <v>0</v>
      </c>
      <c r="GM18" s="102">
        <f t="shared" si="6"/>
        <v>-471.89015471000005</v>
      </c>
      <c r="GN18" s="102">
        <f t="shared" si="7"/>
        <v>0</v>
      </c>
      <c r="GO18" s="102">
        <v>-241.68304199999997</v>
      </c>
      <c r="GQ18" s="929">
        <f t="shared" si="8"/>
        <v>6.6877252784761643E-2</v>
      </c>
      <c r="GR18" s="929">
        <f t="shared" si="8"/>
        <v>-1</v>
      </c>
      <c r="GS18" s="929" t="str">
        <f t="shared" si="8"/>
        <v/>
      </c>
      <c r="GT18" s="929" t="str">
        <f t="shared" si="8"/>
        <v/>
      </c>
      <c r="GU18" s="929" t="str">
        <f t="shared" si="8"/>
        <v/>
      </c>
      <c r="GV18" s="929" t="str">
        <f t="shared" si="8"/>
        <v/>
      </c>
      <c r="GW18" s="929">
        <f t="shared" si="8"/>
        <v>-1</v>
      </c>
      <c r="GX18" s="929" t="str">
        <f t="shared" si="8"/>
        <v/>
      </c>
      <c r="GY18" s="929">
        <f t="shared" si="9"/>
        <v>-0.48784046543940673</v>
      </c>
      <c r="HA18" s="102">
        <f t="shared" si="10"/>
        <v>-9.5707731499999795</v>
      </c>
      <c r="HB18" s="102">
        <f t="shared" si="10"/>
        <v>152.68031714999998</v>
      </c>
      <c r="HC18" s="102">
        <f t="shared" si="10"/>
        <v>0</v>
      </c>
      <c r="HD18" s="102">
        <f t="shared" si="10"/>
        <v>0</v>
      </c>
      <c r="HE18" s="102">
        <f t="shared" si="10"/>
        <v>0</v>
      </c>
      <c r="HF18" s="102">
        <f t="shared" si="10"/>
        <v>-471.89015471000005</v>
      </c>
      <c r="HG18" s="102">
        <f t="shared" si="10"/>
        <v>471.89015471000005</v>
      </c>
      <c r="HH18" s="102">
        <f t="shared" si="10"/>
        <v>-241.68304199999997</v>
      </c>
      <c r="HI18" s="102">
        <f t="shared" si="11"/>
        <v>230.20711271000008</v>
      </c>
      <c r="HK18" s="32">
        <f t="shared" si="12"/>
        <v>-3.8935778311415051E-3</v>
      </c>
      <c r="HL18" s="32">
        <f t="shared" si="12"/>
        <v>-3.8768095190114802E-3</v>
      </c>
      <c r="HM18" s="32">
        <f t="shared" si="12"/>
        <v>0</v>
      </c>
      <c r="HN18" s="32">
        <f t="shared" si="12"/>
        <v>0</v>
      </c>
      <c r="HO18" s="32">
        <f t="shared" si="12"/>
        <v>0</v>
      </c>
      <c r="HP18" s="32">
        <f t="shared" si="12"/>
        <v>0</v>
      </c>
      <c r="HQ18" s="32">
        <f t="shared" si="12"/>
        <v>-2.2228195087861523E-2</v>
      </c>
      <c r="HR18" s="32">
        <f t="shared" si="13"/>
        <v>0</v>
      </c>
      <c r="HS18" s="32">
        <f t="shared" si="13"/>
        <v>-1.9150966850627154E-2</v>
      </c>
      <c r="HU18" s="102">
        <f t="shared" si="14"/>
        <v>-3.8854199999999999</v>
      </c>
      <c r="HV18" s="102">
        <f t="shared" si="14"/>
        <v>-63.428443999999999</v>
      </c>
      <c r="HW18" s="102">
        <f t="shared" si="14"/>
        <v>-0.48011399999999999</v>
      </c>
      <c r="HX18" s="102">
        <f t="shared" si="14"/>
        <v>0</v>
      </c>
      <c r="HY18" s="102">
        <f t="shared" si="14"/>
        <v>0</v>
      </c>
      <c r="HZ18" s="102">
        <f t="shared" si="14"/>
        <v>0</v>
      </c>
      <c r="IA18" s="102">
        <f t="shared" si="15"/>
        <v>0</v>
      </c>
      <c r="IB18" s="102">
        <f t="shared" si="16"/>
        <v>-176.097598</v>
      </c>
      <c r="IC18" s="102">
        <f t="shared" si="17"/>
        <v>-187.679224</v>
      </c>
      <c r="ID18" s="102">
        <f t="shared" si="18"/>
        <v>0</v>
      </c>
      <c r="IE18" s="102">
        <f t="shared" si="19"/>
        <v>-187.679224</v>
      </c>
      <c r="IF18" s="922">
        <f t="shared" si="20"/>
        <v>6.5768222460365511E-2</v>
      </c>
      <c r="IG18" s="102">
        <f t="shared" si="21"/>
        <v>-187.679224</v>
      </c>
      <c r="IH18" s="102">
        <f t="shared" si="21"/>
        <v>0</v>
      </c>
      <c r="II18" s="145"/>
      <c r="IJ18" s="929" t="str">
        <f t="shared" si="39"/>
        <v>NA</v>
      </c>
      <c r="IK18" s="930">
        <f t="shared" si="40"/>
        <v>-187.679224</v>
      </c>
      <c r="IM18" s="32">
        <f t="shared" si="41"/>
        <v>-2.8862251965707394E-2</v>
      </c>
      <c r="IN18" s="929">
        <f t="shared" si="22"/>
        <v>0</v>
      </c>
      <c r="IP18" s="929">
        <f t="shared" ref="IP18:IU19" si="50">+IFERROR(HW18/HV18-1,"")</f>
        <v>-0.99243061992818238</v>
      </c>
      <c r="IQ18" s="929">
        <f t="shared" si="50"/>
        <v>-1</v>
      </c>
      <c r="IR18" s="929" t="str">
        <f t="shared" si="50"/>
        <v/>
      </c>
      <c r="IS18" s="929" t="str">
        <f t="shared" si="50"/>
        <v/>
      </c>
      <c r="IT18" s="929" t="str">
        <f t="shared" si="50"/>
        <v/>
      </c>
      <c r="IU18" s="929" t="str">
        <f t="shared" si="50"/>
        <v/>
      </c>
      <c r="IV18" s="929">
        <f>+IFERROR(IE18/IB18-1,"")</f>
        <v>6.5768222460365511E-2</v>
      </c>
      <c r="IX18" s="102">
        <f t="shared" si="24"/>
        <v>62.948329999999999</v>
      </c>
      <c r="IY18" s="102">
        <f t="shared" si="24"/>
        <v>0.48011399999999999</v>
      </c>
      <c r="IZ18" s="102">
        <f t="shared" si="24"/>
        <v>0</v>
      </c>
      <c r="JA18" s="102">
        <f t="shared" si="24"/>
        <v>0</v>
      </c>
      <c r="JB18" s="102">
        <f t="shared" si="24"/>
        <v>0</v>
      </c>
      <c r="JC18" s="102">
        <f t="shared" si="24"/>
        <v>-176.097598</v>
      </c>
      <c r="JD18" s="102">
        <f t="shared" si="25"/>
        <v>-11.581626</v>
      </c>
      <c r="JF18" s="32">
        <f t="shared" si="26"/>
        <v>-2.4291973554172694E-4</v>
      </c>
      <c r="JG18" s="32">
        <f t="shared" si="26"/>
        <v>-3.7198533255337661E-3</v>
      </c>
      <c r="JH18" s="32">
        <f t="shared" si="26"/>
        <v>-2.9535896946341508E-5</v>
      </c>
      <c r="JI18" s="32">
        <f t="shared" si="26"/>
        <v>0</v>
      </c>
      <c r="JJ18" s="32">
        <f t="shared" si="26"/>
        <v>0</v>
      </c>
      <c r="JK18" s="32">
        <f t="shared" si="26"/>
        <v>0</v>
      </c>
      <c r="JL18" s="32">
        <f t="shared" si="26"/>
        <v>0</v>
      </c>
      <c r="JM18" s="32">
        <f t="shared" si="45"/>
        <v>-2.7524247397596301E-2</v>
      </c>
      <c r="JO18" s="102">
        <f t="shared" si="27"/>
        <v>0</v>
      </c>
      <c r="JP18" s="102">
        <f t="shared" si="27"/>
        <v>0</v>
      </c>
      <c r="JQ18" s="102">
        <f t="shared" si="27"/>
        <v>0</v>
      </c>
      <c r="JR18" s="102">
        <f t="shared" si="27"/>
        <v>0</v>
      </c>
      <c r="JS18" s="102">
        <f t="shared" si="27"/>
        <v>0</v>
      </c>
      <c r="JT18" s="102">
        <f t="shared" si="28"/>
        <v>0</v>
      </c>
      <c r="JU18" s="102">
        <f t="shared" si="29"/>
        <v>0</v>
      </c>
      <c r="JV18" s="102">
        <f t="shared" si="29"/>
        <v>-176.097598</v>
      </c>
      <c r="JW18" s="102">
        <f t="shared" si="30"/>
        <v>-11.930493999999999</v>
      </c>
      <c r="JX18" s="102">
        <f t="shared" si="42"/>
        <v>0</v>
      </c>
      <c r="JY18" s="102">
        <f t="shared" si="31"/>
        <v>-11.930493999999999</v>
      </c>
      <c r="KB18" s="32" t="str">
        <f t="shared" si="32"/>
        <v xml:space="preserve"> </v>
      </c>
      <c r="KC18" s="32" t="str">
        <f t="shared" si="32"/>
        <v xml:space="preserve"> </v>
      </c>
      <c r="KD18" s="32" t="str">
        <f t="shared" si="32"/>
        <v xml:space="preserve"> </v>
      </c>
      <c r="KE18" s="32" t="str">
        <f t="shared" si="32"/>
        <v xml:space="preserve"> </v>
      </c>
      <c r="KF18" s="32" t="str">
        <f t="shared" si="32"/>
        <v xml:space="preserve"> </v>
      </c>
      <c r="KG18" s="32" t="str">
        <f t="shared" si="32"/>
        <v xml:space="preserve"> </v>
      </c>
      <c r="KH18" s="32">
        <f t="shared" si="33"/>
        <v>-0.93225067158496966</v>
      </c>
      <c r="KJ18" s="102">
        <f t="shared" si="34"/>
        <v>0</v>
      </c>
      <c r="KK18" s="102">
        <f t="shared" si="34"/>
        <v>0</v>
      </c>
      <c r="KL18" s="102">
        <f t="shared" si="34"/>
        <v>0</v>
      </c>
      <c r="KM18" s="102">
        <f t="shared" si="34"/>
        <v>0</v>
      </c>
      <c r="KN18" s="102">
        <f t="shared" si="34"/>
        <v>0</v>
      </c>
      <c r="KO18" s="102">
        <f t="shared" si="34"/>
        <v>-176.097598</v>
      </c>
      <c r="KP18" s="102">
        <f t="shared" si="35"/>
        <v>164.16710399999999</v>
      </c>
      <c r="KR18" s="32">
        <f t="shared" si="36"/>
        <v>0</v>
      </c>
      <c r="KS18" s="32">
        <f t="shared" si="36"/>
        <v>0</v>
      </c>
      <c r="KT18" s="32">
        <f t="shared" si="36"/>
        <v>0</v>
      </c>
      <c r="KU18" s="32">
        <f t="shared" si="36"/>
        <v>0</v>
      </c>
      <c r="KV18" s="32">
        <f t="shared" si="36"/>
        <v>0</v>
      </c>
      <c r="KW18" s="32">
        <f t="shared" si="36"/>
        <v>0</v>
      </c>
      <c r="KX18" s="32">
        <f t="shared" si="36"/>
        <v>0</v>
      </c>
      <c r="KY18" s="32">
        <f t="shared" si="36"/>
        <v>-0.11508782891861798</v>
      </c>
      <c r="KZ18" s="32">
        <f t="shared" si="46"/>
        <v>-3.2553822702718414E-2</v>
      </c>
    </row>
    <row r="19" spans="1:312" outlineLevel="2">
      <c r="A19" s="884">
        <v>4155</v>
      </c>
      <c r="B19" s="884"/>
      <c r="C19" s="399" t="s">
        <v>64</v>
      </c>
      <c r="D19" s="307" t="s">
        <v>59</v>
      </c>
      <c r="E19" s="931">
        <v>0</v>
      </c>
      <c r="F19" s="931">
        <v>138.01898159999999</v>
      </c>
      <c r="G19" s="931">
        <v>0</v>
      </c>
      <c r="H19" s="931">
        <v>0</v>
      </c>
      <c r="I19" s="931">
        <v>220.25868240000003</v>
      </c>
      <c r="J19" s="931">
        <v>20.723007199999984</v>
      </c>
      <c r="K19" s="931">
        <v>163.2464895</v>
      </c>
      <c r="L19" s="931">
        <v>110.65612288</v>
      </c>
      <c r="M19" s="931">
        <v>0</v>
      </c>
      <c r="N19" s="931">
        <v>127.53296109999997</v>
      </c>
      <c r="O19" s="931">
        <v>69.024241999999958</v>
      </c>
      <c r="P19" s="931">
        <v>96.041332800000077</v>
      </c>
      <c r="Q19" s="931">
        <v>81.475136599999999</v>
      </c>
      <c r="R19" s="931">
        <v>0</v>
      </c>
      <c r="S19" s="931">
        <v>63.687009599999996</v>
      </c>
      <c r="T19" s="931">
        <v>40.692038400000001</v>
      </c>
      <c r="U19" s="931">
        <v>83.129520179999986</v>
      </c>
      <c r="V19" s="931">
        <v>0</v>
      </c>
      <c r="W19" s="931">
        <v>30.093919999999969</v>
      </c>
      <c r="X19" s="931">
        <v>95.94574080000001</v>
      </c>
      <c r="Y19" s="931">
        <v>-32.485627679999993</v>
      </c>
      <c r="Z19" s="931">
        <v>79.510041600000022</v>
      </c>
      <c r="AA19" s="931">
        <v>61.436480000000017</v>
      </c>
      <c r="AB19" s="931">
        <v>137.49260720000007</v>
      </c>
      <c r="AC19" s="931">
        <v>0</v>
      </c>
      <c r="AD19" s="931">
        <v>66.194415000000006</v>
      </c>
      <c r="AE19" s="931">
        <v>55.994365999999999</v>
      </c>
      <c r="AF19" s="931">
        <v>3.8702800000000002</v>
      </c>
      <c r="AG19" s="931">
        <v>-3.8702800000000002</v>
      </c>
      <c r="AH19" s="931">
        <v>205.13131090000002</v>
      </c>
      <c r="AI19" s="931">
        <v>48.802635000000002</v>
      </c>
      <c r="AJ19" s="931">
        <v>45.987756600000004</v>
      </c>
      <c r="AK19" s="931">
        <v>49.048646399999996</v>
      </c>
      <c r="AL19" s="931">
        <v>49.581573599999999</v>
      </c>
      <c r="AM19" s="931">
        <v>46.9800276</v>
      </c>
      <c r="AN19" s="931">
        <v>39.302206500000011</v>
      </c>
      <c r="AO19" s="931">
        <v>30.715697900000009</v>
      </c>
      <c r="AP19" s="932">
        <v>59.756830099999988</v>
      </c>
      <c r="AQ19" s="936">
        <v>57.113094600000004</v>
      </c>
      <c r="AR19" s="936">
        <v>71.781437699999998</v>
      </c>
      <c r="AS19" s="931">
        <v>63.944080499999998</v>
      </c>
      <c r="AT19" s="931">
        <v>78.50863720000001</v>
      </c>
      <c r="AU19" s="931">
        <v>88.720729200000008</v>
      </c>
      <c r="AV19" s="931">
        <v>129.73747120000002</v>
      </c>
      <c r="AW19" s="931">
        <v>57.636223999999999</v>
      </c>
      <c r="AX19" s="931">
        <v>149.11339599999999</v>
      </c>
      <c r="AY19" s="931">
        <v>58.445327799999994</v>
      </c>
      <c r="AZ19" s="931">
        <v>9.6754320000000007</v>
      </c>
      <c r="BA19" s="931">
        <v>81.552331199999998</v>
      </c>
      <c r="BB19" s="931">
        <v>34.382399999999997</v>
      </c>
      <c r="BC19" s="931">
        <v>69.656958400000008</v>
      </c>
      <c r="BD19" s="931">
        <v>41.554367999999997</v>
      </c>
      <c r="BE19" s="931">
        <v>44.196047999999998</v>
      </c>
      <c r="BF19" s="931">
        <v>46.382872800000015</v>
      </c>
      <c r="BG19" s="931">
        <v>1.137805600000009</v>
      </c>
      <c r="BH19" s="931">
        <v>0</v>
      </c>
      <c r="BI19" s="931">
        <v>0</v>
      </c>
      <c r="BJ19" s="931">
        <v>0</v>
      </c>
      <c r="BK19" s="931">
        <v>0</v>
      </c>
      <c r="BL19" s="931">
        <v>0</v>
      </c>
      <c r="BM19" s="102">
        <v>0</v>
      </c>
      <c r="BN19" s="931">
        <v>0</v>
      </c>
      <c r="BO19" s="931">
        <v>0</v>
      </c>
      <c r="BP19" s="931">
        <v>0</v>
      </c>
      <c r="BQ19" s="931">
        <v>0</v>
      </c>
      <c r="BR19" s="931">
        <v>0</v>
      </c>
      <c r="BS19" s="931">
        <v>0</v>
      </c>
      <c r="BT19" s="931">
        <v>0</v>
      </c>
      <c r="BU19" s="931">
        <v>0</v>
      </c>
      <c r="BV19" s="931">
        <v>0</v>
      </c>
      <c r="BW19" s="931">
        <v>0</v>
      </c>
      <c r="BX19" s="931">
        <v>0</v>
      </c>
      <c r="BY19" s="931">
        <v>0</v>
      </c>
      <c r="BZ19" s="931">
        <v>0</v>
      </c>
      <c r="CA19" s="931">
        <v>0</v>
      </c>
      <c r="CB19" s="931">
        <v>0</v>
      </c>
      <c r="CC19" s="931">
        <v>0</v>
      </c>
      <c r="CD19" s="931">
        <v>0</v>
      </c>
      <c r="CE19" s="931">
        <v>0</v>
      </c>
      <c r="CF19" s="931">
        <v>0</v>
      </c>
      <c r="CG19" s="931">
        <v>0</v>
      </c>
      <c r="CH19" s="931">
        <v>0</v>
      </c>
      <c r="CI19" s="931">
        <v>0</v>
      </c>
      <c r="CJ19" s="931">
        <v>0</v>
      </c>
      <c r="CK19" s="1170">
        <v>0</v>
      </c>
      <c r="CL19" s="1170">
        <v>0</v>
      </c>
      <c r="CM19" s="1170">
        <v>0</v>
      </c>
      <c r="CN19" s="1170">
        <v>0</v>
      </c>
      <c r="CO19" s="1170">
        <v>0</v>
      </c>
      <c r="CP19" s="1170">
        <v>0</v>
      </c>
      <c r="CQ19" s="1170">
        <v>0</v>
      </c>
      <c r="CR19" s="1170">
        <v>0</v>
      </c>
      <c r="CS19" s="1170">
        <v>0</v>
      </c>
      <c r="CT19" s="1170">
        <v>2.2501020600000001</v>
      </c>
      <c r="CU19" s="1170">
        <v>0</v>
      </c>
      <c r="CV19" s="1170">
        <v>0</v>
      </c>
      <c r="CW19" s="1170">
        <v>0</v>
      </c>
      <c r="CX19" s="1170">
        <v>0</v>
      </c>
      <c r="CY19" s="1170">
        <v>0</v>
      </c>
      <c r="CZ19" s="1170">
        <v>0</v>
      </c>
      <c r="DA19" s="1170">
        <v>0</v>
      </c>
      <c r="DB19" s="1170">
        <v>0</v>
      </c>
      <c r="DC19" s="1170">
        <v>0</v>
      </c>
      <c r="DD19" s="1170">
        <v>0</v>
      </c>
      <c r="DE19" s="1170">
        <v>0</v>
      </c>
      <c r="DF19" s="1170">
        <v>0</v>
      </c>
      <c r="DG19" s="1170">
        <v>0</v>
      </c>
      <c r="DH19" s="1170">
        <v>0</v>
      </c>
      <c r="DJ19" s="931">
        <v>0</v>
      </c>
      <c r="DK19" s="931">
        <v>0</v>
      </c>
      <c r="DL19" s="931">
        <v>0</v>
      </c>
      <c r="DM19" s="931">
        <v>0</v>
      </c>
      <c r="DN19" s="931">
        <v>0</v>
      </c>
      <c r="DO19" s="931">
        <v>0</v>
      </c>
      <c r="DP19" s="931">
        <v>0</v>
      </c>
      <c r="DQ19" s="931">
        <v>0</v>
      </c>
      <c r="DR19" s="931">
        <v>0</v>
      </c>
      <c r="DS19" s="931">
        <v>0</v>
      </c>
      <c r="DT19" s="931">
        <v>0</v>
      </c>
      <c r="DU19" s="931">
        <v>0</v>
      </c>
      <c r="DW19" s="931">
        <v>68.593828000000002</v>
      </c>
      <c r="DX19" s="931">
        <v>55</v>
      </c>
      <c r="DY19" s="931">
        <v>55</v>
      </c>
      <c r="DZ19" s="931">
        <v>55</v>
      </c>
      <c r="EA19" s="931">
        <v>55</v>
      </c>
      <c r="EB19" s="931">
        <v>55</v>
      </c>
      <c r="EC19" s="931">
        <v>55</v>
      </c>
      <c r="ED19" s="931">
        <v>55</v>
      </c>
      <c r="EE19" s="931">
        <v>55</v>
      </c>
      <c r="EF19" s="931">
        <v>55</v>
      </c>
      <c r="EG19" s="931">
        <v>55</v>
      </c>
      <c r="EH19" s="931">
        <v>55</v>
      </c>
      <c r="EI19" s="931">
        <v>27</v>
      </c>
      <c r="EJ19" s="931">
        <v>27</v>
      </c>
      <c r="EK19" s="931">
        <v>27</v>
      </c>
      <c r="EL19" s="931">
        <v>27</v>
      </c>
      <c r="EM19" s="931">
        <v>27</v>
      </c>
      <c r="EN19" s="931">
        <v>38.159999999999997</v>
      </c>
      <c r="EO19" s="931">
        <v>47.484000000000002</v>
      </c>
      <c r="EP19" s="931">
        <v>48.6</v>
      </c>
      <c r="EQ19" s="931">
        <v>48.6</v>
      </c>
      <c r="ER19" s="931">
        <v>48.6</v>
      </c>
      <c r="ES19" s="931">
        <v>48.6</v>
      </c>
      <c r="ET19" s="931">
        <v>36.695999999999998</v>
      </c>
      <c r="EU19" s="931"/>
      <c r="EV19" s="931"/>
      <c r="EW19" s="931"/>
      <c r="EX19" s="931"/>
      <c r="EY19" s="931"/>
      <c r="EZ19" s="931"/>
      <c r="FA19" s="931"/>
      <c r="FB19" s="931"/>
      <c r="FC19" s="931"/>
      <c r="FD19" s="931"/>
      <c r="FE19" s="931"/>
      <c r="FF19" s="931"/>
      <c r="FG19" s="931">
        <v>0</v>
      </c>
      <c r="FH19" s="931">
        <v>0</v>
      </c>
      <c r="FI19" s="931">
        <v>0</v>
      </c>
      <c r="FJ19" s="931">
        <v>0</v>
      </c>
      <c r="FK19" s="931">
        <v>0</v>
      </c>
      <c r="FL19" s="931">
        <v>0</v>
      </c>
      <c r="FM19" s="931">
        <v>0</v>
      </c>
      <c r="FN19" s="931">
        <v>0</v>
      </c>
      <c r="FO19" s="931">
        <v>0</v>
      </c>
      <c r="FP19" s="931">
        <v>0</v>
      </c>
      <c r="FQ19" s="931">
        <v>0</v>
      </c>
      <c r="FR19" s="931">
        <v>0</v>
      </c>
      <c r="FS19" s="931">
        <v>0</v>
      </c>
      <c r="FT19" s="931">
        <v>0</v>
      </c>
      <c r="FU19" s="931">
        <v>0</v>
      </c>
      <c r="FV19" s="931">
        <v>0</v>
      </c>
      <c r="FW19" s="931">
        <v>0</v>
      </c>
      <c r="FX19" s="931">
        <v>0</v>
      </c>
      <c r="FY19" s="931">
        <v>0</v>
      </c>
      <c r="FZ19" s="931">
        <v>0</v>
      </c>
      <c r="GA19" s="931">
        <v>0</v>
      </c>
      <c r="GB19" s="931">
        <v>0</v>
      </c>
      <c r="GC19" s="931">
        <v>0</v>
      </c>
      <c r="GD19" s="931">
        <v>0</v>
      </c>
      <c r="GF19" s="931">
        <f t="shared" si="5"/>
        <v>945.50181947999999</v>
      </c>
      <c r="GG19" s="931">
        <f t="shared" si="5"/>
        <v>640.97686670000007</v>
      </c>
      <c r="GH19" s="931">
        <f t="shared" si="5"/>
        <v>607.02293759999998</v>
      </c>
      <c r="GI19" s="931">
        <f t="shared" si="5"/>
        <v>855.14835819999985</v>
      </c>
      <c r="GJ19" s="931">
        <f t="shared" si="43"/>
        <v>318.86278400000009</v>
      </c>
      <c r="GK19" s="931">
        <f t="shared" si="37"/>
        <v>0</v>
      </c>
      <c r="GL19" s="931">
        <f t="shared" si="38"/>
        <v>0</v>
      </c>
      <c r="GM19" s="931">
        <f t="shared" si="6"/>
        <v>2.2501020600000001</v>
      </c>
      <c r="GN19" s="931">
        <f t="shared" si="7"/>
        <v>0</v>
      </c>
      <c r="GO19" s="931">
        <v>0</v>
      </c>
      <c r="GQ19" s="934">
        <f t="shared" si="8"/>
        <v>-5.2972159938950991E-2</v>
      </c>
      <c r="GR19" s="934">
        <f t="shared" si="8"/>
        <v>0.40875789897004355</v>
      </c>
      <c r="GS19" s="934">
        <f t="shared" si="8"/>
        <v>-0.62712577187053986</v>
      </c>
      <c r="GT19" s="934">
        <f t="shared" si="8"/>
        <v>-1</v>
      </c>
      <c r="GU19" s="934" t="str">
        <f t="shared" si="8"/>
        <v/>
      </c>
      <c r="GV19" s="934" t="str">
        <f t="shared" si="8"/>
        <v/>
      </c>
      <c r="GW19" s="934">
        <f t="shared" si="8"/>
        <v>-1</v>
      </c>
      <c r="GX19" s="934" t="str">
        <f t="shared" si="8"/>
        <v/>
      </c>
      <c r="GY19" s="934">
        <f t="shared" si="9"/>
        <v>-1</v>
      </c>
      <c r="HA19" s="931">
        <f t="shared" si="10"/>
        <v>-33.953929100000096</v>
      </c>
      <c r="HB19" s="931">
        <f t="shared" si="10"/>
        <v>248.12542059999987</v>
      </c>
      <c r="HC19" s="931">
        <f t="shared" si="10"/>
        <v>-536.2855741999997</v>
      </c>
      <c r="HD19" s="931">
        <f t="shared" si="10"/>
        <v>-318.86278400000009</v>
      </c>
      <c r="HE19" s="931">
        <f t="shared" si="10"/>
        <v>0</v>
      </c>
      <c r="HF19" s="931">
        <f t="shared" si="10"/>
        <v>2.2501020600000001</v>
      </c>
      <c r="HG19" s="931">
        <f t="shared" si="10"/>
        <v>-2.2501020600000001</v>
      </c>
      <c r="HH19" s="931">
        <f t="shared" si="10"/>
        <v>0</v>
      </c>
      <c r="HI19" s="931">
        <f t="shared" si="11"/>
        <v>-2.2501020600000001</v>
      </c>
      <c r="HK19" s="230">
        <f t="shared" si="12"/>
        <v>1.7439041790655582E-2</v>
      </c>
      <c r="HL19" s="230">
        <f t="shared" si="12"/>
        <v>1.5413331244485119E-2</v>
      </c>
      <c r="HM19" s="230">
        <f t="shared" si="12"/>
        <v>5.0742262908477602E-2</v>
      </c>
      <c r="HN19" s="230">
        <f t="shared" si="12"/>
        <v>5.1830525845162442E-2</v>
      </c>
      <c r="HO19" s="230">
        <f t="shared" si="12"/>
        <v>0</v>
      </c>
      <c r="HP19" s="230">
        <f t="shared" si="12"/>
        <v>0</v>
      </c>
      <c r="HQ19" s="230">
        <f t="shared" si="12"/>
        <v>1.0599014846583573E-4</v>
      </c>
      <c r="HR19" s="230">
        <f t="shared" si="13"/>
        <v>0</v>
      </c>
      <c r="HS19" s="230">
        <f t="shared" si="13"/>
        <v>0</v>
      </c>
      <c r="HU19" s="931">
        <f t="shared" si="14"/>
        <v>379.0006712</v>
      </c>
      <c r="HV19" s="931">
        <f t="shared" si="14"/>
        <v>268.98370477999998</v>
      </c>
      <c r="HW19" s="931">
        <f t="shared" si="14"/>
        <v>327.32009190000002</v>
      </c>
      <c r="HX19" s="931">
        <f t="shared" si="14"/>
        <v>361.81977799999999</v>
      </c>
      <c r="HY19" s="931">
        <f t="shared" si="14"/>
        <v>317.72497840000005</v>
      </c>
      <c r="HZ19" s="931">
        <f t="shared" si="14"/>
        <v>0</v>
      </c>
      <c r="IA19" s="931">
        <f t="shared" si="15"/>
        <v>0</v>
      </c>
      <c r="IB19" s="931">
        <f t="shared" si="16"/>
        <v>0</v>
      </c>
      <c r="IC19" s="931">
        <f t="shared" si="17"/>
        <v>0</v>
      </c>
      <c r="ID19" s="931">
        <f t="shared" si="18"/>
        <v>0</v>
      </c>
      <c r="IE19" s="931">
        <f t="shared" si="19"/>
        <v>0</v>
      </c>
      <c r="IF19" s="922" t="str">
        <f t="shared" si="20"/>
        <v/>
      </c>
      <c r="IG19" s="931">
        <f t="shared" si="21"/>
        <v>0</v>
      </c>
      <c r="IH19" s="931">
        <f t="shared" si="21"/>
        <v>0</v>
      </c>
      <c r="II19" s="145"/>
      <c r="IJ19" s="934" t="str">
        <f t="shared" si="39"/>
        <v>NA</v>
      </c>
      <c r="IK19" s="935">
        <f t="shared" si="40"/>
        <v>0</v>
      </c>
      <c r="IM19" s="230">
        <f t="shared" si="41"/>
        <v>0</v>
      </c>
      <c r="IN19" s="934">
        <f t="shared" si="22"/>
        <v>0</v>
      </c>
      <c r="IP19" s="934">
        <f t="shared" si="50"/>
        <v>0.2168770304049199</v>
      </c>
      <c r="IQ19" s="934">
        <f t="shared" si="50"/>
        <v>0.10540045342080617</v>
      </c>
      <c r="IR19" s="934">
        <f t="shared" si="50"/>
        <v>-0.12186951151133574</v>
      </c>
      <c r="IS19" s="934">
        <f t="shared" si="50"/>
        <v>-1</v>
      </c>
      <c r="IT19" s="934" t="str">
        <f t="shared" si="50"/>
        <v/>
      </c>
      <c r="IU19" s="934" t="str">
        <f t="shared" si="50"/>
        <v/>
      </c>
      <c r="IV19" s="934" t="str">
        <f>+IFERROR(IE19/IB19-1,"")</f>
        <v/>
      </c>
      <c r="IX19" s="931">
        <f t="shared" si="24"/>
        <v>58.33638712000004</v>
      </c>
      <c r="IY19" s="931">
        <f t="shared" si="24"/>
        <v>34.499686099999963</v>
      </c>
      <c r="IZ19" s="931">
        <f t="shared" si="24"/>
        <v>-44.094799599999931</v>
      </c>
      <c r="JA19" s="931">
        <f t="shared" si="24"/>
        <v>-317.72497840000005</v>
      </c>
      <c r="JB19" s="931">
        <f t="shared" si="24"/>
        <v>0</v>
      </c>
      <c r="JC19" s="931">
        <f t="shared" si="24"/>
        <v>0</v>
      </c>
      <c r="JD19" s="931">
        <f t="shared" si="25"/>
        <v>0</v>
      </c>
      <c r="JF19" s="230">
        <f t="shared" si="26"/>
        <v>2.3695441630001649E-2</v>
      </c>
      <c r="JG19" s="230">
        <f t="shared" si="26"/>
        <v>1.5774940478443324E-2</v>
      </c>
      <c r="JH19" s="230">
        <f t="shared" si="26"/>
        <v>2.0136243689676689E-2</v>
      </c>
      <c r="JI19" s="230">
        <f t="shared" si="26"/>
        <v>3.8680449200235022E-2</v>
      </c>
      <c r="JJ19" s="230">
        <f t="shared" si="26"/>
        <v>0.15833799125038447</v>
      </c>
      <c r="JK19" s="230">
        <f t="shared" si="26"/>
        <v>0</v>
      </c>
      <c r="JL19" s="230">
        <f t="shared" si="26"/>
        <v>0</v>
      </c>
      <c r="JM19" s="230">
        <f t="shared" si="45"/>
        <v>0</v>
      </c>
      <c r="JO19" s="931">
        <f t="shared" si="27"/>
        <v>20.723007199999984</v>
      </c>
      <c r="JP19" s="931">
        <f t="shared" si="27"/>
        <v>0</v>
      </c>
      <c r="JQ19" s="931">
        <f t="shared" si="27"/>
        <v>205.13131090000002</v>
      </c>
      <c r="JR19" s="931">
        <f t="shared" si="27"/>
        <v>78.50863720000001</v>
      </c>
      <c r="JS19" s="931">
        <f t="shared" si="27"/>
        <v>46.382872800000015</v>
      </c>
      <c r="JT19" s="931">
        <f t="shared" si="28"/>
        <v>0</v>
      </c>
      <c r="JU19" s="931">
        <f t="shared" si="29"/>
        <v>0</v>
      </c>
      <c r="JV19" s="931">
        <f t="shared" si="29"/>
        <v>0</v>
      </c>
      <c r="JW19" s="931">
        <f t="shared" si="30"/>
        <v>0</v>
      </c>
      <c r="JX19" s="931">
        <f t="shared" si="42"/>
        <v>0</v>
      </c>
      <c r="JY19" s="931">
        <f t="shared" si="31"/>
        <v>0</v>
      </c>
      <c r="KB19" s="230" t="str">
        <f t="shared" si="32"/>
        <v xml:space="preserve"> </v>
      </c>
      <c r="KC19" s="230">
        <f t="shared" si="32"/>
        <v>-0.61727618833249509</v>
      </c>
      <c r="KD19" s="230">
        <f t="shared" si="32"/>
        <v>-0.40920038285927585</v>
      </c>
      <c r="KE19" s="230">
        <f t="shared" si="32"/>
        <v>-1</v>
      </c>
      <c r="KF19" s="230" t="str">
        <f t="shared" si="32"/>
        <v xml:space="preserve"> </v>
      </c>
      <c r="KG19" s="230" t="str">
        <f t="shared" si="32"/>
        <v xml:space="preserve"> </v>
      </c>
      <c r="KH19" s="230" t="str">
        <f t="shared" si="33"/>
        <v xml:space="preserve"> </v>
      </c>
      <c r="KJ19" s="931">
        <f t="shared" si="34"/>
        <v>205.13131090000002</v>
      </c>
      <c r="KK19" s="931">
        <f t="shared" si="34"/>
        <v>-126.62267370000001</v>
      </c>
      <c r="KL19" s="931">
        <f t="shared" si="34"/>
        <v>-32.125764399999994</v>
      </c>
      <c r="KM19" s="931">
        <f t="shared" si="34"/>
        <v>-46.382872800000015</v>
      </c>
      <c r="KN19" s="931">
        <f t="shared" si="34"/>
        <v>0</v>
      </c>
      <c r="KO19" s="931">
        <f t="shared" si="34"/>
        <v>0</v>
      </c>
      <c r="KP19" s="931">
        <f t="shared" si="35"/>
        <v>0</v>
      </c>
      <c r="KR19" s="230">
        <f t="shared" si="36"/>
        <v>6.464176330170557E-3</v>
      </c>
      <c r="KS19" s="230">
        <f t="shared" si="36"/>
        <v>0</v>
      </c>
      <c r="KT19" s="230">
        <f t="shared" si="36"/>
        <v>8.1760378060686784E-2</v>
      </c>
      <c r="KU19" s="230">
        <f t="shared" si="36"/>
        <v>8.7751795481651212E-2</v>
      </c>
      <c r="KV19" s="230">
        <f t="shared" si="36"/>
        <v>0.148642099440668</v>
      </c>
      <c r="KW19" s="230">
        <f t="shared" si="36"/>
        <v>0</v>
      </c>
      <c r="KX19" s="230">
        <f t="shared" si="36"/>
        <v>0</v>
      </c>
      <c r="KY19" s="230">
        <f t="shared" si="36"/>
        <v>0</v>
      </c>
      <c r="KZ19" s="230">
        <f t="shared" si="46"/>
        <v>0</v>
      </c>
    </row>
    <row r="20" spans="1:312" outlineLevel="1">
      <c r="A20" s="884"/>
      <c r="B20" s="70"/>
      <c r="E20" s="66"/>
      <c r="F20" s="66"/>
      <c r="G20" s="66"/>
      <c r="H20" s="66"/>
      <c r="I20" s="66"/>
      <c r="J20" s="66"/>
      <c r="K20" s="66"/>
      <c r="L20" s="66"/>
      <c r="M20" s="66"/>
      <c r="N20" s="66"/>
      <c r="O20" s="66"/>
      <c r="P20" s="66"/>
      <c r="Q20" s="102"/>
      <c r="R20" s="66"/>
      <c r="S20" s="66"/>
      <c r="T20" s="66"/>
      <c r="U20" s="66"/>
      <c r="V20" s="66"/>
      <c r="W20" s="66"/>
      <c r="X20" s="66"/>
      <c r="Y20" s="66"/>
      <c r="Z20" s="66"/>
      <c r="AA20" s="66"/>
      <c r="AB20" s="66"/>
      <c r="AC20" s="102"/>
      <c r="AD20" s="66"/>
      <c r="AE20" s="66"/>
      <c r="AF20" s="66"/>
      <c r="AG20" s="66"/>
      <c r="AH20" s="66"/>
      <c r="AI20" s="66"/>
      <c r="AJ20" s="66"/>
      <c r="AK20" s="66"/>
      <c r="AL20" s="66"/>
      <c r="AM20" s="66"/>
      <c r="AN20" s="937"/>
      <c r="AO20" s="66"/>
      <c r="AP20" s="88"/>
      <c r="AQ20" s="938"/>
      <c r="AR20" s="938"/>
      <c r="AS20" s="66"/>
      <c r="AT20" s="66"/>
      <c r="AU20" s="66"/>
      <c r="AV20" s="66"/>
      <c r="AW20" s="66"/>
      <c r="AX20" s="66"/>
      <c r="AY20" s="66"/>
      <c r="AZ20" s="66"/>
      <c r="BA20" s="66"/>
      <c r="BB20" s="66"/>
      <c r="BC20" s="66"/>
      <c r="BD20" s="66"/>
      <c r="BE20" s="66"/>
      <c r="BF20" s="66"/>
      <c r="BG20" s="66"/>
      <c r="BH20" s="66"/>
      <c r="BI20" s="66"/>
      <c r="BJ20" s="66"/>
      <c r="BK20" s="66"/>
      <c r="BL20" s="66"/>
      <c r="BM20" s="1522"/>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J20" s="66"/>
      <c r="DK20" s="66"/>
      <c r="DL20" s="66"/>
      <c r="DM20" s="66"/>
      <c r="DN20" s="66"/>
      <c r="DO20" s="66"/>
      <c r="DP20" s="66"/>
      <c r="DQ20" s="66"/>
      <c r="DR20" s="66"/>
      <c r="DS20" s="66"/>
      <c r="DT20" s="66"/>
      <c r="DU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F20" s="66"/>
      <c r="GG20" s="66"/>
      <c r="GH20" s="66"/>
      <c r="GI20" s="66"/>
      <c r="GJ20" s="66"/>
      <c r="GK20" s="66"/>
      <c r="GL20" s="66"/>
      <c r="GM20" s="66"/>
      <c r="GN20" s="66"/>
      <c r="GO20" s="66"/>
      <c r="GQ20" s="50"/>
      <c r="GR20" s="50"/>
      <c r="GS20" s="50"/>
      <c r="GT20" s="922"/>
      <c r="GU20" s="922"/>
      <c r="GV20" s="922"/>
      <c r="GW20" s="922" t="str">
        <f t="shared" si="8"/>
        <v/>
      </c>
      <c r="GX20" s="50"/>
      <c r="GY20" s="922" t="str">
        <f t="shared" si="9"/>
        <v/>
      </c>
      <c r="HA20" s="66"/>
      <c r="HB20" s="66"/>
      <c r="HC20" s="66"/>
      <c r="HD20" s="66"/>
      <c r="HE20" s="66">
        <f t="shared" si="10"/>
        <v>0</v>
      </c>
      <c r="HF20" s="66">
        <f t="shared" si="10"/>
        <v>0</v>
      </c>
      <c r="HG20" s="66">
        <f t="shared" si="10"/>
        <v>0</v>
      </c>
      <c r="HH20" s="66"/>
      <c r="HI20" s="66">
        <f t="shared" si="11"/>
        <v>0</v>
      </c>
      <c r="HK20" s="50"/>
      <c r="HL20" s="50"/>
      <c r="HM20" s="50"/>
      <c r="HN20" s="50"/>
      <c r="HO20" s="50"/>
      <c r="HP20" s="50"/>
      <c r="HQ20" s="50"/>
      <c r="HR20" s="50"/>
      <c r="HS20" s="50"/>
      <c r="HU20" s="66"/>
      <c r="HV20" s="66"/>
      <c r="HW20" s="66"/>
      <c r="HX20" s="66"/>
      <c r="HY20" s="66"/>
      <c r="HZ20" s="66"/>
      <c r="IA20" s="66"/>
      <c r="IB20" s="66"/>
      <c r="IC20" s="66">
        <f>+IC22-IB22</f>
        <v>1656.4054377799998</v>
      </c>
      <c r="ID20" s="66">
        <f>+IC28-IB28</f>
        <v>414.2083096099999</v>
      </c>
      <c r="IE20" s="66"/>
      <c r="IF20" s="922" t="str">
        <f t="shared" si="20"/>
        <v/>
      </c>
      <c r="IG20" s="66">
        <f t="shared" si="21"/>
        <v>1656.4054377799998</v>
      </c>
      <c r="IH20" s="66">
        <f t="shared" si="21"/>
        <v>414.2083096099999</v>
      </c>
      <c r="II20" s="88"/>
      <c r="IJ20" s="50">
        <f t="shared" si="39"/>
        <v>3.9989671847472046</v>
      </c>
      <c r="IK20" s="66">
        <f t="shared" si="40"/>
        <v>1242.1971281699998</v>
      </c>
      <c r="IM20" s="50">
        <f t="shared" si="41"/>
        <v>0.25473033233861953</v>
      </c>
      <c r="IN20" s="50">
        <f t="shared" si="22"/>
        <v>5.8661948313997077E-2</v>
      </c>
      <c r="IP20" s="50"/>
      <c r="IQ20" s="50"/>
      <c r="IR20" s="50"/>
      <c r="IS20" s="50"/>
      <c r="IT20" s="50"/>
      <c r="IU20" s="50"/>
      <c r="IV20" s="50"/>
      <c r="IX20" s="66"/>
      <c r="IY20" s="66"/>
      <c r="IZ20" s="66"/>
      <c r="JA20" s="66"/>
      <c r="JB20" s="66"/>
      <c r="JC20" s="66"/>
      <c r="JD20" s="66"/>
      <c r="JF20" s="50"/>
      <c r="JG20" s="50"/>
      <c r="JH20" s="50"/>
      <c r="JI20" s="50"/>
      <c r="JJ20" s="50"/>
      <c r="JK20" s="50"/>
      <c r="JL20" s="50"/>
      <c r="JM20" s="50"/>
      <c r="JO20" s="66"/>
      <c r="JP20" s="66"/>
      <c r="JQ20" s="66"/>
      <c r="JR20" s="66"/>
      <c r="JS20" s="66"/>
      <c r="JT20" s="66"/>
      <c r="JU20" s="66"/>
      <c r="JV20" s="66"/>
      <c r="JW20" s="66"/>
      <c r="JX20" s="66"/>
      <c r="JY20" s="66"/>
      <c r="KB20" s="50"/>
      <c r="KC20" s="50"/>
      <c r="KD20" s="50"/>
      <c r="KE20" s="50"/>
      <c r="KF20" s="50"/>
      <c r="KG20" s="50"/>
      <c r="KH20" s="50"/>
      <c r="KJ20" s="66"/>
      <c r="KK20" s="66"/>
      <c r="KL20" s="66"/>
      <c r="KM20" s="66"/>
      <c r="KN20" s="66"/>
      <c r="KO20" s="66"/>
      <c r="KP20" s="66"/>
      <c r="KR20" s="50"/>
      <c r="KS20" s="50"/>
      <c r="KT20" s="50"/>
      <c r="KU20" s="50"/>
      <c r="KV20" s="50"/>
      <c r="KW20" s="50"/>
      <c r="KX20" s="50"/>
      <c r="KY20" s="50"/>
      <c r="KZ20" s="50"/>
    </row>
    <row r="21" spans="1:312">
      <c r="A21" s="884"/>
      <c r="B21" s="70"/>
      <c r="C21" s="1513" t="s">
        <v>65</v>
      </c>
      <c r="D21" s="1512" t="s">
        <v>59</v>
      </c>
      <c r="E21" s="1515">
        <f t="shared" ref="E21:AN21" si="51">SUM(E22:E31)</f>
        <v>-1876.344002</v>
      </c>
      <c r="F21" s="1515">
        <f t="shared" si="51"/>
        <v>-1657.1526757699994</v>
      </c>
      <c r="G21" s="1515">
        <f t="shared" si="51"/>
        <v>-1954.23225555</v>
      </c>
      <c r="H21" s="1515">
        <f t="shared" si="51"/>
        <v>-1945.3591224999996</v>
      </c>
      <c r="I21" s="1515">
        <f t="shared" si="51"/>
        <v>-1744.8587165799997</v>
      </c>
      <c r="J21" s="1515">
        <f t="shared" si="51"/>
        <v>-2372.010763400001</v>
      </c>
      <c r="K21" s="1515">
        <f t="shared" si="51"/>
        <v>-2231.4430820000011</v>
      </c>
      <c r="L21" s="1515">
        <f t="shared" si="51"/>
        <v>-1792.891263459999</v>
      </c>
      <c r="M21" s="1515">
        <f t="shared" si="51"/>
        <v>-1770.46982177</v>
      </c>
      <c r="N21" s="1515">
        <f t="shared" si="51"/>
        <v>-1471.9113394200008</v>
      </c>
      <c r="O21" s="1515">
        <f t="shared" si="51"/>
        <v>-1990.47733965</v>
      </c>
      <c r="P21" s="1515">
        <f t="shared" si="51"/>
        <v>-2109.0602694399977</v>
      </c>
      <c r="Q21" s="1515">
        <f t="shared" si="51"/>
        <v>-2264.6006395599998</v>
      </c>
      <c r="R21" s="1515">
        <f t="shared" si="51"/>
        <v>-1752.0168910400002</v>
      </c>
      <c r="S21" s="1515">
        <f t="shared" si="51"/>
        <v>-1662.8636656399997</v>
      </c>
      <c r="T21" s="1515">
        <f t="shared" si="51"/>
        <v>-2182.7728719999982</v>
      </c>
      <c r="U21" s="1515">
        <f t="shared" si="51"/>
        <v>-2092.7743762499995</v>
      </c>
      <c r="V21" s="1515">
        <f t="shared" si="51"/>
        <v>-1730.3394475600032</v>
      </c>
      <c r="W21" s="1515">
        <f t="shared" si="51"/>
        <v>-1612.6294193900012</v>
      </c>
      <c r="X21" s="1515">
        <f t="shared" si="51"/>
        <v>-1777.2850452399978</v>
      </c>
      <c r="Y21" s="1515">
        <f t="shared" si="51"/>
        <v>-1498.8909736999969</v>
      </c>
      <c r="Z21" s="1515">
        <f t="shared" si="51"/>
        <v>-1754.4030069100024</v>
      </c>
      <c r="AA21" s="1515">
        <f t="shared" si="51"/>
        <v>-1724.7912783799995</v>
      </c>
      <c r="AB21" s="1515">
        <f t="shared" si="51"/>
        <v>-2424.8931180699983</v>
      </c>
      <c r="AC21" s="1515">
        <f t="shared" si="51"/>
        <v>-1548.3303602300002</v>
      </c>
      <c r="AD21" s="1515">
        <f t="shared" si="51"/>
        <v>-1676.7299510699997</v>
      </c>
      <c r="AE21" s="1515">
        <f t="shared" si="51"/>
        <v>-1771.9694496</v>
      </c>
      <c r="AF21" s="1515">
        <f t="shared" si="51"/>
        <v>-1611.4433354599996</v>
      </c>
      <c r="AG21" s="1515">
        <f t="shared" si="51"/>
        <v>-1603.56049996</v>
      </c>
      <c r="AH21" s="1515">
        <f t="shared" si="51"/>
        <v>-1573.6733636399997</v>
      </c>
      <c r="AI21" s="1515">
        <f t="shared" si="51"/>
        <v>-1703.77773652</v>
      </c>
      <c r="AJ21" s="1515">
        <f t="shared" si="51"/>
        <v>-1875.9664800600001</v>
      </c>
      <c r="AK21" s="1515">
        <f t="shared" si="51"/>
        <v>-1657.0987809500004</v>
      </c>
      <c r="AL21" s="1515">
        <f t="shared" si="51"/>
        <v>-1988.1955200300001</v>
      </c>
      <c r="AM21" s="1515">
        <f t="shared" si="51"/>
        <v>-1982.50276841</v>
      </c>
      <c r="AN21" s="1515">
        <f t="shared" si="51"/>
        <v>-4206.6386509500007</v>
      </c>
      <c r="AO21" s="1515">
        <f>SUM(AO22:AO31)</f>
        <v>-1201.3524067200001</v>
      </c>
      <c r="AP21" s="1515">
        <f t="shared" ref="AP21:BL21" si="52">SUM(AP22:AP31)</f>
        <v>-1365.4770351600002</v>
      </c>
      <c r="AQ21" s="1515">
        <f t="shared" si="52"/>
        <v>-1122.54638028</v>
      </c>
      <c r="AR21" s="1515">
        <f t="shared" si="52"/>
        <v>-919.79053943999998</v>
      </c>
      <c r="AS21" s="1515">
        <f t="shared" si="52"/>
        <v>-1777.7238921100002</v>
      </c>
      <c r="AT21" s="1515">
        <f t="shared" si="52"/>
        <v>-1124.27646564</v>
      </c>
      <c r="AU21" s="1515">
        <f t="shared" si="52"/>
        <v>-886.66492490999985</v>
      </c>
      <c r="AV21" s="1515">
        <f t="shared" si="52"/>
        <v>-791.58499073999985</v>
      </c>
      <c r="AW21" s="1515">
        <f t="shared" si="52"/>
        <v>-915.54179320000003</v>
      </c>
      <c r="AX21" s="1515">
        <f t="shared" si="52"/>
        <v>-959.42100876999984</v>
      </c>
      <c r="AY21" s="1515">
        <f t="shared" si="52"/>
        <v>-970.18678792999992</v>
      </c>
      <c r="AZ21" s="1515">
        <f t="shared" si="52"/>
        <v>-744.69806033999976</v>
      </c>
      <c r="BA21" s="1515">
        <f t="shared" si="52"/>
        <v>-350.37521592000002</v>
      </c>
      <c r="BB21" s="1515">
        <f t="shared" si="52"/>
        <v>-550.71930070000008</v>
      </c>
      <c r="BC21" s="1515">
        <f t="shared" si="52"/>
        <v>-352.65181291000005</v>
      </c>
      <c r="BD21" s="1515">
        <f t="shared" si="52"/>
        <v>-303.35796110999996</v>
      </c>
      <c r="BE21" s="1515">
        <f t="shared" si="52"/>
        <v>-402.93740029000003</v>
      </c>
      <c r="BF21" s="1515">
        <f t="shared" si="52"/>
        <v>-596.48719266000001</v>
      </c>
      <c r="BG21" s="1515">
        <f t="shared" si="52"/>
        <v>-374.19505484000007</v>
      </c>
      <c r="BH21" s="1515">
        <f t="shared" si="52"/>
        <v>-270.25584464000002</v>
      </c>
      <c r="BI21" s="1515">
        <f t="shared" si="52"/>
        <v>-284.02517209999996</v>
      </c>
      <c r="BJ21" s="1515">
        <f t="shared" si="52"/>
        <v>-488.29468494000002</v>
      </c>
      <c r="BK21" s="1515">
        <f t="shared" si="52"/>
        <v>-466.6077019</v>
      </c>
      <c r="BL21" s="1515">
        <f t="shared" si="52"/>
        <v>-696.12919715999988</v>
      </c>
      <c r="BM21" s="1515">
        <f>SUM(BM22:BM31)</f>
        <v>-731.18417226999998</v>
      </c>
      <c r="BN21" s="1515">
        <f t="shared" ref="BN21:DH21" si="53">SUM(BN22:BN31)</f>
        <v>-722.72536294999998</v>
      </c>
      <c r="BO21" s="1515">
        <f t="shared" si="53"/>
        <v>-667.92393067000012</v>
      </c>
      <c r="BP21" s="1515">
        <f t="shared" si="53"/>
        <v>-775.80947658999992</v>
      </c>
      <c r="BQ21" s="1515">
        <f t="shared" si="53"/>
        <v>-675.17240512000001</v>
      </c>
      <c r="BR21" s="1515">
        <f t="shared" si="53"/>
        <v>-635.08392104999996</v>
      </c>
      <c r="BS21" s="1515">
        <f t="shared" si="53"/>
        <v>-732.83041006999997</v>
      </c>
      <c r="BT21" s="1515">
        <f t="shared" si="53"/>
        <v>-742.59520885999984</v>
      </c>
      <c r="BU21" s="1515">
        <f t="shared" si="53"/>
        <v>-553.23498256999994</v>
      </c>
      <c r="BV21" s="1515">
        <f t="shared" si="53"/>
        <v>-647.93485313000008</v>
      </c>
      <c r="BW21" s="1515">
        <f t="shared" si="53"/>
        <v>-736.01888019</v>
      </c>
      <c r="BX21" s="1515">
        <f t="shared" si="53"/>
        <v>-706.98460834999992</v>
      </c>
      <c r="BY21" s="1515">
        <f t="shared" si="53"/>
        <v>-706.81998206000003</v>
      </c>
      <c r="BZ21" s="1515">
        <f t="shared" si="53"/>
        <v>-727.10186700999998</v>
      </c>
      <c r="CA21" s="1515">
        <f t="shared" si="53"/>
        <v>-612.83807980999995</v>
      </c>
      <c r="CB21" s="1515">
        <f t="shared" si="53"/>
        <v>-606.97499547999996</v>
      </c>
      <c r="CC21" s="1515">
        <f t="shared" si="53"/>
        <v>-505.01884984999992</v>
      </c>
      <c r="CD21" s="1515">
        <f t="shared" si="53"/>
        <v>-616.18498879000003</v>
      </c>
      <c r="CE21" s="1515">
        <f t="shared" si="53"/>
        <v>-800.13194665000003</v>
      </c>
      <c r="CF21" s="1515">
        <f t="shared" si="53"/>
        <v>-864.28348872999993</v>
      </c>
      <c r="CG21" s="1515">
        <f t="shared" si="53"/>
        <v>-931.31570858999999</v>
      </c>
      <c r="CH21" s="1515">
        <f t="shared" si="53"/>
        <v>-1021.5246572399999</v>
      </c>
      <c r="CI21" s="1515">
        <f t="shared" si="53"/>
        <v>-1050.0185907599998</v>
      </c>
      <c r="CJ21" s="1515">
        <f t="shared" si="53"/>
        <v>-1039.0879904500002</v>
      </c>
      <c r="CK21" s="1515">
        <f t="shared" si="53"/>
        <v>-1138.5757875100001</v>
      </c>
      <c r="CL21" s="1515">
        <f t="shared" si="53"/>
        <v>-1023.9439324299999</v>
      </c>
      <c r="CM21" s="1515">
        <f t="shared" si="53"/>
        <v>-1099.1507333</v>
      </c>
      <c r="CN21" s="1515">
        <f t="shared" si="53"/>
        <v>-1082.14053831</v>
      </c>
      <c r="CO21" s="1515">
        <f t="shared" si="53"/>
        <v>-1058.2629419100001</v>
      </c>
      <c r="CP21" s="1515">
        <f t="shared" si="53"/>
        <v>-1171.1272481799999</v>
      </c>
      <c r="CQ21" s="1515">
        <f t="shared" si="53"/>
        <v>-1167.63665563</v>
      </c>
      <c r="CR21" s="1515">
        <f t="shared" si="53"/>
        <v>-1309.3484524600001</v>
      </c>
      <c r="CS21" s="1515">
        <f t="shared" si="53"/>
        <v>-1166.7183660900002</v>
      </c>
      <c r="CT21" s="1515">
        <f t="shared" si="53"/>
        <v>-1272.54003354</v>
      </c>
      <c r="CU21" s="1515">
        <f t="shared" si="53"/>
        <v>-1335.4168156699998</v>
      </c>
      <c r="CV21" s="1515">
        <f t="shared" si="53"/>
        <v>-1351.35788245</v>
      </c>
      <c r="CW21" s="1515">
        <f t="shared" si="53"/>
        <v>-1264.65353151</v>
      </c>
      <c r="CX21" s="1515">
        <f t="shared" si="53"/>
        <v>-1074.4219493500002</v>
      </c>
      <c r="CY21" s="1515">
        <f t="shared" si="53"/>
        <v>-957.06150584</v>
      </c>
      <c r="CZ21" s="1515">
        <f t="shared" si="53"/>
        <v>-233.07126712000002</v>
      </c>
      <c r="DA21" s="1515">
        <f t="shared" si="53"/>
        <v>-189.48782344000003</v>
      </c>
      <c r="DB21" s="1515">
        <f t="shared" si="53"/>
        <v>-375.31922624000003</v>
      </c>
      <c r="DC21" s="1515">
        <f t="shared" si="53"/>
        <v>-467.79739499999999</v>
      </c>
      <c r="DD21" s="1515">
        <f t="shared" si="53"/>
        <v>-670.43345223999995</v>
      </c>
      <c r="DE21" s="1515">
        <f t="shared" si="53"/>
        <v>-688.90767149999999</v>
      </c>
      <c r="DF21" s="1515">
        <f t="shared" si="53"/>
        <v>-765.22796818999996</v>
      </c>
      <c r="DG21" s="1515">
        <f t="shared" si="53"/>
        <v>-697.44089790999999</v>
      </c>
      <c r="DH21" s="1515">
        <f t="shared" si="53"/>
        <v>-749.35346598000012</v>
      </c>
      <c r="DI21" s="77"/>
      <c r="DJ21" s="1515">
        <f t="shared" ref="DJ21:DU21" si="54">SUM(DJ22:DJ37)</f>
        <v>-1264.65353151</v>
      </c>
      <c r="DK21" s="1515">
        <f t="shared" si="54"/>
        <v>-1074.4162024900002</v>
      </c>
      <c r="DL21" s="1515">
        <f t="shared" si="54"/>
        <v>-957.06310079000002</v>
      </c>
      <c r="DM21" s="1515">
        <f t="shared" si="54"/>
        <v>-233.07126712000002</v>
      </c>
      <c r="DN21" s="1515">
        <f t="shared" si="54"/>
        <v>-189.48939858999998</v>
      </c>
      <c r="DO21" s="1515">
        <f t="shared" si="54"/>
        <v>-375.31922623999998</v>
      </c>
      <c r="DP21" s="1515">
        <f t="shared" si="54"/>
        <v>-452.71010739224982</v>
      </c>
      <c r="DQ21" s="1515">
        <f t="shared" si="54"/>
        <v>-561.54128882649979</v>
      </c>
      <c r="DR21" s="1515">
        <f t="shared" si="54"/>
        <v>-560.88459999724978</v>
      </c>
      <c r="DS21" s="1515">
        <f t="shared" si="54"/>
        <v>-486.53567537649991</v>
      </c>
      <c r="DT21" s="1515">
        <f t="shared" si="54"/>
        <v>-441.44628401874996</v>
      </c>
      <c r="DU21" s="1515">
        <f t="shared" si="54"/>
        <v>-460.63020763499992</v>
      </c>
      <c r="DW21" s="1515">
        <v>-1722.1145497933335</v>
      </c>
      <c r="DX21" s="1515">
        <v>-1153.274943368787</v>
      </c>
      <c r="DY21" s="1515">
        <v>-1455.0633434531983</v>
      </c>
      <c r="DZ21" s="1515">
        <v>-1373.2112623340383</v>
      </c>
      <c r="EA21" s="1515">
        <v>-1223.4179847877053</v>
      </c>
      <c r="EB21" s="1515">
        <v>-1306.5121208398207</v>
      </c>
      <c r="EC21" s="1515">
        <v>-1756.8386417328134</v>
      </c>
      <c r="ED21" s="1515">
        <v>-1851.5739984651518</v>
      </c>
      <c r="EE21" s="1515">
        <v>-1684.0873321144527</v>
      </c>
      <c r="EF21" s="1515">
        <v>-1792.743863314972</v>
      </c>
      <c r="EG21" s="1515">
        <v>-1700.0452624272398</v>
      </c>
      <c r="EH21" s="1515">
        <v>-2155.0795151156508</v>
      </c>
      <c r="EI21" s="1515">
        <f>SUM(EI22:EI37)</f>
        <v>-382.47901056226584</v>
      </c>
      <c r="EJ21" s="1515">
        <f t="shared" ref="EJ21:GD21" si="55">SUM(EJ22:EJ37)</f>
        <v>-661.72806884711076</v>
      </c>
      <c r="EK21" s="1515">
        <f t="shared" si="55"/>
        <v>-726.95161012019128</v>
      </c>
      <c r="EL21" s="1515">
        <f t="shared" si="55"/>
        <v>-698.34972377680822</v>
      </c>
      <c r="EM21" s="1515">
        <f t="shared" si="55"/>
        <v>-733.73683098004597</v>
      </c>
      <c r="EN21" s="1515">
        <f t="shared" si="55"/>
        <v>-937.27073001717565</v>
      </c>
      <c r="EO21" s="1515">
        <f t="shared" si="55"/>
        <v>-974.56393002148548</v>
      </c>
      <c r="EP21" s="1515">
        <f t="shared" si="55"/>
        <v>-1012.7682103277299</v>
      </c>
      <c r="EQ21" s="1515">
        <f t="shared" si="55"/>
        <v>-1052.895742688384</v>
      </c>
      <c r="ER21" s="1515">
        <f t="shared" si="55"/>
        <v>-1037.8393307852032</v>
      </c>
      <c r="ES21" s="1515">
        <f t="shared" si="55"/>
        <v>-974.44946273305413</v>
      </c>
      <c r="ET21" s="1515">
        <f t="shared" si="55"/>
        <v>-722.12567584067392</v>
      </c>
      <c r="EU21" s="1515">
        <f t="shared" si="55"/>
        <v>-634.37745899999993</v>
      </c>
      <c r="EV21" s="1515">
        <f t="shared" si="55"/>
        <v>-598.89863199999991</v>
      </c>
      <c r="EW21" s="1515">
        <f t="shared" si="55"/>
        <v>-616.77478100000019</v>
      </c>
      <c r="EX21" s="1515">
        <f t="shared" si="55"/>
        <v>-567.75869699999998</v>
      </c>
      <c r="EY21" s="1515">
        <f t="shared" si="55"/>
        <v>-608.90049599999986</v>
      </c>
      <c r="EZ21" s="1515">
        <f t="shared" si="55"/>
        <v>-480.00263699999994</v>
      </c>
      <c r="FA21" s="1515">
        <f t="shared" si="55"/>
        <v>-588.23819200000003</v>
      </c>
      <c r="FB21" s="1515">
        <f t="shared" si="55"/>
        <v>-443.557526</v>
      </c>
      <c r="FC21" s="1515">
        <f t="shared" si="55"/>
        <v>-370.77814000000001</v>
      </c>
      <c r="FD21" s="1515">
        <f t="shared" si="55"/>
        <v>-351.66978599999999</v>
      </c>
      <c r="FE21" s="1515">
        <f t="shared" si="55"/>
        <v>-365.57036800000003</v>
      </c>
      <c r="FF21" s="1515">
        <f t="shared" si="55"/>
        <v>-376.04620600000004</v>
      </c>
      <c r="FG21" s="1515">
        <f t="shared" si="55"/>
        <v>-1047.9850173878076</v>
      </c>
      <c r="FH21" s="1515">
        <f t="shared" si="55"/>
        <v>-891.03759770866282</v>
      </c>
      <c r="FI21" s="1515">
        <f t="shared" si="55"/>
        <v>-844.09325786909085</v>
      </c>
      <c r="FJ21" s="1515">
        <f t="shared" si="55"/>
        <v>-793.41308685304796</v>
      </c>
      <c r="FK21" s="1515">
        <f t="shared" si="55"/>
        <v>-857.24378386909075</v>
      </c>
      <c r="FL21" s="1515">
        <f t="shared" si="55"/>
        <v>-864.51141386909092</v>
      </c>
      <c r="FM21" s="1515">
        <f t="shared" si="55"/>
        <v>-912.84215770866297</v>
      </c>
      <c r="FN21" s="1515">
        <f t="shared" si="55"/>
        <v>-918.5010627086632</v>
      </c>
      <c r="FO21" s="1515">
        <f t="shared" si="55"/>
        <v>-911.12646270866287</v>
      </c>
      <c r="FP21" s="1515">
        <f t="shared" si="55"/>
        <v>-1027.0112322273797</v>
      </c>
      <c r="FQ21" s="1515">
        <f t="shared" si="55"/>
        <v>-1100.643191906524</v>
      </c>
      <c r="FR21" s="1515">
        <f t="shared" si="55"/>
        <v>-1035.0278572273794</v>
      </c>
      <c r="FS21" s="1515">
        <f t="shared" si="55"/>
        <v>-1047.9850173878076</v>
      </c>
      <c r="FT21" s="1515">
        <f t="shared" si="55"/>
        <v>-891.03759770866282</v>
      </c>
      <c r="FU21" s="1515">
        <f t="shared" si="55"/>
        <v>-844.09325786909085</v>
      </c>
      <c r="FV21" s="1515">
        <f t="shared" si="55"/>
        <v>-793.41308685304796</v>
      </c>
      <c r="FW21" s="1515">
        <f t="shared" si="55"/>
        <v>-857.24378386909075</v>
      </c>
      <c r="FX21" s="1515">
        <f t="shared" si="55"/>
        <v>-864.51141386909092</v>
      </c>
      <c r="FY21" s="1515">
        <f t="shared" si="55"/>
        <v>-912.84215770866297</v>
      </c>
      <c r="FZ21" s="1515">
        <f t="shared" si="55"/>
        <v>-918.5010627086632</v>
      </c>
      <c r="GA21" s="1515">
        <f t="shared" si="55"/>
        <v>-911.12646270866287</v>
      </c>
      <c r="GB21" s="1515">
        <f t="shared" si="55"/>
        <v>-1027.0112322273797</v>
      </c>
      <c r="GC21" s="1515">
        <f t="shared" si="55"/>
        <v>-1100.643191906524</v>
      </c>
      <c r="GD21" s="1515">
        <f t="shared" si="55"/>
        <v>-1035.0278572273794</v>
      </c>
      <c r="GF21" s="1515">
        <f t="shared" ref="GF21:GI37" si="56">+SUMIF($E$6:$AZ$6,GF$7,$E21:$AZ21)</f>
        <v>-22916.210651539994</v>
      </c>
      <c r="GG21" s="1515">
        <f t="shared" si="56"/>
        <v>-22478.260733739993</v>
      </c>
      <c r="GH21" s="1515">
        <f t="shared" si="56"/>
        <v>-23199.886896880002</v>
      </c>
      <c r="GI21" s="1515">
        <f t="shared" si="56"/>
        <v>-12779.264285239999</v>
      </c>
      <c r="GJ21" s="1515">
        <f>+SUMIF($E$6:$BL$6,GJ$7,$E21:$BL21)</f>
        <v>-5136.0365391699997</v>
      </c>
      <c r="GK21" s="1515">
        <f t="shared" si="37"/>
        <v>-8327.4982118200005</v>
      </c>
      <c r="GL21" s="1515">
        <f t="shared" si="38"/>
        <v>-9481.3011454199986</v>
      </c>
      <c r="GM21" s="1515">
        <f t="shared" ref="GM21:GM39" si="57">+SUMIF($E$6:$CV$6,GM$7,$E21:$CV21)</f>
        <v>-14176.21938748</v>
      </c>
      <c r="GN21" s="1515">
        <f t="shared" si="7"/>
        <v>-11203.436122044062</v>
      </c>
      <c r="GO21" s="1515">
        <v>-8133.17615432</v>
      </c>
      <c r="GQ21" s="1519">
        <f t="shared" ref="GQ21:GX37" si="58">+IFERROR(GH21/GG21-1,"")</f>
        <v>3.210329178435245E-2</v>
      </c>
      <c r="GR21" s="1519">
        <f t="shared" si="58"/>
        <v>-0.44916695749242652</v>
      </c>
      <c r="GS21" s="1519">
        <f t="shared" si="58"/>
        <v>-0.59809606996686793</v>
      </c>
      <c r="GT21" s="1519">
        <f t="shared" si="58"/>
        <v>0.62138609184539639</v>
      </c>
      <c r="GU21" s="1519">
        <f t="shared" si="58"/>
        <v>0.13855336912138827</v>
      </c>
      <c r="GV21" s="1519">
        <f t="shared" si="58"/>
        <v>0.49517657651111624</v>
      </c>
      <c r="GW21" s="1519">
        <f t="shared" si="8"/>
        <v>-0.20970212044414382</v>
      </c>
      <c r="GX21" s="1519">
        <f t="shared" si="8"/>
        <v>-0.27404627779177226</v>
      </c>
      <c r="GY21" s="1519">
        <f t="shared" si="9"/>
        <v>-0.42628031268315647</v>
      </c>
      <c r="HA21" s="1515">
        <f t="shared" ref="HA21:HH37" si="59">+GH21-GG21</f>
        <v>-721.62616314000843</v>
      </c>
      <c r="HB21" s="1515">
        <f t="shared" si="59"/>
        <v>10420.622611640003</v>
      </c>
      <c r="HC21" s="1515">
        <f t="shared" si="59"/>
        <v>7643.2277460699988</v>
      </c>
      <c r="HD21" s="1515">
        <f t="shared" si="10"/>
        <v>-3191.4616726500008</v>
      </c>
      <c r="HE21" s="1515">
        <f t="shared" si="10"/>
        <v>-1153.8029335999981</v>
      </c>
      <c r="HF21" s="1515">
        <f t="shared" si="10"/>
        <v>-4694.9182420600009</v>
      </c>
      <c r="HG21" s="1515">
        <f t="shared" si="10"/>
        <v>2972.7832654359372</v>
      </c>
      <c r="HH21" s="1515">
        <f t="shared" si="10"/>
        <v>3070.2599677240623</v>
      </c>
      <c r="HI21" s="1515">
        <f t="shared" si="11"/>
        <v>6043.0432331599995</v>
      </c>
      <c r="HK21" s="1520">
        <f t="shared" ref="HK21:HN25" si="60">+GG21/GG$11</f>
        <v>-0.61156548493724927</v>
      </c>
      <c r="HL21" s="1520">
        <f t="shared" si="60"/>
        <v>-0.58908406820671921</v>
      </c>
      <c r="HM21" s="1520">
        <f t="shared" si="60"/>
        <v>-0.75828805834754187</v>
      </c>
      <c r="HN21" s="1520">
        <f t="shared" si="60"/>
        <v>-0.83485275780929413</v>
      </c>
      <c r="HO21" s="1520">
        <f t="shared" si="12"/>
        <v>-0.61102144507691236</v>
      </c>
      <c r="HP21" s="1520">
        <f t="shared" si="12"/>
        <v>-0.67003133938031179</v>
      </c>
      <c r="HQ21" s="1520">
        <f t="shared" si="12"/>
        <v>-0.66776508687044345</v>
      </c>
      <c r="HR21" s="1520">
        <f t="shared" si="12"/>
        <v>-0.71212972043878953</v>
      </c>
      <c r="HS21" s="1520">
        <f t="shared" si="12"/>
        <v>-0.64447296604986282</v>
      </c>
      <c r="HU21" s="1515">
        <f t="shared" ref="HU21:HZ30" si="61">+IFERROR(SUMIFS($E21:$BX21,$E$6:$BX$6,HU$7,$E$5:$BX$5,"&lt;="&amp;$HW$5),"NA")</f>
        <v>-11549.9575358</v>
      </c>
      <c r="HV21" s="1515">
        <f t="shared" si="61"/>
        <v>-11685.367892050001</v>
      </c>
      <c r="HW21" s="1515">
        <f t="shared" si="61"/>
        <v>-9785.7069599599999</v>
      </c>
      <c r="HX21" s="1515">
        <f t="shared" si="61"/>
        <v>-7511.1667193499998</v>
      </c>
      <c r="HY21" s="1515">
        <f t="shared" si="61"/>
        <v>-2556.5288835900001</v>
      </c>
      <c r="HZ21" s="1515">
        <f t="shared" si="61"/>
        <v>-4207.8992686500005</v>
      </c>
      <c r="IA21" s="1515">
        <f t="shared" ref="IA21:IA37" si="62">+IFERROR(SUMIFS($E21:$CJ21,$E$6:$CJ$6,IA$7,$E$5:$CJ$5,"&lt;="&amp;$HW$5),"NA")</f>
        <v>-3774.9387630000001</v>
      </c>
      <c r="IB21" s="1515">
        <f t="shared" ref="IB21:IB37" si="63">+IFERROR(SUMIFS($E21:$CV21,$E$6:$CV$6,IB$7,$E$5:$CV$5,"&lt;="&amp;$HW$5),"NA")</f>
        <v>-6573.20118164</v>
      </c>
      <c r="IC21" s="1515">
        <f t="shared" ref="IC21:IC37" si="64">+SUMIF($CW$5:$DH$5,"&lt;="&amp;$HW$5,$CW21:$DH21)</f>
        <v>-4094.0153035000003</v>
      </c>
      <c r="ID21" s="1515">
        <f t="shared" si="18"/>
        <v>-5298.28415755679</v>
      </c>
      <c r="IE21" s="1515">
        <f t="shared" ref="IE21:IE37" si="65">+SUMIF($DJ$5:$DU$5,"&lt;="&amp;$HW$5,$DJ21:$DU21)</f>
        <v>-4094.0127267399998</v>
      </c>
      <c r="IF21" s="922">
        <f t="shared" si="20"/>
        <v>-0.37716567767083742</v>
      </c>
      <c r="IG21" s="1515">
        <f t="shared" si="21"/>
        <v>-4094.0153035000003</v>
      </c>
      <c r="IH21" s="1515">
        <f t="shared" si="21"/>
        <v>-5298.28415755679</v>
      </c>
      <c r="II21" s="939"/>
      <c r="IJ21" s="1519">
        <f t="shared" ref="IJ21:IJ37" si="66">+IFERROR(IG21/IH21,"")</f>
        <v>0.77270587642243094</v>
      </c>
      <c r="IK21" s="1523">
        <f t="shared" si="40"/>
        <v>1204.2688540567897</v>
      </c>
      <c r="IM21" s="1520">
        <f t="shared" si="41"/>
        <v>-0.62959819804603967</v>
      </c>
      <c r="IN21" s="1519">
        <f t="shared" si="22"/>
        <v>-0.75036561119719847</v>
      </c>
      <c r="IP21" s="1520">
        <f t="shared" ref="IP21:IR21" si="67">+IFERROR(HW21/HV21-1,"NA")</f>
        <v>-0.16256749035538809</v>
      </c>
      <c r="IQ21" s="1520">
        <f t="shared" si="67"/>
        <v>-0.23243494311823309</v>
      </c>
      <c r="IR21" s="1520">
        <f t="shared" si="67"/>
        <v>-0.65963624838682366</v>
      </c>
      <c r="IS21" s="1520">
        <f>+IFERROR(HZ21/HY21-1,"NA")</f>
        <v>0.64594239308615475</v>
      </c>
      <c r="IT21" s="1520">
        <f>+IFERROR(IA21/HZ21-1,"NA")</f>
        <v>-0.1028923170465782</v>
      </c>
      <c r="IU21" s="1520">
        <f>+IFERROR(IB21/IA21-1,"NA")</f>
        <v>0.74127359258569236</v>
      </c>
      <c r="IV21" s="1520">
        <f>+IFERROR(IE21/IB21-1,"NA")</f>
        <v>-0.37716606968074695</v>
      </c>
      <c r="IX21" s="1515">
        <f t="shared" ref="IX21:JC37" si="68">+HW21-HV21</f>
        <v>1899.6609320900006</v>
      </c>
      <c r="IY21" s="1515">
        <f t="shared" si="68"/>
        <v>2274.5402406100002</v>
      </c>
      <c r="IZ21" s="1515">
        <f t="shared" si="68"/>
        <v>4954.6378357599997</v>
      </c>
      <c r="JA21" s="1515">
        <f t="shared" si="68"/>
        <v>-1651.3703850600004</v>
      </c>
      <c r="JB21" s="1515">
        <f t="shared" si="68"/>
        <v>432.96050565000041</v>
      </c>
      <c r="JC21" s="1515">
        <f t="shared" si="68"/>
        <v>-2798.2624186399999</v>
      </c>
      <c r="JD21" s="1515">
        <f t="shared" ref="JD21:JD37" si="69">+IE21-IB21</f>
        <v>2479.1884549000001</v>
      </c>
      <c r="JF21" s="1520">
        <f t="shared" ref="JF21:JL37" si="70">+HU21/HU$11</f>
        <v>-0.72211308690301501</v>
      </c>
      <c r="JG21" s="1520">
        <f t="shared" si="70"/>
        <v>-0.68530539095878951</v>
      </c>
      <c r="JH21" s="1520">
        <f t="shared" si="70"/>
        <v>-0.60200209182918107</v>
      </c>
      <c r="JI21" s="1520">
        <f t="shared" si="70"/>
        <v>-0.80298347516622937</v>
      </c>
      <c r="JJ21" s="1520">
        <f t="shared" si="70"/>
        <v>-1.2740441435851193</v>
      </c>
      <c r="JK21" s="1520">
        <f t="shared" si="70"/>
        <v>-0.60621075560101212</v>
      </c>
      <c r="JL21" s="1520">
        <f t="shared" si="70"/>
        <v>-0.71367254026060201</v>
      </c>
      <c r="JM21" s="1520">
        <f t="shared" ref="JM21:JM37" si="71">+IE21/IE$11</f>
        <v>-0.60041072601461509</v>
      </c>
      <c r="JO21" s="1515">
        <f t="shared" ref="JO21:JS30" si="72">+SUMIFS($E21:$BX21,$E$6:$BX$6,JO$7,$E$5:$BX$5,$JQ$5)</f>
        <v>-2372.010763400001</v>
      </c>
      <c r="JP21" s="1515">
        <f t="shared" si="72"/>
        <v>-1730.3394475600032</v>
      </c>
      <c r="JQ21" s="1515">
        <f t="shared" si="72"/>
        <v>-1573.6733636399997</v>
      </c>
      <c r="JR21" s="1515">
        <f t="shared" si="72"/>
        <v>-1124.27646564</v>
      </c>
      <c r="JS21" s="1515">
        <f t="shared" si="72"/>
        <v>-596.48719266000001</v>
      </c>
      <c r="JT21" s="1515">
        <f t="shared" ref="JT21:JT37" si="73">+SUMIFS($E21:$CJ21,$E$6:$CJ$6,JT$7,$E$5:$CJ$5,$JQ$5)</f>
        <v>-635.08392104999996</v>
      </c>
      <c r="JU21" s="1515">
        <f t="shared" ref="JU21:JV37" si="74">+SUMIFS($E21:$CV21,$E$6:$CV$6,JU$7,$E$5:$CV$5,$JQ$5)</f>
        <v>-616.18498879000003</v>
      </c>
      <c r="JV21" s="1515">
        <f t="shared" si="74"/>
        <v>-1171.1272481799999</v>
      </c>
      <c r="JW21" s="1515">
        <f t="shared" ref="JW21:JW37" si="75">+SUMIFS($E21:$DH21,$E$6:$DH$6,JW$7,$E$5:$DH$5,$JQ$5)</f>
        <v>-375.31922624000003</v>
      </c>
      <c r="JX21" s="1515">
        <f t="shared" ref="JX21:JX37" si="76">+SUMIF($FS$5:$GD$5,$JQ$5,$FS21:$GD21)</f>
        <v>-864.51141386909092</v>
      </c>
      <c r="JY21" s="1515">
        <f t="shared" ref="JY21:JY37" si="77">+SUMIF($DJ$5:$DU$5,$JQ$5,$DJ21:$DU21)</f>
        <v>-375.31922623999998</v>
      </c>
      <c r="KB21" s="1520">
        <f t="shared" ref="KB21:KG37" si="78">+IFERROR(JQ21/JP21-1," ")</f>
        <v>-9.0540664804771409E-2</v>
      </c>
      <c r="KC21" s="1520">
        <f t="shared" si="78"/>
        <v>-0.28557190353690554</v>
      </c>
      <c r="KD21" s="1520">
        <f t="shared" si="78"/>
        <v>-0.46944794195220774</v>
      </c>
      <c r="KE21" s="1520">
        <f t="shared" si="78"/>
        <v>6.4706717704834604E-2</v>
      </c>
      <c r="KF21" s="1520">
        <f t="shared" si="78"/>
        <v>-2.9758165233901401E-2</v>
      </c>
      <c r="KG21" s="1520">
        <f t="shared" si="78"/>
        <v>0.90060983225141156</v>
      </c>
      <c r="KH21" s="1520">
        <f t="shared" ref="KH21:KH37" si="79">+IFERROR(JY21/JV21-1," ")</f>
        <v>-0.67952310321250919</v>
      </c>
      <c r="KJ21" s="1515">
        <f t="shared" ref="KJ21:KO37" si="80">+JQ21-JP21</f>
        <v>156.66608392000353</v>
      </c>
      <c r="KK21" s="1515">
        <f t="shared" si="80"/>
        <v>449.39689799999974</v>
      </c>
      <c r="KL21" s="1515">
        <f t="shared" si="80"/>
        <v>527.78927297999996</v>
      </c>
      <c r="KM21" s="1515">
        <f t="shared" si="80"/>
        <v>-38.596728389999953</v>
      </c>
      <c r="KN21" s="1515">
        <f t="shared" si="80"/>
        <v>18.898932259999924</v>
      </c>
      <c r="KO21" s="1515">
        <f t="shared" si="80"/>
        <v>-554.94225938999989</v>
      </c>
      <c r="KP21" s="1515">
        <f t="shared" ref="KP21:KP37" si="81">+JY21-JV21</f>
        <v>795.80802193999989</v>
      </c>
      <c r="KR21" s="1520">
        <f t="shared" ref="KR21:KY25" si="82">+JO21/JO$11</f>
        <v>-0.73990689110411023</v>
      </c>
      <c r="KS21" s="1520">
        <f t="shared" si="82"/>
        <v>-0.51448498577272572</v>
      </c>
      <c r="KT21" s="1520">
        <f t="shared" si="82"/>
        <v>-0.62722813299799851</v>
      </c>
      <c r="KU21" s="1520">
        <f t="shared" si="82"/>
        <v>-1.2566423516733127</v>
      </c>
      <c r="KV21" s="1520">
        <f t="shared" si="82"/>
        <v>-1.9115484499798507</v>
      </c>
      <c r="KW21" s="1520">
        <f t="shared" si="82"/>
        <v>-0.62630235649936605</v>
      </c>
      <c r="KX21" s="1520">
        <f t="shared" si="82"/>
        <v>-0.70248687491017769</v>
      </c>
      <c r="KY21" s="1520">
        <f t="shared" si="82"/>
        <v>-0.76538518362113994</v>
      </c>
      <c r="KZ21" s="1520">
        <f t="shared" si="46"/>
        <v>-1.024104747711069</v>
      </c>
    </row>
    <row r="22" spans="1:312" outlineLevel="1">
      <c r="A22" s="884">
        <v>7405</v>
      </c>
      <c r="B22" s="70" t="s">
        <v>629</v>
      </c>
      <c r="C22" s="17" t="s">
        <v>66</v>
      </c>
      <c r="D22" s="31" t="s">
        <v>59</v>
      </c>
      <c r="E22" s="924">
        <v>-1428.4799442000001</v>
      </c>
      <c r="F22" s="924">
        <v>-1165.1135199999997</v>
      </c>
      <c r="G22" s="924">
        <v>-1016.0093590000001</v>
      </c>
      <c r="H22" s="924">
        <v>-1270.7279429999999</v>
      </c>
      <c r="I22" s="924">
        <v>-1105.1101529999996</v>
      </c>
      <c r="J22" s="924">
        <v>-1276.3197050000008</v>
      </c>
      <c r="K22" s="924">
        <v>-1379.4259200000015</v>
      </c>
      <c r="L22" s="924">
        <v>-1047.383534999999</v>
      </c>
      <c r="M22" s="924">
        <v>-1152.296241</v>
      </c>
      <c r="N22" s="924">
        <v>-1146.3374445000009</v>
      </c>
      <c r="O22" s="924">
        <v>-1289.5766329199996</v>
      </c>
      <c r="P22" s="924">
        <v>-1490.3228286999984</v>
      </c>
      <c r="Q22" s="924">
        <v>-1488.24116736</v>
      </c>
      <c r="R22" s="924">
        <v>-1236.6299660500003</v>
      </c>
      <c r="S22" s="924">
        <v>-1203.3514060399998</v>
      </c>
      <c r="T22" s="924">
        <v>-1334.8159249699984</v>
      </c>
      <c r="U22" s="924">
        <v>-1261.894793909999</v>
      </c>
      <c r="V22" s="924">
        <v>-1100.9214561200033</v>
      </c>
      <c r="W22" s="924">
        <v>-1078.7046894900013</v>
      </c>
      <c r="X22" s="924">
        <v>-1133.723102609998</v>
      </c>
      <c r="Y22" s="924">
        <v>-1055.9669978499969</v>
      </c>
      <c r="Z22" s="924">
        <v>-1134.2091384800024</v>
      </c>
      <c r="AA22" s="924">
        <v>-1114.2101722099997</v>
      </c>
      <c r="AB22" s="924">
        <v>-1391.6781389599983</v>
      </c>
      <c r="AC22" s="924">
        <v>-1091.9094776899999</v>
      </c>
      <c r="AD22" s="924">
        <v>-1054.6537151999996</v>
      </c>
      <c r="AE22" s="924">
        <v>-1178.5834021000001</v>
      </c>
      <c r="AF22" s="924">
        <v>-1211.9773600699998</v>
      </c>
      <c r="AG22" s="924">
        <v>-1141.15643402</v>
      </c>
      <c r="AH22" s="924">
        <v>-1128.4934284699998</v>
      </c>
      <c r="AI22" s="924">
        <v>-1122.1178882500001</v>
      </c>
      <c r="AJ22" s="924">
        <v>-1307.5411665699999</v>
      </c>
      <c r="AK22" s="924">
        <v>-1239.0624308900003</v>
      </c>
      <c r="AL22" s="924">
        <v>-1216.7152860599999</v>
      </c>
      <c r="AM22" s="924">
        <v>-1303.5401415400004</v>
      </c>
      <c r="AN22" s="102">
        <v>-1876.5990893600001</v>
      </c>
      <c r="AO22" s="924">
        <v>-1212.84791376</v>
      </c>
      <c r="AP22" s="925">
        <v>-981.59974509000006</v>
      </c>
      <c r="AQ22" s="143">
        <v>-912.59735926999997</v>
      </c>
      <c r="AR22" s="143">
        <v>-693.71668336999994</v>
      </c>
      <c r="AS22" s="924">
        <v>-1007.2015797000001</v>
      </c>
      <c r="AT22" s="924">
        <v>-844.89326065</v>
      </c>
      <c r="AU22" s="924">
        <v>-653.71802165999998</v>
      </c>
      <c r="AV22" s="924">
        <v>-653.06712901000003</v>
      </c>
      <c r="AW22" s="924">
        <v>-584.62742643000001</v>
      </c>
      <c r="AX22" s="924">
        <v>-637.16741366999986</v>
      </c>
      <c r="AY22" s="924">
        <v>-665.06385599999999</v>
      </c>
      <c r="AZ22" s="924">
        <v>-552.68313618999991</v>
      </c>
      <c r="BA22" s="102">
        <v>-273.50406575</v>
      </c>
      <c r="BB22" s="102">
        <v>-339.48502336000001</v>
      </c>
      <c r="BC22" s="102">
        <v>-263.71064826000003</v>
      </c>
      <c r="BD22" s="102">
        <v>-214.02001539</v>
      </c>
      <c r="BE22" s="924">
        <v>-289.68414356</v>
      </c>
      <c r="BF22" s="924">
        <v>-551.17423174999999</v>
      </c>
      <c r="BG22" s="924">
        <v>-253.67744385999998</v>
      </c>
      <c r="BH22" s="924">
        <v>-235.20167743000002</v>
      </c>
      <c r="BI22" s="924">
        <v>-239.64778206</v>
      </c>
      <c r="BJ22" s="924">
        <v>-245.25389409000002</v>
      </c>
      <c r="BK22" s="102">
        <v>-364.22982601999996</v>
      </c>
      <c r="BL22" s="102">
        <v>-315.58988805000001</v>
      </c>
      <c r="BM22" s="102">
        <v>-520.91652350000004</v>
      </c>
      <c r="BN22" s="102">
        <v>-451.98688994000003</v>
      </c>
      <c r="BO22" s="102">
        <v>-447.75257727000002</v>
      </c>
      <c r="BP22" s="102">
        <v>-543.90587762999996</v>
      </c>
      <c r="BQ22" s="924">
        <v>-439.42869340000004</v>
      </c>
      <c r="BR22" s="924">
        <v>-438.94840569000002</v>
      </c>
      <c r="BS22" s="924">
        <v>-494.42836240999998</v>
      </c>
      <c r="BT22" s="924">
        <v>-525.35773413999993</v>
      </c>
      <c r="BU22" s="924">
        <v>-409.87662475000002</v>
      </c>
      <c r="BV22" s="924">
        <v>-471.42553591000006</v>
      </c>
      <c r="BW22" s="102">
        <v>-542.21240229</v>
      </c>
      <c r="BX22" s="102">
        <v>-524.20635630999993</v>
      </c>
      <c r="BY22" s="102">
        <v>-493.63856786000002</v>
      </c>
      <c r="BZ22" s="102">
        <v>-522.47544647999996</v>
      </c>
      <c r="CA22" s="102">
        <v>-436.83433456999995</v>
      </c>
      <c r="CB22" s="102">
        <v>-412.24712489999996</v>
      </c>
      <c r="CC22" s="102">
        <v>-380.14663364999996</v>
      </c>
      <c r="CD22" s="102">
        <v>-442.86788484999994</v>
      </c>
      <c r="CE22" s="102">
        <v>-545.85737967999989</v>
      </c>
      <c r="CF22" s="102">
        <v>-607.79651777999993</v>
      </c>
      <c r="CG22" s="102">
        <v>-605.23871501999997</v>
      </c>
      <c r="CH22" s="102">
        <v>-674.31774335</v>
      </c>
      <c r="CI22" s="102">
        <v>-660.4629228</v>
      </c>
      <c r="CJ22" s="102">
        <v>-715.46802622000007</v>
      </c>
      <c r="CK22" s="1169">
        <v>-720.40207732999988</v>
      </c>
      <c r="CL22" s="1169">
        <v>-620.86464543</v>
      </c>
      <c r="CM22" s="1169">
        <v>-722.1410527999999</v>
      </c>
      <c r="CN22" s="1169">
        <v>-701.50968670000009</v>
      </c>
      <c r="CO22" s="1169">
        <v>-708.51985689000003</v>
      </c>
      <c r="CP22" s="1169">
        <v>-772.24711439000009</v>
      </c>
      <c r="CQ22" s="1169">
        <v>-758.49905866000006</v>
      </c>
      <c r="CR22" s="1169">
        <v>-771.32144350999999</v>
      </c>
      <c r="CS22" s="1169">
        <v>-758.98774771000001</v>
      </c>
      <c r="CT22" s="1169">
        <v>-801.37444459000005</v>
      </c>
      <c r="CU22" s="1169">
        <v>-767.81090780999989</v>
      </c>
      <c r="CV22" s="1169">
        <v>-896.83419391000007</v>
      </c>
      <c r="CW22" s="1169">
        <v>-759.27582700000005</v>
      </c>
      <c r="CX22" s="1169">
        <v>-669.60146386000008</v>
      </c>
      <c r="CY22" s="1169">
        <v>-626.60600205000003</v>
      </c>
      <c r="CZ22" s="1169">
        <v>-168.42519999999999</v>
      </c>
      <c r="DA22" s="1169">
        <v>-157.41228984999998</v>
      </c>
      <c r="DB22" s="1169">
        <v>-207.958213</v>
      </c>
      <c r="DC22" s="1169">
        <v>-315.75372099999998</v>
      </c>
      <c r="DD22" s="1169">
        <v>-357.72998000000001</v>
      </c>
      <c r="DE22" s="1169">
        <v>-381.22316599999999</v>
      </c>
      <c r="DF22" s="1169">
        <v>-357.03950300000002</v>
      </c>
      <c r="DG22" s="1169">
        <v>-402.11645073</v>
      </c>
      <c r="DH22" s="1169">
        <v>-419.53460033000005</v>
      </c>
      <c r="DJ22" s="102">
        <v>-759.27582700000016</v>
      </c>
      <c r="DK22" s="102">
        <v>-669.59571700000004</v>
      </c>
      <c r="DL22" s="102">
        <v>-626.60759700000006</v>
      </c>
      <c r="DM22" s="102">
        <v>-168.42519999999999</v>
      </c>
      <c r="DN22" s="102">
        <v>-157.41386499999999</v>
      </c>
      <c r="DO22" s="102">
        <v>-207.958213</v>
      </c>
      <c r="DP22" s="102">
        <v>-352.49357263999991</v>
      </c>
      <c r="DQ22" s="102">
        <v>-405.34157263999992</v>
      </c>
      <c r="DR22" s="102">
        <v>-407.37357263999991</v>
      </c>
      <c r="DS22" s="102">
        <v>-361.40557263999995</v>
      </c>
      <c r="DT22" s="102">
        <v>-336.70157263999994</v>
      </c>
      <c r="DU22" s="102">
        <v>-336.70157263999994</v>
      </c>
      <c r="DW22" s="924">
        <v>-1388.9279641400001</v>
      </c>
      <c r="DX22" s="924">
        <v>-914.65161484378712</v>
      </c>
      <c r="DY22" s="924">
        <v>-1093.5415286415314</v>
      </c>
      <c r="DZ22" s="924">
        <v>-910.40569990237191</v>
      </c>
      <c r="EA22" s="924">
        <v>-807.24419259437184</v>
      </c>
      <c r="EB22" s="924">
        <v>-857.21489174148746</v>
      </c>
      <c r="EC22" s="924">
        <v>-843.11518003333333</v>
      </c>
      <c r="ED22" s="924">
        <v>-1046.8595597813382</v>
      </c>
      <c r="EE22" s="924">
        <v>-993.3066410506392</v>
      </c>
      <c r="EF22" s="924">
        <v>-1057.4197353461586</v>
      </c>
      <c r="EG22" s="924">
        <v>-1016.1145713634263</v>
      </c>
      <c r="EH22" s="924">
        <v>-1379.4052835751704</v>
      </c>
      <c r="EI22" s="924">
        <v>-267.42457164181877</v>
      </c>
      <c r="EJ22" s="924">
        <v>-450.30909480299283</v>
      </c>
      <c r="EK22" s="924">
        <v>-478.400190390153</v>
      </c>
      <c r="EL22" s="924">
        <v>-460.97162779009801</v>
      </c>
      <c r="EM22" s="924">
        <v>-502.4769243270066</v>
      </c>
      <c r="EN22" s="924">
        <v>-642.91280833513792</v>
      </c>
      <c r="EO22" s="924">
        <v>-664.8440848189573</v>
      </c>
      <c r="EP22" s="924">
        <v>-702.77229121143409</v>
      </c>
      <c r="EQ22" s="924">
        <v>-715.44394972745954</v>
      </c>
      <c r="ER22" s="924">
        <v>-727.80373866493733</v>
      </c>
      <c r="ES22" s="924">
        <v>-661.34285273452724</v>
      </c>
      <c r="ET22" s="924">
        <v>-500.39753188361203</v>
      </c>
      <c r="EU22" s="924">
        <v>-366.35020400000002</v>
      </c>
      <c r="EV22" s="924">
        <v>-353.09926400000001</v>
      </c>
      <c r="EW22" s="924">
        <v>-368.35002400000002</v>
      </c>
      <c r="EX22" s="924">
        <v>-340.40722399999999</v>
      </c>
      <c r="EY22" s="924">
        <v>-363.37410399999999</v>
      </c>
      <c r="EZ22" s="924">
        <v>-294.28850399999999</v>
      </c>
      <c r="FA22" s="924">
        <v>-344.84842400000002</v>
      </c>
      <c r="FB22" s="924">
        <v>-257.65486399999998</v>
      </c>
      <c r="FC22" s="924">
        <v>-228.401804</v>
      </c>
      <c r="FD22" s="924">
        <v>-202.00180399999999</v>
      </c>
      <c r="FE22" s="924">
        <v>-215.20180400000001</v>
      </c>
      <c r="FF22" s="924">
        <v>-202.00180399999999</v>
      </c>
      <c r="FG22" s="102">
        <v>-651.92156238780763</v>
      </c>
      <c r="FH22" s="102">
        <v>-599.31914270866309</v>
      </c>
      <c r="FI22" s="102">
        <v>-586.82961286909085</v>
      </c>
      <c r="FJ22" s="102">
        <v>-561.23370185304805</v>
      </c>
      <c r="FK22" s="102">
        <v>-587.25105286909081</v>
      </c>
      <c r="FL22" s="102">
        <v>-586.39153286909084</v>
      </c>
      <c r="FM22" s="102">
        <v>-599.31914270866309</v>
      </c>
      <c r="FN22" s="102">
        <v>-600.33578270866315</v>
      </c>
      <c r="FO22" s="102">
        <v>-599.74058270866306</v>
      </c>
      <c r="FP22" s="102">
        <v>-683.17717222737963</v>
      </c>
      <c r="FQ22" s="102">
        <v>-742.32871190652395</v>
      </c>
      <c r="FR22" s="102">
        <v>-684.60917222737942</v>
      </c>
      <c r="FS22" s="102">
        <v>-651.92156238780763</v>
      </c>
      <c r="FT22" s="102">
        <v>-599.31914270866309</v>
      </c>
      <c r="FU22" s="102">
        <v>-586.82961286909085</v>
      </c>
      <c r="FV22" s="102">
        <v>-561.23370185304805</v>
      </c>
      <c r="FW22" s="102">
        <v>-587.25105286909081</v>
      </c>
      <c r="FX22" s="102">
        <v>-586.39153286909084</v>
      </c>
      <c r="FY22" s="102">
        <v>-599.31914270866309</v>
      </c>
      <c r="FZ22" s="102">
        <v>-600.33578270866315</v>
      </c>
      <c r="GA22" s="102">
        <v>-599.74058270866306</v>
      </c>
      <c r="GB22" s="102">
        <v>-683.17717222737963</v>
      </c>
      <c r="GC22" s="102">
        <v>-742.32871190652395</v>
      </c>
      <c r="GD22" s="102">
        <v>-684.60917222737942</v>
      </c>
      <c r="GF22" s="924">
        <f t="shared" si="56"/>
        <v>-14767.10322632</v>
      </c>
      <c r="GG22" s="924">
        <f t="shared" si="56"/>
        <v>-14534.346954049997</v>
      </c>
      <c r="GH22" s="924">
        <f t="shared" si="56"/>
        <v>-14872.349820220003</v>
      </c>
      <c r="GI22" s="924">
        <f t="shared" si="56"/>
        <v>-9399.1835248000007</v>
      </c>
      <c r="GJ22" s="924">
        <f t="shared" ref="GJ22:GJ37" si="83">+SUMIF($E$6:$BL$6,GJ$7,$E22:$BL22)</f>
        <v>-3585.1786395799995</v>
      </c>
      <c r="GK22" s="924">
        <f t="shared" si="37"/>
        <v>-5810.4459832399998</v>
      </c>
      <c r="GL22" s="924">
        <f t="shared" si="38"/>
        <v>-6497.3512971600003</v>
      </c>
      <c r="GM22" s="924">
        <f t="shared" si="57"/>
        <v>-9000.5122297300004</v>
      </c>
      <c r="GN22" s="924">
        <f t="shared" si="7"/>
        <v>-7482.4571700440629</v>
      </c>
      <c r="GO22" s="924">
        <v>-4822.6764168200007</v>
      </c>
      <c r="GQ22" s="927">
        <f t="shared" si="58"/>
        <v>2.3255456006285868E-2</v>
      </c>
      <c r="GR22" s="927">
        <f t="shared" si="58"/>
        <v>-0.36800951844064667</v>
      </c>
      <c r="GS22" s="927">
        <f t="shared" si="58"/>
        <v>-0.61856488596904091</v>
      </c>
      <c r="GT22" s="927">
        <f t="shared" si="58"/>
        <v>0.62068520633624225</v>
      </c>
      <c r="GU22" s="927">
        <f t="shared" si="58"/>
        <v>0.11821903445989368</v>
      </c>
      <c r="GV22" s="927">
        <f t="shared" si="58"/>
        <v>0.38525867204750575</v>
      </c>
      <c r="GW22" s="927">
        <f t="shared" si="8"/>
        <v>-0.16866318504313349</v>
      </c>
      <c r="GX22" s="927">
        <f t="shared" si="8"/>
        <v>-0.35546889113812319</v>
      </c>
      <c r="GY22" s="927">
        <f t="shared" si="9"/>
        <v>-0.46417756081814998</v>
      </c>
      <c r="HA22" s="924">
        <f t="shared" si="59"/>
        <v>-338.00286617000529</v>
      </c>
      <c r="HB22" s="924">
        <f t="shared" si="59"/>
        <v>5473.1662954200019</v>
      </c>
      <c r="HC22" s="924">
        <f t="shared" si="59"/>
        <v>5814.0048852200016</v>
      </c>
      <c r="HD22" s="924">
        <f t="shared" si="10"/>
        <v>-2225.2673436600003</v>
      </c>
      <c r="HE22" s="924">
        <f t="shared" si="10"/>
        <v>-686.90531392000048</v>
      </c>
      <c r="HF22" s="924">
        <f t="shared" si="10"/>
        <v>-2503.1609325700001</v>
      </c>
      <c r="HG22" s="924">
        <f t="shared" si="10"/>
        <v>1518.0550596859375</v>
      </c>
      <c r="HH22" s="924">
        <f t="shared" si="10"/>
        <v>2659.7807532240622</v>
      </c>
      <c r="HI22" s="924">
        <f t="shared" si="11"/>
        <v>4177.8358129099997</v>
      </c>
      <c r="HK22" s="76">
        <f t="shared" si="60"/>
        <v>-0.39543561881804423</v>
      </c>
      <c r="HL22" s="76">
        <f t="shared" si="60"/>
        <v>-0.377633924459644</v>
      </c>
      <c r="HM22" s="76">
        <f t="shared" si="60"/>
        <v>-0.55772292253982014</v>
      </c>
      <c r="HN22" s="76">
        <f t="shared" si="60"/>
        <v>-0.58276382024650275</v>
      </c>
      <c r="HO22" s="76">
        <f t="shared" si="12"/>
        <v>-0.42633537839508162</v>
      </c>
      <c r="HP22" s="76">
        <f t="shared" si="12"/>
        <v>-0.45915944713595264</v>
      </c>
      <c r="HQ22" s="76">
        <f t="shared" si="12"/>
        <v>-0.42396549225756136</v>
      </c>
      <c r="HR22" s="76">
        <f t="shared" si="12"/>
        <v>-0.47561123878899003</v>
      </c>
      <c r="HS22" s="76">
        <f t="shared" si="12"/>
        <v>-0.38214893120147497</v>
      </c>
      <c r="HU22" s="924">
        <f t="shared" si="61"/>
        <v>-7261.7606242000002</v>
      </c>
      <c r="HV22" s="924">
        <f t="shared" si="61"/>
        <v>-7625.8547144500008</v>
      </c>
      <c r="HW22" s="924">
        <f t="shared" si="61"/>
        <v>-6806.7738175499999</v>
      </c>
      <c r="HX22" s="924">
        <f t="shared" si="61"/>
        <v>-5652.8565418400003</v>
      </c>
      <c r="HY22" s="924">
        <f t="shared" si="61"/>
        <v>-1931.57812807</v>
      </c>
      <c r="HZ22" s="924">
        <f t="shared" si="61"/>
        <v>-2842.9389674300005</v>
      </c>
      <c r="IA22" s="924">
        <f t="shared" si="62"/>
        <v>-2688.20999231</v>
      </c>
      <c r="IB22" s="924">
        <f t="shared" si="63"/>
        <v>-4245.6844335400001</v>
      </c>
      <c r="IC22" s="924">
        <f t="shared" si="64"/>
        <v>-2589.2789957600003</v>
      </c>
      <c r="ID22" s="924">
        <f t="shared" si="18"/>
        <v>-3572.9466055567914</v>
      </c>
      <c r="IE22" s="924">
        <f t="shared" si="65"/>
        <v>-2589.2764190000003</v>
      </c>
      <c r="IF22" s="922">
        <f t="shared" si="20"/>
        <v>-0.39013861338698441</v>
      </c>
      <c r="IG22" s="924">
        <f t="shared" si="21"/>
        <v>-2589.2789957600003</v>
      </c>
      <c r="IH22" s="924">
        <f t="shared" si="21"/>
        <v>-3572.9466055567914</v>
      </c>
      <c r="II22" s="145"/>
      <c r="IJ22" s="927">
        <f t="shared" si="66"/>
        <v>0.72469008961204417</v>
      </c>
      <c r="IK22" s="928">
        <f t="shared" si="40"/>
        <v>983.66760979679111</v>
      </c>
      <c r="IM22" s="76">
        <f t="shared" si="41"/>
        <v>-0.39819230489326263</v>
      </c>
      <c r="IN22" s="927">
        <f t="shared" si="22"/>
        <v>-0.50601594473367772</v>
      </c>
      <c r="IP22" s="927">
        <f t="shared" ref="IP22:IU37" si="84">+IFERROR(HW22/HV22-1,"")</f>
        <v>-0.10740840568965326</v>
      </c>
      <c r="IQ22" s="927">
        <f t="shared" si="84"/>
        <v>-0.16952484490300512</v>
      </c>
      <c r="IR22" s="927">
        <f t="shared" si="84"/>
        <v>-0.65830052226280755</v>
      </c>
      <c r="IS22" s="927">
        <f t="shared" si="84"/>
        <v>0.47182188807999026</v>
      </c>
      <c r="IT22" s="927">
        <f t="shared" si="84"/>
        <v>-5.4425711171659286E-2</v>
      </c>
      <c r="IU22" s="927">
        <f t="shared" si="84"/>
        <v>0.57937231305789849</v>
      </c>
      <c r="IV22" s="927">
        <f t="shared" ref="IV22:IV37" si="85">+IFERROR(IE22/IB22-1,"")</f>
        <v>-0.3901392202997308</v>
      </c>
      <c r="IX22" s="924">
        <f t="shared" si="68"/>
        <v>819.08089690000088</v>
      </c>
      <c r="IY22" s="924">
        <f t="shared" si="68"/>
        <v>1153.9172757099996</v>
      </c>
      <c r="IZ22" s="924">
        <f t="shared" si="68"/>
        <v>3721.27841377</v>
      </c>
      <c r="JA22" s="924">
        <f t="shared" si="68"/>
        <v>-911.36083936000045</v>
      </c>
      <c r="JB22" s="924">
        <f t="shared" si="68"/>
        <v>154.72897512000054</v>
      </c>
      <c r="JC22" s="924">
        <f t="shared" si="68"/>
        <v>-1557.4744412300001</v>
      </c>
      <c r="JD22" s="924">
        <f t="shared" si="69"/>
        <v>1656.4080145399998</v>
      </c>
      <c r="JF22" s="76">
        <f t="shared" si="70"/>
        <v>-0.45401139912750488</v>
      </c>
      <c r="JG22" s="76">
        <f t="shared" si="70"/>
        <v>-0.44722933798571796</v>
      </c>
      <c r="JH22" s="76">
        <f t="shared" si="70"/>
        <v>-0.4187425694985199</v>
      </c>
      <c r="JI22" s="76">
        <f t="shared" si="70"/>
        <v>-0.60432028207937927</v>
      </c>
      <c r="JJ22" s="76">
        <f t="shared" si="70"/>
        <v>-0.96260042972366333</v>
      </c>
      <c r="JK22" s="76">
        <f t="shared" si="70"/>
        <v>-0.40956783172383737</v>
      </c>
      <c r="JL22" s="76">
        <f t="shared" si="70"/>
        <v>-0.5082206028797005</v>
      </c>
      <c r="JM22" s="76">
        <f t="shared" si="71"/>
        <v>-0.37973241373439515</v>
      </c>
      <c r="JO22" s="924">
        <f t="shared" si="72"/>
        <v>-1276.3197050000008</v>
      </c>
      <c r="JP22" s="924">
        <f t="shared" si="72"/>
        <v>-1100.9214561200033</v>
      </c>
      <c r="JQ22" s="924">
        <f t="shared" si="72"/>
        <v>-1128.4934284699998</v>
      </c>
      <c r="JR22" s="924">
        <f t="shared" si="72"/>
        <v>-844.89326065</v>
      </c>
      <c r="JS22" s="924">
        <f t="shared" si="72"/>
        <v>-551.17423174999999</v>
      </c>
      <c r="JT22" s="924">
        <f t="shared" si="73"/>
        <v>-438.94840569000002</v>
      </c>
      <c r="JU22" s="924">
        <f t="shared" si="74"/>
        <v>-442.86788484999994</v>
      </c>
      <c r="JV22" s="924">
        <f t="shared" si="74"/>
        <v>-772.24711439000009</v>
      </c>
      <c r="JW22" s="924">
        <f t="shared" si="75"/>
        <v>-207.958213</v>
      </c>
      <c r="JX22" s="924">
        <f t="shared" si="76"/>
        <v>-586.39153286909084</v>
      </c>
      <c r="JY22" s="924">
        <f t="shared" si="77"/>
        <v>-207.958213</v>
      </c>
      <c r="KB22" s="76">
        <f t="shared" si="78"/>
        <v>2.5044449989346962E-2</v>
      </c>
      <c r="KC22" s="76">
        <f t="shared" si="78"/>
        <v>-0.25130865689178372</v>
      </c>
      <c r="KD22" s="76">
        <f t="shared" si="78"/>
        <v>-0.34764039740834685</v>
      </c>
      <c r="KE22" s="76">
        <f t="shared" si="78"/>
        <v>-0.20361225107291125</v>
      </c>
      <c r="KF22" s="76">
        <f t="shared" si="78"/>
        <v>8.9292479689924154E-3</v>
      </c>
      <c r="KG22" s="76">
        <f t="shared" si="78"/>
        <v>0.74374151029614954</v>
      </c>
      <c r="KH22" s="76">
        <f t="shared" si="79"/>
        <v>-0.73071027508562891</v>
      </c>
      <c r="KJ22" s="924">
        <f t="shared" si="80"/>
        <v>-27.571972349996486</v>
      </c>
      <c r="KK22" s="924">
        <f t="shared" si="80"/>
        <v>283.6001678199998</v>
      </c>
      <c r="KL22" s="924">
        <f t="shared" si="80"/>
        <v>293.71902890000001</v>
      </c>
      <c r="KM22" s="924">
        <f t="shared" si="80"/>
        <v>112.22582605999997</v>
      </c>
      <c r="KN22" s="924">
        <f t="shared" si="80"/>
        <v>-3.9194791599999235</v>
      </c>
      <c r="KO22" s="924">
        <f t="shared" si="80"/>
        <v>-329.37922954000015</v>
      </c>
      <c r="KP22" s="924">
        <f t="shared" si="81"/>
        <v>564.28890139000009</v>
      </c>
      <c r="KR22" s="76">
        <f t="shared" si="82"/>
        <v>-0.39812540463679807</v>
      </c>
      <c r="KS22" s="76">
        <f t="shared" si="82"/>
        <v>-0.32733898570450692</v>
      </c>
      <c r="KT22" s="76">
        <f t="shared" si="82"/>
        <v>-0.44979018047462677</v>
      </c>
      <c r="KU22" s="76">
        <f t="shared" si="82"/>
        <v>-0.94436616475090485</v>
      </c>
      <c r="KV22" s="76">
        <f t="shared" si="82"/>
        <v>-1.7663350719603823</v>
      </c>
      <c r="KW22" s="76">
        <f t="shared" si="82"/>
        <v>-0.43287888695208016</v>
      </c>
      <c r="KX22" s="76">
        <f t="shared" si="82"/>
        <v>-0.50489525400039381</v>
      </c>
      <c r="KY22" s="76">
        <f t="shared" si="82"/>
        <v>-0.50469878518054934</v>
      </c>
      <c r="KZ22" s="76">
        <f t="shared" si="46"/>
        <v>-0.56743960439325913</v>
      </c>
    </row>
    <row r="23" spans="1:312" outlineLevel="1">
      <c r="A23" s="884">
        <v>7410</v>
      </c>
      <c r="B23" s="70" t="s">
        <v>630</v>
      </c>
      <c r="C23" s="17" t="s">
        <v>67</v>
      </c>
      <c r="D23" s="31" t="s">
        <v>59</v>
      </c>
      <c r="E23" s="102">
        <v>-21.8445</v>
      </c>
      <c r="F23" s="102">
        <v>-23.0733</v>
      </c>
      <c r="G23" s="102">
        <v>-13.936999999999998</v>
      </c>
      <c r="H23" s="102">
        <v>-24.186999999999998</v>
      </c>
      <c r="I23" s="102">
        <v>-13.045424000000011</v>
      </c>
      <c r="J23" s="102">
        <v>-42.645133999999999</v>
      </c>
      <c r="K23" s="102">
        <v>-27.515423999999996</v>
      </c>
      <c r="L23" s="102">
        <v>-30.281134000000009</v>
      </c>
      <c r="M23" s="102">
        <v>-28.765133999999989</v>
      </c>
      <c r="N23" s="102">
        <v>-28.690424000000007</v>
      </c>
      <c r="O23" s="102">
        <v>-22.99042399999999</v>
      </c>
      <c r="P23" s="102">
        <v>-23.190424000000007</v>
      </c>
      <c r="Q23" s="102">
        <v>-30.640134</v>
      </c>
      <c r="R23" s="102">
        <v>-26.692024</v>
      </c>
      <c r="S23" s="102">
        <v>-26.987454399999997</v>
      </c>
      <c r="T23" s="102">
        <v>-22.566472930000003</v>
      </c>
      <c r="U23" s="102">
        <v>-22.236656789999998</v>
      </c>
      <c r="V23" s="102">
        <v>-22.989948620000007</v>
      </c>
      <c r="W23" s="102">
        <v>-14.014119040000026</v>
      </c>
      <c r="X23" s="102">
        <v>-14.016320599999972</v>
      </c>
      <c r="Y23" s="102">
        <v>-14.037748999999963</v>
      </c>
      <c r="Z23" s="102">
        <v>-16.520798939999992</v>
      </c>
      <c r="AA23" s="102">
        <v>-15.32528099000001</v>
      </c>
      <c r="AB23" s="102">
        <v>-14.016255610000002</v>
      </c>
      <c r="AC23" s="102">
        <v>-14.410681</v>
      </c>
      <c r="AD23" s="102">
        <v>-21.174334000000002</v>
      </c>
      <c r="AE23" s="102">
        <v>-14.344476580000002</v>
      </c>
      <c r="AF23" s="102">
        <v>-23.034220929999996</v>
      </c>
      <c r="AG23" s="102">
        <v>-21.028325769999999</v>
      </c>
      <c r="AH23" s="102">
        <v>-22.982032049999997</v>
      </c>
      <c r="AI23" s="102">
        <v>-19.912396829999999</v>
      </c>
      <c r="AJ23" s="102">
        <v>-24.639948039999997</v>
      </c>
      <c r="AK23" s="102">
        <v>-21.653968459999998</v>
      </c>
      <c r="AL23" s="102">
        <v>-89.608204520000001</v>
      </c>
      <c r="AM23" s="102">
        <v>-28.010164840000002</v>
      </c>
      <c r="AN23" s="102">
        <v>-372.14138224999999</v>
      </c>
      <c r="AO23" s="102">
        <v>-28.5</v>
      </c>
      <c r="AP23" s="145">
        <v>-28.792704899999997</v>
      </c>
      <c r="AQ23" s="143">
        <v>-1.71339284</v>
      </c>
      <c r="AR23" s="143">
        <v>-64.964013129999998</v>
      </c>
      <c r="AS23" s="102">
        <v>25.58167559</v>
      </c>
      <c r="AT23" s="102">
        <v>-2.3552591199999999</v>
      </c>
      <c r="AU23" s="102">
        <v>-1.63791898</v>
      </c>
      <c r="AV23" s="102">
        <v>-39.658742140000001</v>
      </c>
      <c r="AW23" s="102">
        <v>32.270913280000002</v>
      </c>
      <c r="AX23" s="102">
        <v>-1.6755091200000001</v>
      </c>
      <c r="AY23" s="102">
        <v>-85.088313580000005</v>
      </c>
      <c r="AZ23" s="102">
        <v>-2.44786854</v>
      </c>
      <c r="BA23" s="102">
        <v>-1.02564072</v>
      </c>
      <c r="BB23" s="102">
        <v>-1.0314719999999999</v>
      </c>
      <c r="BC23" s="102">
        <v>-5.2233775199999997</v>
      </c>
      <c r="BD23" s="102">
        <v>-1.23169248</v>
      </c>
      <c r="BE23" s="102">
        <v>-1.3258814399999994</v>
      </c>
      <c r="BF23" s="102">
        <v>-32.962827609999998</v>
      </c>
      <c r="BG23" s="102">
        <v>0.68165543999999989</v>
      </c>
      <c r="BH23" s="102">
        <v>-0.08</v>
      </c>
      <c r="BI23" s="102">
        <v>-9.4043243599999986</v>
      </c>
      <c r="BJ23" s="102">
        <v>-8.5399999999999991</v>
      </c>
      <c r="BK23" s="102">
        <v>-0.24047029000000003</v>
      </c>
      <c r="BL23" s="102">
        <v>-10.791</v>
      </c>
      <c r="BM23" s="102">
        <v>0</v>
      </c>
      <c r="BN23" s="102">
        <v>0</v>
      </c>
      <c r="BO23" s="102">
        <v>0</v>
      </c>
      <c r="BP23" s="102">
        <v>-0.24</v>
      </c>
      <c r="BQ23" s="102">
        <v>-0.04</v>
      </c>
      <c r="BR23" s="102">
        <v>0</v>
      </c>
      <c r="BS23" s="102">
        <v>0</v>
      </c>
      <c r="BT23" s="102">
        <v>-4.76</v>
      </c>
      <c r="BU23" s="102">
        <v>4.5999999999999996</v>
      </c>
      <c r="BV23" s="102">
        <v>-16.059999999999999</v>
      </c>
      <c r="BW23" s="102">
        <v>-0.13600000000000001</v>
      </c>
      <c r="BX23" s="102">
        <v>-0.46200000000000002</v>
      </c>
      <c r="BY23" s="102">
        <v>-0.04</v>
      </c>
      <c r="BZ23" s="102">
        <v>-0.192</v>
      </c>
      <c r="CA23" s="102">
        <v>0</v>
      </c>
      <c r="CB23" s="102">
        <v>0</v>
      </c>
      <c r="CC23" s="102">
        <v>0</v>
      </c>
      <c r="CD23" s="102">
        <v>0</v>
      </c>
      <c r="CE23" s="102">
        <v>0</v>
      </c>
      <c r="CF23" s="102">
        <v>-0.2</v>
      </c>
      <c r="CG23" s="102">
        <v>0</v>
      </c>
      <c r="CH23" s="102">
        <v>-0.56000000000000005</v>
      </c>
      <c r="CI23" s="102">
        <v>-0.52</v>
      </c>
      <c r="CJ23" s="102">
        <v>-0.56000000000000005</v>
      </c>
      <c r="CK23" s="1169">
        <v>-17.299199999999999</v>
      </c>
      <c r="CL23" s="1169">
        <v>0</v>
      </c>
      <c r="CM23" s="1169">
        <v>-12.7033</v>
      </c>
      <c r="CN23" s="1169">
        <v>8.8039999999999993E-2</v>
      </c>
      <c r="CO23" s="1169">
        <v>-6.7156399999999996</v>
      </c>
      <c r="CP23" s="1169">
        <v>5.8134674999999998</v>
      </c>
      <c r="CQ23" s="1169">
        <v>0</v>
      </c>
      <c r="CR23" s="1169">
        <v>-6.9345800000000004</v>
      </c>
      <c r="CS23" s="1169">
        <v>-3.1696080000000002</v>
      </c>
      <c r="CT23" s="1169">
        <v>-4.1494920000000004</v>
      </c>
      <c r="CU23" s="1169">
        <v>-1.2270000000000001</v>
      </c>
      <c r="CV23" s="1169">
        <v>7.0615800000000002</v>
      </c>
      <c r="CW23" s="1169">
        <v>0</v>
      </c>
      <c r="CX23" s="1169">
        <v>-6.9</v>
      </c>
      <c r="CY23" s="1169">
        <v>-13.161619999999999</v>
      </c>
      <c r="CZ23" s="1169">
        <v>-1.7124550000000001</v>
      </c>
      <c r="DA23" s="1169">
        <v>0</v>
      </c>
      <c r="DB23" s="1169">
        <v>-0.8</v>
      </c>
      <c r="DC23" s="1169">
        <v>-0.08</v>
      </c>
      <c r="DD23" s="1169">
        <v>-55.909825299999994</v>
      </c>
      <c r="DE23" s="1169">
        <v>-55.617000699999991</v>
      </c>
      <c r="DF23" s="1169">
        <v>-106.22762515000001</v>
      </c>
      <c r="DG23" s="1169">
        <v>-10.695903480000004</v>
      </c>
      <c r="DH23" s="1169">
        <v>-108.07746225</v>
      </c>
      <c r="DJ23" s="102">
        <v>0</v>
      </c>
      <c r="DK23" s="102">
        <v>-6.9</v>
      </c>
      <c r="DL23" s="102">
        <v>-13.161619999999999</v>
      </c>
      <c r="DM23" s="102">
        <v>-1.7124550000000001</v>
      </c>
      <c r="DN23" s="102">
        <v>0</v>
      </c>
      <c r="DO23" s="102">
        <v>-0.8</v>
      </c>
      <c r="DP23" s="102">
        <v>0</v>
      </c>
      <c r="DQ23" s="102">
        <v>0</v>
      </c>
      <c r="DR23" s="102">
        <v>-2.5049999999999999</v>
      </c>
      <c r="DS23" s="102">
        <v>-2.5049999999999999</v>
      </c>
      <c r="DT23" s="102">
        <v>-2.5049999999999999</v>
      </c>
      <c r="DU23" s="102">
        <v>-2.5049999999999999</v>
      </c>
      <c r="DW23" s="102">
        <v>-16.72</v>
      </c>
      <c r="DX23" s="102">
        <v>-16.72</v>
      </c>
      <c r="DY23" s="102">
        <v>-16.72</v>
      </c>
      <c r="DZ23" s="102">
        <v>-16.72</v>
      </c>
      <c r="EA23" s="102">
        <v>-16.72</v>
      </c>
      <c r="EB23" s="102">
        <v>-16.72</v>
      </c>
      <c r="EC23" s="102">
        <v>-170.40549999999999</v>
      </c>
      <c r="ED23" s="102">
        <v>-134.40549999999999</v>
      </c>
      <c r="EE23" s="102">
        <v>-134.40549999999999</v>
      </c>
      <c r="EF23" s="102">
        <v>-134.40549999999999</v>
      </c>
      <c r="EG23" s="102">
        <v>-134.40549999999999</v>
      </c>
      <c r="EH23" s="102">
        <v>-134.40549999999999</v>
      </c>
      <c r="EI23" s="102">
        <v>-9.3252135348000014</v>
      </c>
      <c r="EJ23" s="102">
        <v>-9.2053607200080005</v>
      </c>
      <c r="EK23" s="102">
        <v>-9.3599131840389997</v>
      </c>
      <c r="EL23" s="102">
        <v>-8.6621860893470011</v>
      </c>
      <c r="EM23" s="102">
        <v>-9.3582392439640003</v>
      </c>
      <c r="EN23" s="102">
        <v>-12.112363529921002</v>
      </c>
      <c r="EO23" s="102">
        <v>-11.0663381141475</v>
      </c>
      <c r="EP23" s="102">
        <v>-10.989061882132001</v>
      </c>
      <c r="EQ23" s="102">
        <v>-13.209369818183001</v>
      </c>
      <c r="ER23" s="102">
        <v>-10.989061882132001</v>
      </c>
      <c r="ES23" s="102">
        <v>-10.989061882132001</v>
      </c>
      <c r="ET23" s="102">
        <v>-10.989061882132001</v>
      </c>
      <c r="EU23" s="102">
        <v>-5.7649999999999997</v>
      </c>
      <c r="EV23" s="102">
        <v>-6.2290000000000001</v>
      </c>
      <c r="EW23" s="102">
        <v>-6.7729999999999997</v>
      </c>
      <c r="EX23" s="102">
        <v>-6.4530000000000003</v>
      </c>
      <c r="EY23" s="102">
        <v>-6.3250000000000002</v>
      </c>
      <c r="EZ23" s="102">
        <v>-5.6849999999999996</v>
      </c>
      <c r="FA23" s="102">
        <v>-6.133</v>
      </c>
      <c r="FB23" s="102">
        <v>-5.2690000000000001</v>
      </c>
      <c r="FC23" s="102">
        <v>-4.8049999999999997</v>
      </c>
      <c r="FD23" s="102">
        <v>-4.8049999999999997</v>
      </c>
      <c r="FE23" s="102">
        <v>-4.5650000000000004</v>
      </c>
      <c r="FF23" s="102">
        <v>-4.5650000000000004</v>
      </c>
      <c r="FG23" s="102">
        <v>-0.80500000000000005</v>
      </c>
      <c r="FH23" s="102">
        <v>-0.80500000000000005</v>
      </c>
      <c r="FI23" s="102">
        <v>-0.80500000000000005</v>
      </c>
      <c r="FJ23" s="102">
        <v>-0.80500000000000005</v>
      </c>
      <c r="FK23" s="102">
        <v>-0.80500000000000005</v>
      </c>
      <c r="FL23" s="102">
        <v>-0.80500000000000005</v>
      </c>
      <c r="FM23" s="102">
        <v>-0.80500000000000005</v>
      </c>
      <c r="FN23" s="102">
        <v>-0.80500000000000005</v>
      </c>
      <c r="FO23" s="102">
        <v>-0.80500000000000005</v>
      </c>
      <c r="FP23" s="102">
        <v>-0.80500000000000005</v>
      </c>
      <c r="FQ23" s="102">
        <v>-0.80500000000000005</v>
      </c>
      <c r="FR23" s="102">
        <v>-0.80500000000000005</v>
      </c>
      <c r="FS23" s="102">
        <v>-0.80500000000000005</v>
      </c>
      <c r="FT23" s="102">
        <v>-0.80500000000000005</v>
      </c>
      <c r="FU23" s="102">
        <v>-0.80500000000000005</v>
      </c>
      <c r="FV23" s="102">
        <v>-0.80500000000000005</v>
      </c>
      <c r="FW23" s="102">
        <v>-0.80500000000000005</v>
      </c>
      <c r="FX23" s="102">
        <v>-0.80500000000000005</v>
      </c>
      <c r="FY23" s="102">
        <v>-0.80500000000000005</v>
      </c>
      <c r="FZ23" s="102">
        <v>-0.80500000000000005</v>
      </c>
      <c r="GA23" s="102">
        <v>-0.80500000000000005</v>
      </c>
      <c r="GB23" s="102">
        <v>-0.80500000000000005</v>
      </c>
      <c r="GC23" s="102">
        <v>-0.80500000000000005</v>
      </c>
      <c r="GD23" s="102">
        <v>-0.80500000000000005</v>
      </c>
      <c r="GF23" s="102">
        <f t="shared" si="56"/>
        <v>-300.165322</v>
      </c>
      <c r="GG23" s="102">
        <f t="shared" si="56"/>
        <v>-240.04321491999997</v>
      </c>
      <c r="GH23" s="102">
        <f t="shared" si="56"/>
        <v>-672.94013526999993</v>
      </c>
      <c r="GI23" s="102">
        <f t="shared" si="56"/>
        <v>-198.98113347999998</v>
      </c>
      <c r="GJ23" s="102">
        <f t="shared" si="83"/>
        <v>-71.175030979999988</v>
      </c>
      <c r="GK23" s="102">
        <f t="shared" si="37"/>
        <v>-17.097999999999999</v>
      </c>
      <c r="GL23" s="102">
        <f t="shared" si="38"/>
        <v>-2.0720000000000001</v>
      </c>
      <c r="GM23" s="102">
        <f t="shared" si="57"/>
        <v>-39.23573249999999</v>
      </c>
      <c r="GN23" s="102">
        <f t="shared" si="7"/>
        <v>-9.6599999999999984</v>
      </c>
      <c r="GO23" s="102">
        <v>-359.18189187999997</v>
      </c>
      <c r="GQ23" s="929">
        <f t="shared" si="58"/>
        <v>1.8034124417733408</v>
      </c>
      <c r="GR23" s="929">
        <f t="shared" si="58"/>
        <v>-0.70431079519404216</v>
      </c>
      <c r="GS23" s="929">
        <f t="shared" si="58"/>
        <v>-0.64230261565399149</v>
      </c>
      <c r="GT23" s="929">
        <f t="shared" si="58"/>
        <v>-0.75977530652842995</v>
      </c>
      <c r="GU23" s="929">
        <f t="shared" si="58"/>
        <v>-0.87881623581705459</v>
      </c>
      <c r="GV23" s="929">
        <f t="shared" si="58"/>
        <v>17.93616433397683</v>
      </c>
      <c r="GW23" s="929">
        <f t="shared" si="8"/>
        <v>-0.75379585432742968</v>
      </c>
      <c r="GX23" s="929">
        <f t="shared" si="8"/>
        <v>36.182390463768115</v>
      </c>
      <c r="GY23" s="929">
        <f t="shared" si="9"/>
        <v>8.1544586781959545</v>
      </c>
      <c r="HA23" s="102">
        <f t="shared" si="59"/>
        <v>-432.89692034999996</v>
      </c>
      <c r="HB23" s="102">
        <f t="shared" si="59"/>
        <v>473.95900178999995</v>
      </c>
      <c r="HC23" s="102">
        <f t="shared" si="59"/>
        <v>127.80610249999999</v>
      </c>
      <c r="HD23" s="102">
        <f t="shared" si="10"/>
        <v>54.077030979999989</v>
      </c>
      <c r="HE23" s="102">
        <f t="shared" si="10"/>
        <v>15.026</v>
      </c>
      <c r="HF23" s="102">
        <f t="shared" si="10"/>
        <v>-37.163732499999988</v>
      </c>
      <c r="HG23" s="102">
        <f t="shared" si="10"/>
        <v>29.575732499999994</v>
      </c>
      <c r="HH23" s="102">
        <f t="shared" si="10"/>
        <v>-349.52189187999994</v>
      </c>
      <c r="HI23" s="102">
        <f t="shared" si="11"/>
        <v>-319.94615937999998</v>
      </c>
      <c r="HK23" s="32">
        <f t="shared" si="60"/>
        <v>-6.5308498231847322E-3</v>
      </c>
      <c r="HL23" s="32">
        <f t="shared" si="60"/>
        <v>-1.708707953217406E-2</v>
      </c>
      <c r="HM23" s="32">
        <f t="shared" si="60"/>
        <v>-1.1807019088619511E-2</v>
      </c>
      <c r="HN23" s="32">
        <f t="shared" si="60"/>
        <v>-1.1569362960649324E-2</v>
      </c>
      <c r="HO23" s="32">
        <f t="shared" si="12"/>
        <v>-1.2545478128228585E-3</v>
      </c>
      <c r="HP23" s="32">
        <f t="shared" si="12"/>
        <v>-1.4642557112181119E-4</v>
      </c>
      <c r="HQ23" s="32">
        <f t="shared" si="12"/>
        <v>-1.8481833276668413E-3</v>
      </c>
      <c r="HR23" s="32">
        <f t="shared" si="12"/>
        <v>-6.1402350354844556E-4</v>
      </c>
      <c r="HS23" s="32">
        <f t="shared" si="12"/>
        <v>-2.846157698039661E-2</v>
      </c>
      <c r="HU23" s="102">
        <f t="shared" si="61"/>
        <v>-138.732358</v>
      </c>
      <c r="HV23" s="102">
        <f t="shared" si="61"/>
        <v>-152.11269074000001</v>
      </c>
      <c r="HW23" s="102">
        <f t="shared" si="61"/>
        <v>-116.97407032999999</v>
      </c>
      <c r="HX23" s="102">
        <f t="shared" si="61"/>
        <v>-100.74369439999998</v>
      </c>
      <c r="HY23" s="102">
        <f t="shared" si="61"/>
        <v>-42.80089177</v>
      </c>
      <c r="HZ23" s="102">
        <f t="shared" si="61"/>
        <v>-0.27999999999999997</v>
      </c>
      <c r="IA23" s="102">
        <f t="shared" si="62"/>
        <v>-0.23200000000000001</v>
      </c>
      <c r="IB23" s="102">
        <f t="shared" si="63"/>
        <v>-30.816632499999997</v>
      </c>
      <c r="IC23" s="102">
        <f t="shared" si="64"/>
        <v>-22.574074999999997</v>
      </c>
      <c r="ID23" s="102">
        <f t="shared" si="18"/>
        <v>-4.83</v>
      </c>
      <c r="IE23" s="102">
        <f t="shared" si="65"/>
        <v>-22.574074999999997</v>
      </c>
      <c r="IF23" s="922">
        <f t="shared" si="20"/>
        <v>-0.26747106452984437</v>
      </c>
      <c r="IG23" s="102">
        <f t="shared" si="21"/>
        <v>-22.574074999999997</v>
      </c>
      <c r="IH23" s="102">
        <f t="shared" si="21"/>
        <v>-4.83</v>
      </c>
      <c r="II23" s="145"/>
      <c r="IJ23" s="929">
        <f t="shared" si="66"/>
        <v>4.673721532091097</v>
      </c>
      <c r="IK23" s="930">
        <f t="shared" si="40"/>
        <v>-17.744074999999995</v>
      </c>
      <c r="IM23" s="32">
        <f t="shared" si="41"/>
        <v>-3.471554424920129E-3</v>
      </c>
      <c r="IN23" s="929">
        <f t="shared" si="22"/>
        <v>-6.8404521054486712E-4</v>
      </c>
      <c r="IP23" s="929">
        <f t="shared" si="84"/>
        <v>-0.2310038711369653</v>
      </c>
      <c r="IQ23" s="929">
        <f t="shared" si="84"/>
        <v>-0.13875191214781091</v>
      </c>
      <c r="IR23" s="929">
        <f t="shared" si="84"/>
        <v>-0.57515066302750151</v>
      </c>
      <c r="IS23" s="929">
        <f t="shared" si="84"/>
        <v>-0.99345808023102322</v>
      </c>
      <c r="IT23" s="929">
        <f t="shared" si="84"/>
        <v>-0.17142857142857126</v>
      </c>
      <c r="IU23" s="929">
        <f t="shared" si="84"/>
        <v>131.83031249999999</v>
      </c>
      <c r="IV23" s="929">
        <f t="shared" si="85"/>
        <v>-0.26747106452984437</v>
      </c>
      <c r="IX23" s="102">
        <f t="shared" si="68"/>
        <v>35.138620410000016</v>
      </c>
      <c r="IY23" s="102">
        <f t="shared" si="68"/>
        <v>16.230375930000008</v>
      </c>
      <c r="IZ23" s="102">
        <f t="shared" si="68"/>
        <v>57.942802629999981</v>
      </c>
      <c r="JA23" s="102">
        <f t="shared" si="68"/>
        <v>42.520891769999999</v>
      </c>
      <c r="JB23" s="102">
        <f t="shared" si="68"/>
        <v>4.7999999999999959E-2</v>
      </c>
      <c r="JC23" s="102">
        <f t="shared" si="68"/>
        <v>-30.584632499999998</v>
      </c>
      <c r="JD23" s="102">
        <f t="shared" si="69"/>
        <v>8.2425575000000002</v>
      </c>
      <c r="JF23" s="32">
        <f t="shared" si="70"/>
        <v>-8.6736640354041997E-3</v>
      </c>
      <c r="JG23" s="32">
        <f t="shared" si="70"/>
        <v>-8.9208699255664912E-3</v>
      </c>
      <c r="JH23" s="32">
        <f t="shared" si="70"/>
        <v>-7.1960702805187599E-3</v>
      </c>
      <c r="JI23" s="32">
        <f t="shared" si="70"/>
        <v>-1.0770034117602054E-2</v>
      </c>
      <c r="JJ23" s="32">
        <f t="shared" si="70"/>
        <v>-2.1329790502196511E-2</v>
      </c>
      <c r="JK23" s="32">
        <f t="shared" si="70"/>
        <v>-4.033818319580162E-5</v>
      </c>
      <c r="JL23" s="32">
        <f t="shared" si="70"/>
        <v>-4.3860851721175233E-5</v>
      </c>
      <c r="JM23" s="32">
        <f t="shared" si="71"/>
        <v>-3.3106191075890933E-3</v>
      </c>
      <c r="JO23" s="102">
        <f t="shared" si="72"/>
        <v>-42.645133999999999</v>
      </c>
      <c r="JP23" s="102">
        <f t="shared" si="72"/>
        <v>-22.989948620000007</v>
      </c>
      <c r="JQ23" s="102">
        <f t="shared" si="72"/>
        <v>-22.982032049999997</v>
      </c>
      <c r="JR23" s="102">
        <f t="shared" si="72"/>
        <v>-2.3552591199999999</v>
      </c>
      <c r="JS23" s="102">
        <f t="shared" si="72"/>
        <v>-32.962827609999998</v>
      </c>
      <c r="JT23" s="102">
        <f t="shared" si="73"/>
        <v>0</v>
      </c>
      <c r="JU23" s="102">
        <f t="shared" si="74"/>
        <v>0</v>
      </c>
      <c r="JV23" s="102">
        <f t="shared" si="74"/>
        <v>5.8134674999999998</v>
      </c>
      <c r="JW23" s="102">
        <f t="shared" si="75"/>
        <v>-0.8</v>
      </c>
      <c r="JX23" s="102">
        <f t="shared" si="76"/>
        <v>-0.80500000000000005</v>
      </c>
      <c r="JY23" s="102">
        <f t="shared" si="77"/>
        <v>-0.8</v>
      </c>
      <c r="KB23" s="32">
        <f t="shared" si="78"/>
        <v>-3.4434918193437802E-4</v>
      </c>
      <c r="KC23" s="32">
        <f t="shared" si="78"/>
        <v>-0.89751736857402908</v>
      </c>
      <c r="KD23" s="32">
        <f t="shared" si="78"/>
        <v>12.995414487557531</v>
      </c>
      <c r="KE23" s="32">
        <f t="shared" si="78"/>
        <v>-1</v>
      </c>
      <c r="KF23" s="32" t="str">
        <f t="shared" si="78"/>
        <v xml:space="preserve"> </v>
      </c>
      <c r="KG23" s="32" t="str">
        <f t="shared" si="78"/>
        <v xml:space="preserve"> </v>
      </c>
      <c r="KH23" s="32">
        <f t="shared" si="79"/>
        <v>-1.1376115029455312</v>
      </c>
      <c r="KJ23" s="102">
        <f t="shared" si="80"/>
        <v>7.9165700000096706E-3</v>
      </c>
      <c r="KK23" s="102">
        <f t="shared" si="80"/>
        <v>20.626772929999998</v>
      </c>
      <c r="KL23" s="102">
        <f t="shared" si="80"/>
        <v>-30.607568489999998</v>
      </c>
      <c r="KM23" s="102">
        <f t="shared" si="80"/>
        <v>32.962827609999998</v>
      </c>
      <c r="KN23" s="102">
        <f t="shared" si="80"/>
        <v>0</v>
      </c>
      <c r="KO23" s="102">
        <f t="shared" si="80"/>
        <v>5.8134674999999998</v>
      </c>
      <c r="KP23" s="102">
        <f t="shared" si="81"/>
        <v>-6.6134674999999996</v>
      </c>
      <c r="KR23" s="32">
        <f t="shared" si="82"/>
        <v>-1.3302396854822878E-2</v>
      </c>
      <c r="KS23" s="32">
        <f t="shared" si="82"/>
        <v>-6.8356433793122767E-3</v>
      </c>
      <c r="KT23" s="32">
        <f t="shared" si="82"/>
        <v>-9.1600820019466858E-3</v>
      </c>
      <c r="KU23" s="32">
        <f t="shared" si="82"/>
        <v>-2.6325538689204731E-3</v>
      </c>
      <c r="KV23" s="32">
        <f t="shared" si="82"/>
        <v>-0.10563519686627118</v>
      </c>
      <c r="KW23" s="32">
        <f t="shared" si="82"/>
        <v>0</v>
      </c>
      <c r="KX23" s="32">
        <f t="shared" si="82"/>
        <v>0</v>
      </c>
      <c r="KY23" s="32">
        <f t="shared" si="82"/>
        <v>3.7993667185849162E-3</v>
      </c>
      <c r="KZ23" s="32">
        <f t="shared" si="46"/>
        <v>-2.1828985591187369E-3</v>
      </c>
    </row>
    <row r="24" spans="1:312" outlineLevel="1">
      <c r="A24" s="884">
        <v>7415</v>
      </c>
      <c r="B24" s="70" t="s">
        <v>631</v>
      </c>
      <c r="C24" s="17" t="s">
        <v>68</v>
      </c>
      <c r="D24" s="31" t="s">
        <v>59</v>
      </c>
      <c r="E24" s="102">
        <v>-57.256008009999995</v>
      </c>
      <c r="F24" s="102">
        <v>-117.37430821000001</v>
      </c>
      <c r="G24" s="102">
        <v>-291.94854938000003</v>
      </c>
      <c r="H24" s="102">
        <v>-148.5750392999999</v>
      </c>
      <c r="I24" s="102">
        <v>-126.17763820000005</v>
      </c>
      <c r="J24" s="102">
        <v>-119.25104110000007</v>
      </c>
      <c r="K24" s="102">
        <v>-111.90626052999994</v>
      </c>
      <c r="L24" s="102">
        <v>-123.44358699999998</v>
      </c>
      <c r="M24" s="102">
        <v>-79.361859999999979</v>
      </c>
      <c r="N24" s="102">
        <v>308.73658882999996</v>
      </c>
      <c r="O24" s="102">
        <v>-80.176939830000038</v>
      </c>
      <c r="P24" s="102">
        <v>-92.758029369999917</v>
      </c>
      <c r="Q24" s="102">
        <v>-282.50600156000002</v>
      </c>
      <c r="R24" s="102">
        <v>-133.91675124</v>
      </c>
      <c r="S24" s="102">
        <v>-159.71923006999998</v>
      </c>
      <c r="T24" s="102">
        <v>-204.27415629000006</v>
      </c>
      <c r="U24" s="102">
        <v>-268.46794008999996</v>
      </c>
      <c r="V24" s="102">
        <v>-124.41613959000006</v>
      </c>
      <c r="W24" s="102">
        <v>-122.07010648000005</v>
      </c>
      <c r="X24" s="102">
        <v>-112.75524346999987</v>
      </c>
      <c r="Y24" s="102">
        <v>-143.13266218000012</v>
      </c>
      <c r="Z24" s="102">
        <v>-183.90810423999983</v>
      </c>
      <c r="AA24" s="102">
        <v>-142.66854374000013</v>
      </c>
      <c r="AB24" s="102">
        <v>-220.32374596999989</v>
      </c>
      <c r="AC24" s="102">
        <v>-130.92108112</v>
      </c>
      <c r="AD24" s="102">
        <v>-228.74380185999999</v>
      </c>
      <c r="AE24" s="102">
        <v>-156.88065140999998</v>
      </c>
      <c r="AF24" s="102">
        <v>-63.014418250000006</v>
      </c>
      <c r="AG24" s="102">
        <v>-103.04576940000001</v>
      </c>
      <c r="AH24" s="102">
        <v>-105.86069623</v>
      </c>
      <c r="AI24" s="102">
        <v>-137.61481380000001</v>
      </c>
      <c r="AJ24" s="102">
        <v>-128.66960360000002</v>
      </c>
      <c r="AK24" s="102">
        <v>-112.82630606000001</v>
      </c>
      <c r="AL24" s="102">
        <v>-131.81652830000002</v>
      </c>
      <c r="AM24" s="102">
        <v>-141.51738759</v>
      </c>
      <c r="AN24" s="102">
        <v>976.82005762000006</v>
      </c>
      <c r="AO24" s="102">
        <v>0</v>
      </c>
      <c r="AP24" s="145">
        <v>0</v>
      </c>
      <c r="AQ24" s="143">
        <v>-5.8888667799999999</v>
      </c>
      <c r="AR24" s="143">
        <v>0</v>
      </c>
      <c r="AS24" s="102">
        <v>-31.284262160000001</v>
      </c>
      <c r="AT24" s="102">
        <v>-11.831862599999999</v>
      </c>
      <c r="AU24" s="102">
        <v>48.997491539999999</v>
      </c>
      <c r="AV24" s="102">
        <v>-2.0448000000000001E-2</v>
      </c>
      <c r="AW24" s="102">
        <v>0</v>
      </c>
      <c r="AX24" s="102">
        <v>0</v>
      </c>
      <c r="AY24" s="102">
        <v>0</v>
      </c>
      <c r="AZ24" s="102">
        <v>0</v>
      </c>
      <c r="BA24" s="102">
        <v>-8.0036958800000004</v>
      </c>
      <c r="BB24" s="102">
        <v>-9.2853024899999994</v>
      </c>
      <c r="BC24" s="102">
        <v>-6.8281425100000002</v>
      </c>
      <c r="BD24" s="102">
        <v>-2.6888151800000002</v>
      </c>
      <c r="BE24" s="145">
        <v>-0.45949318</v>
      </c>
      <c r="BF24" s="145">
        <v>-2.45427068</v>
      </c>
      <c r="BG24" s="145">
        <v>-38.639650539999998</v>
      </c>
      <c r="BH24" s="145">
        <v>-5.1288716699999997</v>
      </c>
      <c r="BI24" s="145">
        <v>-4.8963491100000001</v>
      </c>
      <c r="BJ24" s="145">
        <v>-5.5765183600000006</v>
      </c>
      <c r="BK24" s="102">
        <v>-4.9392729500000003</v>
      </c>
      <c r="BL24" s="102">
        <v>-6.8196585500000033</v>
      </c>
      <c r="BM24" s="102">
        <v>-16.000713090000001</v>
      </c>
      <c r="BN24" s="102">
        <v>-14.960549480000001</v>
      </c>
      <c r="BO24" s="102">
        <v>-10.683518579999999</v>
      </c>
      <c r="BP24" s="102">
        <v>-18.81278683</v>
      </c>
      <c r="BQ24" s="145">
        <v>-13.974035929999999</v>
      </c>
      <c r="BR24" s="145">
        <v>-13.31395244</v>
      </c>
      <c r="BS24" s="145">
        <v>-15.637304539999999</v>
      </c>
      <c r="BT24" s="145">
        <v>-16.152157689999999</v>
      </c>
      <c r="BU24" s="145">
        <v>-10.247737770000002</v>
      </c>
      <c r="BV24" s="145">
        <v>-14.490755160000001</v>
      </c>
      <c r="BW24" s="102">
        <v>-15.535969</v>
      </c>
      <c r="BX24" s="102">
        <v>11.288153279999998</v>
      </c>
      <c r="BY24" s="102">
        <v>-15.692319019999999</v>
      </c>
      <c r="BZ24" s="102">
        <v>-7.2517035099999996</v>
      </c>
      <c r="CA24" s="102">
        <v>-19.083005460000003</v>
      </c>
      <c r="CB24" s="102">
        <v>-11.360271560000001</v>
      </c>
      <c r="CC24" s="102">
        <v>-5.8858868800000002</v>
      </c>
      <c r="CD24" s="102">
        <v>-12.026714979999998</v>
      </c>
      <c r="CE24" s="102">
        <v>-10.76875624</v>
      </c>
      <c r="CF24" s="102">
        <v>-9.6662524800000007</v>
      </c>
      <c r="CG24" s="102">
        <v>-5.2691551700000003</v>
      </c>
      <c r="CH24" s="102">
        <v>-18.78836012</v>
      </c>
      <c r="CI24" s="102">
        <v>-12.754557480000001</v>
      </c>
      <c r="CJ24" s="102">
        <v>-19.16943113</v>
      </c>
      <c r="CK24" s="1169">
        <v>-10.59867942</v>
      </c>
      <c r="CL24" s="1169">
        <v>-24.763127399999998</v>
      </c>
      <c r="CM24" s="1169">
        <v>-11.13521828</v>
      </c>
      <c r="CN24" s="1169">
        <v>-24.469676639999999</v>
      </c>
      <c r="CO24" s="1169">
        <v>-20.54873044</v>
      </c>
      <c r="CP24" s="1169">
        <v>-9.9957090600000011</v>
      </c>
      <c r="CQ24" s="1169">
        <v>-14.442250720000001</v>
      </c>
      <c r="CR24" s="1169">
        <v>-32.770377170000003</v>
      </c>
      <c r="CS24" s="1169">
        <v>-10.509271810000001</v>
      </c>
      <c r="CT24" s="1169">
        <v>-26.917174230000001</v>
      </c>
      <c r="CU24" s="1169">
        <v>-24.25622808</v>
      </c>
      <c r="CV24" s="1169">
        <v>-23.106468490000008</v>
      </c>
      <c r="CW24" s="1169">
        <v>-12.8678299</v>
      </c>
      <c r="CX24" s="1169">
        <v>-13.623067929999999</v>
      </c>
      <c r="CY24" s="1169">
        <v>-20.28649416</v>
      </c>
      <c r="CZ24" s="1169">
        <v>-5.3169425599999993</v>
      </c>
      <c r="DA24" s="1169">
        <v>2.2055375299999995</v>
      </c>
      <c r="DB24" s="1169">
        <v>-3.6694541800000002</v>
      </c>
      <c r="DC24" s="1169">
        <v>-5.3764846799999999</v>
      </c>
      <c r="DD24" s="1169">
        <v>-8.3657350000000008</v>
      </c>
      <c r="DE24" s="1169">
        <v>-10.409687999999999</v>
      </c>
      <c r="DF24" s="1169">
        <v>-14.115298279999999</v>
      </c>
      <c r="DG24" s="1169">
        <v>-8.0392939999999999</v>
      </c>
      <c r="DH24" s="1169">
        <v>-28.342790290000003</v>
      </c>
      <c r="DJ24" s="102">
        <v>-12.867829900000002</v>
      </c>
      <c r="DK24" s="102">
        <v>-13.623067929999999</v>
      </c>
      <c r="DL24" s="102">
        <v>-20.286494159999997</v>
      </c>
      <c r="DM24" s="102">
        <v>-5.3169425600000002</v>
      </c>
      <c r="DN24" s="102">
        <v>2.2055375300000013</v>
      </c>
      <c r="DO24" s="102">
        <v>-3.6694541800000002</v>
      </c>
      <c r="DP24" s="102">
        <v>-4.9692278018000007</v>
      </c>
      <c r="DQ24" s="102">
        <v>-8.9029729492000005</v>
      </c>
      <c r="DR24" s="102">
        <v>-8.4888218858000002</v>
      </c>
      <c r="DS24" s="102">
        <v>-5.7672821892000012</v>
      </c>
      <c r="DT24" s="102">
        <v>-5.3152891030000013</v>
      </c>
      <c r="DU24" s="102">
        <v>-5.5424279960000007</v>
      </c>
      <c r="DW24" s="145">
        <v>0</v>
      </c>
      <c r="DX24" s="145">
        <v>0</v>
      </c>
      <c r="DY24" s="145">
        <v>0</v>
      </c>
      <c r="DZ24" s="145">
        <v>0</v>
      </c>
      <c r="EA24" s="145">
        <v>0</v>
      </c>
      <c r="EB24" s="145">
        <v>0</v>
      </c>
      <c r="EC24" s="145">
        <v>0</v>
      </c>
      <c r="ED24" s="145">
        <v>0</v>
      </c>
      <c r="EE24" s="145">
        <v>0</v>
      </c>
      <c r="EF24" s="145">
        <v>0</v>
      </c>
      <c r="EG24" s="145">
        <v>0</v>
      </c>
      <c r="EH24" s="145">
        <v>0</v>
      </c>
      <c r="EI24" s="145">
        <v>-3.2877509548500043</v>
      </c>
      <c r="EJ24" s="145">
        <v>-3.2625309679100001</v>
      </c>
      <c r="EK24" s="145">
        <v>-6.2033175319599989</v>
      </c>
      <c r="EL24" s="145">
        <v>-7.7876341935225</v>
      </c>
      <c r="EM24" s="145">
        <v>-9.3989698147674989</v>
      </c>
      <c r="EN24" s="145">
        <v>-8.4445453021224992</v>
      </c>
      <c r="EO24" s="145">
        <v>-5.7866228473299994</v>
      </c>
      <c r="EP24" s="145">
        <v>-7.680666613632499</v>
      </c>
      <c r="EQ24" s="145">
        <v>-8.6446029708462504</v>
      </c>
      <c r="ER24" s="145">
        <v>-7.6495176917299998</v>
      </c>
      <c r="ES24" s="145">
        <v>-8.0338785585499988</v>
      </c>
      <c r="ET24" s="145">
        <v>-6.6937149272900003</v>
      </c>
      <c r="EU24" s="145">
        <v>-6.6019220000000001</v>
      </c>
      <c r="EV24" s="145">
        <v>-7.7484349999999997</v>
      </c>
      <c r="EW24" s="145">
        <v>-7.9245900000000002</v>
      </c>
      <c r="EX24" s="145">
        <v>-7.1929730000000003</v>
      </c>
      <c r="EY24" s="145">
        <v>-7.669759</v>
      </c>
      <c r="EZ24" s="145">
        <v>-6.6131659999999997</v>
      </c>
      <c r="FA24" s="145">
        <v>-7.449935</v>
      </c>
      <c r="FB24" s="145">
        <v>-5.038729</v>
      </c>
      <c r="FC24" s="145">
        <v>-3.8000029999999998</v>
      </c>
      <c r="FD24" s="145">
        <v>-3.0916489999999999</v>
      </c>
      <c r="FE24" s="145">
        <v>-3.6092309999999999</v>
      </c>
      <c r="FF24" s="145">
        <v>-3.285069</v>
      </c>
      <c r="FG24" s="102">
        <v>-14.64597</v>
      </c>
      <c r="FH24" s="102">
        <v>-12.06297</v>
      </c>
      <c r="FI24" s="102">
        <v>-11.069430000000001</v>
      </c>
      <c r="FJ24" s="102">
        <v>-9.6825899999999994</v>
      </c>
      <c r="FK24" s="102">
        <v>-11.502154000000001</v>
      </c>
      <c r="FL24" s="102">
        <v>-11.646254000000001</v>
      </c>
      <c r="FM24" s="102">
        <v>-12.732010000000001</v>
      </c>
      <c r="FN24" s="102">
        <v>-12.93352</v>
      </c>
      <c r="FO24" s="102">
        <v>-18.20712</v>
      </c>
      <c r="FP24" s="102">
        <v>-20.674040000000002</v>
      </c>
      <c r="FQ24" s="102">
        <v>-22.145520000000001</v>
      </c>
      <c r="FR24" s="102">
        <v>-20.049389999999999</v>
      </c>
      <c r="FS24" s="102">
        <v>-14.64597</v>
      </c>
      <c r="FT24" s="102">
        <v>-12.06297</v>
      </c>
      <c r="FU24" s="102">
        <v>-11.069430000000001</v>
      </c>
      <c r="FV24" s="102">
        <v>-9.6825899999999994</v>
      </c>
      <c r="FW24" s="102">
        <v>-11.502154000000001</v>
      </c>
      <c r="FX24" s="102">
        <v>-11.646254000000001</v>
      </c>
      <c r="FY24" s="102">
        <v>-12.732010000000001</v>
      </c>
      <c r="FZ24" s="102">
        <v>-12.93352</v>
      </c>
      <c r="GA24" s="102">
        <v>-18.20712</v>
      </c>
      <c r="GB24" s="102">
        <v>-20.674040000000002</v>
      </c>
      <c r="GC24" s="102">
        <v>-22.145520000000001</v>
      </c>
      <c r="GD24" s="102">
        <v>-20.049389999999999</v>
      </c>
      <c r="GF24" s="102">
        <f t="shared" si="56"/>
        <v>-1039.4926720999999</v>
      </c>
      <c r="GG24" s="102">
        <f t="shared" si="56"/>
        <v>-2098.15862492</v>
      </c>
      <c r="GH24" s="102">
        <f t="shared" si="56"/>
        <v>-464.09100000000024</v>
      </c>
      <c r="GI24" s="102">
        <f t="shared" si="56"/>
        <v>-2.7948000000000285E-2</v>
      </c>
      <c r="GJ24" s="102">
        <f t="shared" si="83"/>
        <v>-95.720041099999989</v>
      </c>
      <c r="GK24" s="102">
        <f t="shared" si="37"/>
        <v>-148.52132723</v>
      </c>
      <c r="GL24" s="102">
        <f t="shared" si="38"/>
        <v>-147.71641402999998</v>
      </c>
      <c r="GM24" s="102">
        <f t="shared" si="57"/>
        <v>-233.51291173999999</v>
      </c>
      <c r="GN24" s="102">
        <f t="shared" si="7"/>
        <v>-177.35096799999999</v>
      </c>
      <c r="GO24" s="102">
        <v>-128.20754145000001</v>
      </c>
      <c r="GQ24" s="929">
        <f t="shared" si="58"/>
        <v>-0.77881033660279364</v>
      </c>
      <c r="GR24" s="929">
        <f t="shared" si="58"/>
        <v>-0.99993977905195319</v>
      </c>
      <c r="GS24" s="929">
        <f t="shared" si="58"/>
        <v>3423.9334871904612</v>
      </c>
      <c r="GT24" s="929">
        <f t="shared" si="58"/>
        <v>0.5516220586955014</v>
      </c>
      <c r="GU24" s="929">
        <f t="shared" si="58"/>
        <v>-5.4195125711038461E-3</v>
      </c>
      <c r="GV24" s="929">
        <f t="shared" si="58"/>
        <v>0.58081898530636855</v>
      </c>
      <c r="GW24" s="929">
        <f t="shared" si="8"/>
        <v>-0.24050894368758646</v>
      </c>
      <c r="GX24" s="929">
        <f t="shared" si="8"/>
        <v>-0.27709703027953014</v>
      </c>
      <c r="GY24" s="929">
        <f t="shared" si="9"/>
        <v>-0.45096165991561965</v>
      </c>
      <c r="HA24" s="102">
        <f t="shared" si="59"/>
        <v>1634.0676249199996</v>
      </c>
      <c r="HB24" s="102">
        <f t="shared" si="59"/>
        <v>464.06305200000025</v>
      </c>
      <c r="HC24" s="102">
        <f t="shared" si="59"/>
        <v>-95.692093099999994</v>
      </c>
      <c r="HD24" s="102">
        <f t="shared" si="10"/>
        <v>-52.801286130000008</v>
      </c>
      <c r="HE24" s="102">
        <f t="shared" si="10"/>
        <v>0.80491320000001565</v>
      </c>
      <c r="HF24" s="102">
        <f t="shared" si="10"/>
        <v>-85.796497710000011</v>
      </c>
      <c r="HG24" s="102">
        <f t="shared" si="10"/>
        <v>56.161943739999998</v>
      </c>
      <c r="HH24" s="102">
        <f t="shared" si="10"/>
        <v>49.143426549999987</v>
      </c>
      <c r="HI24" s="102">
        <f t="shared" si="11"/>
        <v>105.30537028999998</v>
      </c>
      <c r="HK24" s="32">
        <f t="shared" si="60"/>
        <v>-5.7084549917976513E-2</v>
      </c>
      <c r="HL24" s="32">
        <f t="shared" si="60"/>
        <v>-1.1784049444434614E-2</v>
      </c>
      <c r="HM24" s="32">
        <f t="shared" si="60"/>
        <v>-1.6583610904091503E-6</v>
      </c>
      <c r="HN24" s="32">
        <f t="shared" si="60"/>
        <v>-1.5559106653643089E-2</v>
      </c>
      <c r="HO24" s="32">
        <f t="shared" si="12"/>
        <v>-1.0897596574683855E-2</v>
      </c>
      <c r="HP24" s="32">
        <f t="shared" si="12"/>
        <v>-1.0438928710621945E-2</v>
      </c>
      <c r="HQ24" s="32">
        <f t="shared" si="12"/>
        <v>-1.099953136526269E-2</v>
      </c>
      <c r="HR24" s="32">
        <f t="shared" si="12"/>
        <v>-1.1273049971953239E-2</v>
      </c>
      <c r="HS24" s="32">
        <f t="shared" si="12"/>
        <v>-1.0159166965092063E-2</v>
      </c>
      <c r="HU24" s="102">
        <f t="shared" si="61"/>
        <v>-860.58258420000004</v>
      </c>
      <c r="HV24" s="102">
        <f t="shared" si="61"/>
        <v>-1173.3002188400001</v>
      </c>
      <c r="HW24" s="102">
        <f t="shared" si="61"/>
        <v>-788.46641827000019</v>
      </c>
      <c r="HX24" s="102">
        <f t="shared" si="61"/>
        <v>-49.004991539999999</v>
      </c>
      <c r="HY24" s="102">
        <f t="shared" si="61"/>
        <v>-29.719719919999999</v>
      </c>
      <c r="HZ24" s="102">
        <f t="shared" si="61"/>
        <v>-87.745556350000001</v>
      </c>
      <c r="IA24" s="102">
        <f t="shared" si="62"/>
        <v>-71.299901410000004</v>
      </c>
      <c r="IB24" s="102">
        <f t="shared" si="63"/>
        <v>-101.51114124</v>
      </c>
      <c r="IC24" s="102">
        <f t="shared" si="64"/>
        <v>-53.558251200000001</v>
      </c>
      <c r="ID24" s="102">
        <f t="shared" si="18"/>
        <v>-70.609367999999989</v>
      </c>
      <c r="IE24" s="102">
        <f t="shared" si="65"/>
        <v>-53.558251200000001</v>
      </c>
      <c r="IF24" s="922">
        <f t="shared" si="20"/>
        <v>-0.47239041403964022</v>
      </c>
      <c r="IG24" s="102">
        <f t="shared" si="21"/>
        <v>-53.558251200000001</v>
      </c>
      <c r="IH24" s="102">
        <f t="shared" si="21"/>
        <v>-70.609367999999989</v>
      </c>
      <c r="II24" s="145"/>
      <c r="IJ24" s="929">
        <f t="shared" si="66"/>
        <v>0.7585148078368299</v>
      </c>
      <c r="IK24" s="930">
        <f t="shared" si="40"/>
        <v>17.051116799999988</v>
      </c>
      <c r="IM24" s="32">
        <f t="shared" si="41"/>
        <v>-8.236456375038349E-3</v>
      </c>
      <c r="IN24" s="929">
        <f t="shared" si="22"/>
        <v>-9.9999999999999985E-3</v>
      </c>
      <c r="IP24" s="929">
        <f t="shared" si="84"/>
        <v>-0.32799260955603615</v>
      </c>
      <c r="IQ24" s="929">
        <f t="shared" si="84"/>
        <v>-0.93784771246501097</v>
      </c>
      <c r="IR24" s="929">
        <f t="shared" si="84"/>
        <v>-0.39353688295729072</v>
      </c>
      <c r="IS24" s="929">
        <f t="shared" si="84"/>
        <v>1.9524355070032571</v>
      </c>
      <c r="IT24" s="929">
        <f t="shared" si="84"/>
        <v>-0.18742436225945702</v>
      </c>
      <c r="IU24" s="929">
        <f t="shared" si="84"/>
        <v>0.42372063961595874</v>
      </c>
      <c r="IV24" s="929">
        <f t="shared" si="85"/>
        <v>-0.47239041403964022</v>
      </c>
      <c r="IX24" s="102">
        <f t="shared" si="68"/>
        <v>384.83380056999988</v>
      </c>
      <c r="IY24" s="102">
        <f t="shared" si="68"/>
        <v>739.4614267300002</v>
      </c>
      <c r="IZ24" s="102">
        <f t="shared" si="68"/>
        <v>19.28527162</v>
      </c>
      <c r="JA24" s="102">
        <f t="shared" si="68"/>
        <v>-58.025836429999998</v>
      </c>
      <c r="JB24" s="102">
        <f t="shared" si="68"/>
        <v>16.445654939999997</v>
      </c>
      <c r="JC24" s="102">
        <f t="shared" si="68"/>
        <v>-30.211239829999997</v>
      </c>
      <c r="JD24" s="102">
        <f t="shared" si="69"/>
        <v>47.95289004</v>
      </c>
      <c r="JF24" s="32">
        <f t="shared" si="70"/>
        <v>-5.3804349019071294E-2</v>
      </c>
      <c r="JG24" s="32">
        <f t="shared" si="70"/>
        <v>-6.8809897353015154E-2</v>
      </c>
      <c r="JH24" s="32">
        <f t="shared" si="70"/>
        <v>-4.850527765421072E-2</v>
      </c>
      <c r="JI24" s="32">
        <f t="shared" si="70"/>
        <v>-5.2388929546601983E-3</v>
      </c>
      <c r="JJ24" s="32">
        <f t="shared" si="70"/>
        <v>-1.4810798875033731E-2</v>
      </c>
      <c r="JK24" s="32">
        <f t="shared" si="70"/>
        <v>-1.2641058309513694E-2</v>
      </c>
      <c r="JL24" s="32">
        <f t="shared" si="70"/>
        <v>-1.3479631049475962E-2</v>
      </c>
      <c r="JM24" s="32">
        <f t="shared" si="71"/>
        <v>-7.8546283642530884E-3</v>
      </c>
      <c r="JO24" s="102">
        <f t="shared" si="72"/>
        <v>-119.25104110000007</v>
      </c>
      <c r="JP24" s="102">
        <f t="shared" si="72"/>
        <v>-124.41613959000006</v>
      </c>
      <c r="JQ24" s="102">
        <f t="shared" si="72"/>
        <v>-105.86069623</v>
      </c>
      <c r="JR24" s="102">
        <f t="shared" si="72"/>
        <v>-11.831862599999999</v>
      </c>
      <c r="JS24" s="102">
        <f t="shared" si="72"/>
        <v>-2.45427068</v>
      </c>
      <c r="JT24" s="102">
        <f t="shared" si="73"/>
        <v>-13.31395244</v>
      </c>
      <c r="JU24" s="102">
        <f t="shared" si="74"/>
        <v>-12.026714979999998</v>
      </c>
      <c r="JV24" s="102">
        <f t="shared" si="74"/>
        <v>-9.9957090600000011</v>
      </c>
      <c r="JW24" s="102">
        <f t="shared" si="75"/>
        <v>-3.6694541800000002</v>
      </c>
      <c r="JX24" s="102">
        <f t="shared" si="76"/>
        <v>-11.646254000000001</v>
      </c>
      <c r="JY24" s="102">
        <f t="shared" si="77"/>
        <v>-3.6694541800000002</v>
      </c>
      <c r="KB24" s="32">
        <f t="shared" si="78"/>
        <v>-0.14914016317454881</v>
      </c>
      <c r="KC24" s="32">
        <f t="shared" si="78"/>
        <v>-0.88823177041748047</v>
      </c>
      <c r="KD24" s="32">
        <f t="shared" si="78"/>
        <v>-0.79257106315619319</v>
      </c>
      <c r="KE24" s="32">
        <f t="shared" si="78"/>
        <v>4.4248101273002209</v>
      </c>
      <c r="KF24" s="32">
        <f t="shared" si="78"/>
        <v>-9.6683345220061612E-2</v>
      </c>
      <c r="KG24" s="32">
        <f t="shared" si="78"/>
        <v>-0.16887453667751229</v>
      </c>
      <c r="KH24" s="32">
        <f t="shared" si="79"/>
        <v>-0.63289706033120585</v>
      </c>
      <c r="KJ24" s="102">
        <f t="shared" si="80"/>
        <v>18.555443360000055</v>
      </c>
      <c r="KK24" s="102">
        <f t="shared" si="80"/>
        <v>94.028833630000008</v>
      </c>
      <c r="KL24" s="102">
        <f t="shared" si="80"/>
        <v>9.3775919199999986</v>
      </c>
      <c r="KM24" s="102">
        <f t="shared" si="80"/>
        <v>-10.859681759999999</v>
      </c>
      <c r="KN24" s="102">
        <f t="shared" si="80"/>
        <v>1.2872374600000018</v>
      </c>
      <c r="KO24" s="102">
        <f t="shared" si="80"/>
        <v>2.0310059199999966</v>
      </c>
      <c r="KP24" s="102">
        <f t="shared" si="81"/>
        <v>6.3262548800000005</v>
      </c>
      <c r="KR24" s="32">
        <f t="shared" si="82"/>
        <v>-3.7198257462691869E-2</v>
      </c>
      <c r="KS24" s="32">
        <f t="shared" si="82"/>
        <v>-3.6992877840889039E-2</v>
      </c>
      <c r="KT24" s="32">
        <f t="shared" si="82"/>
        <v>-4.2193512572791338E-2</v>
      </c>
      <c r="KU24" s="32">
        <f t="shared" si="82"/>
        <v>-1.3224878485627282E-2</v>
      </c>
      <c r="KV24" s="32">
        <f t="shared" si="82"/>
        <v>-7.8651434128262053E-3</v>
      </c>
      <c r="KW24" s="32">
        <f t="shared" si="82"/>
        <v>-1.3129854986260929E-2</v>
      </c>
      <c r="KX24" s="32">
        <f t="shared" si="82"/>
        <v>-1.3711157485881177E-2</v>
      </c>
      <c r="KY24" s="32">
        <f t="shared" si="82"/>
        <v>-6.5326527294117878E-3</v>
      </c>
      <c r="KZ24" s="32">
        <f t="shared" si="46"/>
        <v>-1.0012557802842782E-2</v>
      </c>
    </row>
    <row r="25" spans="1:312" outlineLevel="1">
      <c r="A25" s="884">
        <v>7420</v>
      </c>
      <c r="B25" s="70" t="s">
        <v>632</v>
      </c>
      <c r="C25" s="17" t="s">
        <v>69</v>
      </c>
      <c r="D25" s="31" t="s">
        <v>59</v>
      </c>
      <c r="E25" s="102">
        <v>-152.41358758999999</v>
      </c>
      <c r="F25" s="102">
        <v>-191.45554530999996</v>
      </c>
      <c r="G25" s="102">
        <v>-247.07953201999999</v>
      </c>
      <c r="H25" s="102">
        <v>-264.01480184000002</v>
      </c>
      <c r="I25" s="102">
        <v>-208.02428186999998</v>
      </c>
      <c r="J25" s="102">
        <v>-314.45864843000004</v>
      </c>
      <c r="K25" s="102">
        <v>-232.69541791000006</v>
      </c>
      <c r="L25" s="102">
        <v>-281.46522032999997</v>
      </c>
      <c r="M25" s="102">
        <v>-209.58086924000008</v>
      </c>
      <c r="N25" s="102">
        <v>-275.27010049</v>
      </c>
      <c r="O25" s="102">
        <v>-196.73749231000011</v>
      </c>
      <c r="P25" s="102">
        <v>-180.48338845999979</v>
      </c>
      <c r="Q25" s="102">
        <v>-309.33830261999998</v>
      </c>
      <c r="R25" s="102">
        <v>-144.95431920000004</v>
      </c>
      <c r="S25" s="102">
        <v>-107.51580185</v>
      </c>
      <c r="T25" s="102">
        <v>-313.38024736</v>
      </c>
      <c r="U25" s="102">
        <v>-322.37483001999999</v>
      </c>
      <c r="V25" s="102">
        <v>-231.80621885000005</v>
      </c>
      <c r="W25" s="102">
        <v>-246.03461924999988</v>
      </c>
      <c r="X25" s="102">
        <v>-163.95322992000001</v>
      </c>
      <c r="Y25" s="102">
        <v>-142.1646360499999</v>
      </c>
      <c r="Z25" s="102">
        <v>-176.38581865000015</v>
      </c>
      <c r="AA25" s="102">
        <v>-247.67930487999956</v>
      </c>
      <c r="AB25" s="102">
        <v>-227.1940599200002</v>
      </c>
      <c r="AC25" s="102">
        <v>-120.38394732</v>
      </c>
      <c r="AD25" s="102">
        <v>-173.05141209999999</v>
      </c>
      <c r="AE25" s="102">
        <v>-156.56683246</v>
      </c>
      <c r="AF25" s="102">
        <v>-138.32868864</v>
      </c>
      <c r="AG25" s="102">
        <v>-136.2093495</v>
      </c>
      <c r="AH25" s="102">
        <v>-173.84052749</v>
      </c>
      <c r="AI25" s="102">
        <v>-238.71035993999999</v>
      </c>
      <c r="AJ25" s="102">
        <v>-209.81295564000001</v>
      </c>
      <c r="AK25" s="102">
        <v>-114.92943047</v>
      </c>
      <c r="AL25" s="102">
        <v>-285.62391174000004</v>
      </c>
      <c r="AM25" s="102">
        <v>-186.43658187999998</v>
      </c>
      <c r="AN25" s="102">
        <v>1600.07785874</v>
      </c>
      <c r="AO25" s="102">
        <v>-19.050697230000004</v>
      </c>
      <c r="AP25" s="145">
        <v>-76.172110309999994</v>
      </c>
      <c r="AQ25" s="143">
        <v>-29.748116229999997</v>
      </c>
      <c r="AR25" s="143">
        <v>-7.0083839499999998</v>
      </c>
      <c r="AS25" s="102">
        <v>-0.19277999999999995</v>
      </c>
      <c r="AT25" s="102">
        <v>0</v>
      </c>
      <c r="AU25" s="102">
        <v>-0.77149800000000002</v>
      </c>
      <c r="AV25" s="102">
        <v>0</v>
      </c>
      <c r="AW25" s="102">
        <v>1.4473</v>
      </c>
      <c r="AX25" s="102">
        <v>0</v>
      </c>
      <c r="AY25" s="102">
        <v>-0.38026799999999999</v>
      </c>
      <c r="AZ25" s="102">
        <v>-46.987231999999999</v>
      </c>
      <c r="BA25" s="102">
        <v>-0.33056099999999999</v>
      </c>
      <c r="BB25" s="102">
        <v>-27.577082000000001</v>
      </c>
      <c r="BC25" s="102">
        <v>-4.3294620000000004</v>
      </c>
      <c r="BD25" s="102">
        <v>-2.1120000000000001</v>
      </c>
      <c r="BE25" s="102">
        <v>-2.1120000000000001</v>
      </c>
      <c r="BF25" s="102">
        <v>0</v>
      </c>
      <c r="BG25" s="102">
        <v>0</v>
      </c>
      <c r="BH25" s="102">
        <v>-1.3180000000000001</v>
      </c>
      <c r="BI25" s="102">
        <v>0</v>
      </c>
      <c r="BJ25" s="102">
        <v>0</v>
      </c>
      <c r="BK25" s="102">
        <v>0</v>
      </c>
      <c r="BL25" s="102">
        <v>-0.17550025</v>
      </c>
      <c r="BM25" s="102">
        <v>0</v>
      </c>
      <c r="BN25" s="102">
        <v>-0.23416000000000001</v>
      </c>
      <c r="BO25" s="102">
        <v>-0.21168000000000001</v>
      </c>
      <c r="BP25" s="102">
        <v>0</v>
      </c>
      <c r="BQ25" s="102">
        <v>-1.38</v>
      </c>
      <c r="BR25" s="102">
        <v>-0.32</v>
      </c>
      <c r="BS25" s="102">
        <v>-0.16</v>
      </c>
      <c r="BT25" s="102">
        <v>0</v>
      </c>
      <c r="BU25" s="102">
        <v>0</v>
      </c>
      <c r="BV25" s="102">
        <v>0.32</v>
      </c>
      <c r="BW25" s="102">
        <v>0</v>
      </c>
      <c r="BX25" s="102">
        <v>0</v>
      </c>
      <c r="BY25" s="102">
        <v>0</v>
      </c>
      <c r="BZ25" s="102">
        <v>0</v>
      </c>
      <c r="CA25" s="102">
        <v>0</v>
      </c>
      <c r="CB25" s="102">
        <v>0</v>
      </c>
      <c r="CC25" s="102">
        <v>0</v>
      </c>
      <c r="CD25" s="102">
        <v>0</v>
      </c>
      <c r="CE25" s="102">
        <v>0</v>
      </c>
      <c r="CF25" s="102">
        <v>0</v>
      </c>
      <c r="CG25" s="102">
        <v>0</v>
      </c>
      <c r="CH25" s="102">
        <v>0</v>
      </c>
      <c r="CI25" s="102">
        <v>0</v>
      </c>
      <c r="CJ25" s="102">
        <v>0</v>
      </c>
      <c r="CK25" s="1169">
        <v>-37.381777</v>
      </c>
      <c r="CL25" s="1169">
        <v>-10.599285400000001</v>
      </c>
      <c r="CM25" s="1169">
        <v>-35.657856799999998</v>
      </c>
      <c r="CN25" s="1169">
        <v>-16.577662</v>
      </c>
      <c r="CO25" s="1169">
        <v>-12.510043</v>
      </c>
      <c r="CP25" s="1169">
        <v>-26.3886638</v>
      </c>
      <c r="CQ25" s="1169">
        <v>-14.644641</v>
      </c>
      <c r="CR25" s="1169">
        <v>-21.307867399999999</v>
      </c>
      <c r="CS25" s="1169">
        <v>-18.5494922</v>
      </c>
      <c r="CT25" s="1169">
        <v>-26.182074399999998</v>
      </c>
      <c r="CU25" s="1169">
        <v>-22.7294576</v>
      </c>
      <c r="CV25" s="1169">
        <v>-15.803347199999999</v>
      </c>
      <c r="CW25" s="1169">
        <v>-21.464802199999998</v>
      </c>
      <c r="CX25" s="1169">
        <v>-21.721527600000002</v>
      </c>
      <c r="CY25" s="1169">
        <v>-24.3807498</v>
      </c>
      <c r="CZ25" s="1169">
        <v>-4.1012661999999995</v>
      </c>
      <c r="DA25" s="1169">
        <v>-3.4615779999999998</v>
      </c>
      <c r="DB25" s="1169">
        <v>-11.248749999999999</v>
      </c>
      <c r="DC25" s="1169">
        <v>-16.8230796</v>
      </c>
      <c r="DD25" s="1169">
        <v>-107.2812816</v>
      </c>
      <c r="DE25" s="1169">
        <v>-43.292439799999997</v>
      </c>
      <c r="DF25" s="1169">
        <v>-90.970118599999992</v>
      </c>
      <c r="DG25" s="1169">
        <v>-61.611089700000001</v>
      </c>
      <c r="DH25" s="1169">
        <v>-57.743930349999999</v>
      </c>
      <c r="DJ25" s="102">
        <v>-21.464802199999998</v>
      </c>
      <c r="DK25" s="102">
        <v>-21.721527600000005</v>
      </c>
      <c r="DL25" s="102">
        <v>-24.380749799999997</v>
      </c>
      <c r="DM25" s="102">
        <v>-4.1012662000000013</v>
      </c>
      <c r="DN25" s="102">
        <v>-3.4615779999999998</v>
      </c>
      <c r="DO25" s="102">
        <v>-11.248749999999999</v>
      </c>
      <c r="DP25" s="102">
        <v>-7.5</v>
      </c>
      <c r="DQ25" s="102">
        <v>-10</v>
      </c>
      <c r="DR25" s="102">
        <v>-10.25</v>
      </c>
      <c r="DS25" s="102">
        <v>-9</v>
      </c>
      <c r="DT25" s="102">
        <v>-7.75</v>
      </c>
      <c r="DU25" s="102">
        <v>-7.75</v>
      </c>
      <c r="DW25" s="102">
        <v>0</v>
      </c>
      <c r="DX25" s="102">
        <v>0</v>
      </c>
      <c r="DY25" s="102">
        <v>0</v>
      </c>
      <c r="DZ25" s="102">
        <v>0</v>
      </c>
      <c r="EA25" s="102">
        <v>0</v>
      </c>
      <c r="EB25" s="102">
        <v>0</v>
      </c>
      <c r="EC25" s="102">
        <v>-38.601965100359998</v>
      </c>
      <c r="ED25" s="102">
        <v>-38.601965100359998</v>
      </c>
      <c r="EE25" s="102">
        <v>-38.601965100359998</v>
      </c>
      <c r="EF25" s="102">
        <v>-38.601965100359998</v>
      </c>
      <c r="EG25" s="102">
        <v>-38.601965100359998</v>
      </c>
      <c r="EH25" s="102">
        <v>-38.601965100359998</v>
      </c>
      <c r="EI25" s="102">
        <v>0</v>
      </c>
      <c r="EJ25" s="102">
        <v>0</v>
      </c>
      <c r="EK25" s="102">
        <v>0</v>
      </c>
      <c r="EL25" s="102">
        <v>0</v>
      </c>
      <c r="EM25" s="102">
        <v>0</v>
      </c>
      <c r="EN25" s="102">
        <v>0</v>
      </c>
      <c r="EO25" s="102">
        <v>0</v>
      </c>
      <c r="EP25" s="102">
        <v>0</v>
      </c>
      <c r="EQ25" s="102">
        <v>0</v>
      </c>
      <c r="ER25" s="102">
        <v>0</v>
      </c>
      <c r="ES25" s="102">
        <v>0</v>
      </c>
      <c r="ET25" s="102">
        <v>0</v>
      </c>
      <c r="EU25" s="102"/>
      <c r="EV25" s="102"/>
      <c r="EW25" s="102"/>
      <c r="EX25" s="102"/>
      <c r="EY25" s="102"/>
      <c r="EZ25" s="102"/>
      <c r="FA25" s="102"/>
      <c r="FB25" s="102"/>
      <c r="FC25" s="102"/>
      <c r="FD25" s="102"/>
      <c r="FE25" s="102"/>
      <c r="FF25" s="102"/>
      <c r="FG25" s="102">
        <v>0</v>
      </c>
      <c r="FH25" s="102">
        <v>0</v>
      </c>
      <c r="FI25" s="102">
        <v>0</v>
      </c>
      <c r="FJ25" s="102">
        <v>0</v>
      </c>
      <c r="FK25" s="102">
        <v>0</v>
      </c>
      <c r="FL25" s="102">
        <v>0</v>
      </c>
      <c r="FM25" s="102">
        <v>0</v>
      </c>
      <c r="FN25" s="102">
        <v>0</v>
      </c>
      <c r="FO25" s="102">
        <v>0</v>
      </c>
      <c r="FP25" s="102">
        <v>0</v>
      </c>
      <c r="FQ25" s="102">
        <v>0</v>
      </c>
      <c r="FR25" s="102">
        <v>0</v>
      </c>
      <c r="FS25" s="102">
        <v>0</v>
      </c>
      <c r="FT25" s="102">
        <v>0</v>
      </c>
      <c r="FU25" s="102">
        <v>0</v>
      </c>
      <c r="FV25" s="102">
        <v>0</v>
      </c>
      <c r="FW25" s="102">
        <v>0</v>
      </c>
      <c r="FX25" s="102">
        <v>0</v>
      </c>
      <c r="FY25" s="102">
        <v>0</v>
      </c>
      <c r="FZ25" s="102">
        <v>0</v>
      </c>
      <c r="GA25" s="102">
        <v>0</v>
      </c>
      <c r="GB25" s="102">
        <v>0</v>
      </c>
      <c r="GC25" s="102">
        <v>0</v>
      </c>
      <c r="GD25" s="102">
        <v>0</v>
      </c>
      <c r="GF25" s="102">
        <f t="shared" si="56"/>
        <v>-2753.6788858</v>
      </c>
      <c r="GG25" s="102">
        <f t="shared" si="56"/>
        <v>-2632.7813885699998</v>
      </c>
      <c r="GH25" s="102">
        <f t="shared" si="56"/>
        <v>-333.8161384399998</v>
      </c>
      <c r="GI25" s="102">
        <f t="shared" si="56"/>
        <v>-178.86378571999998</v>
      </c>
      <c r="GJ25" s="102">
        <f t="shared" si="83"/>
        <v>-37.95460525</v>
      </c>
      <c r="GK25" s="102">
        <f t="shared" si="37"/>
        <v>-1.9858399999999998</v>
      </c>
      <c r="GL25" s="102">
        <f t="shared" si="38"/>
        <v>0</v>
      </c>
      <c r="GM25" s="102">
        <f t="shared" si="57"/>
        <v>-258.33216779999998</v>
      </c>
      <c r="GN25" s="102">
        <f t="shared" si="7"/>
        <v>0</v>
      </c>
      <c r="GO25" s="102">
        <v>-464.10061344999997</v>
      </c>
      <c r="GQ25" s="929">
        <f t="shared" si="58"/>
        <v>-0.87320780225459105</v>
      </c>
      <c r="GR25" s="929">
        <f t="shared" si="58"/>
        <v>-0.46418472589170823</v>
      </c>
      <c r="GS25" s="929">
        <f t="shared" si="58"/>
        <v>-0.78780162179159308</v>
      </c>
      <c r="GT25" s="929">
        <f t="shared" si="58"/>
        <v>-0.94767854949565045</v>
      </c>
      <c r="GU25" s="929">
        <f t="shared" si="58"/>
        <v>-1</v>
      </c>
      <c r="GV25" s="929" t="str">
        <f t="shared" si="58"/>
        <v/>
      </c>
      <c r="GW25" s="929">
        <f t="shared" si="8"/>
        <v>-1</v>
      </c>
      <c r="GX25" s="929" t="str">
        <f t="shared" si="8"/>
        <v/>
      </c>
      <c r="GY25" s="929">
        <f t="shared" si="9"/>
        <v>0.79652660914186013</v>
      </c>
      <c r="HA25" s="102">
        <f t="shared" si="59"/>
        <v>2298.9652501299997</v>
      </c>
      <c r="HB25" s="102">
        <f t="shared" si="59"/>
        <v>154.95235271999982</v>
      </c>
      <c r="HC25" s="102">
        <f t="shared" si="59"/>
        <v>140.90918046999997</v>
      </c>
      <c r="HD25" s="102">
        <f t="shared" si="10"/>
        <v>35.968765249999997</v>
      </c>
      <c r="HE25" s="102">
        <f t="shared" si="10"/>
        <v>1.9858399999999998</v>
      </c>
      <c r="HF25" s="102">
        <f t="shared" si="10"/>
        <v>-258.33216779999998</v>
      </c>
      <c r="HG25" s="102">
        <f t="shared" si="10"/>
        <v>258.33216779999998</v>
      </c>
      <c r="HH25" s="102">
        <f t="shared" si="10"/>
        <v>-464.10061344999997</v>
      </c>
      <c r="HI25" s="102">
        <f t="shared" si="11"/>
        <v>-205.76844564999999</v>
      </c>
      <c r="HK25" s="32">
        <f t="shared" si="60"/>
        <v>-7.1630018252158645E-2</v>
      </c>
      <c r="HL25" s="32">
        <f t="shared" si="60"/>
        <v>-8.4761520493333974E-3</v>
      </c>
      <c r="HM25" s="32">
        <f t="shared" si="60"/>
        <v>-1.061330838418938E-2</v>
      </c>
      <c r="HN25" s="32">
        <f t="shared" si="60"/>
        <v>-6.169447320490881E-3</v>
      </c>
      <c r="HO25" s="32">
        <f t="shared" si="12"/>
        <v>-1.4570892669412477E-4</v>
      </c>
      <c r="HP25" s="32">
        <f t="shared" si="12"/>
        <v>0</v>
      </c>
      <c r="HQ25" s="32">
        <f t="shared" si="12"/>
        <v>-1.2168632394667103E-2</v>
      </c>
      <c r="HR25" s="32">
        <f t="shared" si="12"/>
        <v>0</v>
      </c>
      <c r="HS25" s="32">
        <f t="shared" si="12"/>
        <v>-3.6775337607413423E-2</v>
      </c>
      <c r="HU25" s="102">
        <f t="shared" si="61"/>
        <v>-1377.44639706</v>
      </c>
      <c r="HV25" s="102">
        <f t="shared" si="61"/>
        <v>-1429.3697199000001</v>
      </c>
      <c r="HW25" s="102">
        <f t="shared" si="61"/>
        <v>-898.38075750999997</v>
      </c>
      <c r="HX25" s="102">
        <f t="shared" si="61"/>
        <v>-132.17208771999998</v>
      </c>
      <c r="HY25" s="102">
        <f t="shared" si="61"/>
        <v>-36.461105000000003</v>
      </c>
      <c r="HZ25" s="102">
        <f t="shared" si="61"/>
        <v>-2.1458399999999997</v>
      </c>
      <c r="IA25" s="102">
        <f t="shared" si="62"/>
        <v>0</v>
      </c>
      <c r="IB25" s="102">
        <f t="shared" si="63"/>
        <v>-139.11528799999999</v>
      </c>
      <c r="IC25" s="102">
        <f t="shared" si="64"/>
        <v>-86.378673800000001</v>
      </c>
      <c r="ID25" s="102">
        <f t="shared" si="18"/>
        <v>0</v>
      </c>
      <c r="IE25" s="102">
        <f t="shared" si="65"/>
        <v>-86.378673800000001</v>
      </c>
      <c r="IF25" s="922">
        <f t="shared" si="20"/>
        <v>-0.37908568467327608</v>
      </c>
      <c r="IG25" s="102">
        <f t="shared" si="21"/>
        <v>-86.378673800000001</v>
      </c>
      <c r="IH25" s="102">
        <f t="shared" si="21"/>
        <v>0</v>
      </c>
      <c r="II25" s="145"/>
      <c r="IJ25" s="929" t="str">
        <f t="shared" si="66"/>
        <v/>
      </c>
      <c r="IK25" s="930">
        <f t="shared" si="40"/>
        <v>-86.378673800000001</v>
      </c>
      <c r="IM25" s="32">
        <f t="shared" si="41"/>
        <v>-1.328374550226853E-2</v>
      </c>
      <c r="IN25" s="929">
        <f t="shared" si="22"/>
        <v>0</v>
      </c>
      <c r="IP25" s="929">
        <f t="shared" si="84"/>
        <v>-0.37148468657020983</v>
      </c>
      <c r="IQ25" s="929">
        <f t="shared" si="84"/>
        <v>-0.85287742795567523</v>
      </c>
      <c r="IR25" s="929">
        <f t="shared" si="84"/>
        <v>-0.724139145950081</v>
      </c>
      <c r="IS25" s="929">
        <f t="shared" si="84"/>
        <v>-0.94114714844764036</v>
      </c>
      <c r="IT25" s="929">
        <f t="shared" si="84"/>
        <v>-1</v>
      </c>
      <c r="IU25" s="929" t="str">
        <f t="shared" si="84"/>
        <v/>
      </c>
      <c r="IV25" s="929">
        <f t="shared" si="85"/>
        <v>-0.37908568467327608</v>
      </c>
      <c r="IX25" s="102">
        <f t="shared" si="68"/>
        <v>530.9889623900001</v>
      </c>
      <c r="IY25" s="102">
        <f t="shared" si="68"/>
        <v>766.20866978999993</v>
      </c>
      <c r="IZ25" s="102">
        <f t="shared" si="68"/>
        <v>95.710982719999976</v>
      </c>
      <c r="JA25" s="102">
        <f t="shared" si="68"/>
        <v>34.315265000000004</v>
      </c>
      <c r="JB25" s="102">
        <f t="shared" si="68"/>
        <v>2.1458399999999997</v>
      </c>
      <c r="JC25" s="102">
        <f t="shared" si="68"/>
        <v>-139.11528799999999</v>
      </c>
      <c r="JD25" s="102">
        <f t="shared" si="69"/>
        <v>52.736614199999991</v>
      </c>
      <c r="JF25" s="32">
        <f t="shared" si="70"/>
        <v>-8.611911054576335E-2</v>
      </c>
      <c r="JG25" s="32">
        <f t="shared" si="70"/>
        <v>-8.3827465576599716E-2</v>
      </c>
      <c r="JH25" s="32">
        <f t="shared" si="70"/>
        <v>-5.5267043811243956E-2</v>
      </c>
      <c r="JI25" s="32">
        <f t="shared" si="70"/>
        <v>-1.4129895698356397E-2</v>
      </c>
      <c r="JJ25" s="32">
        <f t="shared" si="70"/>
        <v>-1.8170362788415093E-2</v>
      </c>
      <c r="JK25" s="32">
        <f t="shared" si="70"/>
        <v>-3.0914031081742482E-4</v>
      </c>
      <c r="JL25" s="32">
        <f t="shared" si="70"/>
        <v>0</v>
      </c>
      <c r="JM25" s="32">
        <f t="shared" si="71"/>
        <v>-1.2667933812148912E-2</v>
      </c>
      <c r="JO25" s="102">
        <f t="shared" si="72"/>
        <v>-314.45864843000004</v>
      </c>
      <c r="JP25" s="102">
        <f t="shared" si="72"/>
        <v>-231.80621885000005</v>
      </c>
      <c r="JQ25" s="102">
        <f t="shared" si="72"/>
        <v>-173.84052749</v>
      </c>
      <c r="JR25" s="102">
        <f t="shared" si="72"/>
        <v>0</v>
      </c>
      <c r="JS25" s="102">
        <f t="shared" si="72"/>
        <v>0</v>
      </c>
      <c r="JT25" s="102">
        <f t="shared" si="73"/>
        <v>-0.32</v>
      </c>
      <c r="JU25" s="102">
        <f t="shared" si="74"/>
        <v>0</v>
      </c>
      <c r="JV25" s="102">
        <f t="shared" si="74"/>
        <v>-26.3886638</v>
      </c>
      <c r="JW25" s="102">
        <f t="shared" si="75"/>
        <v>-11.248749999999999</v>
      </c>
      <c r="JX25" s="102">
        <f t="shared" si="76"/>
        <v>0</v>
      </c>
      <c r="JY25" s="102">
        <f t="shared" si="77"/>
        <v>-11.248749999999999</v>
      </c>
      <c r="KB25" s="32">
        <f t="shared" si="78"/>
        <v>-0.25006098476378313</v>
      </c>
      <c r="KC25" s="32">
        <f t="shared" si="78"/>
        <v>-1</v>
      </c>
      <c r="KD25" s="32" t="str">
        <f t="shared" si="78"/>
        <v xml:space="preserve"> </v>
      </c>
      <c r="KE25" s="32" t="str">
        <f t="shared" si="78"/>
        <v xml:space="preserve"> </v>
      </c>
      <c r="KF25" s="32">
        <f t="shared" si="78"/>
        <v>-1</v>
      </c>
      <c r="KG25" s="32" t="str">
        <f t="shared" si="78"/>
        <v xml:space="preserve"> </v>
      </c>
      <c r="KH25" s="32">
        <f t="shared" si="79"/>
        <v>-0.57372794298133423</v>
      </c>
      <c r="KJ25" s="102">
        <f t="shared" si="80"/>
        <v>57.965691360000051</v>
      </c>
      <c r="KK25" s="102">
        <f t="shared" si="80"/>
        <v>173.84052749</v>
      </c>
      <c r="KL25" s="102">
        <f t="shared" si="80"/>
        <v>0</v>
      </c>
      <c r="KM25" s="102">
        <f t="shared" si="80"/>
        <v>-0.32</v>
      </c>
      <c r="KN25" s="102">
        <f t="shared" si="80"/>
        <v>0.32</v>
      </c>
      <c r="KO25" s="102">
        <f t="shared" si="80"/>
        <v>-26.3886638</v>
      </c>
      <c r="KP25" s="102">
        <f t="shared" si="81"/>
        <v>15.1399138</v>
      </c>
      <c r="KR25" s="32">
        <f t="shared" si="82"/>
        <v>-9.80898251098727E-2</v>
      </c>
      <c r="KS25" s="32">
        <f t="shared" si="82"/>
        <v>-6.8923366091690502E-2</v>
      </c>
      <c r="KT25" s="32">
        <f t="shared" si="82"/>
        <v>-6.9288628769015551E-2</v>
      </c>
      <c r="KU25" s="32">
        <f t="shared" si="82"/>
        <v>0</v>
      </c>
      <c r="KV25" s="32">
        <f t="shared" si="82"/>
        <v>0</v>
      </c>
      <c r="KW25" s="32">
        <f t="shared" si="82"/>
        <v>-3.1557522940974973E-4</v>
      </c>
      <c r="KX25" s="32">
        <f t="shared" si="82"/>
        <v>0</v>
      </c>
      <c r="KY25" s="32">
        <f t="shared" si="82"/>
        <v>-1.7246197899901661E-2</v>
      </c>
      <c r="KZ25" s="32">
        <f t="shared" si="46"/>
        <v>-3.0693600208608611E-2</v>
      </c>
    </row>
    <row r="26" spans="1:312" outlineLevel="1">
      <c r="A26" s="884">
        <v>7425</v>
      </c>
      <c r="B26" s="70"/>
      <c r="C26" s="17" t="s">
        <v>633</v>
      </c>
      <c r="D26" s="31"/>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45"/>
      <c r="AC26" s="145"/>
      <c r="AD26" s="145"/>
      <c r="AE26" s="145"/>
      <c r="AF26" s="145"/>
      <c r="AG26" s="145"/>
      <c r="AH26" s="145"/>
      <c r="AI26" s="145"/>
      <c r="AJ26" s="145"/>
      <c r="AK26" s="145"/>
      <c r="AL26" s="145"/>
      <c r="AM26" s="145"/>
      <c r="AN26" s="145"/>
      <c r="AO26" s="102"/>
      <c r="AP26" s="145"/>
      <c r="AQ26" s="143"/>
      <c r="AR26" s="143"/>
      <c r="AS26" s="102"/>
      <c r="AT26" s="102"/>
      <c r="AU26" s="102"/>
      <c r="AV26" s="102"/>
      <c r="AW26" s="102"/>
      <c r="AX26" s="102"/>
      <c r="AY26" s="102"/>
      <c r="AZ26" s="102"/>
      <c r="BA26" s="102">
        <v>0</v>
      </c>
      <c r="BB26" s="102">
        <v>0</v>
      </c>
      <c r="BC26" s="102">
        <v>0</v>
      </c>
      <c r="BD26" s="102">
        <v>0</v>
      </c>
      <c r="BE26" s="102">
        <v>0</v>
      </c>
      <c r="BF26" s="102">
        <v>0</v>
      </c>
      <c r="BG26" s="102">
        <v>0</v>
      </c>
      <c r="BH26" s="102">
        <v>0</v>
      </c>
      <c r="BI26" s="102">
        <v>0</v>
      </c>
      <c r="BJ26" s="102">
        <v>0</v>
      </c>
      <c r="BK26" s="102">
        <v>0</v>
      </c>
      <c r="BL26" s="102">
        <v>0</v>
      </c>
      <c r="BM26" s="102">
        <v>0</v>
      </c>
      <c r="BN26" s="102">
        <v>0</v>
      </c>
      <c r="BO26" s="102">
        <v>0</v>
      </c>
      <c r="BP26" s="102">
        <v>0</v>
      </c>
      <c r="BQ26" s="102">
        <v>0</v>
      </c>
      <c r="BR26" s="102">
        <v>0</v>
      </c>
      <c r="BS26" s="102">
        <v>0</v>
      </c>
      <c r="BT26" s="102">
        <v>0</v>
      </c>
      <c r="BU26" s="102">
        <v>0</v>
      </c>
      <c r="BV26" s="102">
        <v>0</v>
      </c>
      <c r="BW26" s="102">
        <v>0</v>
      </c>
      <c r="BX26" s="102">
        <v>0</v>
      </c>
      <c r="BY26" s="102">
        <v>0</v>
      </c>
      <c r="BZ26" s="102">
        <v>0</v>
      </c>
      <c r="CA26" s="102">
        <v>0</v>
      </c>
      <c r="CB26" s="102">
        <v>0</v>
      </c>
      <c r="CC26" s="102">
        <v>0</v>
      </c>
      <c r="CD26" s="102">
        <v>0</v>
      </c>
      <c r="CE26" s="102">
        <v>0</v>
      </c>
      <c r="CF26" s="102">
        <v>0</v>
      </c>
      <c r="CG26" s="102">
        <v>0</v>
      </c>
      <c r="CH26" s="102">
        <v>0</v>
      </c>
      <c r="CI26" s="102">
        <v>0</v>
      </c>
      <c r="CJ26" s="102">
        <v>0</v>
      </c>
      <c r="CK26" s="1169">
        <v>0</v>
      </c>
      <c r="CL26" s="1169">
        <v>0</v>
      </c>
      <c r="CM26" s="1169">
        <v>0</v>
      </c>
      <c r="CN26" s="1169">
        <v>0</v>
      </c>
      <c r="CO26" s="1169">
        <v>0</v>
      </c>
      <c r="CP26" s="1169">
        <v>0</v>
      </c>
      <c r="CQ26" s="1169">
        <v>0</v>
      </c>
      <c r="CR26" s="1169">
        <v>0</v>
      </c>
      <c r="CS26" s="1169">
        <v>0</v>
      </c>
      <c r="CT26" s="1169">
        <v>0</v>
      </c>
      <c r="CU26" s="1169">
        <v>0</v>
      </c>
      <c r="CV26" s="1169">
        <v>0</v>
      </c>
      <c r="CW26" s="1169">
        <v>0</v>
      </c>
      <c r="CX26" s="1169">
        <v>0</v>
      </c>
      <c r="CY26" s="1169">
        <v>0</v>
      </c>
      <c r="CZ26" s="1169">
        <v>0</v>
      </c>
      <c r="DA26" s="1169">
        <v>0</v>
      </c>
      <c r="DB26" s="1169">
        <v>0</v>
      </c>
      <c r="DC26" s="1169">
        <v>0</v>
      </c>
      <c r="DD26" s="1169">
        <v>0</v>
      </c>
      <c r="DE26" s="1169">
        <v>0</v>
      </c>
      <c r="DF26" s="1169">
        <v>0</v>
      </c>
      <c r="DG26" s="1169">
        <v>0</v>
      </c>
      <c r="DH26" s="1169">
        <v>0</v>
      </c>
      <c r="DJ26" s="102">
        <v>0</v>
      </c>
      <c r="DK26" s="102">
        <v>0</v>
      </c>
      <c r="DL26" s="102">
        <v>0</v>
      </c>
      <c r="DM26" s="102">
        <v>0</v>
      </c>
      <c r="DN26" s="102">
        <v>0</v>
      </c>
      <c r="DO26" s="102">
        <v>0</v>
      </c>
      <c r="DP26" s="102">
        <v>0</v>
      </c>
      <c r="DQ26" s="102">
        <v>0</v>
      </c>
      <c r="DR26" s="102">
        <v>0</v>
      </c>
      <c r="DS26" s="102">
        <v>0</v>
      </c>
      <c r="DT26" s="102">
        <v>0</v>
      </c>
      <c r="DU26" s="102">
        <v>0</v>
      </c>
      <c r="DW26" s="102">
        <v>0</v>
      </c>
      <c r="DX26" s="102">
        <v>0</v>
      </c>
      <c r="DY26" s="102">
        <v>0</v>
      </c>
      <c r="DZ26" s="102">
        <v>0</v>
      </c>
      <c r="EA26" s="102">
        <v>0</v>
      </c>
      <c r="EB26" s="102">
        <v>0</v>
      </c>
      <c r="EC26" s="102">
        <v>0</v>
      </c>
      <c r="ED26" s="102">
        <v>0</v>
      </c>
      <c r="EE26" s="102">
        <v>0</v>
      </c>
      <c r="EF26" s="102">
        <v>0</v>
      </c>
      <c r="EG26" s="102">
        <v>0</v>
      </c>
      <c r="EH26" s="102">
        <v>0</v>
      </c>
      <c r="EI26" s="102">
        <v>-1.36</v>
      </c>
      <c r="EJ26" s="102">
        <v>-1.36</v>
      </c>
      <c r="EK26" s="102">
        <v>-1.36</v>
      </c>
      <c r="EL26" s="102">
        <v>-1.36</v>
      </c>
      <c r="EM26" s="102">
        <v>-1.36</v>
      </c>
      <c r="EN26" s="102">
        <v>-1.36</v>
      </c>
      <c r="EO26" s="102">
        <v>-1.36</v>
      </c>
      <c r="EP26" s="102">
        <v>-1.36</v>
      </c>
      <c r="EQ26" s="102">
        <v>-1.36</v>
      </c>
      <c r="ER26" s="102">
        <v>-1.36</v>
      </c>
      <c r="ES26" s="102">
        <v>-1.36</v>
      </c>
      <c r="ET26" s="102">
        <v>-1.36</v>
      </c>
      <c r="EU26" s="102"/>
      <c r="EV26" s="102"/>
      <c r="EW26" s="102"/>
      <c r="EX26" s="102"/>
      <c r="EY26" s="102"/>
      <c r="EZ26" s="102"/>
      <c r="FA26" s="102"/>
      <c r="FB26" s="102"/>
      <c r="FC26" s="102"/>
      <c r="FD26" s="102"/>
      <c r="FE26" s="102"/>
      <c r="FF26" s="102"/>
      <c r="FG26" s="102">
        <v>0</v>
      </c>
      <c r="FH26" s="102">
        <v>0</v>
      </c>
      <c r="FI26" s="102">
        <v>0</v>
      </c>
      <c r="FJ26" s="102">
        <v>0</v>
      </c>
      <c r="FK26" s="102">
        <v>0</v>
      </c>
      <c r="FL26" s="102">
        <v>0</v>
      </c>
      <c r="FM26" s="102">
        <v>0</v>
      </c>
      <c r="FN26" s="102">
        <v>0</v>
      </c>
      <c r="FO26" s="102">
        <v>0</v>
      </c>
      <c r="FP26" s="102">
        <v>0</v>
      </c>
      <c r="FQ26" s="102">
        <v>0</v>
      </c>
      <c r="FR26" s="102">
        <v>0</v>
      </c>
      <c r="FS26" s="102">
        <v>0</v>
      </c>
      <c r="FT26" s="102">
        <v>0</v>
      </c>
      <c r="FU26" s="102">
        <v>0</v>
      </c>
      <c r="FV26" s="102">
        <v>0</v>
      </c>
      <c r="FW26" s="102">
        <v>0</v>
      </c>
      <c r="FX26" s="102">
        <v>0</v>
      </c>
      <c r="FY26" s="102">
        <v>0</v>
      </c>
      <c r="FZ26" s="102">
        <v>0</v>
      </c>
      <c r="GA26" s="102">
        <v>0</v>
      </c>
      <c r="GB26" s="102">
        <v>0</v>
      </c>
      <c r="GC26" s="102">
        <v>0</v>
      </c>
      <c r="GD26" s="102">
        <v>0</v>
      </c>
      <c r="GF26" s="102">
        <f t="shared" si="56"/>
        <v>0</v>
      </c>
      <c r="GG26" s="102">
        <f t="shared" si="56"/>
        <v>0</v>
      </c>
      <c r="GH26" s="102">
        <f t="shared" si="56"/>
        <v>0</v>
      </c>
      <c r="GI26" s="102">
        <f t="shared" si="56"/>
        <v>0</v>
      </c>
      <c r="GJ26" s="102">
        <f t="shared" si="83"/>
        <v>0</v>
      </c>
      <c r="GK26" s="102">
        <f t="shared" si="37"/>
        <v>0</v>
      </c>
      <c r="GL26" s="102">
        <f t="shared" si="38"/>
        <v>0</v>
      </c>
      <c r="GM26" s="102">
        <f t="shared" si="57"/>
        <v>0</v>
      </c>
      <c r="GN26" s="102">
        <f t="shared" si="7"/>
        <v>0</v>
      </c>
      <c r="GO26" s="102">
        <v>0</v>
      </c>
      <c r="GQ26" s="929" t="str">
        <f t="shared" si="58"/>
        <v/>
      </c>
      <c r="GR26" s="929" t="str">
        <f t="shared" si="58"/>
        <v/>
      </c>
      <c r="GS26" s="929" t="str">
        <f t="shared" si="58"/>
        <v/>
      </c>
      <c r="GT26" s="929" t="str">
        <f t="shared" si="58"/>
        <v/>
      </c>
      <c r="GU26" s="929" t="str">
        <f t="shared" si="58"/>
        <v/>
      </c>
      <c r="GV26" s="929" t="str">
        <f t="shared" si="58"/>
        <v/>
      </c>
      <c r="GW26" s="929" t="str">
        <f t="shared" si="8"/>
        <v/>
      </c>
      <c r="GX26" s="929" t="str">
        <f t="shared" si="8"/>
        <v/>
      </c>
      <c r="GY26" s="929" t="str">
        <f t="shared" si="9"/>
        <v/>
      </c>
      <c r="HA26" s="102">
        <f t="shared" si="59"/>
        <v>0</v>
      </c>
      <c r="HB26" s="102">
        <f t="shared" si="59"/>
        <v>0</v>
      </c>
      <c r="HC26" s="102">
        <f t="shared" si="59"/>
        <v>0</v>
      </c>
      <c r="HD26" s="102">
        <f t="shared" si="10"/>
        <v>0</v>
      </c>
      <c r="HE26" s="102">
        <f t="shared" si="10"/>
        <v>0</v>
      </c>
      <c r="HF26" s="102">
        <f t="shared" si="10"/>
        <v>0</v>
      </c>
      <c r="HG26" s="102">
        <f t="shared" si="10"/>
        <v>0</v>
      </c>
      <c r="HH26" s="102">
        <f t="shared" si="10"/>
        <v>0</v>
      </c>
      <c r="HI26" s="102">
        <f t="shared" si="11"/>
        <v>0</v>
      </c>
      <c r="HK26" s="32"/>
      <c r="HL26" s="32"/>
      <c r="HM26" s="32"/>
      <c r="HN26" s="32"/>
      <c r="HO26" s="32">
        <f t="shared" si="12"/>
        <v>0</v>
      </c>
      <c r="HP26" s="32">
        <f t="shared" si="12"/>
        <v>0</v>
      </c>
      <c r="HQ26" s="32">
        <f t="shared" si="12"/>
        <v>0</v>
      </c>
      <c r="HR26" s="32">
        <f t="shared" si="12"/>
        <v>0</v>
      </c>
      <c r="HS26" s="32">
        <f t="shared" si="12"/>
        <v>0</v>
      </c>
      <c r="HU26" s="102">
        <f t="shared" si="61"/>
        <v>0</v>
      </c>
      <c r="HV26" s="102">
        <f t="shared" si="61"/>
        <v>0</v>
      </c>
      <c r="HW26" s="102">
        <f t="shared" si="61"/>
        <v>0</v>
      </c>
      <c r="HX26" s="102">
        <f t="shared" si="61"/>
        <v>0</v>
      </c>
      <c r="HY26" s="102">
        <f t="shared" si="61"/>
        <v>0</v>
      </c>
      <c r="HZ26" s="102">
        <f t="shared" si="61"/>
        <v>0</v>
      </c>
      <c r="IA26" s="102">
        <f t="shared" si="62"/>
        <v>0</v>
      </c>
      <c r="IB26" s="102">
        <f t="shared" si="63"/>
        <v>0</v>
      </c>
      <c r="IC26" s="102">
        <f t="shared" si="64"/>
        <v>0</v>
      </c>
      <c r="ID26" s="102">
        <f t="shared" si="18"/>
        <v>0</v>
      </c>
      <c r="IE26" s="102">
        <f t="shared" si="65"/>
        <v>0</v>
      </c>
      <c r="IF26" s="922" t="str">
        <f t="shared" si="20"/>
        <v/>
      </c>
      <c r="IG26" s="102">
        <f t="shared" si="21"/>
        <v>0</v>
      </c>
      <c r="IH26" s="102">
        <f t="shared" si="21"/>
        <v>0</v>
      </c>
      <c r="II26" s="145"/>
      <c r="IJ26" s="929" t="str">
        <f t="shared" si="66"/>
        <v/>
      </c>
      <c r="IK26" s="930">
        <f t="shared" si="40"/>
        <v>0</v>
      </c>
      <c r="IM26" s="32">
        <f t="shared" si="41"/>
        <v>0</v>
      </c>
      <c r="IN26" s="929">
        <f t="shared" si="22"/>
        <v>0</v>
      </c>
      <c r="IP26" s="929" t="str">
        <f t="shared" si="84"/>
        <v/>
      </c>
      <c r="IQ26" s="929" t="str">
        <f t="shared" si="84"/>
        <v/>
      </c>
      <c r="IR26" s="929" t="str">
        <f t="shared" si="84"/>
        <v/>
      </c>
      <c r="IS26" s="929" t="str">
        <f t="shared" si="84"/>
        <v/>
      </c>
      <c r="IT26" s="929" t="str">
        <f t="shared" si="84"/>
        <v/>
      </c>
      <c r="IU26" s="929" t="str">
        <f t="shared" si="84"/>
        <v/>
      </c>
      <c r="IV26" s="929" t="str">
        <f t="shared" si="85"/>
        <v/>
      </c>
      <c r="IX26" s="102">
        <f t="shared" si="68"/>
        <v>0</v>
      </c>
      <c r="IY26" s="102">
        <f t="shared" si="68"/>
        <v>0</v>
      </c>
      <c r="IZ26" s="102">
        <f t="shared" si="68"/>
        <v>0</v>
      </c>
      <c r="JA26" s="102">
        <f t="shared" si="68"/>
        <v>0</v>
      </c>
      <c r="JB26" s="102">
        <f t="shared" si="68"/>
        <v>0</v>
      </c>
      <c r="JC26" s="102">
        <f t="shared" si="68"/>
        <v>0</v>
      </c>
      <c r="JD26" s="102">
        <f t="shared" si="69"/>
        <v>0</v>
      </c>
      <c r="JF26" s="32">
        <f t="shared" si="70"/>
        <v>0</v>
      </c>
      <c r="JG26" s="32">
        <f t="shared" si="70"/>
        <v>0</v>
      </c>
      <c r="JH26" s="32">
        <f t="shared" si="70"/>
        <v>0</v>
      </c>
      <c r="JI26" s="32">
        <f t="shared" si="70"/>
        <v>0</v>
      </c>
      <c r="JJ26" s="32">
        <f t="shared" si="70"/>
        <v>0</v>
      </c>
      <c r="JK26" s="32">
        <f t="shared" si="70"/>
        <v>0</v>
      </c>
      <c r="JL26" s="32">
        <f t="shared" si="70"/>
        <v>0</v>
      </c>
      <c r="JM26" s="32">
        <f t="shared" si="71"/>
        <v>0</v>
      </c>
      <c r="JO26" s="102">
        <f t="shared" si="72"/>
        <v>0</v>
      </c>
      <c r="JP26" s="102">
        <f t="shared" si="72"/>
        <v>0</v>
      </c>
      <c r="JQ26" s="102">
        <f t="shared" si="72"/>
        <v>0</v>
      </c>
      <c r="JR26" s="102">
        <f t="shared" si="72"/>
        <v>0</v>
      </c>
      <c r="JS26" s="102">
        <f t="shared" si="72"/>
        <v>0</v>
      </c>
      <c r="JT26" s="102">
        <f t="shared" si="73"/>
        <v>0</v>
      </c>
      <c r="JU26" s="102">
        <f t="shared" si="74"/>
        <v>0</v>
      </c>
      <c r="JV26" s="102">
        <f t="shared" si="74"/>
        <v>0</v>
      </c>
      <c r="JW26" s="102">
        <f t="shared" si="75"/>
        <v>0</v>
      </c>
      <c r="JX26" s="102">
        <f t="shared" si="76"/>
        <v>0</v>
      </c>
      <c r="JY26" s="102">
        <f t="shared" si="77"/>
        <v>0</v>
      </c>
      <c r="KB26" s="32" t="str">
        <f t="shared" si="78"/>
        <v xml:space="preserve"> </v>
      </c>
      <c r="KC26" s="32" t="str">
        <f t="shared" si="78"/>
        <v xml:space="preserve"> </v>
      </c>
      <c r="KD26" s="32" t="str">
        <f t="shared" si="78"/>
        <v xml:space="preserve"> </v>
      </c>
      <c r="KE26" s="32" t="str">
        <f t="shared" si="78"/>
        <v xml:space="preserve"> </v>
      </c>
      <c r="KF26" s="32" t="str">
        <f t="shared" si="78"/>
        <v xml:space="preserve"> </v>
      </c>
      <c r="KG26" s="32" t="str">
        <f t="shared" si="78"/>
        <v xml:space="preserve"> </v>
      </c>
      <c r="KH26" s="32" t="str">
        <f t="shared" si="79"/>
        <v xml:space="preserve"> </v>
      </c>
      <c r="KJ26" s="102">
        <f t="shared" si="80"/>
        <v>0</v>
      </c>
      <c r="KK26" s="102">
        <f t="shared" si="80"/>
        <v>0</v>
      </c>
      <c r="KL26" s="102">
        <f t="shared" si="80"/>
        <v>0</v>
      </c>
      <c r="KM26" s="102">
        <f t="shared" si="80"/>
        <v>0</v>
      </c>
      <c r="KN26" s="102">
        <f t="shared" si="80"/>
        <v>0</v>
      </c>
      <c r="KO26" s="102">
        <f t="shared" si="80"/>
        <v>0</v>
      </c>
      <c r="KP26" s="102">
        <f t="shared" si="81"/>
        <v>0</v>
      </c>
      <c r="KR26" s="32"/>
      <c r="KS26" s="32"/>
      <c r="KT26" s="32"/>
      <c r="KU26" s="32"/>
      <c r="KV26" s="32"/>
      <c r="KW26" s="32"/>
      <c r="KX26" s="32"/>
      <c r="KY26" s="32"/>
      <c r="KZ26" s="32"/>
    </row>
    <row r="27" spans="1:312" outlineLevel="1">
      <c r="A27" s="884">
        <v>7430</v>
      </c>
      <c r="B27" s="70" t="s">
        <v>634</v>
      </c>
      <c r="C27" s="17" t="s">
        <v>70</v>
      </c>
      <c r="D27" s="31" t="s">
        <v>59</v>
      </c>
      <c r="E27" s="102">
        <v>-64.973253639999996</v>
      </c>
      <c r="F27" s="102">
        <v>-39.035599400000009</v>
      </c>
      <c r="G27" s="102">
        <v>-54.857001979999993</v>
      </c>
      <c r="H27" s="102">
        <v>-53.636713979999996</v>
      </c>
      <c r="I27" s="102">
        <v>-54.869461119999983</v>
      </c>
      <c r="J27" s="102">
        <v>-63.364586670000051</v>
      </c>
      <c r="K27" s="102">
        <v>-92.330430519999993</v>
      </c>
      <c r="L27" s="102">
        <v>-59.217141239999989</v>
      </c>
      <c r="M27" s="102">
        <v>-69.479407359999925</v>
      </c>
      <c r="N27" s="102">
        <v>-80.233145280000144</v>
      </c>
      <c r="O27" s="102">
        <v>-75.215940969999906</v>
      </c>
      <c r="P27" s="102">
        <v>-70.665634680000039</v>
      </c>
      <c r="Q27" s="102">
        <v>-74.618755399999998</v>
      </c>
      <c r="R27" s="102">
        <v>-34.329774760000006</v>
      </c>
      <c r="S27" s="102">
        <v>-73.472734000000017</v>
      </c>
      <c r="T27" s="102">
        <v>-159.47640469999999</v>
      </c>
      <c r="U27" s="102">
        <v>-66.000458569999978</v>
      </c>
      <c r="V27" s="102">
        <v>-99.094488510000019</v>
      </c>
      <c r="W27" s="102">
        <v>-75.717738080000061</v>
      </c>
      <c r="X27" s="102">
        <v>-70.737796890000027</v>
      </c>
      <c r="Y27" s="102">
        <v>-62.463051099999916</v>
      </c>
      <c r="Z27" s="102">
        <v>-57.51191947999996</v>
      </c>
      <c r="AA27" s="102">
        <v>-33.95245809000005</v>
      </c>
      <c r="AB27" s="145">
        <v>-43.682757349999974</v>
      </c>
      <c r="AC27" s="145">
        <v>-77.891613240000012</v>
      </c>
      <c r="AD27" s="145">
        <v>-63.292108410000004</v>
      </c>
      <c r="AE27" s="145">
        <v>-58.069371590000003</v>
      </c>
      <c r="AF27" s="145">
        <v>-70.69626864</v>
      </c>
      <c r="AG27" s="145">
        <v>-78.530180400000006</v>
      </c>
      <c r="AH27" s="145">
        <v>-61.020840379999996</v>
      </c>
      <c r="AI27" s="145">
        <v>-73.552944120000006</v>
      </c>
      <c r="AJ27" s="145">
        <v>-79.896394459999996</v>
      </c>
      <c r="AK27" s="145">
        <v>-91.917294150000004</v>
      </c>
      <c r="AL27" s="145">
        <v>-136.24228772999999</v>
      </c>
      <c r="AM27" s="145">
        <v>-134.64897909000001</v>
      </c>
      <c r="AN27" s="145">
        <v>778.96759999000005</v>
      </c>
      <c r="AO27" s="102">
        <v>-3.7516619500000004</v>
      </c>
      <c r="AP27" s="145">
        <v>-10.01572895</v>
      </c>
      <c r="AQ27" s="143">
        <v>-4.7414619500000006</v>
      </c>
      <c r="AR27" s="143">
        <v>-4.4690022699999998</v>
      </c>
      <c r="AS27" s="102">
        <v>-4.4159619499999998</v>
      </c>
      <c r="AT27" s="102">
        <v>-4.4159619499999998</v>
      </c>
      <c r="AU27" s="102">
        <v>-4.9774499500000005</v>
      </c>
      <c r="AV27" s="102">
        <v>-3.4056703100000001</v>
      </c>
      <c r="AW27" s="102">
        <v>-9.4608422100000009</v>
      </c>
      <c r="AX27" s="102">
        <v>-3.4945940699999998</v>
      </c>
      <c r="AY27" s="102">
        <v>-11.122229949999999</v>
      </c>
      <c r="AZ27" s="102">
        <v>-2.7314419500000002</v>
      </c>
      <c r="BA27" s="102">
        <v>-5.77568372</v>
      </c>
      <c r="BB27" s="102">
        <v>-3.0895338499999996</v>
      </c>
      <c r="BC27" s="102">
        <v>-0.7472067</v>
      </c>
      <c r="BD27" s="102">
        <v>-69.915793280000003</v>
      </c>
      <c r="BE27" s="102">
        <v>-3.825526</v>
      </c>
      <c r="BF27" s="102">
        <v>-6.0471769999999996</v>
      </c>
      <c r="BG27" s="102">
        <v>-0.84885793999999992</v>
      </c>
      <c r="BH27" s="102">
        <v>-1.4055686499999984</v>
      </c>
      <c r="BI27" s="102">
        <v>1.3416811399999999</v>
      </c>
      <c r="BJ27" s="102">
        <v>-12.378349829999999</v>
      </c>
      <c r="BK27" s="102">
        <v>-1.2804789699999999</v>
      </c>
      <c r="BL27" s="102">
        <v>-63.657950870000008</v>
      </c>
      <c r="BM27" s="102">
        <v>-3.6473434199999999</v>
      </c>
      <c r="BN27" s="102">
        <v>-5.1181489500000001</v>
      </c>
      <c r="BO27" s="102">
        <v>-7.7987109500000003</v>
      </c>
      <c r="BP27" s="102">
        <v>-3.4791109500000004</v>
      </c>
      <c r="BQ27" s="145">
        <v>-2.9129319500000004</v>
      </c>
      <c r="BR27" s="145">
        <v>-3.0757929500000003</v>
      </c>
      <c r="BS27" s="145">
        <v>-11.59339295</v>
      </c>
      <c r="BT27" s="145">
        <v>-3.2246427400000002</v>
      </c>
      <c r="BU27" s="145">
        <v>-3.0766239500000001</v>
      </c>
      <c r="BV27" s="145">
        <v>-3.3098499500000003</v>
      </c>
      <c r="BW27" s="102">
        <v>-16.874133950000001</v>
      </c>
      <c r="BX27" s="102">
        <v>-2.80942895</v>
      </c>
      <c r="BY27" s="102">
        <v>-9.8078611099999993</v>
      </c>
      <c r="BZ27" s="102">
        <v>-3.3979210000000002</v>
      </c>
      <c r="CA27" s="102">
        <v>-14.748839859999999</v>
      </c>
      <c r="CB27" s="102">
        <v>-22.661177039999998</v>
      </c>
      <c r="CC27" s="102">
        <v>3.6720860000000002</v>
      </c>
      <c r="CD27" s="102">
        <v>-0.86013399999999995</v>
      </c>
      <c r="CE27" s="102">
        <v>-6.8239660000000004</v>
      </c>
      <c r="CF27" s="102">
        <v>-11.31346374</v>
      </c>
      <c r="CG27" s="102">
        <v>-4.5304419999999999</v>
      </c>
      <c r="CH27" s="102">
        <v>-6.003768</v>
      </c>
      <c r="CI27" s="102">
        <v>-7.8027810000000004</v>
      </c>
      <c r="CJ27" s="102">
        <v>-28.098300999999999</v>
      </c>
      <c r="CK27" s="1169">
        <v>-3.395337</v>
      </c>
      <c r="CL27" s="1169">
        <v>-5.0587850000000003</v>
      </c>
      <c r="CM27" s="1169">
        <v>-5.5848740000000001</v>
      </c>
      <c r="CN27" s="1169">
        <v>-6.3635570000000001</v>
      </c>
      <c r="CO27" s="1169">
        <v>-5.2448309999999996</v>
      </c>
      <c r="CP27" s="1169">
        <v>-6.396846</v>
      </c>
      <c r="CQ27" s="1169">
        <v>-5.200958</v>
      </c>
      <c r="CR27" s="1169">
        <v>-5.3276709999999996</v>
      </c>
      <c r="CS27" s="1169">
        <v>-4.4645496799999993</v>
      </c>
      <c r="CT27" s="1169">
        <v>-4.6515226100000007</v>
      </c>
      <c r="CU27" s="1169">
        <v>-6.44701682</v>
      </c>
      <c r="CV27" s="1169">
        <v>-6.138306</v>
      </c>
      <c r="CW27" s="1169">
        <v>-26.815888000000001</v>
      </c>
      <c r="CX27" s="1169">
        <v>-6.3024990000000001</v>
      </c>
      <c r="CY27" s="1169">
        <v>-5.6606839999999998</v>
      </c>
      <c r="CZ27" s="1169">
        <v>-5.3088819999999997</v>
      </c>
      <c r="DA27" s="1169">
        <v>-4.5761729999999998</v>
      </c>
      <c r="DB27" s="1169">
        <v>-3.9213010000000001</v>
      </c>
      <c r="DC27" s="1169">
        <v>-4.2637522199999998</v>
      </c>
      <c r="DD27" s="1169">
        <v>-3.6943790000000001</v>
      </c>
      <c r="DE27" s="1169">
        <v>-9.4286630000000002</v>
      </c>
      <c r="DF27" s="1169">
        <v>-4.1333529999999996</v>
      </c>
      <c r="DG27" s="1169">
        <v>-2.3107350000000002</v>
      </c>
      <c r="DH27" s="1169">
        <v>-3.9123030000000001</v>
      </c>
      <c r="DJ27" s="102">
        <v>-26.815888000000001</v>
      </c>
      <c r="DK27" s="102">
        <v>-6.3024990000000001</v>
      </c>
      <c r="DL27" s="102">
        <v>-5.6606839999999998</v>
      </c>
      <c r="DM27" s="102">
        <v>-5.3088819999999997</v>
      </c>
      <c r="DN27" s="102">
        <v>-4.5761729999999998</v>
      </c>
      <c r="DO27" s="102">
        <v>-3.9213010000000001</v>
      </c>
      <c r="DP27" s="102">
        <v>-1.2423069504500002</v>
      </c>
      <c r="DQ27" s="102">
        <v>-2.2257432373000001</v>
      </c>
      <c r="DR27" s="102">
        <v>-2.0262054714500004</v>
      </c>
      <c r="DS27" s="102">
        <v>-1.4418205473000003</v>
      </c>
      <c r="DT27" s="102">
        <v>-1.2544222757500003</v>
      </c>
      <c r="DU27" s="102">
        <v>-1.3112069990000002</v>
      </c>
      <c r="DW27" s="145">
        <v>-192.5215862883332</v>
      </c>
      <c r="DX27" s="145">
        <v>-111.36947733333332</v>
      </c>
      <c r="DY27" s="145">
        <v>-165.079216</v>
      </c>
      <c r="DZ27" s="145">
        <v>-211.27921599999999</v>
      </c>
      <c r="EA27" s="145">
        <v>-182.804216</v>
      </c>
      <c r="EB27" s="145">
        <v>-201.10421600000001</v>
      </c>
      <c r="EC27" s="145">
        <v>-224.51829050000001</v>
      </c>
      <c r="ED27" s="145">
        <v>-271.3682905</v>
      </c>
      <c r="EE27" s="145">
        <v>-205.66829050000001</v>
      </c>
      <c r="EF27" s="145">
        <v>-234.16829050000001</v>
      </c>
      <c r="EG27" s="145">
        <v>-205.66829050000001</v>
      </c>
      <c r="EH27" s="145">
        <v>-262.31829049999999</v>
      </c>
      <c r="EI27" s="145">
        <v>-2.5858042441509004</v>
      </c>
      <c r="EJ27" s="145">
        <v>-3.9979502675783998</v>
      </c>
      <c r="EK27" s="145">
        <v>-4.1723587388941246</v>
      </c>
      <c r="EL27" s="145">
        <v>-4.1323467594740002</v>
      </c>
      <c r="EM27" s="145">
        <v>-4.3541408994270494</v>
      </c>
      <c r="EN27" s="145">
        <v>-3.638604179049</v>
      </c>
      <c r="EO27" s="145">
        <v>-3.4430513790489998</v>
      </c>
      <c r="EP27" s="145">
        <v>-3.3805213003647254</v>
      </c>
      <c r="EQ27" s="145">
        <v>-3.0400355056875998</v>
      </c>
      <c r="ER27" s="145">
        <v>-2.8781509253157251</v>
      </c>
      <c r="ES27" s="145">
        <v>-3.0006537039999999</v>
      </c>
      <c r="ET27" s="145">
        <v>-3.2701991040000005</v>
      </c>
      <c r="EU27" s="145"/>
      <c r="EV27" s="145"/>
      <c r="EW27" s="145"/>
      <c r="EX27" s="145"/>
      <c r="EY27" s="145"/>
      <c r="EZ27" s="145"/>
      <c r="FA27" s="145"/>
      <c r="FB27" s="145"/>
      <c r="FC27" s="145"/>
      <c r="FD27" s="145"/>
      <c r="FE27" s="145"/>
      <c r="FF27" s="145"/>
      <c r="FG27" s="102">
        <v>-7.3229850000000001</v>
      </c>
      <c r="FH27" s="102">
        <v>-6.031485</v>
      </c>
      <c r="FI27" s="102">
        <v>-5.5347150000000003</v>
      </c>
      <c r="FJ27" s="102">
        <v>-4.8412949999999997</v>
      </c>
      <c r="FK27" s="102">
        <v>-5.7510770000000004</v>
      </c>
      <c r="FL27" s="102">
        <v>-5.8231270000000004</v>
      </c>
      <c r="FM27" s="102">
        <v>-6.3660050000000004</v>
      </c>
      <c r="FN27" s="102">
        <v>-6.4667599999999998</v>
      </c>
      <c r="FO27" s="102">
        <v>-6.5637600000000003</v>
      </c>
      <c r="FP27" s="102">
        <v>-7.7540199999999997</v>
      </c>
      <c r="FQ27" s="102">
        <v>-8.46096</v>
      </c>
      <c r="FR27" s="102">
        <v>-7.7452949999999996</v>
      </c>
      <c r="FS27" s="102">
        <v>-7.3229850000000001</v>
      </c>
      <c r="FT27" s="102">
        <v>-6.031485</v>
      </c>
      <c r="FU27" s="102">
        <v>-5.5347150000000003</v>
      </c>
      <c r="FV27" s="102">
        <v>-4.8412949999999997</v>
      </c>
      <c r="FW27" s="102">
        <v>-5.7510770000000004</v>
      </c>
      <c r="FX27" s="102">
        <v>-5.8231270000000004</v>
      </c>
      <c r="FY27" s="102">
        <v>-6.3660050000000004</v>
      </c>
      <c r="FZ27" s="102">
        <v>-6.4667599999999998</v>
      </c>
      <c r="GA27" s="102">
        <v>-6.5637600000000003</v>
      </c>
      <c r="GB27" s="102">
        <v>-7.7540199999999997</v>
      </c>
      <c r="GC27" s="102">
        <v>-8.46096</v>
      </c>
      <c r="GD27" s="102">
        <v>-7.7452949999999996</v>
      </c>
      <c r="GF27" s="102">
        <f t="shared" si="56"/>
        <v>-777.87831684000002</v>
      </c>
      <c r="GG27" s="102">
        <f t="shared" si="56"/>
        <v>-851.05833693</v>
      </c>
      <c r="GH27" s="102">
        <f t="shared" si="56"/>
        <v>-146.79068222000001</v>
      </c>
      <c r="GI27" s="102">
        <f t="shared" si="56"/>
        <v>-67.002007460000002</v>
      </c>
      <c r="GJ27" s="102">
        <f t="shared" si="83"/>
        <v>-167.63044567</v>
      </c>
      <c r="GK27" s="102">
        <f t="shared" si="37"/>
        <v>-66.920111659999989</v>
      </c>
      <c r="GL27" s="102">
        <f t="shared" si="38"/>
        <v>-112.37656874999999</v>
      </c>
      <c r="GM27" s="102">
        <f t="shared" si="57"/>
        <v>-64.274254110000001</v>
      </c>
      <c r="GN27" s="102">
        <f t="shared" si="7"/>
        <v>-78.661484000000002</v>
      </c>
      <c r="GO27" s="102">
        <v>-80.328612219999982</v>
      </c>
      <c r="GQ27" s="929">
        <f t="shared" si="58"/>
        <v>-0.82751983518601779</v>
      </c>
      <c r="GR27" s="929">
        <f t="shared" si="58"/>
        <v>-0.5435540836333066</v>
      </c>
      <c r="GS27" s="929">
        <f t="shared" si="58"/>
        <v>1.5018719889859251</v>
      </c>
      <c r="GT27" s="929">
        <f t="shared" si="58"/>
        <v>-0.60078784380410233</v>
      </c>
      <c r="GU27" s="929">
        <f t="shared" si="58"/>
        <v>0.67926451349857198</v>
      </c>
      <c r="GV27" s="929">
        <f t="shared" si="58"/>
        <v>-0.42804576768144109</v>
      </c>
      <c r="GW27" s="929">
        <f t="shared" si="58"/>
        <v>0.22384125789118392</v>
      </c>
      <c r="GX27" s="929">
        <f t="shared" si="58"/>
        <v>2.1193704151322379E-2</v>
      </c>
      <c r="GY27" s="929">
        <f t="shared" si="9"/>
        <v>0.24977898743911187</v>
      </c>
      <c r="HA27" s="102">
        <f t="shared" si="59"/>
        <v>704.26765470999999</v>
      </c>
      <c r="HB27" s="102">
        <f t="shared" si="59"/>
        <v>79.788674760000006</v>
      </c>
      <c r="HC27" s="102">
        <f t="shared" si="59"/>
        <v>-100.62843821</v>
      </c>
      <c r="HD27" s="102">
        <f t="shared" si="59"/>
        <v>100.71033401000001</v>
      </c>
      <c r="HE27" s="102">
        <f t="shared" si="59"/>
        <v>-45.456457090000001</v>
      </c>
      <c r="HF27" s="102">
        <f t="shared" si="59"/>
        <v>48.102314639999989</v>
      </c>
      <c r="HG27" s="102">
        <f t="shared" si="59"/>
        <v>-14.38722989</v>
      </c>
      <c r="HH27" s="102">
        <f t="shared" si="59"/>
        <v>-1.6671282199999808</v>
      </c>
      <c r="HI27" s="102">
        <f t="shared" si="11"/>
        <v>-16.054358109999981</v>
      </c>
      <c r="HK27" s="32">
        <f t="shared" ref="HK27:HS42" si="86">+GG27/GG$11</f>
        <v>-2.3154723165624828E-2</v>
      </c>
      <c r="HL27" s="32">
        <f t="shared" si="86"/>
        <v>-3.7272618026696664E-3</v>
      </c>
      <c r="HM27" s="32">
        <f t="shared" si="86"/>
        <v>-3.9757235634380458E-3</v>
      </c>
      <c r="HN27" s="32">
        <f t="shared" si="86"/>
        <v>-2.7248003162184745E-2</v>
      </c>
      <c r="HO27" s="32">
        <f t="shared" si="86"/>
        <v>-4.9101929884731816E-3</v>
      </c>
      <c r="HP27" s="32">
        <f t="shared" si="86"/>
        <v>-7.9415073648302255E-3</v>
      </c>
      <c r="HQ27" s="32">
        <f t="shared" si="86"/>
        <v>-3.027612772217875E-3</v>
      </c>
      <c r="HR27" s="32">
        <f t="shared" si="86"/>
        <v>-5.000000000000001E-3</v>
      </c>
      <c r="HS27" s="32">
        <f t="shared" si="86"/>
        <v>-6.365240097325915E-3</v>
      </c>
      <c r="HU27" s="102">
        <f t="shared" si="61"/>
        <v>-330.73661679000003</v>
      </c>
      <c r="HV27" s="102">
        <f t="shared" si="61"/>
        <v>-506.99261594000001</v>
      </c>
      <c r="HW27" s="102">
        <f t="shared" si="61"/>
        <v>-409.50038266000001</v>
      </c>
      <c r="HX27" s="102">
        <f t="shared" si="61"/>
        <v>-31.809779020000001</v>
      </c>
      <c r="HY27" s="102">
        <f t="shared" si="61"/>
        <v>-89.400920549999995</v>
      </c>
      <c r="HZ27" s="102">
        <f t="shared" si="61"/>
        <v>-26.032039170000001</v>
      </c>
      <c r="IA27" s="102">
        <f t="shared" si="62"/>
        <v>-47.803847009999998</v>
      </c>
      <c r="IB27" s="102">
        <f t="shared" si="63"/>
        <v>-32.044229999999999</v>
      </c>
      <c r="IC27" s="102">
        <f t="shared" si="64"/>
        <v>-52.585426999999996</v>
      </c>
      <c r="ID27" s="102">
        <f t="shared" si="18"/>
        <v>-35.304683999999995</v>
      </c>
      <c r="IE27" s="102">
        <f t="shared" si="65"/>
        <v>-52.585426999999996</v>
      </c>
      <c r="IF27" s="922">
        <f t="shared" si="20"/>
        <v>0.64102638758990294</v>
      </c>
      <c r="IG27" s="102">
        <f t="shared" si="21"/>
        <v>-52.585426999999996</v>
      </c>
      <c r="IH27" s="102">
        <f t="shared" si="21"/>
        <v>-35.304683999999995</v>
      </c>
      <c r="II27" s="145"/>
      <c r="IJ27" s="929">
        <f t="shared" si="66"/>
        <v>1.4894745127870286</v>
      </c>
      <c r="IK27" s="930">
        <f t="shared" si="40"/>
        <v>-17.280743000000001</v>
      </c>
      <c r="IM27" s="32">
        <f t="shared" si="41"/>
        <v>-8.0868505924678834E-3</v>
      </c>
      <c r="IN27" s="929">
        <f t="shared" si="22"/>
        <v>-4.9999999999999992E-3</v>
      </c>
      <c r="IP27" s="929">
        <f t="shared" si="84"/>
        <v>-0.19229517396272633</v>
      </c>
      <c r="IQ27" s="929">
        <f t="shared" si="84"/>
        <v>-0.92232051454171404</v>
      </c>
      <c r="IR27" s="929">
        <f t="shared" si="84"/>
        <v>1.8104854326020399</v>
      </c>
      <c r="IS27" s="929">
        <f t="shared" si="84"/>
        <v>-0.70881687783694747</v>
      </c>
      <c r="IT27" s="929">
        <f t="shared" si="84"/>
        <v>0.83634661494710705</v>
      </c>
      <c r="IU27" s="929">
        <f t="shared" si="84"/>
        <v>-0.32967256812413603</v>
      </c>
      <c r="IV27" s="929">
        <f t="shared" si="85"/>
        <v>0.64102638758990294</v>
      </c>
      <c r="IX27" s="102">
        <f t="shared" si="68"/>
        <v>97.492233279999994</v>
      </c>
      <c r="IY27" s="102">
        <f t="shared" si="68"/>
        <v>377.69060364000001</v>
      </c>
      <c r="IZ27" s="102">
        <f t="shared" si="68"/>
        <v>-57.591141529999994</v>
      </c>
      <c r="JA27" s="102">
        <f t="shared" si="68"/>
        <v>63.368881379999991</v>
      </c>
      <c r="JB27" s="102">
        <f t="shared" si="68"/>
        <v>-21.771807839999997</v>
      </c>
      <c r="JC27" s="102">
        <f t="shared" si="68"/>
        <v>15.759617009999999</v>
      </c>
      <c r="JD27" s="102">
        <f t="shared" si="69"/>
        <v>-20.541196999999997</v>
      </c>
      <c r="JF27" s="32">
        <f t="shared" si="70"/>
        <v>-2.0677932240167677E-2</v>
      </c>
      <c r="JG27" s="32">
        <f t="shared" si="70"/>
        <v>-2.9733319146619339E-2</v>
      </c>
      <c r="JH27" s="32">
        <f t="shared" si="70"/>
        <v>-2.5191852563626917E-2</v>
      </c>
      <c r="JI27" s="32">
        <f t="shared" si="70"/>
        <v>-3.4006337305690676E-3</v>
      </c>
      <c r="JJ27" s="32">
        <f t="shared" si="70"/>
        <v>-4.455287792324928E-2</v>
      </c>
      <c r="JK27" s="32">
        <f t="shared" si="70"/>
        <v>-3.7503041607133704E-3</v>
      </c>
      <c r="JL27" s="32">
        <f t="shared" si="70"/>
        <v>-9.0375751957213618E-3</v>
      </c>
      <c r="JM27" s="32">
        <f t="shared" si="71"/>
        <v>-7.7119580495294462E-3</v>
      </c>
      <c r="JO27" s="102">
        <f t="shared" si="72"/>
        <v>-63.364586670000051</v>
      </c>
      <c r="JP27" s="102">
        <f t="shared" si="72"/>
        <v>-99.094488510000019</v>
      </c>
      <c r="JQ27" s="102">
        <f t="shared" si="72"/>
        <v>-61.020840379999996</v>
      </c>
      <c r="JR27" s="102">
        <f t="shared" si="72"/>
        <v>-4.4159619499999998</v>
      </c>
      <c r="JS27" s="102">
        <f t="shared" si="72"/>
        <v>-6.0471769999999996</v>
      </c>
      <c r="JT27" s="102">
        <f t="shared" si="73"/>
        <v>-3.0757929500000003</v>
      </c>
      <c r="JU27" s="102">
        <f t="shared" si="74"/>
        <v>-0.86013399999999995</v>
      </c>
      <c r="JV27" s="102">
        <f t="shared" si="74"/>
        <v>-6.396846</v>
      </c>
      <c r="JW27" s="102">
        <f t="shared" si="75"/>
        <v>-3.9213010000000001</v>
      </c>
      <c r="JX27" s="102">
        <f t="shared" si="76"/>
        <v>-5.8231270000000004</v>
      </c>
      <c r="JY27" s="102">
        <f t="shared" si="77"/>
        <v>-3.9213010000000001</v>
      </c>
      <c r="KB27" s="32">
        <f t="shared" si="78"/>
        <v>-0.38421559768339553</v>
      </c>
      <c r="KC27" s="32">
        <f t="shared" si="78"/>
        <v>-0.92763190538674778</v>
      </c>
      <c r="KD27" s="32">
        <f t="shared" si="78"/>
        <v>0.36939064884832162</v>
      </c>
      <c r="KE27" s="32">
        <f t="shared" si="78"/>
        <v>-0.49136713709554047</v>
      </c>
      <c r="KF27" s="32">
        <f t="shared" si="78"/>
        <v>-0.72035373837501004</v>
      </c>
      <c r="KG27" s="32">
        <f t="shared" si="78"/>
        <v>6.4370342295502798</v>
      </c>
      <c r="KH27" s="32">
        <f t="shared" si="79"/>
        <v>-0.38699462203717272</v>
      </c>
      <c r="KJ27" s="102">
        <f t="shared" si="80"/>
        <v>38.073648130000024</v>
      </c>
      <c r="KK27" s="102">
        <f t="shared" si="80"/>
        <v>56.604878429999999</v>
      </c>
      <c r="KL27" s="102">
        <f t="shared" si="80"/>
        <v>-1.6312150499999998</v>
      </c>
      <c r="KM27" s="102">
        <f t="shared" si="80"/>
        <v>2.9713840499999993</v>
      </c>
      <c r="KN27" s="102">
        <f t="shared" si="80"/>
        <v>2.2156589500000003</v>
      </c>
      <c r="KO27" s="102">
        <f t="shared" si="80"/>
        <v>-5.5367119999999996</v>
      </c>
      <c r="KP27" s="102">
        <f t="shared" si="81"/>
        <v>2.4755449999999999</v>
      </c>
      <c r="KR27" s="32">
        <f t="shared" ref="KR27:KY37" si="87">+JO27/JO$11</f>
        <v>-1.9765464412098234E-2</v>
      </c>
      <c r="KS27" s="32">
        <f t="shared" si="87"/>
        <v>-2.9463945113841573E-2</v>
      </c>
      <c r="KT27" s="32">
        <f t="shared" si="87"/>
        <v>-2.4321430780899968E-2</v>
      </c>
      <c r="KU27" s="32">
        <f t="shared" si="87"/>
        <v>-4.9358720735908227E-3</v>
      </c>
      <c r="KV27" s="32">
        <f t="shared" si="87"/>
        <v>-1.9379245628988292E-2</v>
      </c>
      <c r="KW27" s="32">
        <f t="shared" si="87"/>
        <v>-3.0332627056660656E-3</v>
      </c>
      <c r="KX27" s="32">
        <f t="shared" si="87"/>
        <v>-9.8060299529613708E-4</v>
      </c>
      <c r="KY27" s="32">
        <f t="shared" si="87"/>
        <v>-4.1806312319305214E-3</v>
      </c>
      <c r="KZ27" s="32">
        <f t="shared" si="46"/>
        <v>-1.0699752878463578E-2</v>
      </c>
    </row>
    <row r="28" spans="1:312" outlineLevel="1">
      <c r="A28" s="884">
        <v>7435</v>
      </c>
      <c r="B28" s="70" t="s">
        <v>635</v>
      </c>
      <c r="C28" s="17" t="s">
        <v>71</v>
      </c>
      <c r="D28" s="31" t="s">
        <v>59</v>
      </c>
      <c r="E28" s="102">
        <v>-47.2</v>
      </c>
      <c r="F28" s="102">
        <v>-9.0399999999999991</v>
      </c>
      <c r="G28" s="102">
        <v>-172.23985299999998</v>
      </c>
      <c r="H28" s="102">
        <v>-94.228195000000028</v>
      </c>
      <c r="I28" s="102">
        <v>-92.475953000000004</v>
      </c>
      <c r="J28" s="102">
        <v>-397.65624799999995</v>
      </c>
      <c r="K28" s="102">
        <v>-101.00298800000007</v>
      </c>
      <c r="L28" s="102">
        <v>-128.12962999999991</v>
      </c>
      <c r="M28" s="102">
        <v>-77.615731000000096</v>
      </c>
      <c r="N28" s="102">
        <v>-64.445299999999861</v>
      </c>
      <c r="O28" s="102">
        <v>-135.00683300000014</v>
      </c>
      <c r="P28" s="102">
        <v>-43.674999999999955</v>
      </c>
      <c r="Q28" s="102">
        <v>-42.719974000000001</v>
      </c>
      <c r="R28" s="102">
        <v>-95.716439999999977</v>
      </c>
      <c r="S28" s="102">
        <v>-47.759339000000011</v>
      </c>
      <c r="T28" s="102">
        <v>-49.490755000000007</v>
      </c>
      <c r="U28" s="102">
        <v>-69.396132000000023</v>
      </c>
      <c r="V28" s="102">
        <v>-82.935555999999963</v>
      </c>
      <c r="W28" s="102">
        <v>-20.634999999999991</v>
      </c>
      <c r="X28" s="102">
        <v>-213.50133499999993</v>
      </c>
      <c r="Y28" s="102">
        <v>-30.096074000000044</v>
      </c>
      <c r="Z28" s="102">
        <v>-141.33510799999999</v>
      </c>
      <c r="AA28" s="102">
        <v>-96.936863000000017</v>
      </c>
      <c r="AB28" s="145">
        <v>-89.944253900000035</v>
      </c>
      <c r="AC28" s="145">
        <v>-72.324038999999999</v>
      </c>
      <c r="AD28" s="145">
        <v>-106.12400199999999</v>
      </c>
      <c r="AE28" s="145">
        <v>-108.759238</v>
      </c>
      <c r="AF28" s="145">
        <v>-49.381425999999998</v>
      </c>
      <c r="AG28" s="145">
        <v>-49.808405</v>
      </c>
      <c r="AH28" s="145">
        <v>-18.76656307</v>
      </c>
      <c r="AI28" s="145">
        <v>-57.06724272999999</v>
      </c>
      <c r="AJ28" s="145">
        <v>-67.305300420000009</v>
      </c>
      <c r="AK28" s="145">
        <v>-21.770917000000001</v>
      </c>
      <c r="AL28" s="145">
        <v>-23.820077050000002</v>
      </c>
      <c r="AM28" s="145">
        <v>-68.319367999999997</v>
      </c>
      <c r="AN28" s="145">
        <v>-2086.4579648899999</v>
      </c>
      <c r="AO28" s="102">
        <v>-100.09123424000001</v>
      </c>
      <c r="AP28" s="145">
        <v>-185.96030000000002</v>
      </c>
      <c r="AQ28" s="143">
        <v>-102.74118200000001</v>
      </c>
      <c r="AR28" s="143">
        <v>-84.906248000000005</v>
      </c>
      <c r="AS28" s="102">
        <v>-35.480792879999996</v>
      </c>
      <c r="AT28" s="102">
        <v>-61.565874999999998</v>
      </c>
      <c r="AU28" s="102">
        <v>-118.12266996</v>
      </c>
      <c r="AV28" s="102">
        <v>-176.76026799000002</v>
      </c>
      <c r="AW28" s="102">
        <v>-55.186079480000004</v>
      </c>
      <c r="AX28" s="102">
        <v>-268.92482155000005</v>
      </c>
      <c r="AY28" s="102">
        <v>-144.81172103999998</v>
      </c>
      <c r="AZ28" s="102">
        <v>-141.33765584999998</v>
      </c>
      <c r="BA28" s="102">
        <v>-6.8073762599999998</v>
      </c>
      <c r="BB28" s="102">
        <v>-151.66544911000003</v>
      </c>
      <c r="BC28" s="102">
        <v>-26.431852980000002</v>
      </c>
      <c r="BD28" s="102">
        <v>-20.077459899999997</v>
      </c>
      <c r="BE28" s="102">
        <v>-26.748355</v>
      </c>
      <c r="BF28" s="102">
        <v>-27.791022999999999</v>
      </c>
      <c r="BG28" s="102">
        <v>-32.863374</v>
      </c>
      <c r="BH28" s="102">
        <v>-27.02697460000001</v>
      </c>
      <c r="BI28" s="102">
        <v>-49.04877252</v>
      </c>
      <c r="BJ28" s="102">
        <v>-86.496214040000012</v>
      </c>
      <c r="BK28" s="102">
        <v>-65.091867120000003</v>
      </c>
      <c r="BL28" s="102">
        <v>-203.09878938</v>
      </c>
      <c r="BM28" s="102">
        <v>-131.32144124999999</v>
      </c>
      <c r="BN28" s="102">
        <v>-169.78795239999999</v>
      </c>
      <c r="BO28" s="102">
        <v>-90.63171792</v>
      </c>
      <c r="BP28" s="102">
        <v>-122.68620373</v>
      </c>
      <c r="BQ28" s="102">
        <v>-141.6549594</v>
      </c>
      <c r="BR28" s="102">
        <v>-92.578647799999999</v>
      </c>
      <c r="BS28" s="102">
        <v>-80.81430288</v>
      </c>
      <c r="BT28" s="102">
        <v>-118.5782641</v>
      </c>
      <c r="BU28" s="102">
        <v>-93.789485999999997</v>
      </c>
      <c r="BV28" s="102">
        <v>-97.296824000000001</v>
      </c>
      <c r="BW28" s="102">
        <v>-108.61589635</v>
      </c>
      <c r="BX28" s="102">
        <v>-107.916944</v>
      </c>
      <c r="BY28" s="102">
        <v>-131.261079</v>
      </c>
      <c r="BZ28" s="102">
        <v>-132.38845659999998</v>
      </c>
      <c r="CA28" s="102">
        <v>-84.864886980000009</v>
      </c>
      <c r="CB28" s="102">
        <v>-92.436694000000003</v>
      </c>
      <c r="CC28" s="102">
        <v>-97.321460999999999</v>
      </c>
      <c r="CD28" s="102">
        <v>-97.143718000000007</v>
      </c>
      <c r="CE28" s="102">
        <v>-137.34851234000001</v>
      </c>
      <c r="CF28" s="102">
        <v>-163.63954637999998</v>
      </c>
      <c r="CG28" s="102">
        <v>-191.60365972</v>
      </c>
      <c r="CH28" s="102">
        <v>-187.16816843999999</v>
      </c>
      <c r="CI28" s="102">
        <v>-230.89448608000001</v>
      </c>
      <c r="CJ28" s="102">
        <v>-135.12796558000002</v>
      </c>
      <c r="CK28" s="1169">
        <v>-240.84177443999999</v>
      </c>
      <c r="CL28" s="1169">
        <v>-209.12012736000003</v>
      </c>
      <c r="CM28" s="1169">
        <v>-204.76555263999998</v>
      </c>
      <c r="CN28" s="1169">
        <v>-195.29283315999999</v>
      </c>
      <c r="CO28" s="1169">
        <v>-186.5519328</v>
      </c>
      <c r="CP28" s="1169">
        <v>-214.91680213999999</v>
      </c>
      <c r="CQ28" s="1169">
        <v>-228.13928537000001</v>
      </c>
      <c r="CR28" s="1169">
        <v>-259.54865067999998</v>
      </c>
      <c r="CS28" s="1169">
        <v>-203.85905486999999</v>
      </c>
      <c r="CT28" s="1169">
        <v>-217.62720677000002</v>
      </c>
      <c r="CU28" s="1169">
        <v>-302.30971419999997</v>
      </c>
      <c r="CV28" s="1169">
        <v>-252.06431795999998</v>
      </c>
      <c r="CW28" s="1169">
        <v>-268.26067181000002</v>
      </c>
      <c r="CX28" s="1169">
        <v>-232.87762262000001</v>
      </c>
      <c r="CY28" s="1169">
        <v>-177.80823596000002</v>
      </c>
      <c r="CZ28" s="1169">
        <v>-36.947538360000003</v>
      </c>
      <c r="DA28" s="1169">
        <v>-12.685855119999999</v>
      </c>
      <c r="DB28" s="1169">
        <v>-108.70078906000001</v>
      </c>
      <c r="DC28" s="1169">
        <v>-95.013756000000001</v>
      </c>
      <c r="DD28" s="1169">
        <v>-102.12979934000001</v>
      </c>
      <c r="DE28" s="1169">
        <v>-122.486132</v>
      </c>
      <c r="DF28" s="1169">
        <v>-110.52679816</v>
      </c>
      <c r="DG28" s="1169">
        <v>-134.688647</v>
      </c>
      <c r="DH28" s="1169">
        <v>-139.11828276</v>
      </c>
      <c r="DJ28" s="102">
        <v>-268.26067181000002</v>
      </c>
      <c r="DK28" s="102">
        <v>-232.87762262000001</v>
      </c>
      <c r="DL28" s="102">
        <v>-177.80823596000002</v>
      </c>
      <c r="DM28" s="102">
        <v>-36.947538360000003</v>
      </c>
      <c r="DN28" s="102">
        <v>-12.685855119999998</v>
      </c>
      <c r="DO28" s="102">
        <v>-108.70078905999999</v>
      </c>
      <c r="DP28" s="102">
        <v>-59.2</v>
      </c>
      <c r="DQ28" s="102">
        <v>-104.8</v>
      </c>
      <c r="DR28" s="102">
        <v>-95.9</v>
      </c>
      <c r="DS28" s="102">
        <v>-80.8</v>
      </c>
      <c r="DT28" s="102">
        <v>-67.7</v>
      </c>
      <c r="DU28" s="102">
        <v>-86.6</v>
      </c>
      <c r="DW28" s="102">
        <v>-95.617184524999999</v>
      </c>
      <c r="DX28" s="102">
        <v>-84.507184525</v>
      </c>
      <c r="DY28" s="102">
        <v>-145.25593214499997</v>
      </c>
      <c r="DZ28" s="102">
        <v>-195.499679765</v>
      </c>
      <c r="EA28" s="102">
        <v>-177.03624286000002</v>
      </c>
      <c r="EB28" s="102">
        <v>-189.73967976499998</v>
      </c>
      <c r="EC28" s="102">
        <v>-234.59791992787999</v>
      </c>
      <c r="ED28" s="102">
        <v>-265.47823064288002</v>
      </c>
      <c r="EE28" s="102">
        <v>-222.08448302288002</v>
      </c>
      <c r="EF28" s="102">
        <v>-236.00791992787998</v>
      </c>
      <c r="EG28" s="102">
        <v>-215.23448302288003</v>
      </c>
      <c r="EH28" s="102">
        <v>-247.30135683288003</v>
      </c>
      <c r="EI28" s="102">
        <v>-35.019017629628117</v>
      </c>
      <c r="EJ28" s="102">
        <v>-103.68082313701338</v>
      </c>
      <c r="EK28" s="102">
        <v>-111.29908957706759</v>
      </c>
      <c r="EL28" s="102">
        <v>-108.3680633081516</v>
      </c>
      <c r="EM28" s="102">
        <v>-119.80454248651969</v>
      </c>
      <c r="EN28" s="102">
        <v>-123.5067381603521</v>
      </c>
      <c r="EO28" s="102">
        <v>-129.5300396264538</v>
      </c>
      <c r="EP28" s="102">
        <v>-131.81792743730153</v>
      </c>
      <c r="EQ28" s="102">
        <v>-119.71772530854226</v>
      </c>
      <c r="ER28" s="102">
        <v>-115.02040297059203</v>
      </c>
      <c r="ES28" s="102">
        <v>-111.57276384263761</v>
      </c>
      <c r="ET28" s="102">
        <v>-89.278531250547999</v>
      </c>
      <c r="EU28" s="102">
        <v>-119.1</v>
      </c>
      <c r="EV28" s="102">
        <v>-113.5</v>
      </c>
      <c r="EW28" s="102">
        <v>-116.17</v>
      </c>
      <c r="EX28" s="102">
        <v>-101.27</v>
      </c>
      <c r="EY28" s="102">
        <v>-117.45</v>
      </c>
      <c r="EZ28" s="102">
        <v>-72.45</v>
      </c>
      <c r="FA28" s="102">
        <v>-112.77</v>
      </c>
      <c r="FB28" s="102">
        <v>-84.1</v>
      </c>
      <c r="FC28" s="102">
        <v>-53.4</v>
      </c>
      <c r="FD28" s="102">
        <v>-61.4</v>
      </c>
      <c r="FE28" s="102">
        <v>-61.4</v>
      </c>
      <c r="FF28" s="102">
        <v>-85.4</v>
      </c>
      <c r="FG28" s="102">
        <v>-196.11</v>
      </c>
      <c r="FH28" s="102">
        <v>-130.43</v>
      </c>
      <c r="FI28" s="102">
        <v>-121.73</v>
      </c>
      <c r="FJ28" s="102">
        <v>-113.13</v>
      </c>
      <c r="FK28" s="102">
        <v>-129.33000000000001</v>
      </c>
      <c r="FL28" s="102">
        <v>-141.05000000000001</v>
      </c>
      <c r="FM28" s="102">
        <v>-143.85</v>
      </c>
      <c r="FN28" s="102">
        <v>-147.05000000000001</v>
      </c>
      <c r="FO28" s="102">
        <v>-139.13</v>
      </c>
      <c r="FP28" s="102">
        <v>-154.93</v>
      </c>
      <c r="FQ28" s="102">
        <v>-161.63</v>
      </c>
      <c r="FR28" s="102">
        <v>-174.43</v>
      </c>
      <c r="FS28" s="102">
        <v>-196.11</v>
      </c>
      <c r="FT28" s="102">
        <v>-130.43</v>
      </c>
      <c r="FU28" s="102">
        <v>-121.73</v>
      </c>
      <c r="FV28" s="102">
        <v>-113.13</v>
      </c>
      <c r="FW28" s="102">
        <v>-129.33000000000001</v>
      </c>
      <c r="FX28" s="102">
        <v>-141.05000000000001</v>
      </c>
      <c r="FY28" s="102">
        <v>-143.85</v>
      </c>
      <c r="FZ28" s="102">
        <v>-147.05000000000001</v>
      </c>
      <c r="GA28" s="102">
        <v>-139.13</v>
      </c>
      <c r="GB28" s="102">
        <v>-154.93</v>
      </c>
      <c r="GC28" s="102">
        <v>-161.63</v>
      </c>
      <c r="GD28" s="102">
        <v>-174.43</v>
      </c>
      <c r="GF28" s="102">
        <f t="shared" si="56"/>
        <v>-1362.715731</v>
      </c>
      <c r="GG28" s="102">
        <f t="shared" si="56"/>
        <v>-980.46682989999999</v>
      </c>
      <c r="GH28" s="102">
        <f t="shared" si="56"/>
        <v>-2729.9045431599998</v>
      </c>
      <c r="GI28" s="102">
        <f t="shared" si="56"/>
        <v>-1475.8888479899999</v>
      </c>
      <c r="GJ28" s="102">
        <f t="shared" si="83"/>
        <v>-723.14750791000006</v>
      </c>
      <c r="GK28" s="102">
        <f t="shared" si="37"/>
        <v>-1355.67263983</v>
      </c>
      <c r="GL28" s="102">
        <f t="shared" si="38"/>
        <v>-1681.19863412</v>
      </c>
      <c r="GM28" s="102">
        <f t="shared" si="57"/>
        <v>-2715.03725239</v>
      </c>
      <c r="GN28" s="102">
        <f t="shared" si="7"/>
        <v>-1752.8000000000004</v>
      </c>
      <c r="GO28" s="102">
        <v>-1541.2441281900001</v>
      </c>
      <c r="GQ28" s="929">
        <f t="shared" si="58"/>
        <v>1.7842905643614979</v>
      </c>
      <c r="GR28" s="929">
        <f t="shared" si="58"/>
        <v>-0.45936247049811296</v>
      </c>
      <c r="GS28" s="929">
        <f t="shared" si="58"/>
        <v>-0.51002576590042792</v>
      </c>
      <c r="GT28" s="929">
        <f t="shared" si="58"/>
        <v>0.87468341521094106</v>
      </c>
      <c r="GU28" s="929">
        <f t="shared" si="58"/>
        <v>0.24012138677580785</v>
      </c>
      <c r="GV28" s="929">
        <f t="shared" si="58"/>
        <v>0.61494138603743775</v>
      </c>
      <c r="GW28" s="929">
        <f t="shared" si="58"/>
        <v>-0.35441033140262035</v>
      </c>
      <c r="GX28" s="929">
        <f t="shared" si="58"/>
        <v>-0.12069595607599282</v>
      </c>
      <c r="GY28" s="929">
        <f t="shared" si="9"/>
        <v>-0.4323303936867644</v>
      </c>
      <c r="HA28" s="102">
        <f t="shared" si="59"/>
        <v>-1749.4377132599998</v>
      </c>
      <c r="HB28" s="102">
        <f t="shared" si="59"/>
        <v>1254.0156951699998</v>
      </c>
      <c r="HC28" s="102">
        <f t="shared" si="59"/>
        <v>752.74134007999987</v>
      </c>
      <c r="HD28" s="102">
        <f t="shared" si="59"/>
        <v>-632.52513191999992</v>
      </c>
      <c r="HE28" s="102">
        <f t="shared" si="59"/>
        <v>-325.52599428999997</v>
      </c>
      <c r="HF28" s="102">
        <f t="shared" si="59"/>
        <v>-1033.8386182700001</v>
      </c>
      <c r="HG28" s="102">
        <f t="shared" si="59"/>
        <v>962.23725238999964</v>
      </c>
      <c r="HH28" s="102">
        <f t="shared" si="59"/>
        <v>211.55587181000033</v>
      </c>
      <c r="HI28" s="102">
        <f t="shared" si="11"/>
        <v>1173.7931242</v>
      </c>
      <c r="HK28" s="32">
        <f t="shared" si="86"/>
        <v>-2.667553683958513E-2</v>
      </c>
      <c r="HL28" s="32">
        <f t="shared" si="86"/>
        <v>-6.9316858364381354E-2</v>
      </c>
      <c r="HM28" s="32">
        <f t="shared" si="86"/>
        <v>-8.7575377103026195E-2</v>
      </c>
      <c r="HN28" s="32">
        <f t="shared" si="86"/>
        <v>-0.11754622200938339</v>
      </c>
      <c r="HO28" s="32">
        <f t="shared" si="86"/>
        <v>-9.9471057737894331E-2</v>
      </c>
      <c r="HP28" s="32">
        <f t="shared" si="86"/>
        <v>-0.11880814197404917</v>
      </c>
      <c r="HQ28" s="32">
        <f t="shared" si="86"/>
        <v>-0.12789073286350877</v>
      </c>
      <c r="HR28" s="32">
        <f t="shared" si="86"/>
        <v>-0.11141411977429772</v>
      </c>
      <c r="HS28" s="32">
        <f t="shared" si="86"/>
        <v>-0.12212820131455662</v>
      </c>
      <c r="HU28" s="102">
        <f t="shared" si="61"/>
        <v>-812.84024899999997</v>
      </c>
      <c r="HV28" s="102">
        <f t="shared" si="61"/>
        <v>-388.01819599999999</v>
      </c>
      <c r="HW28" s="102">
        <f t="shared" si="61"/>
        <v>-405.16367306999996</v>
      </c>
      <c r="HX28" s="102">
        <f t="shared" si="61"/>
        <v>-570.74563211999998</v>
      </c>
      <c r="HY28" s="102">
        <f t="shared" si="61"/>
        <v>-259.52151625000005</v>
      </c>
      <c r="HZ28" s="102">
        <f t="shared" si="61"/>
        <v>-748.66092249999997</v>
      </c>
      <c r="IA28" s="102">
        <f t="shared" si="62"/>
        <v>-635.41629558</v>
      </c>
      <c r="IB28" s="102">
        <f t="shared" si="63"/>
        <v>-1251.48902254</v>
      </c>
      <c r="IC28" s="102">
        <f t="shared" si="64"/>
        <v>-837.28071293000005</v>
      </c>
      <c r="ID28" s="102">
        <f t="shared" si="18"/>
        <v>-831.7800000000002</v>
      </c>
      <c r="IE28" s="102">
        <f t="shared" si="65"/>
        <v>-837.28071293000005</v>
      </c>
      <c r="IF28" s="922">
        <f t="shared" si="20"/>
        <v>-0.33097238741202062</v>
      </c>
      <c r="IG28" s="102">
        <f t="shared" si="21"/>
        <v>-837.28071293000005</v>
      </c>
      <c r="IH28" s="102">
        <f t="shared" si="21"/>
        <v>-831.7800000000002</v>
      </c>
      <c r="II28" s="145"/>
      <c r="IJ28" s="929">
        <f t="shared" si="66"/>
        <v>1.0066131824881577</v>
      </c>
      <c r="IK28" s="930">
        <f t="shared" si="40"/>
        <v>-5.5007129299998496</v>
      </c>
      <c r="IM28" s="32">
        <f t="shared" si="41"/>
        <v>-0.1287612256038142</v>
      </c>
      <c r="IN28" s="929">
        <f t="shared" si="22"/>
        <v>-0.11780023296625459</v>
      </c>
      <c r="IP28" s="929">
        <f t="shared" si="84"/>
        <v>4.4187301643967114E-2</v>
      </c>
      <c r="IQ28" s="929">
        <f t="shared" si="84"/>
        <v>0.40867918339113407</v>
      </c>
      <c r="IR28" s="929">
        <f t="shared" si="84"/>
        <v>-0.54529390739965344</v>
      </c>
      <c r="IS28" s="929">
        <f t="shared" si="84"/>
        <v>1.8847739999284157</v>
      </c>
      <c r="IT28" s="929">
        <f t="shared" si="84"/>
        <v>-0.15126290623242722</v>
      </c>
      <c r="IU28" s="929">
        <f t="shared" si="84"/>
        <v>0.96955764472117689</v>
      </c>
      <c r="IV28" s="929">
        <f t="shared" si="85"/>
        <v>-0.33097238741202062</v>
      </c>
      <c r="IX28" s="102">
        <f t="shared" si="68"/>
        <v>-17.14547706999997</v>
      </c>
      <c r="IY28" s="102">
        <f t="shared" si="68"/>
        <v>-165.58195905000002</v>
      </c>
      <c r="IZ28" s="102">
        <f t="shared" si="68"/>
        <v>311.22411586999993</v>
      </c>
      <c r="JA28" s="102">
        <f t="shared" si="68"/>
        <v>-489.13940624999992</v>
      </c>
      <c r="JB28" s="102">
        <f t="shared" si="68"/>
        <v>113.24462691999997</v>
      </c>
      <c r="JC28" s="102">
        <f t="shared" si="68"/>
        <v>-616.07272695999995</v>
      </c>
      <c r="JD28" s="102">
        <f t="shared" si="69"/>
        <v>414.2083096099999</v>
      </c>
      <c r="JF28" s="32">
        <f t="shared" si="70"/>
        <v>-5.0819457954288466E-2</v>
      </c>
      <c r="JG28" s="32">
        <f t="shared" si="70"/>
        <v>-2.2755891296311993E-2</v>
      </c>
      <c r="JH28" s="32">
        <f t="shared" si="70"/>
        <v>-2.4925064660053075E-2</v>
      </c>
      <c r="JI28" s="32">
        <f t="shared" si="70"/>
        <v>-6.1015728746242517E-2</v>
      </c>
      <c r="JJ28" s="32">
        <f t="shared" si="70"/>
        <v>-0.12933234200285657</v>
      </c>
      <c r="JK28" s="32">
        <f t="shared" si="70"/>
        <v>-0.10785579086908158</v>
      </c>
      <c r="JL28" s="32">
        <f t="shared" si="70"/>
        <v>-0.12012887897264152</v>
      </c>
      <c r="JM28" s="32">
        <f t="shared" si="71"/>
        <v>-0.12279207571702837</v>
      </c>
      <c r="JO28" s="102">
        <f t="shared" si="72"/>
        <v>-397.65624799999995</v>
      </c>
      <c r="JP28" s="102">
        <f t="shared" si="72"/>
        <v>-82.935555999999963</v>
      </c>
      <c r="JQ28" s="102">
        <f t="shared" si="72"/>
        <v>-18.76656307</v>
      </c>
      <c r="JR28" s="102">
        <f t="shared" si="72"/>
        <v>-61.565874999999998</v>
      </c>
      <c r="JS28" s="102">
        <f t="shared" si="72"/>
        <v>-27.791022999999999</v>
      </c>
      <c r="JT28" s="102">
        <f t="shared" si="73"/>
        <v>-92.578647799999999</v>
      </c>
      <c r="JU28" s="102">
        <f t="shared" si="74"/>
        <v>-97.143718000000007</v>
      </c>
      <c r="JV28" s="102">
        <f t="shared" si="74"/>
        <v>-214.91680213999999</v>
      </c>
      <c r="JW28" s="102">
        <f t="shared" si="75"/>
        <v>-108.70078906000001</v>
      </c>
      <c r="JX28" s="102">
        <f t="shared" si="76"/>
        <v>-141.05000000000001</v>
      </c>
      <c r="JY28" s="102">
        <f t="shared" si="77"/>
        <v>-108.70078905999999</v>
      </c>
      <c r="KB28" s="32">
        <f t="shared" si="78"/>
        <v>-0.77372113994147451</v>
      </c>
      <c r="KC28" s="32">
        <f t="shared" si="78"/>
        <v>2.2806153567042045</v>
      </c>
      <c r="KD28" s="32">
        <f t="shared" si="78"/>
        <v>-0.54859696219699638</v>
      </c>
      <c r="KE28" s="32">
        <f t="shared" si="78"/>
        <v>2.3312428909148109</v>
      </c>
      <c r="KF28" s="32">
        <f t="shared" si="78"/>
        <v>4.9310184459185891E-2</v>
      </c>
      <c r="KG28" s="32">
        <f t="shared" si="78"/>
        <v>1.212359240151792</v>
      </c>
      <c r="KH28" s="32">
        <f t="shared" si="79"/>
        <v>-0.49421921423718795</v>
      </c>
      <c r="KJ28" s="102">
        <f t="shared" si="80"/>
        <v>64.168992929999959</v>
      </c>
      <c r="KK28" s="102">
        <f t="shared" si="80"/>
        <v>-42.799311930000002</v>
      </c>
      <c r="KL28" s="102">
        <f t="shared" si="80"/>
        <v>33.774851999999996</v>
      </c>
      <c r="KM28" s="102">
        <f t="shared" si="80"/>
        <v>-64.787624800000003</v>
      </c>
      <c r="KN28" s="102">
        <f t="shared" si="80"/>
        <v>-4.5650702000000081</v>
      </c>
      <c r="KO28" s="102">
        <f t="shared" si="80"/>
        <v>-117.77308413999998</v>
      </c>
      <c r="KP28" s="102">
        <f t="shared" si="81"/>
        <v>106.21601308</v>
      </c>
      <c r="KR28" s="32">
        <f t="shared" si="87"/>
        <v>-0.12404184783886166</v>
      </c>
      <c r="KS28" s="32">
        <f t="shared" si="87"/>
        <v>-2.4659380220962934E-2</v>
      </c>
      <c r="KT28" s="32">
        <f t="shared" si="87"/>
        <v>-7.479898045651902E-3</v>
      </c>
      <c r="KU28" s="32">
        <f t="shared" si="87"/>
        <v>-6.8814289284961652E-2</v>
      </c>
      <c r="KV28" s="32">
        <f t="shared" si="87"/>
        <v>-8.9061236507193872E-2</v>
      </c>
      <c r="KW28" s="32">
        <f t="shared" si="87"/>
        <v>-9.129852505602945E-2</v>
      </c>
      <c r="KX28" s="32">
        <f t="shared" si="87"/>
        <v>-0.11074951210509441</v>
      </c>
      <c r="KY28" s="32">
        <f t="shared" si="87"/>
        <v>-0.14045795307454897</v>
      </c>
      <c r="KZ28" s="32">
        <f t="shared" si="46"/>
        <v>-0.29660349476767967</v>
      </c>
    </row>
    <row r="29" spans="1:312" outlineLevel="1">
      <c r="A29" s="884">
        <v>7445</v>
      </c>
      <c r="B29" s="70" t="s">
        <v>636</v>
      </c>
      <c r="C29" s="17" t="s">
        <v>72</v>
      </c>
      <c r="D29" s="31" t="s">
        <v>59</v>
      </c>
      <c r="E29" s="102">
        <v>-12.054714560000001</v>
      </c>
      <c r="F29" s="102">
        <v>-12.287807950000001</v>
      </c>
      <c r="G29" s="102">
        <v>-8.6758783499999979</v>
      </c>
      <c r="H29" s="102">
        <v>-16.577594649999995</v>
      </c>
      <c r="I29" s="102">
        <v>-12.554175260000008</v>
      </c>
      <c r="J29" s="102">
        <v>-19.242788689999998</v>
      </c>
      <c r="K29" s="102">
        <v>-206.13977804000001</v>
      </c>
      <c r="L29" s="102">
        <v>-11.403914860000043</v>
      </c>
      <c r="M29" s="102">
        <v>-84.079650139999956</v>
      </c>
      <c r="N29" s="102">
        <v>-38.783266589999982</v>
      </c>
      <c r="O29" s="102">
        <v>-55.566764560000024</v>
      </c>
      <c r="P29" s="102">
        <v>-43.287368099999981</v>
      </c>
      <c r="Q29" s="102">
        <v>0</v>
      </c>
      <c r="R29" s="102">
        <v>-58.702928</v>
      </c>
      <c r="S29" s="102">
        <v>0</v>
      </c>
      <c r="T29" s="102">
        <v>-39.428235000000001</v>
      </c>
      <c r="U29" s="102">
        <v>-40.586594000000005</v>
      </c>
      <c r="V29" s="102">
        <v>-34.907572789999989</v>
      </c>
      <c r="W29" s="102">
        <v>-15.271402219999999</v>
      </c>
      <c r="X29" s="102">
        <v>-38.814540960000016</v>
      </c>
      <c r="Y29" s="102">
        <v>-12.331631129999977</v>
      </c>
      <c r="Z29" s="102">
        <v>-22.838739000000032</v>
      </c>
      <c r="AA29" s="102">
        <v>-49.304575</v>
      </c>
      <c r="AB29" s="145">
        <v>-66.064156799999978</v>
      </c>
      <c r="AC29" s="145">
        <v>-15.60572172</v>
      </c>
      <c r="AD29" s="145">
        <v>0</v>
      </c>
      <c r="AE29" s="145">
        <v>-73.497630319999999</v>
      </c>
      <c r="AF29" s="145">
        <v>-31.624669369999999</v>
      </c>
      <c r="AG29" s="145">
        <v>-29.91180168</v>
      </c>
      <c r="AH29" s="145">
        <v>-25.772214089999999</v>
      </c>
      <c r="AI29" s="145">
        <v>-26.04429025</v>
      </c>
      <c r="AJ29" s="145">
        <v>-33.62541512</v>
      </c>
      <c r="AK29" s="145">
        <v>-27.949599170000003</v>
      </c>
      <c r="AL29" s="145">
        <v>-38.159878720000002</v>
      </c>
      <c r="AM29" s="145">
        <v>-60.87724472</v>
      </c>
      <c r="AN29" s="145">
        <v>-1273.0526789500002</v>
      </c>
      <c r="AO29" s="102">
        <v>-35.404596000000005</v>
      </c>
      <c r="AP29" s="145">
        <v>-35.732735919999982</v>
      </c>
      <c r="AQ29" s="143">
        <v>-2.7751092799999997</v>
      </c>
      <c r="AR29" s="143">
        <v>-37.284881779999999</v>
      </c>
      <c r="AS29" s="102">
        <v>-19.214790230000002</v>
      </c>
      <c r="AT29" s="102">
        <v>-40.871221319999997</v>
      </c>
      <c r="AU29" s="102">
        <v>-132.14131755</v>
      </c>
      <c r="AV29" s="102">
        <v>-107.34413473000001</v>
      </c>
      <c r="AW29" s="102">
        <v>-74.575021349999986</v>
      </c>
      <c r="AX29" s="102">
        <v>-9.7529857399999997</v>
      </c>
      <c r="AY29" s="102">
        <v>-42.359442980000004</v>
      </c>
      <c r="AZ29" s="102">
        <v>-7.9913820799999939</v>
      </c>
      <c r="BA29" s="102">
        <v>-52.19315959</v>
      </c>
      <c r="BB29" s="102">
        <v>-2.8558728900000006</v>
      </c>
      <c r="BC29" s="102">
        <v>-2.6209634199999998</v>
      </c>
      <c r="BD29" s="102">
        <v>-9.8108924000000002</v>
      </c>
      <c r="BE29" s="102">
        <v>-11.498517720000001</v>
      </c>
      <c r="BF29" s="102">
        <v>-11.414848619999999</v>
      </c>
      <c r="BG29" s="102">
        <v>-10.829832919999999</v>
      </c>
      <c r="BH29" s="102">
        <v>-7.4779173499999994</v>
      </c>
      <c r="BI29" s="102">
        <v>-14.951199050000001</v>
      </c>
      <c r="BJ29" s="102">
        <v>-37.72161088</v>
      </c>
      <c r="BK29" s="102">
        <v>-45.043555159999997</v>
      </c>
      <c r="BL29" s="102">
        <v>-51.115732139999999</v>
      </c>
      <c r="BM29" s="102">
        <v>-23.37605404</v>
      </c>
      <c r="BN29" s="102">
        <v>-64.915392850000003</v>
      </c>
      <c r="BO29" s="102">
        <v>-82.342958769999996</v>
      </c>
      <c r="BP29" s="102">
        <v>-44.528901840000003</v>
      </c>
      <c r="BQ29" s="102">
        <v>-47.583368189999995</v>
      </c>
      <c r="BR29" s="102">
        <v>-40.662542860000002</v>
      </c>
      <c r="BS29" s="102">
        <v>-96.511243530000002</v>
      </c>
      <c r="BT29" s="102">
        <v>-29.506081350000002</v>
      </c>
      <c r="BU29" s="102">
        <v>-16.804099999999998</v>
      </c>
      <c r="BV29" s="102">
        <v>-20.019071109999999</v>
      </c>
      <c r="BW29" s="102">
        <v>-6.6398745999999997</v>
      </c>
      <c r="BX29" s="102">
        <v>-14.9451</v>
      </c>
      <c r="BY29" s="102">
        <v>-46.811208069999992</v>
      </c>
      <c r="BZ29" s="102">
        <v>-23.929342490000003</v>
      </c>
      <c r="CA29" s="102">
        <v>-39.15526594</v>
      </c>
      <c r="CB29" s="102">
        <v>-26.671920980000003</v>
      </c>
      <c r="CC29" s="102">
        <v>-5.2934493200000041</v>
      </c>
      <c r="CD29" s="102">
        <v>-29.45147639</v>
      </c>
      <c r="CE29" s="102">
        <v>-47.601944390000007</v>
      </c>
      <c r="CF29" s="102">
        <v>-34.920863420000003</v>
      </c>
      <c r="CG29" s="102">
        <v>-46.710052299999994</v>
      </c>
      <c r="CH29" s="102">
        <v>-42.049010330000009</v>
      </c>
      <c r="CI29" s="102">
        <v>-69.876301400000003</v>
      </c>
      <c r="CJ29" s="102">
        <v>-55.447850559999999</v>
      </c>
      <c r="CK29" s="1169">
        <v>-31.817040619999997</v>
      </c>
      <c r="CL29" s="1169">
        <v>-76.686659840000004</v>
      </c>
      <c r="CM29" s="1169">
        <v>-36.500364779999998</v>
      </c>
      <c r="CN29" s="1169">
        <v>-57.963143810000005</v>
      </c>
      <c r="CO29" s="1169">
        <v>-59.315975780000002</v>
      </c>
      <c r="CP29" s="1169">
        <v>-27.876727290000002</v>
      </c>
      <c r="CQ29" s="1169">
        <v>-37.306641280000001</v>
      </c>
      <c r="CR29" s="1169">
        <v>-102.11260919</v>
      </c>
      <c r="CS29" s="1169">
        <v>-29.68123482</v>
      </c>
      <c r="CT29" s="1169">
        <v>-34.781015580000009</v>
      </c>
      <c r="CU29" s="1169">
        <v>-105.81318518</v>
      </c>
      <c r="CV29" s="1169">
        <v>-42.470247890000003</v>
      </c>
      <c r="CW29" s="1169">
        <v>-57.031595920000001</v>
      </c>
      <c r="CX29" s="1169">
        <v>-32.559062840000003</v>
      </c>
      <c r="CY29" s="1169">
        <v>-11.622195869999999</v>
      </c>
      <c r="CZ29" s="1169">
        <v>-4.9408859999999999</v>
      </c>
      <c r="DA29" s="1169">
        <v>-12.367589000000001</v>
      </c>
      <c r="DB29" s="1169">
        <v>-13.879588999999999</v>
      </c>
      <c r="DC29" s="1169">
        <v>-12.57874</v>
      </c>
      <c r="DD29" s="1169">
        <v>-18.130051000000002</v>
      </c>
      <c r="DE29" s="1169">
        <v>-46.416269</v>
      </c>
      <c r="DF29" s="1169">
        <v>-50.471666999999997</v>
      </c>
      <c r="DG29" s="1169">
        <v>-25.819970000000001</v>
      </c>
      <c r="DH29" s="1169">
        <v>63.465735000000002</v>
      </c>
      <c r="DJ29" s="102">
        <v>-57.031595920000001</v>
      </c>
      <c r="DK29" s="102">
        <v>-32.559062840000003</v>
      </c>
      <c r="DL29" s="102">
        <v>-11.622195869999999</v>
      </c>
      <c r="DM29" s="102">
        <v>-4.9408859999999999</v>
      </c>
      <c r="DN29" s="102">
        <v>-12.367589000000001</v>
      </c>
      <c r="DO29" s="102">
        <v>-13.879588999999999</v>
      </c>
      <c r="DP29" s="102">
        <v>-20.405000000000001</v>
      </c>
      <c r="DQ29" s="102">
        <v>-21.754999999999999</v>
      </c>
      <c r="DR29" s="102">
        <v>-21.265000000000001</v>
      </c>
      <c r="DS29" s="102">
        <v>-16.7</v>
      </c>
      <c r="DT29" s="102">
        <v>-11.86</v>
      </c>
      <c r="DU29" s="102">
        <v>-11.86</v>
      </c>
      <c r="DW29" s="102">
        <v>-9.52</v>
      </c>
      <c r="DX29" s="102">
        <v>-8.9600000000000009</v>
      </c>
      <c r="DY29" s="102">
        <v>-12.4</v>
      </c>
      <c r="DZ29" s="102">
        <v>-14.24</v>
      </c>
      <c r="EA29" s="102">
        <v>-14.88</v>
      </c>
      <c r="EB29" s="102">
        <v>-16</v>
      </c>
      <c r="EC29" s="102">
        <v>-61.847438337879993</v>
      </c>
      <c r="ED29" s="102">
        <v>-63.447438337879994</v>
      </c>
      <c r="EE29" s="102">
        <v>-61.607438337879991</v>
      </c>
      <c r="EF29" s="102">
        <v>-62.727438337879995</v>
      </c>
      <c r="EG29" s="102">
        <v>-61.607438337879991</v>
      </c>
      <c r="EH29" s="102">
        <v>-62.96743833787999</v>
      </c>
      <c r="EI29" s="102">
        <v>-24.980077999410799</v>
      </c>
      <c r="EJ29" s="102">
        <v>-38.386124650956802</v>
      </c>
      <c r="EK29" s="102">
        <v>-42.588131234807506</v>
      </c>
      <c r="EL29" s="102">
        <v>-38.912533292382001</v>
      </c>
      <c r="EM29" s="102">
        <v>-42.966169281052593</v>
      </c>
      <c r="EN29" s="102">
        <v>-73.06907389106199</v>
      </c>
      <c r="EO29" s="102">
        <v>-82.433817727324609</v>
      </c>
      <c r="EP29" s="102">
        <v>-71.359303482402311</v>
      </c>
      <c r="EQ29" s="102">
        <v>-73.151444256130816</v>
      </c>
      <c r="ER29" s="102">
        <v>-76.377461235219101</v>
      </c>
      <c r="ES29" s="102">
        <v>-67.373549123492808</v>
      </c>
      <c r="ET29" s="102">
        <v>-54.392032510951999</v>
      </c>
      <c r="EU29" s="102">
        <v>-43.25</v>
      </c>
      <c r="EV29" s="102">
        <v>-43.25</v>
      </c>
      <c r="EW29" s="102">
        <v>-43.25</v>
      </c>
      <c r="EX29" s="102">
        <v>-43.25</v>
      </c>
      <c r="EY29" s="102">
        <v>-43.25</v>
      </c>
      <c r="EZ29" s="102">
        <v>-43.25</v>
      </c>
      <c r="FA29" s="102">
        <v>-43.25</v>
      </c>
      <c r="FB29" s="102">
        <v>-43.25</v>
      </c>
      <c r="FC29" s="102">
        <v>-43.25</v>
      </c>
      <c r="FD29" s="102">
        <v>-43.25</v>
      </c>
      <c r="FE29" s="102">
        <v>-43.25</v>
      </c>
      <c r="FF29" s="102">
        <v>-43.25</v>
      </c>
      <c r="FG29" s="102">
        <v>-63.16</v>
      </c>
      <c r="FH29" s="102">
        <v>-51.93</v>
      </c>
      <c r="FI29" s="102">
        <v>-42.25</v>
      </c>
      <c r="FJ29" s="102">
        <v>-37.31</v>
      </c>
      <c r="FK29" s="102">
        <v>-42.25</v>
      </c>
      <c r="FL29" s="102">
        <v>-41.98</v>
      </c>
      <c r="FM29" s="102">
        <v>-52.4</v>
      </c>
      <c r="FN29" s="102">
        <v>-51.51</v>
      </c>
      <c r="FO29" s="102">
        <v>-49.68</v>
      </c>
      <c r="FP29" s="102">
        <v>-55.71</v>
      </c>
      <c r="FQ29" s="102">
        <v>-57.06</v>
      </c>
      <c r="FR29" s="102">
        <v>-51.04</v>
      </c>
      <c r="FS29" s="102">
        <v>-63.16</v>
      </c>
      <c r="FT29" s="102">
        <v>-51.93</v>
      </c>
      <c r="FU29" s="102">
        <v>-42.25</v>
      </c>
      <c r="FV29" s="102">
        <v>-37.31</v>
      </c>
      <c r="FW29" s="102">
        <v>-42.25</v>
      </c>
      <c r="FX29" s="102">
        <v>-41.98</v>
      </c>
      <c r="FY29" s="102">
        <v>-52.4</v>
      </c>
      <c r="FZ29" s="102">
        <v>-51.51</v>
      </c>
      <c r="GA29" s="102">
        <v>-49.68</v>
      </c>
      <c r="GB29" s="102">
        <v>-55.71</v>
      </c>
      <c r="GC29" s="102">
        <v>-57.06</v>
      </c>
      <c r="GD29" s="102">
        <v>-51.04</v>
      </c>
      <c r="GF29" s="102">
        <f t="shared" si="56"/>
        <v>-520.65370174999998</v>
      </c>
      <c r="GG29" s="102">
        <f t="shared" si="56"/>
        <v>-378.2503749</v>
      </c>
      <c r="GH29" s="102">
        <f t="shared" si="56"/>
        <v>-1636.1211441100002</v>
      </c>
      <c r="GI29" s="102">
        <f t="shared" si="56"/>
        <v>-545.44761896</v>
      </c>
      <c r="GJ29" s="102">
        <f t="shared" si="83"/>
        <v>-257.53410213999996</v>
      </c>
      <c r="GK29" s="102">
        <f t="shared" si="37"/>
        <v>-487.83468914000002</v>
      </c>
      <c r="GL29" s="102">
        <f t="shared" si="38"/>
        <v>-467.91868559</v>
      </c>
      <c r="GM29" s="102">
        <f t="shared" si="57"/>
        <v>-642.32484606000003</v>
      </c>
      <c r="GN29" s="102">
        <f t="shared" si="7"/>
        <v>-596.28</v>
      </c>
      <c r="GO29" s="102">
        <v>-222.35188063000004</v>
      </c>
      <c r="GQ29" s="929">
        <f t="shared" si="58"/>
        <v>3.3254977461490949</v>
      </c>
      <c r="GR29" s="929">
        <f t="shared" si="58"/>
        <v>-0.66662149626046985</v>
      </c>
      <c r="GS29" s="929">
        <f t="shared" si="58"/>
        <v>-0.52784815042178046</v>
      </c>
      <c r="GT29" s="929">
        <f t="shared" si="58"/>
        <v>0.89425278084066995</v>
      </c>
      <c r="GU29" s="929">
        <f t="shared" si="58"/>
        <v>-4.0825312330924679E-2</v>
      </c>
      <c r="GV29" s="929">
        <f t="shared" si="58"/>
        <v>0.37272749697971741</v>
      </c>
      <c r="GW29" s="929">
        <f t="shared" si="58"/>
        <v>-7.168467223779007E-2</v>
      </c>
      <c r="GX29" s="929">
        <f t="shared" si="58"/>
        <v>-0.62710156196753197</v>
      </c>
      <c r="GY29" s="929">
        <f t="shared" si="9"/>
        <v>-0.65383266427587328</v>
      </c>
      <c r="HA29" s="102">
        <f t="shared" si="59"/>
        <v>-1257.8707692100002</v>
      </c>
      <c r="HB29" s="102">
        <f t="shared" si="59"/>
        <v>1090.6735251500002</v>
      </c>
      <c r="HC29" s="102">
        <f t="shared" si="59"/>
        <v>287.91351682000004</v>
      </c>
      <c r="HD29" s="102">
        <f t="shared" si="59"/>
        <v>-230.30058700000006</v>
      </c>
      <c r="HE29" s="102">
        <f t="shared" si="59"/>
        <v>19.916003550000028</v>
      </c>
      <c r="HF29" s="102">
        <f t="shared" si="59"/>
        <v>-174.40616047000003</v>
      </c>
      <c r="HG29" s="102">
        <f t="shared" si="59"/>
        <v>46.044846060000054</v>
      </c>
      <c r="HH29" s="102">
        <f t="shared" si="59"/>
        <v>373.92811936999993</v>
      </c>
      <c r="HI29" s="102">
        <f t="shared" si="11"/>
        <v>419.97296542999999</v>
      </c>
      <c r="HK29" s="32">
        <f t="shared" si="86"/>
        <v>-1.029104861330285E-2</v>
      </c>
      <c r="HL29" s="32">
        <f t="shared" si="86"/>
        <v>-4.1543861999644813E-2</v>
      </c>
      <c r="HM29" s="32">
        <f t="shared" si="86"/>
        <v>-3.2365432522526522E-2</v>
      </c>
      <c r="HN29" s="32">
        <f t="shared" si="86"/>
        <v>-4.1861667798076957E-2</v>
      </c>
      <c r="HO29" s="32">
        <f t="shared" si="86"/>
        <v>-3.5794358537823492E-2</v>
      </c>
      <c r="HP29" s="32">
        <f t="shared" si="86"/>
        <v>-3.3067210799267832E-2</v>
      </c>
      <c r="HQ29" s="32">
        <f t="shared" si="86"/>
        <v>-3.0256452366073775E-2</v>
      </c>
      <c r="HR29" s="32">
        <f t="shared" si="86"/>
        <v>-3.7901649554437596E-2</v>
      </c>
      <c r="HS29" s="32">
        <f t="shared" si="86"/>
        <v>-1.7619165415502083E-2</v>
      </c>
      <c r="HU29" s="102">
        <f t="shared" si="61"/>
        <v>-81.39295946</v>
      </c>
      <c r="HV29" s="102">
        <f t="shared" si="61"/>
        <v>-173.62532979</v>
      </c>
      <c r="HW29" s="102">
        <f t="shared" si="61"/>
        <v>-176.41203718</v>
      </c>
      <c r="HX29" s="102">
        <f t="shared" si="61"/>
        <v>-171.28333452999996</v>
      </c>
      <c r="HY29" s="102">
        <f t="shared" si="61"/>
        <v>-90.39425464</v>
      </c>
      <c r="HZ29" s="102">
        <f t="shared" si="61"/>
        <v>-303.40921854999999</v>
      </c>
      <c r="IA29" s="102">
        <f t="shared" si="62"/>
        <v>-171.31266319000002</v>
      </c>
      <c r="IB29" s="102">
        <f t="shared" si="63"/>
        <v>-290.15991212</v>
      </c>
      <c r="IC29" s="102">
        <f t="shared" si="64"/>
        <v>-132.40091863000001</v>
      </c>
      <c r="ID29" s="102">
        <f t="shared" si="18"/>
        <v>-278.88</v>
      </c>
      <c r="IE29" s="102">
        <f t="shared" si="65"/>
        <v>-132.40091863000001</v>
      </c>
      <c r="IF29" s="922">
        <f t="shared" si="20"/>
        <v>-0.5436967234286878</v>
      </c>
      <c r="IG29" s="102">
        <f t="shared" si="21"/>
        <v>-132.40091863000001</v>
      </c>
      <c r="IH29" s="102">
        <f t="shared" si="21"/>
        <v>-278.88</v>
      </c>
      <c r="II29" s="145"/>
      <c r="IJ29" s="929">
        <f t="shared" si="66"/>
        <v>0.47475946152467013</v>
      </c>
      <c r="IK29" s="930">
        <f t="shared" si="40"/>
        <v>146.47908136999999</v>
      </c>
      <c r="IM29" s="32">
        <f t="shared" si="41"/>
        <v>-2.0361277037197163E-2</v>
      </c>
      <c r="IN29" s="929">
        <f t="shared" si="22"/>
        <v>-3.9496175634938416E-2</v>
      </c>
      <c r="IP29" s="929">
        <f t="shared" si="84"/>
        <v>1.6050120068140661E-2</v>
      </c>
      <c r="IQ29" s="929">
        <f t="shared" si="84"/>
        <v>-2.9072294226538675E-2</v>
      </c>
      <c r="IR29" s="929">
        <f t="shared" si="84"/>
        <v>-0.47225306602045625</v>
      </c>
      <c r="IS29" s="929">
        <f t="shared" si="84"/>
        <v>2.3565099879228342</v>
      </c>
      <c r="IT29" s="929">
        <f t="shared" si="84"/>
        <v>-0.43537423151245247</v>
      </c>
      <c r="IU29" s="929">
        <f t="shared" si="84"/>
        <v>0.6937446813151722</v>
      </c>
      <c r="IV29" s="929">
        <f t="shared" si="85"/>
        <v>-0.5436967234286878</v>
      </c>
      <c r="IX29" s="102">
        <f t="shared" si="68"/>
        <v>-2.7867073900000037</v>
      </c>
      <c r="IY29" s="102">
        <f t="shared" si="68"/>
        <v>5.1287026500000366</v>
      </c>
      <c r="IZ29" s="102">
        <f t="shared" si="68"/>
        <v>80.889079889999962</v>
      </c>
      <c r="JA29" s="102">
        <f t="shared" si="68"/>
        <v>-213.01496391000001</v>
      </c>
      <c r="JB29" s="102">
        <f t="shared" si="68"/>
        <v>132.09655535999997</v>
      </c>
      <c r="JC29" s="102">
        <f t="shared" si="68"/>
        <v>-118.84724892999998</v>
      </c>
      <c r="JD29" s="102">
        <f t="shared" si="69"/>
        <v>157.75899348999999</v>
      </c>
      <c r="JF29" s="32">
        <f t="shared" si="70"/>
        <v>-5.0887564760004594E-3</v>
      </c>
      <c r="JG29" s="32">
        <f t="shared" si="70"/>
        <v>-1.0182509922775787E-2</v>
      </c>
      <c r="JH29" s="32">
        <f t="shared" si="70"/>
        <v>-1.0852605319242195E-2</v>
      </c>
      <c r="JI29" s="32">
        <f t="shared" si="70"/>
        <v>-1.8311094978712097E-2</v>
      </c>
      <c r="JJ29" s="32">
        <f t="shared" si="70"/>
        <v>-4.5047905179976699E-2</v>
      </c>
      <c r="JK29" s="32">
        <f t="shared" si="70"/>
        <v>-4.3710630861303258E-2</v>
      </c>
      <c r="JL29" s="32">
        <f t="shared" si="70"/>
        <v>-3.2387583267828556E-2</v>
      </c>
      <c r="JM29" s="32">
        <f t="shared" si="71"/>
        <v>-1.941736310696349E-2</v>
      </c>
      <c r="JO29" s="102">
        <f t="shared" si="72"/>
        <v>-19.242788689999998</v>
      </c>
      <c r="JP29" s="102">
        <f t="shared" si="72"/>
        <v>-34.907572789999989</v>
      </c>
      <c r="JQ29" s="102">
        <f t="shared" si="72"/>
        <v>-25.772214089999999</v>
      </c>
      <c r="JR29" s="102">
        <f t="shared" si="72"/>
        <v>-40.871221319999997</v>
      </c>
      <c r="JS29" s="102">
        <f t="shared" si="72"/>
        <v>-11.414848619999999</v>
      </c>
      <c r="JT29" s="102">
        <f t="shared" si="73"/>
        <v>-40.662542860000002</v>
      </c>
      <c r="JU29" s="102">
        <f t="shared" si="74"/>
        <v>-29.45147639</v>
      </c>
      <c r="JV29" s="102">
        <f t="shared" si="74"/>
        <v>-27.876727290000002</v>
      </c>
      <c r="JW29" s="102">
        <f t="shared" si="75"/>
        <v>-13.879588999999999</v>
      </c>
      <c r="JX29" s="102">
        <f t="shared" si="76"/>
        <v>-41.98</v>
      </c>
      <c r="JY29" s="102">
        <f t="shared" si="77"/>
        <v>-13.879588999999999</v>
      </c>
      <c r="KB29" s="32">
        <f t="shared" si="78"/>
        <v>-0.26170134357256158</v>
      </c>
      <c r="KC29" s="32">
        <f t="shared" si="78"/>
        <v>0.58586379801410371</v>
      </c>
      <c r="KD29" s="32">
        <f t="shared" si="78"/>
        <v>-0.72071182970952141</v>
      </c>
      <c r="KE29" s="32">
        <f t="shared" si="78"/>
        <v>2.5622498566257819</v>
      </c>
      <c r="KF29" s="32">
        <f t="shared" si="78"/>
        <v>-0.27570992076416345</v>
      </c>
      <c r="KG29" s="32">
        <f t="shared" si="78"/>
        <v>-5.3469275330953914E-2</v>
      </c>
      <c r="KH29" s="32">
        <f t="shared" si="79"/>
        <v>-0.50210837679719611</v>
      </c>
      <c r="KJ29" s="102">
        <f t="shared" si="80"/>
        <v>9.1353586999999905</v>
      </c>
      <c r="KK29" s="102">
        <f t="shared" si="80"/>
        <v>-15.099007229999998</v>
      </c>
      <c r="KL29" s="102">
        <f t="shared" si="80"/>
        <v>29.456372699999996</v>
      </c>
      <c r="KM29" s="102">
        <f t="shared" si="80"/>
        <v>-29.247694240000001</v>
      </c>
      <c r="KN29" s="102">
        <f t="shared" si="80"/>
        <v>11.211066470000002</v>
      </c>
      <c r="KO29" s="102">
        <f t="shared" si="80"/>
        <v>1.5747490999999982</v>
      </c>
      <c r="KP29" s="102">
        <f t="shared" si="81"/>
        <v>13.997138290000002</v>
      </c>
      <c r="KR29" s="32">
        <f t="shared" si="87"/>
        <v>-6.0024482921750754E-3</v>
      </c>
      <c r="KS29" s="32">
        <f t="shared" si="87"/>
        <v>-1.0379132323168486E-2</v>
      </c>
      <c r="KT29" s="32">
        <f t="shared" si="87"/>
        <v>-1.0272181063994548E-2</v>
      </c>
      <c r="KU29" s="32">
        <f t="shared" si="87"/>
        <v>-4.5683165346779728E-2</v>
      </c>
      <c r="KV29" s="32">
        <f t="shared" si="87"/>
        <v>-3.6580896379368101E-2</v>
      </c>
      <c r="KW29" s="32">
        <f t="shared" si="87"/>
        <v>-4.0100285285713383E-2</v>
      </c>
      <c r="KX29" s="32">
        <f t="shared" si="87"/>
        <v>-3.3576403169654337E-2</v>
      </c>
      <c r="KY29" s="32">
        <f t="shared" si="87"/>
        <v>-1.8218715403275909E-2</v>
      </c>
      <c r="KZ29" s="32">
        <f t="shared" si="46"/>
        <v>-3.787216853657533E-2</v>
      </c>
    </row>
    <row r="30" spans="1:312" outlineLevel="1">
      <c r="A30" s="884">
        <v>7455</v>
      </c>
      <c r="B30" s="70" t="s">
        <v>637</v>
      </c>
      <c r="C30" s="17" t="s">
        <v>73</v>
      </c>
      <c r="D30" s="31" t="s">
        <v>59</v>
      </c>
      <c r="E30" s="102">
        <v>-20.724874</v>
      </c>
      <c r="F30" s="102">
        <v>-47.427752999999996</v>
      </c>
      <c r="G30" s="102">
        <v>-38.717566000000005</v>
      </c>
      <c r="H30" s="102">
        <v>-18.545338000000001</v>
      </c>
      <c r="I30" s="102">
        <v>-18.827173999999999</v>
      </c>
      <c r="J30" s="102">
        <v>-33.471992999999998</v>
      </c>
      <c r="K30" s="102">
        <v>-18.183975000000004</v>
      </c>
      <c r="L30" s="102">
        <v>-34.668939999999992</v>
      </c>
      <c r="M30" s="102">
        <v>14.636779999999987</v>
      </c>
      <c r="N30" s="102">
        <v>-74.819232</v>
      </c>
      <c r="O30" s="102">
        <v>-12.999478000000011</v>
      </c>
      <c r="P30" s="102">
        <v>-26.465269999999975</v>
      </c>
      <c r="Q30" s="102">
        <v>0</v>
      </c>
      <c r="R30" s="102">
        <v>0</v>
      </c>
      <c r="S30" s="102">
        <v>0</v>
      </c>
      <c r="T30" s="102">
        <v>0</v>
      </c>
      <c r="U30" s="102">
        <v>0</v>
      </c>
      <c r="V30" s="102">
        <v>0</v>
      </c>
      <c r="W30" s="102">
        <v>-1.6</v>
      </c>
      <c r="X30" s="102">
        <v>0.16280000000000006</v>
      </c>
      <c r="Y30" s="102">
        <v>-1.2232499999999999</v>
      </c>
      <c r="Z30" s="102">
        <v>-0.62639999999999985</v>
      </c>
      <c r="AA30" s="102">
        <v>-3.1499999999999861E-2</v>
      </c>
      <c r="AB30" s="145">
        <v>-2.1133500000000005</v>
      </c>
      <c r="AC30" s="145">
        <v>-6.4113899999999999</v>
      </c>
      <c r="AD30" s="145">
        <v>-12.068822000000001</v>
      </c>
      <c r="AE30" s="145">
        <v>-6.827534</v>
      </c>
      <c r="AF30" s="145">
        <v>-2.7381190000000002</v>
      </c>
      <c r="AG30" s="145">
        <v>-9.4382660000000005</v>
      </c>
      <c r="AH30" s="145">
        <v>-9.6906780000000001</v>
      </c>
      <c r="AI30" s="145">
        <v>-9.0796029699999998</v>
      </c>
      <c r="AJ30" s="145">
        <v>-6.6816869499999996</v>
      </c>
      <c r="AK30" s="145">
        <v>-9.4039649500000007</v>
      </c>
      <c r="AL30" s="145">
        <v>-51.798112949999997</v>
      </c>
      <c r="AM30" s="145">
        <v>-12.993933949999999</v>
      </c>
      <c r="AN30" s="145">
        <v>-905.71432875000005</v>
      </c>
      <c r="AO30" s="102">
        <v>-36.908057460000002</v>
      </c>
      <c r="AP30" s="145">
        <v>-45.369495700000002</v>
      </c>
      <c r="AQ30" s="143">
        <v>-6.4046620000000001</v>
      </c>
      <c r="AR30" s="143">
        <v>-19.03089314</v>
      </c>
      <c r="AS30" s="102">
        <v>-455.74126794</v>
      </c>
      <c r="AT30" s="102">
        <v>-19.402380999999998</v>
      </c>
      <c r="AU30" s="102">
        <v>-24.35122535</v>
      </c>
      <c r="AV30" s="102">
        <v>-36.401608960000004</v>
      </c>
      <c r="AW30" s="102">
        <v>12.896813009999995</v>
      </c>
      <c r="AX30" s="102">
        <v>-41.637872210000005</v>
      </c>
      <c r="AY30" s="102">
        <v>-29.518637389999999</v>
      </c>
      <c r="AZ30" s="102">
        <v>9.4806562699999972</v>
      </c>
      <c r="BA30" s="102">
        <v>-2.5608430000000002</v>
      </c>
      <c r="BB30" s="102">
        <v>-9.8323180000000008</v>
      </c>
      <c r="BC30" s="102">
        <v>-8.1441999999999997</v>
      </c>
      <c r="BD30" s="102">
        <v>-2.6158000000000001</v>
      </c>
      <c r="BE30" s="102">
        <v>-8.5209969999999995</v>
      </c>
      <c r="BF30" s="102">
        <v>-1.561393</v>
      </c>
      <c r="BG30" s="102">
        <v>-4.8205520000000002</v>
      </c>
      <c r="BH30" s="102">
        <v>27.988213350000002</v>
      </c>
      <c r="BI30" s="102">
        <v>-9.6592229800000009</v>
      </c>
      <c r="BJ30" s="102">
        <v>-7.4379999000000003</v>
      </c>
      <c r="BK30" s="102">
        <v>-16.655596389999999</v>
      </c>
      <c r="BL30" s="102">
        <v>-28.827345359999995</v>
      </c>
      <c r="BM30" s="102">
        <v>-30.40469697</v>
      </c>
      <c r="BN30" s="102">
        <v>-10.1493907</v>
      </c>
      <c r="BO30" s="102">
        <v>-25.130054809999997</v>
      </c>
      <c r="BP30" s="102">
        <v>-27.226796610000005</v>
      </c>
      <c r="BQ30" s="102">
        <v>-20.949066999999999</v>
      </c>
      <c r="BR30" s="102">
        <v>-42.59482637</v>
      </c>
      <c r="BS30" s="102">
        <v>-30.335692820000002</v>
      </c>
      <c r="BT30" s="102">
        <v>-43.123389840000002</v>
      </c>
      <c r="BU30" s="102">
        <v>-19.571501100000003</v>
      </c>
      <c r="BV30" s="102">
        <v>-21.263544</v>
      </c>
      <c r="BW30" s="102">
        <v>-42.203513000000001</v>
      </c>
      <c r="BX30" s="102">
        <v>-45.949652999999998</v>
      </c>
      <c r="BY30" s="102">
        <v>-6.42584</v>
      </c>
      <c r="BZ30" s="102">
        <v>-29.02505493</v>
      </c>
      <c r="CA30" s="102">
        <v>-16.391691999999999</v>
      </c>
      <c r="CB30" s="102">
        <v>-36.799337000000001</v>
      </c>
      <c r="CC30" s="102">
        <v>-17.375069</v>
      </c>
      <c r="CD30" s="102">
        <v>-30.227572569999996</v>
      </c>
      <c r="CE30" s="102">
        <v>-46.279831000000001</v>
      </c>
      <c r="CF30" s="102">
        <v>-32.552003929999998</v>
      </c>
      <c r="CG30" s="102">
        <v>-71.600127379999989</v>
      </c>
      <c r="CH30" s="102">
        <v>-88.409075999999999</v>
      </c>
      <c r="CI30" s="102">
        <v>-56.208365000000001</v>
      </c>
      <c r="CJ30" s="102">
        <v>-80.287329959999994</v>
      </c>
      <c r="CK30" s="1169">
        <v>-77.000163799999996</v>
      </c>
      <c r="CL30" s="1169">
        <v>-70.175060000000002</v>
      </c>
      <c r="CM30" s="1169">
        <v>-57.749899999999997</v>
      </c>
      <c r="CN30" s="1169">
        <v>-73.123362</v>
      </c>
      <c r="CO30" s="1169">
        <v>-53.296160999999998</v>
      </c>
      <c r="CP30" s="1169">
        <v>-114.506394</v>
      </c>
      <c r="CQ30" s="1169">
        <v>-104.81707</v>
      </c>
      <c r="CR30" s="1169">
        <v>-109.08443751</v>
      </c>
      <c r="CS30" s="1169">
        <v>-135.00478799999999</v>
      </c>
      <c r="CT30" s="1169">
        <v>-153.82795236000001</v>
      </c>
      <c r="CU30" s="1169">
        <v>-96.66095498</v>
      </c>
      <c r="CV30" s="1169">
        <v>-113.27750899999999</v>
      </c>
      <c r="CW30" s="1169">
        <v>-116.43096668000001</v>
      </c>
      <c r="CX30" s="1169">
        <v>-88.475126500000002</v>
      </c>
      <c r="CY30" s="1169">
        <v>-74.341858999999999</v>
      </c>
      <c r="CZ30" s="1169">
        <v>-6.1052569999999999</v>
      </c>
      <c r="DA30" s="1169">
        <v>-0.69071300000000002</v>
      </c>
      <c r="DB30" s="1169">
        <v>-23.935549999999999</v>
      </c>
      <c r="DC30" s="1169">
        <v>-14.737956000000001</v>
      </c>
      <c r="DD30" s="1169">
        <v>-16.861633000000001</v>
      </c>
      <c r="DE30" s="1169">
        <v>-17.856712999999999</v>
      </c>
      <c r="DF30" s="1169">
        <v>-29.940314000000001</v>
      </c>
      <c r="DG30" s="1169">
        <v>-47.011386999999999</v>
      </c>
      <c r="DH30" s="1169">
        <v>-55.007277999999999</v>
      </c>
      <c r="DJ30" s="102">
        <v>-116.43096668000001</v>
      </c>
      <c r="DK30" s="102">
        <v>-88.475126500000016</v>
      </c>
      <c r="DL30" s="102">
        <v>-74.341858999999999</v>
      </c>
      <c r="DM30" s="102">
        <v>-6.1052569999999999</v>
      </c>
      <c r="DN30" s="102">
        <v>-0.69071300000000002</v>
      </c>
      <c r="DO30" s="102">
        <v>-23.935549999999999</v>
      </c>
      <c r="DP30" s="102">
        <v>-5.32</v>
      </c>
      <c r="DQ30" s="102">
        <v>-6.04</v>
      </c>
      <c r="DR30" s="102">
        <v>-10.68</v>
      </c>
      <c r="DS30" s="102">
        <v>-7.16</v>
      </c>
      <c r="DT30" s="102">
        <v>-6.8</v>
      </c>
      <c r="DU30" s="102">
        <v>-6.8</v>
      </c>
      <c r="DW30" s="102">
        <v>-18.807814839999995</v>
      </c>
      <c r="DX30" s="102">
        <v>-17.066666666666666</v>
      </c>
      <c r="DY30" s="102">
        <v>-22.066666666666663</v>
      </c>
      <c r="DZ30" s="102">
        <v>-25.066666666666663</v>
      </c>
      <c r="EA30" s="102">
        <v>-24.733333333333327</v>
      </c>
      <c r="EB30" s="102">
        <v>-25.733333333333331</v>
      </c>
      <c r="EC30" s="102">
        <v>-183.75234783336001</v>
      </c>
      <c r="ED30" s="102">
        <v>-31.413014102693342</v>
      </c>
      <c r="EE30" s="102">
        <v>-28.413014102693335</v>
      </c>
      <c r="EF30" s="102">
        <v>-29.413014102693335</v>
      </c>
      <c r="EG30" s="102">
        <v>-28.413014102693335</v>
      </c>
      <c r="EH30" s="102">
        <v>-30.079680769360007</v>
      </c>
      <c r="EI30" s="102">
        <v>-25.218144046203598</v>
      </c>
      <c r="EJ30" s="102">
        <v>-32.719022510329602</v>
      </c>
      <c r="EK30" s="102">
        <v>-25.909261323654501</v>
      </c>
      <c r="EL30" s="102">
        <v>-21.353759216589999</v>
      </c>
      <c r="EM30" s="102">
        <v>-23.633042085636198</v>
      </c>
      <c r="EN30" s="102">
        <v>-42.456682788821993</v>
      </c>
      <c r="EO30" s="102">
        <v>-44.955445755550201</v>
      </c>
      <c r="EP30" s="102">
        <v>-49.91112778862211</v>
      </c>
      <c r="EQ30" s="102">
        <v>-54.978559982239609</v>
      </c>
      <c r="ER30" s="102">
        <v>-58.912003022563702</v>
      </c>
      <c r="ES30" s="102">
        <v>-50.092626941089605</v>
      </c>
      <c r="ET30" s="102">
        <v>-32.126215128120002</v>
      </c>
      <c r="EU30" s="102">
        <v>-32.362000000000002</v>
      </c>
      <c r="EV30" s="102">
        <v>-30.364000000000001</v>
      </c>
      <c r="EW30" s="102">
        <v>-29.295999999999999</v>
      </c>
      <c r="EX30" s="102">
        <v>-26.536000000000001</v>
      </c>
      <c r="EY30" s="102">
        <v>-27.952000000000002</v>
      </c>
      <c r="EZ30" s="102">
        <v>-27.952000000000002</v>
      </c>
      <c r="FA30" s="102">
        <v>-32.936</v>
      </c>
      <c r="FB30" s="102">
        <v>-26.884</v>
      </c>
      <c r="FC30" s="102">
        <v>-20.972000000000001</v>
      </c>
      <c r="FD30" s="102">
        <v>-20.972000000000001</v>
      </c>
      <c r="FE30" s="102">
        <v>-20.172000000000001</v>
      </c>
      <c r="FF30" s="102">
        <v>-20.172000000000001</v>
      </c>
      <c r="FG30" s="102">
        <v>-103.5825</v>
      </c>
      <c r="FH30" s="102">
        <v>-81.314999999999998</v>
      </c>
      <c r="FI30" s="102">
        <v>-67.357500000000002</v>
      </c>
      <c r="FJ30" s="102">
        <v>-59.047499999999999</v>
      </c>
      <c r="FK30" s="102">
        <v>-71.737499999999997</v>
      </c>
      <c r="FL30" s="102">
        <v>-68.137500000000003</v>
      </c>
      <c r="FM30" s="102">
        <v>-88.064999999999998</v>
      </c>
      <c r="FN30" s="102">
        <v>-90.094999999999999</v>
      </c>
      <c r="FO30" s="102">
        <v>-87.694999999999993</v>
      </c>
      <c r="FP30" s="102">
        <v>-92.775000000000006</v>
      </c>
      <c r="FQ30" s="102">
        <v>-95.894999999999996</v>
      </c>
      <c r="FR30" s="102">
        <v>-85.185000000000002</v>
      </c>
      <c r="FS30" s="102">
        <v>-103.5825</v>
      </c>
      <c r="FT30" s="102">
        <v>-81.314999999999998</v>
      </c>
      <c r="FU30" s="102">
        <v>-67.357500000000002</v>
      </c>
      <c r="FV30" s="102">
        <v>-59.047499999999999</v>
      </c>
      <c r="FW30" s="102">
        <v>-71.737499999999997</v>
      </c>
      <c r="FX30" s="102">
        <v>-68.137500000000003</v>
      </c>
      <c r="FY30" s="102">
        <v>-88.064999999999998</v>
      </c>
      <c r="FZ30" s="102">
        <v>-90.094999999999999</v>
      </c>
      <c r="GA30" s="102">
        <v>-87.694999999999993</v>
      </c>
      <c r="GB30" s="102">
        <v>-92.775000000000006</v>
      </c>
      <c r="GC30" s="102">
        <v>-95.894999999999996</v>
      </c>
      <c r="GD30" s="102">
        <v>-85.185000000000002</v>
      </c>
      <c r="GF30" s="102">
        <f t="shared" si="56"/>
        <v>-330.21481299999999</v>
      </c>
      <c r="GG30" s="102">
        <f t="shared" si="56"/>
        <v>-5.4317000000000002</v>
      </c>
      <c r="GH30" s="102">
        <f t="shared" si="56"/>
        <v>-1042.8464395200001</v>
      </c>
      <c r="GI30" s="102">
        <f t="shared" si="56"/>
        <v>-692.38863186999993</v>
      </c>
      <c r="GJ30" s="102">
        <f t="shared" si="83"/>
        <v>-72.648054279999997</v>
      </c>
      <c r="GK30" s="102">
        <f t="shared" si="37"/>
        <v>-358.90212622000001</v>
      </c>
      <c r="GL30" s="102">
        <f t="shared" si="38"/>
        <v>-511.58129876999999</v>
      </c>
      <c r="GM30" s="102">
        <f t="shared" si="57"/>
        <v>-1158.52375265</v>
      </c>
      <c r="GN30" s="102">
        <f t="shared" si="7"/>
        <v>-990.88750000000005</v>
      </c>
      <c r="GO30" s="102">
        <v>-491.39475318000001</v>
      </c>
      <c r="GQ30" s="929">
        <f t="shared" si="58"/>
        <v>190.99264309884569</v>
      </c>
      <c r="GR30" s="929">
        <f t="shared" si="58"/>
        <v>-0.33605888112473048</v>
      </c>
      <c r="GS30" s="929">
        <f t="shared" si="58"/>
        <v>-0.8950761885217664</v>
      </c>
      <c r="GT30" s="929">
        <f t="shared" si="58"/>
        <v>3.9402854594937962</v>
      </c>
      <c r="GU30" s="929">
        <f t="shared" si="58"/>
        <v>0.42540615225113099</v>
      </c>
      <c r="GV30" s="929">
        <f t="shared" si="58"/>
        <v>1.2645936343557715</v>
      </c>
      <c r="GW30" s="929">
        <f t="shared" si="58"/>
        <v>-0.14469815769124272</v>
      </c>
      <c r="GX30" s="929">
        <f t="shared" si="58"/>
        <v>-0.50408623261470153</v>
      </c>
      <c r="GY30" s="929">
        <f t="shared" si="9"/>
        <v>-0.57584404112907772</v>
      </c>
      <c r="HA30" s="102">
        <f t="shared" si="59"/>
        <v>-1037.41473952</v>
      </c>
      <c r="HB30" s="102">
        <f t="shared" si="59"/>
        <v>350.45780765000018</v>
      </c>
      <c r="HC30" s="102">
        <f t="shared" si="59"/>
        <v>619.74057758999993</v>
      </c>
      <c r="HD30" s="102">
        <f t="shared" si="59"/>
        <v>-286.25407194000002</v>
      </c>
      <c r="HE30" s="102">
        <f t="shared" si="59"/>
        <v>-152.67917254999998</v>
      </c>
      <c r="HF30" s="102">
        <f t="shared" si="59"/>
        <v>-646.94245388000002</v>
      </c>
      <c r="HG30" s="102">
        <f t="shared" si="59"/>
        <v>167.63625264999996</v>
      </c>
      <c r="HH30" s="102">
        <f t="shared" si="59"/>
        <v>499.49274682000004</v>
      </c>
      <c r="HI30" s="102">
        <f t="shared" si="11"/>
        <v>667.12899947000005</v>
      </c>
      <c r="HK30" s="32">
        <f t="shared" si="86"/>
        <v>-1.4778012782579555E-4</v>
      </c>
      <c r="HL30" s="32">
        <f t="shared" si="86"/>
        <v>-2.6479621467031821E-2</v>
      </c>
      <c r="HM30" s="32">
        <f t="shared" si="86"/>
        <v>-4.1084527212495392E-2</v>
      </c>
      <c r="HN30" s="32">
        <f t="shared" si="86"/>
        <v>-1.1808800035316454E-2</v>
      </c>
      <c r="HO30" s="32">
        <f t="shared" si="86"/>
        <v>-2.6334066994196662E-2</v>
      </c>
      <c r="HP30" s="32">
        <f t="shared" si="86"/>
        <v>-3.6152791432256359E-2</v>
      </c>
      <c r="HQ30" s="32">
        <f t="shared" si="86"/>
        <v>-5.4571793309931303E-2</v>
      </c>
      <c r="HR30" s="32">
        <f t="shared" si="86"/>
        <v>-6.2984287202107719E-2</v>
      </c>
      <c r="HS30" s="32">
        <f t="shared" si="86"/>
        <v>-3.8938125533533686E-2</v>
      </c>
      <c r="HU30" s="102">
        <f t="shared" si="61"/>
        <v>-177.714698</v>
      </c>
      <c r="HV30" s="102">
        <f t="shared" si="61"/>
        <v>0</v>
      </c>
      <c r="HW30" s="102">
        <f t="shared" si="61"/>
        <v>-47.174809000000003</v>
      </c>
      <c r="HX30" s="102">
        <f t="shared" si="61"/>
        <v>-582.85675723999998</v>
      </c>
      <c r="HY30" s="102">
        <f t="shared" si="61"/>
        <v>-33.235551000000001</v>
      </c>
      <c r="HZ30" s="102">
        <f t="shared" si="61"/>
        <v>-156.45483246000001</v>
      </c>
      <c r="IA30" s="102">
        <f t="shared" si="62"/>
        <v>-136.24456549999999</v>
      </c>
      <c r="IB30" s="102">
        <f t="shared" si="63"/>
        <v>-445.85104079999996</v>
      </c>
      <c r="IC30" s="102">
        <f t="shared" si="64"/>
        <v>-309.97947218000002</v>
      </c>
      <c r="ID30" s="102">
        <f t="shared" si="18"/>
        <v>-451.17750000000001</v>
      </c>
      <c r="IE30" s="102">
        <f t="shared" si="65"/>
        <v>-309.97947218000002</v>
      </c>
      <c r="IF30" s="922">
        <f t="shared" si="20"/>
        <v>-0.30474655476008916</v>
      </c>
      <c r="IG30" s="102">
        <f t="shared" si="21"/>
        <v>-309.97947218000002</v>
      </c>
      <c r="IH30" s="102">
        <f t="shared" si="21"/>
        <v>-451.17750000000001</v>
      </c>
      <c r="II30" s="145"/>
      <c r="IJ30" s="929">
        <f t="shared" si="66"/>
        <v>0.68704550244637641</v>
      </c>
      <c r="IK30" s="930">
        <f t="shared" si="40"/>
        <v>141.19802781999999</v>
      </c>
      <c r="IM30" s="32">
        <f t="shared" si="41"/>
        <v>-4.7670197263049989E-2</v>
      </c>
      <c r="IN30" s="929">
        <f t="shared" si="22"/>
        <v>-6.3897682811719828E-2</v>
      </c>
      <c r="IP30" s="929" t="str">
        <f t="shared" si="84"/>
        <v/>
      </c>
      <c r="IQ30" s="929">
        <f t="shared" si="84"/>
        <v>11.355254204420836</v>
      </c>
      <c r="IR30" s="929">
        <f t="shared" si="84"/>
        <v>-0.94297818359800745</v>
      </c>
      <c r="IS30" s="929">
        <f t="shared" si="84"/>
        <v>3.7074541493234161</v>
      </c>
      <c r="IT30" s="929">
        <f t="shared" si="84"/>
        <v>-0.1291763676597657</v>
      </c>
      <c r="IU30" s="929">
        <f t="shared" si="84"/>
        <v>2.2724317418737701</v>
      </c>
      <c r="IV30" s="929">
        <f t="shared" si="85"/>
        <v>-0.30474655476008916</v>
      </c>
      <c r="IX30" s="102">
        <f t="shared" si="68"/>
        <v>-47.174809000000003</v>
      </c>
      <c r="IY30" s="102">
        <f t="shared" si="68"/>
        <v>-535.68194824</v>
      </c>
      <c r="IZ30" s="102">
        <f t="shared" si="68"/>
        <v>549.62120623999999</v>
      </c>
      <c r="JA30" s="102">
        <f t="shared" si="68"/>
        <v>-123.21928146</v>
      </c>
      <c r="JB30" s="102">
        <f t="shared" si="68"/>
        <v>20.210266960000013</v>
      </c>
      <c r="JC30" s="102">
        <f t="shared" si="68"/>
        <v>-309.60647529999994</v>
      </c>
      <c r="JD30" s="102">
        <f t="shared" si="69"/>
        <v>135.87156861999995</v>
      </c>
      <c r="JF30" s="32">
        <f t="shared" si="70"/>
        <v>-1.1110872811700633E-2</v>
      </c>
      <c r="JG30" s="32">
        <f t="shared" si="70"/>
        <v>0</v>
      </c>
      <c r="JH30" s="32">
        <f t="shared" si="70"/>
        <v>-2.9021238645141447E-3</v>
      </c>
      <c r="JI30" s="32">
        <f t="shared" si="70"/>
        <v>-6.2310472119729003E-2</v>
      </c>
      <c r="JJ30" s="32">
        <f t="shared" si="70"/>
        <v>-1.6562910508139343E-2</v>
      </c>
      <c r="JK30" s="32">
        <f t="shared" si="70"/>
        <v>-2.2539656048714038E-2</v>
      </c>
      <c r="JL30" s="32">
        <f t="shared" si="70"/>
        <v>-2.5757770194876923E-2</v>
      </c>
      <c r="JM30" s="32">
        <f t="shared" si="71"/>
        <v>-4.5460288563739161E-2</v>
      </c>
      <c r="JO30" s="102">
        <f t="shared" si="72"/>
        <v>-33.471992999999998</v>
      </c>
      <c r="JP30" s="102">
        <f t="shared" si="72"/>
        <v>0</v>
      </c>
      <c r="JQ30" s="102">
        <f t="shared" si="72"/>
        <v>-9.6906780000000001</v>
      </c>
      <c r="JR30" s="102">
        <f t="shared" si="72"/>
        <v>-19.402380999999998</v>
      </c>
      <c r="JS30" s="102">
        <f t="shared" si="72"/>
        <v>-1.561393</v>
      </c>
      <c r="JT30" s="102">
        <f t="shared" si="73"/>
        <v>-42.59482637</v>
      </c>
      <c r="JU30" s="102">
        <f t="shared" si="74"/>
        <v>-30.227572569999996</v>
      </c>
      <c r="JV30" s="102">
        <f t="shared" si="74"/>
        <v>-114.506394</v>
      </c>
      <c r="JW30" s="102">
        <f t="shared" si="75"/>
        <v>-23.935549999999999</v>
      </c>
      <c r="JX30" s="102">
        <f t="shared" si="76"/>
        <v>-68.137500000000003</v>
      </c>
      <c r="JY30" s="102">
        <f t="shared" si="77"/>
        <v>-23.935549999999999</v>
      </c>
      <c r="KB30" s="32" t="str">
        <f t="shared" si="78"/>
        <v xml:space="preserve"> </v>
      </c>
      <c r="KC30" s="32">
        <f t="shared" si="78"/>
        <v>1.0021696108363107</v>
      </c>
      <c r="KD30" s="32">
        <f t="shared" si="78"/>
        <v>-0.91952570151055169</v>
      </c>
      <c r="KE30" s="32">
        <f t="shared" si="78"/>
        <v>26.280016222693455</v>
      </c>
      <c r="KF30" s="32">
        <f t="shared" si="78"/>
        <v>-0.29034638367983567</v>
      </c>
      <c r="KG30" s="32">
        <f t="shared" si="78"/>
        <v>2.7881438787329</v>
      </c>
      <c r="KH30" s="32">
        <f t="shared" si="79"/>
        <v>-0.79096756815169644</v>
      </c>
      <c r="KJ30" s="102">
        <f t="shared" si="80"/>
        <v>-9.6906780000000001</v>
      </c>
      <c r="KK30" s="102">
        <f t="shared" si="80"/>
        <v>-9.7117029999999982</v>
      </c>
      <c r="KL30" s="102">
        <f t="shared" si="80"/>
        <v>17.840987999999999</v>
      </c>
      <c r="KM30" s="102">
        <f t="shared" si="80"/>
        <v>-41.033433369999997</v>
      </c>
      <c r="KN30" s="102">
        <f t="shared" si="80"/>
        <v>12.367253800000004</v>
      </c>
      <c r="KO30" s="102">
        <f t="shared" si="80"/>
        <v>-84.278821430000008</v>
      </c>
      <c r="KP30" s="102">
        <f t="shared" si="81"/>
        <v>90.570843999999994</v>
      </c>
      <c r="KR30" s="32">
        <f t="shared" si="87"/>
        <v>-1.0440997427932889E-2</v>
      </c>
      <c r="KS30" s="32">
        <f t="shared" si="87"/>
        <v>0</v>
      </c>
      <c r="KT30" s="32">
        <f t="shared" si="87"/>
        <v>-3.8624698173484935E-3</v>
      </c>
      <c r="KU30" s="32">
        <f t="shared" si="87"/>
        <v>-2.1686706457937025E-2</v>
      </c>
      <c r="KV30" s="32">
        <f t="shared" si="87"/>
        <v>-5.0037593525678048E-3</v>
      </c>
      <c r="KW30" s="32">
        <f t="shared" si="87"/>
        <v>-4.2005850323066272E-2</v>
      </c>
      <c r="KX30" s="32">
        <f t="shared" si="87"/>
        <v>-3.44611981420027E-2</v>
      </c>
      <c r="KY30" s="32">
        <f t="shared" si="87"/>
        <v>-7.4835162048944373E-2</v>
      </c>
      <c r="KZ30" s="32">
        <f t="shared" si="46"/>
        <v>-6.531109700839309E-2</v>
      </c>
    </row>
    <row r="31" spans="1:312" outlineLevel="1">
      <c r="A31" s="884"/>
      <c r="B31" s="70"/>
      <c r="C31" s="186" t="s">
        <v>74</v>
      </c>
      <c r="D31" s="307" t="s">
        <v>59</v>
      </c>
      <c r="E31" s="931">
        <v>-71.397120000000015</v>
      </c>
      <c r="F31" s="931">
        <v>-52.344841900000006</v>
      </c>
      <c r="G31" s="931">
        <v>-110.76751582</v>
      </c>
      <c r="H31" s="931">
        <v>-54.866496729999959</v>
      </c>
      <c r="I31" s="931">
        <v>-113.77445613000003</v>
      </c>
      <c r="J31" s="931">
        <v>-105.60061850999999</v>
      </c>
      <c r="K31" s="931">
        <v>-62.242888000000008</v>
      </c>
      <c r="L31" s="931">
        <v>-76.898161029999997</v>
      </c>
      <c r="M31" s="931">
        <v>-83.92770902999996</v>
      </c>
      <c r="N31" s="931">
        <v>-72.069015390000004</v>
      </c>
      <c r="O31" s="931">
        <v>-122.20683406000012</v>
      </c>
      <c r="P31" s="931">
        <v>-138.21232613000001</v>
      </c>
      <c r="Q31" s="931">
        <v>-36.536304619999996</v>
      </c>
      <c r="R31" s="931">
        <v>-21.074687790000006</v>
      </c>
      <c r="S31" s="931">
        <v>-44.057700279999999</v>
      </c>
      <c r="T31" s="931">
        <v>-59.340675750000003</v>
      </c>
      <c r="U31" s="931">
        <v>-41.816970870000034</v>
      </c>
      <c r="V31" s="931">
        <v>-33.268067079999952</v>
      </c>
      <c r="W31" s="931">
        <v>-38.581744829999984</v>
      </c>
      <c r="X31" s="931">
        <v>-29.946275790000037</v>
      </c>
      <c r="Y31" s="931">
        <v>-37.474922390000025</v>
      </c>
      <c r="Z31" s="931">
        <v>-21.066980119999979</v>
      </c>
      <c r="AA31" s="931">
        <v>-24.68258047000004</v>
      </c>
      <c r="AB31" s="932">
        <v>-369.87639955999998</v>
      </c>
      <c r="AC31" s="932">
        <v>-18.47240914</v>
      </c>
      <c r="AD31" s="932">
        <v>-17.621755499999999</v>
      </c>
      <c r="AE31" s="932">
        <v>-18.440313140000001</v>
      </c>
      <c r="AF31" s="932">
        <v>-20.648164560000001</v>
      </c>
      <c r="AG31" s="932">
        <v>-34.431968189999999</v>
      </c>
      <c r="AH31" s="932">
        <v>-27.246383859999998</v>
      </c>
      <c r="AI31" s="932">
        <v>-19.67819763</v>
      </c>
      <c r="AJ31" s="932">
        <v>-17.794009259999999</v>
      </c>
      <c r="AK31" s="932">
        <v>-17.584869799999996</v>
      </c>
      <c r="AL31" s="932">
        <v>-14.41123296</v>
      </c>
      <c r="AM31" s="932">
        <v>-46.158966799999995</v>
      </c>
      <c r="AN31" s="932">
        <v>-1048.5387231</v>
      </c>
      <c r="AO31" s="931">
        <f>SUM(AO32:AO36)</f>
        <v>235.20175391999999</v>
      </c>
      <c r="AP31" s="931">
        <f t="shared" ref="AP31:BL31" si="88">SUM(AP32:AP36)</f>
        <v>-1.83421429</v>
      </c>
      <c r="AQ31" s="931">
        <f t="shared" si="88"/>
        <v>-55.936229930000003</v>
      </c>
      <c r="AR31" s="931">
        <f t="shared" si="88"/>
        <v>-8.4104337999999998</v>
      </c>
      <c r="AS31" s="931">
        <f t="shared" si="88"/>
        <v>-249.77413283999999</v>
      </c>
      <c r="AT31" s="931">
        <f t="shared" si="88"/>
        <v>-138.94064399999999</v>
      </c>
      <c r="AU31" s="931">
        <f t="shared" si="88"/>
        <v>5.7684999999999993E-2</v>
      </c>
      <c r="AV31" s="931">
        <f t="shared" si="88"/>
        <v>225.07301040000002</v>
      </c>
      <c r="AW31" s="931">
        <f t="shared" si="88"/>
        <v>-238.30745002</v>
      </c>
      <c r="AX31" s="931">
        <f t="shared" si="88"/>
        <v>3.2321875899999952</v>
      </c>
      <c r="AY31" s="931">
        <f t="shared" si="88"/>
        <v>8.157681010000001</v>
      </c>
      <c r="AZ31" s="931">
        <f t="shared" si="88"/>
        <v>0</v>
      </c>
      <c r="BA31" s="933">
        <f t="shared" si="88"/>
        <v>-0.17419000000000001</v>
      </c>
      <c r="BB31" s="933">
        <f t="shared" si="88"/>
        <v>-5.8972470000000001</v>
      </c>
      <c r="BC31" s="933">
        <f t="shared" si="88"/>
        <v>-34.615959520000004</v>
      </c>
      <c r="BD31" s="933">
        <f t="shared" si="88"/>
        <v>19.11450752</v>
      </c>
      <c r="BE31" s="933">
        <f t="shared" si="88"/>
        <v>-58.762486389999999</v>
      </c>
      <c r="BF31" s="933">
        <f t="shared" si="88"/>
        <v>36.918579000000001</v>
      </c>
      <c r="BG31" s="933">
        <f t="shared" si="88"/>
        <v>-33.19699902</v>
      </c>
      <c r="BH31" s="931">
        <f t="shared" si="88"/>
        <v>-20.605048290000003</v>
      </c>
      <c r="BI31" s="931">
        <f t="shared" si="88"/>
        <v>42.240796840000009</v>
      </c>
      <c r="BJ31" s="931">
        <f t="shared" si="88"/>
        <v>-84.89009784000001</v>
      </c>
      <c r="BK31" s="931">
        <f t="shared" si="88"/>
        <v>30.873365</v>
      </c>
      <c r="BL31" s="931">
        <f t="shared" si="88"/>
        <v>-16.053332560000001</v>
      </c>
      <c r="BM31" s="933">
        <f>SUM(BM32:BM36)</f>
        <v>-5.5174000000000003</v>
      </c>
      <c r="BN31" s="933">
        <f>SUM(BN32:BN36)</f>
        <v>-5.5728786299999999</v>
      </c>
      <c r="BO31" s="933">
        <f t="shared" ref="BO31:DH31" si="89">SUM(BO32:BO37)</f>
        <v>-3.3727123699999999</v>
      </c>
      <c r="BP31" s="933">
        <f t="shared" si="89"/>
        <v>-14.929798999999999</v>
      </c>
      <c r="BQ31" s="933">
        <f t="shared" si="89"/>
        <v>-7.2493492499999999</v>
      </c>
      <c r="BR31" s="933">
        <f t="shared" si="89"/>
        <v>-3.5897529399999999</v>
      </c>
      <c r="BS31" s="933">
        <f t="shared" si="89"/>
        <v>-3.35011094</v>
      </c>
      <c r="BT31" s="933">
        <f t="shared" si="89"/>
        <v>-1.8929389999999999</v>
      </c>
      <c r="BU31" s="931">
        <f t="shared" si="89"/>
        <v>-4.468909</v>
      </c>
      <c r="BV31" s="931">
        <f t="shared" si="89"/>
        <v>-4.3892730000000002</v>
      </c>
      <c r="BW31" s="931">
        <f t="shared" si="89"/>
        <v>-3.801091</v>
      </c>
      <c r="BX31" s="931">
        <f t="shared" si="89"/>
        <v>-21.983279370000002</v>
      </c>
      <c r="BY31" s="931">
        <f t="shared" si="89"/>
        <v>-3.1431070000000001</v>
      </c>
      <c r="BZ31" s="931">
        <f t="shared" si="89"/>
        <v>-8.4419419999999992</v>
      </c>
      <c r="CA31" s="931">
        <f t="shared" si="89"/>
        <v>-1.7600549999999999</v>
      </c>
      <c r="CB31" s="931">
        <f t="shared" si="89"/>
        <v>-4.79847</v>
      </c>
      <c r="CC31" s="931">
        <f t="shared" si="89"/>
        <v>-2.6684359999999998</v>
      </c>
      <c r="CD31" s="931">
        <f t="shared" si="89"/>
        <v>-3.607488</v>
      </c>
      <c r="CE31" s="931">
        <f t="shared" si="89"/>
        <v>-5.4515570000000002</v>
      </c>
      <c r="CF31" s="931">
        <f t="shared" si="89"/>
        <v>-4.1948410000000003</v>
      </c>
      <c r="CG31" s="931">
        <f t="shared" si="89"/>
        <v>-6.3635570000000001</v>
      </c>
      <c r="CH31" s="931">
        <f t="shared" si="89"/>
        <v>-4.2285310000000003</v>
      </c>
      <c r="CI31" s="931">
        <f t="shared" si="89"/>
        <v>-11.499177</v>
      </c>
      <c r="CJ31" s="931">
        <f t="shared" si="89"/>
        <v>-4.9290859999999999</v>
      </c>
      <c r="CK31" s="931">
        <f t="shared" si="89"/>
        <v>0.16026209999999996</v>
      </c>
      <c r="CL31" s="931">
        <f t="shared" si="89"/>
        <v>-6.6762420000000002</v>
      </c>
      <c r="CM31" s="931">
        <f t="shared" si="89"/>
        <v>-12.912614</v>
      </c>
      <c r="CN31" s="931">
        <f t="shared" si="89"/>
        <v>-6.9286570000000003</v>
      </c>
      <c r="CO31" s="931">
        <f t="shared" si="89"/>
        <v>-5.5597709999999996</v>
      </c>
      <c r="CP31" s="931">
        <f t="shared" si="89"/>
        <v>-4.6124590000000003</v>
      </c>
      <c r="CQ31" s="931">
        <f t="shared" si="89"/>
        <v>-4.5867505999999993</v>
      </c>
      <c r="CR31" s="931">
        <f t="shared" si="89"/>
        <v>-0.94081599999999999</v>
      </c>
      <c r="CS31" s="931">
        <f t="shared" si="89"/>
        <v>-2.4926189999999999</v>
      </c>
      <c r="CT31" s="931">
        <f t="shared" si="89"/>
        <v>-3.0291510000000001</v>
      </c>
      <c r="CU31" s="931">
        <f t="shared" si="89"/>
        <v>-8.1623509999999992</v>
      </c>
      <c r="CV31" s="931">
        <f t="shared" si="89"/>
        <v>-8.7250720000000008</v>
      </c>
      <c r="CW31" s="931">
        <f t="shared" si="89"/>
        <v>-2.5059499999999999</v>
      </c>
      <c r="CX31" s="931">
        <f t="shared" si="89"/>
        <v>-2.3615789999999999</v>
      </c>
      <c r="CY31" s="931">
        <f t="shared" si="89"/>
        <v>-3.1936650000000002</v>
      </c>
      <c r="CZ31" s="931">
        <f t="shared" si="89"/>
        <v>-0.21284</v>
      </c>
      <c r="DA31" s="931">
        <f t="shared" si="89"/>
        <v>-0.49916300000000002</v>
      </c>
      <c r="DB31" s="931">
        <f t="shared" si="89"/>
        <v>-1.2055800000000001</v>
      </c>
      <c r="DC31" s="931">
        <f t="shared" si="89"/>
        <v>-3.1699055</v>
      </c>
      <c r="DD31" s="931">
        <f t="shared" si="89"/>
        <v>-0.33076800000000001</v>
      </c>
      <c r="DE31" s="931">
        <f t="shared" si="89"/>
        <v>-2.1776</v>
      </c>
      <c r="DF31" s="931">
        <f t="shared" si="89"/>
        <v>-1.803291</v>
      </c>
      <c r="DG31" s="931">
        <f t="shared" si="89"/>
        <v>-5.1474209999999996</v>
      </c>
      <c r="DH31" s="931">
        <f t="shared" si="89"/>
        <v>-1.082554</v>
      </c>
      <c r="DJ31" s="931"/>
      <c r="DK31" s="931"/>
      <c r="DL31" s="931"/>
      <c r="DM31" s="931"/>
      <c r="DN31" s="931"/>
      <c r="DO31" s="931"/>
      <c r="DP31" s="931"/>
      <c r="DQ31" s="931"/>
      <c r="DR31" s="931"/>
      <c r="DS31" s="931"/>
      <c r="DT31" s="931"/>
      <c r="DU31" s="931"/>
      <c r="DW31" s="931">
        <v>-18.807814839999995</v>
      </c>
      <c r="DX31" s="931">
        <v>-17.066666666666666</v>
      </c>
      <c r="DY31" s="931">
        <v>-22.066666666666663</v>
      </c>
      <c r="DZ31" s="931">
        <v>-25.066666666666663</v>
      </c>
      <c r="EA31" s="931">
        <v>-24.733333333333327</v>
      </c>
      <c r="EB31" s="931">
        <v>-25.733333333333331</v>
      </c>
      <c r="EC31" s="931">
        <v>-183.75234783336001</v>
      </c>
      <c r="ED31" s="931">
        <v>-31.413014102693342</v>
      </c>
      <c r="EE31" s="931">
        <v>-28.413014102693335</v>
      </c>
      <c r="EF31" s="931">
        <v>-29.413014102693335</v>
      </c>
      <c r="EG31" s="931">
        <v>-28.413014102693335</v>
      </c>
      <c r="EH31" s="931">
        <v>-30.079680769360007</v>
      </c>
      <c r="EI31" s="931"/>
      <c r="EJ31" s="931"/>
      <c r="EK31" s="931"/>
      <c r="EL31" s="931"/>
      <c r="EM31" s="931"/>
      <c r="EN31" s="931"/>
      <c r="EO31" s="931"/>
      <c r="EP31" s="931"/>
      <c r="EQ31" s="931"/>
      <c r="ER31" s="931"/>
      <c r="ES31" s="931"/>
      <c r="ET31" s="931"/>
      <c r="EU31" s="931"/>
      <c r="EV31" s="931"/>
      <c r="EW31" s="931"/>
      <c r="EX31" s="931"/>
      <c r="EY31" s="931"/>
      <c r="EZ31" s="931"/>
      <c r="FA31" s="931"/>
      <c r="FB31" s="931"/>
      <c r="FC31" s="931"/>
      <c r="FD31" s="931"/>
      <c r="FE31" s="931"/>
      <c r="FF31" s="931"/>
      <c r="FG31" s="931"/>
      <c r="FH31" s="931"/>
      <c r="FI31" s="931"/>
      <c r="FJ31" s="931"/>
      <c r="FK31" s="931"/>
      <c r="FL31" s="931"/>
      <c r="FM31" s="931"/>
      <c r="FN31" s="931"/>
      <c r="FO31" s="931"/>
      <c r="FP31" s="931"/>
      <c r="FQ31" s="931"/>
      <c r="FR31" s="931"/>
      <c r="FS31" s="931"/>
      <c r="FT31" s="931"/>
      <c r="FU31" s="931"/>
      <c r="FV31" s="931"/>
      <c r="FW31" s="931"/>
      <c r="FX31" s="931"/>
      <c r="FY31" s="931"/>
      <c r="FZ31" s="931"/>
      <c r="GA31" s="931"/>
      <c r="GB31" s="931"/>
      <c r="GC31" s="931"/>
      <c r="GD31" s="931"/>
      <c r="GF31" s="931">
        <f t="shared" si="56"/>
        <v>-1064.30798273</v>
      </c>
      <c r="GG31" s="931">
        <f t="shared" si="56"/>
        <v>-757.72330955000007</v>
      </c>
      <c r="GH31" s="931">
        <f t="shared" si="56"/>
        <v>-1301.02699394</v>
      </c>
      <c r="GI31" s="931">
        <f t="shared" si="56"/>
        <v>-221.48078695999999</v>
      </c>
      <c r="GJ31" s="931">
        <f t="shared" si="83"/>
        <v>-125.04811226000001</v>
      </c>
      <c r="GK31" s="931">
        <f t="shared" si="37"/>
        <v>-80.117494500000006</v>
      </c>
      <c r="GL31" s="931">
        <f t="shared" si="38"/>
        <v>-61.086247</v>
      </c>
      <c r="GM31" s="931">
        <f t="shared" si="57"/>
        <v>-64.466240499999998</v>
      </c>
      <c r="GN31" s="931">
        <f t="shared" si="7"/>
        <v>0</v>
      </c>
      <c r="GO31" s="931">
        <v>-23.690316500000002</v>
      </c>
      <c r="GQ31" s="934">
        <f t="shared" si="58"/>
        <v>0.71702121017322207</v>
      </c>
      <c r="GR31" s="934">
        <f t="shared" si="58"/>
        <v>-0.82976464901064606</v>
      </c>
      <c r="GS31" s="934">
        <f t="shared" si="58"/>
        <v>-0.43539972935628035</v>
      </c>
      <c r="GT31" s="934">
        <f t="shared" si="58"/>
        <v>-0.35930664564196113</v>
      </c>
      <c r="GU31" s="934">
        <f t="shared" si="58"/>
        <v>-0.23754172067874646</v>
      </c>
      <c r="GV31" s="934">
        <f t="shared" si="58"/>
        <v>5.533149712078389E-2</v>
      </c>
      <c r="GW31" s="934">
        <f t="shared" si="58"/>
        <v>-1</v>
      </c>
      <c r="GX31" s="934" t="str">
        <f t="shared" si="58"/>
        <v/>
      </c>
      <c r="GY31" s="934">
        <f t="shared" si="9"/>
        <v>-0.63251592901559062</v>
      </c>
      <c r="HA31" s="931">
        <f t="shared" si="59"/>
        <v>-543.30368438999994</v>
      </c>
      <c r="HB31" s="931">
        <f t="shared" si="59"/>
        <v>1079.5462069800001</v>
      </c>
      <c r="HC31" s="931">
        <f t="shared" si="59"/>
        <v>96.432674699999978</v>
      </c>
      <c r="HD31" s="931">
        <f t="shared" si="59"/>
        <v>44.930617760000004</v>
      </c>
      <c r="HE31" s="931">
        <f t="shared" si="59"/>
        <v>19.031247500000006</v>
      </c>
      <c r="HF31" s="931">
        <f t="shared" si="59"/>
        <v>-3.3799934999999977</v>
      </c>
      <c r="HG31" s="931">
        <f t="shared" si="59"/>
        <v>64.466240499999998</v>
      </c>
      <c r="HH31" s="931">
        <f t="shared" si="59"/>
        <v>-23.690316500000002</v>
      </c>
      <c r="HI31" s="931">
        <f t="shared" si="11"/>
        <v>40.775923999999996</v>
      </c>
      <c r="HK31" s="230">
        <f t="shared" si="86"/>
        <v>-2.061535937954671E-2</v>
      </c>
      <c r="HL31" s="230">
        <f t="shared" si="86"/>
        <v>-3.3035259087405455E-2</v>
      </c>
      <c r="HM31" s="230">
        <f t="shared" si="86"/>
        <v>-1.3142089572336431E-2</v>
      </c>
      <c r="HN31" s="230">
        <f t="shared" si="86"/>
        <v>-2.0326327623046481E-2</v>
      </c>
      <c r="HO31" s="230">
        <f t="shared" si="86"/>
        <v>-5.8785371092421575E-3</v>
      </c>
      <c r="HP31" s="230">
        <f t="shared" si="86"/>
        <v>-4.3168863922118852E-3</v>
      </c>
      <c r="HQ31" s="230">
        <f t="shared" si="86"/>
        <v>-3.0366562135538291E-3</v>
      </c>
      <c r="HR31" s="230">
        <f t="shared" si="86"/>
        <v>0</v>
      </c>
      <c r="HS31" s="230">
        <f t="shared" si="86"/>
        <v>-1.8772209345675383E-3</v>
      </c>
      <c r="HU31" s="931">
        <f t="shared" ref="HU31:HZ37" si="90">+IFERROR(SUMIFS($E31:$BX31,$E$6:$BX$6,HU$7,$E$5:$BX$5,"&lt;="&amp;$HW$5),"NA")</f>
        <v>-508.75104908999998</v>
      </c>
      <c r="HV31" s="931">
        <f t="shared" si="90"/>
        <v>-236.09440638999999</v>
      </c>
      <c r="HW31" s="931">
        <f t="shared" si="90"/>
        <v>-136.86099439</v>
      </c>
      <c r="HX31" s="931">
        <f t="shared" si="90"/>
        <v>-219.69390093999999</v>
      </c>
      <c r="HY31" s="931">
        <f t="shared" si="90"/>
        <v>-43.416796390000009</v>
      </c>
      <c r="HZ31" s="931">
        <f t="shared" si="90"/>
        <v>-40.231892189999996</v>
      </c>
      <c r="IA31" s="931">
        <f t="shared" si="62"/>
        <v>-24.419498000000001</v>
      </c>
      <c r="IB31" s="931">
        <f t="shared" si="63"/>
        <v>-36.529480900000003</v>
      </c>
      <c r="IC31" s="931">
        <f t="shared" si="64"/>
        <v>-9.9787769999999991</v>
      </c>
      <c r="ID31" s="931">
        <f t="shared" si="18"/>
        <v>0</v>
      </c>
      <c r="IE31" s="931">
        <f t="shared" si="65"/>
        <v>0</v>
      </c>
      <c r="IF31" s="922">
        <f t="shared" si="20"/>
        <v>-0.72682948801498037</v>
      </c>
      <c r="IG31" s="931">
        <f t="shared" si="21"/>
        <v>-9.9787769999999991</v>
      </c>
      <c r="IH31" s="931">
        <f t="shared" si="21"/>
        <v>0</v>
      </c>
      <c r="II31" s="145"/>
      <c r="IJ31" s="934" t="str">
        <f t="shared" si="66"/>
        <v/>
      </c>
      <c r="IK31" s="935">
        <f t="shared" si="40"/>
        <v>-9.9787769999999991</v>
      </c>
      <c r="IM31" s="230">
        <f t="shared" si="41"/>
        <v>-1.5345863540207612E-3</v>
      </c>
      <c r="IN31" s="934">
        <f t="shared" si="22"/>
        <v>0</v>
      </c>
      <c r="IP31" s="934">
        <f t="shared" si="84"/>
        <v>-0.42031242297235183</v>
      </c>
      <c r="IQ31" s="934">
        <f t="shared" si="84"/>
        <v>0.60523385000374019</v>
      </c>
      <c r="IR31" s="934">
        <f t="shared" si="84"/>
        <v>-0.80237595944068807</v>
      </c>
      <c r="IS31" s="934">
        <f t="shared" si="84"/>
        <v>-7.3356499438396505E-2</v>
      </c>
      <c r="IT31" s="934">
        <f t="shared" si="84"/>
        <v>-0.39303133234012566</v>
      </c>
      <c r="IU31" s="934">
        <f t="shared" si="84"/>
        <v>0.49591449013407241</v>
      </c>
      <c r="IV31" s="934">
        <f t="shared" si="85"/>
        <v>-1</v>
      </c>
      <c r="IX31" s="931">
        <f t="shared" si="68"/>
        <v>99.233411999999987</v>
      </c>
      <c r="IY31" s="931">
        <f t="shared" si="68"/>
        <v>-82.83290654999999</v>
      </c>
      <c r="IZ31" s="931">
        <f t="shared" si="68"/>
        <v>176.27710454999999</v>
      </c>
      <c r="JA31" s="931">
        <f t="shared" si="68"/>
        <v>3.1849042000000125</v>
      </c>
      <c r="JB31" s="931">
        <f t="shared" si="68"/>
        <v>15.812394189999996</v>
      </c>
      <c r="JC31" s="931">
        <f t="shared" si="68"/>
        <v>-12.109982900000002</v>
      </c>
      <c r="JD31" s="931">
        <f t="shared" si="69"/>
        <v>36.529480900000003</v>
      </c>
      <c r="JF31" s="230">
        <f t="shared" si="70"/>
        <v>-3.1807544693113983E-2</v>
      </c>
      <c r="JG31" s="230">
        <f t="shared" si="70"/>
        <v>-1.3846099752183136E-2</v>
      </c>
      <c r="JH31" s="230">
        <f t="shared" si="70"/>
        <v>-8.4194841772513695E-3</v>
      </c>
      <c r="JI31" s="230">
        <f t="shared" si="70"/>
        <v>-2.3486440740978883E-2</v>
      </c>
      <c r="JJ31" s="230">
        <f t="shared" si="70"/>
        <v>-2.1636726081588883E-2</v>
      </c>
      <c r="JK31" s="230">
        <f t="shared" si="70"/>
        <v>-5.7960051338355727E-3</v>
      </c>
      <c r="JL31" s="230">
        <f t="shared" si="70"/>
        <v>-4.6166378486359278E-3</v>
      </c>
      <c r="JM31" s="230">
        <f t="shared" si="71"/>
        <v>0</v>
      </c>
      <c r="JO31" s="931">
        <f t="shared" ref="JO31:JS37" si="91">+SUMIFS($E31:$BX31,$E$6:$BX$6,JO$7,$E$5:$BX$5,$JQ$5)</f>
        <v>-105.60061850999999</v>
      </c>
      <c r="JP31" s="931">
        <f t="shared" si="91"/>
        <v>-33.268067079999952</v>
      </c>
      <c r="JQ31" s="931">
        <f t="shared" si="91"/>
        <v>-27.246383859999998</v>
      </c>
      <c r="JR31" s="931">
        <f t="shared" si="91"/>
        <v>-138.94064399999999</v>
      </c>
      <c r="JS31" s="931">
        <f t="shared" si="91"/>
        <v>36.918579000000001</v>
      </c>
      <c r="JT31" s="931">
        <f t="shared" si="73"/>
        <v>-3.5897529399999999</v>
      </c>
      <c r="JU31" s="931">
        <f t="shared" si="74"/>
        <v>-3.607488</v>
      </c>
      <c r="JV31" s="931">
        <f t="shared" si="74"/>
        <v>-4.6124590000000003</v>
      </c>
      <c r="JW31" s="931">
        <f t="shared" si="75"/>
        <v>-1.2055800000000001</v>
      </c>
      <c r="JX31" s="931">
        <f t="shared" si="76"/>
        <v>0</v>
      </c>
      <c r="JY31" s="931">
        <f t="shared" si="77"/>
        <v>0</v>
      </c>
      <c r="KB31" s="230">
        <f t="shared" si="78"/>
        <v>-0.18100490195356311</v>
      </c>
      <c r="KC31" s="230">
        <f t="shared" si="78"/>
        <v>4.0994159340159868</v>
      </c>
      <c r="KD31" s="230">
        <f t="shared" si="78"/>
        <v>-1.2657147537044668</v>
      </c>
      <c r="KE31" s="230">
        <f t="shared" si="78"/>
        <v>-1.0972343204217041</v>
      </c>
      <c r="KF31" s="230">
        <f t="shared" si="78"/>
        <v>4.9404681314921817E-3</v>
      </c>
      <c r="KG31" s="230">
        <f t="shared" si="78"/>
        <v>0.27857916644490577</v>
      </c>
      <c r="KH31" s="230">
        <f t="shared" si="79"/>
        <v>-1</v>
      </c>
      <c r="KJ31" s="931">
        <f t="shared" si="80"/>
        <v>6.0216832199999537</v>
      </c>
      <c r="KK31" s="931">
        <f t="shared" si="80"/>
        <v>-111.69426014</v>
      </c>
      <c r="KL31" s="931">
        <f t="shared" si="80"/>
        <v>175.85922299999999</v>
      </c>
      <c r="KM31" s="931">
        <f t="shared" si="80"/>
        <v>-40.508331939999998</v>
      </c>
      <c r="KN31" s="931">
        <f t="shared" si="80"/>
        <v>-1.7735060000000136E-2</v>
      </c>
      <c r="KO31" s="931">
        <f t="shared" si="80"/>
        <v>-1.0049710000000003</v>
      </c>
      <c r="KP31" s="931">
        <f t="shared" si="81"/>
        <v>4.6124590000000003</v>
      </c>
      <c r="KR31" s="230">
        <f t="shared" si="87"/>
        <v>-3.2940249068856828E-2</v>
      </c>
      <c r="KS31" s="230">
        <f t="shared" si="87"/>
        <v>-9.8916550983539474E-3</v>
      </c>
      <c r="KT31" s="230">
        <f t="shared" si="87"/>
        <v>-1.0859749471723353E-2</v>
      </c>
      <c r="KU31" s="230">
        <f t="shared" si="87"/>
        <v>-0.15529872140459097</v>
      </c>
      <c r="KV31" s="230">
        <f t="shared" si="87"/>
        <v>0.11831210012774705</v>
      </c>
      <c r="KW31" s="230">
        <f t="shared" si="87"/>
        <v>-3.5401159611400737E-3</v>
      </c>
      <c r="KX31" s="230">
        <f t="shared" si="87"/>
        <v>-4.1127470118549796E-3</v>
      </c>
      <c r="KY31" s="230">
        <f t="shared" si="87"/>
        <v>-3.0144527711623856E-3</v>
      </c>
      <c r="KZ31" s="230">
        <f t="shared" si="46"/>
        <v>0</v>
      </c>
    </row>
    <row r="32" spans="1:312" outlineLevel="2">
      <c r="A32" s="884">
        <v>7495</v>
      </c>
      <c r="B32" s="70" t="s">
        <v>638</v>
      </c>
      <c r="C32" s="29" t="s">
        <v>83</v>
      </c>
      <c r="D32" s="31" t="s">
        <v>59</v>
      </c>
      <c r="E32" s="924">
        <v>-70.774865000000005</v>
      </c>
      <c r="F32" s="924">
        <v>-52.221220900000006</v>
      </c>
      <c r="G32" s="924">
        <v>-110.11979581999999</v>
      </c>
      <c r="H32" s="924">
        <v>-54.826796729999955</v>
      </c>
      <c r="I32" s="924">
        <v>-113.77445613000003</v>
      </c>
      <c r="J32" s="924">
        <v>-96.871293509999987</v>
      </c>
      <c r="K32" s="924">
        <v>-60.072132000000011</v>
      </c>
      <c r="L32" s="924">
        <v>-76.878161030000001</v>
      </c>
      <c r="M32" s="924">
        <v>-83.92770902999996</v>
      </c>
      <c r="N32" s="924">
        <v>-72.069015390000004</v>
      </c>
      <c r="O32" s="924">
        <v>-122.20683406000012</v>
      </c>
      <c r="P32" s="924">
        <v>-135.50845413000002</v>
      </c>
      <c r="Q32" s="924">
        <v>-36.536304619999996</v>
      </c>
      <c r="R32" s="924">
        <v>-21.074687790000006</v>
      </c>
      <c r="S32" s="924">
        <v>-44.057700279999999</v>
      </c>
      <c r="T32" s="924">
        <v>-59.340675750000003</v>
      </c>
      <c r="U32" s="924">
        <v>-41.483970870000036</v>
      </c>
      <c r="V32" s="924">
        <v>-33.268067079999952</v>
      </c>
      <c r="W32" s="924">
        <v>-38.228296549999982</v>
      </c>
      <c r="X32" s="924">
        <v>-29.384600790000036</v>
      </c>
      <c r="Y32" s="924">
        <v>-28.282460730000025</v>
      </c>
      <c r="Z32" s="924">
        <v>-20.86509633999998</v>
      </c>
      <c r="AA32" s="924">
        <v>-24.642580470000041</v>
      </c>
      <c r="AB32" s="924">
        <v>-44.605194559999973</v>
      </c>
      <c r="AC32" s="924">
        <v>-18.47240914</v>
      </c>
      <c r="AD32" s="924">
        <v>-17.621755499999999</v>
      </c>
      <c r="AE32" s="924">
        <v>-18.186313139999999</v>
      </c>
      <c r="AF32" s="924">
        <v>-20.38966456</v>
      </c>
      <c r="AG32" s="924">
        <v>-25.051616579999997</v>
      </c>
      <c r="AH32" s="924">
        <v>-20.594143859999999</v>
      </c>
      <c r="AI32" s="924">
        <v>-16.100760300000001</v>
      </c>
      <c r="AJ32" s="924">
        <v>-17.794009259999999</v>
      </c>
      <c r="AK32" s="102">
        <v>-17.428836439999998</v>
      </c>
      <c r="AL32" s="102">
        <v>-14.41123296</v>
      </c>
      <c r="AM32" s="102">
        <v>-46.158966799999995</v>
      </c>
      <c r="AN32" s="102">
        <v>-664.12181410000005</v>
      </c>
      <c r="AO32" s="102">
        <v>235.20175391999999</v>
      </c>
      <c r="AP32" s="145">
        <v>-1.83421429</v>
      </c>
      <c r="AQ32" s="143">
        <v>-55.936229930000003</v>
      </c>
      <c r="AR32" s="143">
        <v>-1.9304338000000001</v>
      </c>
      <c r="AS32" s="102">
        <v>-249.77413283999999</v>
      </c>
      <c r="AT32" s="102">
        <v>-138.928575</v>
      </c>
      <c r="AU32" s="102">
        <v>5.7684999999999993E-2</v>
      </c>
      <c r="AV32" s="102">
        <v>225.07301040000002</v>
      </c>
      <c r="AW32" s="102">
        <v>-238.30745002</v>
      </c>
      <c r="AX32" s="102">
        <v>3.2321875899999952</v>
      </c>
      <c r="AY32" s="102">
        <v>12.620959010000002</v>
      </c>
      <c r="AZ32" s="102">
        <v>0</v>
      </c>
      <c r="BA32" s="102">
        <v>-0.17419000000000001</v>
      </c>
      <c r="BB32" s="102">
        <v>-3.9522469999999998</v>
      </c>
      <c r="BC32" s="102">
        <v>-3.7016E-2</v>
      </c>
      <c r="BD32" s="102">
        <v>-2.0408339999999998</v>
      </c>
      <c r="BE32" s="102">
        <v>-7.3399390000000009E-2</v>
      </c>
      <c r="BF32" s="102">
        <v>-0.82533599999999996</v>
      </c>
      <c r="BG32" s="102">
        <v>-0.31262600000000001</v>
      </c>
      <c r="BH32" s="102">
        <v>-1.9128362899999998</v>
      </c>
      <c r="BI32" s="102">
        <v>-7.0036339999999999</v>
      </c>
      <c r="BJ32" s="102">
        <v>-0.79983899999999997</v>
      </c>
      <c r="BK32" s="102">
        <v>-4.383775</v>
      </c>
      <c r="BL32" s="102">
        <v>0</v>
      </c>
      <c r="BM32" s="102">
        <v>-5.5174000000000003</v>
      </c>
      <c r="BN32" s="102">
        <v>-5.5728786299999999</v>
      </c>
      <c r="BO32" s="102">
        <v>-3.3727123699999999</v>
      </c>
      <c r="BP32" s="102">
        <v>-14.929798999999999</v>
      </c>
      <c r="BQ32" s="102">
        <v>-7.2493492499999999</v>
      </c>
      <c r="BR32" s="102">
        <v>-3.5897529399999999</v>
      </c>
      <c r="BS32" s="102">
        <v>-3.35011094</v>
      </c>
      <c r="BT32" s="102">
        <v>-1.8929389999999999</v>
      </c>
      <c r="BU32" s="102">
        <v>-4.468909</v>
      </c>
      <c r="BV32" s="102">
        <v>-4.3892730000000002</v>
      </c>
      <c r="BW32" s="102">
        <v>-3.801091</v>
      </c>
      <c r="BX32" s="102">
        <v>-21.983279370000002</v>
      </c>
      <c r="BY32" s="102">
        <v>-3.1431070000000001</v>
      </c>
      <c r="BZ32" s="102">
        <v>-8.4419419999999992</v>
      </c>
      <c r="CA32" s="102">
        <v>-1.7600549999999999</v>
      </c>
      <c r="CB32" s="102">
        <v>-4.79847</v>
      </c>
      <c r="CC32" s="102">
        <v>-2.6684359999999998</v>
      </c>
      <c r="CD32" s="102">
        <v>-3.607488</v>
      </c>
      <c r="CE32" s="102">
        <v>-5.4515570000000002</v>
      </c>
      <c r="CF32" s="102">
        <v>-4.1948410000000003</v>
      </c>
      <c r="CG32" s="102">
        <v>-6.3635570000000001</v>
      </c>
      <c r="CH32" s="102">
        <v>-4.2285310000000003</v>
      </c>
      <c r="CI32" s="102">
        <v>-11.499177</v>
      </c>
      <c r="CJ32" s="102">
        <v>-4.9290859999999999</v>
      </c>
      <c r="CK32" s="1169">
        <v>0.16026209999999996</v>
      </c>
      <c r="CL32" s="1169">
        <v>-6.6762420000000002</v>
      </c>
      <c r="CM32" s="1169">
        <v>-12.912614</v>
      </c>
      <c r="CN32" s="1169">
        <v>-6.9286570000000003</v>
      </c>
      <c r="CO32" s="1169">
        <v>-5.5597709999999996</v>
      </c>
      <c r="CP32" s="1169">
        <v>-4.6124590000000003</v>
      </c>
      <c r="CQ32" s="1169">
        <v>-4.5867505999999993</v>
      </c>
      <c r="CR32" s="1169">
        <v>-0.94081599999999999</v>
      </c>
      <c r="CS32" s="1169">
        <v>-2.4926189999999999</v>
      </c>
      <c r="CT32" s="1169">
        <v>-3.0291510000000001</v>
      </c>
      <c r="CU32" s="1169">
        <v>-8.1623509999999992</v>
      </c>
      <c r="CV32" s="1169">
        <v>-8.7250720000000008</v>
      </c>
      <c r="CW32" s="1169">
        <v>-2.5059499999999999</v>
      </c>
      <c r="CX32" s="1169">
        <v>-2.3615789999999999</v>
      </c>
      <c r="CY32" s="1169">
        <v>-3.1936650000000002</v>
      </c>
      <c r="CZ32" s="1169">
        <v>-0.21284</v>
      </c>
      <c r="DA32" s="1169">
        <v>-0.49916300000000002</v>
      </c>
      <c r="DB32" s="1169">
        <v>-1.2055800000000001</v>
      </c>
      <c r="DC32" s="1169">
        <v>-3.1699055</v>
      </c>
      <c r="DD32" s="1169">
        <v>-0.33076800000000001</v>
      </c>
      <c r="DE32" s="1169">
        <v>-2.1776</v>
      </c>
      <c r="DF32" s="1169">
        <v>-1.803291</v>
      </c>
      <c r="DG32" s="1169">
        <v>-5.1474209999999996</v>
      </c>
      <c r="DH32" s="1169">
        <v>-1.082554</v>
      </c>
      <c r="DI32" s="1171"/>
      <c r="DJ32" s="1169">
        <v>-2.5059499999999999</v>
      </c>
      <c r="DK32" s="102">
        <v>-2.3615789999999999</v>
      </c>
      <c r="DL32" s="102">
        <v>-3.1936650000000002</v>
      </c>
      <c r="DM32" s="102">
        <v>-0.21284</v>
      </c>
      <c r="DN32" s="102">
        <v>-0.49916300000000002</v>
      </c>
      <c r="DO32" s="102">
        <v>-1.2055800000000001</v>
      </c>
      <c r="DP32" s="102">
        <v>-1.58</v>
      </c>
      <c r="DQ32" s="102">
        <v>-2.476</v>
      </c>
      <c r="DR32" s="102">
        <v>-2.3959999999999999</v>
      </c>
      <c r="DS32" s="102">
        <v>-1.756</v>
      </c>
      <c r="DT32" s="102">
        <v>-1.56</v>
      </c>
      <c r="DU32" s="102">
        <v>-1.56</v>
      </c>
      <c r="DW32" s="102"/>
      <c r="DX32" s="102"/>
      <c r="DY32" s="102"/>
      <c r="DZ32" s="102"/>
      <c r="EA32" s="102"/>
      <c r="EB32" s="102"/>
      <c r="EC32" s="102"/>
      <c r="ED32" s="102"/>
      <c r="EE32" s="102"/>
      <c r="EF32" s="102"/>
      <c r="EG32" s="102"/>
      <c r="EH32" s="102"/>
      <c r="EI32" s="102">
        <v>-11.278430511403601</v>
      </c>
      <c r="EJ32" s="102">
        <v>-16.807161790321604</v>
      </c>
      <c r="EK32" s="102">
        <v>-17.659348139615499</v>
      </c>
      <c r="EL32" s="102">
        <v>-16.801573127242996</v>
      </c>
      <c r="EM32" s="102">
        <v>-18.384802841672201</v>
      </c>
      <c r="EN32" s="102">
        <v>-27.769913830709005</v>
      </c>
      <c r="EO32" s="102">
        <v>-29.144529752673101</v>
      </c>
      <c r="EP32" s="102">
        <v>-31.497310611840501</v>
      </c>
      <c r="EQ32" s="102">
        <v>-33.350055119295</v>
      </c>
      <c r="ER32" s="102">
        <v>-34.848994392713301</v>
      </c>
      <c r="ES32" s="102">
        <v>-30.684075946624805</v>
      </c>
      <c r="ET32" s="102">
        <v>-21.618389154020001</v>
      </c>
      <c r="EU32" s="102">
        <v>-28.904333000000001</v>
      </c>
      <c r="EV32" s="102">
        <v>-29.623933000000001</v>
      </c>
      <c r="EW32" s="102">
        <v>-29.927167000000001</v>
      </c>
      <c r="EX32" s="102">
        <v>-27.5655</v>
      </c>
      <c r="EY32" s="102">
        <v>-27.795632999999999</v>
      </c>
      <c r="EZ32" s="102">
        <v>-23.643967</v>
      </c>
      <c r="FA32" s="102">
        <v>-23.890833000000001</v>
      </c>
      <c r="FB32" s="102">
        <v>-21.360932999999999</v>
      </c>
      <c r="FC32" s="102">
        <v>-16.149332999999999</v>
      </c>
      <c r="FD32" s="102">
        <v>-16.149332999999999</v>
      </c>
      <c r="FE32" s="102">
        <v>-17.372333000000001</v>
      </c>
      <c r="FF32" s="102">
        <v>-17.372333000000001</v>
      </c>
      <c r="FG32" s="102">
        <v>-10.436999999999999</v>
      </c>
      <c r="FH32" s="102">
        <v>-9.1440000000000001</v>
      </c>
      <c r="FI32" s="102">
        <v>-8.5169999999999995</v>
      </c>
      <c r="FJ32" s="102">
        <v>-7.3630000000000004</v>
      </c>
      <c r="FK32" s="102">
        <v>-8.6170000000000009</v>
      </c>
      <c r="FL32" s="102">
        <v>-8.6780000000000008</v>
      </c>
      <c r="FM32" s="102">
        <v>-9.3049999999999997</v>
      </c>
      <c r="FN32" s="102">
        <v>-9.3049999999999997</v>
      </c>
      <c r="FO32" s="102">
        <v>-9.3049999999999997</v>
      </c>
      <c r="FP32" s="102">
        <v>-11.186</v>
      </c>
      <c r="FQ32" s="102">
        <v>-12.318</v>
      </c>
      <c r="FR32" s="102">
        <v>-11.164</v>
      </c>
      <c r="FS32" s="102">
        <v>-10.436999999999999</v>
      </c>
      <c r="FT32" s="102">
        <v>-9.1440000000000001</v>
      </c>
      <c r="FU32" s="102">
        <v>-8.5169999999999995</v>
      </c>
      <c r="FV32" s="102">
        <v>-7.3630000000000004</v>
      </c>
      <c r="FW32" s="102">
        <v>-8.6170000000000009</v>
      </c>
      <c r="FX32" s="102">
        <v>-8.6780000000000008</v>
      </c>
      <c r="FY32" s="102">
        <v>-9.3049999999999997</v>
      </c>
      <c r="FZ32" s="102">
        <v>-9.3049999999999997</v>
      </c>
      <c r="GA32" s="102">
        <v>-9.3049999999999997</v>
      </c>
      <c r="GB32" s="102">
        <v>-11.186</v>
      </c>
      <c r="GC32" s="102">
        <v>-12.318</v>
      </c>
      <c r="GD32" s="102">
        <v>-11.164</v>
      </c>
      <c r="GF32" s="924">
        <f t="shared" si="56"/>
        <v>-1049.2507337300001</v>
      </c>
      <c r="GG32" s="924">
        <f t="shared" si="56"/>
        <v>-421.76963583000003</v>
      </c>
      <c r="GH32" s="924">
        <f t="shared" si="56"/>
        <v>-896.33152264</v>
      </c>
      <c r="GI32" s="924">
        <f t="shared" si="56"/>
        <v>-210.52543996</v>
      </c>
      <c r="GJ32" s="924">
        <f t="shared" si="83"/>
        <v>-21.515732679999999</v>
      </c>
      <c r="GK32" s="924">
        <f t="shared" si="37"/>
        <v>-80.117494500000006</v>
      </c>
      <c r="GL32" s="924">
        <f t="shared" si="38"/>
        <v>-61.086247</v>
      </c>
      <c r="GM32" s="924">
        <f t="shared" si="57"/>
        <v>-64.466240499999998</v>
      </c>
      <c r="GN32" s="924">
        <f t="shared" si="7"/>
        <v>-115.339</v>
      </c>
      <c r="GO32" s="924">
        <v>-23.690316500000002</v>
      </c>
      <c r="GQ32" s="927">
        <f t="shared" si="58"/>
        <v>1.125168448591872</v>
      </c>
      <c r="GR32" s="927">
        <f t="shared" si="58"/>
        <v>-0.76512547573923184</v>
      </c>
      <c r="GS32" s="927">
        <f t="shared" si="58"/>
        <v>-0.89779984459793549</v>
      </c>
      <c r="GT32" s="927">
        <f t="shared" si="58"/>
        <v>2.7236702877645165</v>
      </c>
      <c r="GU32" s="927">
        <f t="shared" si="58"/>
        <v>-0.23754172067874646</v>
      </c>
      <c r="GV32" s="927">
        <f t="shared" si="58"/>
        <v>5.533149712078389E-2</v>
      </c>
      <c r="GW32" s="927">
        <f t="shared" si="58"/>
        <v>0.78913799075967517</v>
      </c>
      <c r="GX32" s="927">
        <f t="shared" si="58"/>
        <v>-0.79460272327660197</v>
      </c>
      <c r="GY32" s="927">
        <f t="shared" si="9"/>
        <v>-0.63251592901559062</v>
      </c>
      <c r="HA32" s="924">
        <f t="shared" si="59"/>
        <v>-474.56188680999998</v>
      </c>
      <c r="HB32" s="924">
        <f t="shared" si="59"/>
        <v>685.80608268000003</v>
      </c>
      <c r="HC32" s="924">
        <f t="shared" si="59"/>
        <v>189.00970727999999</v>
      </c>
      <c r="HD32" s="924">
        <f t="shared" si="59"/>
        <v>-58.601761820000007</v>
      </c>
      <c r="HE32" s="924">
        <f t="shared" si="59"/>
        <v>19.031247500000006</v>
      </c>
      <c r="HF32" s="924">
        <f t="shared" si="59"/>
        <v>-3.3799934999999977</v>
      </c>
      <c r="HG32" s="924">
        <f t="shared" si="59"/>
        <v>-50.872759500000001</v>
      </c>
      <c r="HH32" s="924">
        <f t="shared" si="59"/>
        <v>91.648683500000004</v>
      </c>
      <c r="HI32" s="924">
        <f t="shared" si="11"/>
        <v>40.775923999999996</v>
      </c>
      <c r="HK32" s="76">
        <f t="shared" si="86"/>
        <v>-1.1475076071210974E-2</v>
      </c>
      <c r="HL32" s="76">
        <f t="shared" si="86"/>
        <v>-2.275936180920362E-2</v>
      </c>
      <c r="HM32" s="76">
        <f t="shared" si="86"/>
        <v>-1.2492027986651215E-2</v>
      </c>
      <c r="HN32" s="76">
        <f t="shared" si="86"/>
        <v>-3.4973405323725261E-3</v>
      </c>
      <c r="HO32" s="76">
        <f t="shared" si="86"/>
        <v>-5.8785371092421575E-3</v>
      </c>
      <c r="HP32" s="76">
        <f t="shared" si="86"/>
        <v>-4.3168863922118852E-3</v>
      </c>
      <c r="HQ32" s="76">
        <f t="shared" si="86"/>
        <v>-3.0366562135538291E-3</v>
      </c>
      <c r="HR32" s="76">
        <f t="shared" si="86"/>
        <v>-7.3313516434548838E-3</v>
      </c>
      <c r="HS32" s="76">
        <f t="shared" si="86"/>
        <v>-1.8772209345675383E-3</v>
      </c>
      <c r="HU32" s="924">
        <f t="shared" si="90"/>
        <v>-498.58842808999998</v>
      </c>
      <c r="HV32" s="924">
        <f t="shared" si="90"/>
        <v>-235.76140638999999</v>
      </c>
      <c r="HW32" s="924">
        <f t="shared" si="90"/>
        <v>-120.31590278</v>
      </c>
      <c r="HX32" s="924">
        <f t="shared" si="90"/>
        <v>-213.20183194000001</v>
      </c>
      <c r="HY32" s="924">
        <f t="shared" si="90"/>
        <v>-7.1030223900000005</v>
      </c>
      <c r="HZ32" s="924">
        <f t="shared" si="90"/>
        <v>-40.231892189999996</v>
      </c>
      <c r="IA32" s="924">
        <f t="shared" si="62"/>
        <v>-24.419498000000001</v>
      </c>
      <c r="IB32" s="924">
        <f t="shared" si="63"/>
        <v>-36.529480900000003</v>
      </c>
      <c r="IC32" s="924">
        <f t="shared" si="64"/>
        <v>-9.9787769999999991</v>
      </c>
      <c r="ID32" s="924">
        <f t="shared" si="18"/>
        <v>-52.756</v>
      </c>
      <c r="IE32" s="924">
        <f t="shared" si="65"/>
        <v>-9.9787769999999991</v>
      </c>
      <c r="IF32" s="922">
        <f t="shared" si="20"/>
        <v>-0.72682948801498037</v>
      </c>
      <c r="IG32" s="924">
        <f t="shared" si="21"/>
        <v>-9.9787769999999991</v>
      </c>
      <c r="IH32" s="924">
        <f t="shared" si="21"/>
        <v>-52.756</v>
      </c>
      <c r="II32" s="145"/>
      <c r="IJ32" s="927">
        <f t="shared" si="66"/>
        <v>0.18914961331412539</v>
      </c>
      <c r="IK32" s="928">
        <f t="shared" si="40"/>
        <v>42.777222999999999</v>
      </c>
      <c r="IM32" s="76">
        <f t="shared" si="41"/>
        <v>-1.5345863540207612E-3</v>
      </c>
      <c r="IN32" s="927">
        <f t="shared" si="22"/>
        <v>-7.4715298400631494E-3</v>
      </c>
      <c r="IP32" s="927">
        <f t="shared" si="84"/>
        <v>-0.48967091509043825</v>
      </c>
      <c r="IQ32" s="927">
        <f t="shared" si="84"/>
        <v>0.77201705687936983</v>
      </c>
      <c r="IR32" s="927">
        <f t="shared" si="84"/>
        <v>-0.9666840461671129</v>
      </c>
      <c r="IS32" s="927">
        <f t="shared" si="84"/>
        <v>4.6640525653756235</v>
      </c>
      <c r="IT32" s="927">
        <f t="shared" si="84"/>
        <v>-0.39303133234012566</v>
      </c>
      <c r="IU32" s="927">
        <f t="shared" si="84"/>
        <v>0.49591449013407241</v>
      </c>
      <c r="IV32" s="927">
        <f t="shared" si="85"/>
        <v>-0.72682948801498037</v>
      </c>
      <c r="IX32" s="924">
        <f t="shared" si="68"/>
        <v>115.44550360999999</v>
      </c>
      <c r="IY32" s="924">
        <f t="shared" si="68"/>
        <v>-92.885929160000003</v>
      </c>
      <c r="IZ32" s="924">
        <f t="shared" si="68"/>
        <v>206.09880955</v>
      </c>
      <c r="JA32" s="924">
        <f t="shared" si="68"/>
        <v>-33.128869799999997</v>
      </c>
      <c r="JB32" s="924">
        <f t="shared" si="68"/>
        <v>15.812394189999996</v>
      </c>
      <c r="JC32" s="924">
        <f t="shared" si="68"/>
        <v>-12.109982900000002</v>
      </c>
      <c r="JD32" s="924">
        <f t="shared" si="69"/>
        <v>26.550703900000002</v>
      </c>
      <c r="JF32" s="76">
        <f t="shared" si="70"/>
        <v>-3.1172169056572555E-2</v>
      </c>
      <c r="JG32" s="76">
        <f t="shared" si="70"/>
        <v>-1.3826570482989605E-2</v>
      </c>
      <c r="JH32" s="76">
        <f t="shared" si="70"/>
        <v>-7.4016548268038924E-3</v>
      </c>
      <c r="JI32" s="76">
        <f t="shared" si="70"/>
        <v>-2.2792404205588274E-2</v>
      </c>
      <c r="JJ32" s="76">
        <f t="shared" si="70"/>
        <v>-3.5397855802926223E-3</v>
      </c>
      <c r="JK32" s="76">
        <f t="shared" si="70"/>
        <v>-5.7960051338355727E-3</v>
      </c>
      <c r="JL32" s="76">
        <f t="shared" si="70"/>
        <v>-4.6166378486359278E-3</v>
      </c>
      <c r="JM32" s="76">
        <f t="shared" si="71"/>
        <v>-1.4634455589684439E-3</v>
      </c>
      <c r="JO32" s="924">
        <f t="shared" si="91"/>
        <v>-96.871293509999987</v>
      </c>
      <c r="JP32" s="924">
        <f t="shared" si="91"/>
        <v>-33.268067079999952</v>
      </c>
      <c r="JQ32" s="924">
        <f t="shared" si="91"/>
        <v>-20.594143859999999</v>
      </c>
      <c r="JR32" s="924">
        <f t="shared" si="91"/>
        <v>-138.928575</v>
      </c>
      <c r="JS32" s="924">
        <f t="shared" si="91"/>
        <v>-0.82533599999999996</v>
      </c>
      <c r="JT32" s="924">
        <f t="shared" si="73"/>
        <v>-3.5897529399999999</v>
      </c>
      <c r="JU32" s="924">
        <f t="shared" si="74"/>
        <v>-3.607488</v>
      </c>
      <c r="JV32" s="924">
        <f t="shared" si="74"/>
        <v>-4.6124590000000003</v>
      </c>
      <c r="JW32" s="924">
        <f t="shared" si="75"/>
        <v>-1.2055800000000001</v>
      </c>
      <c r="JX32" s="924">
        <f t="shared" si="76"/>
        <v>-8.6780000000000008</v>
      </c>
      <c r="JY32" s="924">
        <f t="shared" si="77"/>
        <v>-1.2055800000000001</v>
      </c>
      <c r="KB32" s="76">
        <f t="shared" si="78"/>
        <v>-0.38096361864134998</v>
      </c>
      <c r="KC32" s="76">
        <f t="shared" si="78"/>
        <v>5.7460233328679875</v>
      </c>
      <c r="KD32" s="76">
        <f t="shared" si="78"/>
        <v>-0.99405927830181806</v>
      </c>
      <c r="KE32" s="76">
        <f t="shared" si="78"/>
        <v>3.3494442748165598</v>
      </c>
      <c r="KF32" s="76">
        <f t="shared" si="78"/>
        <v>4.9404681314921817E-3</v>
      </c>
      <c r="KG32" s="76">
        <f t="shared" si="78"/>
        <v>0.27857916644490577</v>
      </c>
      <c r="KH32" s="76">
        <f t="shared" si="79"/>
        <v>-0.73862531894592443</v>
      </c>
      <c r="KJ32" s="924">
        <f t="shared" si="80"/>
        <v>12.673923219999953</v>
      </c>
      <c r="KK32" s="924">
        <f t="shared" si="80"/>
        <v>-118.33443113999999</v>
      </c>
      <c r="KL32" s="924">
        <f t="shared" si="80"/>
        <v>138.103239</v>
      </c>
      <c r="KM32" s="924">
        <f t="shared" si="80"/>
        <v>-2.7644169399999998</v>
      </c>
      <c r="KN32" s="924">
        <f t="shared" si="80"/>
        <v>-1.7735060000000136E-2</v>
      </c>
      <c r="KO32" s="924">
        <f t="shared" si="80"/>
        <v>-1.0049710000000003</v>
      </c>
      <c r="KP32" s="924">
        <f t="shared" si="81"/>
        <v>3.406879</v>
      </c>
      <c r="KR32" s="76">
        <f t="shared" si="87"/>
        <v>-3.0217290209711801E-2</v>
      </c>
      <c r="KS32" s="76">
        <f t="shared" si="87"/>
        <v>-9.8916550983539474E-3</v>
      </c>
      <c r="KT32" s="76">
        <f t="shared" si="87"/>
        <v>-8.2083275363584243E-3</v>
      </c>
      <c r="KU32" s="76">
        <f t="shared" si="87"/>
        <v>-0.15528523146950307</v>
      </c>
      <c r="KV32" s="76">
        <f t="shared" si="87"/>
        <v>-2.6449348299953323E-3</v>
      </c>
      <c r="KW32" s="76">
        <f t="shared" si="87"/>
        <v>-3.5401159611400737E-3</v>
      </c>
      <c r="KX32" s="76">
        <f t="shared" si="87"/>
        <v>-4.1127470118549796E-3</v>
      </c>
      <c r="KY32" s="76">
        <f t="shared" si="87"/>
        <v>-3.0144527711623856E-3</v>
      </c>
      <c r="KZ32" s="76">
        <f t="shared" si="46"/>
        <v>-3.2895735561279584E-3</v>
      </c>
    </row>
    <row r="33" spans="1:312" outlineLevel="2">
      <c r="A33" s="884">
        <v>7440</v>
      </c>
      <c r="B33" s="70" t="s">
        <v>639</v>
      </c>
      <c r="C33" s="29" t="s">
        <v>84</v>
      </c>
      <c r="D33" s="31" t="s">
        <v>59</v>
      </c>
      <c r="E33" s="102">
        <v>-0.105</v>
      </c>
      <c r="F33" s="102">
        <v>0</v>
      </c>
      <c r="G33" s="102">
        <v>-0.64771999999999996</v>
      </c>
      <c r="H33" s="102">
        <v>-3.9700000000000069E-2</v>
      </c>
      <c r="I33" s="102">
        <v>0</v>
      </c>
      <c r="J33" s="102">
        <v>-8.7293249999999993</v>
      </c>
      <c r="K33" s="102">
        <v>-2.1707560000000008</v>
      </c>
      <c r="L33" s="102">
        <v>-1.9999999999999574E-2</v>
      </c>
      <c r="M33" s="102">
        <v>0</v>
      </c>
      <c r="N33" s="102">
        <v>0</v>
      </c>
      <c r="O33" s="102">
        <v>0</v>
      </c>
      <c r="P33" s="102">
        <v>-2.2167000000000012</v>
      </c>
      <c r="Q33" s="102">
        <v>0</v>
      </c>
      <c r="R33" s="102">
        <v>0</v>
      </c>
      <c r="S33" s="102">
        <v>0</v>
      </c>
      <c r="T33" s="102">
        <v>0</v>
      </c>
      <c r="U33" s="102">
        <v>-0.183</v>
      </c>
      <c r="V33" s="102">
        <v>0</v>
      </c>
      <c r="W33" s="102">
        <v>0</v>
      </c>
      <c r="X33" s="102">
        <v>0</v>
      </c>
      <c r="Y33" s="102">
        <v>-8.8356220000000008</v>
      </c>
      <c r="Z33" s="102">
        <v>0</v>
      </c>
      <c r="AA33" s="102">
        <v>0</v>
      </c>
      <c r="AB33" s="102">
        <v>0</v>
      </c>
      <c r="AC33" s="102">
        <v>0</v>
      </c>
      <c r="AD33" s="102">
        <v>0</v>
      </c>
      <c r="AE33" s="102">
        <v>0</v>
      </c>
      <c r="AF33" s="102">
        <v>0</v>
      </c>
      <c r="AG33" s="102">
        <v>0</v>
      </c>
      <c r="AH33" s="102">
        <v>-6.6522399999999999</v>
      </c>
      <c r="AI33" s="102">
        <v>-3.3361011199999999</v>
      </c>
      <c r="AJ33" s="102">
        <v>0</v>
      </c>
      <c r="AK33" s="102">
        <v>1.1200000000000001E-6</v>
      </c>
      <c r="AL33" s="102">
        <v>0</v>
      </c>
      <c r="AM33" s="102">
        <v>0</v>
      </c>
      <c r="AN33" s="102">
        <v>9.9883399999999991</v>
      </c>
      <c r="AO33" s="102">
        <v>0</v>
      </c>
      <c r="AP33" s="145">
        <v>0</v>
      </c>
      <c r="AQ33" s="143">
        <v>0</v>
      </c>
      <c r="AR33" s="143">
        <v>-6.48</v>
      </c>
      <c r="AS33" s="102">
        <v>0</v>
      </c>
      <c r="AT33" s="102">
        <v>-1.2069E-2</v>
      </c>
      <c r="AU33" s="102">
        <v>0</v>
      </c>
      <c r="AV33" s="102">
        <v>0</v>
      </c>
      <c r="AW33" s="102">
        <v>0</v>
      </c>
      <c r="AX33" s="102">
        <v>0</v>
      </c>
      <c r="AY33" s="102">
        <v>-4.4632779999999999</v>
      </c>
      <c r="AZ33" s="102">
        <v>0</v>
      </c>
      <c r="BA33" s="102">
        <v>0</v>
      </c>
      <c r="BB33" s="102">
        <v>0</v>
      </c>
      <c r="BC33" s="102">
        <v>0</v>
      </c>
      <c r="BD33" s="102">
        <v>0</v>
      </c>
      <c r="BE33" s="102">
        <v>0</v>
      </c>
      <c r="BF33" s="102">
        <v>0</v>
      </c>
      <c r="BG33" s="102">
        <v>0</v>
      </c>
      <c r="BH33" s="102">
        <v>0</v>
      </c>
      <c r="BI33" s="102">
        <v>0</v>
      </c>
      <c r="BJ33" s="102">
        <v>0</v>
      </c>
      <c r="BK33" s="102">
        <v>0</v>
      </c>
      <c r="BL33" s="102">
        <v>0</v>
      </c>
      <c r="BM33" s="102">
        <v>0</v>
      </c>
      <c r="BN33" s="102">
        <v>0</v>
      </c>
      <c r="BO33" s="102">
        <v>0</v>
      </c>
      <c r="BP33" s="102">
        <v>0</v>
      </c>
      <c r="BQ33" s="102">
        <v>0</v>
      </c>
      <c r="BR33" s="102">
        <v>0</v>
      </c>
      <c r="BS33" s="102">
        <v>0</v>
      </c>
      <c r="BT33" s="102">
        <v>0</v>
      </c>
      <c r="BU33" s="102">
        <v>0</v>
      </c>
      <c r="BV33" s="102">
        <v>0</v>
      </c>
      <c r="BW33" s="102">
        <v>0</v>
      </c>
      <c r="BX33" s="102">
        <v>0</v>
      </c>
      <c r="BY33" s="102">
        <v>0</v>
      </c>
      <c r="BZ33" s="102">
        <v>0</v>
      </c>
      <c r="CA33" s="102">
        <v>0</v>
      </c>
      <c r="CB33" s="102">
        <v>0</v>
      </c>
      <c r="CC33" s="102">
        <v>0</v>
      </c>
      <c r="CD33" s="102">
        <v>0</v>
      </c>
      <c r="CE33" s="102">
        <v>0</v>
      </c>
      <c r="CF33" s="102">
        <v>0</v>
      </c>
      <c r="CG33" s="102">
        <v>0</v>
      </c>
      <c r="CH33" s="102">
        <v>0</v>
      </c>
      <c r="CI33" s="102">
        <v>0</v>
      </c>
      <c r="CJ33" s="102">
        <v>0</v>
      </c>
      <c r="CK33" s="1169">
        <v>0</v>
      </c>
      <c r="CL33" s="1169">
        <v>0</v>
      </c>
      <c r="CM33" s="1169">
        <v>0</v>
      </c>
      <c r="CN33" s="1169">
        <v>0</v>
      </c>
      <c r="CO33" s="1169">
        <v>0</v>
      </c>
      <c r="CP33" s="1169">
        <v>0</v>
      </c>
      <c r="CQ33" s="1169">
        <v>0</v>
      </c>
      <c r="CR33" s="1169">
        <v>0</v>
      </c>
      <c r="CS33" s="1169">
        <v>0</v>
      </c>
      <c r="CT33" s="1169">
        <v>0</v>
      </c>
      <c r="CU33" s="1169">
        <v>0</v>
      </c>
      <c r="CV33" s="1169">
        <v>0</v>
      </c>
      <c r="CW33" s="1169">
        <v>0</v>
      </c>
      <c r="CX33" s="1169">
        <v>0</v>
      </c>
      <c r="CY33" s="1169">
        <v>0</v>
      </c>
      <c r="CZ33" s="1169">
        <v>0</v>
      </c>
      <c r="DA33" s="1169">
        <v>0</v>
      </c>
      <c r="DB33" s="1169">
        <v>0</v>
      </c>
      <c r="DC33" s="1169">
        <v>0</v>
      </c>
      <c r="DD33" s="1169">
        <v>0</v>
      </c>
      <c r="DE33" s="1169">
        <v>0</v>
      </c>
      <c r="DF33" s="1169">
        <v>0</v>
      </c>
      <c r="DG33" s="1169">
        <v>0</v>
      </c>
      <c r="DH33" s="1169">
        <v>0</v>
      </c>
      <c r="DI33" s="1171"/>
      <c r="DJ33" s="1169">
        <v>0</v>
      </c>
      <c r="DK33" s="102">
        <v>0</v>
      </c>
      <c r="DL33" s="102">
        <v>0</v>
      </c>
      <c r="DM33" s="102">
        <v>0</v>
      </c>
      <c r="DN33" s="102">
        <v>0</v>
      </c>
      <c r="DO33" s="102">
        <v>0</v>
      </c>
      <c r="DP33" s="102">
        <v>0</v>
      </c>
      <c r="DQ33" s="102">
        <v>0</v>
      </c>
      <c r="DR33" s="102">
        <v>0</v>
      </c>
      <c r="DS33" s="102">
        <v>0</v>
      </c>
      <c r="DT33" s="102">
        <v>0</v>
      </c>
      <c r="DU33" s="102">
        <v>0</v>
      </c>
      <c r="DW33" s="102"/>
      <c r="DX33" s="102"/>
      <c r="DY33" s="102"/>
      <c r="DZ33" s="102"/>
      <c r="EA33" s="102"/>
      <c r="EB33" s="102"/>
      <c r="EC33" s="102"/>
      <c r="ED33" s="102"/>
      <c r="EE33" s="102"/>
      <c r="EF33" s="102"/>
      <c r="EG33" s="102"/>
      <c r="EH33" s="102"/>
      <c r="EI33" s="102">
        <v>-2</v>
      </c>
      <c r="EJ33" s="102">
        <v>-2</v>
      </c>
      <c r="EK33" s="102">
        <v>-30</v>
      </c>
      <c r="EL33" s="102">
        <v>-30</v>
      </c>
      <c r="EM33" s="102">
        <v>-2</v>
      </c>
      <c r="EN33" s="102">
        <v>-2</v>
      </c>
      <c r="EO33" s="102">
        <v>-2</v>
      </c>
      <c r="EP33" s="102">
        <v>-2</v>
      </c>
      <c r="EQ33" s="102">
        <v>-30</v>
      </c>
      <c r="ER33" s="102">
        <v>-2</v>
      </c>
      <c r="ES33" s="102">
        <v>-30</v>
      </c>
      <c r="ET33" s="102">
        <v>-2</v>
      </c>
      <c r="EU33" s="102"/>
      <c r="EV33" s="102"/>
      <c r="EW33" s="102"/>
      <c r="EX33" s="102"/>
      <c r="EY33" s="102"/>
      <c r="EZ33" s="102"/>
      <c r="FA33" s="102"/>
      <c r="FB33" s="102"/>
      <c r="FC33" s="102"/>
      <c r="FD33" s="102"/>
      <c r="FE33" s="102"/>
      <c r="FF33" s="102"/>
      <c r="FG33" s="102">
        <v>0</v>
      </c>
      <c r="FH33" s="102">
        <v>0</v>
      </c>
      <c r="FI33" s="102">
        <v>0</v>
      </c>
      <c r="FJ33" s="102">
        <v>0</v>
      </c>
      <c r="FK33" s="102">
        <v>0</v>
      </c>
      <c r="FL33" s="102">
        <v>0</v>
      </c>
      <c r="FM33" s="102">
        <v>0</v>
      </c>
      <c r="FN33" s="102">
        <v>0</v>
      </c>
      <c r="FO33" s="102">
        <v>0</v>
      </c>
      <c r="FP33" s="102">
        <v>0</v>
      </c>
      <c r="FQ33" s="102">
        <v>0</v>
      </c>
      <c r="FR33" s="102">
        <v>0</v>
      </c>
      <c r="FS33" s="102">
        <v>0</v>
      </c>
      <c r="FT33" s="102">
        <v>0</v>
      </c>
      <c r="FU33" s="102">
        <v>0</v>
      </c>
      <c r="FV33" s="102">
        <v>0</v>
      </c>
      <c r="FW33" s="102">
        <v>0</v>
      </c>
      <c r="FX33" s="102">
        <v>0</v>
      </c>
      <c r="FY33" s="102">
        <v>0</v>
      </c>
      <c r="FZ33" s="102">
        <v>0</v>
      </c>
      <c r="GA33" s="102">
        <v>0</v>
      </c>
      <c r="GB33" s="102">
        <v>0</v>
      </c>
      <c r="GC33" s="102">
        <v>0</v>
      </c>
      <c r="GD33" s="102">
        <v>0</v>
      </c>
      <c r="GF33" s="102">
        <f t="shared" si="56"/>
        <v>-13.929201000000001</v>
      </c>
      <c r="GG33" s="102">
        <f t="shared" si="56"/>
        <v>-9.0186220000000006</v>
      </c>
      <c r="GH33" s="102">
        <f t="shared" si="56"/>
        <v>0</v>
      </c>
      <c r="GI33" s="102">
        <f t="shared" si="56"/>
        <v>-10.955347</v>
      </c>
      <c r="GJ33" s="102">
        <f t="shared" si="83"/>
        <v>0</v>
      </c>
      <c r="GK33" s="102">
        <f t="shared" si="37"/>
        <v>0</v>
      </c>
      <c r="GL33" s="102">
        <f t="shared" si="38"/>
        <v>0</v>
      </c>
      <c r="GM33" s="102">
        <f t="shared" si="57"/>
        <v>0</v>
      </c>
      <c r="GN33" s="102">
        <f t="shared" si="7"/>
        <v>0</v>
      </c>
      <c r="GO33" s="102">
        <v>0</v>
      </c>
      <c r="GQ33" s="929">
        <f t="shared" si="58"/>
        <v>-1</v>
      </c>
      <c r="GR33" s="929" t="str">
        <f t="shared" si="58"/>
        <v/>
      </c>
      <c r="GS33" s="929">
        <f t="shared" si="58"/>
        <v>-1</v>
      </c>
      <c r="GT33" s="929" t="str">
        <f t="shared" si="58"/>
        <v/>
      </c>
      <c r="GU33" s="929" t="str">
        <f t="shared" si="58"/>
        <v/>
      </c>
      <c r="GV33" s="929" t="str">
        <f t="shared" si="58"/>
        <v/>
      </c>
      <c r="GW33" s="929" t="str">
        <f t="shared" si="58"/>
        <v/>
      </c>
      <c r="GX33" s="929" t="str">
        <f t="shared" si="58"/>
        <v/>
      </c>
      <c r="GY33" s="929" t="str">
        <f t="shared" si="9"/>
        <v/>
      </c>
      <c r="HA33" s="102">
        <f t="shared" si="59"/>
        <v>9.0186220000000006</v>
      </c>
      <c r="HB33" s="102">
        <f t="shared" si="59"/>
        <v>-10.955347</v>
      </c>
      <c r="HC33" s="102">
        <f t="shared" si="59"/>
        <v>10.955347</v>
      </c>
      <c r="HD33" s="102">
        <f t="shared" si="59"/>
        <v>0</v>
      </c>
      <c r="HE33" s="102">
        <f t="shared" si="59"/>
        <v>0</v>
      </c>
      <c r="HF33" s="102">
        <f t="shared" si="59"/>
        <v>0</v>
      </c>
      <c r="HG33" s="102">
        <f t="shared" si="59"/>
        <v>0</v>
      </c>
      <c r="HH33" s="102">
        <f t="shared" si="59"/>
        <v>0</v>
      </c>
      <c r="HI33" s="102">
        <f t="shared" si="11"/>
        <v>0</v>
      </c>
      <c r="HK33" s="32">
        <f t="shared" si="86"/>
        <v>-2.4536942614145334E-4</v>
      </c>
      <c r="HL33" s="32">
        <f t="shared" si="86"/>
        <v>0</v>
      </c>
      <c r="HM33" s="32">
        <f t="shared" si="86"/>
        <v>-6.5006158568521643E-4</v>
      </c>
      <c r="HN33" s="32">
        <f t="shared" si="86"/>
        <v>0</v>
      </c>
      <c r="HO33" s="32">
        <f t="shared" si="86"/>
        <v>0</v>
      </c>
      <c r="HP33" s="32">
        <f t="shared" si="86"/>
        <v>0</v>
      </c>
      <c r="HQ33" s="32">
        <f t="shared" si="86"/>
        <v>0</v>
      </c>
      <c r="HR33" s="32">
        <f t="shared" si="86"/>
        <v>0</v>
      </c>
      <c r="HS33" s="32">
        <f t="shared" si="86"/>
        <v>0</v>
      </c>
      <c r="HU33" s="102">
        <f t="shared" si="90"/>
        <v>-9.5217449999999992</v>
      </c>
      <c r="HV33" s="102">
        <f t="shared" si="90"/>
        <v>-0.183</v>
      </c>
      <c r="HW33" s="102">
        <f t="shared" si="90"/>
        <v>-6.6522399999999999</v>
      </c>
      <c r="HX33" s="102">
        <f t="shared" si="90"/>
        <v>-6.4920690000000008</v>
      </c>
      <c r="HY33" s="102">
        <f t="shared" si="90"/>
        <v>0</v>
      </c>
      <c r="HZ33" s="102">
        <f t="shared" si="90"/>
        <v>0</v>
      </c>
      <c r="IA33" s="102">
        <f t="shared" si="62"/>
        <v>0</v>
      </c>
      <c r="IB33" s="102">
        <f t="shared" si="63"/>
        <v>0</v>
      </c>
      <c r="IC33" s="102">
        <f t="shared" si="64"/>
        <v>0</v>
      </c>
      <c r="ID33" s="102">
        <f t="shared" si="18"/>
        <v>0</v>
      </c>
      <c r="IE33" s="102">
        <f t="shared" si="65"/>
        <v>0</v>
      </c>
      <c r="IF33" s="922" t="str">
        <f t="shared" si="20"/>
        <v/>
      </c>
      <c r="IG33" s="102">
        <f t="shared" si="21"/>
        <v>0</v>
      </c>
      <c r="IH33" s="102">
        <f t="shared" si="21"/>
        <v>0</v>
      </c>
      <c r="II33" s="145"/>
      <c r="IJ33" s="929" t="str">
        <f t="shared" si="66"/>
        <v/>
      </c>
      <c r="IK33" s="930">
        <f t="shared" si="40"/>
        <v>0</v>
      </c>
      <c r="IM33" s="32">
        <f t="shared" si="41"/>
        <v>0</v>
      </c>
      <c r="IN33" s="929">
        <f t="shared" si="22"/>
        <v>0</v>
      </c>
      <c r="IP33" s="929">
        <f t="shared" si="84"/>
        <v>35.35103825136612</v>
      </c>
      <c r="IQ33" s="929">
        <f t="shared" si="84"/>
        <v>-2.4077754260218964E-2</v>
      </c>
      <c r="IR33" s="929">
        <f t="shared" si="84"/>
        <v>-1</v>
      </c>
      <c r="IS33" s="929" t="str">
        <f t="shared" si="84"/>
        <v/>
      </c>
      <c r="IT33" s="929" t="str">
        <f t="shared" si="84"/>
        <v/>
      </c>
      <c r="IU33" s="929" t="str">
        <f t="shared" si="84"/>
        <v/>
      </c>
      <c r="IV33" s="929" t="str">
        <f t="shared" si="85"/>
        <v/>
      </c>
      <c r="IX33" s="102">
        <f t="shared" si="68"/>
        <v>-6.4692400000000001</v>
      </c>
      <c r="IY33" s="102">
        <f t="shared" si="68"/>
        <v>0.16017099999999918</v>
      </c>
      <c r="IZ33" s="102">
        <f t="shared" si="68"/>
        <v>6.4920690000000008</v>
      </c>
      <c r="JA33" s="102">
        <f t="shared" si="68"/>
        <v>0</v>
      </c>
      <c r="JB33" s="102">
        <f t="shared" si="68"/>
        <v>0</v>
      </c>
      <c r="JC33" s="102">
        <f t="shared" si="68"/>
        <v>0</v>
      </c>
      <c r="JD33" s="102">
        <f t="shared" si="69"/>
        <v>0</v>
      </c>
      <c r="JF33" s="32">
        <f t="shared" si="70"/>
        <v>-5.9530752847716871E-4</v>
      </c>
      <c r="JG33" s="32">
        <f t="shared" si="70"/>
        <v>-1.0732301088336317E-5</v>
      </c>
      <c r="JH33" s="32">
        <f t="shared" si="70"/>
        <v>-4.0923587960844894E-4</v>
      </c>
      <c r="JI33" s="32">
        <f t="shared" si="70"/>
        <v>-6.9403653539061268E-4</v>
      </c>
      <c r="JJ33" s="32">
        <f t="shared" si="70"/>
        <v>0</v>
      </c>
      <c r="JK33" s="32">
        <f t="shared" si="70"/>
        <v>0</v>
      </c>
      <c r="JL33" s="32">
        <f t="shared" si="70"/>
        <v>0</v>
      </c>
      <c r="JM33" s="32">
        <f t="shared" si="71"/>
        <v>0</v>
      </c>
      <c r="JO33" s="102">
        <f t="shared" si="91"/>
        <v>-8.7293249999999993</v>
      </c>
      <c r="JP33" s="102">
        <f t="shared" si="91"/>
        <v>0</v>
      </c>
      <c r="JQ33" s="102">
        <f t="shared" si="91"/>
        <v>-6.6522399999999999</v>
      </c>
      <c r="JR33" s="102">
        <f t="shared" si="91"/>
        <v>-1.2069E-2</v>
      </c>
      <c r="JS33" s="102">
        <f t="shared" si="91"/>
        <v>0</v>
      </c>
      <c r="JT33" s="102">
        <f t="shared" si="73"/>
        <v>0</v>
      </c>
      <c r="JU33" s="102">
        <f t="shared" si="74"/>
        <v>0</v>
      </c>
      <c r="JV33" s="102">
        <f t="shared" si="74"/>
        <v>0</v>
      </c>
      <c r="JW33" s="102">
        <f t="shared" si="75"/>
        <v>0</v>
      </c>
      <c r="JX33" s="102">
        <f t="shared" si="76"/>
        <v>0</v>
      </c>
      <c r="JY33" s="102">
        <f t="shared" si="77"/>
        <v>0</v>
      </c>
      <c r="KB33" s="32" t="str">
        <f t="shared" si="78"/>
        <v xml:space="preserve"> </v>
      </c>
      <c r="KC33" s="32">
        <f t="shared" si="78"/>
        <v>-0.99818572390653371</v>
      </c>
      <c r="KD33" s="32">
        <f t="shared" si="78"/>
        <v>-1</v>
      </c>
      <c r="KE33" s="32" t="str">
        <f t="shared" si="78"/>
        <v xml:space="preserve"> </v>
      </c>
      <c r="KF33" s="32" t="str">
        <f t="shared" si="78"/>
        <v xml:space="preserve"> </v>
      </c>
      <c r="KG33" s="32" t="str">
        <f t="shared" si="78"/>
        <v xml:space="preserve"> </v>
      </c>
      <c r="KH33" s="32" t="str">
        <f t="shared" si="79"/>
        <v xml:space="preserve"> </v>
      </c>
      <c r="KJ33" s="102">
        <f t="shared" si="80"/>
        <v>-6.6522399999999999</v>
      </c>
      <c r="KK33" s="102">
        <f t="shared" si="80"/>
        <v>6.6401709999999996</v>
      </c>
      <c r="KL33" s="102">
        <f t="shared" si="80"/>
        <v>1.2069E-2</v>
      </c>
      <c r="KM33" s="102">
        <f t="shared" si="80"/>
        <v>0</v>
      </c>
      <c r="KN33" s="102">
        <f t="shared" si="80"/>
        <v>0</v>
      </c>
      <c r="KO33" s="102">
        <f t="shared" si="80"/>
        <v>0</v>
      </c>
      <c r="KP33" s="102">
        <f t="shared" si="81"/>
        <v>0</v>
      </c>
      <c r="KR33" s="32">
        <f t="shared" si="87"/>
        <v>-2.7229588591450252E-3</v>
      </c>
      <c r="KS33" s="32">
        <f t="shared" si="87"/>
        <v>0</v>
      </c>
      <c r="KT33" s="32">
        <f t="shared" si="87"/>
        <v>-2.6514219353649289E-3</v>
      </c>
      <c r="KU33" s="32">
        <f t="shared" si="87"/>
        <v>-1.3489935087907095E-5</v>
      </c>
      <c r="KV33" s="32">
        <f t="shared" si="87"/>
        <v>0</v>
      </c>
      <c r="KW33" s="32">
        <f t="shared" si="87"/>
        <v>0</v>
      </c>
      <c r="KX33" s="32">
        <f t="shared" si="87"/>
        <v>0</v>
      </c>
      <c r="KY33" s="32">
        <f t="shared" si="87"/>
        <v>0</v>
      </c>
      <c r="KZ33" s="32">
        <f t="shared" si="46"/>
        <v>0</v>
      </c>
    </row>
    <row r="34" spans="1:312" outlineLevel="2">
      <c r="A34" s="884">
        <v>7450</v>
      </c>
      <c r="B34" s="70" t="s">
        <v>640</v>
      </c>
      <c r="C34" s="29" t="s">
        <v>87</v>
      </c>
      <c r="D34" s="31" t="s">
        <v>59</v>
      </c>
      <c r="E34" s="102">
        <v>-0.51725500000000002</v>
      </c>
      <c r="F34" s="102">
        <v>-0.12362099999999998</v>
      </c>
      <c r="G34" s="102">
        <v>0</v>
      </c>
      <c r="H34" s="102">
        <v>0</v>
      </c>
      <c r="I34" s="102">
        <v>0</v>
      </c>
      <c r="J34" s="102">
        <v>0</v>
      </c>
      <c r="K34" s="102">
        <v>0</v>
      </c>
      <c r="L34" s="102">
        <v>0</v>
      </c>
      <c r="M34" s="102">
        <v>0</v>
      </c>
      <c r="N34" s="102">
        <v>0</v>
      </c>
      <c r="O34" s="102">
        <v>0</v>
      </c>
      <c r="P34" s="102">
        <v>-0.48717199999999994</v>
      </c>
      <c r="Q34" s="102">
        <v>0</v>
      </c>
      <c r="R34" s="102">
        <v>0</v>
      </c>
      <c r="S34" s="102">
        <v>0</v>
      </c>
      <c r="T34" s="102">
        <v>0</v>
      </c>
      <c r="U34" s="102">
        <v>-0.15</v>
      </c>
      <c r="V34" s="102">
        <v>0</v>
      </c>
      <c r="W34" s="102">
        <v>-0.35344828000000006</v>
      </c>
      <c r="X34" s="102">
        <v>-0.56167499999999981</v>
      </c>
      <c r="Y34" s="102">
        <v>-0.35683965999999989</v>
      </c>
      <c r="Z34" s="102">
        <v>-0.20188378000000018</v>
      </c>
      <c r="AA34" s="102">
        <v>-4.0000000000000036E-2</v>
      </c>
      <c r="AB34" s="102">
        <v>-0.14949999999999997</v>
      </c>
      <c r="AC34" s="102">
        <v>0</v>
      </c>
      <c r="AD34" s="102">
        <v>0</v>
      </c>
      <c r="AE34" s="102">
        <v>-0.254</v>
      </c>
      <c r="AF34" s="102">
        <v>-0.25850000000000001</v>
      </c>
      <c r="AG34" s="102">
        <v>-9.38035161</v>
      </c>
      <c r="AH34" s="102">
        <v>0</v>
      </c>
      <c r="AI34" s="102">
        <v>-0.24133621</v>
      </c>
      <c r="AJ34" s="102">
        <v>0</v>
      </c>
      <c r="AK34" s="102">
        <v>-0.15603448</v>
      </c>
      <c r="AL34" s="102">
        <v>0</v>
      </c>
      <c r="AM34" s="102">
        <v>0</v>
      </c>
      <c r="AN34" s="102">
        <v>0</v>
      </c>
      <c r="AO34" s="102">
        <v>0</v>
      </c>
      <c r="AP34" s="145">
        <v>0</v>
      </c>
      <c r="AQ34" s="143">
        <v>0</v>
      </c>
      <c r="AR34" s="143">
        <v>0</v>
      </c>
      <c r="AS34" s="102">
        <v>0</v>
      </c>
      <c r="AT34" s="102">
        <v>0</v>
      </c>
      <c r="AU34" s="102">
        <v>0</v>
      </c>
      <c r="AV34" s="102">
        <v>0</v>
      </c>
      <c r="AW34" s="102">
        <v>0</v>
      </c>
      <c r="AX34" s="102">
        <v>0</v>
      </c>
      <c r="AY34" s="102">
        <v>0</v>
      </c>
      <c r="AZ34" s="102">
        <v>0</v>
      </c>
      <c r="BA34" s="102">
        <v>0</v>
      </c>
      <c r="BB34" s="102">
        <v>-1.9450000000000001</v>
      </c>
      <c r="BC34" s="102">
        <v>0</v>
      </c>
      <c r="BD34" s="102">
        <v>0</v>
      </c>
      <c r="BE34" s="102">
        <v>0</v>
      </c>
      <c r="BF34" s="102">
        <v>0</v>
      </c>
      <c r="BG34" s="102">
        <v>-7.7360200000000006E-3</v>
      </c>
      <c r="BH34" s="102">
        <v>0</v>
      </c>
      <c r="BI34" s="102">
        <v>0</v>
      </c>
      <c r="BJ34" s="102">
        <v>0</v>
      </c>
      <c r="BK34" s="102">
        <v>0</v>
      </c>
      <c r="BL34" s="102">
        <v>0</v>
      </c>
      <c r="BM34" s="102">
        <v>0</v>
      </c>
      <c r="BN34" s="102">
        <v>0</v>
      </c>
      <c r="BO34" s="102">
        <v>0</v>
      </c>
      <c r="BP34" s="102">
        <v>0</v>
      </c>
      <c r="BQ34" s="102">
        <v>0</v>
      </c>
      <c r="BR34" s="102">
        <v>0</v>
      </c>
      <c r="BS34" s="102">
        <v>0</v>
      </c>
      <c r="BT34" s="102">
        <v>0</v>
      </c>
      <c r="BU34" s="102">
        <v>0</v>
      </c>
      <c r="BV34" s="102">
        <v>0</v>
      </c>
      <c r="BW34" s="102">
        <v>0</v>
      </c>
      <c r="BX34" s="102">
        <v>0</v>
      </c>
      <c r="BY34" s="102">
        <v>0</v>
      </c>
      <c r="BZ34" s="102">
        <v>0</v>
      </c>
      <c r="CA34" s="102">
        <v>0</v>
      </c>
      <c r="CB34" s="102">
        <v>0</v>
      </c>
      <c r="CC34" s="102">
        <v>0</v>
      </c>
      <c r="CD34" s="102">
        <v>0</v>
      </c>
      <c r="CE34" s="102">
        <v>0</v>
      </c>
      <c r="CF34" s="102">
        <v>0</v>
      </c>
      <c r="CG34" s="102">
        <v>0</v>
      </c>
      <c r="CH34" s="102">
        <v>0</v>
      </c>
      <c r="CI34" s="102">
        <v>0</v>
      </c>
      <c r="CJ34" s="102">
        <v>0</v>
      </c>
      <c r="CK34" s="1169">
        <v>0</v>
      </c>
      <c r="CL34" s="1169">
        <v>0</v>
      </c>
      <c r="CM34" s="1169">
        <v>0</v>
      </c>
      <c r="CN34" s="1169">
        <v>0</v>
      </c>
      <c r="CO34" s="1169">
        <v>0</v>
      </c>
      <c r="CP34" s="1169">
        <v>0</v>
      </c>
      <c r="CQ34" s="1169">
        <v>0</v>
      </c>
      <c r="CR34" s="1169">
        <v>0</v>
      </c>
      <c r="CS34" s="1169">
        <v>0</v>
      </c>
      <c r="CT34" s="1169">
        <v>0</v>
      </c>
      <c r="CU34" s="1169">
        <v>0</v>
      </c>
      <c r="CV34" s="1169">
        <v>0</v>
      </c>
      <c r="CW34" s="1169">
        <v>0</v>
      </c>
      <c r="CX34" s="1169">
        <v>0</v>
      </c>
      <c r="CY34" s="1169">
        <v>0</v>
      </c>
      <c r="CZ34" s="1169">
        <v>0</v>
      </c>
      <c r="DA34" s="1169">
        <v>0</v>
      </c>
      <c r="DB34" s="1169">
        <v>0</v>
      </c>
      <c r="DC34" s="1169">
        <v>0</v>
      </c>
      <c r="DD34" s="1169">
        <v>0</v>
      </c>
      <c r="DE34" s="1169">
        <v>0</v>
      </c>
      <c r="DF34" s="1169">
        <v>0</v>
      </c>
      <c r="DG34" s="1169">
        <v>0</v>
      </c>
      <c r="DH34" s="1169">
        <v>0</v>
      </c>
      <c r="DI34" s="1171"/>
      <c r="DJ34" s="1169">
        <v>0</v>
      </c>
      <c r="DK34" s="102">
        <v>0</v>
      </c>
      <c r="DL34" s="102">
        <v>0</v>
      </c>
      <c r="DM34" s="102">
        <v>0</v>
      </c>
      <c r="DN34" s="102">
        <v>0</v>
      </c>
      <c r="DO34" s="102">
        <v>0</v>
      </c>
      <c r="DP34" s="102">
        <v>0</v>
      </c>
      <c r="DQ34" s="102">
        <v>0</v>
      </c>
      <c r="DR34" s="102">
        <v>0</v>
      </c>
      <c r="DS34" s="102">
        <v>0</v>
      </c>
      <c r="DT34" s="102">
        <v>0</v>
      </c>
      <c r="DU34" s="102">
        <v>0</v>
      </c>
      <c r="DW34" s="102"/>
      <c r="DX34" s="102"/>
      <c r="DY34" s="102"/>
      <c r="DZ34" s="102"/>
      <c r="EA34" s="102"/>
      <c r="EB34" s="102"/>
      <c r="EC34" s="102"/>
      <c r="ED34" s="102"/>
      <c r="EE34" s="102"/>
      <c r="EF34" s="102"/>
      <c r="EG34" s="102"/>
      <c r="EH34" s="102"/>
      <c r="EI34" s="102">
        <v>0</v>
      </c>
      <c r="EJ34" s="102">
        <v>0</v>
      </c>
      <c r="EK34" s="102">
        <v>0</v>
      </c>
      <c r="EL34" s="102">
        <v>0</v>
      </c>
      <c r="EM34" s="102">
        <v>0</v>
      </c>
      <c r="EN34" s="102">
        <v>0</v>
      </c>
      <c r="EO34" s="102">
        <v>0</v>
      </c>
      <c r="EP34" s="102">
        <v>0</v>
      </c>
      <c r="EQ34" s="102">
        <v>0</v>
      </c>
      <c r="ER34" s="102">
        <v>0</v>
      </c>
      <c r="ES34" s="102">
        <v>0</v>
      </c>
      <c r="ET34" s="102">
        <v>0</v>
      </c>
      <c r="EU34" s="102">
        <v>-32.043999999999997</v>
      </c>
      <c r="EV34" s="102">
        <v>-15.084</v>
      </c>
      <c r="EW34" s="102">
        <v>-15.084</v>
      </c>
      <c r="EX34" s="102">
        <v>-15.084</v>
      </c>
      <c r="EY34" s="102">
        <v>-15.084</v>
      </c>
      <c r="EZ34" s="102">
        <v>-6.12</v>
      </c>
      <c r="FA34" s="102">
        <v>-16.96</v>
      </c>
      <c r="FB34" s="102">
        <v>0</v>
      </c>
      <c r="FC34" s="102">
        <v>0</v>
      </c>
      <c r="FD34" s="102">
        <v>0</v>
      </c>
      <c r="FE34" s="102">
        <v>0</v>
      </c>
      <c r="FF34" s="102">
        <v>0</v>
      </c>
      <c r="FG34" s="102">
        <v>0</v>
      </c>
      <c r="FH34" s="102">
        <v>0</v>
      </c>
      <c r="FI34" s="102">
        <v>0</v>
      </c>
      <c r="FJ34" s="102">
        <v>0</v>
      </c>
      <c r="FK34" s="102">
        <v>0</v>
      </c>
      <c r="FL34" s="102">
        <v>0</v>
      </c>
      <c r="FM34" s="102">
        <v>0</v>
      </c>
      <c r="FN34" s="102">
        <v>0</v>
      </c>
      <c r="FO34" s="102">
        <v>0</v>
      </c>
      <c r="FP34" s="102">
        <v>0</v>
      </c>
      <c r="FQ34" s="102">
        <v>0</v>
      </c>
      <c r="FR34" s="102">
        <v>0</v>
      </c>
      <c r="FS34" s="102">
        <v>0</v>
      </c>
      <c r="FT34" s="102">
        <v>0</v>
      </c>
      <c r="FU34" s="102">
        <v>0</v>
      </c>
      <c r="FV34" s="102">
        <v>0</v>
      </c>
      <c r="FW34" s="102">
        <v>0</v>
      </c>
      <c r="FX34" s="102">
        <v>0</v>
      </c>
      <c r="FY34" s="102">
        <v>0</v>
      </c>
      <c r="FZ34" s="102">
        <v>0</v>
      </c>
      <c r="GA34" s="102">
        <v>0</v>
      </c>
      <c r="GB34" s="102">
        <v>0</v>
      </c>
      <c r="GC34" s="102">
        <v>0</v>
      </c>
      <c r="GD34" s="102">
        <v>0</v>
      </c>
      <c r="GF34" s="102">
        <f t="shared" si="56"/>
        <v>-1.1280479999999999</v>
      </c>
      <c r="GG34" s="102">
        <f t="shared" si="56"/>
        <v>-1.81334672</v>
      </c>
      <c r="GH34" s="102">
        <f t="shared" si="56"/>
        <v>-10.2902223</v>
      </c>
      <c r="GI34" s="102">
        <f t="shared" si="56"/>
        <v>0</v>
      </c>
      <c r="GJ34" s="102">
        <f t="shared" si="83"/>
        <v>-1.9527360200000001</v>
      </c>
      <c r="GK34" s="102">
        <f t="shared" si="37"/>
        <v>0</v>
      </c>
      <c r="GL34" s="102">
        <f t="shared" si="38"/>
        <v>0</v>
      </c>
      <c r="GM34" s="102">
        <f t="shared" si="57"/>
        <v>0</v>
      </c>
      <c r="GN34" s="102">
        <f t="shared" si="7"/>
        <v>0</v>
      </c>
      <c r="GO34" s="102">
        <v>0</v>
      </c>
      <c r="GQ34" s="929">
        <f t="shared" si="58"/>
        <v>4.6747130521183502</v>
      </c>
      <c r="GR34" s="929">
        <f t="shared" si="58"/>
        <v>-1</v>
      </c>
      <c r="GS34" s="929" t="str">
        <f t="shared" si="58"/>
        <v/>
      </c>
      <c r="GT34" s="929">
        <f t="shared" si="58"/>
        <v>-1</v>
      </c>
      <c r="GU34" s="929" t="str">
        <f t="shared" si="58"/>
        <v/>
      </c>
      <c r="GV34" s="929" t="str">
        <f t="shared" si="58"/>
        <v/>
      </c>
      <c r="GW34" s="929" t="str">
        <f t="shared" si="58"/>
        <v/>
      </c>
      <c r="GX34" s="929" t="str">
        <f t="shared" si="58"/>
        <v/>
      </c>
      <c r="GY34" s="929" t="str">
        <f t="shared" si="9"/>
        <v/>
      </c>
      <c r="HA34" s="102">
        <f t="shared" si="59"/>
        <v>-8.4768755799999997</v>
      </c>
      <c r="HB34" s="102">
        <f t="shared" si="59"/>
        <v>10.2902223</v>
      </c>
      <c r="HC34" s="102">
        <f t="shared" si="59"/>
        <v>-1.9527360200000001</v>
      </c>
      <c r="HD34" s="102">
        <f t="shared" si="59"/>
        <v>1.9527360200000001</v>
      </c>
      <c r="HE34" s="102">
        <f t="shared" si="59"/>
        <v>0</v>
      </c>
      <c r="HF34" s="102">
        <f t="shared" si="59"/>
        <v>0</v>
      </c>
      <c r="HG34" s="102">
        <f t="shared" si="59"/>
        <v>0</v>
      </c>
      <c r="HH34" s="102">
        <f t="shared" si="59"/>
        <v>0</v>
      </c>
      <c r="HI34" s="102">
        <f t="shared" si="11"/>
        <v>0</v>
      </c>
      <c r="HK34" s="32">
        <f t="shared" si="86"/>
        <v>-4.9335679451016644E-5</v>
      </c>
      <c r="HL34" s="32">
        <f t="shared" si="86"/>
        <v>-2.6128601584047873E-4</v>
      </c>
      <c r="HM34" s="32">
        <f t="shared" si="86"/>
        <v>0</v>
      </c>
      <c r="HN34" s="32">
        <f t="shared" si="86"/>
        <v>-3.1741344500520207E-4</v>
      </c>
      <c r="HO34" s="32">
        <f t="shared" si="86"/>
        <v>0</v>
      </c>
      <c r="HP34" s="32">
        <f t="shared" si="86"/>
        <v>0</v>
      </c>
      <c r="HQ34" s="32">
        <f t="shared" si="86"/>
        <v>0</v>
      </c>
      <c r="HR34" s="32">
        <f t="shared" si="86"/>
        <v>0</v>
      </c>
      <c r="HS34" s="32">
        <f t="shared" si="86"/>
        <v>0</v>
      </c>
      <c r="HU34" s="102">
        <f t="shared" si="90"/>
        <v>-0.640876</v>
      </c>
      <c r="HV34" s="102">
        <f t="shared" si="90"/>
        <v>-0.15</v>
      </c>
      <c r="HW34" s="102">
        <f t="shared" si="90"/>
        <v>-9.8928516099999992</v>
      </c>
      <c r="HX34" s="102">
        <f t="shared" si="90"/>
        <v>0</v>
      </c>
      <c r="HY34" s="102">
        <f t="shared" si="90"/>
        <v>-1.9450000000000001</v>
      </c>
      <c r="HZ34" s="102">
        <f t="shared" si="90"/>
        <v>0</v>
      </c>
      <c r="IA34" s="102">
        <f t="shared" si="62"/>
        <v>0</v>
      </c>
      <c r="IB34" s="102">
        <f t="shared" si="63"/>
        <v>0</v>
      </c>
      <c r="IC34" s="102">
        <f t="shared" si="64"/>
        <v>0</v>
      </c>
      <c r="ID34" s="102">
        <f t="shared" si="18"/>
        <v>0</v>
      </c>
      <c r="IE34" s="102">
        <f t="shared" si="65"/>
        <v>0</v>
      </c>
      <c r="IF34" s="922" t="str">
        <f t="shared" si="20"/>
        <v/>
      </c>
      <c r="IG34" s="102">
        <f t="shared" si="21"/>
        <v>0</v>
      </c>
      <c r="IH34" s="102">
        <f t="shared" si="21"/>
        <v>0</v>
      </c>
      <c r="II34" s="145"/>
      <c r="IJ34" s="929" t="str">
        <f t="shared" si="66"/>
        <v/>
      </c>
      <c r="IK34" s="930">
        <f t="shared" si="40"/>
        <v>0</v>
      </c>
      <c r="IM34" s="32">
        <f t="shared" si="41"/>
        <v>0</v>
      </c>
      <c r="IN34" s="929">
        <f t="shared" si="22"/>
        <v>0</v>
      </c>
      <c r="IP34" s="929">
        <f t="shared" si="84"/>
        <v>64.952344066666669</v>
      </c>
      <c r="IQ34" s="929">
        <f t="shared" si="84"/>
        <v>-1</v>
      </c>
      <c r="IR34" s="929" t="str">
        <f t="shared" si="84"/>
        <v/>
      </c>
      <c r="IS34" s="929">
        <f t="shared" si="84"/>
        <v>-1</v>
      </c>
      <c r="IT34" s="929" t="str">
        <f t="shared" si="84"/>
        <v/>
      </c>
      <c r="IU34" s="929" t="str">
        <f t="shared" si="84"/>
        <v/>
      </c>
      <c r="IV34" s="929" t="str">
        <f t="shared" si="85"/>
        <v/>
      </c>
      <c r="IX34" s="102">
        <f t="shared" si="68"/>
        <v>-9.7428516099999989</v>
      </c>
      <c r="IY34" s="102">
        <f t="shared" si="68"/>
        <v>9.8928516099999992</v>
      </c>
      <c r="IZ34" s="102">
        <f t="shared" si="68"/>
        <v>-1.9450000000000001</v>
      </c>
      <c r="JA34" s="102">
        <f t="shared" si="68"/>
        <v>1.9450000000000001</v>
      </c>
      <c r="JB34" s="102">
        <f t="shared" si="68"/>
        <v>0</v>
      </c>
      <c r="JC34" s="102">
        <f t="shared" si="68"/>
        <v>0</v>
      </c>
      <c r="JD34" s="102">
        <f t="shared" si="69"/>
        <v>0</v>
      </c>
      <c r="JF34" s="32">
        <f t="shared" si="70"/>
        <v>-4.0068108064260702E-5</v>
      </c>
      <c r="JG34" s="32">
        <f t="shared" si="70"/>
        <v>-8.7969681051937025E-6</v>
      </c>
      <c r="JH34" s="32">
        <f t="shared" si="70"/>
        <v>-6.085934708390271E-4</v>
      </c>
      <c r="JI34" s="32">
        <f t="shared" si="70"/>
        <v>0</v>
      </c>
      <c r="JJ34" s="32">
        <f t="shared" si="70"/>
        <v>-9.6928920896575553E-4</v>
      </c>
      <c r="JK34" s="32">
        <f t="shared" si="70"/>
        <v>0</v>
      </c>
      <c r="JL34" s="32">
        <f t="shared" si="70"/>
        <v>0</v>
      </c>
      <c r="JM34" s="32">
        <f t="shared" si="71"/>
        <v>0</v>
      </c>
      <c r="JO34" s="102">
        <f t="shared" si="91"/>
        <v>0</v>
      </c>
      <c r="JP34" s="102">
        <f t="shared" si="91"/>
        <v>0</v>
      </c>
      <c r="JQ34" s="102">
        <f t="shared" si="91"/>
        <v>0</v>
      </c>
      <c r="JR34" s="102">
        <f t="shared" si="91"/>
        <v>0</v>
      </c>
      <c r="JS34" s="102">
        <f t="shared" si="91"/>
        <v>0</v>
      </c>
      <c r="JT34" s="102">
        <f t="shared" si="73"/>
        <v>0</v>
      </c>
      <c r="JU34" s="102">
        <f t="shared" si="74"/>
        <v>0</v>
      </c>
      <c r="JV34" s="102">
        <f t="shared" si="74"/>
        <v>0</v>
      </c>
      <c r="JW34" s="102">
        <f t="shared" si="75"/>
        <v>0</v>
      </c>
      <c r="JX34" s="102">
        <f t="shared" si="76"/>
        <v>0</v>
      </c>
      <c r="JY34" s="102">
        <f t="shared" si="77"/>
        <v>0</v>
      </c>
      <c r="KB34" s="32" t="str">
        <f t="shared" si="78"/>
        <v xml:space="preserve"> </v>
      </c>
      <c r="KC34" s="32" t="str">
        <f t="shared" si="78"/>
        <v xml:space="preserve"> </v>
      </c>
      <c r="KD34" s="32" t="str">
        <f t="shared" si="78"/>
        <v xml:space="preserve"> </v>
      </c>
      <c r="KE34" s="32" t="str">
        <f t="shared" si="78"/>
        <v xml:space="preserve"> </v>
      </c>
      <c r="KF34" s="32" t="str">
        <f t="shared" si="78"/>
        <v xml:space="preserve"> </v>
      </c>
      <c r="KG34" s="32" t="str">
        <f t="shared" si="78"/>
        <v xml:space="preserve"> </v>
      </c>
      <c r="KH34" s="32" t="str">
        <f t="shared" si="79"/>
        <v xml:space="preserve"> </v>
      </c>
      <c r="KJ34" s="102">
        <f t="shared" si="80"/>
        <v>0</v>
      </c>
      <c r="KK34" s="102">
        <f t="shared" si="80"/>
        <v>0</v>
      </c>
      <c r="KL34" s="102">
        <f t="shared" si="80"/>
        <v>0</v>
      </c>
      <c r="KM34" s="102">
        <f t="shared" si="80"/>
        <v>0</v>
      </c>
      <c r="KN34" s="102">
        <f t="shared" si="80"/>
        <v>0</v>
      </c>
      <c r="KO34" s="102">
        <f t="shared" si="80"/>
        <v>0</v>
      </c>
      <c r="KP34" s="102">
        <f t="shared" si="81"/>
        <v>0</v>
      </c>
      <c r="KR34" s="32">
        <f t="shared" si="87"/>
        <v>0</v>
      </c>
      <c r="KS34" s="32">
        <f t="shared" si="87"/>
        <v>0</v>
      </c>
      <c r="KT34" s="32">
        <f t="shared" si="87"/>
        <v>0</v>
      </c>
      <c r="KU34" s="32">
        <f t="shared" si="87"/>
        <v>0</v>
      </c>
      <c r="KV34" s="32">
        <f t="shared" si="87"/>
        <v>0</v>
      </c>
      <c r="KW34" s="32">
        <f t="shared" si="87"/>
        <v>0</v>
      </c>
      <c r="KX34" s="32">
        <f t="shared" si="87"/>
        <v>0</v>
      </c>
      <c r="KY34" s="32">
        <f t="shared" si="87"/>
        <v>0</v>
      </c>
      <c r="KZ34" s="32">
        <f t="shared" si="46"/>
        <v>0</v>
      </c>
    </row>
    <row r="35" spans="1:312" outlineLevel="2">
      <c r="A35" s="884">
        <v>7499</v>
      </c>
      <c r="B35" s="70" t="s">
        <v>641</v>
      </c>
      <c r="C35" s="29" t="s">
        <v>93</v>
      </c>
      <c r="D35" s="31" t="s">
        <v>59</v>
      </c>
      <c r="E35" s="102">
        <v>0</v>
      </c>
      <c r="F35" s="102">
        <v>0</v>
      </c>
      <c r="G35" s="102">
        <v>0</v>
      </c>
      <c r="H35" s="102">
        <v>0</v>
      </c>
      <c r="I35" s="102">
        <v>0</v>
      </c>
      <c r="J35" s="102">
        <v>0</v>
      </c>
      <c r="K35" s="102">
        <v>0</v>
      </c>
      <c r="L35" s="102">
        <v>0</v>
      </c>
      <c r="M35" s="102">
        <v>0</v>
      </c>
      <c r="N35" s="102">
        <v>0</v>
      </c>
      <c r="O35" s="102">
        <v>0</v>
      </c>
      <c r="P35" s="102">
        <v>0</v>
      </c>
      <c r="Q35" s="102">
        <v>0</v>
      </c>
      <c r="R35" s="102">
        <v>0</v>
      </c>
      <c r="S35" s="102">
        <v>0</v>
      </c>
      <c r="T35" s="102">
        <v>0</v>
      </c>
      <c r="U35" s="102">
        <v>0</v>
      </c>
      <c r="V35" s="102">
        <v>0</v>
      </c>
      <c r="W35" s="102">
        <v>0</v>
      </c>
      <c r="X35" s="102">
        <v>0</v>
      </c>
      <c r="Y35" s="102">
        <v>0</v>
      </c>
      <c r="Z35" s="102">
        <v>0</v>
      </c>
      <c r="AA35" s="102">
        <v>0</v>
      </c>
      <c r="AB35" s="102">
        <v>-325.12170500000002</v>
      </c>
      <c r="AC35" s="102">
        <v>0</v>
      </c>
      <c r="AD35" s="102">
        <v>0</v>
      </c>
      <c r="AE35" s="102">
        <v>0</v>
      </c>
      <c r="AF35" s="102">
        <v>0</v>
      </c>
      <c r="AG35" s="102">
        <v>0</v>
      </c>
      <c r="AH35" s="102">
        <v>0</v>
      </c>
      <c r="AI35" s="102">
        <v>0</v>
      </c>
      <c r="AJ35" s="102">
        <v>0</v>
      </c>
      <c r="AK35" s="102">
        <v>0</v>
      </c>
      <c r="AL35" s="102">
        <v>0</v>
      </c>
      <c r="AM35" s="102">
        <v>0</v>
      </c>
      <c r="AN35" s="102">
        <v>-394.40524900000003</v>
      </c>
      <c r="AO35" s="102">
        <v>0</v>
      </c>
      <c r="AP35" s="145">
        <v>0</v>
      </c>
      <c r="AQ35" s="143">
        <v>0</v>
      </c>
      <c r="AR35" s="143">
        <v>0</v>
      </c>
      <c r="AS35" s="102">
        <v>0</v>
      </c>
      <c r="AT35" s="102">
        <v>0</v>
      </c>
      <c r="AU35" s="102">
        <v>0</v>
      </c>
      <c r="AV35" s="102">
        <v>0</v>
      </c>
      <c r="AW35" s="102">
        <v>0</v>
      </c>
      <c r="AX35" s="102">
        <v>0</v>
      </c>
      <c r="AY35" s="102">
        <v>0</v>
      </c>
      <c r="AZ35" s="102">
        <v>0</v>
      </c>
      <c r="BA35" s="102">
        <v>0</v>
      </c>
      <c r="BB35" s="102">
        <v>0</v>
      </c>
      <c r="BC35" s="102">
        <v>-34.578943520000003</v>
      </c>
      <c r="BD35" s="102">
        <v>21.15534152</v>
      </c>
      <c r="BE35" s="102">
        <v>-58.689087000000001</v>
      </c>
      <c r="BF35" s="102">
        <v>37.743915000000001</v>
      </c>
      <c r="BG35" s="102">
        <v>-32.876637000000002</v>
      </c>
      <c r="BH35" s="102">
        <v>-18.692212000000001</v>
      </c>
      <c r="BI35" s="102">
        <v>49.244430840000007</v>
      </c>
      <c r="BJ35" s="102">
        <v>-84.090258840000004</v>
      </c>
      <c r="BK35" s="102">
        <v>35.25714</v>
      </c>
      <c r="BL35" s="102">
        <v>-16.053332560000001</v>
      </c>
      <c r="BM35" s="102">
        <v>0</v>
      </c>
      <c r="BN35" s="102">
        <v>0</v>
      </c>
      <c r="BO35" s="102">
        <v>0</v>
      </c>
      <c r="BP35" s="102">
        <v>0</v>
      </c>
      <c r="BQ35" s="102">
        <v>0</v>
      </c>
      <c r="BR35" s="102">
        <v>0</v>
      </c>
      <c r="BS35" s="102">
        <v>0</v>
      </c>
      <c r="BT35" s="102">
        <v>0</v>
      </c>
      <c r="BU35" s="102">
        <v>0</v>
      </c>
      <c r="BV35" s="102">
        <v>0</v>
      </c>
      <c r="BW35" s="102">
        <v>0</v>
      </c>
      <c r="BX35" s="102">
        <v>0</v>
      </c>
      <c r="BY35" s="102">
        <v>0</v>
      </c>
      <c r="BZ35" s="102">
        <v>0</v>
      </c>
      <c r="CA35" s="102">
        <v>0</v>
      </c>
      <c r="CB35" s="102">
        <v>0</v>
      </c>
      <c r="CC35" s="102">
        <v>0</v>
      </c>
      <c r="CD35" s="102">
        <v>0</v>
      </c>
      <c r="CE35" s="102">
        <v>0</v>
      </c>
      <c r="CF35" s="102">
        <v>0</v>
      </c>
      <c r="CG35" s="102">
        <v>0</v>
      </c>
      <c r="CH35" s="102">
        <v>0</v>
      </c>
      <c r="CI35" s="102">
        <v>0</v>
      </c>
      <c r="CJ35" s="102">
        <v>0</v>
      </c>
      <c r="CK35" s="1169">
        <v>0</v>
      </c>
      <c r="CL35" s="1169">
        <v>0</v>
      </c>
      <c r="CM35" s="1169">
        <v>0</v>
      </c>
      <c r="CN35" s="1169">
        <v>0</v>
      </c>
      <c r="CO35" s="1169">
        <v>0</v>
      </c>
      <c r="CP35" s="1169">
        <v>0</v>
      </c>
      <c r="CQ35" s="1169">
        <v>0</v>
      </c>
      <c r="CR35" s="1169">
        <v>0</v>
      </c>
      <c r="CS35" s="1169">
        <v>0</v>
      </c>
      <c r="CT35" s="1169">
        <v>0</v>
      </c>
      <c r="CU35" s="1169">
        <v>0</v>
      </c>
      <c r="CV35" s="1169">
        <v>0</v>
      </c>
      <c r="CW35" s="1169">
        <v>0</v>
      </c>
      <c r="CX35" s="1169">
        <v>0</v>
      </c>
      <c r="CY35" s="1169">
        <v>0</v>
      </c>
      <c r="CZ35" s="1169">
        <v>0</v>
      </c>
      <c r="DA35" s="1169">
        <v>0</v>
      </c>
      <c r="DB35" s="1169">
        <v>0</v>
      </c>
      <c r="DC35" s="1169">
        <v>0</v>
      </c>
      <c r="DD35" s="1169">
        <v>0</v>
      </c>
      <c r="DE35" s="1169">
        <v>0</v>
      </c>
      <c r="DF35" s="1169">
        <v>0</v>
      </c>
      <c r="DG35" s="1169">
        <v>0</v>
      </c>
      <c r="DH35" s="1169">
        <v>0</v>
      </c>
      <c r="DI35" s="1171"/>
      <c r="DJ35" s="1169">
        <v>0</v>
      </c>
      <c r="DK35" s="102">
        <v>0</v>
      </c>
      <c r="DL35" s="102">
        <v>0</v>
      </c>
      <c r="DM35" s="102">
        <v>0</v>
      </c>
      <c r="DN35" s="102">
        <v>0</v>
      </c>
      <c r="DO35" s="102">
        <v>0</v>
      </c>
      <c r="DP35" s="102">
        <v>0</v>
      </c>
      <c r="DQ35" s="102">
        <v>0</v>
      </c>
      <c r="DR35" s="102">
        <v>0</v>
      </c>
      <c r="DS35" s="102">
        <v>0</v>
      </c>
      <c r="DT35" s="102">
        <v>0</v>
      </c>
      <c r="DU35" s="102">
        <v>0</v>
      </c>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v>0</v>
      </c>
      <c r="FH35" s="102">
        <v>0</v>
      </c>
      <c r="FI35" s="102">
        <v>0</v>
      </c>
      <c r="FJ35" s="102">
        <v>0</v>
      </c>
      <c r="FK35" s="102">
        <v>0</v>
      </c>
      <c r="FL35" s="102">
        <v>0</v>
      </c>
      <c r="FM35" s="102">
        <v>0</v>
      </c>
      <c r="FN35" s="102">
        <v>0</v>
      </c>
      <c r="FO35" s="102">
        <v>0</v>
      </c>
      <c r="FP35" s="102">
        <v>0</v>
      </c>
      <c r="FQ35" s="102">
        <v>0</v>
      </c>
      <c r="FR35" s="102">
        <v>0</v>
      </c>
      <c r="FS35" s="102">
        <v>0</v>
      </c>
      <c r="FT35" s="102">
        <v>0</v>
      </c>
      <c r="FU35" s="102">
        <v>0</v>
      </c>
      <c r="FV35" s="102">
        <v>0</v>
      </c>
      <c r="FW35" s="102">
        <v>0</v>
      </c>
      <c r="FX35" s="102">
        <v>0</v>
      </c>
      <c r="FY35" s="102">
        <v>0</v>
      </c>
      <c r="FZ35" s="102">
        <v>0</v>
      </c>
      <c r="GA35" s="102">
        <v>0</v>
      </c>
      <c r="GB35" s="102">
        <v>0</v>
      </c>
      <c r="GC35" s="102">
        <v>0</v>
      </c>
      <c r="GD35" s="102">
        <v>0</v>
      </c>
      <c r="GF35" s="102">
        <f t="shared" si="56"/>
        <v>0</v>
      </c>
      <c r="GG35" s="102">
        <f t="shared" si="56"/>
        <v>-325.12170500000002</v>
      </c>
      <c r="GH35" s="102">
        <f t="shared" si="56"/>
        <v>-394.40524900000003</v>
      </c>
      <c r="GI35" s="102">
        <f t="shared" si="56"/>
        <v>0</v>
      </c>
      <c r="GJ35" s="102">
        <f t="shared" si="83"/>
        <v>-101.57964355999999</v>
      </c>
      <c r="GK35" s="102">
        <f t="shared" si="37"/>
        <v>0</v>
      </c>
      <c r="GL35" s="102">
        <f t="shared" si="38"/>
        <v>0</v>
      </c>
      <c r="GM35" s="102">
        <f t="shared" si="57"/>
        <v>0</v>
      </c>
      <c r="GN35" s="102">
        <f t="shared" si="7"/>
        <v>0</v>
      </c>
      <c r="GO35" s="940">
        <v>0</v>
      </c>
      <c r="GQ35" s="929">
        <f t="shared" si="58"/>
        <v>0.21310033422714736</v>
      </c>
      <c r="GR35" s="929">
        <f t="shared" si="58"/>
        <v>-1</v>
      </c>
      <c r="GS35" s="929" t="str">
        <f t="shared" si="58"/>
        <v/>
      </c>
      <c r="GT35" s="929">
        <f t="shared" si="58"/>
        <v>-1</v>
      </c>
      <c r="GU35" s="929" t="str">
        <f t="shared" si="58"/>
        <v/>
      </c>
      <c r="GV35" s="929" t="str">
        <f t="shared" si="58"/>
        <v/>
      </c>
      <c r="GW35" s="929" t="str">
        <f t="shared" si="58"/>
        <v/>
      </c>
      <c r="GX35" s="929" t="str">
        <f t="shared" si="58"/>
        <v/>
      </c>
      <c r="GY35" s="929" t="str">
        <f t="shared" si="9"/>
        <v/>
      </c>
      <c r="HA35" s="102">
        <f t="shared" si="59"/>
        <v>-69.283544000000006</v>
      </c>
      <c r="HB35" s="102">
        <f t="shared" si="59"/>
        <v>394.40524900000003</v>
      </c>
      <c r="HC35" s="102">
        <f t="shared" si="59"/>
        <v>-101.57964355999999</v>
      </c>
      <c r="HD35" s="102">
        <f t="shared" si="59"/>
        <v>101.57964355999999</v>
      </c>
      <c r="HE35" s="102">
        <f t="shared" si="59"/>
        <v>0</v>
      </c>
      <c r="HF35" s="102">
        <f t="shared" si="59"/>
        <v>0</v>
      </c>
      <c r="HG35" s="102">
        <f t="shared" si="59"/>
        <v>0</v>
      </c>
      <c r="HH35" s="102">
        <f t="shared" si="59"/>
        <v>0</v>
      </c>
      <c r="HI35" s="102">
        <f t="shared" si="11"/>
        <v>0</v>
      </c>
      <c r="HK35" s="32">
        <f t="shared" si="86"/>
        <v>-8.8455782027432664E-3</v>
      </c>
      <c r="HL35" s="32">
        <f t="shared" si="86"/>
        <v>-1.0014611262361355E-2</v>
      </c>
      <c r="HM35" s="32">
        <f t="shared" si="86"/>
        <v>0</v>
      </c>
      <c r="HN35" s="32">
        <f t="shared" si="86"/>
        <v>-1.6511573645668749E-2</v>
      </c>
      <c r="HO35" s="32">
        <f t="shared" si="86"/>
        <v>0</v>
      </c>
      <c r="HP35" s="32">
        <f t="shared" si="86"/>
        <v>0</v>
      </c>
      <c r="HQ35" s="32">
        <f t="shared" si="86"/>
        <v>0</v>
      </c>
      <c r="HR35" s="32">
        <f t="shared" si="86"/>
        <v>0</v>
      </c>
      <c r="HS35" s="32">
        <f t="shared" si="86"/>
        <v>0</v>
      </c>
      <c r="HU35" s="102">
        <f t="shared" si="90"/>
        <v>0</v>
      </c>
      <c r="HV35" s="102">
        <f t="shared" si="90"/>
        <v>0</v>
      </c>
      <c r="HW35" s="102">
        <f t="shared" si="90"/>
        <v>0</v>
      </c>
      <c r="HX35" s="102">
        <f t="shared" si="90"/>
        <v>0</v>
      </c>
      <c r="HY35" s="102">
        <f t="shared" si="90"/>
        <v>-34.368774000000002</v>
      </c>
      <c r="HZ35" s="102">
        <f t="shared" si="90"/>
        <v>0</v>
      </c>
      <c r="IA35" s="102">
        <f t="shared" si="62"/>
        <v>0</v>
      </c>
      <c r="IB35" s="102">
        <f t="shared" si="63"/>
        <v>0</v>
      </c>
      <c r="IC35" s="102">
        <f t="shared" si="64"/>
        <v>0</v>
      </c>
      <c r="ID35" s="102">
        <f t="shared" si="18"/>
        <v>0</v>
      </c>
      <c r="IE35" s="102">
        <f t="shared" si="65"/>
        <v>0</v>
      </c>
      <c r="IF35" s="922" t="str">
        <f t="shared" si="20"/>
        <v/>
      </c>
      <c r="IG35" s="102">
        <f t="shared" si="21"/>
        <v>0</v>
      </c>
      <c r="IH35" s="102">
        <f t="shared" si="21"/>
        <v>0</v>
      </c>
      <c r="II35" s="145"/>
      <c r="IJ35" s="929" t="str">
        <f t="shared" si="66"/>
        <v/>
      </c>
      <c r="IK35" s="930">
        <f t="shared" si="40"/>
        <v>0</v>
      </c>
      <c r="IM35" s="32">
        <f t="shared" si="41"/>
        <v>0</v>
      </c>
      <c r="IN35" s="929">
        <f t="shared" si="22"/>
        <v>0</v>
      </c>
      <c r="IP35" s="929" t="str">
        <f t="shared" si="84"/>
        <v/>
      </c>
      <c r="IQ35" s="929" t="str">
        <f t="shared" si="84"/>
        <v/>
      </c>
      <c r="IR35" s="929" t="str">
        <f t="shared" si="84"/>
        <v/>
      </c>
      <c r="IS35" s="929">
        <f t="shared" si="84"/>
        <v>-1</v>
      </c>
      <c r="IT35" s="929" t="str">
        <f t="shared" si="84"/>
        <v/>
      </c>
      <c r="IU35" s="929" t="str">
        <f t="shared" si="84"/>
        <v/>
      </c>
      <c r="IV35" s="929" t="str">
        <f t="shared" si="85"/>
        <v/>
      </c>
      <c r="IX35" s="102">
        <f t="shared" si="68"/>
        <v>0</v>
      </c>
      <c r="IY35" s="102">
        <f t="shared" si="68"/>
        <v>0</v>
      </c>
      <c r="IZ35" s="102">
        <f t="shared" si="68"/>
        <v>-34.368774000000002</v>
      </c>
      <c r="JA35" s="102">
        <f t="shared" si="68"/>
        <v>34.368774000000002</v>
      </c>
      <c r="JB35" s="102">
        <f t="shared" si="68"/>
        <v>0</v>
      </c>
      <c r="JC35" s="102">
        <f t="shared" si="68"/>
        <v>0</v>
      </c>
      <c r="JD35" s="102">
        <f t="shared" si="69"/>
        <v>0</v>
      </c>
      <c r="JF35" s="32">
        <f t="shared" si="70"/>
        <v>0</v>
      </c>
      <c r="JG35" s="32">
        <f t="shared" si="70"/>
        <v>0</v>
      </c>
      <c r="JH35" s="32">
        <f t="shared" si="70"/>
        <v>0</v>
      </c>
      <c r="JI35" s="32">
        <f t="shared" si="70"/>
        <v>0</v>
      </c>
      <c r="JJ35" s="32">
        <f t="shared" si="70"/>
        <v>-1.7127651292330501E-2</v>
      </c>
      <c r="JK35" s="32">
        <f t="shared" si="70"/>
        <v>0</v>
      </c>
      <c r="JL35" s="32">
        <f t="shared" si="70"/>
        <v>0</v>
      </c>
      <c r="JM35" s="32">
        <f t="shared" si="71"/>
        <v>0</v>
      </c>
      <c r="JO35" s="102">
        <f t="shared" si="91"/>
        <v>0</v>
      </c>
      <c r="JP35" s="102">
        <f t="shared" si="91"/>
        <v>0</v>
      </c>
      <c r="JQ35" s="102">
        <f t="shared" si="91"/>
        <v>0</v>
      </c>
      <c r="JR35" s="102">
        <f t="shared" si="91"/>
        <v>0</v>
      </c>
      <c r="JS35" s="102">
        <f t="shared" si="91"/>
        <v>37.743915000000001</v>
      </c>
      <c r="JT35" s="102">
        <f t="shared" si="73"/>
        <v>0</v>
      </c>
      <c r="JU35" s="102">
        <f t="shared" si="74"/>
        <v>0</v>
      </c>
      <c r="JV35" s="102">
        <f t="shared" si="74"/>
        <v>0</v>
      </c>
      <c r="JW35" s="102">
        <f t="shared" si="75"/>
        <v>0</v>
      </c>
      <c r="JX35" s="102">
        <f t="shared" si="76"/>
        <v>0</v>
      </c>
      <c r="JY35" s="102">
        <f t="shared" si="77"/>
        <v>0</v>
      </c>
      <c r="KB35" s="32" t="str">
        <f t="shared" si="78"/>
        <v xml:space="preserve"> </v>
      </c>
      <c r="KC35" s="32" t="str">
        <f t="shared" si="78"/>
        <v xml:space="preserve"> </v>
      </c>
      <c r="KD35" s="32" t="str">
        <f t="shared" si="78"/>
        <v xml:space="preserve"> </v>
      </c>
      <c r="KE35" s="32">
        <f t="shared" si="78"/>
        <v>-1</v>
      </c>
      <c r="KF35" s="32" t="str">
        <f t="shared" si="78"/>
        <v xml:space="preserve"> </v>
      </c>
      <c r="KG35" s="32" t="str">
        <f t="shared" si="78"/>
        <v xml:space="preserve"> </v>
      </c>
      <c r="KH35" s="32" t="str">
        <f t="shared" si="79"/>
        <v xml:space="preserve"> </v>
      </c>
      <c r="KJ35" s="102">
        <f t="shared" si="80"/>
        <v>0</v>
      </c>
      <c r="KK35" s="102">
        <f t="shared" si="80"/>
        <v>0</v>
      </c>
      <c r="KL35" s="102">
        <f t="shared" si="80"/>
        <v>37.743915000000001</v>
      </c>
      <c r="KM35" s="102">
        <f t="shared" si="80"/>
        <v>-37.743915000000001</v>
      </c>
      <c r="KN35" s="102">
        <f t="shared" si="80"/>
        <v>0</v>
      </c>
      <c r="KO35" s="102">
        <f t="shared" si="80"/>
        <v>0</v>
      </c>
      <c r="KP35" s="102">
        <f t="shared" si="81"/>
        <v>0</v>
      </c>
      <c r="KR35" s="32">
        <f t="shared" si="87"/>
        <v>0</v>
      </c>
      <c r="KS35" s="32">
        <f t="shared" si="87"/>
        <v>0</v>
      </c>
      <c r="KT35" s="32">
        <f t="shared" si="87"/>
        <v>0</v>
      </c>
      <c r="KU35" s="32">
        <f t="shared" si="87"/>
        <v>0</v>
      </c>
      <c r="KV35" s="32">
        <f t="shared" si="87"/>
        <v>0.12095703495774239</v>
      </c>
      <c r="KW35" s="32">
        <f t="shared" si="87"/>
        <v>0</v>
      </c>
      <c r="KX35" s="32">
        <f t="shared" si="87"/>
        <v>0</v>
      </c>
      <c r="KY35" s="32">
        <f t="shared" si="87"/>
        <v>0</v>
      </c>
      <c r="KZ35" s="32">
        <f t="shared" si="46"/>
        <v>0</v>
      </c>
    </row>
    <row r="36" spans="1:312" outlineLevel="2">
      <c r="A36" s="884"/>
      <c r="B36" s="70"/>
      <c r="C36" s="29" t="s">
        <v>642</v>
      </c>
      <c r="D36" s="31" t="s">
        <v>59</v>
      </c>
      <c r="E36" s="102">
        <v>0</v>
      </c>
      <c r="F36" s="102">
        <v>0</v>
      </c>
      <c r="G36" s="102">
        <v>0</v>
      </c>
      <c r="H36" s="102">
        <v>0</v>
      </c>
      <c r="I36" s="102">
        <v>0</v>
      </c>
      <c r="J36" s="102">
        <v>0</v>
      </c>
      <c r="K36" s="102">
        <v>0</v>
      </c>
      <c r="L36" s="102">
        <v>0</v>
      </c>
      <c r="M36" s="102">
        <v>0</v>
      </c>
      <c r="N36" s="102">
        <v>0</v>
      </c>
      <c r="O36" s="102">
        <v>0</v>
      </c>
      <c r="P36" s="102">
        <v>0</v>
      </c>
      <c r="Q36" s="102">
        <v>0</v>
      </c>
      <c r="R36" s="102">
        <v>0</v>
      </c>
      <c r="S36" s="102">
        <v>0</v>
      </c>
      <c r="T36" s="102">
        <v>0</v>
      </c>
      <c r="U36" s="102">
        <v>0</v>
      </c>
      <c r="V36" s="102">
        <v>0</v>
      </c>
      <c r="W36" s="102">
        <v>0</v>
      </c>
      <c r="X36" s="102">
        <v>0</v>
      </c>
      <c r="Y36" s="102">
        <v>0</v>
      </c>
      <c r="Z36" s="102">
        <v>0</v>
      </c>
      <c r="AA36" s="102">
        <v>0</v>
      </c>
      <c r="AB36" s="102">
        <v>0</v>
      </c>
      <c r="AC36" s="102">
        <v>0</v>
      </c>
      <c r="AD36" s="102">
        <v>0</v>
      </c>
      <c r="AE36" s="102">
        <v>0</v>
      </c>
      <c r="AF36" s="102">
        <v>0</v>
      </c>
      <c r="AG36" s="102">
        <v>0</v>
      </c>
      <c r="AH36" s="102">
        <v>0</v>
      </c>
      <c r="AI36" s="102">
        <v>0</v>
      </c>
      <c r="AJ36" s="102">
        <v>0</v>
      </c>
      <c r="AK36" s="102">
        <v>0</v>
      </c>
      <c r="AL36" s="102">
        <v>0</v>
      </c>
      <c r="AM36" s="102">
        <v>0</v>
      </c>
      <c r="AN36" s="102">
        <v>0</v>
      </c>
      <c r="AO36" s="102"/>
      <c r="AP36" s="145"/>
      <c r="AQ36" s="143"/>
      <c r="AR36" s="143"/>
      <c r="AS36" s="102"/>
      <c r="AT36" s="102"/>
      <c r="AU36" s="102"/>
      <c r="AV36" s="102"/>
      <c r="AW36" s="102"/>
      <c r="AX36" s="102"/>
      <c r="AY36" s="102"/>
      <c r="AZ36" s="102"/>
      <c r="BA36" s="102"/>
      <c r="BB36" s="102"/>
      <c r="BC36" s="102"/>
      <c r="BD36" s="102"/>
      <c r="BE36" s="102"/>
      <c r="BF36" s="102"/>
      <c r="BG36" s="102"/>
      <c r="BH36" s="102"/>
      <c r="BI36" s="102"/>
      <c r="BJ36" s="102"/>
      <c r="BK36" s="102">
        <v>0</v>
      </c>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169"/>
      <c r="CL36" s="1169"/>
      <c r="CM36" s="1169"/>
      <c r="CN36" s="1169"/>
      <c r="CO36" s="1169"/>
      <c r="CP36" s="1169"/>
      <c r="CQ36" s="1169"/>
      <c r="CR36" s="1169"/>
      <c r="CS36" s="1169"/>
      <c r="CT36" s="1169"/>
      <c r="CU36" s="1169"/>
      <c r="CV36" s="1169"/>
      <c r="CW36" s="1169"/>
      <c r="CX36" s="1169"/>
      <c r="CY36" s="1169"/>
      <c r="CZ36" s="1169"/>
      <c r="DA36" s="1169"/>
      <c r="DB36" s="1169"/>
      <c r="DC36" s="1169"/>
      <c r="DD36" s="1169"/>
      <c r="DE36" s="1169"/>
      <c r="DF36" s="1169"/>
      <c r="DG36" s="1169"/>
      <c r="DH36" s="1169"/>
      <c r="DI36" s="1171"/>
      <c r="DJ36" s="1169"/>
      <c r="DK36" s="102"/>
      <c r="DL36" s="102"/>
      <c r="DM36" s="102"/>
      <c r="DN36" s="102"/>
      <c r="DO36" s="102"/>
      <c r="DP36" s="102"/>
      <c r="DQ36" s="102"/>
      <c r="DR36" s="102"/>
      <c r="DS36" s="102"/>
      <c r="DT36" s="102"/>
      <c r="DU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F36" s="102">
        <f t="shared" si="56"/>
        <v>0</v>
      </c>
      <c r="GG36" s="102">
        <f t="shared" si="56"/>
        <v>0</v>
      </c>
      <c r="GH36" s="102">
        <f t="shared" si="56"/>
        <v>0</v>
      </c>
      <c r="GI36" s="102">
        <f t="shared" si="56"/>
        <v>0</v>
      </c>
      <c r="GJ36" s="102">
        <f t="shared" si="83"/>
        <v>0</v>
      </c>
      <c r="GK36" s="102">
        <f t="shared" si="37"/>
        <v>0</v>
      </c>
      <c r="GL36" s="102">
        <f t="shared" si="38"/>
        <v>0</v>
      </c>
      <c r="GM36" s="102">
        <f t="shared" si="57"/>
        <v>0</v>
      </c>
      <c r="GN36" s="102">
        <f t="shared" si="7"/>
        <v>0</v>
      </c>
      <c r="GO36" s="940">
        <v>0</v>
      </c>
      <c r="GQ36" s="929" t="str">
        <f t="shared" si="58"/>
        <v/>
      </c>
      <c r="GR36" s="929" t="str">
        <f t="shared" si="58"/>
        <v/>
      </c>
      <c r="GS36" s="929" t="str">
        <f t="shared" si="58"/>
        <v/>
      </c>
      <c r="GT36" s="929" t="str">
        <f t="shared" si="58"/>
        <v/>
      </c>
      <c r="GU36" s="929" t="str">
        <f t="shared" si="58"/>
        <v/>
      </c>
      <c r="GV36" s="929" t="str">
        <f t="shared" si="58"/>
        <v/>
      </c>
      <c r="GW36" s="929" t="str">
        <f t="shared" si="58"/>
        <v/>
      </c>
      <c r="GX36" s="929" t="str">
        <f t="shared" si="58"/>
        <v/>
      </c>
      <c r="GY36" s="929" t="str">
        <f t="shared" si="9"/>
        <v/>
      </c>
      <c r="HA36" s="102">
        <f t="shared" si="59"/>
        <v>0</v>
      </c>
      <c r="HB36" s="102">
        <f t="shared" si="59"/>
        <v>0</v>
      </c>
      <c r="HC36" s="102">
        <f t="shared" si="59"/>
        <v>0</v>
      </c>
      <c r="HD36" s="102">
        <f t="shared" si="59"/>
        <v>0</v>
      </c>
      <c r="HE36" s="102">
        <f t="shared" si="59"/>
        <v>0</v>
      </c>
      <c r="HF36" s="102">
        <f t="shared" si="59"/>
        <v>0</v>
      </c>
      <c r="HG36" s="102">
        <f t="shared" si="59"/>
        <v>0</v>
      </c>
      <c r="HH36" s="102">
        <f t="shared" si="59"/>
        <v>0</v>
      </c>
      <c r="HI36" s="102">
        <f t="shared" si="11"/>
        <v>0</v>
      </c>
      <c r="HK36" s="32">
        <f t="shared" si="86"/>
        <v>0</v>
      </c>
      <c r="HL36" s="32">
        <f t="shared" si="86"/>
        <v>0</v>
      </c>
      <c r="HM36" s="32">
        <f t="shared" si="86"/>
        <v>0</v>
      </c>
      <c r="HN36" s="32">
        <f t="shared" si="86"/>
        <v>0</v>
      </c>
      <c r="HO36" s="32">
        <f t="shared" si="86"/>
        <v>0</v>
      </c>
      <c r="HP36" s="32">
        <f t="shared" si="86"/>
        <v>0</v>
      </c>
      <c r="HQ36" s="32">
        <f t="shared" si="86"/>
        <v>0</v>
      </c>
      <c r="HR36" s="32">
        <f t="shared" si="86"/>
        <v>0</v>
      </c>
      <c r="HS36" s="32">
        <f t="shared" si="86"/>
        <v>0</v>
      </c>
      <c r="HU36" s="102">
        <f t="shared" si="90"/>
        <v>0</v>
      </c>
      <c r="HV36" s="102">
        <f t="shared" si="90"/>
        <v>0</v>
      </c>
      <c r="HW36" s="102">
        <f t="shared" si="90"/>
        <v>0</v>
      </c>
      <c r="HX36" s="102">
        <f t="shared" si="90"/>
        <v>0</v>
      </c>
      <c r="HY36" s="102">
        <f t="shared" si="90"/>
        <v>0</v>
      </c>
      <c r="HZ36" s="102">
        <f t="shared" si="90"/>
        <v>0</v>
      </c>
      <c r="IA36" s="102">
        <f t="shared" si="62"/>
        <v>0</v>
      </c>
      <c r="IB36" s="102">
        <f t="shared" si="63"/>
        <v>0</v>
      </c>
      <c r="IC36" s="102">
        <f t="shared" si="64"/>
        <v>0</v>
      </c>
      <c r="ID36" s="102">
        <f t="shared" si="18"/>
        <v>0</v>
      </c>
      <c r="IE36" s="102">
        <f t="shared" si="65"/>
        <v>0</v>
      </c>
      <c r="IF36" s="922" t="str">
        <f t="shared" si="20"/>
        <v/>
      </c>
      <c r="IG36" s="102">
        <f t="shared" si="21"/>
        <v>0</v>
      </c>
      <c r="IH36" s="102">
        <f t="shared" si="21"/>
        <v>0</v>
      </c>
      <c r="II36" s="145"/>
      <c r="IJ36" s="929" t="str">
        <f t="shared" si="66"/>
        <v/>
      </c>
      <c r="IK36" s="930">
        <f t="shared" si="40"/>
        <v>0</v>
      </c>
      <c r="IM36" s="32">
        <f t="shared" si="41"/>
        <v>0</v>
      </c>
      <c r="IN36" s="929">
        <f t="shared" si="22"/>
        <v>0</v>
      </c>
      <c r="IP36" s="929" t="str">
        <f t="shared" si="84"/>
        <v/>
      </c>
      <c r="IQ36" s="929" t="str">
        <f t="shared" si="84"/>
        <v/>
      </c>
      <c r="IR36" s="929" t="str">
        <f t="shared" si="84"/>
        <v/>
      </c>
      <c r="IS36" s="929" t="str">
        <f t="shared" si="84"/>
        <v/>
      </c>
      <c r="IT36" s="929" t="str">
        <f t="shared" si="84"/>
        <v/>
      </c>
      <c r="IU36" s="929" t="str">
        <f t="shared" si="84"/>
        <v/>
      </c>
      <c r="IV36" s="929" t="str">
        <f t="shared" si="85"/>
        <v/>
      </c>
      <c r="IX36" s="102">
        <f t="shared" si="68"/>
        <v>0</v>
      </c>
      <c r="IY36" s="102">
        <f t="shared" si="68"/>
        <v>0</v>
      </c>
      <c r="IZ36" s="102">
        <f t="shared" si="68"/>
        <v>0</v>
      </c>
      <c r="JA36" s="102">
        <f t="shared" si="68"/>
        <v>0</v>
      </c>
      <c r="JB36" s="102">
        <f t="shared" si="68"/>
        <v>0</v>
      </c>
      <c r="JC36" s="102">
        <f t="shared" si="68"/>
        <v>0</v>
      </c>
      <c r="JD36" s="102">
        <f t="shared" si="69"/>
        <v>0</v>
      </c>
      <c r="JF36" s="32">
        <f t="shared" si="70"/>
        <v>0</v>
      </c>
      <c r="JG36" s="32">
        <f t="shared" si="70"/>
        <v>0</v>
      </c>
      <c r="JH36" s="32">
        <f t="shared" si="70"/>
        <v>0</v>
      </c>
      <c r="JI36" s="32">
        <f t="shared" si="70"/>
        <v>0</v>
      </c>
      <c r="JJ36" s="32">
        <f t="shared" si="70"/>
        <v>0</v>
      </c>
      <c r="JK36" s="32">
        <f t="shared" si="70"/>
        <v>0</v>
      </c>
      <c r="JL36" s="32">
        <f t="shared" si="70"/>
        <v>0</v>
      </c>
      <c r="JM36" s="32">
        <f t="shared" si="71"/>
        <v>0</v>
      </c>
      <c r="JO36" s="102">
        <f t="shared" si="91"/>
        <v>0</v>
      </c>
      <c r="JP36" s="102">
        <f t="shared" si="91"/>
        <v>0</v>
      </c>
      <c r="JQ36" s="102">
        <f t="shared" si="91"/>
        <v>0</v>
      </c>
      <c r="JR36" s="102">
        <f t="shared" si="91"/>
        <v>0</v>
      </c>
      <c r="JS36" s="102">
        <f t="shared" si="91"/>
        <v>0</v>
      </c>
      <c r="JT36" s="102">
        <f t="shared" si="73"/>
        <v>0</v>
      </c>
      <c r="JU36" s="102">
        <f t="shared" si="74"/>
        <v>0</v>
      </c>
      <c r="JV36" s="102">
        <f t="shared" si="74"/>
        <v>0</v>
      </c>
      <c r="JW36" s="102">
        <f t="shared" si="75"/>
        <v>0</v>
      </c>
      <c r="JX36" s="102">
        <f t="shared" si="76"/>
        <v>0</v>
      </c>
      <c r="JY36" s="102">
        <f t="shared" si="77"/>
        <v>0</v>
      </c>
      <c r="KB36" s="32" t="str">
        <f t="shared" si="78"/>
        <v xml:space="preserve"> </v>
      </c>
      <c r="KC36" s="32" t="str">
        <f t="shared" si="78"/>
        <v xml:space="preserve"> </v>
      </c>
      <c r="KD36" s="32" t="str">
        <f t="shared" si="78"/>
        <v xml:space="preserve"> </v>
      </c>
      <c r="KE36" s="32" t="str">
        <f t="shared" si="78"/>
        <v xml:space="preserve"> </v>
      </c>
      <c r="KF36" s="32" t="str">
        <f t="shared" si="78"/>
        <v xml:space="preserve"> </v>
      </c>
      <c r="KG36" s="32" t="str">
        <f t="shared" si="78"/>
        <v xml:space="preserve"> </v>
      </c>
      <c r="KH36" s="32" t="str">
        <f t="shared" si="79"/>
        <v xml:space="preserve"> </v>
      </c>
      <c r="KJ36" s="102">
        <f t="shared" si="80"/>
        <v>0</v>
      </c>
      <c r="KK36" s="102">
        <f t="shared" si="80"/>
        <v>0</v>
      </c>
      <c r="KL36" s="102">
        <f t="shared" si="80"/>
        <v>0</v>
      </c>
      <c r="KM36" s="102">
        <f t="shared" si="80"/>
        <v>0</v>
      </c>
      <c r="KN36" s="102">
        <f t="shared" si="80"/>
        <v>0</v>
      </c>
      <c r="KO36" s="102">
        <f t="shared" si="80"/>
        <v>0</v>
      </c>
      <c r="KP36" s="102">
        <f t="shared" si="81"/>
        <v>0</v>
      </c>
      <c r="KR36" s="32">
        <f t="shared" si="87"/>
        <v>0</v>
      </c>
      <c r="KS36" s="32">
        <f t="shared" si="87"/>
        <v>0</v>
      </c>
      <c r="KT36" s="32">
        <f t="shared" si="87"/>
        <v>0</v>
      </c>
      <c r="KU36" s="32">
        <f t="shared" si="87"/>
        <v>0</v>
      </c>
      <c r="KV36" s="32">
        <f t="shared" si="87"/>
        <v>0</v>
      </c>
      <c r="KW36" s="32">
        <f t="shared" si="87"/>
        <v>0</v>
      </c>
      <c r="KX36" s="32">
        <f t="shared" si="87"/>
        <v>0</v>
      </c>
      <c r="KY36" s="32">
        <f t="shared" si="87"/>
        <v>0</v>
      </c>
      <c r="KZ36" s="32">
        <f t="shared" si="46"/>
        <v>0</v>
      </c>
    </row>
    <row r="37" spans="1:312" outlineLevel="2">
      <c r="A37" s="884"/>
      <c r="B37" s="70"/>
      <c r="C37" s="399" t="s">
        <v>643</v>
      </c>
      <c r="D37" s="307" t="s">
        <v>59</v>
      </c>
      <c r="E37" s="931">
        <v>0</v>
      </c>
      <c r="F37" s="931">
        <v>0</v>
      </c>
      <c r="G37" s="931">
        <v>0</v>
      </c>
      <c r="H37" s="931">
        <v>0</v>
      </c>
      <c r="I37" s="931">
        <v>0</v>
      </c>
      <c r="J37" s="931">
        <v>0</v>
      </c>
      <c r="K37" s="931">
        <v>0</v>
      </c>
      <c r="L37" s="931">
        <v>0</v>
      </c>
      <c r="M37" s="931">
        <v>0</v>
      </c>
      <c r="N37" s="931">
        <v>0</v>
      </c>
      <c r="O37" s="931">
        <v>0</v>
      </c>
      <c r="P37" s="931">
        <v>0</v>
      </c>
      <c r="Q37" s="931">
        <v>0</v>
      </c>
      <c r="R37" s="931">
        <v>0</v>
      </c>
      <c r="S37" s="931">
        <v>0</v>
      </c>
      <c r="T37" s="931">
        <v>0</v>
      </c>
      <c r="U37" s="931">
        <v>0</v>
      </c>
      <c r="V37" s="931">
        <v>0</v>
      </c>
      <c r="W37" s="931">
        <v>0</v>
      </c>
      <c r="X37" s="931">
        <v>0</v>
      </c>
      <c r="Y37" s="931">
        <v>0</v>
      </c>
      <c r="Z37" s="931">
        <v>0</v>
      </c>
      <c r="AA37" s="931">
        <v>0</v>
      </c>
      <c r="AB37" s="931">
        <v>0</v>
      </c>
      <c r="AC37" s="931">
        <v>0</v>
      </c>
      <c r="AD37" s="931">
        <v>0</v>
      </c>
      <c r="AE37" s="931">
        <v>0</v>
      </c>
      <c r="AF37" s="931">
        <v>0</v>
      </c>
      <c r="AG37" s="931">
        <v>0</v>
      </c>
      <c r="AH37" s="931">
        <v>0</v>
      </c>
      <c r="AI37" s="931">
        <v>0</v>
      </c>
      <c r="AJ37" s="931">
        <v>0</v>
      </c>
      <c r="AK37" s="931">
        <v>0</v>
      </c>
      <c r="AL37" s="931">
        <v>0</v>
      </c>
      <c r="AM37" s="931">
        <v>0</v>
      </c>
      <c r="AN37" s="931">
        <v>0</v>
      </c>
      <c r="AO37" s="931"/>
      <c r="AP37" s="932"/>
      <c r="AQ37" s="936"/>
      <c r="AR37" s="936"/>
      <c r="AS37" s="931"/>
      <c r="AT37" s="931"/>
      <c r="AU37" s="931"/>
      <c r="AV37" s="931"/>
      <c r="AW37" s="931"/>
      <c r="AX37" s="931"/>
      <c r="AY37" s="931"/>
      <c r="AZ37" s="931"/>
      <c r="BA37" s="931"/>
      <c r="BB37" s="931"/>
      <c r="BC37" s="931"/>
      <c r="BD37" s="931"/>
      <c r="BE37" s="931"/>
      <c r="BF37" s="931"/>
      <c r="BG37" s="931"/>
      <c r="BH37" s="931"/>
      <c r="BI37" s="931"/>
      <c r="BJ37" s="931"/>
      <c r="BK37" s="931"/>
      <c r="BL37" s="931"/>
      <c r="BM37" s="931"/>
      <c r="BN37" s="931"/>
      <c r="BO37" s="931"/>
      <c r="BP37" s="931"/>
      <c r="BQ37" s="931"/>
      <c r="BR37" s="931"/>
      <c r="BS37" s="931"/>
      <c r="BT37" s="931"/>
      <c r="BU37" s="931"/>
      <c r="BV37" s="931"/>
      <c r="BW37" s="931"/>
      <c r="BX37" s="931"/>
      <c r="BY37" s="931"/>
      <c r="BZ37" s="931"/>
      <c r="CA37" s="931"/>
      <c r="CB37" s="931"/>
      <c r="CC37" s="931"/>
      <c r="CD37" s="931"/>
      <c r="CE37" s="931"/>
      <c r="CF37" s="931"/>
      <c r="CG37" s="931"/>
      <c r="CH37" s="931"/>
      <c r="CI37" s="931"/>
      <c r="CJ37" s="931"/>
      <c r="CK37" s="1170"/>
      <c r="CL37" s="1170"/>
      <c r="CM37" s="1170"/>
      <c r="CN37" s="1170"/>
      <c r="CO37" s="1170"/>
      <c r="CP37" s="1170"/>
      <c r="CQ37" s="1170"/>
      <c r="CR37" s="1170"/>
      <c r="CS37" s="1170"/>
      <c r="CT37" s="1170"/>
      <c r="CU37" s="1170"/>
      <c r="CV37" s="1170"/>
      <c r="CW37" s="1170"/>
      <c r="CX37" s="1170"/>
      <c r="CY37" s="1170"/>
      <c r="CZ37" s="1170"/>
      <c r="DA37" s="1170"/>
      <c r="DB37" s="1170"/>
      <c r="DC37" s="1170"/>
      <c r="DD37" s="1170"/>
      <c r="DE37" s="1170"/>
      <c r="DF37" s="1170"/>
      <c r="DG37" s="1170"/>
      <c r="DH37" s="1170"/>
      <c r="DI37" s="1171"/>
      <c r="DJ37" s="1170">
        <f>+CK37-BL37</f>
        <v>0</v>
      </c>
      <c r="DK37" s="931">
        <f>+CL37-BM37</f>
        <v>0</v>
      </c>
      <c r="DL37" s="931"/>
      <c r="DM37" s="931"/>
      <c r="DN37" s="931"/>
      <c r="DO37" s="931"/>
      <c r="DP37" s="931"/>
      <c r="DQ37" s="931"/>
      <c r="DR37" s="931"/>
      <c r="DS37" s="931"/>
      <c r="DT37" s="931"/>
      <c r="DU37" s="931"/>
      <c r="DW37" s="931"/>
      <c r="DX37" s="931"/>
      <c r="DY37" s="931"/>
      <c r="DZ37" s="931"/>
      <c r="EA37" s="931"/>
      <c r="EB37" s="931"/>
      <c r="EC37" s="931"/>
      <c r="ED37" s="931"/>
      <c r="EE37" s="931"/>
      <c r="EF37" s="931"/>
      <c r="EG37" s="931"/>
      <c r="EH37" s="931"/>
      <c r="EI37" s="931"/>
      <c r="EJ37" s="931"/>
      <c r="EK37" s="931"/>
      <c r="EL37" s="931"/>
      <c r="EM37" s="931"/>
      <c r="EN37" s="931"/>
      <c r="EO37" s="931"/>
      <c r="EP37" s="931"/>
      <c r="EQ37" s="931"/>
      <c r="ER37" s="931"/>
      <c r="ES37" s="931"/>
      <c r="ET37" s="931"/>
      <c r="EU37" s="931"/>
      <c r="EV37" s="931"/>
      <c r="EW37" s="931"/>
      <c r="EX37" s="931"/>
      <c r="EY37" s="931"/>
      <c r="EZ37" s="931"/>
      <c r="FA37" s="931"/>
      <c r="FB37" s="931"/>
      <c r="FC37" s="931"/>
      <c r="FD37" s="931"/>
      <c r="FE37" s="931"/>
      <c r="FF37" s="931"/>
      <c r="FG37" s="931"/>
      <c r="FH37" s="931"/>
      <c r="FI37" s="931"/>
      <c r="FJ37" s="931"/>
      <c r="FK37" s="931"/>
      <c r="FL37" s="931"/>
      <c r="FM37" s="931"/>
      <c r="FN37" s="931"/>
      <c r="FO37" s="931"/>
      <c r="FP37" s="931"/>
      <c r="FQ37" s="931"/>
      <c r="FR37" s="931"/>
      <c r="FS37" s="931"/>
      <c r="FT37" s="931"/>
      <c r="FU37" s="931"/>
      <c r="FV37" s="931"/>
      <c r="FW37" s="931"/>
      <c r="FX37" s="931"/>
      <c r="FY37" s="931"/>
      <c r="FZ37" s="931"/>
      <c r="GA37" s="931"/>
      <c r="GB37" s="931"/>
      <c r="GC37" s="931"/>
      <c r="GD37" s="931"/>
      <c r="GF37" s="931">
        <f t="shared" si="56"/>
        <v>0</v>
      </c>
      <c r="GG37" s="931">
        <f t="shared" si="56"/>
        <v>0</v>
      </c>
      <c r="GH37" s="931">
        <f t="shared" si="56"/>
        <v>0</v>
      </c>
      <c r="GI37" s="931">
        <f t="shared" si="56"/>
        <v>0</v>
      </c>
      <c r="GJ37" s="931">
        <f t="shared" si="83"/>
        <v>0</v>
      </c>
      <c r="GK37" s="931">
        <f t="shared" si="37"/>
        <v>0</v>
      </c>
      <c r="GL37" s="931">
        <f t="shared" si="38"/>
        <v>0</v>
      </c>
      <c r="GM37" s="931">
        <f t="shared" si="57"/>
        <v>0</v>
      </c>
      <c r="GN37" s="931">
        <f t="shared" si="7"/>
        <v>0</v>
      </c>
      <c r="GO37" s="941">
        <v>0</v>
      </c>
      <c r="GQ37" s="934" t="str">
        <f t="shared" si="58"/>
        <v/>
      </c>
      <c r="GR37" s="934" t="str">
        <f t="shared" si="58"/>
        <v/>
      </c>
      <c r="GS37" s="934" t="str">
        <f t="shared" si="58"/>
        <v/>
      </c>
      <c r="GT37" s="934" t="str">
        <f t="shared" si="58"/>
        <v/>
      </c>
      <c r="GU37" s="934" t="str">
        <f t="shared" si="58"/>
        <v/>
      </c>
      <c r="GV37" s="934" t="str">
        <f t="shared" si="58"/>
        <v/>
      </c>
      <c r="GW37" s="934" t="str">
        <f t="shared" si="58"/>
        <v/>
      </c>
      <c r="GX37" s="934" t="str">
        <f t="shared" si="58"/>
        <v/>
      </c>
      <c r="GY37" s="934" t="str">
        <f t="shared" si="9"/>
        <v/>
      </c>
      <c r="HA37" s="931">
        <f t="shared" si="59"/>
        <v>0</v>
      </c>
      <c r="HB37" s="931">
        <f t="shared" si="59"/>
        <v>0</v>
      </c>
      <c r="HC37" s="931">
        <f t="shared" si="59"/>
        <v>0</v>
      </c>
      <c r="HD37" s="931">
        <f t="shared" si="59"/>
        <v>0</v>
      </c>
      <c r="HE37" s="931">
        <f t="shared" si="59"/>
        <v>0</v>
      </c>
      <c r="HF37" s="931">
        <f t="shared" si="59"/>
        <v>0</v>
      </c>
      <c r="HG37" s="931">
        <f t="shared" si="59"/>
        <v>0</v>
      </c>
      <c r="HH37" s="931">
        <f>+GO37-GN37</f>
        <v>0</v>
      </c>
      <c r="HI37" s="931">
        <f t="shared" si="11"/>
        <v>0</v>
      </c>
      <c r="HK37" s="230">
        <f t="shared" si="86"/>
        <v>0</v>
      </c>
      <c r="HL37" s="230">
        <f t="shared" si="86"/>
        <v>0</v>
      </c>
      <c r="HM37" s="230">
        <f t="shared" si="86"/>
        <v>0</v>
      </c>
      <c r="HN37" s="230">
        <f t="shared" si="86"/>
        <v>0</v>
      </c>
      <c r="HO37" s="230">
        <f t="shared" si="86"/>
        <v>0</v>
      </c>
      <c r="HP37" s="230">
        <f t="shared" si="86"/>
        <v>0</v>
      </c>
      <c r="HQ37" s="230">
        <f t="shared" si="86"/>
        <v>0</v>
      </c>
      <c r="HR37" s="230">
        <f t="shared" si="86"/>
        <v>0</v>
      </c>
      <c r="HS37" s="230">
        <f t="shared" si="86"/>
        <v>0</v>
      </c>
      <c r="HU37" s="931">
        <f t="shared" si="90"/>
        <v>0</v>
      </c>
      <c r="HV37" s="931">
        <f t="shared" si="90"/>
        <v>0</v>
      </c>
      <c r="HW37" s="931">
        <f t="shared" si="90"/>
        <v>0</v>
      </c>
      <c r="HX37" s="931">
        <f t="shared" si="90"/>
        <v>0</v>
      </c>
      <c r="HY37" s="931">
        <f t="shared" si="90"/>
        <v>0</v>
      </c>
      <c r="HZ37" s="931">
        <f t="shared" si="90"/>
        <v>0</v>
      </c>
      <c r="IA37" s="931">
        <f t="shared" si="62"/>
        <v>0</v>
      </c>
      <c r="IB37" s="931">
        <f t="shared" si="63"/>
        <v>0</v>
      </c>
      <c r="IC37" s="931">
        <f t="shared" si="64"/>
        <v>0</v>
      </c>
      <c r="ID37" s="931">
        <f t="shared" si="18"/>
        <v>0</v>
      </c>
      <c r="IE37" s="931">
        <f t="shared" si="65"/>
        <v>0</v>
      </c>
      <c r="IF37" s="922" t="str">
        <f t="shared" si="20"/>
        <v/>
      </c>
      <c r="IG37" s="931">
        <f t="shared" si="21"/>
        <v>0</v>
      </c>
      <c r="IH37" s="931">
        <f t="shared" si="21"/>
        <v>0</v>
      </c>
      <c r="II37" s="145"/>
      <c r="IJ37" s="934" t="str">
        <f t="shared" si="66"/>
        <v/>
      </c>
      <c r="IK37" s="935">
        <f t="shared" si="40"/>
        <v>0</v>
      </c>
      <c r="IM37" s="230">
        <f t="shared" si="41"/>
        <v>0</v>
      </c>
      <c r="IN37" s="934">
        <f t="shared" si="22"/>
        <v>0</v>
      </c>
      <c r="IP37" s="934" t="str">
        <f t="shared" si="84"/>
        <v/>
      </c>
      <c r="IQ37" s="934" t="str">
        <f t="shared" si="84"/>
        <v/>
      </c>
      <c r="IR37" s="934" t="str">
        <f t="shared" si="84"/>
        <v/>
      </c>
      <c r="IS37" s="934" t="str">
        <f t="shared" si="84"/>
        <v/>
      </c>
      <c r="IT37" s="934" t="str">
        <f t="shared" si="84"/>
        <v/>
      </c>
      <c r="IU37" s="934" t="str">
        <f t="shared" si="84"/>
        <v/>
      </c>
      <c r="IV37" s="934" t="str">
        <f t="shared" si="85"/>
        <v/>
      </c>
      <c r="IX37" s="931">
        <f t="shared" si="68"/>
        <v>0</v>
      </c>
      <c r="IY37" s="931">
        <f t="shared" si="68"/>
        <v>0</v>
      </c>
      <c r="IZ37" s="931">
        <f t="shared" si="68"/>
        <v>0</v>
      </c>
      <c r="JA37" s="931">
        <f t="shared" si="68"/>
        <v>0</v>
      </c>
      <c r="JB37" s="931">
        <f t="shared" si="68"/>
        <v>0</v>
      </c>
      <c r="JC37" s="931">
        <f t="shared" si="68"/>
        <v>0</v>
      </c>
      <c r="JD37" s="931">
        <f t="shared" si="69"/>
        <v>0</v>
      </c>
      <c r="JF37" s="230">
        <f t="shared" si="70"/>
        <v>0</v>
      </c>
      <c r="JG37" s="230">
        <f t="shared" si="70"/>
        <v>0</v>
      </c>
      <c r="JH37" s="230">
        <f t="shared" si="70"/>
        <v>0</v>
      </c>
      <c r="JI37" s="230">
        <f t="shared" si="70"/>
        <v>0</v>
      </c>
      <c r="JJ37" s="230">
        <f t="shared" si="70"/>
        <v>0</v>
      </c>
      <c r="JK37" s="230">
        <f t="shared" si="70"/>
        <v>0</v>
      </c>
      <c r="JL37" s="230">
        <f t="shared" si="70"/>
        <v>0</v>
      </c>
      <c r="JM37" s="230">
        <f t="shared" si="71"/>
        <v>0</v>
      </c>
      <c r="JO37" s="931">
        <f t="shared" si="91"/>
        <v>0</v>
      </c>
      <c r="JP37" s="931">
        <f t="shared" si="91"/>
        <v>0</v>
      </c>
      <c r="JQ37" s="931">
        <f t="shared" si="91"/>
        <v>0</v>
      </c>
      <c r="JR37" s="931">
        <f t="shared" si="91"/>
        <v>0</v>
      </c>
      <c r="JS37" s="931">
        <f t="shared" si="91"/>
        <v>0</v>
      </c>
      <c r="JT37" s="931">
        <f t="shared" si="73"/>
        <v>0</v>
      </c>
      <c r="JU37" s="931">
        <f t="shared" si="74"/>
        <v>0</v>
      </c>
      <c r="JV37" s="931">
        <f t="shared" si="74"/>
        <v>0</v>
      </c>
      <c r="JW37" s="931">
        <f t="shared" si="75"/>
        <v>0</v>
      </c>
      <c r="JX37" s="931">
        <f t="shared" si="76"/>
        <v>0</v>
      </c>
      <c r="JY37" s="931">
        <f t="shared" si="77"/>
        <v>0</v>
      </c>
      <c r="KB37" s="230" t="str">
        <f t="shared" si="78"/>
        <v xml:space="preserve"> </v>
      </c>
      <c r="KC37" s="230" t="str">
        <f t="shared" si="78"/>
        <v xml:space="preserve"> </v>
      </c>
      <c r="KD37" s="230" t="str">
        <f t="shared" si="78"/>
        <v xml:space="preserve"> </v>
      </c>
      <c r="KE37" s="230" t="str">
        <f t="shared" si="78"/>
        <v xml:space="preserve"> </v>
      </c>
      <c r="KF37" s="230" t="str">
        <f t="shared" si="78"/>
        <v xml:space="preserve"> </v>
      </c>
      <c r="KG37" s="230" t="str">
        <f t="shared" si="78"/>
        <v xml:space="preserve"> </v>
      </c>
      <c r="KH37" s="230" t="str">
        <f t="shared" si="79"/>
        <v xml:space="preserve"> </v>
      </c>
      <c r="KJ37" s="931">
        <f t="shared" si="80"/>
        <v>0</v>
      </c>
      <c r="KK37" s="931">
        <f t="shared" si="80"/>
        <v>0</v>
      </c>
      <c r="KL37" s="931">
        <f t="shared" si="80"/>
        <v>0</v>
      </c>
      <c r="KM37" s="931">
        <f t="shared" si="80"/>
        <v>0</v>
      </c>
      <c r="KN37" s="931">
        <f t="shared" si="80"/>
        <v>0</v>
      </c>
      <c r="KO37" s="931">
        <f t="shared" si="80"/>
        <v>0</v>
      </c>
      <c r="KP37" s="931">
        <f t="shared" si="81"/>
        <v>0</v>
      </c>
      <c r="KR37" s="230">
        <f t="shared" si="87"/>
        <v>0</v>
      </c>
      <c r="KS37" s="230">
        <f t="shared" si="87"/>
        <v>0</v>
      </c>
      <c r="KT37" s="230">
        <f t="shared" si="87"/>
        <v>0</v>
      </c>
      <c r="KU37" s="230">
        <f t="shared" si="87"/>
        <v>0</v>
      </c>
      <c r="KV37" s="230">
        <f t="shared" si="87"/>
        <v>0</v>
      </c>
      <c r="KW37" s="230">
        <f t="shared" si="87"/>
        <v>0</v>
      </c>
      <c r="KX37" s="230">
        <f t="shared" si="87"/>
        <v>0</v>
      </c>
      <c r="KY37" s="230">
        <f t="shared" si="87"/>
        <v>0</v>
      </c>
      <c r="KZ37" s="230">
        <f t="shared" si="46"/>
        <v>0</v>
      </c>
    </row>
    <row r="38" spans="1:312" outlineLevel="1">
      <c r="A38" s="884"/>
      <c r="B38" s="70"/>
      <c r="E38" s="66"/>
      <c r="F38" s="66"/>
      <c r="G38" s="66"/>
      <c r="H38" s="66"/>
      <c r="I38" s="66"/>
      <c r="J38" s="66"/>
      <c r="K38" s="66"/>
      <c r="L38" s="66"/>
      <c r="M38" s="66"/>
      <c r="N38" s="66"/>
      <c r="O38" s="66"/>
      <c r="P38" s="66"/>
      <c r="Q38" s="102"/>
      <c r="R38" s="66"/>
      <c r="S38" s="66"/>
      <c r="T38" s="66"/>
      <c r="U38" s="66"/>
      <c r="V38" s="66"/>
      <c r="W38" s="66"/>
      <c r="X38" s="66"/>
      <c r="Y38" s="66"/>
      <c r="Z38" s="66"/>
      <c r="AA38" s="66"/>
      <c r="AB38" s="66"/>
      <c r="AC38" s="102"/>
      <c r="AD38" s="66"/>
      <c r="AE38" s="66"/>
      <c r="AF38" s="66"/>
      <c r="AG38" s="66"/>
      <c r="AH38" s="66"/>
      <c r="AI38" s="66"/>
      <c r="AJ38" s="66"/>
      <c r="AK38" s="66"/>
      <c r="AL38" s="66"/>
      <c r="AM38" s="66"/>
      <c r="AN38" s="66"/>
      <c r="AO38" s="66"/>
      <c r="AP38" s="88"/>
      <c r="AQ38" s="942"/>
      <c r="AR38" s="942"/>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J38" s="66"/>
      <c r="DK38" s="66"/>
      <c r="DL38" s="66"/>
      <c r="DM38" s="66"/>
      <c r="DN38" s="66"/>
      <c r="DO38" s="66"/>
      <c r="DP38" s="66"/>
      <c r="DQ38" s="66"/>
      <c r="DR38" s="66"/>
      <c r="DS38" s="66"/>
      <c r="DT38" s="66"/>
      <c r="DU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F38" s="66"/>
      <c r="GG38" s="66"/>
      <c r="GH38" s="66"/>
      <c r="GI38" s="66"/>
      <c r="GJ38" s="66"/>
      <c r="GK38" s="66"/>
      <c r="GL38" s="66">
        <f t="shared" si="38"/>
        <v>0</v>
      </c>
      <c r="GM38" s="66">
        <f t="shared" si="57"/>
        <v>0</v>
      </c>
      <c r="GN38" s="66">
        <f t="shared" si="7"/>
        <v>0</v>
      </c>
      <c r="GO38" s="873">
        <v>0</v>
      </c>
      <c r="GQ38" s="50"/>
      <c r="GR38" s="50"/>
      <c r="GS38" s="50"/>
      <c r="GT38" s="922"/>
      <c r="GU38" s="922"/>
      <c r="GV38" s="922"/>
      <c r="GW38" s="922" t="str">
        <f t="shared" ref="GW38:GX69" si="92">+IFERROR(GN38/GM38-1,"")</f>
        <v/>
      </c>
      <c r="GX38" s="50"/>
      <c r="GY38" s="922" t="str">
        <f t="shared" si="9"/>
        <v/>
      </c>
      <c r="HA38" s="66"/>
      <c r="HB38" s="66"/>
      <c r="HC38" s="66"/>
      <c r="HD38" s="66"/>
      <c r="HE38" s="66">
        <f t="shared" ref="HE38:HH69" si="93">+GL38-GK38</f>
        <v>0</v>
      </c>
      <c r="HF38" s="66">
        <f t="shared" si="93"/>
        <v>0</v>
      </c>
      <c r="HG38" s="66">
        <f t="shared" si="93"/>
        <v>0</v>
      </c>
      <c r="HH38" s="66"/>
      <c r="HI38" s="66">
        <f t="shared" si="11"/>
        <v>0</v>
      </c>
      <c r="HK38" s="50"/>
      <c r="HL38" s="50"/>
      <c r="HM38" s="50"/>
      <c r="HN38" s="50"/>
      <c r="HO38" s="50"/>
      <c r="HP38" s="50"/>
      <c r="HQ38" s="50"/>
      <c r="HR38" s="50"/>
      <c r="HS38" s="50"/>
      <c r="HU38" s="66"/>
      <c r="HV38" s="66"/>
      <c r="HW38" s="66"/>
      <c r="HX38" s="66"/>
      <c r="HY38" s="66"/>
      <c r="HZ38" s="66"/>
      <c r="IA38" s="66"/>
      <c r="IB38" s="66"/>
      <c r="IC38" s="66"/>
      <c r="ID38" s="66"/>
      <c r="IE38" s="66"/>
      <c r="IF38" s="922" t="str">
        <f t="shared" si="20"/>
        <v/>
      </c>
      <c r="IG38" s="66"/>
      <c r="IH38" s="66"/>
      <c r="II38" s="88"/>
      <c r="IJ38" s="50"/>
      <c r="IK38" s="66"/>
      <c r="IM38" s="50"/>
      <c r="IN38" s="50"/>
      <c r="IP38" s="50"/>
      <c r="IQ38" s="50"/>
      <c r="IR38" s="50"/>
      <c r="IS38" s="50"/>
      <c r="IT38" s="50"/>
      <c r="IU38" s="50"/>
      <c r="IV38" s="50"/>
      <c r="IX38" s="66"/>
      <c r="IY38" s="66"/>
      <c r="IZ38" s="66"/>
      <c r="JA38" s="66"/>
      <c r="JB38" s="66"/>
      <c r="JC38" s="66"/>
      <c r="JD38" s="66"/>
      <c r="JF38" s="50"/>
      <c r="JG38" s="50"/>
      <c r="JH38" s="50"/>
      <c r="JI38" s="50"/>
      <c r="JJ38" s="50"/>
      <c r="JK38" s="50"/>
      <c r="JL38" s="50"/>
      <c r="JM38" s="50"/>
      <c r="JO38" s="66"/>
      <c r="JP38" s="66"/>
      <c r="JQ38" s="66"/>
      <c r="JR38" s="66"/>
      <c r="JS38" s="66"/>
      <c r="JT38" s="66"/>
      <c r="JU38" s="66"/>
      <c r="JV38" s="66"/>
      <c r="JW38" s="66"/>
      <c r="JX38" s="66"/>
      <c r="JY38" s="66"/>
      <c r="KB38" s="50"/>
      <c r="KC38" s="50"/>
      <c r="KD38" s="50"/>
      <c r="KE38" s="50"/>
      <c r="KF38" s="50"/>
      <c r="KG38" s="50"/>
      <c r="KH38" s="50"/>
      <c r="KJ38" s="66"/>
      <c r="KK38" s="66"/>
      <c r="KL38" s="66"/>
      <c r="KM38" s="66"/>
      <c r="KN38" s="66"/>
      <c r="KO38" s="66"/>
      <c r="KP38" s="66"/>
      <c r="KR38" s="50"/>
      <c r="KS38" s="50"/>
      <c r="KT38" s="50"/>
      <c r="KU38" s="50"/>
      <c r="KV38" s="50"/>
      <c r="KW38" s="50"/>
      <c r="KX38" s="50"/>
      <c r="KY38" s="50"/>
      <c r="KZ38" s="50"/>
    </row>
    <row r="39" spans="1:312">
      <c r="A39" s="884"/>
      <c r="B39" s="70"/>
      <c r="C39" s="1524" t="s">
        <v>75</v>
      </c>
      <c r="D39" s="1525" t="s">
        <v>59</v>
      </c>
      <c r="E39" s="1526">
        <f t="shared" ref="E39:BP39" si="94">+E11+E21</f>
        <v>-1040.3704603599999</v>
      </c>
      <c r="F39" s="1526">
        <f t="shared" si="94"/>
        <v>1359.5178789600004</v>
      </c>
      <c r="G39" s="1526">
        <f t="shared" si="94"/>
        <v>635.09937994000029</v>
      </c>
      <c r="H39" s="1526">
        <f t="shared" si="94"/>
        <v>898.15166613000065</v>
      </c>
      <c r="I39" s="1526">
        <f t="shared" si="94"/>
        <v>1758.4973033699987</v>
      </c>
      <c r="J39" s="1526">
        <f t="shared" si="94"/>
        <v>833.81255290999934</v>
      </c>
      <c r="K39" s="1526">
        <f t="shared" si="94"/>
        <v>1080.5166749999985</v>
      </c>
      <c r="L39" s="1526">
        <f t="shared" si="94"/>
        <v>1764.4498180100015</v>
      </c>
      <c r="M39" s="1526">
        <f t="shared" si="94"/>
        <v>1698.2245571400015</v>
      </c>
      <c r="N39" s="1526">
        <f t="shared" si="94"/>
        <v>1413.593455379998</v>
      </c>
      <c r="O39" s="1526">
        <f t="shared" si="94"/>
        <v>2073.3796449300025</v>
      </c>
      <c r="P39" s="1526">
        <f t="shared" si="94"/>
        <v>890.28397530999791</v>
      </c>
      <c r="Q39" s="1526">
        <f t="shared" si="94"/>
        <v>-51.94547945999966</v>
      </c>
      <c r="R39" s="1526">
        <f t="shared" si="94"/>
        <v>1685.59715637</v>
      </c>
      <c r="S39" s="1526">
        <f t="shared" si="94"/>
        <v>326.67918359999999</v>
      </c>
      <c r="T39" s="1526">
        <f t="shared" si="94"/>
        <v>-201.79397314999778</v>
      </c>
      <c r="U39" s="1526">
        <f t="shared" si="94"/>
        <v>1974.51820666</v>
      </c>
      <c r="V39" s="1526">
        <f t="shared" si="94"/>
        <v>1632.906313559997</v>
      </c>
      <c r="W39" s="1526">
        <f t="shared" si="94"/>
        <v>1004.6899306299988</v>
      </c>
      <c r="X39" s="1526">
        <f t="shared" si="94"/>
        <v>1345.7232652800019</v>
      </c>
      <c r="Y39" s="1526">
        <f t="shared" si="94"/>
        <v>-193.31878153999833</v>
      </c>
      <c r="Z39" s="1526">
        <f t="shared" si="94"/>
        <v>565.46575625999662</v>
      </c>
      <c r="AA39" s="1526">
        <f t="shared" si="94"/>
        <v>3099.7269622900003</v>
      </c>
      <c r="AB39" s="1526">
        <f t="shared" si="94"/>
        <v>3088.7708836100073</v>
      </c>
      <c r="AC39" s="1526">
        <f t="shared" si="94"/>
        <v>-46.689008140000169</v>
      </c>
      <c r="AD39" s="1526">
        <f t="shared" si="94"/>
        <v>2116.4745471400001</v>
      </c>
      <c r="AE39" s="1526">
        <f t="shared" si="94"/>
        <v>863.01435854999977</v>
      </c>
      <c r="AF39" s="1526">
        <f t="shared" si="94"/>
        <v>1327.2196724000005</v>
      </c>
      <c r="AG39" s="1526">
        <f t="shared" si="94"/>
        <v>1274.2845223800005</v>
      </c>
      <c r="AH39" s="1526">
        <f t="shared" si="94"/>
        <v>935.25963992000038</v>
      </c>
      <c r="AI39" s="1526">
        <f t="shared" si="94"/>
        <v>744.76160376000007</v>
      </c>
      <c r="AJ39" s="1526">
        <f t="shared" si="94"/>
        <v>1287.2960330399999</v>
      </c>
      <c r="AK39" s="1526">
        <f t="shared" si="94"/>
        <v>1255.6724403899996</v>
      </c>
      <c r="AL39" s="1526">
        <f t="shared" si="94"/>
        <v>1622.54049586</v>
      </c>
      <c r="AM39" s="1526">
        <f t="shared" si="94"/>
        <v>3883.7513153900004</v>
      </c>
      <c r="AN39" s="1526">
        <f t="shared" si="94"/>
        <v>919.50887505999799</v>
      </c>
      <c r="AO39" s="1526">
        <f t="shared" si="94"/>
        <v>1626.1947361300004</v>
      </c>
      <c r="AP39" s="1526">
        <f t="shared" si="94"/>
        <v>131.13817431000007</v>
      </c>
      <c r="AQ39" s="1526">
        <f t="shared" si="94"/>
        <v>485.5715526099998</v>
      </c>
      <c r="AR39" s="1526">
        <f t="shared" si="94"/>
        <v>411.85006973999975</v>
      </c>
      <c r="AS39" s="1526">
        <f t="shared" si="94"/>
        <v>-582.2379642100002</v>
      </c>
      <c r="AT39" s="1526">
        <f t="shared" si="94"/>
        <v>-229.60944749999999</v>
      </c>
      <c r="AU39" s="1526">
        <f t="shared" si="94"/>
        <v>615.58678015000032</v>
      </c>
      <c r="AV39" s="1526">
        <f t="shared" si="94"/>
        <v>630.68881863000013</v>
      </c>
      <c r="AW39" s="1526">
        <f t="shared" si="94"/>
        <v>592.23604336999961</v>
      </c>
      <c r="AX39" s="1526">
        <f t="shared" si="94"/>
        <v>580.94852906999995</v>
      </c>
      <c r="AY39" s="1526">
        <f t="shared" si="94"/>
        <v>-25.422038000000157</v>
      </c>
      <c r="AZ39" s="1526">
        <f t="shared" si="94"/>
        <v>-163.42629369999975</v>
      </c>
      <c r="BA39" s="1526">
        <f t="shared" si="94"/>
        <v>180.66469269999999</v>
      </c>
      <c r="BB39" s="1526">
        <f t="shared" si="94"/>
        <v>-193.42422410000012</v>
      </c>
      <c r="BC39" s="1526">
        <f t="shared" si="94"/>
        <v>-121.88552731000001</v>
      </c>
      <c r="BD39" s="1526">
        <f t="shared" si="94"/>
        <v>-202.78344271999998</v>
      </c>
      <c r="BE39" s="1526">
        <f t="shared" si="94"/>
        <v>71.967869529999973</v>
      </c>
      <c r="BF39" s="1526">
        <f t="shared" si="94"/>
        <v>-284.44320932999995</v>
      </c>
      <c r="BG39" s="1526">
        <f t="shared" si="94"/>
        <v>-12.148296490000064</v>
      </c>
      <c r="BH39" s="1526">
        <f t="shared" si="94"/>
        <v>150.19845852999987</v>
      </c>
      <c r="BI39" s="1526">
        <f t="shared" si="94"/>
        <v>-41.468103460000151</v>
      </c>
      <c r="BJ39" s="1526">
        <f t="shared" si="94"/>
        <v>92.405414860000064</v>
      </c>
      <c r="BK39" s="1526">
        <f t="shared" si="94"/>
        <v>566.57648766000011</v>
      </c>
      <c r="BL39" s="1526">
        <f t="shared" si="94"/>
        <v>810.33013985000025</v>
      </c>
      <c r="BM39" s="1526">
        <f t="shared" si="94"/>
        <v>457.71333386999993</v>
      </c>
      <c r="BN39" s="1526">
        <f t="shared" si="94"/>
        <v>452.45824948999996</v>
      </c>
      <c r="BO39" s="1526">
        <f t="shared" si="94"/>
        <v>449.42493248999995</v>
      </c>
      <c r="BP39" s="1526">
        <f t="shared" si="94"/>
        <v>680.83882277000032</v>
      </c>
      <c r="BQ39" s="1526">
        <f t="shared" ref="BQ39:DH39" si="95">+BQ11+BQ21</f>
        <v>314.04213295999989</v>
      </c>
      <c r="BR39" s="1526">
        <f t="shared" si="95"/>
        <v>378.93736509000007</v>
      </c>
      <c r="BS39" s="1526">
        <f t="shared" si="95"/>
        <v>363.27293327000007</v>
      </c>
      <c r="BT39" s="1526">
        <f t="shared" si="95"/>
        <v>411.02498418000016</v>
      </c>
      <c r="BU39" s="1526">
        <f t="shared" si="95"/>
        <v>317.09247554000012</v>
      </c>
      <c r="BV39" s="1526">
        <f t="shared" si="95"/>
        <v>572.71890607999978</v>
      </c>
      <c r="BW39" s="1526">
        <f t="shared" si="95"/>
        <v>582.09371721000036</v>
      </c>
      <c r="BX39" s="1526">
        <f t="shared" si="95"/>
        <v>321.69889568000031</v>
      </c>
      <c r="BY39" s="1526">
        <f t="shared" si="95"/>
        <v>270.12846658000012</v>
      </c>
      <c r="BZ39" s="1526">
        <f t="shared" si="95"/>
        <v>301.8723840900002</v>
      </c>
      <c r="CA39" s="1526">
        <f t="shared" si="95"/>
        <v>345.02850125000009</v>
      </c>
      <c r="CB39" s="1526">
        <f t="shared" si="95"/>
        <v>197.34809533000009</v>
      </c>
      <c r="CC39" s="1526">
        <f t="shared" si="95"/>
        <v>139.17570094000007</v>
      </c>
      <c r="CD39" s="1526">
        <f t="shared" si="95"/>
        <v>260.96305595999979</v>
      </c>
      <c r="CE39" s="1526">
        <f t="shared" si="95"/>
        <v>317.10696023999992</v>
      </c>
      <c r="CF39" s="1526">
        <f t="shared" si="95"/>
        <v>824.45657909000022</v>
      </c>
      <c r="CG39" s="1526">
        <f t="shared" si="95"/>
        <v>263.06424321999998</v>
      </c>
      <c r="CH39" s="1526">
        <f t="shared" si="95"/>
        <v>423.33955997000021</v>
      </c>
      <c r="CI39" s="1526">
        <f t="shared" si="95"/>
        <v>810.82448919000012</v>
      </c>
      <c r="CJ39" s="1526">
        <f t="shared" si="95"/>
        <v>515.92466417999981</v>
      </c>
      <c r="CK39" s="1526">
        <f t="shared" si="95"/>
        <v>433.23240773999964</v>
      </c>
      <c r="CL39" s="1526">
        <f t="shared" si="95"/>
        <v>246.18826133999983</v>
      </c>
      <c r="CM39" s="1526">
        <f t="shared" si="95"/>
        <v>717.01440774000002</v>
      </c>
      <c r="CN39" s="1526">
        <f t="shared" si="95"/>
        <v>439.07464460999995</v>
      </c>
      <c r="CO39" s="1526">
        <f t="shared" si="95"/>
        <v>714.87249671999984</v>
      </c>
      <c r="CP39" s="1526">
        <f t="shared" si="95"/>
        <v>358.98761847999981</v>
      </c>
      <c r="CQ39" s="1526">
        <f t="shared" si="95"/>
        <v>577.76121343</v>
      </c>
      <c r="CR39" s="1526">
        <f t="shared" si="95"/>
        <v>601.26161599000011</v>
      </c>
      <c r="CS39" s="1526">
        <f t="shared" si="95"/>
        <v>666.35480468999981</v>
      </c>
      <c r="CT39" s="1526">
        <f t="shared" si="95"/>
        <v>1058.7116073900002</v>
      </c>
      <c r="CU39" s="1526">
        <f t="shared" si="95"/>
        <v>709.03457459000015</v>
      </c>
      <c r="CV39" s="1526">
        <f t="shared" si="95"/>
        <v>530.63791900999968</v>
      </c>
      <c r="CW39" s="1526">
        <f t="shared" si="95"/>
        <v>685.7455875600001</v>
      </c>
      <c r="CX39" s="1526">
        <f t="shared" si="95"/>
        <v>511.7975396199995</v>
      </c>
      <c r="CY39" s="1526">
        <f t="shared" si="95"/>
        <v>896.8241967500004</v>
      </c>
      <c r="CZ39" s="1526">
        <f t="shared" si="95"/>
        <v>125.72410431000014</v>
      </c>
      <c r="DA39" s="1526">
        <f t="shared" si="95"/>
        <v>192.95566513000009</v>
      </c>
      <c r="DB39" s="1526">
        <f t="shared" si="95"/>
        <v>-4.4781833100000199</v>
      </c>
      <c r="DC39" s="1526">
        <f t="shared" si="95"/>
        <v>69.400530960000026</v>
      </c>
      <c r="DD39" s="1526">
        <f t="shared" si="95"/>
        <v>506.1361452000001</v>
      </c>
      <c r="DE39" s="1526">
        <f t="shared" si="95"/>
        <v>398.58417361999989</v>
      </c>
      <c r="DF39" s="1526">
        <f t="shared" si="95"/>
        <v>513.22671016000004</v>
      </c>
      <c r="DG39" s="1526">
        <f t="shared" si="95"/>
        <v>149.32975719999979</v>
      </c>
      <c r="DH39" s="1526">
        <f t="shared" si="95"/>
        <v>441.46484845999987</v>
      </c>
      <c r="DJ39" s="1526">
        <f t="shared" ref="DJ39:DU39" si="96">+DJ11+DJ21</f>
        <v>801.21641821000003</v>
      </c>
      <c r="DK39" s="1526">
        <f t="shared" si="96"/>
        <v>531.76379347999955</v>
      </c>
      <c r="DL39" s="1526">
        <f t="shared" si="96"/>
        <v>1026.1403686199997</v>
      </c>
      <c r="DM39" s="1526">
        <f t="shared" si="96"/>
        <v>141.58947042000005</v>
      </c>
      <c r="DN39" s="1526">
        <f t="shared" si="96"/>
        <v>232.79811342000002</v>
      </c>
      <c r="DO39" s="1526">
        <f t="shared" si="96"/>
        <v>-8.8340331199999582</v>
      </c>
      <c r="DP39" s="1526">
        <f t="shared" si="96"/>
        <v>112.53937606595025</v>
      </c>
      <c r="DQ39" s="1526">
        <f t="shared" si="96"/>
        <v>668.68817290430002</v>
      </c>
      <c r="DR39" s="1526">
        <f t="shared" si="96"/>
        <v>566.34062213695029</v>
      </c>
      <c r="DS39" s="1526">
        <f t="shared" si="96"/>
        <v>828.54423842430015</v>
      </c>
      <c r="DT39" s="1526">
        <f t="shared" si="96"/>
        <v>301.61486256674988</v>
      </c>
      <c r="DU39" s="1526">
        <f t="shared" si="96"/>
        <v>311.77816806699991</v>
      </c>
      <c r="DW39" s="1526">
        <v>1115.0898392066661</v>
      </c>
      <c r="DX39" s="1526">
        <v>239.78083173369282</v>
      </c>
      <c r="DY39" s="1526">
        <v>342.26392447179046</v>
      </c>
      <c r="DZ39" s="1526">
        <v>1225.5101365909502</v>
      </c>
      <c r="EA39" s="1526">
        <v>838.99318313728327</v>
      </c>
      <c r="EB39" s="1526">
        <v>1058.5988780851683</v>
      </c>
      <c r="EC39" s="1526">
        <v>1894.8407955621751</v>
      </c>
      <c r="ED39" s="1526">
        <v>2702.4535508298368</v>
      </c>
      <c r="EE39" s="1526">
        <v>1900.6494861805359</v>
      </c>
      <c r="EF39" s="1526">
        <v>2141.9963859800164</v>
      </c>
      <c r="EG39" s="1526">
        <v>1955.4890558677489</v>
      </c>
      <c r="EH39" s="1526">
        <v>1852.3082341793379</v>
      </c>
      <c r="EI39" s="1526">
        <f>+EI11+EI21</f>
        <v>144.18134055873412</v>
      </c>
      <c r="EJ39" s="1526">
        <f t="shared" ref="EJ39:GD39" si="97">+EJ11+EJ21</f>
        <v>349.2720625888893</v>
      </c>
      <c r="EK39" s="1526">
        <f t="shared" si="97"/>
        <v>328.25723923355861</v>
      </c>
      <c r="EL39" s="1526">
        <f t="shared" si="97"/>
        <v>303.45254278069172</v>
      </c>
      <c r="EM39" s="1526">
        <f t="shared" si="97"/>
        <v>388.82029015445403</v>
      </c>
      <c r="EN39" s="1526">
        <f t="shared" si="97"/>
        <v>604.78406411532467</v>
      </c>
      <c r="EO39" s="1526">
        <f t="shared" si="97"/>
        <v>653.81082968626424</v>
      </c>
      <c r="EP39" s="1526">
        <f t="shared" si="97"/>
        <v>709.86322849652004</v>
      </c>
      <c r="EQ39" s="1526">
        <f t="shared" si="97"/>
        <v>701.45026096711581</v>
      </c>
      <c r="ER39" s="1526">
        <f t="shared" si="97"/>
        <v>731.75408324104683</v>
      </c>
      <c r="ES39" s="1526">
        <f t="shared" si="97"/>
        <v>624.25522048894595</v>
      </c>
      <c r="ET39" s="1526">
        <f t="shared" si="97"/>
        <v>432.14417046932613</v>
      </c>
      <c r="EU39" s="1526">
        <f t="shared" si="97"/>
        <v>322.42281100000002</v>
      </c>
      <c r="EV39" s="1526">
        <f t="shared" si="97"/>
        <v>524.06296800000018</v>
      </c>
      <c r="EW39" s="1526">
        <f t="shared" si="97"/>
        <v>531.7165789999998</v>
      </c>
      <c r="EX39" s="1526">
        <f t="shared" si="97"/>
        <v>474.70117200000004</v>
      </c>
      <c r="EY39" s="1526">
        <f t="shared" si="97"/>
        <v>502.65879900000016</v>
      </c>
      <c r="EZ39" s="1526">
        <f t="shared" si="97"/>
        <v>478.42721300000005</v>
      </c>
      <c r="FA39" s="1526">
        <f t="shared" si="97"/>
        <v>491.46254899999985</v>
      </c>
      <c r="FB39" s="1526">
        <f t="shared" si="97"/>
        <v>286.69307399999997</v>
      </c>
      <c r="FC39" s="1526">
        <f t="shared" si="97"/>
        <v>179.9468599999999</v>
      </c>
      <c r="FD39" s="1526">
        <f t="shared" si="97"/>
        <v>96.39521400000001</v>
      </c>
      <c r="FE39" s="1526">
        <f t="shared" si="97"/>
        <v>157.50663199999985</v>
      </c>
      <c r="FF39" s="1526">
        <f t="shared" si="97"/>
        <v>100.05079399999994</v>
      </c>
      <c r="FG39" s="1526">
        <f t="shared" si="97"/>
        <v>416.61198261219238</v>
      </c>
      <c r="FH39" s="1526">
        <f t="shared" si="97"/>
        <v>315.25940229133698</v>
      </c>
      <c r="FI39" s="1526">
        <f t="shared" si="97"/>
        <v>262.84974213090914</v>
      </c>
      <c r="FJ39" s="1526">
        <f t="shared" si="97"/>
        <v>174.84591314695217</v>
      </c>
      <c r="FK39" s="1526">
        <f t="shared" si="97"/>
        <v>292.9716161309093</v>
      </c>
      <c r="FL39" s="1526">
        <f t="shared" si="97"/>
        <v>300.11398613090898</v>
      </c>
      <c r="FM39" s="1526">
        <f t="shared" si="97"/>
        <v>360.35884229133706</v>
      </c>
      <c r="FN39" s="1526">
        <f t="shared" si="97"/>
        <v>374.85093729133666</v>
      </c>
      <c r="FO39" s="1526">
        <f t="shared" si="97"/>
        <v>401.62553729133731</v>
      </c>
      <c r="FP39" s="1526">
        <f t="shared" si="97"/>
        <v>523.79276777262021</v>
      </c>
      <c r="FQ39" s="1526">
        <f t="shared" si="97"/>
        <v>591.54880809347605</v>
      </c>
      <c r="FR39" s="1526">
        <f t="shared" si="97"/>
        <v>514.03114277262057</v>
      </c>
      <c r="FS39" s="1526">
        <f t="shared" si="97"/>
        <v>416.61198261219238</v>
      </c>
      <c r="FT39" s="1526">
        <f t="shared" si="97"/>
        <v>315.25940229133698</v>
      </c>
      <c r="FU39" s="1526">
        <f t="shared" si="97"/>
        <v>262.84974213090914</v>
      </c>
      <c r="FV39" s="1526">
        <f t="shared" si="97"/>
        <v>174.84591314695217</v>
      </c>
      <c r="FW39" s="1526">
        <f t="shared" si="97"/>
        <v>292.9716161309093</v>
      </c>
      <c r="FX39" s="1526">
        <f t="shared" si="97"/>
        <v>300.11398613090898</v>
      </c>
      <c r="FY39" s="1526">
        <f t="shared" si="97"/>
        <v>360.35884229133706</v>
      </c>
      <c r="FZ39" s="1526">
        <f t="shared" si="97"/>
        <v>374.85093729133666</v>
      </c>
      <c r="GA39" s="1526">
        <f t="shared" si="97"/>
        <v>401.62553729133731</v>
      </c>
      <c r="GB39" s="1526">
        <f t="shared" si="97"/>
        <v>523.79276777262021</v>
      </c>
      <c r="GC39" s="1526">
        <f t="shared" si="97"/>
        <v>591.54880809347605</v>
      </c>
      <c r="GD39" s="1526">
        <f t="shared" si="97"/>
        <v>514.03114277262057</v>
      </c>
      <c r="GF39" s="1526">
        <f>+SUMIF($E$6:$AZ$6,GF$7,$E39:$AZ39)</f>
        <v>13365.156446720001</v>
      </c>
      <c r="GG39" s="1526">
        <f>+SUMIF($E$6:$AZ$6,GG$7,$E39:$AZ39)</f>
        <v>14277.019424110007</v>
      </c>
      <c r="GH39" s="1526">
        <f>+SUMIF($E$6:$AZ$6,GH$7,$E39:$AZ39)</f>
        <v>16183.094495749996</v>
      </c>
      <c r="GI39" s="1526">
        <f>+SUMIF($E$6:$AZ$6,GI$7,$E39:$AZ39)</f>
        <v>4073.518960599999</v>
      </c>
      <c r="GJ39" s="1526">
        <f>+SUMIF($E$6:$BL$6,GJ$7,$E39:$BL39)</f>
        <v>1015.9902597199999</v>
      </c>
      <c r="GK39" s="1526">
        <f t="shared" si="37"/>
        <v>5301.3167486300008</v>
      </c>
      <c r="GL39" s="1526">
        <f t="shared" si="38"/>
        <v>4669.2327000400001</v>
      </c>
      <c r="GM39" s="1526">
        <f t="shared" si="57"/>
        <v>7053.1315717299976</v>
      </c>
      <c r="GN39" s="1526">
        <f t="shared" si="7"/>
        <v>4528.8606779559377</v>
      </c>
      <c r="GO39" s="1527">
        <v>4486.7110756600005</v>
      </c>
      <c r="GQ39" s="1528">
        <f t="shared" ref="GQ39:GV40" si="98">+IFERROR(GH39/GG39-1,"")</f>
        <v>0.13350651246023704</v>
      </c>
      <c r="GR39" s="1528">
        <f t="shared" si="98"/>
        <v>-0.74828553576883672</v>
      </c>
      <c r="GS39" s="1528">
        <f t="shared" si="98"/>
        <v>-0.75058658875854301</v>
      </c>
      <c r="GT39" s="1528">
        <f t="shared" si="98"/>
        <v>4.2178814687564108</v>
      </c>
      <c r="GU39" s="1528">
        <f t="shared" si="98"/>
        <v>-0.11923151899070128</v>
      </c>
      <c r="GV39" s="1528">
        <f t="shared" si="98"/>
        <v>0.51055473668501783</v>
      </c>
      <c r="GW39" s="1528">
        <f t="shared" si="92"/>
        <v>-0.35789363463623924</v>
      </c>
      <c r="GX39" s="1528">
        <f t="shared" si="92"/>
        <v>-9.3068887062697225E-3</v>
      </c>
      <c r="GY39" s="1528">
        <f t="shared" si="9"/>
        <v>-0.36386964711626724</v>
      </c>
      <c r="HA39" s="1526">
        <f>+GH39-GG39</f>
        <v>1906.0750716399889</v>
      </c>
      <c r="HB39" s="1526">
        <f>+GI39-GH39</f>
        <v>-12109.575535149997</v>
      </c>
      <c r="HC39" s="1526">
        <f>+GJ39-GI39</f>
        <v>-3057.5287008799992</v>
      </c>
      <c r="HD39" s="1526">
        <f t="shared" ref="HD39:HG70" si="99">+GK39-GJ39</f>
        <v>4285.326488910001</v>
      </c>
      <c r="HE39" s="1526">
        <f t="shared" si="93"/>
        <v>-632.08404859000075</v>
      </c>
      <c r="HF39" s="1526">
        <f t="shared" si="93"/>
        <v>2383.8988716899976</v>
      </c>
      <c r="HG39" s="1526">
        <f t="shared" si="93"/>
        <v>-2524.2708937740599</v>
      </c>
      <c r="HH39" s="1526">
        <f t="shared" si="93"/>
        <v>-42.149602295937257</v>
      </c>
      <c r="HI39" s="1526">
        <f t="shared" si="11"/>
        <v>-2566.4204960699972</v>
      </c>
      <c r="HK39" s="1529">
        <f>+GG39/GG$11</f>
        <v>0.38843451506275067</v>
      </c>
      <c r="HL39" s="1529">
        <f>+GH39/GH$11</f>
        <v>0.41091593179328084</v>
      </c>
      <c r="HM39" s="1529">
        <f>+GI39/GI$11</f>
        <v>0.24171194165245793</v>
      </c>
      <c r="HN39" s="1529">
        <f>+GJ39/GJ$11</f>
        <v>0.1651472421907059</v>
      </c>
      <c r="HO39" s="1529">
        <f t="shared" si="86"/>
        <v>0.3889785549230878</v>
      </c>
      <c r="HP39" s="1529">
        <f t="shared" si="86"/>
        <v>0.32996866061968799</v>
      </c>
      <c r="HQ39" s="1529">
        <f t="shared" si="86"/>
        <v>0.33223491312955628</v>
      </c>
      <c r="HR39" s="1529">
        <f t="shared" si="86"/>
        <v>0.28787027956121053</v>
      </c>
      <c r="HS39" s="1529">
        <f t="shared" si="86"/>
        <v>0.35552703395013696</v>
      </c>
      <c r="HU39" s="1526">
        <f t="shared" ref="HU39:HZ39" si="100">+IFERROR(SUMIFS($E39:$BX39,$E$6:$BX$6,HU$7,$E$5:$BX$5,"&lt;="&amp;$HW$5),"NA")</f>
        <v>4444.7083209499997</v>
      </c>
      <c r="HV39" s="1526">
        <f t="shared" si="100"/>
        <v>5365.96140758</v>
      </c>
      <c r="HW39" s="1526">
        <f t="shared" si="100"/>
        <v>6469.5637322500006</v>
      </c>
      <c r="HX39" s="1526">
        <f t="shared" si="100"/>
        <v>1842.9071210799993</v>
      </c>
      <c r="HY39" s="1526">
        <f t="shared" si="100"/>
        <v>-549.90384123000013</v>
      </c>
      <c r="HZ39" s="1526">
        <f t="shared" si="100"/>
        <v>2733.4148366700001</v>
      </c>
      <c r="IA39" s="1526">
        <f>+IFERROR(SUMIFS($E39:$CJ39,$E$6:$CJ$6,IA$7,$E$5:$CJ$5,"&lt;="&amp;$HW$5),"NA")</f>
        <v>1514.5162041500002</v>
      </c>
      <c r="IB39" s="1526">
        <f>+IFERROR(SUMIFS($E39:$CV39,$E$6:$CV$6,IB$7,$E$5:$CV$5,"&lt;="&amp;$HW$5),"NA")</f>
        <v>2909.3698366299986</v>
      </c>
      <c r="IC39" s="1526">
        <f>+SUMIF($CW$5:$DH$5,"&lt;="&amp;$HW$5,$CW39:$DH39)</f>
        <v>2408.5689100600002</v>
      </c>
      <c r="ID39" s="1526">
        <f t="shared" si="18"/>
        <v>1762.6526424432091</v>
      </c>
      <c r="IE39" s="1526">
        <f>+SUMIF($DJ$5:$DU$5,"&lt;="&amp;$HW$5,$DJ39:$DU39)</f>
        <v>2724.6741310299994</v>
      </c>
      <c r="IF39" s="922">
        <f t="shared" si="20"/>
        <v>-0.17213381408741402</v>
      </c>
      <c r="IG39" s="1526">
        <f t="shared" si="21"/>
        <v>2408.5689100600002</v>
      </c>
      <c r="IH39" s="1526">
        <f>+ID39</f>
        <v>1762.6526424432091</v>
      </c>
      <c r="II39" s="939"/>
      <c r="IJ39" s="1528">
        <f>+IFERROR(IG39/IH39,"")</f>
        <v>1.3664455787054492</v>
      </c>
      <c r="IK39" s="1530">
        <f>+IFERROR(IG39-IH39,"NA")</f>
        <v>645.91626761679117</v>
      </c>
      <c r="IM39" s="1529">
        <f>+IG39/IG$11</f>
        <v>0.37040180195396033</v>
      </c>
      <c r="IN39" s="1528">
        <f>+IFERROR(IH39/IH$11,"")</f>
        <v>0.24963438880280153</v>
      </c>
      <c r="IP39" s="1529">
        <f t="shared" ref="IP39:IU39" si="101">+IFERROR(HW39/HV39-1,"NA")</f>
        <v>0.20566721242367558</v>
      </c>
      <c r="IQ39" s="1529">
        <f t="shared" si="101"/>
        <v>-0.71514197906524546</v>
      </c>
      <c r="IR39" s="1529">
        <f t="shared" si="101"/>
        <v>-1.2983893409168334</v>
      </c>
      <c r="IS39" s="1529">
        <f t="shared" si="101"/>
        <v>-5.9707142080623061</v>
      </c>
      <c r="IT39" s="1529">
        <f t="shared" si="101"/>
        <v>-0.44592522736319484</v>
      </c>
      <c r="IU39" s="1529">
        <f t="shared" si="101"/>
        <v>0.92098957321017205</v>
      </c>
      <c r="IV39" s="1529">
        <f>+IFERROR(IE39/IB39-1,"NA")</f>
        <v>-6.3483061958852671E-2</v>
      </c>
      <c r="IX39" s="1526">
        <f t="shared" ref="IX39:JC39" si="102">+HW39-HV39</f>
        <v>1103.6023246700006</v>
      </c>
      <c r="IY39" s="1526">
        <f t="shared" si="102"/>
        <v>-4626.6566111700013</v>
      </c>
      <c r="IZ39" s="1526">
        <f t="shared" si="102"/>
        <v>-2392.8109623099995</v>
      </c>
      <c r="JA39" s="1526">
        <f t="shared" si="102"/>
        <v>3283.3186779000002</v>
      </c>
      <c r="JB39" s="1526">
        <f t="shared" si="102"/>
        <v>-1218.8986325199999</v>
      </c>
      <c r="JC39" s="1526">
        <f t="shared" si="102"/>
        <v>1394.8536324799984</v>
      </c>
      <c r="JD39" s="1526">
        <f>+IE39-IB39</f>
        <v>-184.6957055999992</v>
      </c>
      <c r="JF39" s="1529">
        <f t="shared" ref="JF39:JL39" si="103">+HU39/HU$11</f>
        <v>0.27788691309698493</v>
      </c>
      <c r="JG39" s="1529">
        <f t="shared" si="103"/>
        <v>0.31469460904121044</v>
      </c>
      <c r="JH39" s="1529">
        <f t="shared" si="103"/>
        <v>0.39799790817081898</v>
      </c>
      <c r="JI39" s="1529">
        <f t="shared" si="103"/>
        <v>0.19701652483377041</v>
      </c>
      <c r="JJ39" s="1529">
        <f t="shared" si="103"/>
        <v>-0.27404414358511942</v>
      </c>
      <c r="JK39" s="1529">
        <f t="shared" si="103"/>
        <v>0.39378924439898799</v>
      </c>
      <c r="JL39" s="1529">
        <f t="shared" si="103"/>
        <v>0.28632745973939794</v>
      </c>
      <c r="JM39" s="1529">
        <f>+IE39/IE$11</f>
        <v>0.39958927398538485</v>
      </c>
      <c r="JO39" s="1526">
        <f>+SUMIFS($E39:$BX39,$E$6:$BX$6,JO$7,$E$5:$BX$5,$JQ$5)</f>
        <v>833.81255290999934</v>
      </c>
      <c r="JP39" s="1526">
        <f>+SUMIFS($E39:$BX39,$E$6:$BX$6,JP$7,$E$5:$BX$5,$JQ$5)</f>
        <v>1632.906313559997</v>
      </c>
      <c r="JQ39" s="1526">
        <f>+SUMIFS($E39:$BX39,$E$6:$BX$6,JQ$7,$E$5:$BX$5,$JQ$5)</f>
        <v>935.25963992000038</v>
      </c>
      <c r="JR39" s="1526">
        <f>+SUMIFS($E39:$BX39,$E$6:$BX$6,JR$7,$E$5:$BX$5,$JQ$5)</f>
        <v>-229.60944749999999</v>
      </c>
      <c r="JS39" s="1526">
        <f>+SUMIFS($E39:$BX39,$E$6:$BX$6,JS$7,$E$5:$BX$5,$JQ$5)</f>
        <v>-284.44320932999995</v>
      </c>
      <c r="JT39" s="1526">
        <f>+SUMIFS($E39:$CJ39,$E$6:$CJ$6,JT$7,$E$5:$CJ$5,$JQ$5)</f>
        <v>378.93736509000007</v>
      </c>
      <c r="JU39" s="1526">
        <f>+SUMIFS($E39:$CV39,$E$6:$CV$6,JU$7,$E$5:$CV$5,$JQ$5)</f>
        <v>260.96305595999979</v>
      </c>
      <c r="JV39" s="1526">
        <f>+SUMIFS($E39:$CV39,$E$6:$CV$6,JV$7,$E$5:$CV$5,$JQ$5)</f>
        <v>358.98761847999981</v>
      </c>
      <c r="JW39" s="1526">
        <f>+SUMIFS($E39:$DH39,$E$6:$DH$6,JW$7,$E$5:$DH$5,$JQ$5)</f>
        <v>-4.4781833100000199</v>
      </c>
      <c r="JX39" s="1526">
        <f>+SUMIF($FS$5:$GD$5,$JQ$5,$FS39:$GD39)</f>
        <v>300.11398613090898</v>
      </c>
      <c r="JY39" s="1526">
        <f>+SUMIF($DJ$5:$DU$5,$JQ$5,$DJ39:$DU39)</f>
        <v>-8.8340331199999582</v>
      </c>
      <c r="KB39" s="1529">
        <f t="shared" ref="KB39:KG39" si="104">+IFERROR(JQ39/JP39-1," ")</f>
        <v>-0.42724231503460552</v>
      </c>
      <c r="KC39" s="1529">
        <f t="shared" si="104"/>
        <v>-1.2455034278177985</v>
      </c>
      <c r="KD39" s="1529">
        <f t="shared" si="104"/>
        <v>0.23881317788546119</v>
      </c>
      <c r="KE39" s="1529">
        <f t="shared" si="104"/>
        <v>-2.332207458854719</v>
      </c>
      <c r="KF39" s="1529">
        <f t="shared" si="104"/>
        <v>-0.31132931190879165</v>
      </c>
      <c r="KG39" s="1529">
        <f t="shared" si="104"/>
        <v>0.37562620563052085</v>
      </c>
      <c r="KH39" s="1529">
        <f>+IFERROR(JY39/JV39-1," ")</f>
        <v>-1.0246081833056093</v>
      </c>
      <c r="KJ39" s="1526">
        <f t="shared" ref="KJ39:KO39" si="105">+JQ39-JP39</f>
        <v>-697.64667363999661</v>
      </c>
      <c r="KK39" s="1526">
        <f t="shared" si="105"/>
        <v>-1164.8690874200004</v>
      </c>
      <c r="KL39" s="1526">
        <f t="shared" si="105"/>
        <v>-54.833761829999958</v>
      </c>
      <c r="KM39" s="1526">
        <f t="shared" si="105"/>
        <v>663.38057442000002</v>
      </c>
      <c r="KN39" s="1526">
        <f t="shared" si="105"/>
        <v>-117.97430913000028</v>
      </c>
      <c r="KO39" s="1526">
        <f t="shared" si="105"/>
        <v>98.024562520000018</v>
      </c>
      <c r="KP39" s="1526">
        <f>+JY39-JV39</f>
        <v>-367.82165159999977</v>
      </c>
      <c r="KR39" s="1529">
        <f t="shared" ref="KR39:KY39" si="106">+JO39/JO$11</f>
        <v>0.26009310889588977</v>
      </c>
      <c r="KS39" s="1529">
        <f t="shared" si="106"/>
        <v>0.48551501422727433</v>
      </c>
      <c r="KT39" s="1529">
        <f t="shared" si="106"/>
        <v>0.37277186700200143</v>
      </c>
      <c r="KU39" s="1529">
        <f t="shared" si="106"/>
        <v>-0.25664235167331279</v>
      </c>
      <c r="KV39" s="1529">
        <f t="shared" si="106"/>
        <v>-0.91154844997985074</v>
      </c>
      <c r="KW39" s="1529">
        <f t="shared" si="106"/>
        <v>0.37369764350063395</v>
      </c>
      <c r="KX39" s="1529">
        <f t="shared" si="106"/>
        <v>0.29751312508982236</v>
      </c>
      <c r="KY39" s="1529">
        <f t="shared" si="106"/>
        <v>0.23461481637886009</v>
      </c>
      <c r="KZ39" s="1529">
        <f t="shared" si="46"/>
        <v>-2.4104747711068884E-2</v>
      </c>
    </row>
    <row r="40" spans="1:312">
      <c r="A40" s="884"/>
      <c r="B40" s="70"/>
      <c r="C40" s="943" t="s">
        <v>76</v>
      </c>
      <c r="D40" s="944" t="s">
        <v>35</v>
      </c>
      <c r="E40" s="945">
        <f t="shared" ref="E40:AN40" si="107">IFERROR(+E39/E$11,0)</f>
        <v>-1.2445016600872525</v>
      </c>
      <c r="F40" s="945">
        <f t="shared" si="107"/>
        <v>0.45066832930375489</v>
      </c>
      <c r="G40" s="945">
        <f t="shared" si="107"/>
        <v>0.24527541054810281</v>
      </c>
      <c r="H40" s="945">
        <f t="shared" si="107"/>
        <v>0.31586012253631329</v>
      </c>
      <c r="I40" s="945">
        <f t="shared" si="107"/>
        <v>0.50194650311192091</v>
      </c>
      <c r="J40" s="945">
        <f t="shared" si="107"/>
        <v>0.26009310889588977</v>
      </c>
      <c r="K40" s="945">
        <f t="shared" si="107"/>
        <v>0.32624692154434248</v>
      </c>
      <c r="L40" s="945">
        <f t="shared" si="107"/>
        <v>0.49600242923033899</v>
      </c>
      <c r="M40" s="945">
        <f t="shared" si="107"/>
        <v>0.48958610117552348</v>
      </c>
      <c r="N40" s="945">
        <f t="shared" si="107"/>
        <v>0.48989468252745616</v>
      </c>
      <c r="O40" s="945">
        <f t="shared" si="107"/>
        <v>0.51019995359021852</v>
      </c>
      <c r="P40" s="945">
        <f t="shared" si="107"/>
        <v>0.29682620688450045</v>
      </c>
      <c r="Q40" s="945">
        <f t="shared" si="107"/>
        <v>-2.3476536424072516E-2</v>
      </c>
      <c r="R40" s="945">
        <f t="shared" si="107"/>
        <v>0.49033926820260076</v>
      </c>
      <c r="S40" s="945">
        <f t="shared" si="107"/>
        <v>0.16419811401638854</v>
      </c>
      <c r="T40" s="945">
        <f t="shared" si="107"/>
        <v>-0.10186578628734683</v>
      </c>
      <c r="U40" s="945">
        <f t="shared" si="107"/>
        <v>0.48546254453307713</v>
      </c>
      <c r="V40" s="945">
        <f t="shared" si="107"/>
        <v>0.48551501422727433</v>
      </c>
      <c r="W40" s="945">
        <f t="shared" si="107"/>
        <v>0.38386218732625099</v>
      </c>
      <c r="X40" s="945">
        <f t="shared" si="107"/>
        <v>0.43090607884291249</v>
      </c>
      <c r="Y40" s="945">
        <f t="shared" si="107"/>
        <v>-0.14807207345628498</v>
      </c>
      <c r="Z40" s="945">
        <f t="shared" si="107"/>
        <v>0.24374902806454984</v>
      </c>
      <c r="AA40" s="945">
        <f t="shared" si="107"/>
        <v>0.64249460933938329</v>
      </c>
      <c r="AB40" s="945">
        <f t="shared" si="107"/>
        <v>0.56020295808175169</v>
      </c>
      <c r="AC40" s="945">
        <f t="shared" si="107"/>
        <v>-3.109198349860166E-2</v>
      </c>
      <c r="AD40" s="945">
        <f t="shared" si="107"/>
        <v>0.55796478891100043</v>
      </c>
      <c r="AE40" s="945">
        <f t="shared" si="107"/>
        <v>0.32752169325697489</v>
      </c>
      <c r="AF40" s="945">
        <f t="shared" si="107"/>
        <v>0.45164065047611957</v>
      </c>
      <c r="AG40" s="945">
        <f t="shared" si="107"/>
        <v>0.44279122485333444</v>
      </c>
      <c r="AH40" s="945">
        <f t="shared" si="107"/>
        <v>0.37277186700200143</v>
      </c>
      <c r="AI40" s="945">
        <f t="shared" si="107"/>
        <v>0.30416566787725519</v>
      </c>
      <c r="AJ40" s="945">
        <f t="shared" si="107"/>
        <v>0.40695200847508817</v>
      </c>
      <c r="AK40" s="945">
        <f t="shared" si="107"/>
        <v>0.43109202370254684</v>
      </c>
      <c r="AL40" s="945">
        <f t="shared" si="107"/>
        <v>0.44936558328262738</v>
      </c>
      <c r="AM40" s="945">
        <f t="shared" si="107"/>
        <v>0.66204962483899288</v>
      </c>
      <c r="AN40" s="945">
        <f t="shared" si="107"/>
        <v>0.17937620218583705</v>
      </c>
      <c r="AO40" s="945">
        <f>IFERROR(+AO39/AO$11,0)</f>
        <v>0.57512559613449699</v>
      </c>
      <c r="AP40" s="946">
        <v>8.762317359880388E-2</v>
      </c>
      <c r="AQ40" s="945">
        <v>0.30195021315219323</v>
      </c>
      <c r="AR40" s="945">
        <v>0.30928019684951602</v>
      </c>
      <c r="AS40" s="945">
        <v>-0.48703037871199706</v>
      </c>
      <c r="AT40" s="945">
        <v>-0.25664235167331279</v>
      </c>
      <c r="AU40" s="945">
        <v>0.40977605688616187</v>
      </c>
      <c r="AV40" s="945">
        <v>0.44343699115809876</v>
      </c>
      <c r="AW40" s="945">
        <v>0.39278733842995089</v>
      </c>
      <c r="AX40" s="945">
        <v>0.37714880410102203</v>
      </c>
      <c r="AY40" s="945">
        <v>-2.69083261223323E-2</v>
      </c>
      <c r="AZ40" s="945">
        <v>-0.28151485775042823</v>
      </c>
      <c r="BA40" s="945">
        <f t="shared" ref="BA40:DH40" si="108">IFERROR(+BA39/BA$11,0)</f>
        <v>0.34020925690780712</v>
      </c>
      <c r="BB40" s="945">
        <f t="shared" si="108"/>
        <v>-0.5413570932480074</v>
      </c>
      <c r="BC40" s="945">
        <f t="shared" si="108"/>
        <v>-0.52817735915406183</v>
      </c>
      <c r="BD40" s="945">
        <f t="shared" si="108"/>
        <v>-2.0162506961620461</v>
      </c>
      <c r="BE40" s="945">
        <f t="shared" si="108"/>
        <v>0.1515415264970158</v>
      </c>
      <c r="BF40" s="945">
        <f t="shared" si="108"/>
        <v>-0.91154844997985074</v>
      </c>
      <c r="BG40" s="945">
        <f t="shared" si="108"/>
        <v>-3.355449595893354E-2</v>
      </c>
      <c r="BH40" s="945">
        <f t="shared" si="108"/>
        <v>0.35722897208468096</v>
      </c>
      <c r="BI40" s="945">
        <f t="shared" si="108"/>
        <v>-0.17096225516126515</v>
      </c>
      <c r="BJ40" s="945">
        <f t="shared" si="108"/>
        <v>0.15912760285700928</v>
      </c>
      <c r="BK40" s="945">
        <f t="shared" si="108"/>
        <v>0.54837897577709438</v>
      </c>
      <c r="BL40" s="945">
        <f t="shared" si="108"/>
        <v>0.53790375879533026</v>
      </c>
      <c r="BM40" s="945">
        <f t="shared" si="108"/>
        <v>0.38498973335057313</v>
      </c>
      <c r="BN40" s="945">
        <f t="shared" si="108"/>
        <v>0.38501068658588072</v>
      </c>
      <c r="BO40" s="945">
        <f t="shared" si="108"/>
        <v>0.40222436099229647</v>
      </c>
      <c r="BP40" s="945">
        <f t="shared" si="108"/>
        <v>0.46740096636170642</v>
      </c>
      <c r="BQ40" s="945">
        <f t="shared" si="108"/>
        <v>0.3174661520538658</v>
      </c>
      <c r="BR40" s="945">
        <f t="shared" si="108"/>
        <v>0.37369764350063395</v>
      </c>
      <c r="BS40" s="945">
        <f t="shared" si="108"/>
        <v>0.33142215601956843</v>
      </c>
      <c r="BT40" s="945">
        <f t="shared" si="108"/>
        <v>0.35629142646755707</v>
      </c>
      <c r="BU40" s="945">
        <f t="shared" si="108"/>
        <v>0.36433697751946947</v>
      </c>
      <c r="BV40" s="945">
        <f t="shared" si="108"/>
        <v>0.46919030213011442</v>
      </c>
      <c r="BW40" s="945">
        <f t="shared" si="108"/>
        <v>0.44161152723840907</v>
      </c>
      <c r="BX40" s="945">
        <f t="shared" si="108"/>
        <v>0.31272873961690201</v>
      </c>
      <c r="BY40" s="945">
        <f t="shared" si="108"/>
        <v>0.27650227292549895</v>
      </c>
      <c r="BZ40" s="945">
        <f t="shared" si="108"/>
        <v>0.29337214586982208</v>
      </c>
      <c r="CA40" s="945">
        <f t="shared" si="108"/>
        <v>0.36020517687148307</v>
      </c>
      <c r="CB40" s="945">
        <f t="shared" si="108"/>
        <v>0.2453592313646735</v>
      </c>
      <c r="CC40" s="945">
        <f t="shared" si="108"/>
        <v>0.21604606988575684</v>
      </c>
      <c r="CD40" s="945">
        <f t="shared" si="108"/>
        <v>0.29751312508982236</v>
      </c>
      <c r="CE40" s="945">
        <f t="shared" si="108"/>
        <v>0.28383093202752324</v>
      </c>
      <c r="CF40" s="945">
        <f t="shared" si="108"/>
        <v>0.48820809951782207</v>
      </c>
      <c r="CG40" s="945">
        <f t="shared" si="108"/>
        <v>0.2202517237679219</v>
      </c>
      <c r="CH40" s="945">
        <f t="shared" si="108"/>
        <v>0.29299608567195279</v>
      </c>
      <c r="CI40" s="945">
        <f t="shared" si="108"/>
        <v>0.43572964207803411</v>
      </c>
      <c r="CJ40" s="945">
        <f t="shared" si="108"/>
        <v>0.33178164990738229</v>
      </c>
      <c r="CK40" s="945">
        <f t="shared" si="108"/>
        <v>0.27562676479816484</v>
      </c>
      <c r="CL40" s="945">
        <f t="shared" si="108"/>
        <v>0.19382884911315026</v>
      </c>
      <c r="CM40" s="945">
        <f t="shared" si="108"/>
        <v>0.39479582089622772</v>
      </c>
      <c r="CN40" s="945">
        <f t="shared" si="108"/>
        <v>0.2886341456092939</v>
      </c>
      <c r="CO40" s="945">
        <f t="shared" si="108"/>
        <v>0.4031685798758502</v>
      </c>
      <c r="CP40" s="945">
        <f t="shared" si="108"/>
        <v>0.23461481637886009</v>
      </c>
      <c r="CQ40" s="945">
        <f t="shared" si="108"/>
        <v>0.33101977702147567</v>
      </c>
      <c r="CR40" s="945">
        <f t="shared" si="108"/>
        <v>0.31469614125805329</v>
      </c>
      <c r="CS40" s="945">
        <f t="shared" si="108"/>
        <v>0.36351784277463178</v>
      </c>
      <c r="CT40" s="945">
        <f t="shared" si="108"/>
        <v>0.45413870763760666</v>
      </c>
      <c r="CU40" s="945">
        <f t="shared" si="108"/>
        <v>0.34680921149210098</v>
      </c>
      <c r="CV40" s="945">
        <f t="shared" si="108"/>
        <v>0.28195488990907719</v>
      </c>
      <c r="CW40" s="945">
        <f t="shared" si="108"/>
        <v>0.35159244118556671</v>
      </c>
      <c r="CX40" s="945">
        <f t="shared" si="108"/>
        <v>0.32265240918980992</v>
      </c>
      <c r="CY40" s="945">
        <f t="shared" si="108"/>
        <v>0.48375376944602244</v>
      </c>
      <c r="CZ40" s="945">
        <f t="shared" si="108"/>
        <v>0.35040614879985571</v>
      </c>
      <c r="DA40" s="945">
        <f t="shared" si="108"/>
        <v>0.50453379622564198</v>
      </c>
      <c r="DB40" s="945">
        <f t="shared" si="108"/>
        <v>-1.2075748883182065E-2</v>
      </c>
      <c r="DC40" s="945">
        <f t="shared" si="108"/>
        <v>0.12918987137930169</v>
      </c>
      <c r="DD40" s="945">
        <f t="shared" si="108"/>
        <v>0.4301795204476298</v>
      </c>
      <c r="DE40" s="945">
        <f t="shared" si="108"/>
        <v>0.36651693105433625</v>
      </c>
      <c r="DF40" s="945">
        <f t="shared" si="108"/>
        <v>0.40144302246394925</v>
      </c>
      <c r="DG40" s="945">
        <f t="shared" si="108"/>
        <v>0.17635206923957597</v>
      </c>
      <c r="DH40" s="945">
        <f t="shared" si="108"/>
        <v>0.37072393253172736</v>
      </c>
      <c r="DJ40" s="945">
        <f t="shared" ref="DJ40:DU40" si="109">IFERROR(+DJ39/DJ$11,0)</f>
        <v>0.38783487717539711</v>
      </c>
      <c r="DK40" s="945">
        <f t="shared" si="109"/>
        <v>0.33107359997897262</v>
      </c>
      <c r="DL40" s="945">
        <f t="shared" si="109"/>
        <v>0.51741557759843726</v>
      </c>
      <c r="DM40" s="945">
        <f t="shared" si="109"/>
        <v>0.37791381971238308</v>
      </c>
      <c r="DN40" s="945">
        <f t="shared" si="109"/>
        <v>0.55127870656636235</v>
      </c>
      <c r="DO40" s="945">
        <f t="shared" si="109"/>
        <v>-2.4104747711068884E-2</v>
      </c>
      <c r="DP40" s="945">
        <f t="shared" si="109"/>
        <v>0.19909682248170066</v>
      </c>
      <c r="DQ40" s="945">
        <f t="shared" si="109"/>
        <v>0.54354751995902295</v>
      </c>
      <c r="DR40" s="945">
        <f t="shared" si="109"/>
        <v>0.50242011180754564</v>
      </c>
      <c r="DS40" s="945">
        <f t="shared" si="109"/>
        <v>0.63003337647342605</v>
      </c>
      <c r="DT40" s="945">
        <f t="shared" si="109"/>
        <v>0.4059085365352833</v>
      </c>
      <c r="DU40" s="945">
        <f t="shared" si="109"/>
        <v>0.40364420930008915</v>
      </c>
      <c r="DW40" s="947">
        <f t="shared" ref="DW40:FR40" si="110">+IFERROR(DW39/DW$11,"")</f>
        <v>0.39302414853506212</v>
      </c>
      <c r="DX40" s="947">
        <f t="shared" si="110"/>
        <v>0.17212579425691221</v>
      </c>
      <c r="DY40" s="947">
        <f t="shared" si="110"/>
        <v>0.19042938399690201</v>
      </c>
      <c r="DZ40" s="947">
        <f t="shared" si="110"/>
        <v>0.4715819622287738</v>
      </c>
      <c r="EA40" s="947">
        <f t="shared" si="110"/>
        <v>0.40680209464798539</v>
      </c>
      <c r="EB40" s="947">
        <f t="shared" si="110"/>
        <v>0.44758951210591469</v>
      </c>
      <c r="EC40" s="947">
        <f t="shared" si="110"/>
        <v>0.51889571034356563</v>
      </c>
      <c r="ED40" s="947">
        <f t="shared" si="110"/>
        <v>0.59342055391127468</v>
      </c>
      <c r="EE40" s="947">
        <f t="shared" si="110"/>
        <v>0.53020614413878875</v>
      </c>
      <c r="EF40" s="947">
        <f t="shared" si="110"/>
        <v>0.54438063258783365</v>
      </c>
      <c r="EG40" s="947">
        <f t="shared" si="110"/>
        <v>0.53493932366632146</v>
      </c>
      <c r="EH40" s="947">
        <f t="shared" si="110"/>
        <v>0.46222336096755562</v>
      </c>
      <c r="EI40" s="947">
        <f t="shared" si="110"/>
        <v>0.27376532190403779</v>
      </c>
      <c r="EJ40" s="947">
        <f t="shared" si="110"/>
        <v>0.3454718270835353</v>
      </c>
      <c r="EK40" s="947">
        <f t="shared" si="110"/>
        <v>0.31108272019761379</v>
      </c>
      <c r="EL40" s="947">
        <f t="shared" si="110"/>
        <v>0.30290662430166765</v>
      </c>
      <c r="EM40" s="947">
        <f t="shared" si="110"/>
        <v>0.34637016044359248</v>
      </c>
      <c r="EN40" s="947">
        <f t="shared" si="110"/>
        <v>0.39219362788956702</v>
      </c>
      <c r="EO40" s="947">
        <f t="shared" si="110"/>
        <v>0.40151127729565522</v>
      </c>
      <c r="EP40" s="947">
        <f t="shared" si="110"/>
        <v>0.41208073444951404</v>
      </c>
      <c r="EQ40" s="947">
        <f t="shared" si="110"/>
        <v>0.39983575617667</v>
      </c>
      <c r="ER40" s="947">
        <f t="shared" si="110"/>
        <v>0.41351537445888803</v>
      </c>
      <c r="ES40" s="947">
        <f t="shared" si="110"/>
        <v>0.39047563132850366</v>
      </c>
      <c r="ET40" s="947">
        <f t="shared" si="110"/>
        <v>0.3743874726094733</v>
      </c>
      <c r="EU40" s="947">
        <f t="shared" si="110"/>
        <v>0.3369802675745483</v>
      </c>
      <c r="EV40" s="947">
        <f t="shared" si="110"/>
        <v>0.46667933079813251</v>
      </c>
      <c r="EW40" s="947">
        <f t="shared" si="110"/>
        <v>0.4629695943032604</v>
      </c>
      <c r="EX40" s="947">
        <f t="shared" si="110"/>
        <v>0.4553663753554047</v>
      </c>
      <c r="EY40" s="947">
        <f t="shared" si="110"/>
        <v>0.45221051298032655</v>
      </c>
      <c r="EZ40" s="947">
        <f t="shared" si="110"/>
        <v>0.49917812242596582</v>
      </c>
      <c r="FA40" s="947">
        <f t="shared" si="110"/>
        <v>0.45518404344597918</v>
      </c>
      <c r="FB40" s="947">
        <f t="shared" si="110"/>
        <v>0.39259546517318844</v>
      </c>
      <c r="FC40" s="947">
        <f t="shared" si="110"/>
        <v>0.32674539924644774</v>
      </c>
      <c r="FD40" s="947">
        <f t="shared" si="110"/>
        <v>0.2151366743664424</v>
      </c>
      <c r="FE40" s="947">
        <f t="shared" si="110"/>
        <v>0.3011155757182975</v>
      </c>
      <c r="FF40" s="947">
        <f t="shared" si="110"/>
        <v>0.21014791943658528</v>
      </c>
      <c r="FG40" s="947">
        <f t="shared" si="110"/>
        <v>0.2844550293440396</v>
      </c>
      <c r="FH40" s="947">
        <f t="shared" si="110"/>
        <v>0.26134476193784534</v>
      </c>
      <c r="FI40" s="947">
        <f t="shared" si="110"/>
        <v>0.23745553486576015</v>
      </c>
      <c r="FJ40" s="947">
        <f t="shared" si="110"/>
        <v>0.1805776276254103</v>
      </c>
      <c r="FK40" s="947">
        <f t="shared" si="110"/>
        <v>0.25471021873895033</v>
      </c>
      <c r="FL40" s="947">
        <f t="shared" si="110"/>
        <v>0.25769143119402083</v>
      </c>
      <c r="FM40" s="947">
        <f t="shared" si="110"/>
        <v>0.28303374116996222</v>
      </c>
      <c r="FN40" s="947">
        <f t="shared" si="110"/>
        <v>0.28982901583740289</v>
      </c>
      <c r="FO40" s="947">
        <f t="shared" si="110"/>
        <v>0.30594166856446403</v>
      </c>
      <c r="FP40" s="947">
        <f t="shared" si="110"/>
        <v>0.33775562080870325</v>
      </c>
      <c r="FQ40" s="947">
        <f t="shared" si="110"/>
        <v>0.34957546666895722</v>
      </c>
      <c r="FR40" s="947">
        <f t="shared" si="110"/>
        <v>0.33183445096191982</v>
      </c>
      <c r="FS40" s="947">
        <f t="shared" ref="FS40:GD40" si="111">+IFERROR(EU39/EU$11,"")</f>
        <v>0.3369802675745483</v>
      </c>
      <c r="FT40" s="947">
        <f t="shared" si="111"/>
        <v>0.46667933079813251</v>
      </c>
      <c r="FU40" s="947">
        <f t="shared" si="111"/>
        <v>0.4629695943032604</v>
      </c>
      <c r="FV40" s="947">
        <f t="shared" si="111"/>
        <v>0.4553663753554047</v>
      </c>
      <c r="FW40" s="947">
        <f t="shared" si="111"/>
        <v>0.45221051298032655</v>
      </c>
      <c r="FX40" s="947">
        <f t="shared" si="111"/>
        <v>0.49917812242596582</v>
      </c>
      <c r="FY40" s="947">
        <f t="shared" si="111"/>
        <v>0.45518404344597918</v>
      </c>
      <c r="FZ40" s="947">
        <f t="shared" si="111"/>
        <v>0.39259546517318844</v>
      </c>
      <c r="GA40" s="947">
        <f t="shared" si="111"/>
        <v>0.32674539924644774</v>
      </c>
      <c r="GB40" s="947">
        <f t="shared" si="111"/>
        <v>0.2151366743664424</v>
      </c>
      <c r="GC40" s="947">
        <f t="shared" si="111"/>
        <v>0.3011155757182975</v>
      </c>
      <c r="GD40" s="947">
        <f t="shared" si="111"/>
        <v>0.21014791943658528</v>
      </c>
      <c r="GF40" s="947">
        <f t="shared" ref="GF40:GN40" si="112">+IFERROR(GF39/GF$11,"")</f>
        <v>0.36837521614120688</v>
      </c>
      <c r="GG40" s="947">
        <f t="shared" si="112"/>
        <v>0.38843451506275067</v>
      </c>
      <c r="GH40" s="947">
        <f t="shared" si="112"/>
        <v>0.41091593179328084</v>
      </c>
      <c r="GI40" s="947">
        <f t="shared" si="112"/>
        <v>0.24171194165245793</v>
      </c>
      <c r="GJ40" s="947">
        <f t="shared" si="112"/>
        <v>0.1651472421907059</v>
      </c>
      <c r="GK40" s="947">
        <f t="shared" si="112"/>
        <v>0.3889785549230878</v>
      </c>
      <c r="GL40" s="947">
        <f t="shared" si="112"/>
        <v>0.32996866061968799</v>
      </c>
      <c r="GM40" s="947">
        <f t="shared" si="112"/>
        <v>0.33223491312955628</v>
      </c>
      <c r="GN40" s="947">
        <f t="shared" si="112"/>
        <v>0.28787027956121053</v>
      </c>
      <c r="GO40" s="947">
        <v>0.35552703395013696</v>
      </c>
      <c r="GQ40" s="947">
        <f t="shared" si="98"/>
        <v>5.7876980182614224E-2</v>
      </c>
      <c r="GR40" s="947">
        <f t="shared" si="98"/>
        <v>-0.41177276676131469</v>
      </c>
      <c r="GS40" s="947">
        <f t="shared" si="98"/>
        <v>-0.31676010270042632</v>
      </c>
      <c r="GT40" s="947">
        <f t="shared" si="98"/>
        <v>1.3553439328639216</v>
      </c>
      <c r="GU40" s="947">
        <f t="shared" si="98"/>
        <v>-0.15170474967461323</v>
      </c>
      <c r="GV40" s="947">
        <f t="shared" si="98"/>
        <v>6.8680840950539057E-3</v>
      </c>
      <c r="GW40" s="947">
        <f t="shared" si="92"/>
        <v>-0.13353392980419732</v>
      </c>
      <c r="GX40" s="947">
        <f t="shared" si="92"/>
        <v>0.23502514567343669</v>
      </c>
      <c r="GY40" s="947">
        <f t="shared" si="9"/>
        <v>7.0107384564661368E-2</v>
      </c>
      <c r="HA40" s="947">
        <f>+IFERROR(GH40-GG40,"")</f>
        <v>2.2481416730530168E-2</v>
      </c>
      <c r="HB40" s="947">
        <f>+IFERROR(GI40-GH40,"")</f>
        <v>-0.16920399014082291</v>
      </c>
      <c r="HC40" s="947">
        <f>+IFERROR(GJ40-GI40,"")</f>
        <v>-7.6564699461752039E-2</v>
      </c>
      <c r="HD40" s="947">
        <f>+IFERROR(GK40-GJ40,"")</f>
        <v>0.22383131273238191</v>
      </c>
      <c r="HE40" s="947">
        <f t="shared" si="93"/>
        <v>-5.9009894303399812E-2</v>
      </c>
      <c r="HF40" s="947">
        <f t="shared" si="93"/>
        <v>2.2662525098682829E-3</v>
      </c>
      <c r="HG40" s="947">
        <f t="shared" si="93"/>
        <v>-4.4364633568345746E-2</v>
      </c>
      <c r="HH40" s="947">
        <f>+IFERROR(GO40-GN40,"")</f>
        <v>6.7656754388926432E-2</v>
      </c>
      <c r="HI40" s="947">
        <f t="shared" si="11"/>
        <v>2.3292120820580686E-2</v>
      </c>
      <c r="HK40" s="945"/>
      <c r="HL40" s="945"/>
      <c r="HM40" s="945"/>
      <c r="HN40" s="945"/>
      <c r="HO40" s="945"/>
      <c r="HP40" s="945"/>
      <c r="HQ40" s="945"/>
      <c r="HR40" s="945"/>
      <c r="HS40" s="945"/>
      <c r="HU40" s="947">
        <f>+IFERROR(HU39/HU$11,"")</f>
        <v>0.27788691309698493</v>
      </c>
      <c r="HV40" s="947">
        <f>+IFERROR(HV39/HV$11,"")</f>
        <v>0.31469460904121044</v>
      </c>
      <c r="HW40" s="947">
        <f>+IFERROR(HW39/HW$11,"")</f>
        <v>0.39799790817081898</v>
      </c>
      <c r="HX40" s="947">
        <f>+IFERROR(HX39/HX$11,"")</f>
        <v>0.19701652483377041</v>
      </c>
      <c r="HY40" s="947">
        <f>+IFERROR(HY39/HY$11,"")</f>
        <v>-0.27404414358511942</v>
      </c>
      <c r="HZ40" s="947">
        <f t="shared" ref="HZ40:IE40" si="113">+IFERROR(HZ39/HZ$11,"")</f>
        <v>0.39378924439898799</v>
      </c>
      <c r="IA40" s="947">
        <f t="shared" si="113"/>
        <v>0.28632745973939794</v>
      </c>
      <c r="IB40" s="947">
        <f t="shared" si="113"/>
        <v>0.30681234351153686</v>
      </c>
      <c r="IC40" s="947">
        <f t="shared" si="113"/>
        <v>0.37040180195396033</v>
      </c>
      <c r="ID40" s="947">
        <f t="shared" si="113"/>
        <v>0.24963438880280153</v>
      </c>
      <c r="IE40" s="947">
        <f t="shared" si="113"/>
        <v>0.39958927398538485</v>
      </c>
      <c r="IF40" s="922">
        <f t="shared" si="20"/>
        <v>0.20725847504904049</v>
      </c>
      <c r="IG40" s="945">
        <f t="shared" si="21"/>
        <v>0.37040180195396033</v>
      </c>
      <c r="IH40" s="945">
        <f>IFERROR(+IH39/IH$11,0)</f>
        <v>0.24963438880280153</v>
      </c>
      <c r="II40" s="946"/>
      <c r="IJ40" s="947">
        <f>+IFERROR(IG40/IH40,"")</f>
        <v>1.483777149976556</v>
      </c>
      <c r="IK40" s="945">
        <f>+IFERROR(IG40-IH40,"NA")</f>
        <v>0.1207674131511588</v>
      </c>
      <c r="IM40" s="945"/>
      <c r="IN40" s="945"/>
      <c r="IP40" s="945"/>
      <c r="IQ40" s="945"/>
      <c r="IR40" s="945"/>
      <c r="IS40" s="945"/>
      <c r="IT40" s="945"/>
      <c r="IU40" s="945"/>
      <c r="IV40" s="945"/>
      <c r="IX40" s="945"/>
      <c r="IY40" s="945"/>
      <c r="IZ40" s="945"/>
      <c r="JA40" s="945"/>
      <c r="JB40" s="945"/>
      <c r="JC40" s="945"/>
      <c r="JD40" s="945"/>
      <c r="JF40" s="945"/>
      <c r="JG40" s="945"/>
      <c r="JH40" s="945"/>
      <c r="JI40" s="945"/>
      <c r="JJ40" s="945"/>
      <c r="JK40" s="945"/>
      <c r="JL40" s="945"/>
      <c r="JM40" s="945"/>
      <c r="JO40" s="947">
        <f>IFERROR(JO39/JO$11,"")</f>
        <v>0.26009310889588977</v>
      </c>
      <c r="JP40" s="947">
        <f>IFERROR(JP39/JP$11,"")</f>
        <v>0.48551501422727433</v>
      </c>
      <c r="JQ40" s="947">
        <f>IFERROR(JQ39/JQ$11,"")</f>
        <v>0.37277186700200143</v>
      </c>
      <c r="JR40" s="947">
        <f>IFERROR(JR39/JR$11,"")</f>
        <v>-0.25664235167331279</v>
      </c>
      <c r="JS40" s="947">
        <f>IFERROR(JS39/JS$11,"")</f>
        <v>-0.91154844997985074</v>
      </c>
      <c r="JT40" s="947">
        <f>+IFERROR(SUMIFS($E40:$CJ40,$E$6:$CJ$6,JT$7,$E$5:$CJ$5,$JQ$5),"")</f>
        <v>0.37369764350063395</v>
      </c>
      <c r="JU40" s="947">
        <f>+IFERROR(SUMIFS($E40:$CV40,$E$6:$CV$6,JU$7,$E$5:$CV$5,$JQ$5),"")</f>
        <v>0.29751312508982236</v>
      </c>
      <c r="JV40" s="947">
        <f>+IFERROR(SUMIFS($E40:$CV40,$E$6:$CV$6,JV$7,$E$5:$CV$5,$JQ$5),"")</f>
        <v>0.23461481637886009</v>
      </c>
      <c r="JW40" s="947">
        <f>+IFERROR(SUMIFS($E40:$DH40,$E$6:$DH$6,JW$7,$E$5:$DH$5,$JQ$5),"")</f>
        <v>-1.2075748883182065E-2</v>
      </c>
      <c r="JX40" s="947">
        <f>+IFERROR(SUMIF($FS$5:$GD$5,$JQ$5,$FS40:$GD40),"")</f>
        <v>0.49917812242596582</v>
      </c>
      <c r="JY40" s="947">
        <f>IFERROR(JY39/JY$11,"")</f>
        <v>-2.4104747711068884E-2</v>
      </c>
      <c r="KB40" s="945"/>
      <c r="KC40" s="945"/>
      <c r="KD40" s="945"/>
      <c r="KE40" s="945"/>
      <c r="KF40" s="945"/>
      <c r="KG40" s="945"/>
      <c r="KH40" s="945">
        <f>+IFERROR(JY40/JV40-1," ")</f>
        <v>-1.102741796460732</v>
      </c>
      <c r="KJ40" s="945"/>
      <c r="KK40" s="945"/>
      <c r="KL40" s="945"/>
      <c r="KM40" s="945"/>
      <c r="KN40" s="945"/>
      <c r="KO40" s="945"/>
      <c r="KP40" s="945">
        <f>+JY40-JV40</f>
        <v>-0.25871956408992897</v>
      </c>
      <c r="KR40" s="945"/>
      <c r="KS40" s="945"/>
      <c r="KT40" s="945"/>
      <c r="KU40" s="945"/>
      <c r="KV40" s="945"/>
      <c r="KW40" s="945"/>
      <c r="KX40" s="945"/>
      <c r="KY40" s="945"/>
      <c r="KZ40" s="945"/>
    </row>
    <row r="41" spans="1:312">
      <c r="A41" s="884"/>
      <c r="B41" s="948"/>
      <c r="E41" s="66"/>
      <c r="F41" s="66"/>
      <c r="G41" s="66"/>
      <c r="H41" s="66"/>
      <c r="I41" s="66"/>
      <c r="J41" s="66"/>
      <c r="K41" s="66"/>
      <c r="L41" s="66"/>
      <c r="M41" s="66"/>
      <c r="N41" s="66"/>
      <c r="O41" s="66"/>
      <c r="P41" s="66"/>
      <c r="Q41" s="102"/>
      <c r="R41" s="66"/>
      <c r="S41" s="66"/>
      <c r="T41" s="66"/>
      <c r="U41" s="66"/>
      <c r="V41" s="66"/>
      <c r="W41" s="66"/>
      <c r="X41" s="66"/>
      <c r="Y41" s="66"/>
      <c r="Z41" s="66"/>
      <c r="AA41" s="66"/>
      <c r="AB41" s="66"/>
      <c r="AC41" s="102"/>
      <c r="AD41" s="66"/>
      <c r="AE41" s="66"/>
      <c r="AF41" s="66"/>
      <c r="AG41" s="66"/>
      <c r="AH41" s="66"/>
      <c r="AI41" s="66"/>
      <c r="AJ41" s="66"/>
      <c r="AK41" s="66"/>
      <c r="AL41" s="66"/>
      <c r="AM41" s="66"/>
      <c r="AN41" s="66"/>
      <c r="AO41" s="66"/>
      <c r="AP41" s="88"/>
      <c r="AQ41" s="938"/>
      <c r="AR41" s="472"/>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J41" s="66"/>
      <c r="DK41" s="66"/>
      <c r="DL41" s="66"/>
      <c r="DM41" s="66"/>
      <c r="DN41" s="66"/>
      <c r="DO41" s="66"/>
      <c r="DP41" s="66"/>
      <c r="DQ41" s="66"/>
      <c r="DR41" s="66"/>
      <c r="DS41" s="66"/>
      <c r="DT41" s="66"/>
      <c r="DU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F41" s="66"/>
      <c r="GG41" s="66"/>
      <c r="GH41" s="66"/>
      <c r="GI41" s="66"/>
      <c r="GJ41" s="66"/>
      <c r="GK41" s="66"/>
      <c r="GL41" s="66"/>
      <c r="GM41" s="66"/>
      <c r="GN41" s="66"/>
      <c r="GO41" s="66"/>
      <c r="GQ41" s="50"/>
      <c r="GR41" s="50"/>
      <c r="GS41" s="50"/>
      <c r="GT41" s="922"/>
      <c r="GU41" s="922"/>
      <c r="GV41" s="922"/>
      <c r="GW41" s="922" t="str">
        <f t="shared" si="92"/>
        <v/>
      </c>
      <c r="GX41" s="50"/>
      <c r="GY41" s="922" t="str">
        <f t="shared" si="9"/>
        <v/>
      </c>
      <c r="HA41" s="66"/>
      <c r="HB41" s="66"/>
      <c r="HC41" s="66"/>
      <c r="HD41" s="66"/>
      <c r="HE41" s="66">
        <f t="shared" si="93"/>
        <v>0</v>
      </c>
      <c r="HF41" s="66">
        <f t="shared" si="93"/>
        <v>0</v>
      </c>
      <c r="HG41" s="66">
        <f t="shared" si="93"/>
        <v>0</v>
      </c>
      <c r="HH41" s="66"/>
      <c r="HI41" s="66">
        <f t="shared" si="11"/>
        <v>0</v>
      </c>
      <c r="HK41" s="50"/>
      <c r="HL41" s="50"/>
      <c r="HM41" s="50"/>
      <c r="HN41" s="50"/>
      <c r="HO41" s="50"/>
      <c r="HP41" s="50"/>
      <c r="HQ41" s="50"/>
      <c r="HR41" s="50"/>
      <c r="HS41" s="50"/>
      <c r="HU41" s="66"/>
      <c r="HV41" s="66"/>
      <c r="HW41" s="66"/>
      <c r="HX41" s="66"/>
      <c r="HY41" s="66"/>
      <c r="HZ41" s="66"/>
      <c r="IA41" s="66"/>
      <c r="IB41" s="66"/>
      <c r="IC41" s="66"/>
      <c r="ID41" s="66"/>
      <c r="IE41" s="66"/>
      <c r="IF41" s="922" t="str">
        <f t="shared" si="20"/>
        <v/>
      </c>
      <c r="IG41" s="66"/>
      <c r="IH41" s="66"/>
      <c r="II41" s="88"/>
      <c r="IJ41" s="50"/>
      <c r="IK41" s="66"/>
      <c r="IM41" s="50"/>
      <c r="IN41" s="50"/>
      <c r="IP41" s="50"/>
      <c r="IQ41" s="50"/>
      <c r="IR41" s="50"/>
      <c r="IS41" s="50"/>
      <c r="IT41" s="50"/>
      <c r="IU41" s="50"/>
      <c r="IV41" s="50"/>
      <c r="IX41" s="66"/>
      <c r="IY41" s="66"/>
      <c r="IZ41" s="66"/>
      <c r="JA41" s="66"/>
      <c r="JB41" s="66"/>
      <c r="JC41" s="66"/>
      <c r="JD41" s="66"/>
      <c r="JF41" s="50"/>
      <c r="JG41" s="50"/>
      <c r="JH41" s="50"/>
      <c r="JI41" s="50"/>
      <c r="JJ41" s="50"/>
      <c r="JK41" s="50"/>
      <c r="JL41" s="50"/>
      <c r="JM41" s="50"/>
      <c r="JO41" s="66"/>
      <c r="JP41" s="66"/>
      <c r="JQ41" s="66"/>
      <c r="JR41" s="66"/>
      <c r="JS41" s="66"/>
      <c r="JT41" s="66"/>
      <c r="JU41" s="66"/>
      <c r="JV41" s="66"/>
      <c r="JW41" s="66"/>
      <c r="JX41" s="66"/>
      <c r="JY41" s="66"/>
      <c r="KB41" s="50"/>
      <c r="KC41" s="50"/>
      <c r="KD41" s="50"/>
      <c r="KE41" s="50"/>
      <c r="KF41" s="50"/>
      <c r="KG41" s="50"/>
      <c r="KH41" s="50"/>
      <c r="KJ41" s="66"/>
      <c r="KK41" s="66"/>
      <c r="KL41" s="66"/>
      <c r="KM41" s="66"/>
      <c r="KN41" s="66"/>
      <c r="KO41" s="66"/>
      <c r="KP41" s="66"/>
      <c r="KR41" s="50"/>
      <c r="KS41" s="50"/>
      <c r="KT41" s="50"/>
      <c r="KU41" s="50"/>
      <c r="KV41" s="50"/>
      <c r="KW41" s="50"/>
      <c r="KX41" s="50"/>
      <c r="KY41" s="50"/>
      <c r="KZ41" s="50"/>
    </row>
    <row r="42" spans="1:312">
      <c r="A42" s="884"/>
      <c r="B42" s="70"/>
      <c r="C42" s="1513" t="s">
        <v>77</v>
      </c>
      <c r="D42" s="1512" t="s">
        <v>59</v>
      </c>
      <c r="E42" s="1515">
        <f t="shared" ref="E42:P42" si="114">SUM(E43:E47)</f>
        <v>-207.87256098</v>
      </c>
      <c r="F42" s="1515">
        <f t="shared" si="114"/>
        <v>-223.47539921000003</v>
      </c>
      <c r="G42" s="1515">
        <f t="shared" si="114"/>
        <v>-207.16286768999996</v>
      </c>
      <c r="H42" s="1515">
        <f t="shared" si="114"/>
        <v>-228.57171500000004</v>
      </c>
      <c r="I42" s="1515">
        <f t="shared" si="114"/>
        <v>-255.03274594000001</v>
      </c>
      <c r="J42" s="1515">
        <f t="shared" si="114"/>
        <v>-230.32562964999994</v>
      </c>
      <c r="K42" s="1515">
        <f t="shared" si="114"/>
        <v>-247.82925198000004</v>
      </c>
      <c r="L42" s="1515">
        <f t="shared" si="114"/>
        <v>-187.89033333</v>
      </c>
      <c r="M42" s="1515">
        <f t="shared" si="114"/>
        <v>-198.69615900000002</v>
      </c>
      <c r="N42" s="1515">
        <f t="shared" si="114"/>
        <v>-229.15676351000005</v>
      </c>
      <c r="O42" s="1515">
        <f t="shared" si="114"/>
        <v>-327.79049127000013</v>
      </c>
      <c r="P42" s="1515">
        <f t="shared" si="114"/>
        <v>-734.92024769999966</v>
      </c>
      <c r="Q42" s="1515">
        <f t="shared" ref="Q42:CB42" si="115">SUM(Q43:Q47)</f>
        <v>-264.64261147000002</v>
      </c>
      <c r="R42" s="1515">
        <f t="shared" si="115"/>
        <v>-294.93466138000002</v>
      </c>
      <c r="S42" s="1515">
        <f t="shared" si="115"/>
        <v>-419.87243030000002</v>
      </c>
      <c r="T42" s="1515">
        <f t="shared" si="115"/>
        <v>-381.31169107999995</v>
      </c>
      <c r="U42" s="1515">
        <f t="shared" si="115"/>
        <v>-386.9075155299995</v>
      </c>
      <c r="V42" s="1515">
        <f t="shared" si="115"/>
        <v>-371.62672214000025</v>
      </c>
      <c r="W42" s="1515">
        <f t="shared" si="115"/>
        <v>-360.56503818999988</v>
      </c>
      <c r="X42" s="1515">
        <f t="shared" si="115"/>
        <v>-345.76537197000016</v>
      </c>
      <c r="Y42" s="1515">
        <f t="shared" si="115"/>
        <v>-377.02651423000009</v>
      </c>
      <c r="Z42" s="1515">
        <f t="shared" si="115"/>
        <v>-404.82387301000017</v>
      </c>
      <c r="AA42" s="1515">
        <f t="shared" si="115"/>
        <v>-374.18060424999987</v>
      </c>
      <c r="AB42" s="1515">
        <f t="shared" si="115"/>
        <v>-646.63298301999919</v>
      </c>
      <c r="AC42" s="1515">
        <f t="shared" si="115"/>
        <v>-356.42403729000011</v>
      </c>
      <c r="AD42" s="1515">
        <f t="shared" si="115"/>
        <v>-356.85748977999998</v>
      </c>
      <c r="AE42" s="1515">
        <f t="shared" si="115"/>
        <v>-372.18740658000002</v>
      </c>
      <c r="AF42" s="1515">
        <f t="shared" si="115"/>
        <v>-369.58342234999992</v>
      </c>
      <c r="AG42" s="1515">
        <f t="shared" si="115"/>
        <v>-528.41413115000012</v>
      </c>
      <c r="AH42" s="1515">
        <f t="shared" si="115"/>
        <v>-391.25188651999997</v>
      </c>
      <c r="AI42" s="1515">
        <f t="shared" si="115"/>
        <v>-370.82311241000002</v>
      </c>
      <c r="AJ42" s="1515">
        <f t="shared" si="115"/>
        <v>-479.02948422999998</v>
      </c>
      <c r="AK42" s="1515">
        <f t="shared" si="115"/>
        <v>-397.49907036999997</v>
      </c>
      <c r="AL42" s="1515">
        <f t="shared" si="115"/>
        <v>-378.37822941000013</v>
      </c>
      <c r="AM42" s="1515">
        <f t="shared" si="115"/>
        <v>-467.42424402999995</v>
      </c>
      <c r="AN42" s="1515">
        <f t="shared" si="115"/>
        <v>-978.88915315999998</v>
      </c>
      <c r="AO42" s="1515">
        <f t="shared" si="115"/>
        <v>-445.53878594000003</v>
      </c>
      <c r="AP42" s="1515">
        <f t="shared" si="115"/>
        <v>-633.59211736999998</v>
      </c>
      <c r="AQ42" s="1515">
        <f t="shared" si="115"/>
        <v>-601.41433915000005</v>
      </c>
      <c r="AR42" s="1515">
        <f t="shared" si="115"/>
        <v>-691.05180539000003</v>
      </c>
      <c r="AS42" s="1515">
        <f t="shared" si="115"/>
        <v>-611.64766824000003</v>
      </c>
      <c r="AT42" s="1515">
        <f t="shared" si="115"/>
        <v>-667.22854610000002</v>
      </c>
      <c r="AU42" s="1515">
        <f t="shared" si="115"/>
        <v>-551.00962958999992</v>
      </c>
      <c r="AV42" s="1515">
        <f t="shared" si="115"/>
        <v>-513.52957353000011</v>
      </c>
      <c r="AW42" s="1515">
        <f t="shared" si="115"/>
        <v>-493.06048881000004</v>
      </c>
      <c r="AX42" s="1515">
        <f t="shared" si="115"/>
        <v>-415.02039663999994</v>
      </c>
      <c r="AY42" s="1515">
        <f t="shared" si="115"/>
        <v>-451.62982411999997</v>
      </c>
      <c r="AZ42" s="1515">
        <f t="shared" si="115"/>
        <v>-1534.3050345000001</v>
      </c>
      <c r="BA42" s="1515">
        <f t="shared" si="115"/>
        <v>-232.87045564000002</v>
      </c>
      <c r="BB42" s="1515">
        <f t="shared" si="115"/>
        <v>-284.76569404999998</v>
      </c>
      <c r="BC42" s="1515">
        <f t="shared" si="115"/>
        <v>-484.91077013</v>
      </c>
      <c r="BD42" s="1515">
        <f t="shared" si="115"/>
        <v>-295.05525541000003</v>
      </c>
      <c r="BE42" s="1515">
        <f t="shared" si="115"/>
        <v>-347.58806595000004</v>
      </c>
      <c r="BF42" s="1515">
        <f t="shared" si="115"/>
        <v>-265.89660968999999</v>
      </c>
      <c r="BG42" s="1515">
        <f t="shared" si="115"/>
        <v>-167.19506229999999</v>
      </c>
      <c r="BH42" s="1515">
        <f t="shared" si="115"/>
        <v>-114.37854720999999</v>
      </c>
      <c r="BI42" s="1515">
        <f t="shared" si="115"/>
        <v>-164.55418599999999</v>
      </c>
      <c r="BJ42" s="1515">
        <f t="shared" si="115"/>
        <v>-150.01650025999999</v>
      </c>
      <c r="BK42" s="1515">
        <f t="shared" si="115"/>
        <v>-168.78467492000001</v>
      </c>
      <c r="BL42" s="1515">
        <f t="shared" si="115"/>
        <v>-415.04057446999997</v>
      </c>
      <c r="BM42" s="1515">
        <f t="shared" si="115"/>
        <v>-172.71559636000001</v>
      </c>
      <c r="BN42" s="1515">
        <f t="shared" si="115"/>
        <v>-177.57980158000001</v>
      </c>
      <c r="BO42" s="1515">
        <f t="shared" si="115"/>
        <v>-175.32840756000002</v>
      </c>
      <c r="BP42" s="1515">
        <f t="shared" si="115"/>
        <v>-189.02775119999998</v>
      </c>
      <c r="BQ42" s="1515">
        <f t="shared" si="115"/>
        <v>-213.03144309999999</v>
      </c>
      <c r="BR42" s="1515">
        <f t="shared" si="115"/>
        <v>-164.35701206000002</v>
      </c>
      <c r="BS42" s="1515">
        <f t="shared" si="115"/>
        <v>-163.69876313</v>
      </c>
      <c r="BT42" s="1515">
        <f t="shared" si="115"/>
        <v>-166.37192833</v>
      </c>
      <c r="BU42" s="1515">
        <f t="shared" si="115"/>
        <v>-167.47429183999998</v>
      </c>
      <c r="BV42" s="1515">
        <f t="shared" si="115"/>
        <v>-170.28434186000001</v>
      </c>
      <c r="BW42" s="1515">
        <f t="shared" si="115"/>
        <v>-165.63421916999999</v>
      </c>
      <c r="BX42" s="1515">
        <f t="shared" si="115"/>
        <v>-233.72656275000003</v>
      </c>
      <c r="BY42" s="1515">
        <f t="shared" si="115"/>
        <v>-181.22297311000003</v>
      </c>
      <c r="BZ42" s="1515">
        <f t="shared" si="115"/>
        <v>-174.78818223000002</v>
      </c>
      <c r="CA42" s="1515">
        <f t="shared" si="115"/>
        <v>-222.94683111999998</v>
      </c>
      <c r="CB42" s="1515">
        <f t="shared" si="115"/>
        <v>-188.24918661000001</v>
      </c>
      <c r="CC42" s="1515">
        <f t="shared" ref="CC42:CV42" si="116">SUM(CC43:CC47)</f>
        <v>-186.72206482999999</v>
      </c>
      <c r="CD42" s="1515">
        <f t="shared" si="116"/>
        <v>-198.97076117999998</v>
      </c>
      <c r="CE42" s="1515">
        <f t="shared" si="116"/>
        <v>-364.28971898999998</v>
      </c>
      <c r="CF42" s="1515">
        <f t="shared" si="116"/>
        <v>-237.59032925</v>
      </c>
      <c r="CG42" s="1515">
        <f t="shared" si="116"/>
        <v>-193.46034929000001</v>
      </c>
      <c r="CH42" s="1515">
        <f t="shared" si="116"/>
        <v>-203.54290989000003</v>
      </c>
      <c r="CI42" s="1515">
        <f t="shared" si="116"/>
        <v>-196.97318156</v>
      </c>
      <c r="CJ42" s="1515">
        <f t="shared" si="116"/>
        <v>-283.81099704999997</v>
      </c>
      <c r="CK42" s="1515">
        <f t="shared" si="116"/>
        <v>-193.87025919999999</v>
      </c>
      <c r="CL42" s="1515">
        <f t="shared" si="116"/>
        <v>-204.10403681</v>
      </c>
      <c r="CM42" s="1515">
        <f t="shared" si="116"/>
        <v>-207.49946095000001</v>
      </c>
      <c r="CN42" s="1515">
        <f t="shared" si="116"/>
        <v>-200.75380096999999</v>
      </c>
      <c r="CO42" s="1515">
        <f t="shared" si="116"/>
        <v>-210.39874420999999</v>
      </c>
      <c r="CP42" s="1515">
        <f t="shared" si="116"/>
        <v>-197.80734236000001</v>
      </c>
      <c r="CQ42" s="1515">
        <f t="shared" si="116"/>
        <v>-342.43549943999994</v>
      </c>
      <c r="CR42" s="1515">
        <f t="shared" si="116"/>
        <v>-198.87219209000003</v>
      </c>
      <c r="CS42" s="1515">
        <f t="shared" si="116"/>
        <v>-211.46318982</v>
      </c>
      <c r="CT42" s="1515">
        <f t="shared" si="116"/>
        <v>-257.69558587999995</v>
      </c>
      <c r="CU42" s="1515">
        <f t="shared" si="116"/>
        <v>-223.13521661000001</v>
      </c>
      <c r="CV42" s="1515">
        <f t="shared" si="116"/>
        <v>-366.21554850000001</v>
      </c>
      <c r="CW42" s="1515">
        <f t="shared" ref="CW42:DH42" si="117">SUM(CW43:CW47)</f>
        <v>-224.69614934000001</v>
      </c>
      <c r="CX42" s="1515">
        <f t="shared" si="117"/>
        <v>-264.14915397999999</v>
      </c>
      <c r="CY42" s="1515">
        <f t="shared" si="117"/>
        <v>-216.89250322999999</v>
      </c>
      <c r="CZ42" s="1515">
        <f t="shared" si="117"/>
        <v>-198.83581762999998</v>
      </c>
      <c r="DA42" s="1515">
        <f t="shared" si="117"/>
        <v>-161.27905157999999</v>
      </c>
      <c r="DB42" s="1515">
        <f t="shared" si="117"/>
        <v>-197.50782130000002</v>
      </c>
      <c r="DC42" s="1515">
        <f t="shared" si="117"/>
        <v>-287.418905</v>
      </c>
      <c r="DD42" s="1515">
        <f t="shared" si="117"/>
        <v>-173.13169540000001</v>
      </c>
      <c r="DE42" s="1515">
        <f t="shared" si="117"/>
        <v>-153.466172</v>
      </c>
      <c r="DF42" s="1515">
        <f t="shared" si="117"/>
        <v>-121.27631842999999</v>
      </c>
      <c r="DG42" s="1515">
        <f t="shared" si="117"/>
        <v>-190.86914587000001</v>
      </c>
      <c r="DH42" s="1515">
        <f t="shared" si="117"/>
        <v>-288.98386495</v>
      </c>
      <c r="DI42" s="949"/>
      <c r="DJ42" s="1515">
        <f t="shared" ref="DJ42:DU42" si="118">SUM(DJ43:DJ47)</f>
        <v>-224.69614934000001</v>
      </c>
      <c r="DK42" s="1515">
        <f t="shared" si="118"/>
        <v>-264.14915397999999</v>
      </c>
      <c r="DL42" s="1515">
        <f t="shared" si="118"/>
        <v>-216.89250322999999</v>
      </c>
      <c r="DM42" s="1515">
        <f t="shared" si="118"/>
        <v>-198.83581762999998</v>
      </c>
      <c r="DN42" s="1515">
        <f t="shared" si="118"/>
        <v>-161.27905157999999</v>
      </c>
      <c r="DO42" s="1515">
        <f t="shared" si="118"/>
        <v>-197.50782130000002</v>
      </c>
      <c r="DP42" s="1515">
        <f t="shared" si="118"/>
        <v>-199.71942234779999</v>
      </c>
      <c r="DQ42" s="1515">
        <f t="shared" si="118"/>
        <v>-182.4892443478</v>
      </c>
      <c r="DR42" s="1515">
        <f t="shared" si="118"/>
        <v>-185.28874634779996</v>
      </c>
      <c r="DS42" s="1515">
        <f t="shared" si="118"/>
        <v>-182.54527334779999</v>
      </c>
      <c r="DT42" s="1515">
        <f t="shared" si="118"/>
        <v>-182.61874634779997</v>
      </c>
      <c r="DU42" s="1515">
        <f t="shared" si="118"/>
        <v>-197.30535034779999</v>
      </c>
      <c r="DW42" s="1515">
        <v>-492.94362402915857</v>
      </c>
      <c r="DX42" s="1515">
        <v>-574.09062042945186</v>
      </c>
      <c r="DY42" s="1515">
        <v>-579.2965068009554</v>
      </c>
      <c r="DZ42" s="1515">
        <v>-545.77270349664582</v>
      </c>
      <c r="EA42" s="1515">
        <v>-497.69616681638632</v>
      </c>
      <c r="EB42" s="1515">
        <v>-515.31006847338631</v>
      </c>
      <c r="EC42" s="1515">
        <v>-507.05616918638634</v>
      </c>
      <c r="ED42" s="1515">
        <v>-492.60851328171964</v>
      </c>
      <c r="EE42" s="1515">
        <v>-504.35144147697633</v>
      </c>
      <c r="EF42" s="1515">
        <v>-504.97447842097631</v>
      </c>
      <c r="EG42" s="1515">
        <v>-487.47827676397628</v>
      </c>
      <c r="EH42" s="1515">
        <v>-785.44152932192469</v>
      </c>
      <c r="EI42" s="1515">
        <f>SUM(EI43:EI47)</f>
        <v>-327.00493168829456</v>
      </c>
      <c r="EJ42" s="1515">
        <f t="shared" ref="EJ42:GD42" si="119">SUM(EJ43:EJ47)</f>
        <v>-394.85649933925566</v>
      </c>
      <c r="EK42" s="1515">
        <f t="shared" si="119"/>
        <v>-357.71580775826192</v>
      </c>
      <c r="EL42" s="1515">
        <f t="shared" si="119"/>
        <v>-401.09155194922067</v>
      </c>
      <c r="EM42" s="1515">
        <f t="shared" si="119"/>
        <v>-279.57538158282614</v>
      </c>
      <c r="EN42" s="1515">
        <f t="shared" si="119"/>
        <v>-283.89396232173965</v>
      </c>
      <c r="EO42" s="1515">
        <f t="shared" si="119"/>
        <v>-269.95033244265232</v>
      </c>
      <c r="EP42" s="1515">
        <f t="shared" si="119"/>
        <v>-256.01090527032545</v>
      </c>
      <c r="EQ42" s="1515">
        <f t="shared" si="119"/>
        <v>-281.87551285508243</v>
      </c>
      <c r="ER42" s="1515">
        <f t="shared" si="119"/>
        <v>-253.14448762637971</v>
      </c>
      <c r="ES42" s="1515">
        <f t="shared" si="119"/>
        <v>-254.32212232220348</v>
      </c>
      <c r="ET42" s="1515">
        <f t="shared" si="119"/>
        <v>-262.08087093020362</v>
      </c>
      <c r="EU42" s="1515">
        <f t="shared" si="119"/>
        <v>-187.36421300000001</v>
      </c>
      <c r="EV42" s="1515">
        <f t="shared" si="119"/>
        <v>-187.22621308999999</v>
      </c>
      <c r="EW42" s="1515">
        <f t="shared" si="119"/>
        <v>-190.35573299999999</v>
      </c>
      <c r="EX42" s="1515">
        <f t="shared" si="119"/>
        <v>-177.51761309</v>
      </c>
      <c r="EY42" s="1515">
        <f t="shared" si="119"/>
        <v>-187.69168108999997</v>
      </c>
      <c r="EZ42" s="1515">
        <f t="shared" si="119"/>
        <v>-196.12411008999999</v>
      </c>
      <c r="FA42" s="1515">
        <f t="shared" si="119"/>
        <v>-184.26101008999998</v>
      </c>
      <c r="FB42" s="1515">
        <f t="shared" si="119"/>
        <v>-185.02231309000001</v>
      </c>
      <c r="FC42" s="1515">
        <f t="shared" si="119"/>
        <v>-186.18068</v>
      </c>
      <c r="FD42" s="1515">
        <f t="shared" si="119"/>
        <v>-180.04225009000001</v>
      </c>
      <c r="FE42" s="1515">
        <f t="shared" si="119"/>
        <v>-183.63478209000002</v>
      </c>
      <c r="FF42" s="1515">
        <f t="shared" si="119"/>
        <v>-182.31730200000001</v>
      </c>
      <c r="FG42" s="1515">
        <f t="shared" si="119"/>
        <v>-207.48698415184353</v>
      </c>
      <c r="FH42" s="1515">
        <f t="shared" si="119"/>
        <v>-214.3619841518435</v>
      </c>
      <c r="FI42" s="1515">
        <f t="shared" si="119"/>
        <v>-213.30498415184348</v>
      </c>
      <c r="FJ42" s="1515">
        <f t="shared" si="119"/>
        <v>-205.5469841518435</v>
      </c>
      <c r="FK42" s="1515">
        <f t="shared" si="119"/>
        <v>-207.1179841518435</v>
      </c>
      <c r="FL42" s="1515">
        <f t="shared" si="119"/>
        <v>-212.12498415184351</v>
      </c>
      <c r="FM42" s="1515">
        <f t="shared" si="119"/>
        <v>-216.17080115184351</v>
      </c>
      <c r="FN42" s="1515">
        <f t="shared" si="119"/>
        <v>-210.54524715184351</v>
      </c>
      <c r="FO42" s="1515">
        <f t="shared" si="119"/>
        <v>-212.95198415184348</v>
      </c>
      <c r="FP42" s="1515">
        <f t="shared" si="119"/>
        <v>-208.73998415184352</v>
      </c>
      <c r="FQ42" s="1515">
        <f t="shared" si="119"/>
        <v>-208.97198415184351</v>
      </c>
      <c r="FR42" s="1515">
        <f t="shared" si="119"/>
        <v>-205.35198415184351</v>
      </c>
      <c r="FS42" s="1515">
        <f t="shared" si="119"/>
        <v>-207.48698415184353</v>
      </c>
      <c r="FT42" s="1515">
        <f t="shared" si="119"/>
        <v>-214.3619841518435</v>
      </c>
      <c r="FU42" s="1515">
        <f t="shared" si="119"/>
        <v>-213.30498415184348</v>
      </c>
      <c r="FV42" s="1515">
        <f t="shared" si="119"/>
        <v>-205.5469841518435</v>
      </c>
      <c r="FW42" s="1515">
        <f t="shared" si="119"/>
        <v>-207.1179841518435</v>
      </c>
      <c r="FX42" s="1515">
        <f t="shared" si="119"/>
        <v>-212.12498415184351</v>
      </c>
      <c r="FY42" s="1515">
        <f t="shared" si="119"/>
        <v>-216.17080115184351</v>
      </c>
      <c r="FZ42" s="1515">
        <f t="shared" si="119"/>
        <v>-210.54524715184351</v>
      </c>
      <c r="GA42" s="1515">
        <f t="shared" si="119"/>
        <v>-212.95198415184348</v>
      </c>
      <c r="GB42" s="1515">
        <f t="shared" si="119"/>
        <v>-208.73998415184352</v>
      </c>
      <c r="GC42" s="1515">
        <f t="shared" si="119"/>
        <v>-208.97198415184351</v>
      </c>
      <c r="GD42" s="1515">
        <f t="shared" si="119"/>
        <v>-205.35198415184351</v>
      </c>
      <c r="GF42" s="1515">
        <f t="shared" ref="GF42:GI58" si="120">+SUMIF($E$6:$AZ$6,GF$7,$E42:$AZ42)</f>
        <v>-3278.7241652599996</v>
      </c>
      <c r="GG42" s="1515">
        <f t="shared" si="120"/>
        <v>-4628.2900165699984</v>
      </c>
      <c r="GH42" s="1515">
        <f t="shared" si="120"/>
        <v>-5446.7616672800004</v>
      </c>
      <c r="GI42" s="1515">
        <f t="shared" si="120"/>
        <v>-7609.0282093800006</v>
      </c>
      <c r="GJ42" s="1515">
        <f>+SUMIF($E$6:$BL$6,GJ$7,$E42:$BL42)</f>
        <v>-3091.0563960299996</v>
      </c>
      <c r="GK42" s="1515">
        <f t="shared" si="37"/>
        <v>-2159.23011894</v>
      </c>
      <c r="GL42" s="1515">
        <f t="shared" si="38"/>
        <v>-2632.5674851099998</v>
      </c>
      <c r="GM42" s="1515">
        <f t="shared" ref="GM42:GM58" si="121">+SUMIF($E$6:$CV$6,GM$7,$E42:$CV42)</f>
        <v>-2814.2508768399998</v>
      </c>
      <c r="GN42" s="1515">
        <f t="shared" si="7"/>
        <v>-2522.6758898221224</v>
      </c>
      <c r="GO42" s="1515">
        <v>-2478.5065987099997</v>
      </c>
      <c r="GQ42" s="1519">
        <f t="shared" ref="GQ42:GV58" si="122">+IFERROR(GH42/GG42-1,"")</f>
        <v>0.17684104664568245</v>
      </c>
      <c r="GR42" s="1519">
        <f t="shared" si="122"/>
        <v>0.39698203706786961</v>
      </c>
      <c r="GS42" s="1519">
        <f t="shared" si="122"/>
        <v>-0.59376462920461881</v>
      </c>
      <c r="GT42" s="1519">
        <f t="shared" si="122"/>
        <v>-0.30145884050733962</v>
      </c>
      <c r="GU42" s="1519">
        <f t="shared" si="122"/>
        <v>0.21921580382658257</v>
      </c>
      <c r="GV42" s="1519">
        <f t="shared" si="122"/>
        <v>6.9013764227361607E-2</v>
      </c>
      <c r="GW42" s="1519">
        <f t="shared" si="92"/>
        <v>-0.10360660786051679</v>
      </c>
      <c r="GX42" s="1519">
        <f t="shared" si="92"/>
        <v>-1.750890444956732E-2</v>
      </c>
      <c r="GY42" s="1519">
        <f t="shared" si="9"/>
        <v>-0.11930147411271053</v>
      </c>
      <c r="HA42" s="1515">
        <f t="shared" ref="HA42:HC58" si="123">+GH42-GG42</f>
        <v>-818.471650710002</v>
      </c>
      <c r="HB42" s="1515">
        <f t="shared" si="123"/>
        <v>-2162.2665421000002</v>
      </c>
      <c r="HC42" s="1515">
        <f t="shared" si="123"/>
        <v>4517.971813350001</v>
      </c>
      <c r="HD42" s="1515">
        <f t="shared" si="99"/>
        <v>931.82627708999962</v>
      </c>
      <c r="HE42" s="1515">
        <f t="shared" si="93"/>
        <v>-473.33736616999977</v>
      </c>
      <c r="HF42" s="1515">
        <f t="shared" si="93"/>
        <v>-181.68339173000004</v>
      </c>
      <c r="HG42" s="1515">
        <f t="shared" si="93"/>
        <v>291.57498701787745</v>
      </c>
      <c r="HH42" s="1515">
        <f t="shared" si="93"/>
        <v>44.169291112122664</v>
      </c>
      <c r="HI42" s="1515">
        <f t="shared" si="11"/>
        <v>335.74427813000011</v>
      </c>
      <c r="HK42" s="1520">
        <f t="shared" ref="HK42:HS58" si="124">+GG42/GG$11</f>
        <v>-0.1259217722377097</v>
      </c>
      <c r="HL42" s="1520">
        <f t="shared" si="124"/>
        <v>-0.13830242085987146</v>
      </c>
      <c r="HM42" s="1520">
        <f t="shared" si="124"/>
        <v>-0.45149979670320861</v>
      </c>
      <c r="HN42" s="1520">
        <f t="shared" si="124"/>
        <v>-0.50244520985957242</v>
      </c>
      <c r="HO42" s="1520">
        <f t="shared" si="86"/>
        <v>-0.15843124477116724</v>
      </c>
      <c r="HP42" s="1520">
        <f t="shared" si="86"/>
        <v>-0.1860401532451457</v>
      </c>
      <c r="HQ42" s="1520">
        <f t="shared" si="86"/>
        <v>-0.1325641505596328</v>
      </c>
      <c r="HR42" s="1520">
        <f t="shared" si="86"/>
        <v>-0.16035013335256443</v>
      </c>
      <c r="HS42" s="1520">
        <f t="shared" si="86"/>
        <v>-0.19639688957140761</v>
      </c>
      <c r="HU42" s="1515">
        <f t="shared" ref="HU42:HZ51" si="125">+IFERROR(SUMIFS($E42:$BX42,$E$6:$BX$6,HU$7,$E$5:$BX$5,"&lt;="&amp;$HW$5),"NA")</f>
        <v>-1352.4409184699998</v>
      </c>
      <c r="HV42" s="1515">
        <f t="shared" si="125"/>
        <v>-2119.2956318999995</v>
      </c>
      <c r="HW42" s="1515">
        <f t="shared" si="125"/>
        <v>-2374.7183736699999</v>
      </c>
      <c r="HX42" s="1515">
        <f t="shared" si="125"/>
        <v>-3650.4732621900002</v>
      </c>
      <c r="HY42" s="1515">
        <f t="shared" si="125"/>
        <v>-1911.08685087</v>
      </c>
      <c r="HZ42" s="1515">
        <f t="shared" si="125"/>
        <v>-1092.04001186</v>
      </c>
      <c r="IA42" s="1515">
        <f t="shared" ref="IA42:IA58" si="126">+IFERROR(SUMIFS($E42:$CJ42,$E$6:$CJ$6,IA$7,$E$5:$CJ$5,"&lt;="&amp;$HW$5),"NA")</f>
        <v>-1152.89999908</v>
      </c>
      <c r="IB42" s="1515">
        <f t="shared" ref="IB42:IB58" si="127">+IFERROR(SUMIFS($E42:$CV42,$E$6:$CV$6,IB$7,$E$5:$CV$5,"&lt;="&amp;$HW$5),"NA")</f>
        <v>-1214.4336444999999</v>
      </c>
      <c r="IC42" s="1515">
        <f t="shared" ref="IC42:IC58" si="128">+SUMIF($CW$5:$DH$5,"&lt;="&amp;$HW$5,$CW42:$DH42)</f>
        <v>-1263.3604970599997</v>
      </c>
      <c r="ID42" s="1515">
        <f t="shared" si="18"/>
        <v>-1259.9439049110611</v>
      </c>
      <c r="IE42" s="1515">
        <f t="shared" ref="IE42:IE58" si="129">+SUMIF($DJ$5:$DU$5,"&lt;="&amp;$HW$5,$DJ42:$DU42)</f>
        <v>-1263.3604970599997</v>
      </c>
      <c r="IF42" s="922">
        <f t="shared" si="20"/>
        <v>4.028779405246441E-2</v>
      </c>
      <c r="IG42" s="1515">
        <f t="shared" si="21"/>
        <v>-1263.3604970599997</v>
      </c>
      <c r="IH42" s="1515">
        <f t="shared" si="21"/>
        <v>-1259.9439049110611</v>
      </c>
      <c r="II42" s="939"/>
      <c r="IJ42" s="1519">
        <f t="shared" ref="IJ42:IJ58" si="130">+IFERROR(IG42/IH42,"")</f>
        <v>1.0027117017953111</v>
      </c>
      <c r="IK42" s="1523">
        <f t="shared" ref="IK42:IK58" si="131">+IFERROR(IG42-IH42,"NA")</f>
        <v>-3.4165921489386619</v>
      </c>
      <c r="IM42" s="1520">
        <f t="shared" ref="IM42:IM58" si="132">+IG42/IG$11</f>
        <v>-0.19428591088839459</v>
      </c>
      <c r="IN42" s="1519">
        <f t="shared" ref="IN42:IN58" si="133">+IFERROR(IH42/IH$11,"")</f>
        <v>-0.17843863223801423</v>
      </c>
      <c r="IP42" s="1520">
        <f t="shared" ref="IP42:IR60" si="134">+IFERROR(HW42/HV42-1,"NA")</f>
        <v>0.12052246884546625</v>
      </c>
      <c r="IQ42" s="1520">
        <f t="shared" si="134"/>
        <v>0.53722365677762007</v>
      </c>
      <c r="IR42" s="1520">
        <f t="shared" si="134"/>
        <v>-0.47648244114970006</v>
      </c>
      <c r="IS42" s="1520">
        <f>+IFERROR(HZ42/HY42-1,"NA")</f>
        <v>-0.42857646089560941</v>
      </c>
      <c r="IT42" s="1520">
        <f>+IFERROR(IA42/HZ42-1,"NA")</f>
        <v>5.5730547012046827E-2</v>
      </c>
      <c r="IU42" s="1520">
        <f>+IFERROR(IB42/IA42-1,"NA")</f>
        <v>5.3372925205224186E-2</v>
      </c>
      <c r="IV42" s="1520">
        <f>+IFERROR(IE42/IB42-1,"NA")</f>
        <v>4.028779405246441E-2</v>
      </c>
      <c r="IX42" s="1515">
        <f t="shared" ref="IX42:JC60" si="135">+HW42-HV42</f>
        <v>-255.42274177000036</v>
      </c>
      <c r="IY42" s="1515">
        <f t="shared" si="135"/>
        <v>-1275.7548885200003</v>
      </c>
      <c r="IZ42" s="1515">
        <f t="shared" si="135"/>
        <v>1739.3864113200002</v>
      </c>
      <c r="JA42" s="1515">
        <f t="shared" si="135"/>
        <v>819.04683900999999</v>
      </c>
      <c r="JB42" s="1515">
        <f t="shared" si="135"/>
        <v>-60.859987219999994</v>
      </c>
      <c r="JC42" s="1515">
        <f t="shared" si="135"/>
        <v>-61.533645419999857</v>
      </c>
      <c r="JD42" s="1515">
        <f t="shared" ref="JD42:JD58" si="136">+IE42-IB42</f>
        <v>-48.926852559999816</v>
      </c>
      <c r="JF42" s="1520">
        <f t="shared" ref="JF42:JL58" si="137">+HU42/HU$11</f>
        <v>-8.4555746933547116E-2</v>
      </c>
      <c r="JG42" s="1520">
        <f t="shared" si="137"/>
        <v>-0.12428917386200421</v>
      </c>
      <c r="JH42" s="1520">
        <f t="shared" si="137"/>
        <v>-0.14608913125070469</v>
      </c>
      <c r="JI42" s="1520">
        <f t="shared" si="137"/>
        <v>-0.3902549118665275</v>
      </c>
      <c r="JJ42" s="1520">
        <f t="shared" si="137"/>
        <v>-0.9523886179663954</v>
      </c>
      <c r="JK42" s="1520">
        <f t="shared" si="137"/>
        <v>-0.15732467876983594</v>
      </c>
      <c r="JL42" s="1520">
        <f t="shared" si="137"/>
        <v>-0.21796196512496097</v>
      </c>
      <c r="JM42" s="1520">
        <f t="shared" ref="JM42:JM58" si="138">+IE42/IE$11</f>
        <v>-0.1852791488173974</v>
      </c>
      <c r="JO42" s="1515">
        <f t="shared" ref="JO42:JS51" si="139">+SUMIFS($E42:$BX42,$E$6:$BX$6,JO$7,$E$5:$BX$5,$JQ$5)</f>
        <v>-230.32562964999994</v>
      </c>
      <c r="JP42" s="1515">
        <f t="shared" si="139"/>
        <v>-371.62672214000025</v>
      </c>
      <c r="JQ42" s="1515">
        <f t="shared" si="139"/>
        <v>-391.25188651999997</v>
      </c>
      <c r="JR42" s="1515">
        <f t="shared" si="139"/>
        <v>-667.22854610000002</v>
      </c>
      <c r="JS42" s="1515">
        <f t="shared" si="139"/>
        <v>-265.89660968999999</v>
      </c>
      <c r="JT42" s="1515">
        <f t="shared" ref="JT42:JT58" si="140">+SUMIFS($E42:$CJ42,$E$6:$CJ$6,JT$7,$E$5:$CJ$5,$JQ$5)</f>
        <v>-164.35701206000002</v>
      </c>
      <c r="JU42" s="1515">
        <f t="shared" ref="JU42:JV58" si="141">+SUMIFS($E42:$CV42,$E$6:$CV$6,JU$7,$E$5:$CV$5,$JQ$5)</f>
        <v>-198.97076117999998</v>
      </c>
      <c r="JV42" s="1515">
        <f t="shared" si="141"/>
        <v>-197.80734236000001</v>
      </c>
      <c r="JW42" s="1515">
        <f t="shared" ref="JW42:JW58" si="142">+SUMIFS($E42:$DH42,$E$6:$DH$6,JW$7,$E$5:$DH$5,$JQ$5)</f>
        <v>-197.50782130000002</v>
      </c>
      <c r="JX42" s="1515">
        <f t="shared" ref="JX42:JX58" si="143">+SUMIF($FS$5:$GD$5,$JQ$5,$FS42:$GD42)</f>
        <v>-212.12498415184351</v>
      </c>
      <c r="JY42" s="1515">
        <f t="shared" ref="JY42:JY58" si="144">+SUMIF($DJ$5:$DU$5,$JQ$5,$DJ42:$DU42)</f>
        <v>-197.50782130000002</v>
      </c>
      <c r="KB42" s="1520">
        <f t="shared" ref="KB42:KG58" si="145">+IFERROR(JQ42/JP42-1," ")</f>
        <v>5.2808808438179256E-2</v>
      </c>
      <c r="KC42" s="1520">
        <f t="shared" si="145"/>
        <v>0.70536825275062975</v>
      </c>
      <c r="KD42" s="1520">
        <f t="shared" si="145"/>
        <v>-0.60149095651829465</v>
      </c>
      <c r="KE42" s="1520">
        <f t="shared" si="145"/>
        <v>-0.38187624034914025</v>
      </c>
      <c r="KF42" s="1520">
        <f t="shared" si="145"/>
        <v>0.21060098797223148</v>
      </c>
      <c r="KG42" s="1520">
        <f t="shared" si="145"/>
        <v>-5.8471848481671529E-3</v>
      </c>
      <c r="KH42" s="1520">
        <f t="shared" ref="KH42:KH58" si="146">+IFERROR(JY42/JV42-1," ")</f>
        <v>-1.5142059765146376E-3</v>
      </c>
      <c r="KJ42" s="1515">
        <f t="shared" ref="KJ42:KO58" si="147">+JQ42-JP42</f>
        <v>-19.625164379999717</v>
      </c>
      <c r="KK42" s="1515">
        <f t="shared" si="147"/>
        <v>-275.97665958000005</v>
      </c>
      <c r="KL42" s="1515">
        <f t="shared" si="147"/>
        <v>401.33193641000003</v>
      </c>
      <c r="KM42" s="1515">
        <f t="shared" si="147"/>
        <v>101.53959762999997</v>
      </c>
      <c r="KN42" s="1515">
        <f t="shared" si="147"/>
        <v>-34.613749119999966</v>
      </c>
      <c r="KO42" s="1515">
        <f t="shared" si="147"/>
        <v>1.1634188199999755</v>
      </c>
      <c r="KP42" s="1515">
        <f t="shared" ref="KP42:KP58" si="148">+JY42-JV42</f>
        <v>0.29952105999998935</v>
      </c>
      <c r="KR42" s="1520">
        <f t="shared" ref="KR42:KY58" si="149">+JO42/JO$11</f>
        <v>-7.1846014868689551E-2</v>
      </c>
      <c r="KS42" s="1520">
        <f t="shared" si="149"/>
        <v>-0.11049645150411018</v>
      </c>
      <c r="KT42" s="1520">
        <f t="shared" si="149"/>
        <v>-0.1559435369397433</v>
      </c>
      <c r="KU42" s="1520">
        <f t="shared" si="149"/>
        <v>-0.74578422203062622</v>
      </c>
      <c r="KV42" s="1520">
        <f t="shared" si="149"/>
        <v>-0.85211259916779991</v>
      </c>
      <c r="KW42" s="1520">
        <f t="shared" si="149"/>
        <v>-0.16208438058104846</v>
      </c>
      <c r="KX42" s="1520">
        <f t="shared" si="149"/>
        <v>-0.22683828844047596</v>
      </c>
      <c r="KY42" s="1520">
        <f t="shared" si="149"/>
        <v>-0.12927613911221081</v>
      </c>
      <c r="KZ42" s="1520">
        <f t="shared" si="46"/>
        <v>-0.53892442316306377</v>
      </c>
    </row>
    <row r="43" spans="1:312" outlineLevel="1">
      <c r="A43" s="884">
        <v>5105</v>
      </c>
      <c r="B43" s="70" t="s">
        <v>644</v>
      </c>
      <c r="C43" s="17" t="s">
        <v>78</v>
      </c>
      <c r="D43" s="31" t="s">
        <v>59</v>
      </c>
      <c r="E43" s="924">
        <v>-184.60359</v>
      </c>
      <c r="F43" s="924">
        <v>-179.33744200000001</v>
      </c>
      <c r="G43" s="924">
        <v>-178.53491223999998</v>
      </c>
      <c r="H43" s="924">
        <v>-192.94177000000002</v>
      </c>
      <c r="I43" s="924">
        <v>-209.37347199999999</v>
      </c>
      <c r="J43" s="924">
        <v>-204.46819399999993</v>
      </c>
      <c r="K43" s="924">
        <v>-222.84923200000003</v>
      </c>
      <c r="L43" s="924">
        <v>-167.29574200000002</v>
      </c>
      <c r="M43" s="924">
        <v>-189.70884000000001</v>
      </c>
      <c r="N43" s="924">
        <v>-184.99614500000007</v>
      </c>
      <c r="O43" s="924">
        <v>-196.77145700000005</v>
      </c>
      <c r="P43" s="924">
        <v>-228.98006599999962</v>
      </c>
      <c r="Q43" s="924">
        <v>-191.06300100000001</v>
      </c>
      <c r="R43" s="924">
        <v>-242.98850300000001</v>
      </c>
      <c r="S43" s="924">
        <v>-311.0568780000001</v>
      </c>
      <c r="T43" s="924">
        <v>-296.09025799999995</v>
      </c>
      <c r="U43" s="924">
        <v>-285.45387299999948</v>
      </c>
      <c r="V43" s="924">
        <v>-275.24349000000029</v>
      </c>
      <c r="W43" s="924">
        <v>-275.23811299999988</v>
      </c>
      <c r="X43" s="924">
        <v>-279.31216600000016</v>
      </c>
      <c r="Y43" s="924">
        <v>-287.54572000000007</v>
      </c>
      <c r="Z43" s="924">
        <v>-317.61782600000015</v>
      </c>
      <c r="AA43" s="924">
        <v>-299.50171809999983</v>
      </c>
      <c r="AB43" s="924">
        <v>-491.46280762999913</v>
      </c>
      <c r="AC43" s="924">
        <v>-280.63312950000005</v>
      </c>
      <c r="AD43" s="924">
        <v>-278.71076854</v>
      </c>
      <c r="AE43" s="924">
        <v>-272.92192555000003</v>
      </c>
      <c r="AF43" s="924">
        <v>-276.30293782999991</v>
      </c>
      <c r="AG43" s="924">
        <v>-333.07623887000011</v>
      </c>
      <c r="AH43" s="924">
        <v>-274.55450743</v>
      </c>
      <c r="AI43" s="924">
        <v>-281.62906190000001</v>
      </c>
      <c r="AJ43" s="924">
        <v>-324.11659522000002</v>
      </c>
      <c r="AK43" s="924">
        <v>-285.50884779999996</v>
      </c>
      <c r="AL43" s="924">
        <v>-303.21534815000012</v>
      </c>
      <c r="AM43" s="924">
        <v>-300.63237048000002</v>
      </c>
      <c r="AN43" s="102">
        <v>-520.53340421999985</v>
      </c>
      <c r="AO43" s="924">
        <v>-377.12274188000004</v>
      </c>
      <c r="AP43" s="925">
        <v>-375.18297007000001</v>
      </c>
      <c r="AQ43" s="143">
        <v>-393.07302458999999</v>
      </c>
      <c r="AR43" s="220">
        <v>-338.87004795000001</v>
      </c>
      <c r="AS43" s="924">
        <v>-424.14468204000002</v>
      </c>
      <c r="AT43" s="924">
        <v>-452.27474258999996</v>
      </c>
      <c r="AU43" s="924">
        <v>-291.60278433999997</v>
      </c>
      <c r="AV43" s="924">
        <v>-273.44609086000003</v>
      </c>
      <c r="AW43" s="924">
        <v>-265.34902633000002</v>
      </c>
      <c r="AX43" s="924">
        <v>-252.49043387999996</v>
      </c>
      <c r="AY43" s="924">
        <v>-252.92055428</v>
      </c>
      <c r="AZ43" s="924">
        <v>-229.46811907</v>
      </c>
      <c r="BA43" s="102">
        <v>-177.63865627999999</v>
      </c>
      <c r="BB43" s="102">
        <v>-208.63852299000001</v>
      </c>
      <c r="BC43" s="102">
        <v>-276.12542055</v>
      </c>
      <c r="BD43" s="102">
        <v>-137.78893747000001</v>
      </c>
      <c r="BE43" s="924">
        <v>-136.93928036000003</v>
      </c>
      <c r="BF43" s="924">
        <v>-157.20269387000002</v>
      </c>
      <c r="BG43" s="924">
        <v>-116.87858375</v>
      </c>
      <c r="BH43" s="924">
        <v>-105.99932801</v>
      </c>
      <c r="BI43" s="924">
        <v>-111.05221645</v>
      </c>
      <c r="BJ43" s="924">
        <v>-102.15753529999999</v>
      </c>
      <c r="BK43" s="924">
        <v>-106.04619745000001</v>
      </c>
      <c r="BL43" s="924">
        <v>-161.44722637999999</v>
      </c>
      <c r="BM43" s="145">
        <v>-106.87166958</v>
      </c>
      <c r="BN43" s="102">
        <v>-111.14258698</v>
      </c>
      <c r="BO43" s="102">
        <v>-105.30731659</v>
      </c>
      <c r="BP43" s="102">
        <v>-103.75423302</v>
      </c>
      <c r="BQ43" s="924">
        <v>-103.94997991</v>
      </c>
      <c r="BR43" s="924">
        <v>-101.90266431000001</v>
      </c>
      <c r="BS43" s="924">
        <v>-101.77031104000001</v>
      </c>
      <c r="BT43" s="924">
        <v>-109.50933134</v>
      </c>
      <c r="BU43" s="924">
        <v>-99.053389659999993</v>
      </c>
      <c r="BV43" s="924">
        <v>-104.30861040000001</v>
      </c>
      <c r="BW43" s="924">
        <v>-107.19861506999999</v>
      </c>
      <c r="BX43" s="924">
        <v>-105.74375513</v>
      </c>
      <c r="BY43" s="924">
        <v>-120.76809273000001</v>
      </c>
      <c r="BZ43" s="924">
        <v>-124.50172655</v>
      </c>
      <c r="CA43" s="924">
        <v>-121.78647289</v>
      </c>
      <c r="CB43" s="924">
        <v>-119.95634161</v>
      </c>
      <c r="CC43" s="924">
        <v>-119.12346745000001</v>
      </c>
      <c r="CD43" s="924">
        <v>-120.71886388999999</v>
      </c>
      <c r="CE43" s="924">
        <v>-256.49563978999998</v>
      </c>
      <c r="CF43" s="924">
        <v>-114.96643410999999</v>
      </c>
      <c r="CG43" s="924">
        <v>-122.28728581</v>
      </c>
      <c r="CH43" s="924">
        <v>-123.62267353</v>
      </c>
      <c r="CI43" s="924">
        <v>-124.03740083</v>
      </c>
      <c r="CJ43" s="924">
        <v>-126.14992609000001</v>
      </c>
      <c r="CK43" s="924">
        <v>-125.59484712999999</v>
      </c>
      <c r="CL43" s="924">
        <v>-128.18772301000001</v>
      </c>
      <c r="CM43" s="924">
        <v>-127.99142644999999</v>
      </c>
      <c r="CN43" s="924">
        <v>-125.47283947</v>
      </c>
      <c r="CO43" s="924">
        <v>-130.81160413000001</v>
      </c>
      <c r="CP43" s="924">
        <v>-129.58660573</v>
      </c>
      <c r="CQ43" s="924">
        <v>-250.11541643999999</v>
      </c>
      <c r="CR43" s="924">
        <v>-125.64148701000001</v>
      </c>
      <c r="CS43" s="924">
        <v>-129.02305562000001</v>
      </c>
      <c r="CT43" s="924">
        <v>-132.01094178</v>
      </c>
      <c r="CU43" s="924">
        <v>-132.22973698999999</v>
      </c>
      <c r="CV43" s="924">
        <v>-134.80676386000002</v>
      </c>
      <c r="CW43" s="924">
        <v>-146.658615</v>
      </c>
      <c r="CX43" s="924">
        <v>-144.54122799999999</v>
      </c>
      <c r="CY43" s="924">
        <v>-134.604409</v>
      </c>
      <c r="CZ43" s="924">
        <v>-121.093917</v>
      </c>
      <c r="DA43" s="924">
        <v>-110.85061899999999</v>
      </c>
      <c r="DB43" s="924">
        <v>-122.435767</v>
      </c>
      <c r="DC43" s="924">
        <v>-236.30112800000001</v>
      </c>
      <c r="DD43" s="924">
        <v>-111.23355640000001</v>
      </c>
      <c r="DE43" s="924">
        <v>-122.795095</v>
      </c>
      <c r="DF43" s="924">
        <v>-123.773779</v>
      </c>
      <c r="DG43" s="924">
        <v>-123.66697881</v>
      </c>
      <c r="DH43" s="924">
        <v>-208.61710558000001</v>
      </c>
      <c r="DJ43" s="924">
        <v>-146.658615</v>
      </c>
      <c r="DK43" s="924">
        <v>-144.16122799999999</v>
      </c>
      <c r="DL43" s="924">
        <v>-134.604409</v>
      </c>
      <c r="DM43" s="924">
        <v>-121.093917</v>
      </c>
      <c r="DN43" s="924">
        <v>-110.85061899999999</v>
      </c>
      <c r="DO43" s="924">
        <v>-122.435767</v>
      </c>
      <c r="DP43" s="924">
        <v>-122.12639094779998</v>
      </c>
      <c r="DQ43" s="924">
        <v>-122.12639094779998</v>
      </c>
      <c r="DR43" s="924">
        <v>-122.12639094779998</v>
      </c>
      <c r="DS43" s="924">
        <v>-122.12639094779998</v>
      </c>
      <c r="DT43" s="924">
        <v>-122.12639094779998</v>
      </c>
      <c r="DU43" s="924">
        <v>-122.12639094779998</v>
      </c>
      <c r="DW43" s="924">
        <v>-335.84943328100002</v>
      </c>
      <c r="DX43" s="924">
        <v>-361.54079548633331</v>
      </c>
      <c r="DY43" s="924">
        <v>-370.96186568910696</v>
      </c>
      <c r="DZ43" s="924">
        <v>-365.28003492226617</v>
      </c>
      <c r="EA43" s="924">
        <v>-341.02976113233996</v>
      </c>
      <c r="EB43" s="924">
        <v>-345.49036113233996</v>
      </c>
      <c r="EC43" s="924">
        <v>-344.01305370234002</v>
      </c>
      <c r="ED43" s="924">
        <v>-343.65001060733999</v>
      </c>
      <c r="EE43" s="924">
        <v>-345.53001060733999</v>
      </c>
      <c r="EF43" s="924">
        <v>-344.08082972733996</v>
      </c>
      <c r="EG43" s="924">
        <v>-343.92082972733999</v>
      </c>
      <c r="EH43" s="924">
        <v>-565.46921981727974</v>
      </c>
      <c r="EI43" s="924">
        <v>-212.40866708460001</v>
      </c>
      <c r="EJ43" s="924">
        <v>-249.18545933152464</v>
      </c>
      <c r="EK43" s="924">
        <v>-177.2461209896</v>
      </c>
      <c r="EL43" s="924">
        <v>-177.80221223959998</v>
      </c>
      <c r="EM43" s="924">
        <v>-185.57971223959998</v>
      </c>
      <c r="EN43" s="924">
        <v>-175.6198507396</v>
      </c>
      <c r="EO43" s="924">
        <v>-167.3524332396</v>
      </c>
      <c r="EP43" s="924">
        <v>-167.3524332396</v>
      </c>
      <c r="EQ43" s="924">
        <v>-167.3524332396</v>
      </c>
      <c r="ER43" s="924">
        <v>-167.3524332396</v>
      </c>
      <c r="ES43" s="924">
        <v>-167.3524332396</v>
      </c>
      <c r="ET43" s="924">
        <v>-167.6692332396</v>
      </c>
      <c r="EU43" s="924">
        <v>-100.37370900000001</v>
      </c>
      <c r="EV43" s="924">
        <v>-98.743708999999996</v>
      </c>
      <c r="EW43" s="924">
        <v>-98.743708999999996</v>
      </c>
      <c r="EX43" s="924">
        <v>-98.743708999999996</v>
      </c>
      <c r="EY43" s="924">
        <v>-99.743708999999996</v>
      </c>
      <c r="EZ43" s="924">
        <v>-98.743708999999996</v>
      </c>
      <c r="FA43" s="924">
        <v>-103.52081099999999</v>
      </c>
      <c r="FB43" s="924">
        <v>-102.890811</v>
      </c>
      <c r="FC43" s="924">
        <v>-103.890811</v>
      </c>
      <c r="FD43" s="924">
        <v>-102.890811</v>
      </c>
      <c r="FE43" s="924">
        <v>-102.890811</v>
      </c>
      <c r="FF43" s="924">
        <v>-102.890811</v>
      </c>
      <c r="FG43" s="924">
        <v>-135.73830639184351</v>
      </c>
      <c r="FH43" s="924">
        <v>-135.73830639184351</v>
      </c>
      <c r="FI43" s="924">
        <v>-136.23830639184351</v>
      </c>
      <c r="FJ43" s="924">
        <v>-135.73830639184351</v>
      </c>
      <c r="FK43" s="924">
        <v>-135.73830639184351</v>
      </c>
      <c r="FL43" s="924">
        <v>-135.73830639184351</v>
      </c>
      <c r="FM43" s="924">
        <v>-135.73830639184351</v>
      </c>
      <c r="FN43" s="924">
        <v>-135.73830639184351</v>
      </c>
      <c r="FO43" s="924">
        <v>-136.23830639184351</v>
      </c>
      <c r="FP43" s="924">
        <v>-135.73830639184351</v>
      </c>
      <c r="FQ43" s="924">
        <v>-135.73830639184351</v>
      </c>
      <c r="FR43" s="924">
        <v>-135.73830639184351</v>
      </c>
      <c r="FS43" s="924">
        <v>-135.73830639184351</v>
      </c>
      <c r="FT43" s="924">
        <v>-135.73830639184351</v>
      </c>
      <c r="FU43" s="924">
        <v>-136.23830639184351</v>
      </c>
      <c r="FV43" s="924">
        <v>-135.73830639184351</v>
      </c>
      <c r="FW43" s="924">
        <v>-135.73830639184351</v>
      </c>
      <c r="FX43" s="924">
        <v>-135.73830639184351</v>
      </c>
      <c r="FY43" s="924">
        <v>-135.73830639184351</v>
      </c>
      <c r="FZ43" s="924">
        <v>-135.73830639184351</v>
      </c>
      <c r="GA43" s="924">
        <v>-136.23830639184351</v>
      </c>
      <c r="GB43" s="924">
        <v>-135.73830639184351</v>
      </c>
      <c r="GC43" s="924">
        <v>-135.73830639184351</v>
      </c>
      <c r="GD43" s="924">
        <v>-135.73830639184351</v>
      </c>
      <c r="GF43" s="924">
        <f t="shared" si="120"/>
        <v>-2339.8608622399997</v>
      </c>
      <c r="GG43" s="924">
        <f t="shared" si="120"/>
        <v>-3552.5743537299991</v>
      </c>
      <c r="GH43" s="924">
        <f t="shared" si="120"/>
        <v>-3731.8351354899996</v>
      </c>
      <c r="GI43" s="924">
        <f t="shared" si="120"/>
        <v>-3925.9452178799997</v>
      </c>
      <c r="GJ43" s="924">
        <f t="shared" ref="GJ43:GJ58" si="150">+SUMIF($E$6:$BL$6,GJ$7,$E43:$BL43)</f>
        <v>-1797.9145988600001</v>
      </c>
      <c r="GK43" s="924">
        <f t="shared" si="37"/>
        <v>-1260.5124630299999</v>
      </c>
      <c r="GL43" s="924">
        <f t="shared" si="38"/>
        <v>-1594.4143252799997</v>
      </c>
      <c r="GM43" s="924">
        <f t="shared" si="121"/>
        <v>-1671.4724476199999</v>
      </c>
      <c r="GN43" s="924">
        <f t="shared" si="7"/>
        <v>-1629.859676702122</v>
      </c>
      <c r="GO43" s="924">
        <v>-1706.5721977900002</v>
      </c>
      <c r="GQ43" s="927">
        <f t="shared" si="122"/>
        <v>5.0459403213274578E-2</v>
      </c>
      <c r="GR43" s="927">
        <f t="shared" si="122"/>
        <v>5.2014645701788931E-2</v>
      </c>
      <c r="GS43" s="927">
        <f t="shared" si="122"/>
        <v>-0.54204287144106678</v>
      </c>
      <c r="GT43" s="927">
        <f t="shared" si="122"/>
        <v>-0.29890303809243757</v>
      </c>
      <c r="GU43" s="927">
        <f t="shared" si="122"/>
        <v>0.26489374127041287</v>
      </c>
      <c r="GV43" s="927">
        <f t="shared" si="122"/>
        <v>4.8330048920294244E-2</v>
      </c>
      <c r="GW43" s="927">
        <f t="shared" si="92"/>
        <v>-2.4895876074493506E-2</v>
      </c>
      <c r="GX43" s="927">
        <f t="shared" si="92"/>
        <v>4.7066948268270181E-2</v>
      </c>
      <c r="GY43" s="927">
        <f t="shared" si="9"/>
        <v>2.0999299282485229E-2</v>
      </c>
      <c r="HA43" s="924">
        <f t="shared" si="123"/>
        <v>-179.26078176000055</v>
      </c>
      <c r="HB43" s="924">
        <f t="shared" si="123"/>
        <v>-194.11008239000012</v>
      </c>
      <c r="HC43" s="924">
        <f t="shared" si="123"/>
        <v>2128.0306190199999</v>
      </c>
      <c r="HD43" s="924">
        <f t="shared" si="99"/>
        <v>537.40213583000013</v>
      </c>
      <c r="HE43" s="924">
        <f t="shared" si="93"/>
        <v>-333.90186224999979</v>
      </c>
      <c r="HF43" s="924">
        <f t="shared" si="93"/>
        <v>-77.058122340000182</v>
      </c>
      <c r="HG43" s="924">
        <f t="shared" si="93"/>
        <v>41.612770917877924</v>
      </c>
      <c r="HH43" s="924">
        <f t="shared" si="93"/>
        <v>-76.712521087878258</v>
      </c>
      <c r="HI43" s="924">
        <f t="shared" si="11"/>
        <v>-35.099750170000334</v>
      </c>
      <c r="HK43" s="76">
        <f t="shared" si="124"/>
        <v>-9.6654802751415261E-2</v>
      </c>
      <c r="HL43" s="76">
        <f t="shared" si="124"/>
        <v>-9.4757557795976388E-2</v>
      </c>
      <c r="HM43" s="76">
        <f t="shared" si="124"/>
        <v>-0.23295530243344781</v>
      </c>
      <c r="HN43" s="76">
        <f t="shared" si="124"/>
        <v>-0.29224752388666364</v>
      </c>
      <c r="HO43" s="76">
        <f t="shared" si="124"/>
        <v>-9.2488779595873247E-2</v>
      </c>
      <c r="HP43" s="76">
        <f t="shared" si="124"/>
        <v>-0.11267520665247162</v>
      </c>
      <c r="HQ43" s="76">
        <f t="shared" si="124"/>
        <v>-7.8734034348556442E-2</v>
      </c>
      <c r="HR43" s="76">
        <f t="shared" si="124"/>
        <v>-0.10359960134378612</v>
      </c>
      <c r="HS43" s="76">
        <f t="shared" si="124"/>
        <v>-0.13522879932998455</v>
      </c>
      <c r="HU43" s="924">
        <f t="shared" si="125"/>
        <v>-1149.2593802399999</v>
      </c>
      <c r="HV43" s="924">
        <f t="shared" si="125"/>
        <v>-1601.8960029999998</v>
      </c>
      <c r="HW43" s="924">
        <f t="shared" si="125"/>
        <v>-1716.1995077200002</v>
      </c>
      <c r="HX43" s="924">
        <f t="shared" si="125"/>
        <v>-2360.66820912</v>
      </c>
      <c r="HY43" s="924">
        <f t="shared" si="125"/>
        <v>-1094.33351152</v>
      </c>
      <c r="HZ43" s="924">
        <f t="shared" si="125"/>
        <v>-632.92845038999997</v>
      </c>
      <c r="IA43" s="924">
        <f t="shared" si="126"/>
        <v>-726.85496511999997</v>
      </c>
      <c r="IB43" s="924">
        <f t="shared" si="127"/>
        <v>-767.64504592000003</v>
      </c>
      <c r="IC43" s="924">
        <f t="shared" si="128"/>
        <v>-780.18455500000005</v>
      </c>
      <c r="ID43" s="924">
        <f t="shared" si="18"/>
        <v>-814.92983835106099</v>
      </c>
      <c r="IE43" s="924">
        <f t="shared" si="129"/>
        <v>-779.80455499999994</v>
      </c>
      <c r="IF43" s="922">
        <f t="shared" si="20"/>
        <v>1.6335035504556394E-2</v>
      </c>
      <c r="IG43" s="924">
        <f t="shared" ref="IG43:IH74" si="151">+IC43</f>
        <v>-780.18455500000005</v>
      </c>
      <c r="IH43" s="924">
        <f t="shared" si="151"/>
        <v>-814.92983835106099</v>
      </c>
      <c r="II43" s="145"/>
      <c r="IJ43" s="927">
        <f t="shared" si="130"/>
        <v>0.9573640800521368</v>
      </c>
      <c r="IK43" s="928">
        <f t="shared" si="131"/>
        <v>34.745283351060948</v>
      </c>
      <c r="IM43" s="76">
        <f t="shared" si="132"/>
        <v>-0.11998069219512171</v>
      </c>
      <c r="IN43" s="927">
        <f t="shared" si="133"/>
        <v>-0.11541384117063065</v>
      </c>
      <c r="IP43" s="927">
        <f t="shared" ref="IP43:IU58" si="152">+IFERROR(HW43/HV43-1,"")</f>
        <v>7.1355134481848381E-2</v>
      </c>
      <c r="IQ43" s="927">
        <f t="shared" si="152"/>
        <v>0.37552085203438113</v>
      </c>
      <c r="IR43" s="927">
        <f t="shared" si="152"/>
        <v>-0.5364306143098605</v>
      </c>
      <c r="IS43" s="927">
        <f t="shared" si="152"/>
        <v>-0.42163111727166314</v>
      </c>
      <c r="IT43" s="927">
        <f t="shared" si="152"/>
        <v>0.14839989365642214</v>
      </c>
      <c r="IU43" s="927">
        <f t="shared" si="152"/>
        <v>5.6118596910548435E-2</v>
      </c>
      <c r="IV43" s="927">
        <f t="shared" ref="IV43:IV58" si="153">+IFERROR(IE43/IB43-1,"")</f>
        <v>1.584001504943866E-2</v>
      </c>
      <c r="IX43" s="924">
        <f t="shared" si="135"/>
        <v>-114.30350472000032</v>
      </c>
      <c r="IY43" s="924">
        <f t="shared" si="135"/>
        <v>-644.46870139999987</v>
      </c>
      <c r="IZ43" s="924">
        <f t="shared" si="135"/>
        <v>1266.3346976</v>
      </c>
      <c r="JA43" s="924">
        <f t="shared" si="135"/>
        <v>461.40506113000004</v>
      </c>
      <c r="JB43" s="924">
        <f t="shared" si="135"/>
        <v>-93.926514730000008</v>
      </c>
      <c r="JC43" s="924">
        <f t="shared" si="135"/>
        <v>-40.790080800000055</v>
      </c>
      <c r="JD43" s="924">
        <f t="shared" si="136"/>
        <v>-12.159509079999907</v>
      </c>
      <c r="JF43" s="76">
        <f t="shared" si="137"/>
        <v>-7.1852665790763881E-2</v>
      </c>
      <c r="JG43" s="76">
        <f t="shared" si="137"/>
        <v>-9.3945520308188507E-2</v>
      </c>
      <c r="JH43" s="76">
        <f t="shared" si="137"/>
        <v>-0.10557803313250594</v>
      </c>
      <c r="JI43" s="76">
        <f t="shared" si="137"/>
        <v>-0.25236792539703551</v>
      </c>
      <c r="JJ43" s="76">
        <f t="shared" si="137"/>
        <v>-0.54536023841950554</v>
      </c>
      <c r="JK43" s="76">
        <f t="shared" si="137"/>
        <v>-9.1182799220238073E-2</v>
      </c>
      <c r="JL43" s="76">
        <f t="shared" si="137"/>
        <v>-0.13741585279279447</v>
      </c>
      <c r="JM43" s="76">
        <f t="shared" si="138"/>
        <v>-0.11436286359321524</v>
      </c>
      <c r="JO43" s="924">
        <f t="shared" si="139"/>
        <v>-204.46819399999993</v>
      </c>
      <c r="JP43" s="924">
        <f t="shared" si="139"/>
        <v>-275.24349000000029</v>
      </c>
      <c r="JQ43" s="924">
        <f t="shared" si="139"/>
        <v>-274.55450743</v>
      </c>
      <c r="JR43" s="924">
        <f t="shared" si="139"/>
        <v>-452.27474258999996</v>
      </c>
      <c r="JS43" s="924">
        <f t="shared" si="139"/>
        <v>-157.20269387000002</v>
      </c>
      <c r="JT43" s="924">
        <f t="shared" si="140"/>
        <v>-101.90266431000001</v>
      </c>
      <c r="JU43" s="924">
        <f t="shared" si="141"/>
        <v>-120.71886388999999</v>
      </c>
      <c r="JV43" s="924">
        <f t="shared" si="141"/>
        <v>-129.58660573</v>
      </c>
      <c r="JW43" s="924">
        <f t="shared" si="142"/>
        <v>-122.435767</v>
      </c>
      <c r="JX43" s="924">
        <f t="shared" si="143"/>
        <v>-135.73830639184351</v>
      </c>
      <c r="JY43" s="924">
        <f t="shared" si="144"/>
        <v>-122.435767</v>
      </c>
      <c r="KB43" s="76">
        <f t="shared" si="145"/>
        <v>-2.5031748071508986E-3</v>
      </c>
      <c r="KC43" s="76">
        <f t="shared" si="145"/>
        <v>0.64730401559810935</v>
      </c>
      <c r="KD43" s="76">
        <f t="shared" si="145"/>
        <v>-0.65241770307631619</v>
      </c>
      <c r="KE43" s="76">
        <f t="shared" si="145"/>
        <v>-0.35177533029892472</v>
      </c>
      <c r="KF43" s="76">
        <f t="shared" si="145"/>
        <v>0.18464874993610447</v>
      </c>
      <c r="KG43" s="76">
        <f t="shared" si="145"/>
        <v>7.345779735038227E-2</v>
      </c>
      <c r="KH43" s="76">
        <f t="shared" si="146"/>
        <v>-5.5181927867600122E-2</v>
      </c>
      <c r="KJ43" s="924">
        <f t="shared" si="147"/>
        <v>0.68898257000029162</v>
      </c>
      <c r="KK43" s="924">
        <f t="shared" si="147"/>
        <v>-177.72023515999996</v>
      </c>
      <c r="KL43" s="924">
        <f t="shared" si="147"/>
        <v>295.07204871999994</v>
      </c>
      <c r="KM43" s="924">
        <f t="shared" si="147"/>
        <v>55.300029560000013</v>
      </c>
      <c r="KN43" s="924">
        <f t="shared" si="147"/>
        <v>-18.816199579999989</v>
      </c>
      <c r="KO43" s="924">
        <f t="shared" si="147"/>
        <v>-8.8677418400000079</v>
      </c>
      <c r="KP43" s="924">
        <f t="shared" si="148"/>
        <v>7.1508387300000038</v>
      </c>
      <c r="KR43" s="76">
        <f t="shared" si="149"/>
        <v>-6.3780244207391007E-2</v>
      </c>
      <c r="KS43" s="76">
        <f t="shared" si="149"/>
        <v>-8.1838649194741264E-2</v>
      </c>
      <c r="KT43" s="76">
        <f t="shared" si="149"/>
        <v>-0.10943078473615134</v>
      </c>
      <c r="KU43" s="76">
        <f t="shared" si="149"/>
        <v>-0.50552298611641311</v>
      </c>
      <c r="KV43" s="76">
        <f t="shared" si="149"/>
        <v>-0.50378376853288453</v>
      </c>
      <c r="KW43" s="76">
        <f t="shared" si="149"/>
        <v>-0.10049361458466553</v>
      </c>
      <c r="KX43" s="76">
        <f t="shared" si="149"/>
        <v>-0.13762655530333726</v>
      </c>
      <c r="KY43" s="76">
        <f t="shared" si="149"/>
        <v>-8.4690769662847068E-2</v>
      </c>
      <c r="KZ43" s="76">
        <f t="shared" si="46"/>
        <v>-0.33408107421112171</v>
      </c>
    </row>
    <row r="44" spans="1:312" outlineLevel="1">
      <c r="A44" s="950">
        <v>5205</v>
      </c>
      <c r="B44" s="70"/>
      <c r="C44" s="17" t="s">
        <v>78</v>
      </c>
      <c r="D44" s="31" t="s">
        <v>59</v>
      </c>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v>0</v>
      </c>
      <c r="AO44" s="102">
        <v>-27.9293376</v>
      </c>
      <c r="AP44" s="145">
        <v>-28.959084000000001</v>
      </c>
      <c r="AQ44" s="143">
        <v>-30.190349700000002</v>
      </c>
      <c r="AR44" s="220">
        <v>-28.954704210000003</v>
      </c>
      <c r="AS44" s="102">
        <v>-29.20787138</v>
      </c>
      <c r="AT44" s="102">
        <v>-41.99436086</v>
      </c>
      <c r="AU44" s="102">
        <v>-50.425836769999989</v>
      </c>
      <c r="AV44" s="102">
        <v>-14.682825650000002</v>
      </c>
      <c r="AW44" s="102">
        <v>-1.4570949999999989</v>
      </c>
      <c r="AX44" s="102">
        <v>-14.211681</v>
      </c>
      <c r="AY44" s="102">
        <v>-14.759790000000001</v>
      </c>
      <c r="AZ44" s="102">
        <v>-13.461343579999999</v>
      </c>
      <c r="BA44" s="102">
        <v>-12.210652</v>
      </c>
      <c r="BB44" s="102">
        <v>-14.62072</v>
      </c>
      <c r="BC44" s="102">
        <v>-12.46619183</v>
      </c>
      <c r="BD44" s="102">
        <v>-13.479913310000001</v>
      </c>
      <c r="BE44" s="102">
        <v>-13.49858742</v>
      </c>
      <c r="BF44" s="102">
        <v>-47.362880670000003</v>
      </c>
      <c r="BG44" s="102">
        <v>-6.7643054899999999</v>
      </c>
      <c r="BH44" s="102">
        <v>-6.77135131</v>
      </c>
      <c r="BI44" s="102">
        <v>-6.7782538800000003</v>
      </c>
      <c r="BJ44" s="102">
        <v>-6.8381731100000005</v>
      </c>
      <c r="BK44" s="102">
        <v>-6.0775537899999996</v>
      </c>
      <c r="BL44" s="102">
        <v>-8.4497401099999987</v>
      </c>
      <c r="BM44" s="102">
        <v>-9.2506679399999996</v>
      </c>
      <c r="BN44" s="102">
        <v>-9.4978858200000005</v>
      </c>
      <c r="BO44" s="102">
        <v>-9.1187136999999989</v>
      </c>
      <c r="BP44" s="102">
        <v>-9.1276955799999993</v>
      </c>
      <c r="BQ44" s="102">
        <v>-9.1366774600000014</v>
      </c>
      <c r="BR44" s="102">
        <v>-9.8732593400000006</v>
      </c>
      <c r="BS44" s="102">
        <v>-9.1546412200000002</v>
      </c>
      <c r="BT44" s="102">
        <v>-9.1636230899999997</v>
      </c>
      <c r="BU44" s="102">
        <v>-8.4042541800000006</v>
      </c>
      <c r="BV44" s="102">
        <v>-8.7973124600000006</v>
      </c>
      <c r="BW44" s="102">
        <v>-9.1905687399999998</v>
      </c>
      <c r="BX44" s="102">
        <v>-9.927150619999999</v>
      </c>
      <c r="BY44" s="102">
        <v>-8.7740896799999994</v>
      </c>
      <c r="BZ44" s="102">
        <v>-9.2603854800000001</v>
      </c>
      <c r="CA44" s="102">
        <v>-9.3187676999999987</v>
      </c>
      <c r="CB44" s="102">
        <v>-9.3277495800000008</v>
      </c>
      <c r="CC44" s="102">
        <v>-6.94377786</v>
      </c>
      <c r="CD44" s="102">
        <v>-13.934517289999999</v>
      </c>
      <c r="CE44" s="102">
        <v>-25.491852699999999</v>
      </c>
      <c r="CF44" s="102">
        <v>-31.838669739999997</v>
      </c>
      <c r="CG44" s="102">
        <v>-5.0855832000000003</v>
      </c>
      <c r="CH44" s="102">
        <v>-4.3611333300000004</v>
      </c>
      <c r="CI44" s="102">
        <v>-4.3661333300000003</v>
      </c>
      <c r="CJ44" s="102">
        <v>-4.3621333299999998</v>
      </c>
      <c r="CK44" s="102">
        <v>-4.4855</v>
      </c>
      <c r="CL44" s="102">
        <v>-4.1679148000000001</v>
      </c>
      <c r="CM44" s="102">
        <v>-4.5576264999999996</v>
      </c>
      <c r="CN44" s="102">
        <v>-4.2248735000000002</v>
      </c>
      <c r="CO44" s="102">
        <v>-4.3428804999999997</v>
      </c>
      <c r="CP44" s="102">
        <v>-4.5734279999999998</v>
      </c>
      <c r="CQ44" s="102">
        <v>-7.5786945000000001</v>
      </c>
      <c r="CR44" s="102">
        <v>-4.3586815000000003</v>
      </c>
      <c r="CS44" s="102">
        <v>-4.1888598400000001</v>
      </c>
      <c r="CT44" s="102">
        <v>-4.9499682300000005</v>
      </c>
      <c r="CU44" s="102">
        <v>-4.5734016200000003</v>
      </c>
      <c r="CV44" s="102">
        <v>-4.6130089999999999</v>
      </c>
      <c r="CW44" s="102">
        <v>-4.6117340000000002</v>
      </c>
      <c r="CX44" s="102">
        <v>-4.2292300000000003</v>
      </c>
      <c r="CY44" s="102">
        <v>-4.5577589999999999</v>
      </c>
      <c r="CZ44" s="102">
        <v>-4.2075250000000004</v>
      </c>
      <c r="DA44" s="102">
        <v>-2.8273869999999999</v>
      </c>
      <c r="DB44" s="102">
        <v>-4.0119210000000001</v>
      </c>
      <c r="DC44" s="102">
        <v>-7.6302820000000002</v>
      </c>
      <c r="DD44" s="102">
        <v>-3.629537</v>
      </c>
      <c r="DE44" s="102">
        <v>-4.0090500000000002</v>
      </c>
      <c r="DF44" s="102">
        <v>-4.0297150000000004</v>
      </c>
      <c r="DG44" s="102">
        <v>-4.5171137000000003</v>
      </c>
      <c r="DH44" s="102">
        <v>-6.7787964299999999</v>
      </c>
      <c r="DJ44" s="102">
        <v>-4.6117340000000002</v>
      </c>
      <c r="DK44" s="102">
        <v>-4.2292300000000003</v>
      </c>
      <c r="DL44" s="102">
        <v>-4.5577589999999999</v>
      </c>
      <c r="DM44" s="102">
        <v>-4.2075250000000004</v>
      </c>
      <c r="DN44" s="102">
        <v>-2.8273869999999999</v>
      </c>
      <c r="DO44" s="102">
        <v>-4.0119210000000001</v>
      </c>
      <c r="DP44" s="102">
        <v>-3.8617643999999998</v>
      </c>
      <c r="DQ44" s="102">
        <v>-3.8617643999999998</v>
      </c>
      <c r="DR44" s="102">
        <v>-3.8617643999999998</v>
      </c>
      <c r="DS44" s="102">
        <v>-3.8617643999999998</v>
      </c>
      <c r="DT44" s="102">
        <v>-3.8617643999999998</v>
      </c>
      <c r="DU44" s="102">
        <v>-3.8617643999999998</v>
      </c>
      <c r="DW44" s="102">
        <v>-30.290628571428574</v>
      </c>
      <c r="DX44" s="102">
        <v>-30.290628571428574</v>
      </c>
      <c r="DY44" s="102">
        <v>-31.331461828571427</v>
      </c>
      <c r="DZ44" s="102">
        <v>-31.331461828571427</v>
      </c>
      <c r="EA44" s="102">
        <v>-31.331461828571427</v>
      </c>
      <c r="EB44" s="102">
        <v>-31.331461828571427</v>
      </c>
      <c r="EC44" s="102">
        <v>-31.331461828571427</v>
      </c>
      <c r="ED44" s="102">
        <v>-31.331461828571427</v>
      </c>
      <c r="EE44" s="102">
        <v>-31.331461828571427</v>
      </c>
      <c r="EF44" s="102">
        <v>-31.331461828571427</v>
      </c>
      <c r="EG44" s="102">
        <v>-31.331461828571427</v>
      </c>
      <c r="EH44" s="102">
        <v>-51.245180228571428</v>
      </c>
      <c r="EI44" s="102">
        <v>-14.714134080000001</v>
      </c>
      <c r="EJ44" s="102">
        <v>-28.532200560000003</v>
      </c>
      <c r="EK44" s="102">
        <v>-7.3570670400000004</v>
      </c>
      <c r="EL44" s="102">
        <v>-7.3570670400000004</v>
      </c>
      <c r="EM44" s="102">
        <v>-7.3570670400000004</v>
      </c>
      <c r="EN44" s="102">
        <v>-7.3570670400000004</v>
      </c>
      <c r="EO44" s="102">
        <v>-7.3570670400000004</v>
      </c>
      <c r="EP44" s="102">
        <v>-7.3570670400000004</v>
      </c>
      <c r="EQ44" s="102">
        <v>-7.3570670400000004</v>
      </c>
      <c r="ER44" s="102">
        <v>-7.3570670400000004</v>
      </c>
      <c r="ES44" s="102">
        <v>-7.3570670400000004</v>
      </c>
      <c r="ET44" s="102">
        <v>-7.3570670399999996</v>
      </c>
      <c r="EU44" s="102">
        <v>-9.5921699999999994</v>
      </c>
      <c r="EV44" s="102">
        <v>-9.5921699999999994</v>
      </c>
      <c r="EW44" s="102">
        <v>-9.5921699999999994</v>
      </c>
      <c r="EX44" s="102">
        <v>-9.5921699999999994</v>
      </c>
      <c r="EY44" s="102">
        <v>-9.5921699999999994</v>
      </c>
      <c r="EZ44" s="102">
        <v>-9.5921699999999994</v>
      </c>
      <c r="FA44" s="102">
        <v>-9.5921699999999994</v>
      </c>
      <c r="FB44" s="102">
        <v>-9.5921699999999994</v>
      </c>
      <c r="FC44" s="102">
        <v>-9.5921699999999994</v>
      </c>
      <c r="FD44" s="102">
        <v>-9.5921699999999994</v>
      </c>
      <c r="FE44" s="102">
        <v>-9.5921699999999994</v>
      </c>
      <c r="FF44" s="102">
        <v>-9.5921699999999994</v>
      </c>
      <c r="FG44" s="102">
        <v>-4.6768917600000002</v>
      </c>
      <c r="FH44" s="102">
        <v>-4.6768917600000002</v>
      </c>
      <c r="FI44" s="102">
        <v>-4.6768917600000002</v>
      </c>
      <c r="FJ44" s="102">
        <v>-4.6768917600000002</v>
      </c>
      <c r="FK44" s="102">
        <v>-4.6768917600000002</v>
      </c>
      <c r="FL44" s="102">
        <v>-4.6768917600000002</v>
      </c>
      <c r="FM44" s="102">
        <v>-4.6768917600000002</v>
      </c>
      <c r="FN44" s="102">
        <v>-4.6768917600000002</v>
      </c>
      <c r="FO44" s="102">
        <v>-4.6768917600000002</v>
      </c>
      <c r="FP44" s="102">
        <v>-4.6768917600000002</v>
      </c>
      <c r="FQ44" s="102">
        <v>-4.6768917600000002</v>
      </c>
      <c r="FR44" s="102">
        <v>-4.6768917600000002</v>
      </c>
      <c r="FS44" s="102">
        <v>-4.6768917600000002</v>
      </c>
      <c r="FT44" s="102">
        <v>-4.6768917600000002</v>
      </c>
      <c r="FU44" s="102">
        <v>-4.6768917600000002</v>
      </c>
      <c r="FV44" s="102">
        <v>-4.6768917600000002</v>
      </c>
      <c r="FW44" s="102">
        <v>-4.6768917600000002</v>
      </c>
      <c r="FX44" s="102">
        <v>-4.6768917600000002</v>
      </c>
      <c r="FY44" s="102">
        <v>-4.6768917600000002</v>
      </c>
      <c r="FZ44" s="102">
        <v>-4.6768917600000002</v>
      </c>
      <c r="GA44" s="102">
        <v>-4.6768917600000002</v>
      </c>
      <c r="GB44" s="102">
        <v>-4.6768917600000002</v>
      </c>
      <c r="GC44" s="102">
        <v>-4.6768917600000002</v>
      </c>
      <c r="GD44" s="102">
        <v>-4.6768917600000002</v>
      </c>
      <c r="GF44" s="102">
        <f t="shared" si="120"/>
        <v>0</v>
      </c>
      <c r="GG44" s="102">
        <f t="shared" si="120"/>
        <v>0</v>
      </c>
      <c r="GH44" s="102">
        <f t="shared" si="120"/>
        <v>0</v>
      </c>
      <c r="GI44" s="102">
        <f t="shared" si="120"/>
        <v>-296.23427975000004</v>
      </c>
      <c r="GJ44" s="102">
        <f t="shared" si="150"/>
        <v>-155.31832292000001</v>
      </c>
      <c r="GK44" s="102">
        <f t="shared" si="37"/>
        <v>-110.64245015</v>
      </c>
      <c r="GL44" s="102">
        <f t="shared" si="38"/>
        <v>-133.06479322000001</v>
      </c>
      <c r="GM44" s="102">
        <f t="shared" si="121"/>
        <v>-56.614837989999998</v>
      </c>
      <c r="GN44" s="102">
        <f t="shared" si="7"/>
        <v>-56.122701120000016</v>
      </c>
      <c r="GO44" s="102">
        <v>-55.040050130000012</v>
      </c>
      <c r="GQ44" s="929" t="str">
        <f t="shared" si="122"/>
        <v/>
      </c>
      <c r="GR44" s="929" t="str">
        <f t="shared" si="122"/>
        <v/>
      </c>
      <c r="GS44" s="929">
        <f t="shared" si="122"/>
        <v>-0.47569091919045536</v>
      </c>
      <c r="GT44" s="929">
        <f t="shared" si="122"/>
        <v>-0.28764071057483198</v>
      </c>
      <c r="GU44" s="929">
        <f t="shared" si="122"/>
        <v>0.20265587972429766</v>
      </c>
      <c r="GV44" s="929">
        <f t="shared" si="122"/>
        <v>-0.57453180048612118</v>
      </c>
      <c r="GW44" s="929">
        <f t="shared" si="92"/>
        <v>-8.6927188608559858E-3</v>
      </c>
      <c r="GX44" s="929">
        <f t="shared" si="92"/>
        <v>-1.9290785518058184E-2</v>
      </c>
      <c r="GY44" s="929">
        <f t="shared" si="9"/>
        <v>-2.7815815003800703E-2</v>
      </c>
      <c r="HA44" s="102">
        <f t="shared" si="123"/>
        <v>0</v>
      </c>
      <c r="HB44" s="102">
        <f t="shared" si="123"/>
        <v>-296.23427975000004</v>
      </c>
      <c r="HC44" s="102">
        <f t="shared" si="123"/>
        <v>140.91595683000003</v>
      </c>
      <c r="HD44" s="102">
        <f t="shared" si="99"/>
        <v>44.675872770000012</v>
      </c>
      <c r="HE44" s="102">
        <f t="shared" si="93"/>
        <v>-22.422343070000011</v>
      </c>
      <c r="HF44" s="102">
        <f t="shared" si="93"/>
        <v>76.449955230000015</v>
      </c>
      <c r="HG44" s="102">
        <f t="shared" si="93"/>
        <v>0.49213686999998174</v>
      </c>
      <c r="HH44" s="102">
        <f t="shared" si="93"/>
        <v>1.0826509900000048</v>
      </c>
      <c r="HI44" s="102">
        <f t="shared" si="11"/>
        <v>1.5747878599999865</v>
      </c>
      <c r="HK44" s="32">
        <f t="shared" si="124"/>
        <v>0</v>
      </c>
      <c r="HL44" s="32">
        <f t="shared" si="124"/>
        <v>0</v>
      </c>
      <c r="HM44" s="32">
        <f t="shared" si="124"/>
        <v>-1.7577765964747902E-2</v>
      </c>
      <c r="HN44" s="32">
        <f t="shared" si="124"/>
        <v>-2.5246691537173384E-2</v>
      </c>
      <c r="HO44" s="32">
        <f t="shared" si="124"/>
        <v>-8.1182737069273991E-3</v>
      </c>
      <c r="HP44" s="32">
        <f t="shared" si="124"/>
        <v>-9.4035175402723027E-3</v>
      </c>
      <c r="HQ44" s="32">
        <f t="shared" si="124"/>
        <v>-2.6668190703888943E-3</v>
      </c>
      <c r="HR44" s="32">
        <f t="shared" si="124"/>
        <v>-3.5673558561392016E-3</v>
      </c>
      <c r="HS44" s="32">
        <f t="shared" si="124"/>
        <v>-4.361374164996182E-3</v>
      </c>
      <c r="HU44" s="102">
        <f t="shared" si="125"/>
        <v>0</v>
      </c>
      <c r="HV44" s="102">
        <f t="shared" si="125"/>
        <v>0</v>
      </c>
      <c r="HW44" s="102">
        <f t="shared" si="125"/>
        <v>0</v>
      </c>
      <c r="HX44" s="102">
        <f t="shared" si="125"/>
        <v>-187.23570774999999</v>
      </c>
      <c r="HY44" s="102">
        <f t="shared" si="125"/>
        <v>-113.63894523000002</v>
      </c>
      <c r="HZ44" s="102">
        <f t="shared" si="125"/>
        <v>-56.004899840000007</v>
      </c>
      <c r="IA44" s="102">
        <f t="shared" si="126"/>
        <v>-57.559287589999997</v>
      </c>
      <c r="IB44" s="102">
        <f t="shared" si="127"/>
        <v>-26.352223299999999</v>
      </c>
      <c r="IC44" s="102">
        <f t="shared" si="128"/>
        <v>-24.445556000000003</v>
      </c>
      <c r="ID44" s="102">
        <f t="shared" si="18"/>
        <v>-28.061350560000001</v>
      </c>
      <c r="IE44" s="102">
        <f t="shared" si="129"/>
        <v>-24.445556000000003</v>
      </c>
      <c r="IF44" s="922">
        <f t="shared" si="20"/>
        <v>-7.2353185471071613E-2</v>
      </c>
      <c r="IG44" s="102">
        <f t="shared" si="151"/>
        <v>-24.445556000000003</v>
      </c>
      <c r="IH44" s="102">
        <f t="shared" si="151"/>
        <v>-28.061350560000001</v>
      </c>
      <c r="II44" s="145"/>
      <c r="IJ44" s="929">
        <f t="shared" si="130"/>
        <v>0.87114680912207676</v>
      </c>
      <c r="IK44" s="930">
        <f t="shared" si="131"/>
        <v>3.6157945599999977</v>
      </c>
      <c r="IM44" s="32">
        <f t="shared" si="132"/>
        <v>-3.7593601554629739E-3</v>
      </c>
      <c r="IN44" s="929">
        <f t="shared" si="133"/>
        <v>-3.9741682095214342E-3</v>
      </c>
      <c r="IP44" s="929" t="str">
        <f t="shared" si="152"/>
        <v/>
      </c>
      <c r="IQ44" s="929" t="str">
        <f t="shared" si="152"/>
        <v/>
      </c>
      <c r="IR44" s="929">
        <f t="shared" si="152"/>
        <v>-0.39307012217064652</v>
      </c>
      <c r="IS44" s="929">
        <f t="shared" si="152"/>
        <v>-0.50716807757544169</v>
      </c>
      <c r="IT44" s="929">
        <f t="shared" si="152"/>
        <v>2.77544956680702E-2</v>
      </c>
      <c r="IU44" s="929">
        <f t="shared" si="152"/>
        <v>-0.54217252500223312</v>
      </c>
      <c r="IV44" s="929">
        <f t="shared" si="153"/>
        <v>-7.2353185471071613E-2</v>
      </c>
      <c r="IX44" s="102">
        <f t="shared" si="135"/>
        <v>0</v>
      </c>
      <c r="IY44" s="102">
        <f t="shared" si="135"/>
        <v>-187.23570774999999</v>
      </c>
      <c r="IZ44" s="102">
        <f t="shared" si="135"/>
        <v>73.59676251999997</v>
      </c>
      <c r="JA44" s="102">
        <f t="shared" si="135"/>
        <v>57.634045390000011</v>
      </c>
      <c r="JB44" s="102">
        <f t="shared" si="135"/>
        <v>-1.5543877499999894</v>
      </c>
      <c r="JC44" s="102">
        <f t="shared" si="135"/>
        <v>31.207064289999998</v>
      </c>
      <c r="JD44" s="102">
        <f t="shared" si="136"/>
        <v>1.9066672999999952</v>
      </c>
      <c r="JF44" s="32">
        <f t="shared" si="137"/>
        <v>0</v>
      </c>
      <c r="JG44" s="32">
        <f t="shared" si="137"/>
        <v>0</v>
      </c>
      <c r="JH44" s="32">
        <f t="shared" si="137"/>
        <v>0</v>
      </c>
      <c r="JI44" s="32">
        <f t="shared" si="137"/>
        <v>-2.0016488103903281E-2</v>
      </c>
      <c r="JJ44" s="32">
        <f t="shared" si="137"/>
        <v>-5.6631878318606443E-2</v>
      </c>
      <c r="JK44" s="32">
        <f t="shared" si="137"/>
        <v>-8.0683425343158616E-3</v>
      </c>
      <c r="JL44" s="32">
        <f t="shared" si="137"/>
        <v>-1.0881893871385653E-2</v>
      </c>
      <c r="JM44" s="32">
        <f t="shared" si="138"/>
        <v>-3.5850826573952301E-3</v>
      </c>
      <c r="JO44" s="102">
        <f t="shared" si="139"/>
        <v>0</v>
      </c>
      <c r="JP44" s="102">
        <f t="shared" si="139"/>
        <v>0</v>
      </c>
      <c r="JQ44" s="102">
        <f t="shared" si="139"/>
        <v>0</v>
      </c>
      <c r="JR44" s="102">
        <f t="shared" si="139"/>
        <v>-41.99436086</v>
      </c>
      <c r="JS44" s="102">
        <f t="shared" si="139"/>
        <v>-47.362880670000003</v>
      </c>
      <c r="JT44" s="102">
        <f t="shared" si="140"/>
        <v>-9.8732593400000006</v>
      </c>
      <c r="JU44" s="102">
        <f t="shared" si="141"/>
        <v>-13.934517289999999</v>
      </c>
      <c r="JV44" s="102">
        <f t="shared" si="141"/>
        <v>-4.5734279999999998</v>
      </c>
      <c r="JW44" s="102">
        <f t="shared" si="142"/>
        <v>-4.0119210000000001</v>
      </c>
      <c r="JX44" s="102">
        <f t="shared" si="143"/>
        <v>-4.6768917600000002</v>
      </c>
      <c r="JY44" s="102">
        <f t="shared" si="144"/>
        <v>-4.0119210000000001</v>
      </c>
      <c r="KB44" s="32" t="str">
        <f t="shared" si="145"/>
        <v xml:space="preserve"> </v>
      </c>
      <c r="KC44" s="32" t="str">
        <f t="shared" si="145"/>
        <v xml:space="preserve"> </v>
      </c>
      <c r="KD44" s="32">
        <f t="shared" si="145"/>
        <v>0.12783906458053917</v>
      </c>
      <c r="KE44" s="32">
        <f t="shared" si="145"/>
        <v>-0.7915401428221448</v>
      </c>
      <c r="KF44" s="32">
        <f t="shared" si="145"/>
        <v>0.41133913433696945</v>
      </c>
      <c r="KG44" s="32">
        <f t="shared" si="145"/>
        <v>-0.67179142952572279</v>
      </c>
      <c r="KH44" s="32">
        <f t="shared" si="146"/>
        <v>-0.1227759571157564</v>
      </c>
      <c r="KJ44" s="102">
        <f t="shared" si="147"/>
        <v>0</v>
      </c>
      <c r="KK44" s="102">
        <f t="shared" si="147"/>
        <v>-41.99436086</v>
      </c>
      <c r="KL44" s="102">
        <f t="shared" si="147"/>
        <v>-5.3685198100000022</v>
      </c>
      <c r="KM44" s="102">
        <f t="shared" si="147"/>
        <v>37.489621330000006</v>
      </c>
      <c r="KN44" s="102">
        <f t="shared" si="147"/>
        <v>-4.0612579499999981</v>
      </c>
      <c r="KO44" s="102">
        <f t="shared" si="147"/>
        <v>9.3610892899999989</v>
      </c>
      <c r="KP44" s="102">
        <f t="shared" si="148"/>
        <v>0.56150699999999976</v>
      </c>
      <c r="KR44" s="32">
        <f t="shared" si="149"/>
        <v>0</v>
      </c>
      <c r="KS44" s="32">
        <f t="shared" si="149"/>
        <v>0</v>
      </c>
      <c r="KT44" s="32">
        <f t="shared" si="149"/>
        <v>0</v>
      </c>
      <c r="KU44" s="32">
        <f t="shared" si="149"/>
        <v>-4.6938536917685507E-2</v>
      </c>
      <c r="KV44" s="32">
        <f t="shared" si="149"/>
        <v>-0.15178270756757933</v>
      </c>
      <c r="KW44" s="32">
        <f t="shared" si="149"/>
        <v>-9.7367377538826703E-3</v>
      </c>
      <c r="KX44" s="32">
        <f t="shared" si="149"/>
        <v>-1.5886163542633835E-2</v>
      </c>
      <c r="KY44" s="32">
        <f t="shared" si="149"/>
        <v>-2.9889442287317123E-3</v>
      </c>
      <c r="KZ44" s="32">
        <f t="shared" si="46"/>
        <v>-1.0947020712747751E-2</v>
      </c>
    </row>
    <row r="45" spans="1:312" outlineLevel="1">
      <c r="A45" s="884">
        <v>5135</v>
      </c>
      <c r="B45" s="70" t="s">
        <v>635</v>
      </c>
      <c r="C45" s="17" t="s">
        <v>80</v>
      </c>
      <c r="D45" s="31" t="s">
        <v>59</v>
      </c>
      <c r="E45" s="102">
        <v>-6.3734409800000007</v>
      </c>
      <c r="F45" s="102">
        <v>-5.4346372099999991</v>
      </c>
      <c r="G45" s="102">
        <v>-5.3226462500000018</v>
      </c>
      <c r="H45" s="102">
        <v>-13.090886319999999</v>
      </c>
      <c r="I45" s="102">
        <v>-10.626666940000003</v>
      </c>
      <c r="J45" s="102">
        <v>-6.7378316499999968</v>
      </c>
      <c r="K45" s="102">
        <v>-9.1259326599999966</v>
      </c>
      <c r="L45" s="102">
        <v>-5.9496140600000018</v>
      </c>
      <c r="M45" s="102">
        <v>-2.2660729999999987</v>
      </c>
      <c r="N45" s="102">
        <v>-3.3785982299999944</v>
      </c>
      <c r="O45" s="102">
        <v>-7.2536093500000192</v>
      </c>
      <c r="P45" s="102">
        <v>-278.92918399999996</v>
      </c>
      <c r="Q45" s="102">
        <v>-6.6925238400000007</v>
      </c>
      <c r="R45" s="102">
        <v>-1.9136200000000008</v>
      </c>
      <c r="S45" s="102">
        <v>-12.852057769999998</v>
      </c>
      <c r="T45" s="102">
        <v>-8.4812461400000032</v>
      </c>
      <c r="U45" s="102">
        <v>-7.0823823499999996</v>
      </c>
      <c r="V45" s="102">
        <v>-9.8975508599999955</v>
      </c>
      <c r="W45" s="102">
        <v>-5.7674937600000078</v>
      </c>
      <c r="X45" s="102">
        <v>-8.3301023999999941</v>
      </c>
      <c r="Y45" s="102">
        <v>-9.7305952799999957</v>
      </c>
      <c r="Z45" s="102">
        <v>-12.981361620000001</v>
      </c>
      <c r="AA45" s="102">
        <v>-11.049780919999989</v>
      </c>
      <c r="AB45" s="102">
        <v>-8.2511167300000068</v>
      </c>
      <c r="AC45" s="102">
        <v>-15.654606950000002</v>
      </c>
      <c r="AD45" s="102">
        <v>-14.737321959999999</v>
      </c>
      <c r="AE45" s="102">
        <v>-11.42070376</v>
      </c>
      <c r="AF45" s="102">
        <v>-12.646384130000001</v>
      </c>
      <c r="AG45" s="102">
        <v>-16.105182400000004</v>
      </c>
      <c r="AH45" s="102">
        <v>-13.966752070000002</v>
      </c>
      <c r="AI45" s="102">
        <v>-17.663338809999999</v>
      </c>
      <c r="AJ45" s="102">
        <v>-17.953574629999999</v>
      </c>
      <c r="AK45" s="102">
        <v>-14.142593820000002</v>
      </c>
      <c r="AL45" s="102">
        <v>-17.290784210000002</v>
      </c>
      <c r="AM45" s="102">
        <v>-32.765974870000001</v>
      </c>
      <c r="AN45" s="102">
        <v>-63.006771240000006</v>
      </c>
      <c r="AO45" s="102">
        <v>-14.534088840000003</v>
      </c>
      <c r="AP45" s="145">
        <v>-38.333303589999993</v>
      </c>
      <c r="AQ45" s="143">
        <v>-31.06213726</v>
      </c>
      <c r="AR45" s="220">
        <v>-20.445145500000002</v>
      </c>
      <c r="AS45" s="102">
        <v>-24.548601340000001</v>
      </c>
      <c r="AT45" s="102">
        <v>-27.318914059999997</v>
      </c>
      <c r="AU45" s="102">
        <v>-54.16543102</v>
      </c>
      <c r="AV45" s="102">
        <v>-55.292079599999994</v>
      </c>
      <c r="AW45" s="102">
        <v>-45.024177020000003</v>
      </c>
      <c r="AX45" s="102">
        <v>-37.89686373</v>
      </c>
      <c r="AY45" s="102">
        <v>-42.721822640000006</v>
      </c>
      <c r="AZ45" s="102">
        <v>-69.889616709999999</v>
      </c>
      <c r="BA45" s="102">
        <v>-15.307495049999996</v>
      </c>
      <c r="BB45" s="102">
        <v>-36.733885049999998</v>
      </c>
      <c r="BC45" s="102">
        <v>-57.053345929999999</v>
      </c>
      <c r="BD45" s="102">
        <v>-32.862673890000003</v>
      </c>
      <c r="BE45" s="102">
        <v>-24.870735</v>
      </c>
      <c r="BF45" s="102">
        <v>-21.372524810000002</v>
      </c>
      <c r="BG45" s="102">
        <v>-18.679084639999999</v>
      </c>
      <c r="BH45" s="102">
        <v>-20.5596085</v>
      </c>
      <c r="BI45" s="102">
        <v>-20.10939746</v>
      </c>
      <c r="BJ45" s="102">
        <v>-19.639894200000001</v>
      </c>
      <c r="BK45" s="102">
        <v>-17.060690000000001</v>
      </c>
      <c r="BL45" s="102">
        <v>-27.086843760000001</v>
      </c>
      <c r="BM45" s="102">
        <v>-23.899735</v>
      </c>
      <c r="BN45" s="102">
        <v>-24.71852376</v>
      </c>
      <c r="BO45" s="102">
        <v>-25.683690239999997</v>
      </c>
      <c r="BP45" s="102">
        <v>-29.633599499999999</v>
      </c>
      <c r="BQ45" s="102">
        <v>-20.339629500000001</v>
      </c>
      <c r="BR45" s="102">
        <v>-22.984565</v>
      </c>
      <c r="BS45" s="102">
        <v>-21.501664999999999</v>
      </c>
      <c r="BT45" s="102">
        <v>-21.805524899999998</v>
      </c>
      <c r="BU45" s="102">
        <v>-21.419067999999999</v>
      </c>
      <c r="BV45" s="102">
        <v>-21.074318999999999</v>
      </c>
      <c r="BW45" s="102">
        <v>-23.95701863</v>
      </c>
      <c r="BX45" s="102">
        <v>-28.083355000000001</v>
      </c>
      <c r="BY45" s="102">
        <v>-27.126498000000002</v>
      </c>
      <c r="BZ45" s="102">
        <v>-21.670576000000001</v>
      </c>
      <c r="CA45" s="102">
        <v>-23.778203000000001</v>
      </c>
      <c r="CB45" s="102">
        <v>-25.288751420000001</v>
      </c>
      <c r="CC45" s="102">
        <v>-25.042314000000001</v>
      </c>
      <c r="CD45" s="102">
        <v>-24.045763999999998</v>
      </c>
      <c r="CE45" s="102">
        <v>-26.294316999999999</v>
      </c>
      <c r="CF45" s="102">
        <v>-33.828949000000001</v>
      </c>
      <c r="CG45" s="102">
        <v>-23.707954000000001</v>
      </c>
      <c r="CH45" s="102">
        <v>-26.843344999999999</v>
      </c>
      <c r="CI45" s="102">
        <v>-24.366346</v>
      </c>
      <c r="CJ45" s="102">
        <v>-28.36800083</v>
      </c>
      <c r="CK45" s="102">
        <v>-27.598280800000001</v>
      </c>
      <c r="CL45" s="102">
        <v>-27.979718999999999</v>
      </c>
      <c r="CM45" s="102">
        <v>-27.426297000000002</v>
      </c>
      <c r="CN45" s="102">
        <v>-26.971435</v>
      </c>
      <c r="CO45" s="102">
        <v>-25.090758000000001</v>
      </c>
      <c r="CP45" s="102">
        <v>-27.166722760000003</v>
      </c>
      <c r="CQ45" s="102">
        <v>-29.441719299999999</v>
      </c>
      <c r="CR45" s="102">
        <v>-25.135736999999999</v>
      </c>
      <c r="CS45" s="102">
        <v>-26.061020619999997</v>
      </c>
      <c r="CT45" s="102">
        <v>-30.809576</v>
      </c>
      <c r="CU45" s="102">
        <v>-33.697346000000003</v>
      </c>
      <c r="CV45" s="102">
        <v>-45.896783999999997</v>
      </c>
      <c r="CW45" s="102">
        <v>-31.651172020000001</v>
      </c>
      <c r="CX45" s="102">
        <v>-26.206067000000001</v>
      </c>
      <c r="CY45" s="102">
        <v>-26.797666</v>
      </c>
      <c r="CZ45" s="102">
        <v>-15.818584</v>
      </c>
      <c r="DA45" s="102">
        <v>-17.210232999999999</v>
      </c>
      <c r="DB45" s="102">
        <v>-17.164567000000002</v>
      </c>
      <c r="DC45" s="102">
        <v>-17.468017</v>
      </c>
      <c r="DD45" s="102">
        <v>-19.24906</v>
      </c>
      <c r="DE45" s="102">
        <v>-18.524215000000002</v>
      </c>
      <c r="DF45" s="102">
        <v>-16.967013999999999</v>
      </c>
      <c r="DG45" s="102">
        <v>-18.42296275</v>
      </c>
      <c r="DH45" s="102">
        <v>-20.644069940000001</v>
      </c>
      <c r="DJ45" s="102">
        <v>-31.651172020000001</v>
      </c>
      <c r="DK45" s="102">
        <v>-26.206067000000001</v>
      </c>
      <c r="DL45" s="102">
        <v>-26.797666</v>
      </c>
      <c r="DM45" s="102">
        <v>-15.818584</v>
      </c>
      <c r="DN45" s="102">
        <v>-17.210232999999999</v>
      </c>
      <c r="DO45" s="102">
        <v>-17.164567000000002</v>
      </c>
      <c r="DP45" s="102">
        <v>-31.492032999999999</v>
      </c>
      <c r="DQ45" s="102">
        <v>-26.592033000000001</v>
      </c>
      <c r="DR45" s="102">
        <v>-26.692032999999999</v>
      </c>
      <c r="DS45" s="102">
        <v>-26.592033000000001</v>
      </c>
      <c r="DT45" s="102">
        <v>-26.592033000000001</v>
      </c>
      <c r="DU45" s="102">
        <v>-26.642033000000001</v>
      </c>
      <c r="DW45" s="102">
        <v>-23.913616999999999</v>
      </c>
      <c r="DX45" s="102">
        <v>-25.068617</v>
      </c>
      <c r="DY45" s="102">
        <v>-25.068617</v>
      </c>
      <c r="DZ45" s="102">
        <v>-23.417110000000001</v>
      </c>
      <c r="EA45" s="102">
        <v>-23.601610000000001</v>
      </c>
      <c r="EB45" s="102">
        <v>-23.701609999999999</v>
      </c>
      <c r="EC45" s="102">
        <v>-23.30161</v>
      </c>
      <c r="ED45" s="102">
        <v>-23.30161</v>
      </c>
      <c r="EE45" s="102">
        <v>-23.30161</v>
      </c>
      <c r="EF45" s="102">
        <v>-23.701609999999999</v>
      </c>
      <c r="EG45" s="102">
        <v>-23.30161</v>
      </c>
      <c r="EH45" s="102">
        <v>-22.44661</v>
      </c>
      <c r="EI45" s="102">
        <v>-43.012424799999998</v>
      </c>
      <c r="EJ45" s="102">
        <v>-45.979703999999998</v>
      </c>
      <c r="EK45" s="102">
        <v>-43.518424799999998</v>
      </c>
      <c r="EL45" s="102">
        <v>-41.644503999999998</v>
      </c>
      <c r="EM45" s="102">
        <v>-41.918424799999997</v>
      </c>
      <c r="EN45" s="102">
        <v>-42.715424799999994</v>
      </c>
      <c r="EO45" s="102">
        <v>-45.593624799999994</v>
      </c>
      <c r="EP45" s="102">
        <v>-41.894503999999998</v>
      </c>
      <c r="EQ45" s="102">
        <v>-45.353624799999999</v>
      </c>
      <c r="ER45" s="102">
        <v>-41.894503999999998</v>
      </c>
      <c r="ES45" s="102">
        <v>-41.918424799999997</v>
      </c>
      <c r="ET45" s="102">
        <v>-43.168424799999997</v>
      </c>
      <c r="EU45" s="102">
        <v>-30.733167999999999</v>
      </c>
      <c r="EV45" s="102">
        <v>-24.733167999999999</v>
      </c>
      <c r="EW45" s="102">
        <v>-24.733167999999999</v>
      </c>
      <c r="EX45" s="102">
        <v>-25.133168000000001</v>
      </c>
      <c r="EY45" s="102">
        <v>-25.133168000000001</v>
      </c>
      <c r="EZ45" s="102">
        <v>-32.292478000000003</v>
      </c>
      <c r="FA45" s="102">
        <v>-24.733167999999999</v>
      </c>
      <c r="FB45" s="102">
        <v>-24.733167999999999</v>
      </c>
      <c r="FC45" s="102">
        <v>-26.724478000000001</v>
      </c>
      <c r="FD45" s="102">
        <v>-25.133168000000001</v>
      </c>
      <c r="FE45" s="102">
        <v>-24.733167999999999</v>
      </c>
      <c r="FF45" s="102">
        <v>-24.733167999999999</v>
      </c>
      <c r="FG45" s="102">
        <v>-26.957498000000001</v>
      </c>
      <c r="FH45" s="102">
        <v>-25.457498000000001</v>
      </c>
      <c r="FI45" s="102">
        <v>-27.537497999999999</v>
      </c>
      <c r="FJ45" s="102">
        <v>-25.457498000000001</v>
      </c>
      <c r="FK45" s="102">
        <v>-26.957498000000001</v>
      </c>
      <c r="FL45" s="102">
        <v>-25.537497999999999</v>
      </c>
      <c r="FM45" s="102">
        <v>-27.411314999999998</v>
      </c>
      <c r="FN45" s="102">
        <v>-25.457498000000001</v>
      </c>
      <c r="FO45" s="102">
        <v>-27.987497999999999</v>
      </c>
      <c r="FP45" s="102">
        <v>-25.457498000000001</v>
      </c>
      <c r="FQ45" s="102">
        <v>-26.957498000000001</v>
      </c>
      <c r="FR45" s="102">
        <v>-25.537497999999999</v>
      </c>
      <c r="FS45" s="102">
        <v>-26.957498000000001</v>
      </c>
      <c r="FT45" s="102">
        <v>-25.457498000000001</v>
      </c>
      <c r="FU45" s="102">
        <v>-27.537497999999999</v>
      </c>
      <c r="FV45" s="102">
        <v>-25.457498000000001</v>
      </c>
      <c r="FW45" s="102">
        <v>-26.957498000000001</v>
      </c>
      <c r="FX45" s="102">
        <v>-25.537497999999999</v>
      </c>
      <c r="FY45" s="102">
        <v>-27.411314999999998</v>
      </c>
      <c r="FZ45" s="102">
        <v>-25.457498000000001</v>
      </c>
      <c r="GA45" s="102">
        <v>-27.987497999999999</v>
      </c>
      <c r="GB45" s="102">
        <v>-25.457498000000001</v>
      </c>
      <c r="GC45" s="102">
        <v>-26.957498000000001</v>
      </c>
      <c r="GD45" s="102">
        <v>-25.537497999999999</v>
      </c>
      <c r="GF45" s="102">
        <f t="shared" si="120"/>
        <v>-354.48912064999996</v>
      </c>
      <c r="GG45" s="102">
        <f t="shared" si="120"/>
        <v>-103.02983166999999</v>
      </c>
      <c r="GH45" s="102">
        <f t="shared" si="120"/>
        <v>-247.35398885000001</v>
      </c>
      <c r="GI45" s="102">
        <f t="shared" si="120"/>
        <v>-461.23218131000004</v>
      </c>
      <c r="GJ45" s="102">
        <f t="shared" si="150"/>
        <v>-311.33617829000002</v>
      </c>
      <c r="GK45" s="102">
        <f t="shared" si="37"/>
        <v>-285.10069353</v>
      </c>
      <c r="GL45" s="102">
        <f t="shared" si="38"/>
        <v>-310.36101825000003</v>
      </c>
      <c r="GM45" s="102">
        <f t="shared" si="121"/>
        <v>-353.27539547999993</v>
      </c>
      <c r="GN45" s="102">
        <f t="shared" si="7"/>
        <v>-316.71379300000001</v>
      </c>
      <c r="GO45" s="102">
        <v>-246.12362771000002</v>
      </c>
      <c r="GQ45" s="929">
        <f t="shared" si="122"/>
        <v>1.4007996988897733</v>
      </c>
      <c r="GR45" s="929">
        <f t="shared" si="122"/>
        <v>0.86466441658921322</v>
      </c>
      <c r="GS45" s="929">
        <f t="shared" si="122"/>
        <v>-0.32499033912651687</v>
      </c>
      <c r="GT45" s="929">
        <f t="shared" si="122"/>
        <v>-8.4267382300692639E-2</v>
      </c>
      <c r="GU45" s="929">
        <f t="shared" si="122"/>
        <v>8.8601414494075881E-2</v>
      </c>
      <c r="GV45" s="929">
        <f t="shared" si="122"/>
        <v>0.13827244630133206</v>
      </c>
      <c r="GW45" s="929">
        <f t="shared" si="92"/>
        <v>-0.10349320373790305</v>
      </c>
      <c r="GX45" s="929">
        <f t="shared" si="92"/>
        <v>-0.22288314197291681</v>
      </c>
      <c r="GY45" s="929">
        <f t="shared" si="9"/>
        <v>-0.30330945528887288</v>
      </c>
      <c r="HA45" s="102">
        <f t="shared" si="123"/>
        <v>-144.32415718000001</v>
      </c>
      <c r="HB45" s="102">
        <f t="shared" si="123"/>
        <v>-213.87819246000004</v>
      </c>
      <c r="HC45" s="102">
        <f t="shared" si="123"/>
        <v>149.89600302000002</v>
      </c>
      <c r="HD45" s="102">
        <f t="shared" si="99"/>
        <v>26.23548476000002</v>
      </c>
      <c r="HE45" s="102">
        <f t="shared" si="93"/>
        <v>-25.260324720000028</v>
      </c>
      <c r="HF45" s="102">
        <f t="shared" si="93"/>
        <v>-42.9143772299999</v>
      </c>
      <c r="HG45" s="102">
        <f t="shared" si="93"/>
        <v>36.56160247999992</v>
      </c>
      <c r="HH45" s="102">
        <f t="shared" si="93"/>
        <v>70.590165289999987</v>
      </c>
      <c r="HI45" s="102">
        <f t="shared" si="11"/>
        <v>107.15176776999991</v>
      </c>
      <c r="HK45" s="32">
        <f t="shared" si="124"/>
        <v>-2.803130087092954E-3</v>
      </c>
      <c r="HL45" s="32">
        <f t="shared" si="124"/>
        <v>-6.2807329486814579E-3</v>
      </c>
      <c r="HM45" s="32">
        <f t="shared" si="124"/>
        <v>-2.736830911439226E-2</v>
      </c>
      <c r="HN45" s="32">
        <f t="shared" si="124"/>
        <v>-5.0607090714587577E-2</v>
      </c>
      <c r="HO45" s="32">
        <f t="shared" si="124"/>
        <v>-2.0918964294206432E-2</v>
      </c>
      <c r="HP45" s="32">
        <f t="shared" si="124"/>
        <v>-2.1932813393437799E-2</v>
      </c>
      <c r="HQ45" s="32">
        <f t="shared" si="124"/>
        <v>-1.6640894776236072E-2</v>
      </c>
      <c r="HR45" s="32">
        <f t="shared" si="124"/>
        <v>-2.0131440248444845E-2</v>
      </c>
      <c r="HS45" s="32">
        <f t="shared" si="124"/>
        <v>-1.9502838910105701E-2</v>
      </c>
      <c r="HU45" s="102">
        <f t="shared" si="125"/>
        <v>-47.586109350000001</v>
      </c>
      <c r="HV45" s="102">
        <f t="shared" si="125"/>
        <v>-46.919380959999998</v>
      </c>
      <c r="HW45" s="102">
        <f t="shared" si="125"/>
        <v>-84.530951270000003</v>
      </c>
      <c r="HX45" s="102">
        <f t="shared" si="125"/>
        <v>-156.24219059000001</v>
      </c>
      <c r="HY45" s="102">
        <f t="shared" si="125"/>
        <v>-188.20065972999998</v>
      </c>
      <c r="HZ45" s="102">
        <f t="shared" si="125"/>
        <v>-147.25974300000001</v>
      </c>
      <c r="IA45" s="102">
        <f t="shared" si="126"/>
        <v>-146.95210642000001</v>
      </c>
      <c r="IB45" s="102">
        <f t="shared" si="127"/>
        <v>-162.23321256</v>
      </c>
      <c r="IC45" s="102">
        <f t="shared" si="128"/>
        <v>-134.84828902000001</v>
      </c>
      <c r="ID45" s="102">
        <f t="shared" si="18"/>
        <v>-157.904988</v>
      </c>
      <c r="IE45" s="102">
        <f t="shared" si="129"/>
        <v>-134.84828902000001</v>
      </c>
      <c r="IF45" s="922">
        <f t="shared" si="20"/>
        <v>-0.16879973655130576</v>
      </c>
      <c r="IG45" s="102">
        <f t="shared" si="151"/>
        <v>-134.84828902000001</v>
      </c>
      <c r="IH45" s="102">
        <f t="shared" si="151"/>
        <v>-157.904988</v>
      </c>
      <c r="II45" s="145"/>
      <c r="IJ45" s="929">
        <f t="shared" si="130"/>
        <v>0.85398371975431209</v>
      </c>
      <c r="IK45" s="930">
        <f t="shared" si="131"/>
        <v>23.056698979999993</v>
      </c>
      <c r="IM45" s="32">
        <f t="shared" si="132"/>
        <v>-2.0737645925261148E-2</v>
      </c>
      <c r="IN45" s="929">
        <f t="shared" si="133"/>
        <v>-2.2363178211706983E-2</v>
      </c>
      <c r="IP45" s="929">
        <f t="shared" si="152"/>
        <v>0.80162119662373321</v>
      </c>
      <c r="IQ45" s="929">
        <f t="shared" si="152"/>
        <v>0.84834298257152452</v>
      </c>
      <c r="IR45" s="929">
        <f t="shared" si="152"/>
        <v>0.20454442567221287</v>
      </c>
      <c r="IS45" s="929">
        <f t="shared" si="152"/>
        <v>-0.21753864619143959</v>
      </c>
      <c r="IT45" s="929">
        <f t="shared" si="152"/>
        <v>-2.0890745408947975E-3</v>
      </c>
      <c r="IU45" s="929">
        <f t="shared" si="152"/>
        <v>0.10398698264538964</v>
      </c>
      <c r="IV45" s="929">
        <f t="shared" si="153"/>
        <v>-0.16879973655130576</v>
      </c>
      <c r="IX45" s="102">
        <f t="shared" si="135"/>
        <v>-37.611570310000005</v>
      </c>
      <c r="IY45" s="102">
        <f t="shared" si="135"/>
        <v>-71.711239320000004</v>
      </c>
      <c r="IZ45" s="102">
        <f t="shared" si="135"/>
        <v>-31.958469139999977</v>
      </c>
      <c r="JA45" s="102">
        <f t="shared" si="135"/>
        <v>40.940916729999969</v>
      </c>
      <c r="JB45" s="102">
        <f t="shared" si="135"/>
        <v>0.3076365800000076</v>
      </c>
      <c r="JC45" s="102">
        <f t="shared" si="135"/>
        <v>-15.281106139999991</v>
      </c>
      <c r="JD45" s="102">
        <f t="shared" si="136"/>
        <v>27.384923539999988</v>
      </c>
      <c r="JF45" s="32">
        <f t="shared" si="137"/>
        <v>-2.9751236928727653E-3</v>
      </c>
      <c r="JG45" s="32">
        <f t="shared" si="137"/>
        <v>-2.7516553188036848E-3</v>
      </c>
      <c r="JH45" s="32">
        <f t="shared" si="137"/>
        <v>-5.2002180013224694E-3</v>
      </c>
      <c r="JI45" s="32">
        <f t="shared" si="137"/>
        <v>-1.670311708623605E-2</v>
      </c>
      <c r="JJ45" s="32">
        <f t="shared" si="137"/>
        <v>-9.3789649664023131E-2</v>
      </c>
      <c r="JK45" s="32">
        <f t="shared" si="137"/>
        <v>-2.1214966037502381E-2</v>
      </c>
      <c r="JL45" s="32">
        <f t="shared" si="137"/>
        <v>-2.7782088576732686E-2</v>
      </c>
      <c r="JM45" s="32">
        <f t="shared" si="138"/>
        <v>-1.9776284177992171E-2</v>
      </c>
      <c r="JO45" s="102">
        <f t="shared" si="139"/>
        <v>-6.7378316499999968</v>
      </c>
      <c r="JP45" s="102">
        <f t="shared" si="139"/>
        <v>-9.8975508599999955</v>
      </c>
      <c r="JQ45" s="102">
        <f t="shared" si="139"/>
        <v>-13.966752070000002</v>
      </c>
      <c r="JR45" s="102">
        <f t="shared" si="139"/>
        <v>-27.318914059999997</v>
      </c>
      <c r="JS45" s="102">
        <f t="shared" si="139"/>
        <v>-21.372524810000002</v>
      </c>
      <c r="JT45" s="102">
        <f t="shared" si="140"/>
        <v>-22.984565</v>
      </c>
      <c r="JU45" s="102">
        <f t="shared" si="141"/>
        <v>-24.045763999999998</v>
      </c>
      <c r="JV45" s="102">
        <f t="shared" si="141"/>
        <v>-27.166722760000003</v>
      </c>
      <c r="JW45" s="102">
        <f t="shared" si="142"/>
        <v>-17.164567000000002</v>
      </c>
      <c r="JX45" s="102">
        <f t="shared" si="143"/>
        <v>-25.537497999999999</v>
      </c>
      <c r="JY45" s="102">
        <f t="shared" si="144"/>
        <v>-17.164567000000002</v>
      </c>
      <c r="KB45" s="32">
        <f t="shared" si="145"/>
        <v>0.41113213435914675</v>
      </c>
      <c r="KC45" s="32">
        <f t="shared" si="145"/>
        <v>0.95599620606711277</v>
      </c>
      <c r="KD45" s="32">
        <f t="shared" si="145"/>
        <v>-0.21766565233669455</v>
      </c>
      <c r="KE45" s="32">
        <f t="shared" si="145"/>
        <v>7.5425819098627889E-2</v>
      </c>
      <c r="KF45" s="32">
        <f t="shared" si="145"/>
        <v>4.6170071089011167E-2</v>
      </c>
      <c r="KG45" s="32">
        <f t="shared" si="145"/>
        <v>0.12979245575228981</v>
      </c>
      <c r="KH45" s="32">
        <f t="shared" si="146"/>
        <v>-0.36817675243209935</v>
      </c>
      <c r="KJ45" s="102">
        <f t="shared" si="147"/>
        <v>-4.0692012100000063</v>
      </c>
      <c r="KK45" s="102">
        <f t="shared" si="147"/>
        <v>-13.352161989999995</v>
      </c>
      <c r="KL45" s="102">
        <f t="shared" si="147"/>
        <v>5.9463892499999957</v>
      </c>
      <c r="KM45" s="102">
        <f t="shared" si="147"/>
        <v>-1.6120401899999983</v>
      </c>
      <c r="KN45" s="102">
        <f t="shared" si="147"/>
        <v>-1.0611989999999984</v>
      </c>
      <c r="KO45" s="102">
        <f t="shared" si="147"/>
        <v>-3.1209587600000042</v>
      </c>
      <c r="KP45" s="102">
        <f t="shared" si="148"/>
        <v>10.002155760000001</v>
      </c>
      <c r="KR45" s="32">
        <f t="shared" si="149"/>
        <v>-2.1017476589307001E-3</v>
      </c>
      <c r="KS45" s="32">
        <f t="shared" si="149"/>
        <v>-2.9428568600065657E-3</v>
      </c>
      <c r="KT45" s="32">
        <f t="shared" si="149"/>
        <v>-5.5668094963803975E-3</v>
      </c>
      <c r="KU45" s="32">
        <f t="shared" si="149"/>
        <v>-3.0535286878905665E-2</v>
      </c>
      <c r="KV45" s="32">
        <f t="shared" si="149"/>
        <v>-6.8492026610869242E-2</v>
      </c>
      <c r="KW45" s="32">
        <f t="shared" si="149"/>
        <v>-2.2666748039869702E-2</v>
      </c>
      <c r="KX45" s="32">
        <f t="shared" si="149"/>
        <v>-2.7413575329639363E-2</v>
      </c>
      <c r="KY45" s="32">
        <f t="shared" si="149"/>
        <v>-1.7754694991821553E-2</v>
      </c>
      <c r="KZ45" s="32">
        <f t="shared" si="46"/>
        <v>-4.6835635715246279E-2</v>
      </c>
    </row>
    <row r="46" spans="1:312" outlineLevel="1">
      <c r="A46" s="884">
        <v>5110</v>
      </c>
      <c r="B46" s="70" t="s">
        <v>630</v>
      </c>
      <c r="C46" s="17" t="s">
        <v>81</v>
      </c>
      <c r="D46" s="31" t="s">
        <v>59</v>
      </c>
      <c r="E46" s="102">
        <v>-2.7722500000000001</v>
      </c>
      <c r="F46" s="102">
        <v>-22.351265000000001</v>
      </c>
      <c r="G46" s="102">
        <v>-1.7489999999999988</v>
      </c>
      <c r="H46" s="102">
        <v>-1.2390000000000008</v>
      </c>
      <c r="I46" s="102">
        <v>-12.468475999999999</v>
      </c>
      <c r="J46" s="102">
        <v>-2.003622</v>
      </c>
      <c r="K46" s="102">
        <v>4.5</v>
      </c>
      <c r="L46" s="102">
        <v>-3.4870000000000019</v>
      </c>
      <c r="M46" s="102">
        <v>-0.40944599999999554</v>
      </c>
      <c r="N46" s="102">
        <v>-24.396878000000001</v>
      </c>
      <c r="O46" s="102">
        <v>-53.947482000000008</v>
      </c>
      <c r="P46" s="102">
        <v>-140.174925</v>
      </c>
      <c r="Q46" s="102">
        <v>-31.133141999999999</v>
      </c>
      <c r="R46" s="102">
        <v>-29.018982000000001</v>
      </c>
      <c r="S46" s="102">
        <v>-53.416482000000002</v>
      </c>
      <c r="T46" s="102">
        <v>-34.506481999999991</v>
      </c>
      <c r="U46" s="102">
        <v>-60.093148430000014</v>
      </c>
      <c r="V46" s="102">
        <v>-55.867499999999978</v>
      </c>
      <c r="W46" s="102">
        <v>-40.179500000000019</v>
      </c>
      <c r="X46" s="102">
        <v>-29.117698000000019</v>
      </c>
      <c r="Y46" s="102">
        <v>-29.769999999999982</v>
      </c>
      <c r="Z46" s="102">
        <v>-34</v>
      </c>
      <c r="AA46" s="102">
        <v>-35.160000000000025</v>
      </c>
      <c r="AB46" s="102">
        <v>-52.517082999999957</v>
      </c>
      <c r="AC46" s="102">
        <v>-38.655000000000001</v>
      </c>
      <c r="AD46" s="102">
        <v>-33.895499999999998</v>
      </c>
      <c r="AE46" s="102">
        <v>-47.5349</v>
      </c>
      <c r="AF46" s="102">
        <v>-37.69</v>
      </c>
      <c r="AG46" s="102">
        <v>-118.72</v>
      </c>
      <c r="AH46" s="102">
        <v>-39.544980000000002</v>
      </c>
      <c r="AI46" s="102">
        <v>-39.242038000000001</v>
      </c>
      <c r="AJ46" s="102">
        <v>-44.892000000000003</v>
      </c>
      <c r="AK46" s="102">
        <v>-63.206999999999994</v>
      </c>
      <c r="AL46" s="102">
        <v>-98.266098</v>
      </c>
      <c r="AM46" s="102">
        <v>-50.985286000000002</v>
      </c>
      <c r="AN46" s="102">
        <v>-252.42918070000002</v>
      </c>
      <c r="AO46" s="102">
        <v>0</v>
      </c>
      <c r="AP46" s="145">
        <v>-114.00868699999999</v>
      </c>
      <c r="AQ46" s="143">
        <v>-56.550333000000002</v>
      </c>
      <c r="AR46" s="220">
        <v>-68.025282660000002</v>
      </c>
      <c r="AS46" s="102">
        <v>-65.740328000000005</v>
      </c>
      <c r="AT46" s="102">
        <v>-59.340316000000001</v>
      </c>
      <c r="AU46" s="102">
        <v>-49.565873000000003</v>
      </c>
      <c r="AV46" s="102">
        <v>-120.99002</v>
      </c>
      <c r="AW46" s="102">
        <v>-37.815854999999999</v>
      </c>
      <c r="AX46" s="102">
        <v>-34.138763339999997</v>
      </c>
      <c r="AY46" s="102">
        <v>-18.176287000000002</v>
      </c>
      <c r="AZ46" s="102">
        <v>-125.85865</v>
      </c>
      <c r="BA46" s="102">
        <v>-14.808873</v>
      </c>
      <c r="BB46" s="102">
        <v>-4.78</v>
      </c>
      <c r="BC46" s="102">
        <v>-103.18134999999999</v>
      </c>
      <c r="BD46" s="102">
        <v>-81.760000000000005</v>
      </c>
      <c r="BE46" s="102">
        <v>-19.814499999999999</v>
      </c>
      <c r="BF46" s="102">
        <v>-20.655000000000001</v>
      </c>
      <c r="BG46" s="102">
        <v>-10.458227000000001</v>
      </c>
      <c r="BH46" s="102">
        <v>31.303650000000001</v>
      </c>
      <c r="BI46" s="102">
        <v>-12.1036</v>
      </c>
      <c r="BJ46" s="102">
        <v>-12.485372999999999</v>
      </c>
      <c r="BK46" s="102">
        <v>-25.661100000000001</v>
      </c>
      <c r="BL46" s="102">
        <v>-20.231069999999999</v>
      </c>
      <c r="BM46" s="102">
        <v>-16.304546999999999</v>
      </c>
      <c r="BN46" s="102">
        <v>-10.07</v>
      </c>
      <c r="BO46" s="102">
        <v>-14.93</v>
      </c>
      <c r="BP46" s="102">
        <v>-13.65</v>
      </c>
      <c r="BQ46" s="102">
        <v>-11.94</v>
      </c>
      <c r="BR46" s="102">
        <v>-12.06</v>
      </c>
      <c r="BS46" s="102">
        <v>-21.25</v>
      </c>
      <c r="BT46" s="102">
        <v>-8.99</v>
      </c>
      <c r="BU46" s="102">
        <v>-24.642700000000001</v>
      </c>
      <c r="BV46" s="102">
        <v>-21.176680000000001</v>
      </c>
      <c r="BW46" s="102">
        <v>-11.736499999999999</v>
      </c>
      <c r="BX46" s="102">
        <v>-19.212533000000001</v>
      </c>
      <c r="BY46" s="102">
        <v>-9.6142000000000003</v>
      </c>
      <c r="BZ46" s="102">
        <v>-7.9291999999999998</v>
      </c>
      <c r="CA46" s="102">
        <v>-53.2348</v>
      </c>
      <c r="CB46" s="102">
        <v>-23.394200000000001</v>
      </c>
      <c r="CC46" s="102">
        <v>-19.654520000000002</v>
      </c>
      <c r="CD46" s="102">
        <v>-22.654520000000002</v>
      </c>
      <c r="CE46" s="102">
        <v>-40.657951500000003</v>
      </c>
      <c r="CF46" s="102">
        <v>-41.497784000000003</v>
      </c>
      <c r="CG46" s="102">
        <v>-22.703855000000001</v>
      </c>
      <c r="CH46" s="102">
        <v>-25.454055</v>
      </c>
      <c r="CI46" s="102">
        <v>-35.123475999999997</v>
      </c>
      <c r="CJ46" s="102">
        <v>-42.848255000000002</v>
      </c>
      <c r="CK46" s="102">
        <v>-27.703855000000001</v>
      </c>
      <c r="CL46" s="102">
        <v>-28.653855</v>
      </c>
      <c r="CM46" s="102">
        <v>-28.298855</v>
      </c>
      <c r="CN46" s="102">
        <v>-29.127904999999998</v>
      </c>
      <c r="CO46" s="102">
        <v>-28.431055579999999</v>
      </c>
      <c r="CP46" s="102">
        <v>-28.551055000000002</v>
      </c>
      <c r="CQ46" s="102">
        <v>-36.557307999999999</v>
      </c>
      <c r="CR46" s="102">
        <v>-29.131055579999998</v>
      </c>
      <c r="CS46" s="102">
        <v>-31.291056000000001</v>
      </c>
      <c r="CT46" s="102">
        <v>-65.790335999999996</v>
      </c>
      <c r="CU46" s="102">
        <v>-28.871055999999999</v>
      </c>
      <c r="CV46" s="102">
        <v>-84.974556000000007</v>
      </c>
      <c r="CW46" s="102">
        <v>-28.511056</v>
      </c>
      <c r="CX46" s="102">
        <v>-39.092058000000002</v>
      </c>
      <c r="CY46" s="102">
        <v>-36.739555580000001</v>
      </c>
      <c r="CZ46" s="102">
        <v>-46.857556000000002</v>
      </c>
      <c r="DA46" s="102">
        <v>-24.155960579999999</v>
      </c>
      <c r="DB46" s="102">
        <v>-42.869560999999997</v>
      </c>
      <c r="DC46" s="102">
        <v>-21.235961</v>
      </c>
      <c r="DD46" s="102">
        <v>-34.649960999999998</v>
      </c>
      <c r="DE46" s="102">
        <v>-28.949914</v>
      </c>
      <c r="DF46" s="102">
        <v>-31.564982430000001</v>
      </c>
      <c r="DG46" s="102">
        <v>-34.061395210000001</v>
      </c>
      <c r="DH46" s="102">
        <v>-40.671346999999997</v>
      </c>
      <c r="DJ46" s="102">
        <v>-28.511056</v>
      </c>
      <c r="DK46" s="102">
        <v>-39.472057999999997</v>
      </c>
      <c r="DL46" s="102">
        <v>-36.739555580000001</v>
      </c>
      <c r="DM46" s="102">
        <v>-46.857556000000002</v>
      </c>
      <c r="DN46" s="102">
        <v>-24.155960579999999</v>
      </c>
      <c r="DO46" s="102">
        <v>-42.869560999999997</v>
      </c>
      <c r="DP46" s="102">
        <v>-29.237976</v>
      </c>
      <c r="DQ46" s="102">
        <v>-21.081723</v>
      </c>
      <c r="DR46" s="102">
        <v>-24.061723000000001</v>
      </c>
      <c r="DS46" s="102">
        <v>-21.111723000000001</v>
      </c>
      <c r="DT46" s="102">
        <v>-21.161722999999999</v>
      </c>
      <c r="DU46" s="102">
        <v>-34.531723</v>
      </c>
      <c r="DW46" s="102">
        <v>-54.651000000000003</v>
      </c>
      <c r="DX46" s="102">
        <v>-72.191000000000003</v>
      </c>
      <c r="DY46" s="102">
        <v>-73.001999999999995</v>
      </c>
      <c r="DZ46" s="102">
        <v>-62.057609999999997</v>
      </c>
      <c r="EA46" s="102">
        <v>-54.658811</v>
      </c>
      <c r="EB46" s="102">
        <v>-64.157657</v>
      </c>
      <c r="EC46" s="102">
        <v>-56.677410999999999</v>
      </c>
      <c r="ED46" s="102">
        <v>-36.320644999999999</v>
      </c>
      <c r="EE46" s="102">
        <v>-40.797410999999997</v>
      </c>
      <c r="EF46" s="102">
        <v>-49.810411000000002</v>
      </c>
      <c r="EG46" s="102">
        <v>-36.445318</v>
      </c>
      <c r="EH46" s="102">
        <v>-45.988410999999999</v>
      </c>
      <c r="EI46" s="102">
        <v>-33.567</v>
      </c>
      <c r="EJ46" s="102">
        <v>-43.524999999999999</v>
      </c>
      <c r="EK46" s="102">
        <v>-83.468000000000004</v>
      </c>
      <c r="EL46" s="102">
        <v>-21.172499999999999</v>
      </c>
      <c r="EM46" s="102">
        <v>-17.221</v>
      </c>
      <c r="EN46" s="102">
        <v>-31.584</v>
      </c>
      <c r="EO46" s="102">
        <v>-21.035</v>
      </c>
      <c r="EP46" s="102">
        <v>-14.12</v>
      </c>
      <c r="EQ46" s="102">
        <v>-36.06729</v>
      </c>
      <c r="ER46" s="102">
        <v>-12.004</v>
      </c>
      <c r="ES46" s="102">
        <v>-13.722</v>
      </c>
      <c r="ET46" s="102">
        <v>-18.244</v>
      </c>
      <c r="EU46" s="102">
        <v>-16.065141000000001</v>
      </c>
      <c r="EV46" s="102">
        <v>-27.165140999999998</v>
      </c>
      <c r="EW46" s="102">
        <v>-23.083541</v>
      </c>
      <c r="EX46" s="102">
        <v>-16.365141000000001</v>
      </c>
      <c r="EY46" s="102">
        <v>-23.365141000000001</v>
      </c>
      <c r="EZ46" s="102">
        <v>-16.065141000000001</v>
      </c>
      <c r="FA46" s="102">
        <v>-18.113900999999998</v>
      </c>
      <c r="FB46" s="102">
        <v>-18.365141000000001</v>
      </c>
      <c r="FC46" s="102">
        <v>-16.265141</v>
      </c>
      <c r="FD46" s="102">
        <v>-16.265141</v>
      </c>
      <c r="FE46" s="102">
        <v>-16.565141000000001</v>
      </c>
      <c r="FF46" s="102">
        <v>-16.265141</v>
      </c>
      <c r="FG46" s="102">
        <v>-28.486287999999998</v>
      </c>
      <c r="FH46" s="102">
        <v>-28.526288000000001</v>
      </c>
      <c r="FI46" s="102">
        <v>-28.526288000000001</v>
      </c>
      <c r="FJ46" s="102">
        <v>-28.206288000000001</v>
      </c>
      <c r="FK46" s="102">
        <v>-28.126287999999999</v>
      </c>
      <c r="FL46" s="102">
        <v>-28.446287999999999</v>
      </c>
      <c r="FM46" s="102">
        <v>-31.666288000000002</v>
      </c>
      <c r="FN46" s="102">
        <v>-33.509551000000002</v>
      </c>
      <c r="FO46" s="102">
        <v>-31.176288</v>
      </c>
      <c r="FP46" s="102">
        <v>-28.246288</v>
      </c>
      <c r="FQ46" s="102">
        <v>-31.186288000000001</v>
      </c>
      <c r="FR46" s="102">
        <v>-27.886288</v>
      </c>
      <c r="FS46" s="102">
        <v>-28.486287999999998</v>
      </c>
      <c r="FT46" s="102">
        <v>-28.526288000000001</v>
      </c>
      <c r="FU46" s="102">
        <v>-28.526288000000001</v>
      </c>
      <c r="FV46" s="102">
        <v>-28.206288000000001</v>
      </c>
      <c r="FW46" s="102">
        <v>-28.126287999999999</v>
      </c>
      <c r="FX46" s="102">
        <v>-28.446287999999999</v>
      </c>
      <c r="FY46" s="102">
        <v>-31.666288000000002</v>
      </c>
      <c r="FZ46" s="102">
        <v>-33.509551000000002</v>
      </c>
      <c r="GA46" s="102">
        <v>-31.176288</v>
      </c>
      <c r="GB46" s="102">
        <v>-28.246288</v>
      </c>
      <c r="GC46" s="102">
        <v>-31.186288000000001</v>
      </c>
      <c r="GD46" s="102">
        <v>-27.886288</v>
      </c>
      <c r="GF46" s="102">
        <f t="shared" si="120"/>
        <v>-260.49934400000001</v>
      </c>
      <c r="GG46" s="102">
        <f t="shared" si="120"/>
        <v>-484.78001742999999</v>
      </c>
      <c r="GH46" s="102">
        <f t="shared" si="120"/>
        <v>-865.06198270000004</v>
      </c>
      <c r="GI46" s="102">
        <f t="shared" si="120"/>
        <v>-750.21039499999995</v>
      </c>
      <c r="GJ46" s="102">
        <f t="shared" si="150"/>
        <v>-294.63544299999995</v>
      </c>
      <c r="GK46" s="102">
        <f t="shared" si="37"/>
        <v>-185.96296000000001</v>
      </c>
      <c r="GL46" s="102">
        <f t="shared" si="38"/>
        <v>-344.76681649999995</v>
      </c>
      <c r="GM46" s="102">
        <f t="shared" si="121"/>
        <v>-447.38194816000004</v>
      </c>
      <c r="GN46" s="102">
        <f t="shared" si="7"/>
        <v>-353.98871899999995</v>
      </c>
      <c r="GO46" s="102">
        <v>-409.35930780000001</v>
      </c>
      <c r="GQ46" s="929">
        <f t="shared" si="122"/>
        <v>0.78444232764794397</v>
      </c>
      <c r="GR46" s="929">
        <f t="shared" si="122"/>
        <v>-0.13276688838125739</v>
      </c>
      <c r="GS46" s="929">
        <f t="shared" si="122"/>
        <v>-0.60726291589174797</v>
      </c>
      <c r="GT46" s="929">
        <f t="shared" si="122"/>
        <v>-0.36883710219479593</v>
      </c>
      <c r="GU46" s="929">
        <f t="shared" si="122"/>
        <v>0.85395423099309631</v>
      </c>
      <c r="GV46" s="929">
        <f t="shared" si="122"/>
        <v>0.29763633490521868</v>
      </c>
      <c r="GW46" s="929">
        <f t="shared" si="92"/>
        <v>-0.20875502363050036</v>
      </c>
      <c r="GX46" s="929">
        <f t="shared" si="92"/>
        <v>0.15641907729833626</v>
      </c>
      <c r="GY46" s="929">
        <f t="shared" si="9"/>
        <v>-8.4989214509839206E-2</v>
      </c>
      <c r="HA46" s="102">
        <f t="shared" si="123"/>
        <v>-380.28196527000006</v>
      </c>
      <c r="HB46" s="102">
        <f t="shared" si="123"/>
        <v>114.8515877000001</v>
      </c>
      <c r="HC46" s="102">
        <f t="shared" si="123"/>
        <v>455.574952</v>
      </c>
      <c r="HD46" s="102">
        <f t="shared" si="99"/>
        <v>108.67248299999994</v>
      </c>
      <c r="HE46" s="102">
        <f t="shared" si="93"/>
        <v>-158.80385649999994</v>
      </c>
      <c r="HF46" s="102">
        <f t="shared" si="93"/>
        <v>-102.61513166000009</v>
      </c>
      <c r="HG46" s="102">
        <f t="shared" si="93"/>
        <v>93.393229160000089</v>
      </c>
      <c r="HH46" s="102">
        <f t="shared" si="93"/>
        <v>-55.370588800000064</v>
      </c>
      <c r="HI46" s="102">
        <f t="shared" si="11"/>
        <v>38.022640360000025</v>
      </c>
      <c r="HK46" s="32">
        <f t="shared" si="124"/>
        <v>-1.3189397968075703E-2</v>
      </c>
      <c r="HL46" s="32">
        <f t="shared" si="124"/>
        <v>-2.1965375705707363E-2</v>
      </c>
      <c r="HM46" s="32">
        <f t="shared" si="124"/>
        <v>-4.451551913154668E-2</v>
      </c>
      <c r="HN46" s="32">
        <f t="shared" si="124"/>
        <v>-4.7892418650250443E-2</v>
      </c>
      <c r="HO46" s="32">
        <f t="shared" si="124"/>
        <v>-1.3644837099898511E-2</v>
      </c>
      <c r="HP46" s="32">
        <f t="shared" si="124"/>
        <v>-2.4364226838736087E-2</v>
      </c>
      <c r="HQ46" s="32">
        <f t="shared" si="124"/>
        <v>-2.1073745919957615E-2</v>
      </c>
      <c r="HR46" s="32">
        <f t="shared" si="124"/>
        <v>-2.2500765368220106E-2</v>
      </c>
      <c r="HS46" s="32">
        <f t="shared" si="124"/>
        <v>-3.2437635958229454E-2</v>
      </c>
      <c r="HU46" s="102">
        <f t="shared" si="125"/>
        <v>-42.583613</v>
      </c>
      <c r="HV46" s="102">
        <f t="shared" si="125"/>
        <v>-264.03573642999999</v>
      </c>
      <c r="HW46" s="102">
        <f t="shared" si="125"/>
        <v>-316.04038000000003</v>
      </c>
      <c r="HX46" s="102">
        <f t="shared" si="125"/>
        <v>-363.66494666000006</v>
      </c>
      <c r="HY46" s="102">
        <f t="shared" si="125"/>
        <v>-244.99972299999999</v>
      </c>
      <c r="HZ46" s="102">
        <f t="shared" si="125"/>
        <v>-78.954547000000005</v>
      </c>
      <c r="IA46" s="102">
        <f t="shared" si="126"/>
        <v>-136.48143999999999</v>
      </c>
      <c r="IB46" s="102">
        <f t="shared" si="127"/>
        <v>-170.76658057999998</v>
      </c>
      <c r="IC46" s="102">
        <f t="shared" si="128"/>
        <v>-218.22574716</v>
      </c>
      <c r="ID46" s="102">
        <f t="shared" si="18"/>
        <v>-170.31772799999999</v>
      </c>
      <c r="IE46" s="102">
        <f t="shared" si="129"/>
        <v>-218.60574715999999</v>
      </c>
      <c r="IF46" s="922">
        <f t="shared" si="20"/>
        <v>0.2779183515814827</v>
      </c>
      <c r="IG46" s="102">
        <f t="shared" si="151"/>
        <v>-218.22574716</v>
      </c>
      <c r="IH46" s="102">
        <f t="shared" si="151"/>
        <v>-170.31772799999999</v>
      </c>
      <c r="II46" s="145"/>
      <c r="IJ46" s="929">
        <f t="shared" si="130"/>
        <v>1.2812861568937792</v>
      </c>
      <c r="IK46" s="930">
        <f t="shared" si="131"/>
        <v>-47.908019160000009</v>
      </c>
      <c r="IM46" s="32">
        <f t="shared" si="132"/>
        <v>-3.3559849437232725E-2</v>
      </c>
      <c r="IN46" s="929">
        <f t="shared" si="133"/>
        <v>-2.4121123418071096E-2</v>
      </c>
      <c r="IP46" s="929">
        <f t="shared" si="152"/>
        <v>0.19696062462282371</v>
      </c>
      <c r="IQ46" s="929">
        <f t="shared" si="152"/>
        <v>0.15069139791567143</v>
      </c>
      <c r="IR46" s="929">
        <f t="shared" si="152"/>
        <v>-0.3263037165111855</v>
      </c>
      <c r="IS46" s="929">
        <f t="shared" si="152"/>
        <v>-0.67773617850172019</v>
      </c>
      <c r="IT46" s="929">
        <f t="shared" si="152"/>
        <v>0.72860772667089058</v>
      </c>
      <c r="IU46" s="929">
        <f t="shared" si="152"/>
        <v>0.25120734790019794</v>
      </c>
      <c r="IV46" s="929">
        <f t="shared" si="153"/>
        <v>0.28014361134079468</v>
      </c>
      <c r="IX46" s="102">
        <f t="shared" si="135"/>
        <v>-52.004643570000042</v>
      </c>
      <c r="IY46" s="102">
        <f t="shared" si="135"/>
        <v>-47.624566660000028</v>
      </c>
      <c r="IZ46" s="102">
        <f t="shared" si="135"/>
        <v>118.66522366000007</v>
      </c>
      <c r="JA46" s="102">
        <f t="shared" si="135"/>
        <v>166.04517599999997</v>
      </c>
      <c r="JB46" s="102">
        <f t="shared" si="135"/>
        <v>-57.526892999999987</v>
      </c>
      <c r="JC46" s="102">
        <f t="shared" si="135"/>
        <v>-34.28514057999999</v>
      </c>
      <c r="JD46" s="102">
        <f t="shared" si="136"/>
        <v>-47.839166580000011</v>
      </c>
      <c r="JF46" s="32">
        <f t="shared" si="137"/>
        <v>-2.6623634017355255E-3</v>
      </c>
      <c r="JG46" s="32">
        <f t="shared" si="137"/>
        <v>-1.5484759680040273E-2</v>
      </c>
      <c r="JH46" s="32">
        <f t="shared" si="137"/>
        <v>-1.9442332643002727E-2</v>
      </c>
      <c r="JI46" s="32">
        <f t="shared" si="137"/>
        <v>-3.8877707495548551E-2</v>
      </c>
      <c r="JJ46" s="32">
        <f t="shared" si="137"/>
        <v>-0.12209541784241604</v>
      </c>
      <c r="JK46" s="32">
        <f t="shared" si="137"/>
        <v>-1.1374582075098321E-2</v>
      </c>
      <c r="JL46" s="32">
        <f t="shared" si="137"/>
        <v>-2.5802552597122733E-2</v>
      </c>
      <c r="JM46" s="32">
        <f t="shared" si="138"/>
        <v>-3.2059801501354374E-2</v>
      </c>
      <c r="JO46" s="102">
        <f t="shared" si="139"/>
        <v>-2.003622</v>
      </c>
      <c r="JP46" s="102">
        <f t="shared" si="139"/>
        <v>-55.867499999999978</v>
      </c>
      <c r="JQ46" s="102">
        <f t="shared" si="139"/>
        <v>-39.544980000000002</v>
      </c>
      <c r="JR46" s="102">
        <f t="shared" si="139"/>
        <v>-59.340316000000001</v>
      </c>
      <c r="JS46" s="102">
        <f t="shared" si="139"/>
        <v>-20.655000000000001</v>
      </c>
      <c r="JT46" s="102">
        <f t="shared" si="140"/>
        <v>-12.06</v>
      </c>
      <c r="JU46" s="102">
        <f t="shared" si="141"/>
        <v>-22.654520000000002</v>
      </c>
      <c r="JV46" s="102">
        <f t="shared" si="141"/>
        <v>-28.551055000000002</v>
      </c>
      <c r="JW46" s="102">
        <f t="shared" si="142"/>
        <v>-42.869560999999997</v>
      </c>
      <c r="JX46" s="102">
        <f t="shared" si="143"/>
        <v>-28.446287999999999</v>
      </c>
      <c r="JY46" s="102">
        <f t="shared" si="144"/>
        <v>-42.869560999999997</v>
      </c>
      <c r="KB46" s="32">
        <f t="shared" si="145"/>
        <v>-0.29216485434286454</v>
      </c>
      <c r="KC46" s="32">
        <f t="shared" si="145"/>
        <v>0.50057772187519123</v>
      </c>
      <c r="KD46" s="32">
        <f t="shared" si="145"/>
        <v>-0.65192298605218069</v>
      </c>
      <c r="KE46" s="32">
        <f t="shared" si="145"/>
        <v>-0.41612200435729851</v>
      </c>
      <c r="KF46" s="32">
        <f t="shared" si="145"/>
        <v>0.87848424543946946</v>
      </c>
      <c r="KG46" s="32">
        <f t="shared" si="145"/>
        <v>0.26028072984993722</v>
      </c>
      <c r="KH46" s="32">
        <f t="shared" si="146"/>
        <v>0.5015053209067053</v>
      </c>
      <c r="KJ46" s="102">
        <f t="shared" si="147"/>
        <v>16.322519999999976</v>
      </c>
      <c r="KK46" s="102">
        <f t="shared" si="147"/>
        <v>-19.795335999999999</v>
      </c>
      <c r="KL46" s="102">
        <f t="shared" si="147"/>
        <v>38.685316</v>
      </c>
      <c r="KM46" s="102">
        <f t="shared" si="147"/>
        <v>8.5950000000000006</v>
      </c>
      <c r="KN46" s="102">
        <f t="shared" si="147"/>
        <v>-10.594520000000001</v>
      </c>
      <c r="KO46" s="102">
        <f t="shared" si="147"/>
        <v>-5.8965350000000001</v>
      </c>
      <c r="KP46" s="102">
        <f t="shared" si="148"/>
        <v>-14.318505999999996</v>
      </c>
      <c r="KR46" s="32">
        <f t="shared" si="149"/>
        <v>-6.2499451850834675E-4</v>
      </c>
      <c r="KS46" s="32">
        <f t="shared" si="149"/>
        <v>-1.6611185731903056E-2</v>
      </c>
      <c r="KT46" s="32">
        <f t="shared" si="149"/>
        <v>-1.5761672369843455E-2</v>
      </c>
      <c r="KU46" s="32">
        <f t="shared" si="149"/>
        <v>-6.6326705686957893E-2</v>
      </c>
      <c r="KV46" s="32">
        <f t="shared" si="149"/>
        <v>-6.619259176087508E-2</v>
      </c>
      <c r="KW46" s="32">
        <f t="shared" si="149"/>
        <v>-1.1893241458379944E-2</v>
      </c>
      <c r="KX46" s="32">
        <f t="shared" si="149"/>
        <v>-2.5827475915376263E-2</v>
      </c>
      <c r="KY46" s="32">
        <f t="shared" si="149"/>
        <v>-1.8659419382234005E-2</v>
      </c>
      <c r="KZ46" s="32">
        <f t="shared" si="46"/>
        <v>-0.11697487867119098</v>
      </c>
    </row>
    <row r="47" spans="1:312" outlineLevel="1">
      <c r="A47" s="867"/>
      <c r="B47" s="71"/>
      <c r="C47" s="186" t="s">
        <v>82</v>
      </c>
      <c r="D47" s="307" t="s">
        <v>59</v>
      </c>
      <c r="E47" s="931">
        <v>-14.123279999999999</v>
      </c>
      <c r="F47" s="931">
        <v>-16.352055</v>
      </c>
      <c r="G47" s="931">
        <v>-21.556309199999998</v>
      </c>
      <c r="H47" s="931">
        <v>-21.300058680000003</v>
      </c>
      <c r="I47" s="931">
        <v>-22.564130999999996</v>
      </c>
      <c r="J47" s="931">
        <v>-17.115981999999995</v>
      </c>
      <c r="K47" s="931">
        <v>-20.354087320000009</v>
      </c>
      <c r="L47" s="931">
        <v>-11.157977269999996</v>
      </c>
      <c r="M47" s="931">
        <v>-6.3118000000000052</v>
      </c>
      <c r="N47" s="931">
        <v>-16.385142279999997</v>
      </c>
      <c r="O47" s="931">
        <v>-69.817942919999993</v>
      </c>
      <c r="P47" s="931">
        <v>-86.836072699999988</v>
      </c>
      <c r="Q47" s="931">
        <v>-35.753944629999999</v>
      </c>
      <c r="R47" s="931">
        <v>-21.013556379999997</v>
      </c>
      <c r="S47" s="931">
        <v>-42.547012529999989</v>
      </c>
      <c r="T47" s="931">
        <v>-42.23370494000001</v>
      </c>
      <c r="U47" s="931">
        <v>-34.278111750000008</v>
      </c>
      <c r="V47" s="931">
        <v>-30.618181279999984</v>
      </c>
      <c r="W47" s="931">
        <v>-39.379931430000013</v>
      </c>
      <c r="X47" s="931">
        <v>-29.005405569999997</v>
      </c>
      <c r="Y47" s="931">
        <v>-49.980198950000023</v>
      </c>
      <c r="Z47" s="931">
        <v>-40.224685389999962</v>
      </c>
      <c r="AA47" s="931">
        <v>-28.469105230000004</v>
      </c>
      <c r="AB47" s="931">
        <v>-94.401975660000062</v>
      </c>
      <c r="AC47" s="931">
        <v>-21.481300839999999</v>
      </c>
      <c r="AD47" s="931">
        <v>-29.513899279999997</v>
      </c>
      <c r="AE47" s="931">
        <v>-40.309877270000001</v>
      </c>
      <c r="AF47" s="931">
        <v>-42.944100390000003</v>
      </c>
      <c r="AG47" s="931">
        <v>-60.512709880000003</v>
      </c>
      <c r="AH47" s="931">
        <v>-63.185647019999998</v>
      </c>
      <c r="AI47" s="931">
        <v>-32.288673700000004</v>
      </c>
      <c r="AJ47" s="931">
        <v>-92.067314379999999</v>
      </c>
      <c r="AK47" s="931">
        <v>-34.640628749999998</v>
      </c>
      <c r="AL47" s="931">
        <v>40.394000949999999</v>
      </c>
      <c r="AM47" s="931">
        <v>-83.040612679999995</v>
      </c>
      <c r="AN47" s="931">
        <v>-142.91979699999999</v>
      </c>
      <c r="AO47" s="933">
        <f t="shared" ref="AO47:BK47" si="154">SUM(AO48:AO58)</f>
        <v>-25.952617619999998</v>
      </c>
      <c r="AP47" s="933">
        <f t="shared" si="154"/>
        <v>-77.108072710000002</v>
      </c>
      <c r="AQ47" s="933">
        <f t="shared" si="154"/>
        <v>-90.538494600000007</v>
      </c>
      <c r="AR47" s="933">
        <f t="shared" si="154"/>
        <v>-234.75662507000001</v>
      </c>
      <c r="AS47" s="933">
        <f t="shared" si="154"/>
        <v>-68.006185479999999</v>
      </c>
      <c r="AT47" s="933">
        <f t="shared" si="154"/>
        <v>-86.300212590000001</v>
      </c>
      <c r="AU47" s="933">
        <f t="shared" si="154"/>
        <v>-105.24970445999998</v>
      </c>
      <c r="AV47" s="933">
        <f t="shared" si="154"/>
        <v>-49.118557420000002</v>
      </c>
      <c r="AW47" s="933">
        <f t="shared" si="154"/>
        <v>-143.41433546000002</v>
      </c>
      <c r="AX47" s="933">
        <f t="shared" si="154"/>
        <v>-76.282654689999987</v>
      </c>
      <c r="AY47" s="933">
        <f t="shared" si="154"/>
        <v>-123.05137019999998</v>
      </c>
      <c r="AZ47" s="933">
        <f t="shared" si="154"/>
        <v>-1095.6273051400001</v>
      </c>
      <c r="BA47" s="933">
        <f t="shared" si="154"/>
        <v>-12.904779309999999</v>
      </c>
      <c r="BB47" s="933">
        <f t="shared" si="154"/>
        <v>-19.992566009999997</v>
      </c>
      <c r="BC47" s="933">
        <f t="shared" si="154"/>
        <v>-36.084461820000001</v>
      </c>
      <c r="BD47" s="933">
        <f t="shared" si="154"/>
        <v>-29.163730739999998</v>
      </c>
      <c r="BE47" s="933">
        <f t="shared" si="154"/>
        <v>-152.46496317</v>
      </c>
      <c r="BF47" s="933">
        <f t="shared" si="154"/>
        <v>-19.303510340000003</v>
      </c>
      <c r="BG47" s="933">
        <f t="shared" si="154"/>
        <v>-14.414861419999999</v>
      </c>
      <c r="BH47" s="933">
        <f t="shared" si="154"/>
        <v>-12.351909390000001</v>
      </c>
      <c r="BI47" s="933">
        <f t="shared" si="154"/>
        <v>-14.510718209999999</v>
      </c>
      <c r="BJ47" s="933">
        <f t="shared" si="154"/>
        <v>-8.8955246499999987</v>
      </c>
      <c r="BK47" s="933">
        <f t="shared" si="154"/>
        <v>-13.939133680000001</v>
      </c>
      <c r="BL47" s="933">
        <f>SUM(BL48:BL58)</f>
        <v>-197.82569422</v>
      </c>
      <c r="BM47" s="146">
        <f t="shared" ref="BM47:DH47" si="155">SUM(BM48:BM58)</f>
        <v>-16.388976840000002</v>
      </c>
      <c r="BN47" s="933">
        <f t="shared" si="155"/>
        <v>-22.150805019999996</v>
      </c>
      <c r="BO47" s="933">
        <f t="shared" si="155"/>
        <v>-20.288687030000002</v>
      </c>
      <c r="BP47" s="933">
        <f t="shared" si="155"/>
        <v>-32.862223099999994</v>
      </c>
      <c r="BQ47" s="933">
        <f t="shared" si="155"/>
        <v>-67.665156229999994</v>
      </c>
      <c r="BR47" s="933">
        <f t="shared" si="155"/>
        <v>-17.536523410000001</v>
      </c>
      <c r="BS47" s="933">
        <f t="shared" si="155"/>
        <v>-10.022145869999999</v>
      </c>
      <c r="BT47" s="933">
        <f t="shared" si="155"/>
        <v>-16.903448999999998</v>
      </c>
      <c r="BU47" s="933">
        <f t="shared" si="155"/>
        <v>-13.954880000000001</v>
      </c>
      <c r="BV47" s="933">
        <f t="shared" si="155"/>
        <v>-14.92742</v>
      </c>
      <c r="BW47" s="933">
        <f t="shared" si="155"/>
        <v>-13.551516730000001</v>
      </c>
      <c r="BX47" s="933">
        <f t="shared" si="155"/>
        <v>-70.759768999999991</v>
      </c>
      <c r="BY47" s="933">
        <f t="shared" si="155"/>
        <v>-14.940092700000001</v>
      </c>
      <c r="BZ47" s="933">
        <f t="shared" si="155"/>
        <v>-11.426294200000001</v>
      </c>
      <c r="CA47" s="933">
        <f t="shared" si="155"/>
        <v>-14.82858753</v>
      </c>
      <c r="CB47" s="933">
        <f t="shared" si="155"/>
        <v>-10.282143999999999</v>
      </c>
      <c r="CC47" s="933">
        <f t="shared" si="155"/>
        <v>-15.957985520000001</v>
      </c>
      <c r="CD47" s="933">
        <f t="shared" si="155"/>
        <v>-17.617096</v>
      </c>
      <c r="CE47" s="933">
        <f t="shared" si="155"/>
        <v>-15.349958000000001</v>
      </c>
      <c r="CF47" s="933">
        <f t="shared" si="155"/>
        <v>-15.458492400000001</v>
      </c>
      <c r="CG47" s="933">
        <f t="shared" si="155"/>
        <v>-19.67567128</v>
      </c>
      <c r="CH47" s="933">
        <f t="shared" si="155"/>
        <v>-23.26170303</v>
      </c>
      <c r="CI47" s="933">
        <f t="shared" si="155"/>
        <v>-9.0798254000000007</v>
      </c>
      <c r="CJ47" s="933">
        <f t="shared" si="155"/>
        <v>-82.082681799999989</v>
      </c>
      <c r="CK47" s="933">
        <f t="shared" si="155"/>
        <v>-8.4877762699999995</v>
      </c>
      <c r="CL47" s="933">
        <f t="shared" si="155"/>
        <v>-15.114824999999998</v>
      </c>
      <c r="CM47" s="933">
        <f t="shared" si="155"/>
        <v>-19.225256000000002</v>
      </c>
      <c r="CN47" s="933">
        <f t="shared" si="155"/>
        <v>-14.956747999999999</v>
      </c>
      <c r="CO47" s="933">
        <f t="shared" si="155"/>
        <v>-21.722445999999998</v>
      </c>
      <c r="CP47" s="933">
        <f t="shared" si="155"/>
        <v>-7.9295308699999998</v>
      </c>
      <c r="CQ47" s="933">
        <f t="shared" si="155"/>
        <v>-18.742361199999998</v>
      </c>
      <c r="CR47" s="933">
        <f t="shared" si="155"/>
        <v>-14.605231</v>
      </c>
      <c r="CS47" s="933">
        <f t="shared" si="155"/>
        <v>-20.899197739999998</v>
      </c>
      <c r="CT47" s="933">
        <f t="shared" si="155"/>
        <v>-24.13476387</v>
      </c>
      <c r="CU47" s="933">
        <f t="shared" si="155"/>
        <v>-23.763676</v>
      </c>
      <c r="CV47" s="933">
        <f t="shared" si="155"/>
        <v>-95.924435640000013</v>
      </c>
      <c r="CW47" s="933">
        <f t="shared" si="155"/>
        <v>-13.26357232</v>
      </c>
      <c r="CX47" s="933">
        <f t="shared" si="155"/>
        <v>-50.080570979999997</v>
      </c>
      <c r="CY47" s="933">
        <f t="shared" si="155"/>
        <v>-14.193113649999997</v>
      </c>
      <c r="CZ47" s="933">
        <f t="shared" si="155"/>
        <v>-10.858235630000001</v>
      </c>
      <c r="DA47" s="933">
        <f t="shared" si="155"/>
        <v>-6.2348520000000001</v>
      </c>
      <c r="DB47" s="933">
        <f t="shared" si="155"/>
        <v>-11.026005300000001</v>
      </c>
      <c r="DC47" s="933">
        <f t="shared" si="155"/>
        <v>-4.7835169999999998</v>
      </c>
      <c r="DD47" s="933">
        <f t="shared" si="155"/>
        <v>-4.3695810000000002</v>
      </c>
      <c r="DE47" s="933">
        <f t="shared" si="155"/>
        <v>20.812101999999999</v>
      </c>
      <c r="DF47" s="933">
        <f t="shared" si="155"/>
        <v>55.059172000000004</v>
      </c>
      <c r="DG47" s="933">
        <f t="shared" si="155"/>
        <v>-10.200695399999997</v>
      </c>
      <c r="DH47" s="933">
        <f t="shared" si="155"/>
        <v>-12.272546</v>
      </c>
      <c r="DJ47" s="933">
        <f t="shared" ref="DJ47:DU47" si="156">+SUM(DJ48:DJ58)</f>
        <v>-13.26357232</v>
      </c>
      <c r="DK47" s="933">
        <f t="shared" si="156"/>
        <v>-50.080570979999997</v>
      </c>
      <c r="DL47" s="933">
        <f t="shared" si="156"/>
        <v>-14.193113649999997</v>
      </c>
      <c r="DM47" s="933">
        <f t="shared" si="156"/>
        <v>-10.858235630000001</v>
      </c>
      <c r="DN47" s="933">
        <f t="shared" si="156"/>
        <v>-6.2348520000000001</v>
      </c>
      <c r="DO47" s="933">
        <f t="shared" si="156"/>
        <v>-11.026005300000001</v>
      </c>
      <c r="DP47" s="933">
        <f t="shared" si="156"/>
        <v>-13.001258</v>
      </c>
      <c r="DQ47" s="933">
        <f t="shared" si="156"/>
        <v>-8.8273329999999994</v>
      </c>
      <c r="DR47" s="933">
        <f t="shared" si="156"/>
        <v>-8.5468349999999997</v>
      </c>
      <c r="DS47" s="933">
        <f t="shared" si="156"/>
        <v>-8.8533619999999988</v>
      </c>
      <c r="DT47" s="933">
        <f t="shared" si="156"/>
        <v>-8.8768349999999998</v>
      </c>
      <c r="DU47" s="933">
        <f t="shared" si="156"/>
        <v>-10.143439000000001</v>
      </c>
      <c r="DW47" s="931">
        <v>-48.238945176729992</v>
      </c>
      <c r="DX47" s="931">
        <v>-84.99957937168999</v>
      </c>
      <c r="DY47" s="931">
        <v>-78.93256228327698</v>
      </c>
      <c r="DZ47" s="931">
        <v>-63.686486745808239</v>
      </c>
      <c r="EA47" s="931">
        <v>-47.07452285547491</v>
      </c>
      <c r="EB47" s="931">
        <v>-50.628978512474916</v>
      </c>
      <c r="EC47" s="931">
        <v>-51.732632655474916</v>
      </c>
      <c r="ED47" s="931">
        <v>-58.004785845808243</v>
      </c>
      <c r="EE47" s="931">
        <v>-63.390948041064917</v>
      </c>
      <c r="EF47" s="931">
        <v>-56.050165865064912</v>
      </c>
      <c r="EG47" s="931">
        <v>-52.479057208064916</v>
      </c>
      <c r="EH47" s="931">
        <v>-100.29210827607353</v>
      </c>
      <c r="EI47" s="931">
        <f>SUM(EI48:EI58)</f>
        <v>-23.302705723694569</v>
      </c>
      <c r="EJ47" s="931">
        <f t="shared" ref="EJ47:GD47" si="157">SUM(EJ48:EJ58)</f>
        <v>-27.634135447731015</v>
      </c>
      <c r="EK47" s="931">
        <f t="shared" si="157"/>
        <v>-46.126194928661924</v>
      </c>
      <c r="EL47" s="931">
        <f t="shared" si="157"/>
        <v>-153.11526866962066</v>
      </c>
      <c r="EM47" s="931">
        <f t="shared" si="157"/>
        <v>-27.499177503226143</v>
      </c>
      <c r="EN47" s="931">
        <f t="shared" si="157"/>
        <v>-26.617619742139652</v>
      </c>
      <c r="EO47" s="931">
        <f t="shared" si="157"/>
        <v>-28.612207363052335</v>
      </c>
      <c r="EP47" s="931">
        <f t="shared" si="157"/>
        <v>-25.286900990725421</v>
      </c>
      <c r="EQ47" s="931">
        <f t="shared" si="157"/>
        <v>-25.745097775482414</v>
      </c>
      <c r="ER47" s="931">
        <f t="shared" si="157"/>
        <v>-24.536483346779711</v>
      </c>
      <c r="ES47" s="931">
        <f t="shared" si="157"/>
        <v>-23.972197242603475</v>
      </c>
      <c r="ET47" s="931">
        <f t="shared" si="157"/>
        <v>-25.642145850603605</v>
      </c>
      <c r="EU47" s="931">
        <f t="shared" si="157"/>
        <v>-30.600025000000002</v>
      </c>
      <c r="EV47" s="931">
        <f t="shared" si="157"/>
        <v>-26.992025090000002</v>
      </c>
      <c r="EW47" s="931">
        <f t="shared" si="157"/>
        <v>-34.203144999999999</v>
      </c>
      <c r="EX47" s="931">
        <f t="shared" si="157"/>
        <v>-27.683425090000004</v>
      </c>
      <c r="EY47" s="931">
        <f t="shared" si="157"/>
        <v>-29.857493090000002</v>
      </c>
      <c r="EZ47" s="931">
        <f t="shared" si="157"/>
        <v>-39.430612089999997</v>
      </c>
      <c r="FA47" s="931">
        <f t="shared" si="157"/>
        <v>-28.30096009</v>
      </c>
      <c r="FB47" s="931">
        <f t="shared" si="157"/>
        <v>-29.441023090000002</v>
      </c>
      <c r="FC47" s="931">
        <f t="shared" si="157"/>
        <v>-29.708080000000002</v>
      </c>
      <c r="FD47" s="931">
        <f t="shared" si="157"/>
        <v>-26.16096009</v>
      </c>
      <c r="FE47" s="931">
        <f t="shared" si="157"/>
        <v>-29.85349209</v>
      </c>
      <c r="FF47" s="931">
        <f t="shared" si="157"/>
        <v>-28.836012</v>
      </c>
      <c r="FG47" s="931">
        <f t="shared" si="157"/>
        <v>-11.628000000000002</v>
      </c>
      <c r="FH47" s="931">
        <f t="shared" si="157"/>
        <v>-19.962999999999997</v>
      </c>
      <c r="FI47" s="931">
        <f t="shared" si="157"/>
        <v>-16.326000000000001</v>
      </c>
      <c r="FJ47" s="931">
        <f t="shared" si="157"/>
        <v>-11.468000000000002</v>
      </c>
      <c r="FK47" s="931">
        <f t="shared" si="157"/>
        <v>-11.619</v>
      </c>
      <c r="FL47" s="931">
        <f t="shared" si="157"/>
        <v>-17.725999999999999</v>
      </c>
      <c r="FM47" s="931">
        <f t="shared" si="157"/>
        <v>-16.677999999999997</v>
      </c>
      <c r="FN47" s="931">
        <f t="shared" si="157"/>
        <v>-11.163000000000002</v>
      </c>
      <c r="FO47" s="931">
        <f t="shared" si="157"/>
        <v>-12.872999999999999</v>
      </c>
      <c r="FP47" s="931">
        <f t="shared" si="157"/>
        <v>-14.621</v>
      </c>
      <c r="FQ47" s="931">
        <f t="shared" si="157"/>
        <v>-10.413000000000002</v>
      </c>
      <c r="FR47" s="931">
        <f t="shared" si="157"/>
        <v>-11.512999999999998</v>
      </c>
      <c r="FS47" s="931">
        <f t="shared" si="157"/>
        <v>-11.628000000000002</v>
      </c>
      <c r="FT47" s="931">
        <f t="shared" si="157"/>
        <v>-19.962999999999997</v>
      </c>
      <c r="FU47" s="931">
        <f t="shared" si="157"/>
        <v>-16.326000000000001</v>
      </c>
      <c r="FV47" s="931">
        <f t="shared" si="157"/>
        <v>-11.468000000000002</v>
      </c>
      <c r="FW47" s="931">
        <f t="shared" si="157"/>
        <v>-11.619</v>
      </c>
      <c r="FX47" s="931">
        <f t="shared" si="157"/>
        <v>-17.725999999999999</v>
      </c>
      <c r="FY47" s="931">
        <f t="shared" si="157"/>
        <v>-16.677999999999997</v>
      </c>
      <c r="FZ47" s="931">
        <f t="shared" si="157"/>
        <v>-11.163000000000002</v>
      </c>
      <c r="GA47" s="931">
        <f t="shared" si="157"/>
        <v>-12.872999999999999</v>
      </c>
      <c r="GB47" s="931">
        <f t="shared" si="157"/>
        <v>-14.621</v>
      </c>
      <c r="GC47" s="931">
        <f t="shared" si="157"/>
        <v>-10.413000000000002</v>
      </c>
      <c r="GD47" s="931">
        <f t="shared" si="157"/>
        <v>-11.512999999999998</v>
      </c>
      <c r="GF47" s="931">
        <f t="shared" si="120"/>
        <v>-323.87483837000002</v>
      </c>
      <c r="GG47" s="931">
        <f t="shared" si="120"/>
        <v>-487.90581374000004</v>
      </c>
      <c r="GH47" s="931">
        <f t="shared" si="120"/>
        <v>-602.5105602399999</v>
      </c>
      <c r="GI47" s="931">
        <f t="shared" si="120"/>
        <v>-2175.4061354400001</v>
      </c>
      <c r="GJ47" s="931">
        <f t="shared" si="150"/>
        <v>-531.85185296000009</v>
      </c>
      <c r="GK47" s="931">
        <f t="shared" si="37"/>
        <v>-317.01155223000001</v>
      </c>
      <c r="GL47" s="931">
        <f t="shared" si="38"/>
        <v>-249.96053186</v>
      </c>
      <c r="GM47" s="931">
        <f t="shared" si="121"/>
        <v>-285.50624759000004</v>
      </c>
      <c r="GN47" s="931">
        <f t="shared" si="7"/>
        <v>-165.99100000000001</v>
      </c>
      <c r="GO47" s="931">
        <v>-61.411415279999993</v>
      </c>
      <c r="GQ47" s="934">
        <f t="shared" si="122"/>
        <v>0.23489112708353899</v>
      </c>
      <c r="GR47" s="934">
        <f t="shared" si="122"/>
        <v>2.6105693061603166</v>
      </c>
      <c r="GS47" s="934">
        <f t="shared" si="122"/>
        <v>-0.75551606465777155</v>
      </c>
      <c r="GT47" s="934">
        <f t="shared" si="122"/>
        <v>-0.40394763980667747</v>
      </c>
      <c r="GU47" s="934">
        <f t="shared" si="122"/>
        <v>-0.21150970650228151</v>
      </c>
      <c r="GV47" s="934">
        <f t="shared" si="122"/>
        <v>0.14220531323684638</v>
      </c>
      <c r="GW47" s="934">
        <f t="shared" si="92"/>
        <v>-0.41860816916913623</v>
      </c>
      <c r="GX47" s="934">
        <f t="shared" si="92"/>
        <v>-0.63003165665608385</v>
      </c>
      <c r="GY47" s="934">
        <f t="shared" si="9"/>
        <v>-0.78490342751381892</v>
      </c>
      <c r="HA47" s="931">
        <f t="shared" si="123"/>
        <v>-114.60474649999986</v>
      </c>
      <c r="HB47" s="931">
        <f t="shared" si="123"/>
        <v>-1572.8955752000002</v>
      </c>
      <c r="HC47" s="931">
        <f t="shared" si="123"/>
        <v>1643.55428248</v>
      </c>
      <c r="HD47" s="931">
        <f t="shared" si="99"/>
        <v>214.84030073000008</v>
      </c>
      <c r="HE47" s="931">
        <f t="shared" si="93"/>
        <v>67.051020370000003</v>
      </c>
      <c r="HF47" s="931">
        <f t="shared" si="93"/>
        <v>-35.54571573000004</v>
      </c>
      <c r="HG47" s="931">
        <f t="shared" si="93"/>
        <v>119.51524759000003</v>
      </c>
      <c r="HH47" s="931">
        <f t="shared" si="93"/>
        <v>104.57958472000001</v>
      </c>
      <c r="HI47" s="931">
        <f t="shared" si="11"/>
        <v>224.09483231000004</v>
      </c>
      <c r="HK47" s="230">
        <f t="shared" si="124"/>
        <v>-1.32744414311258E-2</v>
      </c>
      <c r="HL47" s="230">
        <f t="shared" si="124"/>
        <v>-1.5298754409506229E-2</v>
      </c>
      <c r="HM47" s="230">
        <f t="shared" si="124"/>
        <v>-0.12908290005907391</v>
      </c>
      <c r="HN47" s="230">
        <f t="shared" si="124"/>
        <v>-8.6451485070897491E-2</v>
      </c>
      <c r="HO47" s="230">
        <f t="shared" si="124"/>
        <v>-2.3260390074261662E-2</v>
      </c>
      <c r="HP47" s="230">
        <f t="shared" si="124"/>
        <v>-1.7664388820227889E-2</v>
      </c>
      <c r="HQ47" s="230">
        <f t="shared" si="124"/>
        <v>-1.3448656444493792E-2</v>
      </c>
      <c r="HR47" s="230">
        <f t="shared" si="124"/>
        <v>-1.0550970535974126E-2</v>
      </c>
      <c r="HS47" s="230">
        <f t="shared" si="124"/>
        <v>-4.8662412080917863E-3</v>
      </c>
      <c r="HU47" s="931">
        <f t="shared" si="125"/>
        <v>-113.01181588</v>
      </c>
      <c r="HV47" s="931">
        <f t="shared" si="125"/>
        <v>-206.44451150999998</v>
      </c>
      <c r="HW47" s="931">
        <f t="shared" si="125"/>
        <v>-257.94753467999999</v>
      </c>
      <c r="HX47" s="931">
        <f t="shared" si="125"/>
        <v>-582.66220807000002</v>
      </c>
      <c r="HY47" s="931">
        <f t="shared" si="125"/>
        <v>-269.91401139000004</v>
      </c>
      <c r="HZ47" s="931">
        <f t="shared" si="125"/>
        <v>-176.89237162999999</v>
      </c>
      <c r="IA47" s="931">
        <f t="shared" si="126"/>
        <v>-85.052199950000016</v>
      </c>
      <c r="IB47" s="931">
        <f t="shared" si="127"/>
        <v>-87.436582139999985</v>
      </c>
      <c r="IC47" s="931">
        <f t="shared" si="128"/>
        <v>-105.65634987999999</v>
      </c>
      <c r="ID47" s="931">
        <f t="shared" si="18"/>
        <v>-88.73</v>
      </c>
      <c r="IE47" s="931">
        <f t="shared" si="129"/>
        <v>-105.65634987999999</v>
      </c>
      <c r="IF47" s="922">
        <f t="shared" si="20"/>
        <v>0.20837694354094527</v>
      </c>
      <c r="IG47" s="931">
        <f t="shared" si="151"/>
        <v>-105.65634987999999</v>
      </c>
      <c r="IH47" s="931">
        <f t="shared" si="151"/>
        <v>-88.73</v>
      </c>
      <c r="II47" s="145"/>
      <c r="IJ47" s="934">
        <f t="shared" si="130"/>
        <v>1.1907624239828694</v>
      </c>
      <c r="IK47" s="935">
        <f t="shared" si="131"/>
        <v>-16.926349879999989</v>
      </c>
      <c r="IM47" s="230">
        <f t="shared" si="132"/>
        <v>-1.6248363175316083E-2</v>
      </c>
      <c r="IN47" s="934">
        <f t="shared" si="133"/>
        <v>-1.2566321228084071E-2</v>
      </c>
      <c r="IP47" s="934">
        <f t="shared" si="152"/>
        <v>0.24947634981085587</v>
      </c>
      <c r="IQ47" s="934">
        <f t="shared" si="152"/>
        <v>1.2588399954774867</v>
      </c>
      <c r="IR47" s="934">
        <f t="shared" si="152"/>
        <v>-0.536757305259151</v>
      </c>
      <c r="IS47" s="934">
        <f t="shared" si="152"/>
        <v>-0.34463434958770123</v>
      </c>
      <c r="IT47" s="934">
        <f t="shared" si="152"/>
        <v>-0.51918672825586321</v>
      </c>
      <c r="IU47" s="934">
        <f t="shared" si="152"/>
        <v>2.8034338810773773E-2</v>
      </c>
      <c r="IV47" s="934">
        <f t="shared" si="153"/>
        <v>0.20837694354094527</v>
      </c>
      <c r="IX47" s="931">
        <f t="shared" si="135"/>
        <v>-51.503023170000006</v>
      </c>
      <c r="IY47" s="931">
        <f t="shared" si="135"/>
        <v>-324.71467339000003</v>
      </c>
      <c r="IZ47" s="931">
        <f t="shared" si="135"/>
        <v>312.74819667999998</v>
      </c>
      <c r="JA47" s="931">
        <f t="shared" si="135"/>
        <v>93.021639760000056</v>
      </c>
      <c r="JB47" s="931">
        <f t="shared" si="135"/>
        <v>91.840171679999969</v>
      </c>
      <c r="JC47" s="931">
        <f t="shared" si="135"/>
        <v>-2.3843821899999682</v>
      </c>
      <c r="JD47" s="931">
        <f t="shared" si="136"/>
        <v>-18.219767740000009</v>
      </c>
      <c r="JF47" s="230">
        <f t="shared" si="137"/>
        <v>-7.0655940481749559E-3</v>
      </c>
      <c r="JG47" s="230">
        <f t="shared" si="137"/>
        <v>-1.2107238554971761E-2</v>
      </c>
      <c r="JH47" s="230">
        <f t="shared" si="137"/>
        <v>-1.5868547473873566E-2</v>
      </c>
      <c r="JI47" s="230">
        <f t="shared" si="137"/>
        <v>-6.228967378380406E-2</v>
      </c>
      <c r="JJ47" s="230">
        <f t="shared" si="137"/>
        <v>-0.13451143372184424</v>
      </c>
      <c r="JK47" s="230">
        <f t="shared" si="137"/>
        <v>-2.548398890268129E-2</v>
      </c>
      <c r="JL47" s="230">
        <f t="shared" si="137"/>
        <v>-1.6079577286925422E-2</v>
      </c>
      <c r="JM47" s="230">
        <f t="shared" si="138"/>
        <v>-1.5495116887440423E-2</v>
      </c>
      <c r="JO47" s="931">
        <f t="shared" si="139"/>
        <v>-17.115981999999995</v>
      </c>
      <c r="JP47" s="931">
        <f t="shared" si="139"/>
        <v>-30.618181279999984</v>
      </c>
      <c r="JQ47" s="931">
        <f t="shared" si="139"/>
        <v>-63.185647019999998</v>
      </c>
      <c r="JR47" s="931">
        <f t="shared" si="139"/>
        <v>-86.300212590000001</v>
      </c>
      <c r="JS47" s="931">
        <f t="shared" si="139"/>
        <v>-19.303510340000003</v>
      </c>
      <c r="JT47" s="931">
        <f t="shared" si="140"/>
        <v>-17.536523410000001</v>
      </c>
      <c r="JU47" s="931">
        <f t="shared" si="141"/>
        <v>-17.617096</v>
      </c>
      <c r="JV47" s="931">
        <f t="shared" si="141"/>
        <v>-7.9295308699999998</v>
      </c>
      <c r="JW47" s="931">
        <f t="shared" si="142"/>
        <v>-11.026005300000001</v>
      </c>
      <c r="JX47" s="931">
        <f t="shared" si="143"/>
        <v>-17.725999999999999</v>
      </c>
      <c r="JY47" s="931">
        <f t="shared" si="144"/>
        <v>-11.026005300000001</v>
      </c>
      <c r="KB47" s="230">
        <f t="shared" si="145"/>
        <v>1.0636642798007507</v>
      </c>
      <c r="KC47" s="230">
        <f t="shared" si="145"/>
        <v>0.36581987619250955</v>
      </c>
      <c r="KD47" s="230">
        <f t="shared" si="145"/>
        <v>-0.77632140454035459</v>
      </c>
      <c r="KE47" s="230">
        <f t="shared" si="145"/>
        <v>-9.1537077913674492E-2</v>
      </c>
      <c r="KF47" s="230">
        <f t="shared" si="145"/>
        <v>4.5945589166238587E-3</v>
      </c>
      <c r="KG47" s="230">
        <f t="shared" si="145"/>
        <v>-0.54989568825645274</v>
      </c>
      <c r="KH47" s="230">
        <f t="shared" si="146"/>
        <v>0.39049906996578754</v>
      </c>
      <c r="KJ47" s="931">
        <f t="shared" si="147"/>
        <v>-32.567465740000017</v>
      </c>
      <c r="KK47" s="931">
        <f t="shared" si="147"/>
        <v>-23.114565570000003</v>
      </c>
      <c r="KL47" s="931">
        <f t="shared" si="147"/>
        <v>66.996702249999998</v>
      </c>
      <c r="KM47" s="931">
        <f t="shared" si="147"/>
        <v>1.7669869300000016</v>
      </c>
      <c r="KN47" s="931">
        <f t="shared" si="147"/>
        <v>-8.0572589999999167E-2</v>
      </c>
      <c r="KO47" s="931">
        <f t="shared" si="147"/>
        <v>9.6875651299999994</v>
      </c>
      <c r="KP47" s="931">
        <f t="shared" si="148"/>
        <v>-3.0964744300000016</v>
      </c>
      <c r="KR47" s="230">
        <f t="shared" si="149"/>
        <v>-5.3390284838594941E-3</v>
      </c>
      <c r="KS47" s="230">
        <f t="shared" si="149"/>
        <v>-9.1037597174592946E-3</v>
      </c>
      <c r="KT47" s="230">
        <f t="shared" si="149"/>
        <v>-2.5184270337368114E-2</v>
      </c>
      <c r="KU47" s="230">
        <f t="shared" si="149"/>
        <v>-9.6460706430663914E-2</v>
      </c>
      <c r="KV47" s="230">
        <f t="shared" si="149"/>
        <v>-6.1861504695591908E-2</v>
      </c>
      <c r="KW47" s="230">
        <f t="shared" si="149"/>
        <v>-1.7294038744250617E-2</v>
      </c>
      <c r="KX47" s="230">
        <f t="shared" si="149"/>
        <v>-2.0084518349489263E-2</v>
      </c>
      <c r="KY47" s="230">
        <f t="shared" si="149"/>
        <v>-5.1823108465764529E-3</v>
      </c>
      <c r="KZ47" s="230">
        <f t="shared" si="46"/>
        <v>-3.0085813852756948E-2</v>
      </c>
    </row>
    <row r="48" spans="1:312" outlineLevel="2">
      <c r="A48" s="884">
        <v>5195</v>
      </c>
      <c r="B48" s="70" t="s">
        <v>638</v>
      </c>
      <c r="C48" s="29" t="s">
        <v>83</v>
      </c>
      <c r="D48" s="31" t="s">
        <v>59</v>
      </c>
      <c r="E48" s="924">
        <v>-3.0898180000000002</v>
      </c>
      <c r="F48" s="924">
        <v>-4.4450259999999995</v>
      </c>
      <c r="G48" s="924">
        <v>-6.547893199999999</v>
      </c>
      <c r="H48" s="924">
        <v>-6.7272206800000003</v>
      </c>
      <c r="I48" s="924">
        <v>-3.5713839999999983</v>
      </c>
      <c r="J48" s="924">
        <v>-6.7951680000000003</v>
      </c>
      <c r="K48" s="924">
        <v>-4.0138137200000017</v>
      </c>
      <c r="L48" s="924">
        <v>-4.1230159999999998</v>
      </c>
      <c r="M48" s="924">
        <v>-8.0245160000000055</v>
      </c>
      <c r="N48" s="924">
        <v>-3.8172752799999969</v>
      </c>
      <c r="O48" s="924">
        <v>-16.916734359999992</v>
      </c>
      <c r="P48" s="924">
        <v>-21.199920140000003</v>
      </c>
      <c r="Q48" s="924">
        <v>-7.47279728</v>
      </c>
      <c r="R48" s="924">
        <v>-4.9082789299999998</v>
      </c>
      <c r="S48" s="924">
        <v>-6.253851319999999</v>
      </c>
      <c r="T48" s="924">
        <v>-11.279135250000003</v>
      </c>
      <c r="U48" s="924">
        <v>-6.6179310799999911</v>
      </c>
      <c r="V48" s="924">
        <v>-3.8957339399999995</v>
      </c>
      <c r="W48" s="924">
        <v>-11.763511420000007</v>
      </c>
      <c r="X48" s="924">
        <v>-2.9455242400000046</v>
      </c>
      <c r="Y48" s="924">
        <v>-27.213777619999995</v>
      </c>
      <c r="Z48" s="924">
        <v>-3.4857940800000051</v>
      </c>
      <c r="AA48" s="924">
        <v>-10.538299969999997</v>
      </c>
      <c r="AB48" s="924">
        <v>-9.9700462600000179</v>
      </c>
      <c r="AC48" s="924">
        <v>-5.7793586499999998</v>
      </c>
      <c r="AD48" s="924">
        <v>-11.47739462</v>
      </c>
      <c r="AE48" s="924">
        <v>-16.854943290000001</v>
      </c>
      <c r="AF48" s="924">
        <v>-17.76489445</v>
      </c>
      <c r="AG48" s="924">
        <v>-28.290242640000002</v>
      </c>
      <c r="AH48" s="924">
        <v>-31.923409250000002</v>
      </c>
      <c r="AI48" s="924">
        <v>-15.970226619999998</v>
      </c>
      <c r="AJ48" s="924">
        <v>-16.525419749999998</v>
      </c>
      <c r="AK48" s="924">
        <v>-18.819460409999998</v>
      </c>
      <c r="AL48" s="924">
        <v>-31.173611439999998</v>
      </c>
      <c r="AM48" s="924">
        <v>-30.997834769999997</v>
      </c>
      <c r="AN48" s="102">
        <v>-104.13596443</v>
      </c>
      <c r="AO48" s="924">
        <v>13.426269</v>
      </c>
      <c r="AP48" s="925">
        <v>-28.790886350000001</v>
      </c>
      <c r="AQ48" s="143">
        <v>-36.114923680000004</v>
      </c>
      <c r="AR48" s="220">
        <v>-43.008098149999995</v>
      </c>
      <c r="AS48" s="924">
        <v>-27.461565210000003</v>
      </c>
      <c r="AT48" s="924">
        <v>-35.296593979999997</v>
      </c>
      <c r="AU48" s="924">
        <v>-25.39923958</v>
      </c>
      <c r="AV48" s="924">
        <v>-15.380685510000003</v>
      </c>
      <c r="AW48" s="924">
        <v>-20.189338600000003</v>
      </c>
      <c r="AX48" s="924">
        <v>-18.504386719999999</v>
      </c>
      <c r="AY48" s="924">
        <v>-89.790509049999997</v>
      </c>
      <c r="AZ48" s="924">
        <f>-5.13620653+0.000164359999928365</f>
        <v>-5.1360421700000716</v>
      </c>
      <c r="BA48" s="102">
        <v>-5.73793592</v>
      </c>
      <c r="BB48" s="102">
        <v>-10.54696875</v>
      </c>
      <c r="BC48" s="102">
        <v>-17.134062670000002</v>
      </c>
      <c r="BD48" s="102">
        <v>-19.070178239999997</v>
      </c>
      <c r="BE48" s="924">
        <v>-21.961042169999999</v>
      </c>
      <c r="BF48" s="924">
        <v>-4.2771047400000022</v>
      </c>
      <c r="BG48" s="924">
        <v>-2.4602913600000003</v>
      </c>
      <c r="BH48" s="924">
        <v>-3.8197726000000003</v>
      </c>
      <c r="BI48" s="924">
        <v>-3.6350179200000001</v>
      </c>
      <c r="BJ48" s="924">
        <v>-4.4868540000000001</v>
      </c>
      <c r="BK48" s="924">
        <v>-6.4998471400000009</v>
      </c>
      <c r="BL48" s="924">
        <v>-6.8351029499999996</v>
      </c>
      <c r="BM48" s="924">
        <v>-8.7635690000000004</v>
      </c>
      <c r="BN48" s="102">
        <v>-17.013440840000001</v>
      </c>
      <c r="BO48" s="102">
        <v>-11.89086876</v>
      </c>
      <c r="BP48" s="102">
        <v>-8.8034289999999995</v>
      </c>
      <c r="BQ48" s="924">
        <v>-7.5199150000000001</v>
      </c>
      <c r="BR48" s="924">
        <v>-8.6159619999999997</v>
      </c>
      <c r="BS48" s="924">
        <v>-4.0664069999999999</v>
      </c>
      <c r="BT48" s="924">
        <v>-11.402094999999999</v>
      </c>
      <c r="BU48" s="924">
        <v>-7.0457340000000013</v>
      </c>
      <c r="BV48" s="924">
        <v>-10.547770999999999</v>
      </c>
      <c r="BW48" s="924">
        <v>-5.845504</v>
      </c>
      <c r="BX48" s="924">
        <v>-22.584341999999999</v>
      </c>
      <c r="BY48" s="924">
        <v>-10.431155</v>
      </c>
      <c r="BZ48" s="924">
        <v>-5.671665</v>
      </c>
      <c r="CA48" s="924">
        <v>-3.609362</v>
      </c>
      <c r="CB48" s="924">
        <v>-8.4596499999999999</v>
      </c>
      <c r="CC48" s="924">
        <v>-7.7386189999999999</v>
      </c>
      <c r="CD48" s="924">
        <v>-6.5563969999999996</v>
      </c>
      <c r="CE48" s="924">
        <v>-6.1248189999999996</v>
      </c>
      <c r="CF48" s="924">
        <v>-8.8624860000000005</v>
      </c>
      <c r="CG48" s="924">
        <v>-14.672027</v>
      </c>
      <c r="CH48" s="924">
        <v>-8.4108490000000007</v>
      </c>
      <c r="CI48" s="924">
        <v>-5.7225539999999997</v>
      </c>
      <c r="CJ48" s="924">
        <v>-14.377734999999999</v>
      </c>
      <c r="CK48" s="924">
        <v>-4.6208600000000004</v>
      </c>
      <c r="CL48" s="924">
        <v>-9.9253049999999998</v>
      </c>
      <c r="CM48" s="924">
        <v>-9.0666390000000003</v>
      </c>
      <c r="CN48" s="924">
        <v>-7.6829510000000001</v>
      </c>
      <c r="CO48" s="924">
        <v>-14.312903</v>
      </c>
      <c r="CP48" s="924">
        <v>-3.0554079999999999</v>
      </c>
      <c r="CQ48" s="924">
        <v>-6.6246239999999998</v>
      </c>
      <c r="CR48" s="924">
        <v>-6.4754180000000003</v>
      </c>
      <c r="CS48" s="924">
        <v>-12.836743</v>
      </c>
      <c r="CT48" s="924">
        <v>-6.3375490000000001</v>
      </c>
      <c r="CU48" s="924">
        <v>-14.920114</v>
      </c>
      <c r="CV48" s="924">
        <v>-23.273606000000001</v>
      </c>
      <c r="CW48" s="924">
        <v>-5.4418540000000002</v>
      </c>
      <c r="CX48" s="924">
        <v>-15.835086</v>
      </c>
      <c r="CY48" s="924">
        <v>-4.3704239999999999</v>
      </c>
      <c r="CZ48" s="924">
        <v>-0.21760399999999999</v>
      </c>
      <c r="DA48" s="924">
        <v>-3.0269599999999999</v>
      </c>
      <c r="DB48" s="924">
        <v>-5.2196300000000004</v>
      </c>
      <c r="DC48" s="924">
        <v>-1.7009860000000001</v>
      </c>
      <c r="DD48" s="924">
        <v>-1.02545</v>
      </c>
      <c r="DE48" s="924">
        <v>-6.7140919999999999</v>
      </c>
      <c r="DF48" s="924">
        <v>-1.0849960000000001</v>
      </c>
      <c r="DG48" s="924">
        <v>-6.3289869999999997</v>
      </c>
      <c r="DH48" s="924">
        <v>-5.0997170000000001</v>
      </c>
      <c r="DI48" s="145"/>
      <c r="DJ48" s="924">
        <v>-5.4418540000000002</v>
      </c>
      <c r="DK48" s="924">
        <v>-15.835086</v>
      </c>
      <c r="DL48" s="924">
        <v>-4.3704239999999999</v>
      </c>
      <c r="DM48" s="924">
        <v>-0.21760399999999999</v>
      </c>
      <c r="DN48" s="924">
        <v>-3.0269599999999999</v>
      </c>
      <c r="DO48" s="924">
        <v>-5.2196300000000004</v>
      </c>
      <c r="DP48" s="924">
        <v>-3.889894</v>
      </c>
      <c r="DQ48" s="924">
        <v>-2.73</v>
      </c>
      <c r="DR48" s="924">
        <v>-4.88</v>
      </c>
      <c r="DS48" s="924">
        <v>-4.9557140000000004</v>
      </c>
      <c r="DT48" s="924">
        <v>-4.71</v>
      </c>
      <c r="DU48" s="924">
        <v>-4.95</v>
      </c>
      <c r="DW48" s="924">
        <v>-23.155000000000001</v>
      </c>
      <c r="DX48" s="924">
        <v>-41.97</v>
      </c>
      <c r="DY48" s="924">
        <v>-37.090000000000003</v>
      </c>
      <c r="DZ48" s="924">
        <v>-40.813333333333325</v>
      </c>
      <c r="EA48" s="924">
        <v>-23.74</v>
      </c>
      <c r="EB48" s="924">
        <v>-23.077213</v>
      </c>
      <c r="EC48" s="924">
        <v>-25.414999999999999</v>
      </c>
      <c r="ED48" s="924">
        <v>-30.553333333333331</v>
      </c>
      <c r="EE48" s="924">
        <v>-26.74</v>
      </c>
      <c r="EF48" s="924">
        <v>-24.54</v>
      </c>
      <c r="EG48" s="924">
        <v>-23.47</v>
      </c>
      <c r="EH48" s="924">
        <v>-35.733333333333327</v>
      </c>
      <c r="EI48" s="924">
        <v>-11.758800000000001</v>
      </c>
      <c r="EJ48" s="924">
        <v>-13.824400000000001</v>
      </c>
      <c r="EK48" s="924">
        <v>-12.244</v>
      </c>
      <c r="EL48" s="924">
        <v>-10.471500000000001</v>
      </c>
      <c r="EM48" s="924">
        <v>-10.8315</v>
      </c>
      <c r="EN48" s="924">
        <v>-14.109291000000001</v>
      </c>
      <c r="EO48" s="924">
        <v>-10.5045</v>
      </c>
      <c r="EP48" s="924">
        <v>-11.601000000000001</v>
      </c>
      <c r="EQ48" s="924">
        <v>-12.943788</v>
      </c>
      <c r="ER48" s="924">
        <v>-10.8215</v>
      </c>
      <c r="ES48" s="924">
        <v>-10.569000000000001</v>
      </c>
      <c r="ET48" s="924">
        <v>-12.961</v>
      </c>
      <c r="EU48" s="924">
        <v>-11.54</v>
      </c>
      <c r="EV48" s="924">
        <v>-11.24</v>
      </c>
      <c r="EW48" s="924">
        <v>-12.68</v>
      </c>
      <c r="EX48" s="924">
        <v>-12.1814</v>
      </c>
      <c r="EY48" s="924">
        <v>-11.84</v>
      </c>
      <c r="EZ48" s="924">
        <v>-11.34</v>
      </c>
      <c r="FA48" s="924">
        <v>-11.24</v>
      </c>
      <c r="FB48" s="924">
        <v>-11.6814</v>
      </c>
      <c r="FC48" s="924">
        <v>-11.64</v>
      </c>
      <c r="FD48" s="924">
        <v>-11.24</v>
      </c>
      <c r="FE48" s="924">
        <v>-12.34</v>
      </c>
      <c r="FF48" s="924">
        <v>-11.756399999999999</v>
      </c>
      <c r="FG48" s="924">
        <v>-9.5150000000000006</v>
      </c>
      <c r="FH48" s="924">
        <v>-9.34</v>
      </c>
      <c r="FI48" s="924">
        <v>-11.583</v>
      </c>
      <c r="FJ48" s="924">
        <v>-9.5549999999999997</v>
      </c>
      <c r="FK48" s="924">
        <v>-9.3000000000000007</v>
      </c>
      <c r="FL48" s="924">
        <v>-11.603</v>
      </c>
      <c r="FM48" s="924">
        <v>-9.5649999999999995</v>
      </c>
      <c r="FN48" s="924">
        <v>-9.34</v>
      </c>
      <c r="FO48" s="924">
        <v>-9.58</v>
      </c>
      <c r="FP48" s="924">
        <v>-12.708</v>
      </c>
      <c r="FQ48" s="924">
        <v>-9.3000000000000007</v>
      </c>
      <c r="FR48" s="924">
        <v>-9.6199999999999992</v>
      </c>
      <c r="FS48" s="924">
        <v>-9.5150000000000006</v>
      </c>
      <c r="FT48" s="924">
        <v>-9.34</v>
      </c>
      <c r="FU48" s="924">
        <v>-11.583</v>
      </c>
      <c r="FV48" s="924">
        <v>-9.5549999999999997</v>
      </c>
      <c r="FW48" s="924">
        <v>-9.3000000000000007</v>
      </c>
      <c r="FX48" s="924">
        <v>-11.603</v>
      </c>
      <c r="FY48" s="924">
        <v>-9.5649999999999995</v>
      </c>
      <c r="FZ48" s="924">
        <v>-9.34</v>
      </c>
      <c r="GA48" s="924">
        <v>-9.58</v>
      </c>
      <c r="GB48" s="924">
        <v>-12.708</v>
      </c>
      <c r="GC48" s="924">
        <v>-9.3000000000000007</v>
      </c>
      <c r="GD48" s="924">
        <v>-9.6199999999999992</v>
      </c>
      <c r="GF48" s="924">
        <f t="shared" si="120"/>
        <v>-89.271785379999997</v>
      </c>
      <c r="GG48" s="924">
        <f t="shared" si="120"/>
        <v>-106.34468139000002</v>
      </c>
      <c r="GH48" s="924">
        <f t="shared" si="120"/>
        <v>-329.71276032000003</v>
      </c>
      <c r="GI48" s="924">
        <f t="shared" si="120"/>
        <v>-331.64600000000002</v>
      </c>
      <c r="GJ48" s="924">
        <f t="shared" si="150"/>
        <v>-106.46417846</v>
      </c>
      <c r="GK48" s="924">
        <f t="shared" si="37"/>
        <v>-124.0990376</v>
      </c>
      <c r="GL48" s="924">
        <f t="shared" si="38"/>
        <v>-100.63731800000001</v>
      </c>
      <c r="GM48" s="924">
        <f t="shared" si="121"/>
        <v>-119.13211999999999</v>
      </c>
      <c r="GN48" s="924">
        <f t="shared" si="7"/>
        <v>-121.00900000000001</v>
      </c>
      <c r="GO48" s="924">
        <v>-56.065785999999996</v>
      </c>
      <c r="GQ48" s="927">
        <f t="shared" si="122"/>
        <v>2.1004160810904846</v>
      </c>
      <c r="GR48" s="927">
        <f t="shared" si="122"/>
        <v>5.8634057053894573E-3</v>
      </c>
      <c r="GS48" s="927">
        <f t="shared" si="122"/>
        <v>-0.67898247390289646</v>
      </c>
      <c r="GT48" s="927">
        <f t="shared" si="122"/>
        <v>0.16564124567612803</v>
      </c>
      <c r="GU48" s="927">
        <f t="shared" si="122"/>
        <v>-0.189056418597077</v>
      </c>
      <c r="GV48" s="927">
        <f t="shared" si="122"/>
        <v>0.18377677751706356</v>
      </c>
      <c r="GW48" s="927">
        <f t="shared" si="92"/>
        <v>1.5754609252315976E-2</v>
      </c>
      <c r="GX48" s="927">
        <f t="shared" si="92"/>
        <v>-0.53668085844854518</v>
      </c>
      <c r="GY48" s="927">
        <f t="shared" si="9"/>
        <v>-0.52938144641428353</v>
      </c>
      <c r="HA48" s="924">
        <f t="shared" si="123"/>
        <v>-223.36807893000002</v>
      </c>
      <c r="HB48" s="924">
        <f t="shared" si="123"/>
        <v>-1.9332396799999856</v>
      </c>
      <c r="HC48" s="924">
        <f t="shared" si="123"/>
        <v>225.18182154000002</v>
      </c>
      <c r="HD48" s="924">
        <f t="shared" si="99"/>
        <v>-17.634859140000003</v>
      </c>
      <c r="HE48" s="924">
        <f t="shared" si="93"/>
        <v>23.461719599999995</v>
      </c>
      <c r="HF48" s="924">
        <f t="shared" si="93"/>
        <v>-18.494801999999979</v>
      </c>
      <c r="HG48" s="924">
        <f t="shared" si="93"/>
        <v>-1.8768800000000283</v>
      </c>
      <c r="HH48" s="924">
        <f t="shared" si="93"/>
        <v>64.943214000000012</v>
      </c>
      <c r="HI48" s="924">
        <f t="shared" si="11"/>
        <v>63.066333999999991</v>
      </c>
      <c r="HK48" s="76">
        <f t="shared" si="124"/>
        <v>-2.8933171216023903E-3</v>
      </c>
      <c r="HL48" s="76">
        <f t="shared" si="124"/>
        <v>-8.3719603915436789E-3</v>
      </c>
      <c r="HM48" s="76">
        <f t="shared" si="124"/>
        <v>-1.9679004658287803E-2</v>
      </c>
      <c r="HN48" s="76">
        <f t="shared" si="124"/>
        <v>-1.7305545300811947E-2</v>
      </c>
      <c r="HO48" s="76">
        <f t="shared" si="124"/>
        <v>-9.1056366940286404E-3</v>
      </c>
      <c r="HP48" s="76">
        <f t="shared" si="124"/>
        <v>-7.1119096352882868E-3</v>
      </c>
      <c r="HQ48" s="76">
        <f t="shared" si="124"/>
        <v>-5.6116703816758229E-3</v>
      </c>
      <c r="HR48" s="76">
        <f t="shared" si="124"/>
        <v>-7.6917567433637552E-3</v>
      </c>
      <c r="HS48" s="76">
        <f t="shared" si="124"/>
        <v>-4.4426534863805465E-3</v>
      </c>
      <c r="HU48" s="924">
        <f t="shared" si="125"/>
        <v>-31.176509879999998</v>
      </c>
      <c r="HV48" s="924">
        <f t="shared" si="125"/>
        <v>-40.427727799999992</v>
      </c>
      <c r="HW48" s="924">
        <f t="shared" si="125"/>
        <v>-112.09024290000001</v>
      </c>
      <c r="HX48" s="924">
        <f t="shared" si="125"/>
        <v>-157.24579836999999</v>
      </c>
      <c r="HY48" s="924">
        <f t="shared" si="125"/>
        <v>-78.727292489999996</v>
      </c>
      <c r="HZ48" s="924">
        <f t="shared" si="125"/>
        <v>-62.607184599999997</v>
      </c>
      <c r="IA48" s="924">
        <f t="shared" si="126"/>
        <v>-42.466847999999999</v>
      </c>
      <c r="IB48" s="924">
        <f t="shared" si="127"/>
        <v>-48.664065999999998</v>
      </c>
      <c r="IC48" s="924">
        <f t="shared" si="128"/>
        <v>-34.111558000000002</v>
      </c>
      <c r="ID48" s="924">
        <f t="shared" si="18"/>
        <v>-60.896000000000008</v>
      </c>
      <c r="IE48" s="924">
        <f t="shared" si="129"/>
        <v>-34.111558000000002</v>
      </c>
      <c r="IF48" s="922">
        <f t="shared" si="20"/>
        <v>-0.29904011719859158</v>
      </c>
      <c r="IG48" s="924">
        <f t="shared" si="151"/>
        <v>-34.111558000000002</v>
      </c>
      <c r="IH48" s="924">
        <f t="shared" si="151"/>
        <v>-60.896000000000008</v>
      </c>
      <c r="II48" s="145"/>
      <c r="IJ48" s="927">
        <f t="shared" si="130"/>
        <v>0.56016089726747242</v>
      </c>
      <c r="IK48" s="928">
        <f t="shared" si="131"/>
        <v>26.784442000000006</v>
      </c>
      <c r="IM48" s="76">
        <f t="shared" si="132"/>
        <v>-5.2458464019376058E-3</v>
      </c>
      <c r="IN48" s="927">
        <f t="shared" si="133"/>
        <v>-8.6243513750186816E-3</v>
      </c>
      <c r="IP48" s="927">
        <f t="shared" si="152"/>
        <v>1.7726080341324555</v>
      </c>
      <c r="IQ48" s="927">
        <f t="shared" si="152"/>
        <v>0.40285000997174203</v>
      </c>
      <c r="IR48" s="927">
        <f t="shared" si="152"/>
        <v>-0.49933611386706589</v>
      </c>
      <c r="IS48" s="927">
        <f t="shared" si="152"/>
        <v>-0.20475882480078411</v>
      </c>
      <c r="IT48" s="927">
        <f t="shared" si="152"/>
        <v>-0.32169369583822494</v>
      </c>
      <c r="IU48" s="927">
        <f t="shared" si="152"/>
        <v>0.14593072695199782</v>
      </c>
      <c r="IV48" s="927">
        <f t="shared" si="153"/>
        <v>-0.29904011719859158</v>
      </c>
      <c r="IX48" s="924">
        <f t="shared" si="135"/>
        <v>-71.662515100000007</v>
      </c>
      <c r="IY48" s="924">
        <f t="shared" si="135"/>
        <v>-45.155555469999982</v>
      </c>
      <c r="IZ48" s="924">
        <f t="shared" si="135"/>
        <v>78.518505879999992</v>
      </c>
      <c r="JA48" s="924">
        <f t="shared" si="135"/>
        <v>16.12010789</v>
      </c>
      <c r="JB48" s="924">
        <f t="shared" si="135"/>
        <v>20.140336599999998</v>
      </c>
      <c r="JC48" s="924">
        <f t="shared" si="135"/>
        <v>-6.1972179999999994</v>
      </c>
      <c r="JD48" s="924">
        <f t="shared" si="136"/>
        <v>14.552507999999996</v>
      </c>
      <c r="JF48" s="76">
        <f t="shared" si="137"/>
        <v>-1.9491816933983038E-3</v>
      </c>
      <c r="JG48" s="76">
        <f t="shared" si="137"/>
        <v>-2.3709428801470182E-3</v>
      </c>
      <c r="JH48" s="76">
        <f t="shared" si="137"/>
        <v>-6.8956245037320061E-3</v>
      </c>
      <c r="JI48" s="76">
        <f t="shared" si="137"/>
        <v>-1.6810408069514608E-2</v>
      </c>
      <c r="JJ48" s="76">
        <f t="shared" si="137"/>
        <v>-3.9233683836322759E-2</v>
      </c>
      <c r="JK48" s="76">
        <f t="shared" si="137"/>
        <v>-9.0195002920291784E-3</v>
      </c>
      <c r="JL48" s="76">
        <f t="shared" si="137"/>
        <v>-8.0285867379038239E-3</v>
      </c>
      <c r="JM48" s="76">
        <f t="shared" si="138"/>
        <v>-5.0026579474212619E-3</v>
      </c>
      <c r="JO48" s="924">
        <f t="shared" si="139"/>
        <v>-6.7951680000000003</v>
      </c>
      <c r="JP48" s="924">
        <f t="shared" si="139"/>
        <v>-3.8957339399999995</v>
      </c>
      <c r="JQ48" s="924">
        <f t="shared" si="139"/>
        <v>-31.923409250000002</v>
      </c>
      <c r="JR48" s="924">
        <f t="shared" si="139"/>
        <v>-35.296593979999997</v>
      </c>
      <c r="JS48" s="924">
        <f t="shared" si="139"/>
        <v>-4.2771047400000022</v>
      </c>
      <c r="JT48" s="924">
        <f t="shared" si="140"/>
        <v>-8.6159619999999997</v>
      </c>
      <c r="JU48" s="924">
        <f t="shared" si="141"/>
        <v>-6.5563969999999996</v>
      </c>
      <c r="JV48" s="924">
        <f t="shared" si="141"/>
        <v>-3.0554079999999999</v>
      </c>
      <c r="JW48" s="924">
        <f t="shared" si="142"/>
        <v>-5.2196300000000004</v>
      </c>
      <c r="JX48" s="924">
        <f t="shared" si="143"/>
        <v>-11.603</v>
      </c>
      <c r="JY48" s="924">
        <f t="shared" si="144"/>
        <v>-5.2196300000000004</v>
      </c>
      <c r="KB48" s="76">
        <f t="shared" si="145"/>
        <v>7.1944531484098242</v>
      </c>
      <c r="KC48" s="76">
        <f t="shared" si="145"/>
        <v>0.10566492768938818</v>
      </c>
      <c r="KD48" s="76">
        <f t="shared" si="145"/>
        <v>-0.87882386775269239</v>
      </c>
      <c r="KE48" s="76">
        <f t="shared" si="145"/>
        <v>1.0144379255954332</v>
      </c>
      <c r="KF48" s="76">
        <f t="shared" si="145"/>
        <v>-0.23904063179480139</v>
      </c>
      <c r="KG48" s="76">
        <f t="shared" si="145"/>
        <v>-0.53398062990999473</v>
      </c>
      <c r="KH48" s="76">
        <f t="shared" si="146"/>
        <v>0.70832504202384783</v>
      </c>
      <c r="KJ48" s="924">
        <f t="shared" si="147"/>
        <v>-28.027675310000003</v>
      </c>
      <c r="KK48" s="924">
        <f t="shared" si="147"/>
        <v>-3.3731847299999949</v>
      </c>
      <c r="KL48" s="924">
        <f t="shared" si="147"/>
        <v>31.019489239999995</v>
      </c>
      <c r="KM48" s="924">
        <f t="shared" si="147"/>
        <v>-4.3388572599999975</v>
      </c>
      <c r="KN48" s="924">
        <f t="shared" si="147"/>
        <v>2.0595650000000001</v>
      </c>
      <c r="KO48" s="924">
        <f t="shared" si="147"/>
        <v>3.5009889999999997</v>
      </c>
      <c r="KP48" s="924">
        <f t="shared" si="148"/>
        <v>-2.1642220000000005</v>
      </c>
      <c r="KR48" s="76">
        <f t="shared" si="149"/>
        <v>-2.1196327213133643E-3</v>
      </c>
      <c r="KS48" s="76">
        <f t="shared" si="149"/>
        <v>-1.1583256820050744E-3</v>
      </c>
      <c r="KT48" s="76">
        <f t="shared" si="149"/>
        <v>-1.2723898647234869E-2</v>
      </c>
      <c r="KU48" s="76">
        <f t="shared" si="149"/>
        <v>-3.9452213241727763E-2</v>
      </c>
      <c r="KV48" s="76">
        <f t="shared" si="149"/>
        <v>-1.3706736769466175E-2</v>
      </c>
      <c r="KW48" s="76">
        <f t="shared" si="149"/>
        <v>-8.4968255772990189E-3</v>
      </c>
      <c r="KX48" s="76">
        <f t="shared" si="149"/>
        <v>-7.4746755000390727E-3</v>
      </c>
      <c r="KY48" s="76">
        <f t="shared" si="149"/>
        <v>-1.9968487768957342E-3</v>
      </c>
      <c r="KZ48" s="76">
        <f t="shared" si="46"/>
        <v>-1.4242403507666165E-2</v>
      </c>
    </row>
    <row r="49" spans="1:312" outlineLevel="2">
      <c r="A49" s="884">
        <v>5140</v>
      </c>
      <c r="B49" s="70" t="s">
        <v>639</v>
      </c>
      <c r="C49" s="29" t="s">
        <v>84</v>
      </c>
      <c r="D49" s="31" t="s">
        <v>59</v>
      </c>
      <c r="E49" s="102">
        <v>-3.4819999999999997E-2</v>
      </c>
      <c r="F49" s="102">
        <v>-9.900000000000006E-3</v>
      </c>
      <c r="G49" s="102">
        <v>-3.383</v>
      </c>
      <c r="H49" s="102">
        <v>-0.28835100000000002</v>
      </c>
      <c r="I49" s="102">
        <v>0</v>
      </c>
      <c r="J49" s="102">
        <v>-0.46970000000000001</v>
      </c>
      <c r="K49" s="102">
        <v>-0.20989959999999996</v>
      </c>
      <c r="L49" s="102">
        <v>-6.4000000000000057E-2</v>
      </c>
      <c r="M49" s="102">
        <v>-9.3799999999999883E-2</v>
      </c>
      <c r="N49" s="102">
        <v>0</v>
      </c>
      <c r="O49" s="102">
        <v>-9.5663710000000002</v>
      </c>
      <c r="P49" s="102">
        <v>-59.24694955999999</v>
      </c>
      <c r="Q49" s="102">
        <v>-3.1089999999999998E-3</v>
      </c>
      <c r="R49" s="102">
        <v>-4.6441999999999997E-2</v>
      </c>
      <c r="S49" s="102">
        <v>-2.1768000000000001</v>
      </c>
      <c r="T49" s="102">
        <v>-3.7004000000000037E-2</v>
      </c>
      <c r="U49" s="102">
        <v>0</v>
      </c>
      <c r="V49" s="102">
        <v>-7.5000000000000178E-2</v>
      </c>
      <c r="W49" s="102">
        <v>-0.77376800000000001</v>
      </c>
      <c r="X49" s="102">
        <v>-0.35799999999999965</v>
      </c>
      <c r="Y49" s="102">
        <v>-0.10959999999999992</v>
      </c>
      <c r="Z49" s="102">
        <v>0</v>
      </c>
      <c r="AA49" s="102">
        <v>-4.1000000000002146E-3</v>
      </c>
      <c r="AB49" s="102">
        <v>-25.900600000000001</v>
      </c>
      <c r="AC49" s="102">
        <v>0</v>
      </c>
      <c r="AD49" s="102">
        <v>-0.22648017000000001</v>
      </c>
      <c r="AE49" s="102">
        <v>-0.11409999999999999</v>
      </c>
      <c r="AF49" s="102">
        <v>-1.9561864399999997</v>
      </c>
      <c r="AG49" s="102">
        <v>-5.1462769999999995</v>
      </c>
      <c r="AH49" s="102">
        <v>-1.56425035</v>
      </c>
      <c r="AI49" s="102">
        <v>0</v>
      </c>
      <c r="AJ49" s="102">
        <v>-3.0801700000000001E-3</v>
      </c>
      <c r="AK49" s="102">
        <v>-0.11994</v>
      </c>
      <c r="AL49" s="102">
        <v>-4.1640519999999993E-2</v>
      </c>
      <c r="AM49" s="102">
        <v>-1.5399999999999999E-3</v>
      </c>
      <c r="AN49" s="102">
        <v>-0.13544</v>
      </c>
      <c r="AO49" s="102">
        <v>0</v>
      </c>
      <c r="AP49" s="145">
        <v>0</v>
      </c>
      <c r="AQ49" s="143">
        <v>-4.4200450999999958</v>
      </c>
      <c r="AR49" s="220">
        <v>-5.8308479999999996</v>
      </c>
      <c r="AS49" s="102">
        <v>-25.700786659999999</v>
      </c>
      <c r="AT49" s="102">
        <v>-10.51708324</v>
      </c>
      <c r="AU49" s="102">
        <v>-8.9611760000000013E-2</v>
      </c>
      <c r="AV49" s="102">
        <v>-0.15570000000000001</v>
      </c>
      <c r="AW49" s="102">
        <v>-0.26534999999999997</v>
      </c>
      <c r="AX49" s="102">
        <v>-0.337696</v>
      </c>
      <c r="AY49" s="102">
        <v>5.7700000000000001E-2</v>
      </c>
      <c r="AZ49" s="102">
        <v>-0.37567600000000001</v>
      </c>
      <c r="BA49" s="102">
        <v>-3.8280000000000002E-2</v>
      </c>
      <c r="BB49" s="102">
        <v>-5.1400000000000001E-2</v>
      </c>
      <c r="BC49" s="102">
        <v>-2.5134319999999999</v>
      </c>
      <c r="BD49" s="102">
        <v>-2.3540519999999998</v>
      </c>
      <c r="BE49" s="102">
        <v>-0.73946199999999995</v>
      </c>
      <c r="BF49" s="102">
        <v>-0.96399999999999997</v>
      </c>
      <c r="BG49" s="102">
        <v>-2.3371179999999998</v>
      </c>
      <c r="BH49" s="102">
        <v>-2.6720000000000002</v>
      </c>
      <c r="BI49" s="102">
        <v>-8.4808999999999996E-2</v>
      </c>
      <c r="BJ49" s="102">
        <v>-0.25600000000000001</v>
      </c>
      <c r="BK49" s="102">
        <v>-0.18540000000000001</v>
      </c>
      <c r="BL49" s="102">
        <v>-2.0899999999999998E-2</v>
      </c>
      <c r="BM49" s="102">
        <v>-4.7999999999999996E-3</v>
      </c>
      <c r="BN49" s="102">
        <v>-3.4030000000000002E-3</v>
      </c>
      <c r="BO49" s="102">
        <v>-2.9600000000000001E-2</v>
      </c>
      <c r="BP49" s="102">
        <v>-2.2930000000000001</v>
      </c>
      <c r="BQ49" s="102">
        <v>0</v>
      </c>
      <c r="BR49" s="102">
        <v>-3.3999999999999998E-3</v>
      </c>
      <c r="BS49" s="102">
        <v>-6.5600000000000006E-2</v>
      </c>
      <c r="BT49" s="102">
        <v>-4.5400000000000003E-2</v>
      </c>
      <c r="BU49" s="102">
        <v>-0.19339999999999999</v>
      </c>
      <c r="BV49" s="102">
        <v>0</v>
      </c>
      <c r="BW49" s="102">
        <v>-5.2699999999999997E-2</v>
      </c>
      <c r="BX49" s="102">
        <v>-1.6E-2</v>
      </c>
      <c r="BY49" s="102">
        <v>0</v>
      </c>
      <c r="BZ49" s="102">
        <v>-1.9125000000000001</v>
      </c>
      <c r="CA49" s="102">
        <v>-1.0010509999999999</v>
      </c>
      <c r="CB49" s="102">
        <v>-5.91E-2</v>
      </c>
      <c r="CC49" s="102">
        <v>-0.44691900000000001</v>
      </c>
      <c r="CD49" s="102">
        <v>-0.2495</v>
      </c>
      <c r="CE49" s="102">
        <v>-0.80701699999999998</v>
      </c>
      <c r="CF49" s="102">
        <v>-8.2811999999999997E-2</v>
      </c>
      <c r="CG49" s="102">
        <v>-5.4999999999999997E-3</v>
      </c>
      <c r="CH49" s="102">
        <v>-1.8700000000000001E-2</v>
      </c>
      <c r="CI49" s="102">
        <v>-5.4999999999999997E-3</v>
      </c>
      <c r="CJ49" s="102">
        <v>-8.5699999999999998E-2</v>
      </c>
      <c r="CK49" s="102">
        <v>-1.8880000000000001E-2</v>
      </c>
      <c r="CL49" s="102">
        <v>-0.24099999999999999</v>
      </c>
      <c r="CM49" s="102">
        <v>-5.7786999999999997</v>
      </c>
      <c r="CN49" s="102">
        <v>-2.5399999999999999E-2</v>
      </c>
      <c r="CO49" s="102">
        <v>-0.5383</v>
      </c>
      <c r="CP49" s="102">
        <v>-6.9599999999999995E-2</v>
      </c>
      <c r="CQ49" s="102">
        <v>-0.09</v>
      </c>
      <c r="CR49" s="102">
        <v>-5.7999999999999996E-3</v>
      </c>
      <c r="CS49" s="102">
        <v>-0.34010000000000001</v>
      </c>
      <c r="CT49" s="102">
        <v>-2.6499999999999999E-2</v>
      </c>
      <c r="CU49" s="102">
        <v>-0.153</v>
      </c>
      <c r="CV49" s="102">
        <v>-5.978E-2</v>
      </c>
      <c r="CW49" s="102">
        <v>-3.9800000000000002E-2</v>
      </c>
      <c r="CX49" s="102">
        <v>0</v>
      </c>
      <c r="CY49" s="102">
        <v>-0.28983300000000001</v>
      </c>
      <c r="CZ49" s="102">
        <v>-2.1328</v>
      </c>
      <c r="DA49" s="102">
        <v>-8.6499999999999994E-2</v>
      </c>
      <c r="DB49" s="102">
        <v>-0.65249999999999997</v>
      </c>
      <c r="DC49" s="102">
        <v>-0.50644800000000001</v>
      </c>
      <c r="DD49" s="102">
        <v>-6.1000000000000004E-3</v>
      </c>
      <c r="DE49" s="102">
        <v>-6.1000000000000004E-3</v>
      </c>
      <c r="DF49" s="102">
        <v>-6.1000000000000004E-3</v>
      </c>
      <c r="DG49" s="102">
        <v>-4.8992439999999478E-2</v>
      </c>
      <c r="DH49" s="102">
        <v>-6.1000000000000004E-3</v>
      </c>
      <c r="DI49" s="145"/>
      <c r="DJ49" s="102">
        <v>-3.9800000000000002E-2</v>
      </c>
      <c r="DK49" s="102">
        <v>0</v>
      </c>
      <c r="DL49" s="102">
        <v>-0.28983300000000001</v>
      </c>
      <c r="DM49" s="102">
        <v>-2.1328</v>
      </c>
      <c r="DN49" s="102">
        <v>-8.6499999999999994E-2</v>
      </c>
      <c r="DO49" s="102">
        <v>-0.65249999999999997</v>
      </c>
      <c r="DP49" s="102">
        <v>-0.06</v>
      </c>
      <c r="DQ49" s="102">
        <v>-0.06</v>
      </c>
      <c r="DR49" s="102">
        <v>-0.06</v>
      </c>
      <c r="DS49" s="102">
        <v>-0.06</v>
      </c>
      <c r="DT49" s="102">
        <v>-0.06</v>
      </c>
      <c r="DU49" s="102">
        <v>-0.06</v>
      </c>
      <c r="DW49" s="102">
        <v>-0.79</v>
      </c>
      <c r="DX49" s="102">
        <v>-0.79</v>
      </c>
      <c r="DY49" s="102">
        <v>-0.79</v>
      </c>
      <c r="DZ49" s="102">
        <v>-0.79</v>
      </c>
      <c r="EA49" s="102">
        <v>-0.79</v>
      </c>
      <c r="EB49" s="102">
        <v>-0.79</v>
      </c>
      <c r="EC49" s="102">
        <v>-0.79</v>
      </c>
      <c r="ED49" s="102">
        <v>-0.79</v>
      </c>
      <c r="EE49" s="102">
        <v>-0.79</v>
      </c>
      <c r="EF49" s="102">
        <v>-0.79</v>
      </c>
      <c r="EG49" s="102">
        <v>-0.79</v>
      </c>
      <c r="EH49" s="102">
        <v>-0.79</v>
      </c>
      <c r="EI49" s="102">
        <v>-0.11</v>
      </c>
      <c r="EJ49" s="102">
        <v>-0.11</v>
      </c>
      <c r="EK49" s="102">
        <v>-2.56</v>
      </c>
      <c r="EL49" s="102">
        <v>-0.11</v>
      </c>
      <c r="EM49" s="102">
        <v>-0.11</v>
      </c>
      <c r="EN49" s="102">
        <v>-0.11</v>
      </c>
      <c r="EO49" s="102">
        <v>-0.11</v>
      </c>
      <c r="EP49" s="102">
        <v>-0.11</v>
      </c>
      <c r="EQ49" s="102">
        <v>-0.11</v>
      </c>
      <c r="ER49" s="102">
        <v>-0.11</v>
      </c>
      <c r="ES49" s="102">
        <v>-0.11</v>
      </c>
      <c r="ET49" s="102">
        <v>-0.11</v>
      </c>
      <c r="EU49" s="102">
        <v>-0.09</v>
      </c>
      <c r="EV49" s="102">
        <v>-0.09</v>
      </c>
      <c r="EW49" s="102">
        <v>-2.29</v>
      </c>
      <c r="EX49" s="102">
        <v>-8.9999999999999999E-8</v>
      </c>
      <c r="EY49" s="102">
        <v>-8.9999999999999999E-8</v>
      </c>
      <c r="EZ49" s="102">
        <v>-8.9999999999999999E-8</v>
      </c>
      <c r="FA49" s="102">
        <v>-8.9999999999999999E-8</v>
      </c>
      <c r="FB49" s="102">
        <v>-8.9999999999999999E-8</v>
      </c>
      <c r="FC49" s="102">
        <v>-0.69911999999999996</v>
      </c>
      <c r="FD49" s="102">
        <v>-8.9999999999999999E-8</v>
      </c>
      <c r="FE49" s="102">
        <v>-8.9999999999999999E-8</v>
      </c>
      <c r="FF49" s="102">
        <v>-0.38500000000000001</v>
      </c>
      <c r="FG49" s="102">
        <v>-0.06</v>
      </c>
      <c r="FH49" s="102">
        <v>-2.86</v>
      </c>
      <c r="FI49" s="102">
        <v>-0.06</v>
      </c>
      <c r="FJ49" s="102">
        <v>-0.06</v>
      </c>
      <c r="FK49" s="102">
        <v>-0.06</v>
      </c>
      <c r="FL49" s="102">
        <v>-0.06</v>
      </c>
      <c r="FM49" s="102">
        <v>-0.06</v>
      </c>
      <c r="FN49" s="102">
        <v>-0.06</v>
      </c>
      <c r="FO49" s="102">
        <v>-0.06</v>
      </c>
      <c r="FP49" s="102">
        <v>-0.06</v>
      </c>
      <c r="FQ49" s="102">
        <v>-0.06</v>
      </c>
      <c r="FR49" s="102">
        <v>-0.06</v>
      </c>
      <c r="FS49" s="102">
        <v>-0.06</v>
      </c>
      <c r="FT49" s="102">
        <v>-2.86</v>
      </c>
      <c r="FU49" s="102">
        <v>-0.06</v>
      </c>
      <c r="FV49" s="102">
        <v>-0.06</v>
      </c>
      <c r="FW49" s="102">
        <v>-0.06</v>
      </c>
      <c r="FX49" s="102">
        <v>-0.06</v>
      </c>
      <c r="FY49" s="102">
        <v>-0.06</v>
      </c>
      <c r="FZ49" s="102">
        <v>-0.06</v>
      </c>
      <c r="GA49" s="102">
        <v>-0.06</v>
      </c>
      <c r="GB49" s="102">
        <v>-0.06</v>
      </c>
      <c r="GC49" s="102">
        <v>-0.06</v>
      </c>
      <c r="GD49" s="102">
        <v>-0.06</v>
      </c>
      <c r="GF49" s="102">
        <f t="shared" si="120"/>
        <v>-73.366791159999991</v>
      </c>
      <c r="GG49" s="102">
        <f t="shared" si="120"/>
        <v>-29.484423</v>
      </c>
      <c r="GH49" s="102">
        <f t="shared" si="120"/>
        <v>-9.3089346499999976</v>
      </c>
      <c r="GI49" s="102">
        <f t="shared" si="120"/>
        <v>-47.635096759999989</v>
      </c>
      <c r="GJ49" s="102">
        <f t="shared" si="150"/>
        <v>-12.216852999999999</v>
      </c>
      <c r="GK49" s="102">
        <f t="shared" si="37"/>
        <v>-2.707303</v>
      </c>
      <c r="GL49" s="102">
        <f t="shared" si="38"/>
        <v>-4.6742989999999986</v>
      </c>
      <c r="GM49" s="102">
        <f t="shared" si="121"/>
        <v>-7.3470599999999999</v>
      </c>
      <c r="GN49" s="102">
        <f t="shared" si="7"/>
        <v>-3.5200000000000005</v>
      </c>
      <c r="GO49" s="102">
        <v>-3.7812734399999992</v>
      </c>
      <c r="GQ49" s="929">
        <f t="shared" si="122"/>
        <v>-0.68427618034105675</v>
      </c>
      <c r="GR49" s="929">
        <f t="shared" si="122"/>
        <v>4.1171373042134309</v>
      </c>
      <c r="GS49" s="929">
        <f t="shared" si="122"/>
        <v>-0.74353252473586451</v>
      </c>
      <c r="GT49" s="929">
        <f t="shared" si="122"/>
        <v>-0.77839604028959009</v>
      </c>
      <c r="GU49" s="929">
        <f t="shared" si="122"/>
        <v>0.72655184883258306</v>
      </c>
      <c r="GV49" s="929">
        <f t="shared" si="122"/>
        <v>0.57179932220852847</v>
      </c>
      <c r="GW49" s="929">
        <f t="shared" si="92"/>
        <v>-0.52089679409178635</v>
      </c>
      <c r="GX49" s="929">
        <f t="shared" si="92"/>
        <v>7.4225409090908689E-2</v>
      </c>
      <c r="GY49" s="929">
        <f t="shared" si="9"/>
        <v>-0.48533516263648324</v>
      </c>
      <c r="HA49" s="102">
        <f t="shared" si="123"/>
        <v>20.175488350000002</v>
      </c>
      <c r="HB49" s="102">
        <f t="shared" si="123"/>
        <v>-38.326162109999991</v>
      </c>
      <c r="HC49" s="102">
        <f t="shared" si="123"/>
        <v>35.418243759999989</v>
      </c>
      <c r="HD49" s="102">
        <f t="shared" si="99"/>
        <v>9.5095499999999991</v>
      </c>
      <c r="HE49" s="102">
        <f t="shared" si="93"/>
        <v>-1.9669959999999986</v>
      </c>
      <c r="HF49" s="102">
        <f t="shared" si="93"/>
        <v>-2.6727610000000013</v>
      </c>
      <c r="HG49" s="102">
        <f t="shared" si="93"/>
        <v>3.8270599999999995</v>
      </c>
      <c r="HH49" s="102">
        <f t="shared" si="93"/>
        <v>-0.26127343999999875</v>
      </c>
      <c r="HI49" s="102">
        <f t="shared" si="11"/>
        <v>3.5657865600000007</v>
      </c>
      <c r="HK49" s="32">
        <f t="shared" si="124"/>
        <v>-8.0218196877769881E-4</v>
      </c>
      <c r="HL49" s="32">
        <f t="shared" si="124"/>
        <v>-2.3636947536282872E-4</v>
      </c>
      <c r="HM49" s="32">
        <f t="shared" si="124"/>
        <v>-2.8265418278466499E-3</v>
      </c>
      <c r="HN49" s="32">
        <f t="shared" si="124"/>
        <v>-1.9858257123009063E-3</v>
      </c>
      <c r="HO49" s="32">
        <f t="shared" si="124"/>
        <v>-1.9864551744641266E-4</v>
      </c>
      <c r="HP49" s="32">
        <f t="shared" si="124"/>
        <v>-3.3032668951211909E-4</v>
      </c>
      <c r="HQ49" s="32">
        <f t="shared" si="124"/>
        <v>-3.4608029299231121E-4</v>
      </c>
      <c r="HR49" s="32">
        <f t="shared" si="124"/>
        <v>-2.2374355408804651E-4</v>
      </c>
      <c r="HS49" s="32">
        <f t="shared" si="124"/>
        <v>-2.9962814810398201E-4</v>
      </c>
      <c r="HU49" s="102">
        <f t="shared" si="125"/>
        <v>-4.1857709999999999</v>
      </c>
      <c r="HV49" s="102">
        <f t="shared" si="125"/>
        <v>-2.3383550000000004</v>
      </c>
      <c r="HW49" s="102">
        <f t="shared" si="125"/>
        <v>-9.0072939599999984</v>
      </c>
      <c r="HX49" s="102">
        <f t="shared" si="125"/>
        <v>-46.468762999999988</v>
      </c>
      <c r="HY49" s="102">
        <f t="shared" si="125"/>
        <v>-6.6606259999999988</v>
      </c>
      <c r="HZ49" s="102">
        <f t="shared" si="125"/>
        <v>-2.334203</v>
      </c>
      <c r="IA49" s="102">
        <f t="shared" si="126"/>
        <v>-3.6690699999999996</v>
      </c>
      <c r="IB49" s="102">
        <f t="shared" si="127"/>
        <v>-6.6718800000000007</v>
      </c>
      <c r="IC49" s="102">
        <f t="shared" si="128"/>
        <v>-3.2014329999999998</v>
      </c>
      <c r="ID49" s="102">
        <f t="shared" si="18"/>
        <v>-3.16</v>
      </c>
      <c r="IE49" s="102">
        <f t="shared" si="129"/>
        <v>-3.2014329999999998</v>
      </c>
      <c r="IF49" s="922">
        <f t="shared" si="20"/>
        <v>-0.52016028465739805</v>
      </c>
      <c r="IG49" s="102">
        <f t="shared" si="151"/>
        <v>-3.2014329999999998</v>
      </c>
      <c r="IH49" s="102">
        <f t="shared" si="151"/>
        <v>-3.16</v>
      </c>
      <c r="II49" s="145"/>
      <c r="IJ49" s="929">
        <f t="shared" si="130"/>
        <v>1.0131117088607593</v>
      </c>
      <c r="IK49" s="930">
        <f t="shared" si="131"/>
        <v>-4.1432999999999609E-2</v>
      </c>
      <c r="IM49" s="32">
        <f t="shared" si="132"/>
        <v>-4.9233241659892262E-4</v>
      </c>
      <c r="IN49" s="929">
        <f t="shared" si="133"/>
        <v>-4.4753268433163151E-4</v>
      </c>
      <c r="IP49" s="929">
        <f t="shared" si="152"/>
        <v>2.8519788312724104</v>
      </c>
      <c r="IQ49" s="929">
        <f t="shared" si="152"/>
        <v>4.1590148169206635</v>
      </c>
      <c r="IR49" s="929">
        <f t="shared" si="152"/>
        <v>-0.85666444359622829</v>
      </c>
      <c r="IS49" s="929">
        <f t="shared" si="152"/>
        <v>-0.64955200907542321</v>
      </c>
      <c r="IT49" s="929">
        <f t="shared" si="152"/>
        <v>0.57187271201347945</v>
      </c>
      <c r="IU49" s="929">
        <f t="shared" si="152"/>
        <v>0.8184117501165149</v>
      </c>
      <c r="IV49" s="929">
        <f t="shared" si="153"/>
        <v>-0.52016028465739805</v>
      </c>
      <c r="IX49" s="102">
        <f t="shared" si="135"/>
        <v>-6.6689389599999984</v>
      </c>
      <c r="IY49" s="102">
        <f t="shared" si="135"/>
        <v>-37.46146903999999</v>
      </c>
      <c r="IZ49" s="102">
        <f t="shared" si="135"/>
        <v>39.808136999999988</v>
      </c>
      <c r="JA49" s="102">
        <f t="shared" si="135"/>
        <v>4.3264229999999984</v>
      </c>
      <c r="JB49" s="102">
        <f t="shared" si="135"/>
        <v>-1.3348669999999996</v>
      </c>
      <c r="JC49" s="102">
        <f t="shared" si="135"/>
        <v>-3.0028100000000011</v>
      </c>
      <c r="JD49" s="102">
        <f t="shared" si="136"/>
        <v>3.4704470000000009</v>
      </c>
      <c r="JF49" s="32">
        <f t="shared" si="137"/>
        <v>-2.6169793339155868E-4</v>
      </c>
      <c r="JG49" s="32">
        <f t="shared" si="137"/>
        <v>-1.3713622902413483E-4</v>
      </c>
      <c r="JH49" s="32">
        <f t="shared" si="137"/>
        <v>-5.5411528546962655E-4</v>
      </c>
      <c r="JI49" s="32">
        <f t="shared" si="137"/>
        <v>-4.9677567007386219E-3</v>
      </c>
      <c r="JJ49" s="32">
        <f t="shared" si="137"/>
        <v>-3.3193176898492251E-3</v>
      </c>
      <c r="JK49" s="32">
        <f t="shared" si="137"/>
        <v>-3.3627681510782048E-4</v>
      </c>
      <c r="JL49" s="32">
        <f t="shared" si="137"/>
        <v>-6.9365747941643274E-4</v>
      </c>
      <c r="JM49" s="32">
        <f t="shared" si="138"/>
        <v>-4.6950872899404627E-4</v>
      </c>
      <c r="JO49" s="102">
        <f t="shared" si="139"/>
        <v>-0.46970000000000001</v>
      </c>
      <c r="JP49" s="102">
        <f t="shared" si="139"/>
        <v>-7.5000000000000178E-2</v>
      </c>
      <c r="JQ49" s="102">
        <f t="shared" si="139"/>
        <v>-1.56425035</v>
      </c>
      <c r="JR49" s="102">
        <f t="shared" si="139"/>
        <v>-10.51708324</v>
      </c>
      <c r="JS49" s="102">
        <f t="shared" si="139"/>
        <v>-0.96399999999999997</v>
      </c>
      <c r="JT49" s="102">
        <f t="shared" si="140"/>
        <v>-3.3999999999999998E-3</v>
      </c>
      <c r="JU49" s="102">
        <f t="shared" si="141"/>
        <v>-0.2495</v>
      </c>
      <c r="JV49" s="102">
        <f t="shared" si="141"/>
        <v>-6.9599999999999995E-2</v>
      </c>
      <c r="JW49" s="102">
        <f t="shared" si="142"/>
        <v>-0.65249999999999997</v>
      </c>
      <c r="JX49" s="102">
        <f t="shared" si="143"/>
        <v>-0.06</v>
      </c>
      <c r="JY49" s="102">
        <f t="shared" si="144"/>
        <v>-0.65249999999999997</v>
      </c>
      <c r="KB49" s="32">
        <f t="shared" si="145"/>
        <v>19.856671333333285</v>
      </c>
      <c r="KC49" s="32">
        <f t="shared" si="145"/>
        <v>5.7234015578133004</v>
      </c>
      <c r="KD49" s="32">
        <f t="shared" si="145"/>
        <v>-0.90833960538283232</v>
      </c>
      <c r="KE49" s="32">
        <f t="shared" si="145"/>
        <v>-0.99647302904564317</v>
      </c>
      <c r="KF49" s="32">
        <f t="shared" si="145"/>
        <v>72.382352941176478</v>
      </c>
      <c r="KG49" s="32">
        <f t="shared" si="145"/>
        <v>-0.72104208416833671</v>
      </c>
      <c r="KH49" s="32">
        <f t="shared" si="146"/>
        <v>8.375</v>
      </c>
      <c r="KJ49" s="102">
        <f t="shared" si="147"/>
        <v>-1.4892503499999998</v>
      </c>
      <c r="KK49" s="102">
        <f t="shared" si="147"/>
        <v>-8.9528328899999998</v>
      </c>
      <c r="KL49" s="102">
        <f t="shared" si="147"/>
        <v>9.5530832399999994</v>
      </c>
      <c r="KM49" s="102">
        <f t="shared" si="147"/>
        <v>0.96060000000000001</v>
      </c>
      <c r="KN49" s="102">
        <f t="shared" si="147"/>
        <v>-0.24610000000000001</v>
      </c>
      <c r="KO49" s="102">
        <f t="shared" si="147"/>
        <v>0.1799</v>
      </c>
      <c r="KP49" s="102">
        <f t="shared" si="148"/>
        <v>-0.58289999999999997</v>
      </c>
      <c r="KR49" s="32">
        <f t="shared" si="149"/>
        <v>-1.4651462468637819E-4</v>
      </c>
      <c r="KS49" s="32">
        <f t="shared" si="149"/>
        <v>-2.2299886873275744E-5</v>
      </c>
      <c r="KT49" s="32">
        <f t="shared" si="149"/>
        <v>-6.2347234771930476E-4</v>
      </c>
      <c r="KU49" s="32">
        <f t="shared" si="149"/>
        <v>-1.1755304517500675E-2</v>
      </c>
      <c r="KV49" s="32">
        <f t="shared" si="149"/>
        <v>-3.0893080831509837E-3</v>
      </c>
      <c r="KW49" s="32">
        <f t="shared" si="149"/>
        <v>-3.3529868124785909E-6</v>
      </c>
      <c r="KX49" s="32">
        <f t="shared" si="149"/>
        <v>-2.8444457180670248E-4</v>
      </c>
      <c r="KY49" s="32">
        <f t="shared" si="149"/>
        <v>-4.5486781101556026E-5</v>
      </c>
      <c r="KZ49" s="32">
        <f t="shared" si="46"/>
        <v>-1.7804266372812194E-3</v>
      </c>
    </row>
    <row r="50" spans="1:312" outlineLevel="2">
      <c r="A50" s="884">
        <v>5120</v>
      </c>
      <c r="B50" s="70" t="s">
        <v>645</v>
      </c>
      <c r="C50" s="29" t="s">
        <v>69</v>
      </c>
      <c r="D50" s="31" t="s">
        <v>59</v>
      </c>
      <c r="E50" s="102">
        <v>-4.6597099999999996</v>
      </c>
      <c r="F50" s="102">
        <v>-6.759710000000001</v>
      </c>
      <c r="G50" s="102">
        <v>-6.7597100000000001</v>
      </c>
      <c r="H50" s="102">
        <v>-1.9957139999999995</v>
      </c>
      <c r="I50" s="102">
        <v>-11.419419999999999</v>
      </c>
      <c r="J50" s="102">
        <v>-2.0999999999999979</v>
      </c>
      <c r="K50" s="102">
        <v>-4.659710000000004</v>
      </c>
      <c r="L50" s="102">
        <v>0</v>
      </c>
      <c r="M50" s="102">
        <v>0</v>
      </c>
      <c r="N50" s="102">
        <v>-6.7597099999999983</v>
      </c>
      <c r="O50" s="102">
        <v>-6.7597099999999983</v>
      </c>
      <c r="P50" s="102">
        <v>-6.7597100000000054</v>
      </c>
      <c r="Q50" s="102">
        <v>0</v>
      </c>
      <c r="R50" s="102">
        <v>0</v>
      </c>
      <c r="S50" s="102">
        <v>0</v>
      </c>
      <c r="T50" s="102">
        <v>0</v>
      </c>
      <c r="U50" s="102">
        <v>0</v>
      </c>
      <c r="V50" s="102">
        <v>0</v>
      </c>
      <c r="W50" s="102">
        <v>0</v>
      </c>
      <c r="X50" s="102">
        <v>0</v>
      </c>
      <c r="Y50" s="102">
        <v>0</v>
      </c>
      <c r="Z50" s="102">
        <v>-2.7000000000000001E-3</v>
      </c>
      <c r="AA50" s="102">
        <v>0</v>
      </c>
      <c r="AB50" s="102">
        <v>2.7000000000000001E-3</v>
      </c>
      <c r="AC50" s="102">
        <v>0</v>
      </c>
      <c r="AD50" s="102">
        <v>0</v>
      </c>
      <c r="AE50" s="102">
        <v>0</v>
      </c>
      <c r="AF50" s="102">
        <v>0</v>
      </c>
      <c r="AG50" s="102">
        <v>0</v>
      </c>
      <c r="AH50" s="102">
        <v>0</v>
      </c>
      <c r="AI50" s="102">
        <v>-6.4655000000000004E-2</v>
      </c>
      <c r="AJ50" s="102">
        <v>-37.799999999999997</v>
      </c>
      <c r="AK50" s="102">
        <v>0</v>
      </c>
      <c r="AL50" s="102">
        <v>37.799999999999997</v>
      </c>
      <c r="AM50" s="102">
        <v>-30.250636</v>
      </c>
      <c r="AN50" s="102">
        <v>-40.741195000000005</v>
      </c>
      <c r="AO50" s="102">
        <v>-19.25</v>
      </c>
      <c r="AP50" s="145">
        <v>-20.600142000000002</v>
      </c>
      <c r="AQ50" s="143">
        <v>-20.542642000000001</v>
      </c>
      <c r="AR50" s="220">
        <v>-10.235142</v>
      </c>
      <c r="AS50" s="102">
        <v>-1.235142</v>
      </c>
      <c r="AT50" s="102">
        <v>-1.7868660000000001</v>
      </c>
      <c r="AU50" s="102">
        <v>0</v>
      </c>
      <c r="AV50" s="102">
        <v>-4.1095439999999996</v>
      </c>
      <c r="AW50" s="102">
        <v>-1.9185600099999998</v>
      </c>
      <c r="AX50" s="102">
        <v>-2.2256619999999998</v>
      </c>
      <c r="AY50" s="102">
        <v>-1.2351419999999997</v>
      </c>
      <c r="AZ50" s="102">
        <v>-1.235142</v>
      </c>
      <c r="BA50" s="102">
        <v>-1.235142</v>
      </c>
      <c r="BB50" s="102">
        <v>-1.235142</v>
      </c>
      <c r="BC50" s="102">
        <v>-1.235142</v>
      </c>
      <c r="BD50" s="102">
        <v>-1.235142</v>
      </c>
      <c r="BE50" s="102">
        <v>-1.235142</v>
      </c>
      <c r="BF50" s="102">
        <v>-1.235142</v>
      </c>
      <c r="BG50" s="102">
        <v>-1.235142</v>
      </c>
      <c r="BH50" s="102">
        <v>-1.235142</v>
      </c>
      <c r="BI50" s="102">
        <v>-1.235142</v>
      </c>
      <c r="BJ50" s="102">
        <v>-1.235142</v>
      </c>
      <c r="BK50" s="102">
        <v>-1.235142</v>
      </c>
      <c r="BL50" s="102">
        <v>-1.235142</v>
      </c>
      <c r="BM50" s="102">
        <v>-1.4327650000000001</v>
      </c>
      <c r="BN50" s="102">
        <v>-1.235142</v>
      </c>
      <c r="BO50" s="102">
        <v>-1.235142</v>
      </c>
      <c r="BP50" s="102">
        <v>-1.235142</v>
      </c>
      <c r="BQ50" s="102">
        <v>-1.235142</v>
      </c>
      <c r="BR50" s="102">
        <v>-1.235142</v>
      </c>
      <c r="BS50" s="102">
        <v>-1.235142</v>
      </c>
      <c r="BT50" s="102">
        <v>-1.235142</v>
      </c>
      <c r="BU50" s="102">
        <v>-1.235142</v>
      </c>
      <c r="BV50" s="102">
        <v>-1.235142</v>
      </c>
      <c r="BW50" s="102">
        <v>-1.235142</v>
      </c>
      <c r="BX50" s="102">
        <v>-1.235142</v>
      </c>
      <c r="BY50" s="102">
        <v>-0.46134500000000001</v>
      </c>
      <c r="BZ50" s="102">
        <v>-0.47056999999999999</v>
      </c>
      <c r="CA50" s="102">
        <v>0</v>
      </c>
      <c r="CB50" s="102">
        <v>0</v>
      </c>
      <c r="CC50" s="102">
        <v>0.19762299999999999</v>
      </c>
      <c r="CD50" s="102">
        <v>0</v>
      </c>
      <c r="CE50" s="102">
        <v>-5.0335999999999999E-2</v>
      </c>
      <c r="CF50" s="102">
        <v>0</v>
      </c>
      <c r="CG50" s="102">
        <v>0</v>
      </c>
      <c r="CH50" s="102">
        <v>0</v>
      </c>
      <c r="CI50" s="102">
        <v>0</v>
      </c>
      <c r="CJ50" s="102">
        <v>-0.147287</v>
      </c>
      <c r="CK50" s="102">
        <v>0.147287</v>
      </c>
      <c r="CL50" s="102">
        <v>0</v>
      </c>
      <c r="CM50" s="102">
        <v>0</v>
      </c>
      <c r="CN50" s="102">
        <v>0</v>
      </c>
      <c r="CO50" s="102">
        <v>0</v>
      </c>
      <c r="CP50" s="102">
        <v>0</v>
      </c>
      <c r="CQ50" s="102">
        <v>0</v>
      </c>
      <c r="CR50" s="102">
        <v>0</v>
      </c>
      <c r="CS50" s="102">
        <v>0</v>
      </c>
      <c r="CT50" s="102">
        <v>-9.9796999999999997E-2</v>
      </c>
      <c r="CU50" s="102">
        <v>-0.723553</v>
      </c>
      <c r="CV50" s="102">
        <v>-0.72355000000000003</v>
      </c>
      <c r="CW50" s="102">
        <v>-0.72355000000000003</v>
      </c>
      <c r="CX50" s="102">
        <v>-0.74850000000000005</v>
      </c>
      <c r="CY50" s="102">
        <v>-0.499</v>
      </c>
      <c r="CZ50" s="102">
        <v>-0.47405000000000003</v>
      </c>
      <c r="DA50" s="102">
        <v>0</v>
      </c>
      <c r="DB50" s="102">
        <v>0</v>
      </c>
      <c r="DC50" s="102">
        <v>-2.495E-2</v>
      </c>
      <c r="DD50" s="102">
        <v>0</v>
      </c>
      <c r="DE50" s="102">
        <v>0</v>
      </c>
      <c r="DF50" s="102">
        <v>0</v>
      </c>
      <c r="DG50" s="102">
        <v>0</v>
      </c>
      <c r="DH50" s="102">
        <v>2.495E-2</v>
      </c>
      <c r="DI50" s="145"/>
      <c r="DJ50" s="102">
        <v>-0.72355000000000003</v>
      </c>
      <c r="DK50" s="102">
        <v>-0.74850000000000005</v>
      </c>
      <c r="DL50" s="102">
        <v>-0.499</v>
      </c>
      <c r="DM50" s="102">
        <v>-0.47405000000000003</v>
      </c>
      <c r="DN50" s="102">
        <v>0</v>
      </c>
      <c r="DO50" s="102">
        <v>0</v>
      </c>
      <c r="DP50" s="102">
        <v>0</v>
      </c>
      <c r="DQ50" s="102">
        <v>0</v>
      </c>
      <c r="DR50" s="102">
        <v>0</v>
      </c>
      <c r="DS50" s="102">
        <v>0</v>
      </c>
      <c r="DT50" s="102">
        <v>0</v>
      </c>
      <c r="DU50" s="102">
        <v>0</v>
      </c>
      <c r="DW50" s="102">
        <v>-19.5</v>
      </c>
      <c r="DX50" s="102">
        <v>-19.5</v>
      </c>
      <c r="DY50" s="102">
        <v>-19.5</v>
      </c>
      <c r="DZ50" s="102">
        <v>0</v>
      </c>
      <c r="EA50" s="102">
        <v>0</v>
      </c>
      <c r="EB50" s="102">
        <v>0</v>
      </c>
      <c r="EC50" s="102">
        <v>0</v>
      </c>
      <c r="ED50" s="102">
        <v>0</v>
      </c>
      <c r="EE50" s="102">
        <v>0</v>
      </c>
      <c r="EF50" s="102">
        <v>0</v>
      </c>
      <c r="EG50" s="102">
        <v>0</v>
      </c>
      <c r="EH50" s="102">
        <v>0</v>
      </c>
      <c r="EI50" s="102">
        <v>0</v>
      </c>
      <c r="EJ50" s="102">
        <v>0</v>
      </c>
      <c r="EK50" s="102">
        <v>0</v>
      </c>
      <c r="EL50" s="102">
        <v>0</v>
      </c>
      <c r="EM50" s="102">
        <v>0</v>
      </c>
      <c r="EN50" s="102">
        <v>0</v>
      </c>
      <c r="EO50" s="102">
        <v>0</v>
      </c>
      <c r="EP50" s="102">
        <v>0</v>
      </c>
      <c r="EQ50" s="102">
        <v>0</v>
      </c>
      <c r="ER50" s="102">
        <v>0</v>
      </c>
      <c r="ES50" s="102">
        <v>0</v>
      </c>
      <c r="ET50" s="102">
        <v>0</v>
      </c>
      <c r="EU50" s="102">
        <v>-1.24</v>
      </c>
      <c r="EV50" s="102">
        <v>-1.24</v>
      </c>
      <c r="EW50" s="102">
        <v>-1.24</v>
      </c>
      <c r="EX50" s="102">
        <v>-1.24</v>
      </c>
      <c r="EY50" s="102">
        <v>-1.24</v>
      </c>
      <c r="EZ50" s="102">
        <v>-1.24</v>
      </c>
      <c r="FA50" s="102">
        <v>-1.24</v>
      </c>
      <c r="FB50" s="102">
        <v>-1.24</v>
      </c>
      <c r="FC50" s="102">
        <v>-1.24</v>
      </c>
      <c r="FD50" s="102">
        <v>-1.24</v>
      </c>
      <c r="FE50" s="102">
        <v>-1.24</v>
      </c>
      <c r="FF50" s="102">
        <v>-1.24</v>
      </c>
      <c r="FG50" s="102">
        <v>0</v>
      </c>
      <c r="FH50" s="102">
        <v>0</v>
      </c>
      <c r="FI50" s="102">
        <v>0</v>
      </c>
      <c r="FJ50" s="102">
        <v>0</v>
      </c>
      <c r="FK50" s="102">
        <v>0</v>
      </c>
      <c r="FL50" s="102">
        <v>0</v>
      </c>
      <c r="FM50" s="102">
        <v>0</v>
      </c>
      <c r="FN50" s="102">
        <v>0</v>
      </c>
      <c r="FO50" s="102">
        <v>0</v>
      </c>
      <c r="FP50" s="102">
        <v>0</v>
      </c>
      <c r="FQ50" s="102">
        <v>0</v>
      </c>
      <c r="FR50" s="102">
        <v>0</v>
      </c>
      <c r="FS50" s="102">
        <v>0</v>
      </c>
      <c r="FT50" s="102">
        <v>0</v>
      </c>
      <c r="FU50" s="102">
        <v>0</v>
      </c>
      <c r="FV50" s="102">
        <v>0</v>
      </c>
      <c r="FW50" s="102">
        <v>0</v>
      </c>
      <c r="FX50" s="102">
        <v>0</v>
      </c>
      <c r="FY50" s="102">
        <v>0</v>
      </c>
      <c r="FZ50" s="102">
        <v>0</v>
      </c>
      <c r="GA50" s="102">
        <v>0</v>
      </c>
      <c r="GB50" s="102">
        <v>0</v>
      </c>
      <c r="GC50" s="102">
        <v>0</v>
      </c>
      <c r="GD50" s="102">
        <v>0</v>
      </c>
      <c r="GF50" s="102">
        <f t="shared" si="120"/>
        <v>-58.633104000000003</v>
      </c>
      <c r="GG50" s="102">
        <f t="shared" si="120"/>
        <v>0</v>
      </c>
      <c r="GH50" s="102">
        <f t="shared" si="120"/>
        <v>-71.056486000000007</v>
      </c>
      <c r="GI50" s="102">
        <f t="shared" si="120"/>
        <v>-84.373984009999987</v>
      </c>
      <c r="GJ50" s="102">
        <f t="shared" si="150"/>
        <v>-14.821703999999999</v>
      </c>
      <c r="GK50" s="102">
        <f t="shared" si="37"/>
        <v>-15.019326999999999</v>
      </c>
      <c r="GL50" s="102">
        <f t="shared" si="38"/>
        <v>-0.93191500000000005</v>
      </c>
      <c r="GM50" s="102">
        <f t="shared" si="121"/>
        <v>-1.399613</v>
      </c>
      <c r="GN50" s="102">
        <f t="shared" si="7"/>
        <v>0</v>
      </c>
      <c r="GO50" s="102">
        <v>-2.4451000000000001</v>
      </c>
      <c r="GQ50" s="929" t="str">
        <f t="shared" si="122"/>
        <v/>
      </c>
      <c r="GR50" s="929">
        <f t="shared" si="122"/>
        <v>0.18742128635519606</v>
      </c>
      <c r="GS50" s="929">
        <f t="shared" si="122"/>
        <v>-0.82433324473283931</v>
      </c>
      <c r="GT50" s="929">
        <f t="shared" si="122"/>
        <v>1.3333352224548456E-2</v>
      </c>
      <c r="GU50" s="929">
        <f t="shared" si="122"/>
        <v>-0.93795227975261475</v>
      </c>
      <c r="GV50" s="929">
        <f t="shared" si="122"/>
        <v>0.50186765960414847</v>
      </c>
      <c r="GW50" s="929">
        <f t="shared" si="92"/>
        <v>-1</v>
      </c>
      <c r="GX50" s="929" t="str">
        <f t="shared" si="92"/>
        <v/>
      </c>
      <c r="GY50" s="929">
        <f t="shared" si="9"/>
        <v>0.7469829159917778</v>
      </c>
      <c r="HA50" s="102">
        <f t="shared" si="123"/>
        <v>-71.056486000000007</v>
      </c>
      <c r="HB50" s="102">
        <f t="shared" si="123"/>
        <v>-13.31749800999998</v>
      </c>
      <c r="HC50" s="102">
        <f t="shared" si="123"/>
        <v>69.55228000999999</v>
      </c>
      <c r="HD50" s="102">
        <f t="shared" si="99"/>
        <v>-0.1976230000000001</v>
      </c>
      <c r="HE50" s="102">
        <f t="shared" si="93"/>
        <v>14.087411999999999</v>
      </c>
      <c r="HF50" s="102">
        <f t="shared" si="93"/>
        <v>-0.46769799999999995</v>
      </c>
      <c r="HG50" s="102">
        <f t="shared" si="93"/>
        <v>1.399613</v>
      </c>
      <c r="HH50" s="102">
        <f t="shared" si="93"/>
        <v>-2.4451000000000001</v>
      </c>
      <c r="HI50" s="102">
        <f t="shared" si="11"/>
        <v>-1.0454870000000001</v>
      </c>
      <c r="HK50" s="32">
        <f t="shared" si="124"/>
        <v>0</v>
      </c>
      <c r="HL50" s="32">
        <f t="shared" si="124"/>
        <v>-1.8042434444360601E-3</v>
      </c>
      <c r="HM50" s="32">
        <f t="shared" si="124"/>
        <v>-5.0065311337121219E-3</v>
      </c>
      <c r="HN50" s="32">
        <f t="shared" si="124"/>
        <v>-2.4092391799519232E-3</v>
      </c>
      <c r="HO50" s="32">
        <f t="shared" si="124"/>
        <v>-1.102027362143017E-3</v>
      </c>
      <c r="HP50" s="32">
        <f t="shared" si="124"/>
        <v>-6.5857232679528317E-5</v>
      </c>
      <c r="HQ50" s="32">
        <f t="shared" si="124"/>
        <v>-6.5928204903165029E-5</v>
      </c>
      <c r="HR50" s="32">
        <f t="shared" si="124"/>
        <v>0</v>
      </c>
      <c r="HS50" s="32">
        <f t="shared" si="124"/>
        <v>-1.9374975032989059E-4</v>
      </c>
      <c r="HU50" s="102">
        <f t="shared" si="125"/>
        <v>-33.694263999999997</v>
      </c>
      <c r="HV50" s="102">
        <f t="shared" si="125"/>
        <v>0</v>
      </c>
      <c r="HW50" s="102">
        <f t="shared" si="125"/>
        <v>0</v>
      </c>
      <c r="HX50" s="102">
        <f t="shared" si="125"/>
        <v>-73.649934000000002</v>
      </c>
      <c r="HY50" s="102">
        <f t="shared" si="125"/>
        <v>-7.4108519999999993</v>
      </c>
      <c r="HZ50" s="102">
        <f t="shared" si="125"/>
        <v>-7.6084749999999994</v>
      </c>
      <c r="IA50" s="102">
        <f t="shared" si="126"/>
        <v>-0.73429200000000006</v>
      </c>
      <c r="IB50" s="102">
        <f t="shared" si="127"/>
        <v>0.147287</v>
      </c>
      <c r="IC50" s="102">
        <f t="shared" si="128"/>
        <v>-2.4451000000000001</v>
      </c>
      <c r="ID50" s="102">
        <f t="shared" si="18"/>
        <v>0</v>
      </c>
      <c r="IE50" s="102">
        <f t="shared" si="129"/>
        <v>-2.4451000000000001</v>
      </c>
      <c r="IF50" s="922">
        <f t="shared" si="20"/>
        <v>-17.600922009410198</v>
      </c>
      <c r="IG50" s="102">
        <f t="shared" si="151"/>
        <v>-2.4451000000000001</v>
      </c>
      <c r="IH50" s="102">
        <f t="shared" si="151"/>
        <v>0</v>
      </c>
      <c r="II50" s="145"/>
      <c r="IJ50" s="929" t="str">
        <f t="shared" si="130"/>
        <v/>
      </c>
      <c r="IK50" s="930">
        <f t="shared" si="131"/>
        <v>-2.4451000000000001</v>
      </c>
      <c r="IM50" s="32">
        <f t="shared" si="132"/>
        <v>-3.760197361075574E-4</v>
      </c>
      <c r="IN50" s="929">
        <f t="shared" si="133"/>
        <v>0</v>
      </c>
      <c r="IP50" s="929" t="str">
        <f t="shared" si="152"/>
        <v/>
      </c>
      <c r="IQ50" s="929" t="str">
        <f t="shared" si="152"/>
        <v/>
      </c>
      <c r="IR50" s="929">
        <f t="shared" si="152"/>
        <v>-0.89937734363753807</v>
      </c>
      <c r="IS50" s="929">
        <f t="shared" si="152"/>
        <v>2.6666704449097134E-2</v>
      </c>
      <c r="IT50" s="929">
        <f t="shared" si="152"/>
        <v>-0.90349025264589811</v>
      </c>
      <c r="IU50" s="929">
        <f t="shared" si="152"/>
        <v>-1.2005836915014736</v>
      </c>
      <c r="IV50" s="929">
        <f t="shared" si="153"/>
        <v>-17.600922009410198</v>
      </c>
      <c r="IX50" s="102">
        <f t="shared" si="135"/>
        <v>0</v>
      </c>
      <c r="IY50" s="102">
        <f t="shared" si="135"/>
        <v>-73.649934000000002</v>
      </c>
      <c r="IZ50" s="102">
        <f t="shared" si="135"/>
        <v>66.239081999999996</v>
      </c>
      <c r="JA50" s="102">
        <f t="shared" si="135"/>
        <v>-0.1976230000000001</v>
      </c>
      <c r="JB50" s="102">
        <f t="shared" si="135"/>
        <v>6.8741829999999995</v>
      </c>
      <c r="JC50" s="102">
        <f t="shared" si="135"/>
        <v>0.88157900000000011</v>
      </c>
      <c r="JD50" s="102">
        <f t="shared" si="136"/>
        <v>-2.592387</v>
      </c>
      <c r="JF50" s="32">
        <f t="shared" si="137"/>
        <v>-2.106593804570196E-3</v>
      </c>
      <c r="JG50" s="32">
        <f t="shared" si="137"/>
        <v>0</v>
      </c>
      <c r="JH50" s="32">
        <f t="shared" si="137"/>
        <v>0</v>
      </c>
      <c r="JI50" s="32">
        <f t="shared" si="137"/>
        <v>-7.8735677370507431E-3</v>
      </c>
      <c r="JJ50" s="32">
        <f t="shared" si="137"/>
        <v>-3.6931922225410213E-3</v>
      </c>
      <c r="JK50" s="32">
        <f t="shared" si="137"/>
        <v>-1.096114494252417E-3</v>
      </c>
      <c r="JL50" s="32">
        <f t="shared" si="137"/>
        <v>-1.3882186436226383E-4</v>
      </c>
      <c r="JM50" s="32">
        <f t="shared" si="138"/>
        <v>-3.5858810515895307E-4</v>
      </c>
      <c r="JO50" s="102">
        <f t="shared" si="139"/>
        <v>-2.0999999999999979</v>
      </c>
      <c r="JP50" s="102">
        <f t="shared" si="139"/>
        <v>0</v>
      </c>
      <c r="JQ50" s="102">
        <f t="shared" si="139"/>
        <v>0</v>
      </c>
      <c r="JR50" s="102">
        <f t="shared" si="139"/>
        <v>-1.7868660000000001</v>
      </c>
      <c r="JS50" s="102">
        <f t="shared" si="139"/>
        <v>-1.235142</v>
      </c>
      <c r="JT50" s="102">
        <f t="shared" si="140"/>
        <v>-1.235142</v>
      </c>
      <c r="JU50" s="102">
        <f t="shared" si="141"/>
        <v>0</v>
      </c>
      <c r="JV50" s="102">
        <f t="shared" si="141"/>
        <v>0</v>
      </c>
      <c r="JW50" s="102">
        <f t="shared" si="142"/>
        <v>0</v>
      </c>
      <c r="JX50" s="102">
        <f t="shared" si="143"/>
        <v>0</v>
      </c>
      <c r="JY50" s="102">
        <f t="shared" si="144"/>
        <v>0</v>
      </c>
      <c r="KB50" s="32" t="str">
        <f t="shared" si="145"/>
        <v xml:space="preserve"> </v>
      </c>
      <c r="KC50" s="32" t="str">
        <f t="shared" si="145"/>
        <v xml:space="preserve"> </v>
      </c>
      <c r="KD50" s="32">
        <f t="shared" si="145"/>
        <v>-0.30876629808838496</v>
      </c>
      <c r="KE50" s="32">
        <f t="shared" si="145"/>
        <v>0</v>
      </c>
      <c r="KF50" s="32">
        <f t="shared" si="145"/>
        <v>-1</v>
      </c>
      <c r="KG50" s="32" t="str">
        <f t="shared" si="145"/>
        <v xml:space="preserve"> </v>
      </c>
      <c r="KH50" s="32" t="str">
        <f t="shared" si="146"/>
        <v xml:space="preserve"> </v>
      </c>
      <c r="KJ50" s="102">
        <f t="shared" si="147"/>
        <v>0</v>
      </c>
      <c r="KK50" s="102">
        <f t="shared" si="147"/>
        <v>-1.7868660000000001</v>
      </c>
      <c r="KL50" s="102">
        <f t="shared" si="147"/>
        <v>0.5517240000000001</v>
      </c>
      <c r="KM50" s="102">
        <f t="shared" si="147"/>
        <v>0</v>
      </c>
      <c r="KN50" s="102">
        <f t="shared" si="147"/>
        <v>1.235142</v>
      </c>
      <c r="KO50" s="102">
        <f t="shared" si="147"/>
        <v>0</v>
      </c>
      <c r="KP50" s="102">
        <f t="shared" si="148"/>
        <v>0</v>
      </c>
      <c r="KR50" s="32">
        <f t="shared" si="149"/>
        <v>-6.5505793451435795E-4</v>
      </c>
      <c r="KS50" s="32">
        <f t="shared" si="149"/>
        <v>0</v>
      </c>
      <c r="KT50" s="32">
        <f t="shared" si="149"/>
        <v>0</v>
      </c>
      <c r="KU50" s="32">
        <f t="shared" si="149"/>
        <v>-1.9972413912327618E-3</v>
      </c>
      <c r="KV50" s="32">
        <f t="shared" si="149"/>
        <v>-3.9582304610365892E-3</v>
      </c>
      <c r="KW50" s="32">
        <f t="shared" si="149"/>
        <v>-1.2180631875113035E-3</v>
      </c>
      <c r="KX50" s="32">
        <f t="shared" si="149"/>
        <v>0</v>
      </c>
      <c r="KY50" s="32">
        <f t="shared" si="149"/>
        <v>0</v>
      </c>
      <c r="KZ50" s="32">
        <f t="shared" si="46"/>
        <v>0</v>
      </c>
    </row>
    <row r="51" spans="1:312" outlineLevel="2">
      <c r="A51" s="884">
        <v>5125</v>
      </c>
      <c r="B51" s="70" t="s">
        <v>646</v>
      </c>
      <c r="C51" s="29" t="s">
        <v>85</v>
      </c>
      <c r="D51" s="31" t="s">
        <v>59</v>
      </c>
      <c r="E51" s="102">
        <v>-5.940232</v>
      </c>
      <c r="F51" s="102">
        <v>-4.8137190000000007</v>
      </c>
      <c r="G51" s="102">
        <v>-4.8400059999999989</v>
      </c>
      <c r="H51" s="102">
        <v>-5.1257960000000011</v>
      </c>
      <c r="I51" s="102">
        <v>-5.0956960000000002</v>
      </c>
      <c r="J51" s="102">
        <v>-5.9998529999999981</v>
      </c>
      <c r="K51" s="102">
        <v>-4.6605060000000016</v>
      </c>
      <c r="L51" s="102">
        <v>-5.5674399999999977</v>
      </c>
      <c r="M51" s="102">
        <v>-4.635078</v>
      </c>
      <c r="N51" s="102">
        <v>-4.3063199999999995</v>
      </c>
      <c r="O51" s="102">
        <v>-4.3670180000000016</v>
      </c>
      <c r="P51" s="102">
        <v>-3.4167430000000039</v>
      </c>
      <c r="Q51" s="102">
        <v>-5.2480880000000001</v>
      </c>
      <c r="R51" s="102">
        <v>-4.3520000000000012</v>
      </c>
      <c r="S51" s="102">
        <v>-5.7339499999999983</v>
      </c>
      <c r="T51" s="102">
        <v>-3.9336249999999993</v>
      </c>
      <c r="U51" s="102">
        <v>-2.5747000000000035</v>
      </c>
      <c r="V51" s="102">
        <v>-6.2776999999999958</v>
      </c>
      <c r="W51" s="102">
        <v>-4.6857569999999988</v>
      </c>
      <c r="X51" s="102">
        <v>-6.7532000000000068</v>
      </c>
      <c r="Y51" s="102">
        <v>-3.7252749999999963</v>
      </c>
      <c r="Z51" s="102">
        <v>-4.5060509999999994</v>
      </c>
      <c r="AA51" s="102">
        <v>-3.6063250000000053</v>
      </c>
      <c r="AB51" s="102">
        <v>-4.4512750000000025</v>
      </c>
      <c r="AC51" s="102">
        <v>-6.9854000000000003</v>
      </c>
      <c r="AD51" s="102">
        <v>-6.4581666599999998</v>
      </c>
      <c r="AE51" s="102">
        <v>-5.2046999999999999</v>
      </c>
      <c r="AF51" s="102">
        <v>-10.520643339999999</v>
      </c>
      <c r="AG51" s="102">
        <v>-7.0316343300000002</v>
      </c>
      <c r="AH51" s="102">
        <v>-14.135400010000001</v>
      </c>
      <c r="AI51" s="102">
        <v>-5.3497000000000003</v>
      </c>
      <c r="AJ51" s="102">
        <v>-6.2064600000000008</v>
      </c>
      <c r="AK51" s="102">
        <v>-5.58346667</v>
      </c>
      <c r="AL51" s="102">
        <v>-6.0569999999999995</v>
      </c>
      <c r="AM51" s="102">
        <v>-11.701998199999998</v>
      </c>
      <c r="AN51" s="102">
        <v>-1.2178066700000003</v>
      </c>
      <c r="AO51" s="102">
        <v>-6.8740876699999998</v>
      </c>
      <c r="AP51" s="145">
        <v>-5.5951958399999997</v>
      </c>
      <c r="AQ51" s="143">
        <v>-6.0158500000000004</v>
      </c>
      <c r="AR51" s="220">
        <v>-5.8225449999999999</v>
      </c>
      <c r="AS51" s="102">
        <v>-7.3308916699999997</v>
      </c>
      <c r="AT51" s="102">
        <v>-14.055035570000001</v>
      </c>
      <c r="AU51" s="102">
        <v>-7.20310367</v>
      </c>
      <c r="AV51" s="102">
        <v>-4.3834966600000005</v>
      </c>
      <c r="AW51" s="102">
        <v>-13.048298000000001</v>
      </c>
      <c r="AX51" s="102">
        <v>-5.5803250000000002</v>
      </c>
      <c r="AY51" s="102">
        <v>-5.2567899999999996</v>
      </c>
      <c r="AZ51" s="102">
        <v>-5.0044519999999997</v>
      </c>
      <c r="BA51" s="102">
        <v>-4.5573747999999998</v>
      </c>
      <c r="BB51" s="102">
        <v>-2.0339347999999999</v>
      </c>
      <c r="BC51" s="102">
        <v>-3.329243</v>
      </c>
      <c r="BD51" s="102">
        <v>-3.7783340000000001</v>
      </c>
      <c r="BE51" s="102">
        <v>-2.9845160000000002</v>
      </c>
      <c r="BF51" s="102">
        <v>-7.2454795999999995</v>
      </c>
      <c r="BG51" s="102">
        <v>-5.1007889999999998</v>
      </c>
      <c r="BH51" s="102">
        <v>-3.007069</v>
      </c>
      <c r="BI51" s="102">
        <v>-2.9417397999999997</v>
      </c>
      <c r="BJ51" s="102">
        <v>-2.1121534999999998</v>
      </c>
      <c r="BK51" s="102">
        <v>-2.6297890000000002</v>
      </c>
      <c r="BL51" s="102">
        <v>-3.7652288999999999</v>
      </c>
      <c r="BM51" s="102">
        <v>-2.75437303</v>
      </c>
      <c r="BN51" s="102">
        <v>-2.9508679999999998</v>
      </c>
      <c r="BO51" s="102">
        <v>-5.5542680000000004</v>
      </c>
      <c r="BP51" s="102">
        <v>-9.5362185399999984</v>
      </c>
      <c r="BQ51" s="102">
        <v>-9.3377308699999997</v>
      </c>
      <c r="BR51" s="102">
        <v>-5.5469277000000003</v>
      </c>
      <c r="BS51" s="102">
        <v>-1.3032992699999995</v>
      </c>
      <c r="BT51" s="102">
        <v>-2.2704339999999998</v>
      </c>
      <c r="BU51" s="102">
        <v>-1.4754339999999999</v>
      </c>
      <c r="BV51" s="102">
        <v>-1.4754339999999999</v>
      </c>
      <c r="BW51" s="102">
        <v>-1.3770717299999999</v>
      </c>
      <c r="BX51" s="102">
        <v>-2.666175</v>
      </c>
      <c r="BY51" s="102">
        <v>-1.7057116999999999</v>
      </c>
      <c r="BZ51" s="102">
        <v>-1.6406082</v>
      </c>
      <c r="CA51" s="102">
        <v>-2.3437260000000002</v>
      </c>
      <c r="CB51" s="102">
        <v>-2.3437260000000002</v>
      </c>
      <c r="CC51" s="102">
        <v>-2.708526</v>
      </c>
      <c r="CD51" s="102">
        <v>-6.2487259999999996</v>
      </c>
      <c r="CE51" s="102">
        <v>-6.6196380000000001</v>
      </c>
      <c r="CF51" s="102">
        <v>-1.6083183999999999</v>
      </c>
      <c r="CG51" s="102">
        <v>-0.41666240000000004</v>
      </c>
      <c r="CH51" s="102">
        <v>-2.6473450999999999</v>
      </c>
      <c r="CI51" s="102">
        <v>-1.4583184</v>
      </c>
      <c r="CJ51" s="102">
        <v>-3.4927197999999997</v>
      </c>
      <c r="CK51" s="102">
        <v>-2.8290702699999999</v>
      </c>
      <c r="CL51" s="102">
        <v>-2.4843479999999998</v>
      </c>
      <c r="CM51" s="102">
        <v>-2.4843479999999998</v>
      </c>
      <c r="CN51" s="102">
        <v>-4.4839979999999997</v>
      </c>
      <c r="CO51" s="102">
        <v>-2.4843479999999998</v>
      </c>
      <c r="CP51" s="102">
        <v>-2.09789387</v>
      </c>
      <c r="CQ51" s="102">
        <v>-6.3811672000000002</v>
      </c>
      <c r="CR51" s="102">
        <v>-4.7934640000000002</v>
      </c>
      <c r="CS51" s="102">
        <v>-3.3124639999999999</v>
      </c>
      <c r="CT51" s="102">
        <v>-6.3920139300000001</v>
      </c>
      <c r="CU51" s="102">
        <v>-4.4336609999999999</v>
      </c>
      <c r="CV51" s="102">
        <v>-4.2387790000000001</v>
      </c>
      <c r="CW51" s="102">
        <v>-4.301234</v>
      </c>
      <c r="CX51" s="102">
        <v>-5.7268179999999997</v>
      </c>
      <c r="CY51" s="102">
        <v>-5.1205179999999997</v>
      </c>
      <c r="CZ51" s="102">
        <v>-5.3177370000000002</v>
      </c>
      <c r="DA51" s="102">
        <v>-0.46540900000000002</v>
      </c>
      <c r="DB51" s="102">
        <v>-1.490607</v>
      </c>
      <c r="DC51" s="102">
        <v>0</v>
      </c>
      <c r="DD51" s="102">
        <v>-0.59536800000000001</v>
      </c>
      <c r="DE51" s="102">
        <v>-2.691554</v>
      </c>
      <c r="DF51" s="102">
        <v>-2.6334089999999999</v>
      </c>
      <c r="DG51" s="102">
        <v>-2.7374160000000001</v>
      </c>
      <c r="DH51" s="102">
        <v>-1.66151</v>
      </c>
      <c r="DI51" s="145"/>
      <c r="DJ51" s="102">
        <v>-4.301234</v>
      </c>
      <c r="DK51" s="102">
        <v>-5.7268179999999997</v>
      </c>
      <c r="DL51" s="102">
        <v>-5.1205179999999997</v>
      </c>
      <c r="DM51" s="102">
        <v>-5.3177370000000002</v>
      </c>
      <c r="DN51" s="102">
        <v>-0.46540900000000002</v>
      </c>
      <c r="DO51" s="102">
        <v>-1.490607</v>
      </c>
      <c r="DP51" s="102">
        <v>-3.145254</v>
      </c>
      <c r="DQ51" s="102">
        <v>0</v>
      </c>
      <c r="DR51" s="102">
        <v>0</v>
      </c>
      <c r="DS51" s="102">
        <v>-0.53081299999999998</v>
      </c>
      <c r="DT51" s="102">
        <v>0</v>
      </c>
      <c r="DU51" s="102">
        <v>0</v>
      </c>
      <c r="DW51" s="102">
        <v>-0.22</v>
      </c>
      <c r="DX51" s="102">
        <v>-0.22</v>
      </c>
      <c r="DY51" s="102">
        <v>-0.22</v>
      </c>
      <c r="DZ51" s="102">
        <v>-0.22</v>
      </c>
      <c r="EA51" s="102">
        <v>-4.0199999999999996</v>
      </c>
      <c r="EB51" s="102">
        <v>-4.5199999999999996</v>
      </c>
      <c r="EC51" s="102">
        <v>-1.42</v>
      </c>
      <c r="ED51" s="102">
        <v>-0.22</v>
      </c>
      <c r="EE51" s="102">
        <v>-0.22</v>
      </c>
      <c r="EF51" s="102">
        <v>-0.22</v>
      </c>
      <c r="EG51" s="102">
        <v>-0.22</v>
      </c>
      <c r="EH51" s="102">
        <v>-0.22</v>
      </c>
      <c r="EI51" s="102">
        <v>-2.3712075000000001</v>
      </c>
      <c r="EJ51" s="102">
        <v>-2.3712075000000001</v>
      </c>
      <c r="EK51" s="102">
        <v>-2.6933824999999998</v>
      </c>
      <c r="EL51" s="102">
        <v>-2.6933824999999998</v>
      </c>
      <c r="EM51" s="102">
        <v>-2.6933824999999998</v>
      </c>
      <c r="EN51" s="102">
        <v>-2.6933824999999998</v>
      </c>
      <c r="EO51" s="102">
        <v>-2.6933824999999998</v>
      </c>
      <c r="EP51" s="102">
        <v>-2.6933824999999998</v>
      </c>
      <c r="EQ51" s="102">
        <v>-2.01359325</v>
      </c>
      <c r="ER51" s="102">
        <v>-1.333804</v>
      </c>
      <c r="ES51" s="102">
        <v>-1.333804</v>
      </c>
      <c r="ET51" s="102">
        <v>-1.333804</v>
      </c>
      <c r="EU51" s="102">
        <v>-4.2457130000000003</v>
      </c>
      <c r="EV51" s="102">
        <v>-4.2457130000000003</v>
      </c>
      <c r="EW51" s="102">
        <v>-4.8548330000000002</v>
      </c>
      <c r="EX51" s="102">
        <v>-4.2457130000000003</v>
      </c>
      <c r="EY51" s="102">
        <v>-3.8011810000000001</v>
      </c>
      <c r="EZ51" s="102">
        <v>-4.4103000000000003</v>
      </c>
      <c r="FA51" s="102">
        <v>-3.3566479999999999</v>
      </c>
      <c r="FB51" s="102">
        <v>-3.7533110000000001</v>
      </c>
      <c r="FC51" s="102">
        <v>-3.3566479999999999</v>
      </c>
      <c r="FD51" s="102">
        <v>-3.3566479999999999</v>
      </c>
      <c r="FE51" s="102">
        <v>-3.80118</v>
      </c>
      <c r="FF51" s="102">
        <v>-4.4103000000000003</v>
      </c>
      <c r="FG51" s="102">
        <v>-1</v>
      </c>
      <c r="FH51" s="102">
        <v>-6.5</v>
      </c>
      <c r="FI51" s="102">
        <v>-1</v>
      </c>
      <c r="FJ51" s="102">
        <v>-1</v>
      </c>
      <c r="FK51" s="102">
        <v>-0.36499999999999999</v>
      </c>
      <c r="FL51" s="102">
        <v>-4.2300000000000004</v>
      </c>
      <c r="FM51" s="102">
        <v>-6</v>
      </c>
      <c r="FN51" s="102">
        <v>-0.5</v>
      </c>
      <c r="FO51" s="102">
        <v>0</v>
      </c>
      <c r="FP51" s="102">
        <v>-1</v>
      </c>
      <c r="FQ51" s="102">
        <v>0</v>
      </c>
      <c r="FR51" s="102">
        <v>0</v>
      </c>
      <c r="FS51" s="102">
        <v>-1</v>
      </c>
      <c r="FT51" s="102">
        <v>-6.5</v>
      </c>
      <c r="FU51" s="102">
        <v>-1</v>
      </c>
      <c r="FV51" s="102">
        <v>-1</v>
      </c>
      <c r="FW51" s="102">
        <v>-0.36499999999999999</v>
      </c>
      <c r="FX51" s="102">
        <v>-4.2300000000000004</v>
      </c>
      <c r="FY51" s="102">
        <v>-6</v>
      </c>
      <c r="FZ51" s="102">
        <v>-0.5</v>
      </c>
      <c r="GA51" s="102">
        <v>0</v>
      </c>
      <c r="GB51" s="102">
        <v>-1</v>
      </c>
      <c r="GC51" s="102">
        <v>0</v>
      </c>
      <c r="GD51" s="102">
        <v>0</v>
      </c>
      <c r="GF51" s="102">
        <f t="shared" si="120"/>
        <v>-58.768407000000003</v>
      </c>
      <c r="GG51" s="102">
        <f t="shared" si="120"/>
        <v>-55.847946000000007</v>
      </c>
      <c r="GH51" s="102">
        <f t="shared" si="120"/>
        <v>-86.452375879999991</v>
      </c>
      <c r="GI51" s="102">
        <f t="shared" si="120"/>
        <v>-86.17007108</v>
      </c>
      <c r="GJ51" s="102">
        <f t="shared" si="150"/>
        <v>-43.485651399999995</v>
      </c>
      <c r="GK51" s="102">
        <f t="shared" si="37"/>
        <v>-46.248234139999994</v>
      </c>
      <c r="GL51" s="102">
        <f t="shared" si="38"/>
        <v>-33.234026</v>
      </c>
      <c r="GM51" s="102">
        <f t="shared" si="121"/>
        <v>-46.415555269999999</v>
      </c>
      <c r="GN51" s="102">
        <f t="shared" si="7"/>
        <v>-21.594999999999999</v>
      </c>
      <c r="GO51" s="102">
        <v>-32.741580000000006</v>
      </c>
      <c r="GQ51" s="929">
        <f t="shared" si="122"/>
        <v>0.54799562153995751</v>
      </c>
      <c r="GR51" s="929">
        <f t="shared" si="122"/>
        <v>-3.2654371511067204E-3</v>
      </c>
      <c r="GS51" s="929">
        <f t="shared" si="122"/>
        <v>-0.49535087002971057</v>
      </c>
      <c r="GT51" s="929">
        <f t="shared" si="122"/>
        <v>6.352860428808027E-2</v>
      </c>
      <c r="GU51" s="929">
        <f t="shared" si="122"/>
        <v>-0.28139902813595286</v>
      </c>
      <c r="GV51" s="929">
        <f t="shared" si="122"/>
        <v>0.3966275187363697</v>
      </c>
      <c r="GW51" s="929">
        <f t="shared" si="92"/>
        <v>-0.53474649017163423</v>
      </c>
      <c r="GX51" s="929">
        <f t="shared" si="92"/>
        <v>0.51616485297522607</v>
      </c>
      <c r="GY51" s="929">
        <f t="shared" si="9"/>
        <v>-0.29459898067486789</v>
      </c>
      <c r="HA51" s="102">
        <f t="shared" si="123"/>
        <v>-30.604429879999984</v>
      </c>
      <c r="HB51" s="102">
        <f t="shared" si="123"/>
        <v>0.28230479999999147</v>
      </c>
      <c r="HC51" s="102">
        <f t="shared" si="123"/>
        <v>42.684419680000005</v>
      </c>
      <c r="HD51" s="102">
        <f t="shared" si="99"/>
        <v>-2.7625827399999991</v>
      </c>
      <c r="HE51" s="102">
        <f t="shared" si="93"/>
        <v>13.014208139999994</v>
      </c>
      <c r="HF51" s="102">
        <f t="shared" si="93"/>
        <v>-13.181529269999999</v>
      </c>
      <c r="HG51" s="102">
        <f t="shared" si="93"/>
        <v>24.82055527</v>
      </c>
      <c r="HH51" s="102">
        <f t="shared" si="93"/>
        <v>-11.146580000000007</v>
      </c>
      <c r="HI51" s="102">
        <f t="shared" si="11"/>
        <v>13.673975269999993</v>
      </c>
      <c r="HK51" s="32">
        <f t="shared" si="124"/>
        <v>-1.519453688290614E-3</v>
      </c>
      <c r="HL51" s="32">
        <f t="shared" si="124"/>
        <v>-2.1951709297503416E-3</v>
      </c>
      <c r="HM51" s="32">
        <f t="shared" si="124"/>
        <v>-5.1131062343230766E-3</v>
      </c>
      <c r="HN51" s="32">
        <f t="shared" si="124"/>
        <v>-7.0685081228589646E-3</v>
      </c>
      <c r="HO51" s="32">
        <f t="shared" si="124"/>
        <v>-3.3934156619052783E-3</v>
      </c>
      <c r="HP51" s="32">
        <f t="shared" si="124"/>
        <v>-2.3486058097138621E-3</v>
      </c>
      <c r="HQ51" s="32">
        <f t="shared" si="124"/>
        <v>-2.1863859785060166E-3</v>
      </c>
      <c r="HR51" s="32">
        <f t="shared" si="124"/>
        <v>-1.3726539916282283E-3</v>
      </c>
      <c r="HS51" s="32">
        <f t="shared" si="124"/>
        <v>-2.5944431517754447E-3</v>
      </c>
      <c r="HU51" s="102">
        <f t="shared" si="125"/>
        <v>-31.815301999999999</v>
      </c>
      <c r="HV51" s="102">
        <f t="shared" si="125"/>
        <v>-28.120062999999998</v>
      </c>
      <c r="HW51" s="102">
        <f t="shared" si="125"/>
        <v>-50.335944339999998</v>
      </c>
      <c r="HX51" s="102">
        <f t="shared" si="125"/>
        <v>-45.693605750000003</v>
      </c>
      <c r="HY51" s="102">
        <f t="shared" si="125"/>
        <v>-23.9288822</v>
      </c>
      <c r="HZ51" s="102">
        <f t="shared" si="125"/>
        <v>-35.680386139999996</v>
      </c>
      <c r="IA51" s="102">
        <f t="shared" si="126"/>
        <v>-16.991023900000002</v>
      </c>
      <c r="IB51" s="102">
        <f t="shared" si="127"/>
        <v>-16.864006140000001</v>
      </c>
      <c r="IC51" s="102">
        <f t="shared" si="128"/>
        <v>-22.422323000000002</v>
      </c>
      <c r="ID51" s="102">
        <f t="shared" si="18"/>
        <v>-14.095000000000001</v>
      </c>
      <c r="IE51" s="102">
        <f t="shared" si="129"/>
        <v>-22.422323000000002</v>
      </c>
      <c r="IF51" s="922">
        <f t="shared" si="20"/>
        <v>0.32959646799559339</v>
      </c>
      <c r="IG51" s="102">
        <f t="shared" si="151"/>
        <v>-22.422323000000002</v>
      </c>
      <c r="IH51" s="102">
        <f t="shared" si="151"/>
        <v>-14.095000000000001</v>
      </c>
      <c r="II51" s="145"/>
      <c r="IJ51" s="929">
        <f t="shared" si="130"/>
        <v>1.5907997871585668</v>
      </c>
      <c r="IK51" s="930">
        <f t="shared" si="131"/>
        <v>-8.3273230000000016</v>
      </c>
      <c r="IM51" s="32">
        <f t="shared" si="132"/>
        <v>-3.4482172415763834E-3</v>
      </c>
      <c r="IN51" s="929">
        <f t="shared" si="133"/>
        <v>-1.9961940460931477E-3</v>
      </c>
      <c r="IP51" s="929">
        <f t="shared" si="152"/>
        <v>0.79003668448395725</v>
      </c>
      <c r="IQ51" s="929">
        <f t="shared" si="152"/>
        <v>-9.2227108299444582E-2</v>
      </c>
      <c r="IR51" s="929">
        <f t="shared" si="152"/>
        <v>-0.47631880200218168</v>
      </c>
      <c r="IS51" s="929">
        <f t="shared" si="152"/>
        <v>0.49110124918413423</v>
      </c>
      <c r="IT51" s="929">
        <f t="shared" si="152"/>
        <v>-0.52379932679730801</v>
      </c>
      <c r="IU51" s="929">
        <f t="shared" si="152"/>
        <v>-7.4755800914387827E-3</v>
      </c>
      <c r="IV51" s="929">
        <f t="shared" si="153"/>
        <v>0.32959646799559339</v>
      </c>
      <c r="IX51" s="102">
        <f t="shared" si="135"/>
        <v>-22.215881339999999</v>
      </c>
      <c r="IY51" s="102">
        <f t="shared" si="135"/>
        <v>4.6423385899999943</v>
      </c>
      <c r="IZ51" s="102">
        <f t="shared" si="135"/>
        <v>21.764723550000003</v>
      </c>
      <c r="JA51" s="102">
        <f t="shared" si="135"/>
        <v>-11.751503939999996</v>
      </c>
      <c r="JB51" s="102">
        <f t="shared" si="135"/>
        <v>18.689362239999994</v>
      </c>
      <c r="JC51" s="102">
        <f t="shared" si="135"/>
        <v>0.12701776000000109</v>
      </c>
      <c r="JD51" s="102">
        <f t="shared" si="136"/>
        <v>-5.5583168600000015</v>
      </c>
      <c r="JF51" s="32">
        <f t="shared" si="137"/>
        <v>-1.9891195155273245E-3</v>
      </c>
      <c r="JG51" s="32">
        <f t="shared" si="137"/>
        <v>-1.6491419821802503E-3</v>
      </c>
      <c r="JH51" s="32">
        <f t="shared" si="137"/>
        <v>-3.0965921941935085E-3</v>
      </c>
      <c r="JI51" s="32">
        <f t="shared" si="137"/>
        <v>-4.8848882881920349E-3</v>
      </c>
      <c r="JJ51" s="32">
        <f t="shared" si="137"/>
        <v>-1.1924939485384447E-2</v>
      </c>
      <c r="JK51" s="32">
        <f t="shared" si="137"/>
        <v>-5.1402926879009318E-3</v>
      </c>
      <c r="JL51" s="32">
        <f t="shared" si="137"/>
        <v>-3.2122447408139852E-3</v>
      </c>
      <c r="JM51" s="32">
        <f t="shared" si="138"/>
        <v>-3.2883637960950526E-3</v>
      </c>
      <c r="JO51" s="102">
        <f t="shared" si="139"/>
        <v>-5.9998529999999981</v>
      </c>
      <c r="JP51" s="102">
        <f t="shared" si="139"/>
        <v>-6.2776999999999958</v>
      </c>
      <c r="JQ51" s="102">
        <f t="shared" si="139"/>
        <v>-14.135400010000001</v>
      </c>
      <c r="JR51" s="102">
        <f t="shared" si="139"/>
        <v>-14.055035570000001</v>
      </c>
      <c r="JS51" s="102">
        <f t="shared" si="139"/>
        <v>-7.2454795999999995</v>
      </c>
      <c r="JT51" s="102">
        <f t="shared" si="140"/>
        <v>-5.5469277000000003</v>
      </c>
      <c r="JU51" s="102">
        <f t="shared" si="141"/>
        <v>-6.2487259999999996</v>
      </c>
      <c r="JV51" s="102">
        <f t="shared" si="141"/>
        <v>-2.09789387</v>
      </c>
      <c r="JW51" s="102">
        <f t="shared" si="142"/>
        <v>-1.490607</v>
      </c>
      <c r="JX51" s="102">
        <f t="shared" si="143"/>
        <v>-4.2300000000000004</v>
      </c>
      <c r="JY51" s="102">
        <f t="shared" si="144"/>
        <v>-1.490607</v>
      </c>
      <c r="KB51" s="32">
        <f t="shared" si="145"/>
        <v>1.2516845357376125</v>
      </c>
      <c r="KC51" s="32">
        <f t="shared" si="145"/>
        <v>-5.6853318578283796E-3</v>
      </c>
      <c r="KD51" s="32">
        <f t="shared" si="145"/>
        <v>-0.4844922615873537</v>
      </c>
      <c r="KE51" s="32">
        <f t="shared" si="145"/>
        <v>-0.2344291880968099</v>
      </c>
      <c r="KF51" s="32">
        <f t="shared" si="145"/>
        <v>0.1265201816133279</v>
      </c>
      <c r="KG51" s="32">
        <f t="shared" si="145"/>
        <v>-0.6642685453002739</v>
      </c>
      <c r="KH51" s="32">
        <f t="shared" si="146"/>
        <v>-0.28947454334284317</v>
      </c>
      <c r="KJ51" s="102">
        <f t="shared" si="147"/>
        <v>-7.8577000100000056</v>
      </c>
      <c r="KK51" s="102">
        <f t="shared" si="147"/>
        <v>8.0364440000000315E-2</v>
      </c>
      <c r="KL51" s="102">
        <f t="shared" si="147"/>
        <v>6.8095559700000017</v>
      </c>
      <c r="KM51" s="102">
        <f t="shared" si="147"/>
        <v>1.6985518999999991</v>
      </c>
      <c r="KN51" s="102">
        <f t="shared" si="147"/>
        <v>-0.70179829999999921</v>
      </c>
      <c r="KO51" s="102">
        <f t="shared" si="147"/>
        <v>4.1508321299999995</v>
      </c>
      <c r="KP51" s="102">
        <f t="shared" si="148"/>
        <v>0.60728687000000003</v>
      </c>
      <c r="KR51" s="32">
        <f t="shared" si="149"/>
        <v>-1.8715482445570365E-3</v>
      </c>
      <c r="KS51" s="32">
        <f t="shared" si="149"/>
        <v>-1.8665599976581695E-3</v>
      </c>
      <c r="KT51" s="32">
        <f t="shared" si="149"/>
        <v>-5.6340284853931373E-3</v>
      </c>
      <c r="KU51" s="32">
        <f t="shared" si="149"/>
        <v>-1.5709795136094568E-2</v>
      </c>
      <c r="KV51" s="32">
        <f t="shared" si="149"/>
        <v>-2.3219417732972567E-2</v>
      </c>
      <c r="KW51" s="32">
        <f t="shared" si="149"/>
        <v>-5.4702280670212364E-3</v>
      </c>
      <c r="KX51" s="32">
        <f t="shared" si="149"/>
        <v>-7.1239125908112572E-3</v>
      </c>
      <c r="KY51" s="32">
        <f t="shared" si="149"/>
        <v>-1.3710695292957794E-3</v>
      </c>
      <c r="KZ51" s="32">
        <f t="shared" si="46"/>
        <v>-4.0673048406403784E-3</v>
      </c>
    </row>
    <row r="52" spans="1:312" outlineLevel="2">
      <c r="A52" s="884">
        <v>5115</v>
      </c>
      <c r="B52" s="70" t="s">
        <v>631</v>
      </c>
      <c r="C52" s="29" t="s">
        <v>68</v>
      </c>
      <c r="D52" s="31" t="s">
        <v>59</v>
      </c>
      <c r="E52" s="102">
        <v>0</v>
      </c>
      <c r="F52" s="102">
        <v>-5.3999999999999999E-2</v>
      </c>
      <c r="G52" s="102">
        <v>0</v>
      </c>
      <c r="H52" s="102">
        <v>-6.3809999999999993</v>
      </c>
      <c r="I52" s="102">
        <v>0</v>
      </c>
      <c r="J52" s="102">
        <v>-0.93200000000000038</v>
      </c>
      <c r="K52" s="102">
        <v>0</v>
      </c>
      <c r="L52" s="102">
        <v>-0.88475726999999882</v>
      </c>
      <c r="M52" s="102">
        <v>0</v>
      </c>
      <c r="N52" s="102">
        <v>-0.43900000000000006</v>
      </c>
      <c r="O52" s="102">
        <v>0</v>
      </c>
      <c r="P52" s="102">
        <v>-0.19300000000000139</v>
      </c>
      <c r="Q52" s="102">
        <v>-5.8664303499999999</v>
      </c>
      <c r="R52" s="102">
        <v>-0.66801590000000033</v>
      </c>
      <c r="S52" s="102">
        <v>-0.54019775999999986</v>
      </c>
      <c r="T52" s="102">
        <v>-3.8173966899999989</v>
      </c>
      <c r="U52" s="102">
        <v>-0.38262067000000144</v>
      </c>
      <c r="V52" s="102">
        <v>-1.1082193399999998</v>
      </c>
      <c r="W52" s="102">
        <v>-0.35276600999999985</v>
      </c>
      <c r="X52" s="102">
        <v>-1.3299253000000011</v>
      </c>
      <c r="Y52" s="102">
        <v>-1.9713000600000008</v>
      </c>
      <c r="Z52" s="102">
        <v>-0.72413430999999662</v>
      </c>
      <c r="AA52" s="102">
        <v>-3.8376618800000024</v>
      </c>
      <c r="AB52" s="102">
        <v>-1.52842901</v>
      </c>
      <c r="AC52" s="102">
        <v>-0.24998969000000001</v>
      </c>
      <c r="AD52" s="102">
        <v>-1.8601818300000001</v>
      </c>
      <c r="AE52" s="102">
        <v>-6.7031404800000001</v>
      </c>
      <c r="AF52" s="102">
        <v>-1.4542086000000001</v>
      </c>
      <c r="AG52" s="102">
        <v>-0.31915429000000001</v>
      </c>
      <c r="AH52" s="102">
        <v>-0.83269251</v>
      </c>
      <c r="AI52" s="102">
        <v>-0.42176608000000004</v>
      </c>
      <c r="AJ52" s="102">
        <v>-1.3151296800000001</v>
      </c>
      <c r="AK52" s="102">
        <v>-0.28767515999999999</v>
      </c>
      <c r="AL52" s="102">
        <v>-2.2642940899999999</v>
      </c>
      <c r="AM52" s="102">
        <v>-1.4876809800000002</v>
      </c>
      <c r="AN52" s="102">
        <v>-4.6007161999999999</v>
      </c>
      <c r="AO52" s="102">
        <v>-4.44475745</v>
      </c>
      <c r="AP52" s="145">
        <v>-0.30189766000000007</v>
      </c>
      <c r="AQ52" s="143">
        <v>-11.225645800000001</v>
      </c>
      <c r="AR52" s="220">
        <v>-150.62947892</v>
      </c>
      <c r="AS52" s="102">
        <v>-1.3097788700000002</v>
      </c>
      <c r="AT52" s="102">
        <v>-18.031537839999999</v>
      </c>
      <c r="AU52" s="102">
        <v>-63.055332939999992</v>
      </c>
      <c r="AV52" s="102">
        <v>-13.000413249999999</v>
      </c>
      <c r="AW52" s="102">
        <v>-14.139675150000002</v>
      </c>
      <c r="AX52" s="102">
        <v>-11.117539779999998</v>
      </c>
      <c r="AY52" s="102">
        <v>-12.441998999999999</v>
      </c>
      <c r="AZ52" s="102">
        <v>-65.364750490000006</v>
      </c>
      <c r="BA52" s="102">
        <v>-0.33309259000000002</v>
      </c>
      <c r="BB52" s="102">
        <v>-4.6002059999999997E-2</v>
      </c>
      <c r="BC52" s="102">
        <v>-9.4621241500000011</v>
      </c>
      <c r="BD52" s="102">
        <v>-9.45405E-2</v>
      </c>
      <c r="BE52" s="102">
        <v>-122.008734</v>
      </c>
      <c r="BF52" s="102">
        <v>-9.3550000000000005E-3</v>
      </c>
      <c r="BG52" s="102">
        <v>-1.858771</v>
      </c>
      <c r="BH52" s="102">
        <v>-0.21667194000000001</v>
      </c>
      <c r="BI52" s="102">
        <v>-0.33736948999999999</v>
      </c>
      <c r="BJ52" s="102">
        <v>-0.23331014999999999</v>
      </c>
      <c r="BK52" s="102">
        <v>-0.31164897999999996</v>
      </c>
      <c r="BL52" s="102">
        <v>-32.594486369999998</v>
      </c>
      <c r="BM52" s="102">
        <v>-0.44578981000000001</v>
      </c>
      <c r="BN52" s="102">
        <v>-0.39344318</v>
      </c>
      <c r="BO52" s="102">
        <v>-0.65852427000000002</v>
      </c>
      <c r="BP52" s="102">
        <v>-0.11176856</v>
      </c>
      <c r="BQ52" s="102">
        <v>-49.127645360000002</v>
      </c>
      <c r="BR52" s="102">
        <v>-0.30701471000000002</v>
      </c>
      <c r="BS52" s="102">
        <v>-0.21288400000000005</v>
      </c>
      <c r="BT52" s="102">
        <v>-9.8021999999999998E-2</v>
      </c>
      <c r="BU52" s="102">
        <v>-0.29200700000000002</v>
      </c>
      <c r="BV52" s="102">
        <v>-3.4070000000000003E-2</v>
      </c>
      <c r="BW52" s="102">
        <v>-2.0934620000000002</v>
      </c>
      <c r="BX52" s="102">
        <v>-37.18385</v>
      </c>
      <c r="BY52" s="102">
        <v>-0.123845</v>
      </c>
      <c r="BZ52" s="102">
        <v>-8.6338999999999999E-2</v>
      </c>
      <c r="CA52" s="102">
        <v>-0.10042353</v>
      </c>
      <c r="CB52" s="102">
        <v>-5.8499000000000002E-2</v>
      </c>
      <c r="CC52" s="102">
        <v>-0.11742252</v>
      </c>
      <c r="CD52" s="102">
        <v>-0.251801</v>
      </c>
      <c r="CE52" s="102">
        <v>-6.5992999999999996E-2</v>
      </c>
      <c r="CF52" s="102">
        <v>-0.222025</v>
      </c>
      <c r="CG52" s="102">
        <v>-0.16251688</v>
      </c>
      <c r="CH52" s="102">
        <v>-6.1772000000000001E-2</v>
      </c>
      <c r="CI52" s="102">
        <v>-6.1087000000000002E-2</v>
      </c>
      <c r="CJ52" s="102">
        <v>-60.476523</v>
      </c>
      <c r="CK52" s="102">
        <v>-2.6919999999999999E-2</v>
      </c>
      <c r="CL52" s="102">
        <v>-5.4769999999999999E-2</v>
      </c>
      <c r="CM52" s="102">
        <v>-8.7575E-2</v>
      </c>
      <c r="CN52" s="102">
        <v>-8.9537000000000005E-2</v>
      </c>
      <c r="CO52" s="102">
        <v>-4.6819E-2</v>
      </c>
      <c r="CP52" s="102">
        <v>-3.7220000000000003E-2</v>
      </c>
      <c r="CQ52" s="102">
        <v>-5.9084999999999999E-2</v>
      </c>
      <c r="CR52" s="102">
        <v>-1.1194000000000001E-2</v>
      </c>
      <c r="CS52" s="102">
        <v>-4.8908E-2</v>
      </c>
      <c r="CT52" s="102">
        <v>-3.2404000000000002E-2</v>
      </c>
      <c r="CU52" s="102">
        <v>-7.162E-3</v>
      </c>
      <c r="CV52" s="102">
        <v>-60.726475640000004</v>
      </c>
      <c r="CW52" s="102">
        <v>-4.4522320000000004E-2</v>
      </c>
      <c r="CX52" s="102">
        <v>-21.068335980000001</v>
      </c>
      <c r="CY52" s="102">
        <v>-0.10365964999999999</v>
      </c>
      <c r="CZ52" s="102">
        <v>-2.3383500000000003E-3</v>
      </c>
      <c r="DA52" s="102">
        <v>-1.9499999999999999E-3</v>
      </c>
      <c r="DB52" s="102">
        <v>-2.4479299999999999E-2</v>
      </c>
      <c r="DC52" s="102">
        <v>-6.4229999999999999E-3</v>
      </c>
      <c r="DD52" s="102">
        <v>-2.0999999999999999E-3</v>
      </c>
      <c r="DE52" s="102">
        <v>24.308313999999999</v>
      </c>
      <c r="DF52" s="102">
        <v>59.996810000000004</v>
      </c>
      <c r="DG52" s="102">
        <v>-2.2839600000000002E-3</v>
      </c>
      <c r="DH52" s="102">
        <v>-3.4402000000000002E-2</v>
      </c>
      <c r="DI52" s="145"/>
      <c r="DJ52" s="102">
        <v>-4.4522319999999997E-2</v>
      </c>
      <c r="DK52" s="102">
        <v>-21.068335980000001</v>
      </c>
      <c r="DL52" s="102">
        <v>-0.10365964999999999</v>
      </c>
      <c r="DM52" s="102">
        <v>-2.3383499999999999E-3</v>
      </c>
      <c r="DN52" s="102">
        <v>-1.9499999999999999E-3</v>
      </c>
      <c r="DO52" s="102">
        <v>-2.4479299999999999E-2</v>
      </c>
      <c r="DP52" s="102">
        <v>-9.5000000000000001E-2</v>
      </c>
      <c r="DQ52" s="102">
        <v>-9.5000000000000001E-2</v>
      </c>
      <c r="DR52" s="102">
        <v>-9.5000000000000001E-2</v>
      </c>
      <c r="DS52" s="102">
        <v>-9.5000000000000001E-2</v>
      </c>
      <c r="DT52" s="102">
        <v>-9.5000000000000001E-2</v>
      </c>
      <c r="DU52" s="102">
        <v>-9.5000000000000001E-2</v>
      </c>
      <c r="DW52" s="102">
        <v>-3.47394517673</v>
      </c>
      <c r="DX52" s="102">
        <v>-11.419579371690002</v>
      </c>
      <c r="DY52" s="102">
        <v>-11.232562283276982</v>
      </c>
      <c r="DZ52" s="102">
        <v>-8.7631534124749209</v>
      </c>
      <c r="EA52" s="102">
        <v>-16.424522855474923</v>
      </c>
      <c r="EB52" s="102">
        <v>-15.141765512474922</v>
      </c>
      <c r="EC52" s="102">
        <v>-17.007632655474922</v>
      </c>
      <c r="ED52" s="102">
        <v>-24.34145251247492</v>
      </c>
      <c r="EE52" s="102">
        <v>-30.540948041064922</v>
      </c>
      <c r="EF52" s="102">
        <v>-27.400165865064924</v>
      </c>
      <c r="EG52" s="102">
        <v>-26.899057208064921</v>
      </c>
      <c r="EH52" s="102">
        <v>-62.448774942740215</v>
      </c>
      <c r="EI52" s="102">
        <v>-4.8000000000000001E-2</v>
      </c>
      <c r="EJ52" s="102">
        <v>-4.8000000000000001E-2</v>
      </c>
      <c r="EK52" s="102">
        <v>-20.047999999999998</v>
      </c>
      <c r="EL52" s="102">
        <v>-125.024</v>
      </c>
      <c r="EM52" s="102">
        <v>-2.4E-2</v>
      </c>
      <c r="EN52" s="102">
        <v>-2.4E-2</v>
      </c>
      <c r="EO52" s="102">
        <v>-2.4E-2</v>
      </c>
      <c r="EP52" s="102">
        <v>-2.4E-2</v>
      </c>
      <c r="EQ52" s="102">
        <v>-2.4E-2</v>
      </c>
      <c r="ER52" s="102">
        <v>-2.4E-2</v>
      </c>
      <c r="ES52" s="102">
        <v>-2.4E-2</v>
      </c>
      <c r="ET52" s="102">
        <v>-2.4E-2</v>
      </c>
      <c r="EU52" s="102">
        <v>-0.13400000000000001</v>
      </c>
      <c r="EV52" s="102">
        <v>-0.126</v>
      </c>
      <c r="EW52" s="102">
        <v>-0.13400000000000001</v>
      </c>
      <c r="EX52" s="102">
        <v>-0.126</v>
      </c>
      <c r="EY52" s="102">
        <v>-0.126</v>
      </c>
      <c r="EZ52" s="102">
        <v>-0.13400000000000001</v>
      </c>
      <c r="FA52" s="102">
        <v>-0.126</v>
      </c>
      <c r="FB52" s="102">
        <v>-0.13400000000000001</v>
      </c>
      <c r="FC52" s="102">
        <v>-0.13400000000000001</v>
      </c>
      <c r="FD52" s="102">
        <v>-0.126</v>
      </c>
      <c r="FE52" s="102">
        <v>-0.13400000000000001</v>
      </c>
      <c r="FF52" s="102">
        <v>-0.126</v>
      </c>
      <c r="FG52" s="102">
        <v>-7.0000000000000007E-2</v>
      </c>
      <c r="FH52" s="102">
        <v>-7.0000000000000007E-2</v>
      </c>
      <c r="FI52" s="102">
        <v>-7.0000000000000007E-2</v>
      </c>
      <c r="FJ52" s="102">
        <v>-7.0000000000000007E-2</v>
      </c>
      <c r="FK52" s="102">
        <v>-7.0000000000000007E-2</v>
      </c>
      <c r="FL52" s="102">
        <v>-7.0000000000000007E-2</v>
      </c>
      <c r="FM52" s="102">
        <v>-7.0000000000000007E-2</v>
      </c>
      <c r="FN52" s="102">
        <v>-7.0000000000000007E-2</v>
      </c>
      <c r="FO52" s="102">
        <v>-7.0000000000000007E-2</v>
      </c>
      <c r="FP52" s="102">
        <v>-7.0000000000000007E-2</v>
      </c>
      <c r="FQ52" s="102">
        <v>-7.0000000000000007E-2</v>
      </c>
      <c r="FR52" s="102">
        <v>-7.0000000000000007E-2</v>
      </c>
      <c r="FS52" s="102">
        <v>-7.0000000000000007E-2</v>
      </c>
      <c r="FT52" s="102">
        <v>-7.0000000000000007E-2</v>
      </c>
      <c r="FU52" s="102">
        <v>-7.0000000000000007E-2</v>
      </c>
      <c r="FV52" s="102">
        <v>-7.0000000000000007E-2</v>
      </c>
      <c r="FW52" s="102">
        <v>-7.0000000000000007E-2</v>
      </c>
      <c r="FX52" s="102">
        <v>-7.0000000000000007E-2</v>
      </c>
      <c r="FY52" s="102">
        <v>-7.0000000000000007E-2</v>
      </c>
      <c r="FZ52" s="102">
        <v>-7.0000000000000007E-2</v>
      </c>
      <c r="GA52" s="102">
        <v>-7.0000000000000007E-2</v>
      </c>
      <c r="GB52" s="102">
        <v>-7.0000000000000007E-2</v>
      </c>
      <c r="GC52" s="102">
        <v>-7.0000000000000007E-2</v>
      </c>
      <c r="GD52" s="102">
        <v>-7.0000000000000007E-2</v>
      </c>
      <c r="GF52" s="102">
        <f t="shared" si="120"/>
        <v>-8.8837572700000003</v>
      </c>
      <c r="GG52" s="102">
        <f t="shared" si="120"/>
        <v>-22.127097280000001</v>
      </c>
      <c r="GH52" s="102">
        <f t="shared" si="120"/>
        <v>-21.796629589999998</v>
      </c>
      <c r="GI52" s="102">
        <f t="shared" si="120"/>
        <v>-365.06280715000003</v>
      </c>
      <c r="GJ52" s="102">
        <f t="shared" si="150"/>
        <v>-167.50610622999997</v>
      </c>
      <c r="GK52" s="102">
        <f t="shared" si="37"/>
        <v>-90.958480890000004</v>
      </c>
      <c r="GL52" s="102">
        <f t="shared" si="38"/>
        <v>-61.78824693</v>
      </c>
      <c r="GM52" s="102">
        <f t="shared" si="121"/>
        <v>-61.228069640000001</v>
      </c>
      <c r="GN52" s="102">
        <f t="shared" si="7"/>
        <v>-0.8400000000000003</v>
      </c>
      <c r="GO52" s="102">
        <v>63.014629440000007</v>
      </c>
      <c r="GQ52" s="929">
        <f t="shared" si="122"/>
        <v>-1.4934977047292186E-2</v>
      </c>
      <c r="GR52" s="929">
        <f t="shared" si="122"/>
        <v>15.748589759835436</v>
      </c>
      <c r="GS52" s="929">
        <f t="shared" si="122"/>
        <v>-0.54115811594804919</v>
      </c>
      <c r="GT52" s="929">
        <f t="shared" si="122"/>
        <v>-0.456984088895802</v>
      </c>
      <c r="GU52" s="929">
        <f t="shared" si="122"/>
        <v>-0.32069834142543363</v>
      </c>
      <c r="GV52" s="929">
        <f t="shared" si="122"/>
        <v>-9.0660816228468333E-3</v>
      </c>
      <c r="GW52" s="929">
        <f t="shared" si="92"/>
        <v>-0.98628080217228942</v>
      </c>
      <c r="GX52" s="929">
        <f t="shared" si="92"/>
        <v>-76.017415999999983</v>
      </c>
      <c r="GY52" s="929">
        <f t="shared" si="9"/>
        <v>-2.0291787706276612</v>
      </c>
      <c r="HA52" s="102">
        <f t="shared" si="123"/>
        <v>0.33046769000000253</v>
      </c>
      <c r="HB52" s="102">
        <f t="shared" si="123"/>
        <v>-343.26617756000002</v>
      </c>
      <c r="HC52" s="102">
        <f t="shared" si="123"/>
        <v>197.55670092000005</v>
      </c>
      <c r="HD52" s="102">
        <f t="shared" si="99"/>
        <v>76.547625339999968</v>
      </c>
      <c r="HE52" s="102">
        <f t="shared" si="93"/>
        <v>29.170233960000004</v>
      </c>
      <c r="HF52" s="102">
        <f t="shared" si="93"/>
        <v>0.56017728999999861</v>
      </c>
      <c r="HG52" s="102">
        <f t="shared" si="93"/>
        <v>60.388069639999998</v>
      </c>
      <c r="HH52" s="102">
        <f t="shared" si="93"/>
        <v>63.854629440000011</v>
      </c>
      <c r="HI52" s="102">
        <f t="shared" si="11"/>
        <v>124.24269908000001</v>
      </c>
      <c r="HK52" s="32">
        <f t="shared" si="124"/>
        <v>-6.0201138951934262E-4</v>
      </c>
      <c r="HL52" s="32">
        <f t="shared" si="124"/>
        <v>-5.5345300988510096E-4</v>
      </c>
      <c r="HM52" s="32">
        <f t="shared" si="124"/>
        <v>-2.1661870435562232E-2</v>
      </c>
      <c r="HN52" s="32">
        <f t="shared" si="124"/>
        <v>-2.7227792027860288E-2</v>
      </c>
      <c r="HO52" s="32">
        <f t="shared" si="124"/>
        <v>-6.6739831125417759E-3</v>
      </c>
      <c r="HP52" s="32">
        <f t="shared" si="124"/>
        <v>-4.3664958230409008E-3</v>
      </c>
      <c r="HQ52" s="32">
        <f t="shared" si="124"/>
        <v>-2.8841234834566251E-3</v>
      </c>
      <c r="HR52" s="32">
        <f t="shared" si="124"/>
        <v>-5.3393348134647475E-5</v>
      </c>
      <c r="HS52" s="32">
        <f t="shared" si="124"/>
        <v>4.9932799153942888E-3</v>
      </c>
      <c r="HU52" s="102">
        <f t="shared" ref="HU52:HZ58" si="158">+IFERROR(SUMIFS($E52:$BX52,$E$6:$BX$6,HU$7,$E$5:$BX$5,"&lt;="&amp;$HW$5),"NA")</f>
        <v>-7.367</v>
      </c>
      <c r="HV52" s="102">
        <f t="shared" si="158"/>
        <v>-12.38288071</v>
      </c>
      <c r="HW52" s="102">
        <f t="shared" si="158"/>
        <v>-11.419367399999999</v>
      </c>
      <c r="HX52" s="102">
        <f t="shared" si="158"/>
        <v>-185.94309654</v>
      </c>
      <c r="HY52" s="102">
        <f t="shared" si="158"/>
        <v>-131.9538483</v>
      </c>
      <c r="HZ52" s="102">
        <f t="shared" si="158"/>
        <v>-51.044185890000001</v>
      </c>
      <c r="IA52" s="102">
        <f t="shared" si="126"/>
        <v>-0.73833005000000007</v>
      </c>
      <c r="IB52" s="102">
        <f t="shared" si="127"/>
        <v>-0.34284099999999995</v>
      </c>
      <c r="IC52" s="102">
        <f t="shared" si="128"/>
        <v>-21.245285599999999</v>
      </c>
      <c r="ID52" s="102">
        <f t="shared" si="18"/>
        <v>-0.42000000000000004</v>
      </c>
      <c r="IE52" s="102">
        <f t="shared" si="129"/>
        <v>-21.245285599999999</v>
      </c>
      <c r="IF52" s="922">
        <f t="shared" si="20"/>
        <v>60.968334009059596</v>
      </c>
      <c r="IG52" s="102">
        <f t="shared" si="151"/>
        <v>-21.245285599999999</v>
      </c>
      <c r="IH52" s="102">
        <f t="shared" si="151"/>
        <v>-0.42000000000000004</v>
      </c>
      <c r="II52" s="145"/>
      <c r="IJ52" s="929">
        <f t="shared" si="130"/>
        <v>50.584013333333324</v>
      </c>
      <c r="IK52" s="930">
        <f t="shared" si="131"/>
        <v>-20.825285599999997</v>
      </c>
      <c r="IM52" s="32">
        <f t="shared" si="132"/>
        <v>-3.2672065293205548E-3</v>
      </c>
      <c r="IN52" s="929">
        <f t="shared" si="133"/>
        <v>-5.9482192221292801E-5</v>
      </c>
      <c r="IP52" s="929">
        <f t="shared" si="152"/>
        <v>-7.7810109986919285E-2</v>
      </c>
      <c r="IQ52" s="929">
        <f t="shared" si="152"/>
        <v>15.283134610416337</v>
      </c>
      <c r="IR52" s="929">
        <f t="shared" si="152"/>
        <v>-0.29035360411127631</v>
      </c>
      <c r="IS52" s="929">
        <f t="shared" si="152"/>
        <v>-0.61316637182153333</v>
      </c>
      <c r="IT52" s="929">
        <f t="shared" si="152"/>
        <v>-0.98553547211838977</v>
      </c>
      <c r="IU52" s="929">
        <f t="shared" si="152"/>
        <v>-0.53565346554701398</v>
      </c>
      <c r="IV52" s="929">
        <f t="shared" si="153"/>
        <v>60.968334009059596</v>
      </c>
      <c r="IX52" s="102">
        <f t="shared" si="135"/>
        <v>0.96351331000000151</v>
      </c>
      <c r="IY52" s="102">
        <f t="shared" si="135"/>
        <v>-174.52372914</v>
      </c>
      <c r="IZ52" s="102">
        <f t="shared" si="135"/>
        <v>53.989248239999995</v>
      </c>
      <c r="JA52" s="102">
        <f t="shared" si="135"/>
        <v>80.90966241000001</v>
      </c>
      <c r="JB52" s="102">
        <f t="shared" si="135"/>
        <v>50.30585584</v>
      </c>
      <c r="JC52" s="102">
        <f t="shared" si="135"/>
        <v>0.39548905000000012</v>
      </c>
      <c r="JD52" s="102">
        <f t="shared" si="136"/>
        <v>-20.902444599999999</v>
      </c>
      <c r="JF52" s="32">
        <f t="shared" si="137"/>
        <v>-4.6059105366624522E-4</v>
      </c>
      <c r="JG52" s="32">
        <f t="shared" si="137"/>
        <v>-7.262120443752557E-4</v>
      </c>
      <c r="JH52" s="32">
        <f t="shared" si="137"/>
        <v>-7.0250244466691606E-4</v>
      </c>
      <c r="JI52" s="32">
        <f t="shared" si="137"/>
        <v>-1.9878301124406382E-2</v>
      </c>
      <c r="JJ52" s="32">
        <f t="shared" si="137"/>
        <v>-6.575909575254206E-2</v>
      </c>
      <c r="JK52" s="32">
        <f t="shared" si="137"/>
        <v>-7.3536775768263301E-3</v>
      </c>
      <c r="JL52" s="32">
        <f t="shared" si="137"/>
        <v>-1.3958527950145647E-4</v>
      </c>
      <c r="JM52" s="32">
        <f t="shared" si="138"/>
        <v>-3.1157444304383427E-3</v>
      </c>
      <c r="JO52" s="102">
        <f t="shared" ref="JO52:JS58" si="159">+SUMIFS($E52:$BX52,$E$6:$BX$6,JO$7,$E$5:$BX$5,$JQ$5)</f>
        <v>-0.93200000000000038</v>
      </c>
      <c r="JP52" s="102">
        <f t="shared" si="159"/>
        <v>-1.1082193399999998</v>
      </c>
      <c r="JQ52" s="102">
        <f t="shared" si="159"/>
        <v>-0.83269251</v>
      </c>
      <c r="JR52" s="102">
        <f t="shared" si="159"/>
        <v>-18.031537839999999</v>
      </c>
      <c r="JS52" s="102">
        <f t="shared" si="159"/>
        <v>-9.3550000000000005E-3</v>
      </c>
      <c r="JT52" s="102">
        <f t="shared" si="140"/>
        <v>-0.30701471000000002</v>
      </c>
      <c r="JU52" s="102">
        <f t="shared" si="141"/>
        <v>-0.251801</v>
      </c>
      <c r="JV52" s="102">
        <f t="shared" si="141"/>
        <v>-3.7220000000000003E-2</v>
      </c>
      <c r="JW52" s="102">
        <f t="shared" si="142"/>
        <v>-2.4479299999999999E-2</v>
      </c>
      <c r="JX52" s="102">
        <f t="shared" si="143"/>
        <v>-7.0000000000000007E-2</v>
      </c>
      <c r="JY52" s="102">
        <f t="shared" si="144"/>
        <v>-2.4479299999999999E-2</v>
      </c>
      <c r="KB52" s="32">
        <f t="shared" si="145"/>
        <v>-0.2486212070617716</v>
      </c>
      <c r="KC52" s="32">
        <f t="shared" si="145"/>
        <v>20.654497456690223</v>
      </c>
      <c r="KD52" s="32">
        <f t="shared" si="145"/>
        <v>-0.99948118679155318</v>
      </c>
      <c r="KE52" s="32">
        <f t="shared" si="145"/>
        <v>31.818247995724214</v>
      </c>
      <c r="KF52" s="32">
        <f t="shared" si="145"/>
        <v>-0.17984060112298861</v>
      </c>
      <c r="KG52" s="32">
        <f t="shared" si="145"/>
        <v>-0.85218486026663909</v>
      </c>
      <c r="KH52" s="32">
        <f t="shared" si="146"/>
        <v>-0.34230789897904357</v>
      </c>
      <c r="KJ52" s="102">
        <f t="shared" si="147"/>
        <v>0.27552682999999978</v>
      </c>
      <c r="KK52" s="102">
        <f t="shared" si="147"/>
        <v>-17.198845329999997</v>
      </c>
      <c r="KL52" s="102">
        <f t="shared" si="147"/>
        <v>18.022182839999999</v>
      </c>
      <c r="KM52" s="102">
        <f t="shared" si="147"/>
        <v>-0.29765971000000002</v>
      </c>
      <c r="KN52" s="102">
        <f t="shared" si="147"/>
        <v>5.5213710000000027E-2</v>
      </c>
      <c r="KO52" s="102">
        <f t="shared" si="147"/>
        <v>0.21458099999999999</v>
      </c>
      <c r="KP52" s="102">
        <f t="shared" si="148"/>
        <v>1.2740700000000004E-2</v>
      </c>
      <c r="KR52" s="32">
        <f t="shared" si="149"/>
        <v>-2.9072094998446784E-4</v>
      </c>
      <c r="KS52" s="32">
        <f t="shared" si="149"/>
        <v>-3.2950887883701656E-4</v>
      </c>
      <c r="KT52" s="32">
        <f t="shared" si="149"/>
        <v>-3.3189109028358574E-4</v>
      </c>
      <c r="KU52" s="32">
        <f t="shared" si="149"/>
        <v>-2.0154468058392619E-2</v>
      </c>
      <c r="KV52" s="32">
        <f t="shared" si="149"/>
        <v>-2.9979748047590721E-5</v>
      </c>
      <c r="KW52" s="32">
        <f t="shared" si="149"/>
        <v>-3.027694923138056E-4</v>
      </c>
      <c r="KX52" s="32">
        <f t="shared" si="149"/>
        <v>-2.870678461943867E-4</v>
      </c>
      <c r="KY52" s="32">
        <f t="shared" si="149"/>
        <v>-2.4324971158044763E-5</v>
      </c>
      <c r="KZ52" s="32">
        <f t="shared" si="46"/>
        <v>-6.6794785872794111E-5</v>
      </c>
    </row>
    <row r="53" spans="1:312" outlineLevel="2">
      <c r="A53" s="884">
        <v>5130</v>
      </c>
      <c r="B53" s="70" t="s">
        <v>634</v>
      </c>
      <c r="C53" s="29" t="s">
        <v>70</v>
      </c>
      <c r="D53" s="31" t="s">
        <v>59</v>
      </c>
      <c r="E53" s="102">
        <v>-0.1187</v>
      </c>
      <c r="F53" s="102">
        <v>-0.1187</v>
      </c>
      <c r="G53" s="102">
        <v>-0.11870000000000003</v>
      </c>
      <c r="H53" s="102">
        <v>-0.11869999999999997</v>
      </c>
      <c r="I53" s="102">
        <v>-0.11870000000000003</v>
      </c>
      <c r="J53" s="102">
        <v>-0.19821599999999995</v>
      </c>
      <c r="K53" s="102">
        <v>-6.7801580000000001</v>
      </c>
      <c r="L53" s="102">
        <v>-8.5764000000000173E-2</v>
      </c>
      <c r="M53" s="102">
        <v>6.5427580000000001</v>
      </c>
      <c r="N53" s="102">
        <v>-0.11869999999999981</v>
      </c>
      <c r="O53" s="102">
        <v>-0.11870000000000003</v>
      </c>
      <c r="P53" s="102">
        <v>-0.11870000000000003</v>
      </c>
      <c r="Q53" s="102">
        <v>-15.943520000000001</v>
      </c>
      <c r="R53" s="102">
        <v>-8.1448195499999994</v>
      </c>
      <c r="S53" s="102">
        <v>-26.002213449999992</v>
      </c>
      <c r="T53" s="102">
        <v>-23.166544000000009</v>
      </c>
      <c r="U53" s="102">
        <v>-23.57086000000001</v>
      </c>
      <c r="V53" s="102">
        <v>-15.671176999999986</v>
      </c>
      <c r="W53" s="102">
        <v>-17.254129000000006</v>
      </c>
      <c r="X53" s="102">
        <v>-16.01332499999998</v>
      </c>
      <c r="Y53" s="102">
        <v>-15.541535000000039</v>
      </c>
      <c r="Z53" s="102">
        <v>-14.343717999999967</v>
      </c>
      <c r="AA53" s="102">
        <v>-9.1272629999999992</v>
      </c>
      <c r="AB53" s="102">
        <v>-25.830982000000034</v>
      </c>
      <c r="AC53" s="102">
        <v>-7.6386524999999992</v>
      </c>
      <c r="AD53" s="102">
        <v>-7.6868759999999998</v>
      </c>
      <c r="AE53" s="102">
        <v>-7.3678255000000004</v>
      </c>
      <c r="AF53" s="102">
        <v>-9.4264949999999992</v>
      </c>
      <c r="AG53" s="102">
        <v>-9.463496000000001</v>
      </c>
      <c r="AH53" s="102">
        <v>-8.0832639999999998</v>
      </c>
      <c r="AI53" s="102">
        <v>-7.2801260000000001</v>
      </c>
      <c r="AJ53" s="102">
        <v>-6.96685</v>
      </c>
      <c r="AK53" s="102">
        <v>-9.486775999999999</v>
      </c>
      <c r="AL53" s="102">
        <v>46.489826999999998</v>
      </c>
      <c r="AM53" s="102">
        <v>-2.5004080000000002</v>
      </c>
      <c r="AN53" s="102">
        <v>-5.6385020000000008</v>
      </c>
      <c r="AO53" s="102">
        <v>-0.35699999999999998</v>
      </c>
      <c r="AP53" s="145">
        <v>-7.7328032799999997</v>
      </c>
      <c r="AQ53" s="143">
        <v>-1.4408799999999999</v>
      </c>
      <c r="AR53" s="220">
        <v>-1.3523806699999998</v>
      </c>
      <c r="AS53" s="102">
        <v>-2.286667</v>
      </c>
      <c r="AT53" s="102">
        <v>-1.9102109599999999</v>
      </c>
      <c r="AU53" s="102">
        <v>-2.8148070000000001</v>
      </c>
      <c r="AV53" s="102">
        <v>-0.98449799999999998</v>
      </c>
      <c r="AW53" s="102">
        <v>-2.1491009999999999</v>
      </c>
      <c r="AX53" s="102">
        <v>-1.4092998799999998</v>
      </c>
      <c r="AY53" s="102">
        <v>-12.762487</v>
      </c>
      <c r="AZ53" s="102">
        <v>-1.4156439999999999</v>
      </c>
      <c r="BA53" s="102">
        <v>-0.81329799999999997</v>
      </c>
      <c r="BB53" s="102">
        <v>-2.7398204800000001</v>
      </c>
      <c r="BC53" s="102">
        <v>-1.323698</v>
      </c>
      <c r="BD53" s="102">
        <v>-1.3259380000000001</v>
      </c>
      <c r="BE53" s="102">
        <v>-3.5360670000000001</v>
      </c>
      <c r="BF53" s="102">
        <v>-5.0823850000000004</v>
      </c>
      <c r="BG53" s="102">
        <v>-1.37275006</v>
      </c>
      <c r="BH53" s="102">
        <v>-1.3564258500000002</v>
      </c>
      <c r="BI53" s="102">
        <v>-5.24308</v>
      </c>
      <c r="BJ53" s="102">
        <v>-0.12706500000000001</v>
      </c>
      <c r="BK53" s="102">
        <v>-2.3969875599999999</v>
      </c>
      <c r="BL53" s="102">
        <v>-1.034834</v>
      </c>
      <c r="BM53" s="102">
        <v>-0.59767999999999999</v>
      </c>
      <c r="BN53" s="102">
        <v>-0.554508</v>
      </c>
      <c r="BO53" s="102">
        <v>-0.85028400000000004</v>
      </c>
      <c r="BP53" s="102">
        <v>-0.60212600000000005</v>
      </c>
      <c r="BQ53" s="102">
        <v>-0.46940999999999999</v>
      </c>
      <c r="BR53" s="102">
        <v>-0.46807700000000002</v>
      </c>
      <c r="BS53" s="102">
        <v>-3.1388136000000002</v>
      </c>
      <c r="BT53" s="102">
        <v>-8.7555999999999995E-2</v>
      </c>
      <c r="BU53" s="102">
        <v>-0.36933899999999997</v>
      </c>
      <c r="BV53" s="102">
        <v>-0.51325900000000002</v>
      </c>
      <c r="BW53" s="102">
        <v>-1.420553</v>
      </c>
      <c r="BX53" s="102">
        <v>-7.0527249999999997</v>
      </c>
      <c r="BY53" s="102">
        <v>-0.588036</v>
      </c>
      <c r="BZ53" s="102">
        <v>-0.545825</v>
      </c>
      <c r="CA53" s="102">
        <v>-0.56692799999999999</v>
      </c>
      <c r="CB53" s="102">
        <v>-0.56910899999999998</v>
      </c>
      <c r="CC53" s="102">
        <v>-0.65935200000000005</v>
      </c>
      <c r="CD53" s="102">
        <v>-1.3680220000000001</v>
      </c>
      <c r="CE53" s="102">
        <v>-1.4257329999999999</v>
      </c>
      <c r="CF53" s="102">
        <v>-1.3196810000000001</v>
      </c>
      <c r="CG53" s="102">
        <v>-1.3913610000000001</v>
      </c>
      <c r="CH53" s="102">
        <v>-1.3628670000000001</v>
      </c>
      <c r="CI53" s="102">
        <v>-1.388164</v>
      </c>
      <c r="CJ53" s="102">
        <v>-1.942585</v>
      </c>
      <c r="CK53" s="102">
        <v>-0.85649200000000003</v>
      </c>
      <c r="CL53" s="102">
        <v>-1.383567</v>
      </c>
      <c r="CM53" s="102">
        <v>-1.41551</v>
      </c>
      <c r="CN53" s="102">
        <v>-2.634862</v>
      </c>
      <c r="CO53" s="102">
        <v>-2.5629279999999999</v>
      </c>
      <c r="CP53" s="102">
        <v>-2.6173920000000002</v>
      </c>
      <c r="CQ53" s="102">
        <v>-2.5222479999999998</v>
      </c>
      <c r="CR53" s="102">
        <v>-2.528057</v>
      </c>
      <c r="CS53" s="102">
        <v>-2.6043697400000001</v>
      </c>
      <c r="CT53" s="102">
        <v>-4.5265749400000006</v>
      </c>
      <c r="CU53" s="102">
        <v>-2.7983739999999999</v>
      </c>
      <c r="CV53" s="102">
        <v>-2.7228089999999998</v>
      </c>
      <c r="CW53" s="102">
        <v>-2.712612</v>
      </c>
      <c r="CX53" s="102">
        <v>-2.6685690000000002</v>
      </c>
      <c r="CY53" s="102">
        <v>-2.6831130000000001</v>
      </c>
      <c r="CZ53" s="102">
        <v>-2.6305130000000001</v>
      </c>
      <c r="DA53" s="102">
        <v>-2.5874709999999999</v>
      </c>
      <c r="DB53" s="102">
        <v>-2.5613860000000002</v>
      </c>
      <c r="DC53" s="102">
        <v>-2.5225420000000001</v>
      </c>
      <c r="DD53" s="102">
        <v>-2.5605630000000001</v>
      </c>
      <c r="DE53" s="102">
        <v>6.857837</v>
      </c>
      <c r="DF53" s="102">
        <v>-0.71313300000000002</v>
      </c>
      <c r="DG53" s="102">
        <v>-0.78926600000000002</v>
      </c>
      <c r="DH53" s="102">
        <v>-0.77739899999999995</v>
      </c>
      <c r="DI53" s="145"/>
      <c r="DJ53" s="102">
        <v>-2.712612</v>
      </c>
      <c r="DK53" s="102">
        <v>-2.6685690000000002</v>
      </c>
      <c r="DL53" s="102">
        <v>-2.6831130000000001</v>
      </c>
      <c r="DM53" s="102">
        <v>-2.6305130000000001</v>
      </c>
      <c r="DN53" s="102">
        <v>-2.5874709999999999</v>
      </c>
      <c r="DO53" s="102">
        <v>-2.5613860000000002</v>
      </c>
      <c r="DP53" s="102">
        <v>-2.911835</v>
      </c>
      <c r="DQ53" s="102">
        <v>-2.911835</v>
      </c>
      <c r="DR53" s="102">
        <v>-2.911835</v>
      </c>
      <c r="DS53" s="102">
        <v>-2.911835</v>
      </c>
      <c r="DT53" s="102">
        <v>-2.911835</v>
      </c>
      <c r="DU53" s="102">
        <v>-2.911835</v>
      </c>
      <c r="DW53" s="102">
        <v>0</v>
      </c>
      <c r="DX53" s="102">
        <v>0</v>
      </c>
      <c r="DY53" s="102">
        <v>0</v>
      </c>
      <c r="DZ53" s="102">
        <v>0</v>
      </c>
      <c r="EA53" s="102">
        <v>0</v>
      </c>
      <c r="EB53" s="102">
        <v>0</v>
      </c>
      <c r="EC53" s="102">
        <v>0</v>
      </c>
      <c r="ED53" s="102">
        <v>0</v>
      </c>
      <c r="EE53" s="102">
        <v>0</v>
      </c>
      <c r="EF53" s="102">
        <v>0</v>
      </c>
      <c r="EG53" s="102">
        <v>0</v>
      </c>
      <c r="EH53" s="102">
        <v>0</v>
      </c>
      <c r="EI53" s="102">
        <v>-1.0613079999999999</v>
      </c>
      <c r="EJ53" s="102">
        <v>-4.0173079999999999</v>
      </c>
      <c r="EK53" s="102">
        <v>-0.92530800000000002</v>
      </c>
      <c r="EL53" s="102">
        <v>-0.92530800000000002</v>
      </c>
      <c r="EM53" s="102">
        <v>-0.92530800000000002</v>
      </c>
      <c r="EN53" s="102">
        <v>-0.92530800000000002</v>
      </c>
      <c r="EO53" s="102">
        <v>-0.89130799999999999</v>
      </c>
      <c r="EP53" s="102">
        <v>-0.89130799999999999</v>
      </c>
      <c r="EQ53" s="102">
        <v>-0.89130799999999999</v>
      </c>
      <c r="ER53" s="102">
        <v>-0.89130799999999999</v>
      </c>
      <c r="ES53" s="102">
        <v>-0.89130799999999999</v>
      </c>
      <c r="ET53" s="102">
        <v>-0.89130799999999999</v>
      </c>
      <c r="EU53" s="102">
        <v>-8.7803120000000003</v>
      </c>
      <c r="EV53" s="102">
        <v>-8.7803120000000003</v>
      </c>
      <c r="EW53" s="102">
        <v>-8.880312</v>
      </c>
      <c r="EX53" s="102">
        <v>-8.880312</v>
      </c>
      <c r="EY53" s="102">
        <v>-8.880312</v>
      </c>
      <c r="EZ53" s="102">
        <v>-14.496312</v>
      </c>
      <c r="FA53" s="102">
        <v>-8.928312</v>
      </c>
      <c r="FB53" s="102">
        <v>-8.928312</v>
      </c>
      <c r="FC53" s="102">
        <v>-8.928312</v>
      </c>
      <c r="FD53" s="102">
        <v>-8.928312</v>
      </c>
      <c r="FE53" s="102">
        <v>-8.928312</v>
      </c>
      <c r="FF53" s="102">
        <v>-8.928312</v>
      </c>
      <c r="FG53" s="102">
        <v>-0.63300000000000001</v>
      </c>
      <c r="FH53" s="102">
        <v>-0.63300000000000001</v>
      </c>
      <c r="FI53" s="102">
        <v>-0.63300000000000001</v>
      </c>
      <c r="FJ53" s="102">
        <v>-0.63300000000000001</v>
      </c>
      <c r="FK53" s="102">
        <v>-0.63300000000000001</v>
      </c>
      <c r="FL53" s="102">
        <v>-0.63300000000000001</v>
      </c>
      <c r="FM53" s="102">
        <v>-0.63300000000000001</v>
      </c>
      <c r="FN53" s="102">
        <v>-0.63300000000000001</v>
      </c>
      <c r="FO53" s="102">
        <v>-0.63300000000000001</v>
      </c>
      <c r="FP53" s="102">
        <v>-0.63300000000000001</v>
      </c>
      <c r="FQ53" s="102">
        <v>-0.63300000000000001</v>
      </c>
      <c r="FR53" s="102">
        <v>-0.63300000000000001</v>
      </c>
      <c r="FS53" s="102">
        <v>-0.63300000000000001</v>
      </c>
      <c r="FT53" s="102">
        <v>-0.63300000000000001</v>
      </c>
      <c r="FU53" s="102">
        <v>-0.63300000000000001</v>
      </c>
      <c r="FV53" s="102">
        <v>-0.63300000000000001</v>
      </c>
      <c r="FW53" s="102">
        <v>-0.63300000000000001</v>
      </c>
      <c r="FX53" s="102">
        <v>-0.63300000000000001</v>
      </c>
      <c r="FY53" s="102">
        <v>-0.63300000000000001</v>
      </c>
      <c r="FZ53" s="102">
        <v>-0.63300000000000001</v>
      </c>
      <c r="GA53" s="102">
        <v>-0.63300000000000001</v>
      </c>
      <c r="GB53" s="102">
        <v>-0.63300000000000001</v>
      </c>
      <c r="GC53" s="102">
        <v>-0.63300000000000001</v>
      </c>
      <c r="GD53" s="102">
        <v>-0.63300000000000001</v>
      </c>
      <c r="GF53" s="102">
        <f t="shared" si="120"/>
        <v>-1.4709800000000002</v>
      </c>
      <c r="GG53" s="102">
        <f t="shared" si="120"/>
        <v>-210.61008600000002</v>
      </c>
      <c r="GH53" s="102">
        <f t="shared" si="120"/>
        <v>-35.049444000000008</v>
      </c>
      <c r="GI53" s="102">
        <f t="shared" si="120"/>
        <v>-36.61577879</v>
      </c>
      <c r="GJ53" s="102">
        <f t="shared" si="150"/>
        <v>-26.352348950000003</v>
      </c>
      <c r="GK53" s="102">
        <f t="shared" si="37"/>
        <v>-16.1243306</v>
      </c>
      <c r="GL53" s="102">
        <f t="shared" si="38"/>
        <v>-13.127663</v>
      </c>
      <c r="GM53" s="102">
        <f t="shared" si="121"/>
        <v>-29.173183679999994</v>
      </c>
      <c r="GN53" s="102">
        <f t="shared" si="7"/>
        <v>-7.5960000000000001</v>
      </c>
      <c r="GO53" s="102">
        <v>-16.34873</v>
      </c>
      <c r="GQ53" s="929">
        <f t="shared" si="122"/>
        <v>-0.83358136039125874</v>
      </c>
      <c r="GR53" s="929">
        <f t="shared" si="122"/>
        <v>4.4689290648947111E-2</v>
      </c>
      <c r="GS53" s="929">
        <f t="shared" si="122"/>
        <v>-0.28030073862044969</v>
      </c>
      <c r="GT53" s="929">
        <f t="shared" si="122"/>
        <v>-0.38812549004289054</v>
      </c>
      <c r="GU53" s="929">
        <f t="shared" si="122"/>
        <v>-0.18584756628594556</v>
      </c>
      <c r="GV53" s="929">
        <f t="shared" si="122"/>
        <v>1.2222678690030353</v>
      </c>
      <c r="GW53" s="929">
        <f t="shared" si="92"/>
        <v>-0.7396238928421266</v>
      </c>
      <c r="GX53" s="929">
        <f t="shared" si="92"/>
        <v>1.1522814639283832</v>
      </c>
      <c r="GY53" s="929">
        <f t="shared" si="9"/>
        <v>-0.43959733091427877</v>
      </c>
      <c r="HA53" s="102">
        <f t="shared" si="123"/>
        <v>175.56064200000003</v>
      </c>
      <c r="HB53" s="102">
        <f t="shared" si="123"/>
        <v>-1.566334789999992</v>
      </c>
      <c r="HC53" s="102">
        <f t="shared" si="123"/>
        <v>10.263429839999997</v>
      </c>
      <c r="HD53" s="102">
        <f t="shared" si="99"/>
        <v>10.228018350000003</v>
      </c>
      <c r="HE53" s="102">
        <f t="shared" si="93"/>
        <v>2.9966676000000003</v>
      </c>
      <c r="HF53" s="102">
        <f t="shared" si="93"/>
        <v>-16.045520679999996</v>
      </c>
      <c r="HG53" s="102">
        <f t="shared" si="93"/>
        <v>21.577183679999994</v>
      </c>
      <c r="HH53" s="102">
        <f t="shared" si="93"/>
        <v>-8.7527299999999997</v>
      </c>
      <c r="HI53" s="102">
        <f t="shared" si="11"/>
        <v>12.824453679999994</v>
      </c>
      <c r="HK53" s="32">
        <f t="shared" si="124"/>
        <v>-5.7300634111754692E-3</v>
      </c>
      <c r="HL53" s="32">
        <f t="shared" si="124"/>
        <v>-8.8996421196692451E-4</v>
      </c>
      <c r="HM53" s="32">
        <f t="shared" si="124"/>
        <v>-2.1726843724189219E-3</v>
      </c>
      <c r="HN53" s="32">
        <f t="shared" si="124"/>
        <v>-4.2835231073367099E-3</v>
      </c>
      <c r="HO53" s="32">
        <f t="shared" si="124"/>
        <v>-1.1831058420553684E-3</v>
      </c>
      <c r="HP53" s="32">
        <f t="shared" si="124"/>
        <v>-9.2771503487918403E-4</v>
      </c>
      <c r="HQ53" s="32">
        <f t="shared" si="124"/>
        <v>-1.3741910309011916E-3</v>
      </c>
      <c r="HR53" s="32">
        <f t="shared" si="124"/>
        <v>-4.8282841956045483E-4</v>
      </c>
      <c r="HS53" s="32">
        <f t="shared" si="124"/>
        <v>-1.2954735412501707E-3</v>
      </c>
      <c r="HU53" s="102">
        <f t="shared" si="158"/>
        <v>-0.79171599999999998</v>
      </c>
      <c r="HV53" s="102">
        <f t="shared" si="158"/>
        <v>-112.499134</v>
      </c>
      <c r="HW53" s="102">
        <f t="shared" si="158"/>
        <v>-49.666609000000001</v>
      </c>
      <c r="HX53" s="102">
        <f t="shared" si="158"/>
        <v>-15.079941910000001</v>
      </c>
      <c r="HY53" s="102">
        <f t="shared" si="158"/>
        <v>-14.821206480000001</v>
      </c>
      <c r="HZ53" s="102">
        <f t="shared" si="158"/>
        <v>-3.5420850000000002</v>
      </c>
      <c r="IA53" s="102">
        <f t="shared" si="126"/>
        <v>-4.2972720000000004</v>
      </c>
      <c r="IB53" s="102">
        <f t="shared" si="127"/>
        <v>-11.470751</v>
      </c>
      <c r="IC53" s="102">
        <f t="shared" si="128"/>
        <v>-15.843664000000002</v>
      </c>
      <c r="ID53" s="102">
        <f t="shared" si="18"/>
        <v>-3.798</v>
      </c>
      <c r="IE53" s="102">
        <f t="shared" si="129"/>
        <v>-15.843664000000002</v>
      </c>
      <c r="IF53" s="922">
        <f t="shared" si="20"/>
        <v>0.38122290336526365</v>
      </c>
      <c r="IG53" s="102">
        <f t="shared" si="151"/>
        <v>-15.843664000000002</v>
      </c>
      <c r="IH53" s="102">
        <f t="shared" si="151"/>
        <v>-3.798</v>
      </c>
      <c r="II53" s="145"/>
      <c r="IJ53" s="929">
        <f t="shared" si="130"/>
        <v>4.1715808320168515</v>
      </c>
      <c r="IK53" s="930">
        <f t="shared" si="131"/>
        <v>-12.045664000000002</v>
      </c>
      <c r="IM53" s="32">
        <f t="shared" si="132"/>
        <v>-2.4365180795291839E-3</v>
      </c>
      <c r="IN53" s="929">
        <f t="shared" si="133"/>
        <v>-5.3788896680111913E-4</v>
      </c>
      <c r="IP53" s="929">
        <f t="shared" si="152"/>
        <v>-0.55851563266255899</v>
      </c>
      <c r="IQ53" s="929">
        <f t="shared" si="152"/>
        <v>-0.69637665599437237</v>
      </c>
      <c r="IR53" s="929">
        <f t="shared" si="152"/>
        <v>-1.7157587976411537E-2</v>
      </c>
      <c r="IS53" s="929">
        <f t="shared" si="152"/>
        <v>-0.7610123707014167</v>
      </c>
      <c r="IT53" s="929">
        <f t="shared" si="152"/>
        <v>0.21320408742308561</v>
      </c>
      <c r="IU53" s="929">
        <f t="shared" si="152"/>
        <v>1.6693099715354296</v>
      </c>
      <c r="IV53" s="929">
        <f t="shared" si="153"/>
        <v>0.38122290336526365</v>
      </c>
      <c r="IX53" s="102">
        <f t="shared" si="135"/>
        <v>62.832524999999997</v>
      </c>
      <c r="IY53" s="102">
        <f t="shared" si="135"/>
        <v>34.586667089999999</v>
      </c>
      <c r="IZ53" s="102">
        <f t="shared" si="135"/>
        <v>0.25873542999999977</v>
      </c>
      <c r="JA53" s="102">
        <f t="shared" si="135"/>
        <v>11.279121480000001</v>
      </c>
      <c r="JB53" s="102">
        <f t="shared" si="135"/>
        <v>-0.75518700000000027</v>
      </c>
      <c r="JC53" s="102">
        <f t="shared" si="135"/>
        <v>-7.1734789999999995</v>
      </c>
      <c r="JD53" s="102">
        <f t="shared" si="136"/>
        <v>-4.3729130000000023</v>
      </c>
      <c r="JF53" s="32">
        <f t="shared" si="137"/>
        <v>-4.9498752089646392E-5</v>
      </c>
      <c r="JG53" s="32">
        <f t="shared" si="137"/>
        <v>-6.5976752910660835E-3</v>
      </c>
      <c r="JH53" s="32">
        <f t="shared" si="137"/>
        <v>-3.0554156827300137E-3</v>
      </c>
      <c r="JI53" s="32">
        <f t="shared" si="137"/>
        <v>-1.6121256008074002E-3</v>
      </c>
      <c r="JJ53" s="32">
        <f t="shared" si="137"/>
        <v>-7.3861365063842312E-3</v>
      </c>
      <c r="JK53" s="32">
        <f t="shared" si="137"/>
        <v>-5.1029026294678928E-4</v>
      </c>
      <c r="JL53" s="32">
        <f t="shared" si="137"/>
        <v>-8.1242245688602655E-4</v>
      </c>
      <c r="JM53" s="32">
        <f t="shared" si="138"/>
        <v>-2.3235652744407671E-3</v>
      </c>
      <c r="JO53" s="102">
        <f t="shared" si="159"/>
        <v>-0.19821599999999995</v>
      </c>
      <c r="JP53" s="102">
        <f t="shared" si="159"/>
        <v>-15.671176999999986</v>
      </c>
      <c r="JQ53" s="102">
        <f t="shared" si="159"/>
        <v>-8.0832639999999998</v>
      </c>
      <c r="JR53" s="102">
        <f t="shared" si="159"/>
        <v>-1.9102109599999999</v>
      </c>
      <c r="JS53" s="102">
        <f t="shared" si="159"/>
        <v>-5.0823850000000004</v>
      </c>
      <c r="JT53" s="102">
        <f t="shared" si="140"/>
        <v>-0.46807700000000002</v>
      </c>
      <c r="JU53" s="102">
        <f t="shared" si="141"/>
        <v>-1.3680220000000001</v>
      </c>
      <c r="JV53" s="102">
        <f t="shared" si="141"/>
        <v>-2.6173920000000002</v>
      </c>
      <c r="JW53" s="102">
        <f t="shared" si="142"/>
        <v>-2.5613860000000002</v>
      </c>
      <c r="JX53" s="102">
        <f t="shared" si="143"/>
        <v>-0.63300000000000001</v>
      </c>
      <c r="JY53" s="102">
        <f t="shared" si="144"/>
        <v>-2.5613860000000002</v>
      </c>
      <c r="KB53" s="32">
        <f t="shared" si="145"/>
        <v>-0.48419547555362263</v>
      </c>
      <c r="KC53" s="32">
        <f t="shared" si="145"/>
        <v>-0.76368321509726766</v>
      </c>
      <c r="KD53" s="32">
        <f t="shared" si="145"/>
        <v>1.6606406865134939</v>
      </c>
      <c r="KE53" s="32">
        <f t="shared" si="145"/>
        <v>-0.90790209714533632</v>
      </c>
      <c r="KF53" s="32">
        <f t="shared" si="145"/>
        <v>1.9226430694095202</v>
      </c>
      <c r="KG53" s="32">
        <f t="shared" si="145"/>
        <v>0.91326747669262631</v>
      </c>
      <c r="KH53" s="32">
        <f t="shared" si="146"/>
        <v>-2.1397635508934032E-2</v>
      </c>
      <c r="KJ53" s="102">
        <f t="shared" si="147"/>
        <v>7.5879129999999861</v>
      </c>
      <c r="KK53" s="102">
        <f t="shared" si="147"/>
        <v>6.1730530400000001</v>
      </c>
      <c r="KL53" s="102">
        <f t="shared" si="147"/>
        <v>-3.1721740400000007</v>
      </c>
      <c r="KM53" s="102">
        <f t="shared" si="147"/>
        <v>4.6143080000000003</v>
      </c>
      <c r="KN53" s="102">
        <f t="shared" si="147"/>
        <v>-0.89994499999999999</v>
      </c>
      <c r="KO53" s="102">
        <f t="shared" si="147"/>
        <v>-1.2493700000000001</v>
      </c>
      <c r="KP53" s="102">
        <f t="shared" si="148"/>
        <v>5.6006E-2</v>
      </c>
      <c r="KR53" s="32">
        <f t="shared" si="149"/>
        <v>-6.1829982641760977E-5</v>
      </c>
      <c r="KS53" s="32">
        <f t="shared" si="149"/>
        <v>-4.6595396569477279E-3</v>
      </c>
      <c r="KT53" s="32">
        <f t="shared" si="149"/>
        <v>-3.2217934829389286E-3</v>
      </c>
      <c r="KU53" s="32">
        <f t="shared" si="149"/>
        <v>-2.1351082819296295E-3</v>
      </c>
      <c r="KV53" s="32">
        <f t="shared" si="149"/>
        <v>-1.6287399442100947E-2</v>
      </c>
      <c r="KW53" s="32">
        <f t="shared" si="149"/>
        <v>-4.6160470830133572E-4</v>
      </c>
      <c r="KX53" s="32">
        <f t="shared" si="149"/>
        <v>-1.5596249780046043E-3</v>
      </c>
      <c r="KY53" s="32">
        <f t="shared" si="149"/>
        <v>-1.710585301163275E-3</v>
      </c>
      <c r="KZ53" s="32">
        <f t="shared" si="46"/>
        <v>-6.9890572609336314E-3</v>
      </c>
    </row>
    <row r="54" spans="1:312" outlineLevel="2">
      <c r="A54" s="884">
        <v>5145</v>
      </c>
      <c r="B54" s="70" t="s">
        <v>636</v>
      </c>
      <c r="C54" s="29" t="s">
        <v>86</v>
      </c>
      <c r="D54" s="31" t="s">
        <v>59</v>
      </c>
      <c r="E54" s="102">
        <v>-0.18</v>
      </c>
      <c r="F54" s="102">
        <v>0.109</v>
      </c>
      <c r="G54" s="102">
        <v>7.0999999999999994E-2</v>
      </c>
      <c r="H54" s="102">
        <v>-0.41327700000000001</v>
      </c>
      <c r="I54" s="102">
        <v>-2.3589310000000001</v>
      </c>
      <c r="J54" s="102">
        <v>-0.23183800000000021</v>
      </c>
      <c r="K54" s="102">
        <v>0</v>
      </c>
      <c r="L54" s="102">
        <v>0</v>
      </c>
      <c r="M54" s="102">
        <v>-2.1163999999999739E-2</v>
      </c>
      <c r="N54" s="102">
        <v>-8.0000000000000071E-2</v>
      </c>
      <c r="O54" s="102">
        <v>-0.62418156000000025</v>
      </c>
      <c r="P54" s="102">
        <v>-0.33732699999999971</v>
      </c>
      <c r="Q54" s="102">
        <v>-1.2200000000000002</v>
      </c>
      <c r="R54" s="102">
        <v>-2.8939999999999997</v>
      </c>
      <c r="S54" s="102">
        <v>-1.8400000000000007</v>
      </c>
      <c r="T54" s="102">
        <v>0</v>
      </c>
      <c r="U54" s="102">
        <v>-0.73999999999999932</v>
      </c>
      <c r="V54" s="102">
        <v>-3.590351000000001</v>
      </c>
      <c r="W54" s="102">
        <v>-4.5500000000000007</v>
      </c>
      <c r="X54" s="102">
        <v>-1.0150000000000006</v>
      </c>
      <c r="Y54" s="102">
        <v>-0.61526299999999878</v>
      </c>
      <c r="Z54" s="102">
        <v>-0.25</v>
      </c>
      <c r="AA54" s="102">
        <v>-0.3349999999999973</v>
      </c>
      <c r="AB54" s="102">
        <v>0</v>
      </c>
      <c r="AC54" s="102">
        <v>-0.48</v>
      </c>
      <c r="AD54" s="102">
        <v>0</v>
      </c>
      <c r="AE54" s="102">
        <v>0</v>
      </c>
      <c r="AF54" s="102">
        <v>-1.2839225599999999</v>
      </c>
      <c r="AG54" s="102">
        <v>-3.9454056200000003</v>
      </c>
      <c r="AH54" s="102">
        <v>-1.9139507299999998</v>
      </c>
      <c r="AI54" s="102">
        <v>-0.12</v>
      </c>
      <c r="AJ54" s="102">
        <v>-0.46948276</v>
      </c>
      <c r="AK54" s="102">
        <v>-0.20931051000000001</v>
      </c>
      <c r="AL54" s="102">
        <v>0</v>
      </c>
      <c r="AM54" s="102">
        <v>-1.3137722699999999</v>
      </c>
      <c r="AN54" s="102">
        <v>-5.7874000000000008</v>
      </c>
      <c r="AO54" s="102">
        <v>-8.0692579999999996</v>
      </c>
      <c r="AP54" s="145">
        <v>-13.25974738</v>
      </c>
      <c r="AQ54" s="143">
        <v>-10.77850802</v>
      </c>
      <c r="AR54" s="220">
        <v>-3.1844923299999994</v>
      </c>
      <c r="AS54" s="102">
        <v>0.95244629000000003</v>
      </c>
      <c r="AT54" s="102">
        <v>-2.3588849999999999</v>
      </c>
      <c r="AU54" s="102">
        <v>-6.0665795099999995</v>
      </c>
      <c r="AV54" s="102">
        <v>-10.039999999999999</v>
      </c>
      <c r="AW54" s="102">
        <v>-1.4161815200000001</v>
      </c>
      <c r="AX54" s="102">
        <v>-0.84884199999999999</v>
      </c>
      <c r="AY54" s="102">
        <v>1.9088849999999999</v>
      </c>
      <c r="AZ54" s="102">
        <v>-0.40671600000000002</v>
      </c>
      <c r="BA54" s="102">
        <v>0</v>
      </c>
      <c r="BB54" s="102">
        <v>-1.8</v>
      </c>
      <c r="BC54" s="102">
        <v>0</v>
      </c>
      <c r="BD54" s="102">
        <v>-0.50554600000000005</v>
      </c>
      <c r="BE54" s="102">
        <v>0</v>
      </c>
      <c r="BF54" s="102">
        <v>-0.49004399999999998</v>
      </c>
      <c r="BG54" s="102">
        <v>-0.05</v>
      </c>
      <c r="BH54" s="102">
        <v>0</v>
      </c>
      <c r="BI54" s="102">
        <v>-0.18057000000000001</v>
      </c>
      <c r="BJ54" s="102">
        <v>0</v>
      </c>
      <c r="BK54" s="102">
        <v>0</v>
      </c>
      <c r="BL54" s="102">
        <v>-0.34</v>
      </c>
      <c r="BM54" s="102">
        <v>-2.39</v>
      </c>
      <c r="BN54" s="102">
        <v>0</v>
      </c>
      <c r="BO54" s="102">
        <v>-7.0000000000000007E-2</v>
      </c>
      <c r="BP54" s="102">
        <v>0</v>
      </c>
      <c r="BQ54" s="102">
        <v>0</v>
      </c>
      <c r="BR54" s="102">
        <v>-1.36</v>
      </c>
      <c r="BS54" s="102">
        <v>0</v>
      </c>
      <c r="BT54" s="102">
        <v>0</v>
      </c>
      <c r="BU54" s="102">
        <v>-1.3119160000000001</v>
      </c>
      <c r="BV54" s="102">
        <v>-0.56365299999999996</v>
      </c>
      <c r="BW54" s="102">
        <v>-6.0083999999999999E-2</v>
      </c>
      <c r="BX54" s="102">
        <v>-0.12596599999999999</v>
      </c>
      <c r="BY54" s="102">
        <v>-1.63</v>
      </c>
      <c r="BZ54" s="102">
        <v>-1.098787</v>
      </c>
      <c r="CA54" s="102">
        <v>-7.0803520000000004</v>
      </c>
      <c r="CB54" s="102">
        <v>1.20794</v>
      </c>
      <c r="CC54" s="102">
        <v>-4.4847700000000001</v>
      </c>
      <c r="CD54" s="102">
        <v>-2.94265</v>
      </c>
      <c r="CE54" s="102">
        <v>-0.25642199999999998</v>
      </c>
      <c r="CF54" s="102">
        <v>-3.3631700000000002</v>
      </c>
      <c r="CG54" s="102">
        <v>-1.6376900000000001</v>
      </c>
      <c r="CH54" s="102">
        <v>-1.0005699299999999</v>
      </c>
      <c r="CI54" s="102">
        <v>-0.30420199999999997</v>
      </c>
      <c r="CJ54" s="102">
        <v>0</v>
      </c>
      <c r="CK54" s="102">
        <v>0</v>
      </c>
      <c r="CL54" s="102">
        <v>0</v>
      </c>
      <c r="CM54" s="102">
        <v>-0.165546</v>
      </c>
      <c r="CN54" s="102">
        <v>0</v>
      </c>
      <c r="CO54" s="102">
        <v>-1.5532820000000001</v>
      </c>
      <c r="CP54" s="102">
        <v>-0.01</v>
      </c>
      <c r="CQ54" s="102">
        <v>-0.745</v>
      </c>
      <c r="CR54" s="102">
        <v>0.55500000000000005</v>
      </c>
      <c r="CS54" s="102">
        <v>-0.15</v>
      </c>
      <c r="CT54" s="102">
        <v>-6.0473189999999999</v>
      </c>
      <c r="CU54" s="102">
        <v>-0.44151000000000001</v>
      </c>
      <c r="CV54" s="102">
        <v>-0.952932</v>
      </c>
      <c r="CW54" s="102">
        <v>0</v>
      </c>
      <c r="CX54" s="102">
        <v>-2.2920880000000001</v>
      </c>
      <c r="CY54" s="102">
        <v>-0.57984899999999995</v>
      </c>
      <c r="CZ54" s="102">
        <v>-8.3193279999999994E-2</v>
      </c>
      <c r="DA54" s="102">
        <v>-6.6561999999999996E-2</v>
      </c>
      <c r="DB54" s="102">
        <v>-1.0774030000000001</v>
      </c>
      <c r="DC54" s="102">
        <v>-2.2168E-2</v>
      </c>
      <c r="DD54" s="102">
        <v>-0.18</v>
      </c>
      <c r="DE54" s="102">
        <v>-0.942303</v>
      </c>
      <c r="DF54" s="102">
        <v>-0.5</v>
      </c>
      <c r="DG54" s="102">
        <v>-0.29375000000000001</v>
      </c>
      <c r="DH54" s="102">
        <v>-4.7183679999999999</v>
      </c>
      <c r="DI54" s="145"/>
      <c r="DJ54" s="102">
        <v>0</v>
      </c>
      <c r="DK54" s="102">
        <v>-2.2920880000000001</v>
      </c>
      <c r="DL54" s="102">
        <v>-0.57984899999999995</v>
      </c>
      <c r="DM54" s="102">
        <v>-8.3193279999999994E-2</v>
      </c>
      <c r="DN54" s="102">
        <v>-6.6561999999999996E-2</v>
      </c>
      <c r="DO54" s="102">
        <v>-1.0774030000000001</v>
      </c>
      <c r="DP54" s="102">
        <v>-0.35</v>
      </c>
      <c r="DQ54" s="102">
        <v>-1</v>
      </c>
      <c r="DR54" s="102">
        <v>-0.1</v>
      </c>
      <c r="DS54" s="102">
        <v>-0.1</v>
      </c>
      <c r="DT54" s="102">
        <v>-0.1</v>
      </c>
      <c r="DU54" s="102">
        <v>-1.08</v>
      </c>
      <c r="DW54" s="102">
        <v>0</v>
      </c>
      <c r="DX54" s="102">
        <v>0</v>
      </c>
      <c r="DY54" s="102">
        <v>0</v>
      </c>
      <c r="DZ54" s="102">
        <v>0</v>
      </c>
      <c r="EA54" s="102">
        <v>0</v>
      </c>
      <c r="EB54" s="102">
        <v>0</v>
      </c>
      <c r="EC54" s="102">
        <v>0</v>
      </c>
      <c r="ED54" s="102">
        <v>0</v>
      </c>
      <c r="EE54" s="102">
        <v>0</v>
      </c>
      <c r="EF54" s="102">
        <v>0</v>
      </c>
      <c r="EG54" s="102">
        <v>0</v>
      </c>
      <c r="EH54" s="102">
        <v>0</v>
      </c>
      <c r="EI54" s="102">
        <v>0</v>
      </c>
      <c r="EJ54" s="102">
        <v>0</v>
      </c>
      <c r="EK54" s="102">
        <v>0</v>
      </c>
      <c r="EL54" s="102">
        <v>0</v>
      </c>
      <c r="EM54" s="102">
        <v>0</v>
      </c>
      <c r="EN54" s="102">
        <v>0</v>
      </c>
      <c r="EO54" s="102">
        <v>0</v>
      </c>
      <c r="EP54" s="102">
        <v>0</v>
      </c>
      <c r="EQ54" s="102">
        <v>0</v>
      </c>
      <c r="ER54" s="102">
        <v>0</v>
      </c>
      <c r="ES54" s="102">
        <v>0</v>
      </c>
      <c r="ET54" s="102">
        <v>0</v>
      </c>
      <c r="EU54" s="102">
        <v>-0.4</v>
      </c>
      <c r="EV54" s="102">
        <v>0</v>
      </c>
      <c r="EW54" s="102">
        <v>0</v>
      </c>
      <c r="EX54" s="102">
        <v>0</v>
      </c>
      <c r="EY54" s="102">
        <v>0</v>
      </c>
      <c r="EZ54" s="102">
        <v>-6.12</v>
      </c>
      <c r="FA54" s="102">
        <v>0</v>
      </c>
      <c r="FB54" s="102">
        <v>-1.8</v>
      </c>
      <c r="FC54" s="102">
        <v>0</v>
      </c>
      <c r="FD54" s="102">
        <v>0</v>
      </c>
      <c r="FE54" s="102">
        <v>0</v>
      </c>
      <c r="FF54" s="102">
        <v>0</v>
      </c>
      <c r="FG54" s="102">
        <v>-0.15</v>
      </c>
      <c r="FH54" s="102">
        <v>-0.56000000000000005</v>
      </c>
      <c r="FI54" s="102">
        <v>-2.78</v>
      </c>
      <c r="FJ54" s="102">
        <v>-0.15</v>
      </c>
      <c r="FK54" s="102">
        <v>-0.99099999999999999</v>
      </c>
      <c r="FL54" s="102">
        <v>-1.1299999999999999</v>
      </c>
      <c r="FM54" s="102">
        <v>-0.15</v>
      </c>
      <c r="FN54" s="102">
        <v>-0.56000000000000005</v>
      </c>
      <c r="FO54" s="102">
        <v>-2.33</v>
      </c>
      <c r="FP54" s="102">
        <v>-0.15</v>
      </c>
      <c r="FQ54" s="102">
        <v>-0.15</v>
      </c>
      <c r="FR54" s="102">
        <v>-1.1299999999999999</v>
      </c>
      <c r="FS54" s="102">
        <v>-0.15</v>
      </c>
      <c r="FT54" s="102">
        <v>-0.56000000000000005</v>
      </c>
      <c r="FU54" s="102">
        <v>-2.78</v>
      </c>
      <c r="FV54" s="102">
        <v>-0.15</v>
      </c>
      <c r="FW54" s="102">
        <v>-0.99099999999999999</v>
      </c>
      <c r="FX54" s="102">
        <v>-1.1299999999999999</v>
      </c>
      <c r="FY54" s="102">
        <v>-0.15</v>
      </c>
      <c r="FZ54" s="102">
        <v>-0.56000000000000005</v>
      </c>
      <c r="GA54" s="102">
        <v>-2.33</v>
      </c>
      <c r="GB54" s="102">
        <v>-0.15</v>
      </c>
      <c r="GC54" s="102">
        <v>-0.15</v>
      </c>
      <c r="GD54" s="102">
        <v>-1.1299999999999999</v>
      </c>
      <c r="GF54" s="102">
        <f t="shared" si="120"/>
        <v>-4.06671856</v>
      </c>
      <c r="GG54" s="102">
        <f t="shared" si="120"/>
        <v>-17.049613999999998</v>
      </c>
      <c r="GH54" s="102">
        <f t="shared" si="120"/>
        <v>-15.52324445</v>
      </c>
      <c r="GI54" s="102">
        <f t="shared" si="120"/>
        <v>-53.567878470000004</v>
      </c>
      <c r="GJ54" s="102">
        <f t="shared" si="150"/>
        <v>-3.3661599999999998</v>
      </c>
      <c r="GK54" s="102">
        <f t="shared" si="37"/>
        <v>-5.8816190000000006</v>
      </c>
      <c r="GL54" s="102">
        <f t="shared" si="38"/>
        <v>-22.59067293</v>
      </c>
      <c r="GM54" s="102">
        <f t="shared" si="121"/>
        <v>-9.5105889999999995</v>
      </c>
      <c r="GN54" s="102">
        <f t="shared" si="7"/>
        <v>-10.231000000000002</v>
      </c>
      <c r="GO54" s="102">
        <v>-10.755684280000001</v>
      </c>
      <c r="GQ54" s="929">
        <f t="shared" si="122"/>
        <v>-8.9525167549247664E-2</v>
      </c>
      <c r="GR54" s="929">
        <f t="shared" si="122"/>
        <v>2.4508171692161946</v>
      </c>
      <c r="GS54" s="929">
        <f t="shared" si="122"/>
        <v>-0.93716084907328978</v>
      </c>
      <c r="GT54" s="929">
        <f t="shared" si="122"/>
        <v>0.74727850131901064</v>
      </c>
      <c r="GU54" s="929">
        <f t="shared" si="122"/>
        <v>2.8408936263977651</v>
      </c>
      <c r="GV54" s="929">
        <f t="shared" si="122"/>
        <v>-0.57900373178480613</v>
      </c>
      <c r="GW54" s="929">
        <f t="shared" si="92"/>
        <v>7.5748305388867232E-2</v>
      </c>
      <c r="GX54" s="929">
        <f t="shared" si="92"/>
        <v>5.1283772847228848E-2</v>
      </c>
      <c r="GY54" s="929">
        <f t="shared" si="9"/>
        <v>0.13091673712322138</v>
      </c>
      <c r="HA54" s="102">
        <f t="shared" si="123"/>
        <v>1.5263695499999983</v>
      </c>
      <c r="HB54" s="102">
        <f t="shared" si="123"/>
        <v>-38.044634020000004</v>
      </c>
      <c r="HC54" s="102">
        <f t="shared" si="123"/>
        <v>50.201718470000003</v>
      </c>
      <c r="HD54" s="102">
        <f t="shared" si="99"/>
        <v>-2.5154590000000008</v>
      </c>
      <c r="HE54" s="102">
        <f t="shared" si="93"/>
        <v>-16.70905393</v>
      </c>
      <c r="HF54" s="102">
        <f t="shared" si="93"/>
        <v>13.080083930000001</v>
      </c>
      <c r="HG54" s="102">
        <f t="shared" si="93"/>
        <v>-0.72041100000000213</v>
      </c>
      <c r="HH54" s="102">
        <f t="shared" si="93"/>
        <v>-0.52468427999999889</v>
      </c>
      <c r="HI54" s="102">
        <f t="shared" si="11"/>
        <v>-1.245095280000001</v>
      </c>
      <c r="HK54" s="32">
        <f t="shared" si="124"/>
        <v>-4.6386842725122397E-4</v>
      </c>
      <c r="HL54" s="32">
        <f t="shared" si="124"/>
        <v>-3.9416123160510567E-4</v>
      </c>
      <c r="HM54" s="32">
        <f t="shared" si="124"/>
        <v>-3.1785775493921981E-3</v>
      </c>
      <c r="HN54" s="32">
        <f t="shared" si="124"/>
        <v>-5.4716276603465879E-4</v>
      </c>
      <c r="HO54" s="32">
        <f t="shared" si="124"/>
        <v>-4.3155762383362788E-4</v>
      </c>
      <c r="HP54" s="32">
        <f t="shared" si="124"/>
        <v>-1.5964537576261051E-3</v>
      </c>
      <c r="HQ54" s="32">
        <f t="shared" si="124"/>
        <v>-4.4799245244348782E-4</v>
      </c>
      <c r="HR54" s="32">
        <f t="shared" si="124"/>
        <v>-6.5031826757806928E-4</v>
      </c>
      <c r="HS54" s="32">
        <f t="shared" si="124"/>
        <v>-8.5228053816904391E-4</v>
      </c>
      <c r="HU54" s="102">
        <f t="shared" si="158"/>
        <v>-3.0040460000000002</v>
      </c>
      <c r="HV54" s="102">
        <f t="shared" si="158"/>
        <v>-10.284351000000001</v>
      </c>
      <c r="HW54" s="102">
        <f t="shared" si="158"/>
        <v>-7.6232789099999998</v>
      </c>
      <c r="HX54" s="102">
        <f t="shared" si="158"/>
        <v>-36.698444440000003</v>
      </c>
      <c r="HY54" s="102">
        <f t="shared" si="158"/>
        <v>-2.7955900000000002</v>
      </c>
      <c r="HZ54" s="102">
        <f t="shared" si="158"/>
        <v>-3.8200000000000003</v>
      </c>
      <c r="IA54" s="102">
        <f t="shared" si="126"/>
        <v>-16.028618999999999</v>
      </c>
      <c r="IB54" s="102">
        <f t="shared" si="127"/>
        <v>-1.728828</v>
      </c>
      <c r="IC54" s="102">
        <f t="shared" si="128"/>
        <v>-4.0990952800000002</v>
      </c>
      <c r="ID54" s="102">
        <f t="shared" si="18"/>
        <v>-5.7609999999999992</v>
      </c>
      <c r="IE54" s="102">
        <f t="shared" si="129"/>
        <v>-4.0990952800000002</v>
      </c>
      <c r="IF54" s="922">
        <f t="shared" si="20"/>
        <v>1.3710255039830455</v>
      </c>
      <c r="IG54" s="102">
        <f t="shared" si="151"/>
        <v>-4.0990952800000002</v>
      </c>
      <c r="IH54" s="102">
        <f t="shared" si="151"/>
        <v>-5.7609999999999992</v>
      </c>
      <c r="II54" s="145"/>
      <c r="IJ54" s="929">
        <f t="shared" si="130"/>
        <v>0.71152495747266109</v>
      </c>
      <c r="IK54" s="930">
        <f t="shared" si="131"/>
        <v>1.661904719999999</v>
      </c>
      <c r="IM54" s="32">
        <f t="shared" si="132"/>
        <v>-6.3037942229983814E-4</v>
      </c>
      <c r="IN54" s="929">
        <f t="shared" si="133"/>
        <v>-8.15897403302066E-4</v>
      </c>
      <c r="IP54" s="929">
        <f t="shared" si="152"/>
        <v>-0.25874963719149613</v>
      </c>
      <c r="IQ54" s="929">
        <f t="shared" si="152"/>
        <v>3.8139973459268335</v>
      </c>
      <c r="IR54" s="929">
        <f t="shared" si="152"/>
        <v>-0.92382265671857999</v>
      </c>
      <c r="IS54" s="929">
        <f t="shared" si="152"/>
        <v>0.36643785390561567</v>
      </c>
      <c r="IT54" s="929">
        <f t="shared" si="152"/>
        <v>3.1959735602094232</v>
      </c>
      <c r="IU54" s="929">
        <f t="shared" si="152"/>
        <v>-0.89214117573073515</v>
      </c>
      <c r="IV54" s="929">
        <f t="shared" si="153"/>
        <v>1.3710255039830455</v>
      </c>
      <c r="IX54" s="102">
        <f t="shared" si="135"/>
        <v>2.6610720900000011</v>
      </c>
      <c r="IY54" s="102">
        <f t="shared" si="135"/>
        <v>-29.075165530000003</v>
      </c>
      <c r="IZ54" s="102">
        <f t="shared" si="135"/>
        <v>33.902854440000006</v>
      </c>
      <c r="JA54" s="102">
        <f t="shared" si="135"/>
        <v>-1.02441</v>
      </c>
      <c r="JB54" s="102">
        <f t="shared" si="135"/>
        <v>-12.208618999999999</v>
      </c>
      <c r="JC54" s="102">
        <f t="shared" si="135"/>
        <v>14.299790999999999</v>
      </c>
      <c r="JD54" s="102">
        <f t="shared" si="136"/>
        <v>-2.3702672800000002</v>
      </c>
      <c r="JF54" s="32">
        <f t="shared" si="137"/>
        <v>-1.8781548967040443E-4</v>
      </c>
      <c r="JG54" s="32">
        <f t="shared" si="137"/>
        <v>-6.0314071819744645E-4</v>
      </c>
      <c r="JH54" s="32">
        <f t="shared" si="137"/>
        <v>-4.6897274455437384E-4</v>
      </c>
      <c r="JI54" s="32">
        <f t="shared" si="137"/>
        <v>-3.9232579372404227E-3</v>
      </c>
      <c r="JJ54" s="32">
        <f t="shared" si="137"/>
        <v>-1.3931800615385999E-3</v>
      </c>
      <c r="JK54" s="32">
        <f t="shared" si="137"/>
        <v>-5.5032807074272222E-4</v>
      </c>
      <c r="JL54" s="32">
        <f t="shared" si="137"/>
        <v>-3.0302969019578106E-3</v>
      </c>
      <c r="JM54" s="32">
        <f t="shared" si="138"/>
        <v>-6.0115611194683585E-4</v>
      </c>
      <c r="JO54" s="102">
        <f t="shared" si="159"/>
        <v>-0.23183800000000021</v>
      </c>
      <c r="JP54" s="102">
        <f t="shared" si="159"/>
        <v>-3.590351000000001</v>
      </c>
      <c r="JQ54" s="102">
        <f t="shared" si="159"/>
        <v>-1.9139507299999998</v>
      </c>
      <c r="JR54" s="102">
        <f t="shared" si="159"/>
        <v>-2.3588849999999999</v>
      </c>
      <c r="JS54" s="102">
        <f t="shared" si="159"/>
        <v>-0.49004399999999998</v>
      </c>
      <c r="JT54" s="102">
        <f t="shared" si="140"/>
        <v>-1.36</v>
      </c>
      <c r="JU54" s="102">
        <f t="shared" si="141"/>
        <v>-2.94265</v>
      </c>
      <c r="JV54" s="102">
        <f t="shared" si="141"/>
        <v>-0.01</v>
      </c>
      <c r="JW54" s="102">
        <f t="shared" si="142"/>
        <v>-1.0774030000000001</v>
      </c>
      <c r="JX54" s="102">
        <f t="shared" si="143"/>
        <v>-1.1299999999999999</v>
      </c>
      <c r="JY54" s="102">
        <f t="shared" si="144"/>
        <v>-1.0774030000000001</v>
      </c>
      <c r="KB54" s="32">
        <f t="shared" si="145"/>
        <v>-0.46691821217479867</v>
      </c>
      <c r="KC54" s="32">
        <f t="shared" si="145"/>
        <v>0.23246903017195231</v>
      </c>
      <c r="KD54" s="32">
        <f t="shared" si="145"/>
        <v>-0.7922560870919948</v>
      </c>
      <c r="KE54" s="32">
        <f t="shared" si="145"/>
        <v>1.775260996971701</v>
      </c>
      <c r="KF54" s="32">
        <f t="shared" si="145"/>
        <v>1.1637132352941175</v>
      </c>
      <c r="KG54" s="32">
        <f t="shared" si="145"/>
        <v>-0.99660170254702396</v>
      </c>
      <c r="KH54" s="32">
        <f t="shared" si="146"/>
        <v>106.7403</v>
      </c>
      <c r="KJ54" s="102">
        <f t="shared" si="147"/>
        <v>1.6764002700000011</v>
      </c>
      <c r="KK54" s="102">
        <f t="shared" si="147"/>
        <v>-0.44493427000000008</v>
      </c>
      <c r="KL54" s="102">
        <f t="shared" si="147"/>
        <v>1.868841</v>
      </c>
      <c r="KM54" s="102">
        <f t="shared" si="147"/>
        <v>-0.86995600000000017</v>
      </c>
      <c r="KN54" s="102">
        <f t="shared" si="147"/>
        <v>-1.5826499999999999</v>
      </c>
      <c r="KO54" s="102">
        <f t="shared" si="147"/>
        <v>2.9326500000000002</v>
      </c>
      <c r="KP54" s="102">
        <f t="shared" si="148"/>
        <v>-1.0674030000000001</v>
      </c>
      <c r="KR54" s="32">
        <f t="shared" si="149"/>
        <v>-7.2317772105685708E-5</v>
      </c>
      <c r="KS54" s="32">
        <f t="shared" si="149"/>
        <v>-1.0675256151380303E-3</v>
      </c>
      <c r="KT54" s="32">
        <f t="shared" si="149"/>
        <v>-7.6285445935951178E-4</v>
      </c>
      <c r="KU54" s="32">
        <f t="shared" si="149"/>
        <v>-2.6366066393104424E-3</v>
      </c>
      <c r="KV54" s="32">
        <f t="shared" si="149"/>
        <v>-1.5704324588170545E-3</v>
      </c>
      <c r="KW54" s="32">
        <f t="shared" si="149"/>
        <v>-1.3411947249914364E-3</v>
      </c>
      <c r="KX54" s="32">
        <f t="shared" si="149"/>
        <v>-3.3547928626332384E-3</v>
      </c>
      <c r="KY54" s="32">
        <f t="shared" si="149"/>
        <v>-6.5354570548212685E-6</v>
      </c>
      <c r="KZ54" s="32">
        <f t="shared" si="46"/>
        <v>-2.9398268203627556E-3</v>
      </c>
    </row>
    <row r="55" spans="1:312" outlineLevel="2">
      <c r="A55" s="884">
        <v>5150</v>
      </c>
      <c r="B55" s="70" t="s">
        <v>640</v>
      </c>
      <c r="C55" s="29" t="s">
        <v>87</v>
      </c>
      <c r="D55" s="31" t="s">
        <v>59</v>
      </c>
      <c r="E55" s="102">
        <v>-0.1</v>
      </c>
      <c r="F55" s="102">
        <v>-0.26</v>
      </c>
      <c r="G55" s="102">
        <v>2.1999999999999964E-2</v>
      </c>
      <c r="H55" s="102">
        <v>-0.24999999999999994</v>
      </c>
      <c r="I55" s="102">
        <v>0</v>
      </c>
      <c r="J55" s="102">
        <v>-0.38920700000000008</v>
      </c>
      <c r="K55" s="102">
        <v>-2.9999999999999916E-2</v>
      </c>
      <c r="L55" s="102">
        <v>-0.43300000000000005</v>
      </c>
      <c r="M55" s="102">
        <v>-8.0000000000000071E-2</v>
      </c>
      <c r="N55" s="102">
        <v>-0.86413699999999993</v>
      </c>
      <c r="O55" s="102">
        <v>-7.085000000000008E-2</v>
      </c>
      <c r="P55" s="102">
        <v>-0.40902700000000003</v>
      </c>
      <c r="Q55" s="102">
        <v>0</v>
      </c>
      <c r="R55" s="102">
        <v>0</v>
      </c>
      <c r="S55" s="102">
        <v>0</v>
      </c>
      <c r="T55" s="102">
        <v>0</v>
      </c>
      <c r="U55" s="102">
        <v>-0.39200000000000002</v>
      </c>
      <c r="V55" s="102">
        <v>0</v>
      </c>
      <c r="W55" s="102">
        <v>0</v>
      </c>
      <c r="X55" s="102">
        <v>-0.59043102999999997</v>
      </c>
      <c r="Y55" s="102">
        <v>-0.80344826999999996</v>
      </c>
      <c r="Z55" s="102">
        <v>-0.15000000000000013</v>
      </c>
      <c r="AA55" s="102">
        <v>-0.14484137999999969</v>
      </c>
      <c r="AB55" s="102">
        <v>-0.69831897000000032</v>
      </c>
      <c r="AC55" s="102">
        <v>-0.34789999999999999</v>
      </c>
      <c r="AD55" s="102">
        <v>-3.1800000000000002E-2</v>
      </c>
      <c r="AE55" s="102">
        <v>0</v>
      </c>
      <c r="AF55" s="102">
        <v>0</v>
      </c>
      <c r="AG55" s="102">
        <v>-1.75</v>
      </c>
      <c r="AH55" s="102">
        <v>-3.9687801700000001</v>
      </c>
      <c r="AI55" s="102">
        <v>-1.98</v>
      </c>
      <c r="AJ55" s="102">
        <v>-0.35</v>
      </c>
      <c r="AK55" s="102">
        <v>-0.13400000000000001</v>
      </c>
      <c r="AL55" s="102">
        <v>0</v>
      </c>
      <c r="AM55" s="102">
        <v>0</v>
      </c>
      <c r="AN55" s="102">
        <v>0.89</v>
      </c>
      <c r="AO55" s="102">
        <v>0</v>
      </c>
      <c r="AP55" s="145">
        <v>0</v>
      </c>
      <c r="AQ55" s="143">
        <v>0</v>
      </c>
      <c r="AR55" s="220">
        <v>0</v>
      </c>
      <c r="AS55" s="102">
        <v>0</v>
      </c>
      <c r="AT55" s="102">
        <v>0</v>
      </c>
      <c r="AU55" s="102">
        <v>-0.19953000000000001</v>
      </c>
      <c r="AV55" s="102">
        <v>-1.4857199999999999</v>
      </c>
      <c r="AW55" s="102">
        <v>0</v>
      </c>
      <c r="AX55" s="102">
        <v>0</v>
      </c>
      <c r="AY55" s="102">
        <v>0</v>
      </c>
      <c r="AZ55" s="102">
        <v>0</v>
      </c>
      <c r="BA55" s="102">
        <v>0</v>
      </c>
      <c r="BB55" s="102">
        <v>0</v>
      </c>
      <c r="BC55" s="102">
        <v>0</v>
      </c>
      <c r="BD55" s="102">
        <v>-0.8</v>
      </c>
      <c r="BE55" s="102">
        <v>0</v>
      </c>
      <c r="BF55" s="102">
        <v>0</v>
      </c>
      <c r="BG55" s="102">
        <v>0</v>
      </c>
      <c r="BH55" s="102">
        <v>0</v>
      </c>
      <c r="BI55" s="102">
        <v>0</v>
      </c>
      <c r="BJ55" s="102">
        <v>0</v>
      </c>
      <c r="BK55" s="102">
        <v>0</v>
      </c>
      <c r="BL55" s="102">
        <v>0</v>
      </c>
      <c r="BM55" s="102">
        <v>0</v>
      </c>
      <c r="BN55" s="102">
        <v>0</v>
      </c>
      <c r="BO55" s="102">
        <v>0</v>
      </c>
      <c r="BP55" s="102">
        <v>0</v>
      </c>
      <c r="BQ55" s="102">
        <v>0</v>
      </c>
      <c r="BR55" s="102">
        <v>0</v>
      </c>
      <c r="BS55" s="102">
        <v>0</v>
      </c>
      <c r="BT55" s="102">
        <v>0</v>
      </c>
      <c r="BU55" s="102">
        <v>0</v>
      </c>
      <c r="BV55" s="102">
        <v>-0.22</v>
      </c>
      <c r="BW55" s="102">
        <v>-0.75</v>
      </c>
      <c r="BX55" s="102">
        <v>0.18443100000000001</v>
      </c>
      <c r="BY55" s="102">
        <v>0</v>
      </c>
      <c r="BZ55" s="102">
        <v>0</v>
      </c>
      <c r="CA55" s="102">
        <v>0</v>
      </c>
      <c r="CB55" s="102">
        <v>0</v>
      </c>
      <c r="CC55" s="102">
        <v>0</v>
      </c>
      <c r="CD55" s="102">
        <v>0</v>
      </c>
      <c r="CE55" s="102">
        <v>0</v>
      </c>
      <c r="CF55" s="102">
        <v>0</v>
      </c>
      <c r="CG55" s="102">
        <v>0</v>
      </c>
      <c r="CH55" s="102">
        <v>0</v>
      </c>
      <c r="CI55" s="102">
        <v>0</v>
      </c>
      <c r="CJ55" s="102">
        <v>0</v>
      </c>
      <c r="CK55" s="102">
        <v>0</v>
      </c>
      <c r="CL55" s="102">
        <v>0</v>
      </c>
      <c r="CM55" s="102">
        <v>0</v>
      </c>
      <c r="CN55" s="102">
        <v>0</v>
      </c>
      <c r="CO55" s="102">
        <v>0</v>
      </c>
      <c r="CP55" s="102">
        <v>0</v>
      </c>
      <c r="CQ55" s="102">
        <v>0</v>
      </c>
      <c r="CR55" s="102">
        <v>0</v>
      </c>
      <c r="CS55" s="102">
        <v>0</v>
      </c>
      <c r="CT55" s="102">
        <v>0</v>
      </c>
      <c r="CU55" s="102">
        <v>0</v>
      </c>
      <c r="CV55" s="102">
        <v>0</v>
      </c>
      <c r="CW55" s="102">
        <v>0</v>
      </c>
      <c r="CX55" s="102">
        <v>0</v>
      </c>
      <c r="CY55" s="102">
        <v>0</v>
      </c>
      <c r="CZ55" s="102">
        <v>0</v>
      </c>
      <c r="DA55" s="102">
        <v>0</v>
      </c>
      <c r="DB55" s="102">
        <v>0</v>
      </c>
      <c r="DC55" s="102">
        <v>0</v>
      </c>
      <c r="DD55" s="102">
        <v>0</v>
      </c>
      <c r="DE55" s="102">
        <v>0</v>
      </c>
      <c r="DF55" s="102">
        <v>0</v>
      </c>
      <c r="DG55" s="102">
        <v>0</v>
      </c>
      <c r="DH55" s="102">
        <v>0</v>
      </c>
      <c r="DI55" s="145"/>
      <c r="DJ55" s="102">
        <v>0</v>
      </c>
      <c r="DK55" s="102">
        <v>0</v>
      </c>
      <c r="DL55" s="102">
        <v>0</v>
      </c>
      <c r="DM55" s="102">
        <v>0</v>
      </c>
      <c r="DN55" s="102">
        <v>0</v>
      </c>
      <c r="DO55" s="102">
        <v>0</v>
      </c>
      <c r="DP55" s="102">
        <v>0</v>
      </c>
      <c r="DQ55" s="102">
        <v>0</v>
      </c>
      <c r="DR55" s="102">
        <v>0</v>
      </c>
      <c r="DS55" s="102">
        <v>0</v>
      </c>
      <c r="DT55" s="102">
        <v>0</v>
      </c>
      <c r="DU55" s="102">
        <v>0</v>
      </c>
      <c r="DW55" s="102">
        <v>-0.3</v>
      </c>
      <c r="DX55" s="102">
        <v>-0.3</v>
      </c>
      <c r="DY55" s="102">
        <v>-0.3</v>
      </c>
      <c r="DZ55" s="102">
        <v>-0.3</v>
      </c>
      <c r="EA55" s="102">
        <v>-0.3</v>
      </c>
      <c r="EB55" s="102">
        <v>-0.3</v>
      </c>
      <c r="EC55" s="102">
        <v>-0.3</v>
      </c>
      <c r="ED55" s="102">
        <v>-0.3</v>
      </c>
      <c r="EE55" s="102">
        <v>-0.3</v>
      </c>
      <c r="EF55" s="102">
        <v>-0.3</v>
      </c>
      <c r="EG55" s="102">
        <v>-0.3</v>
      </c>
      <c r="EH55" s="102">
        <v>-0.3</v>
      </c>
      <c r="EI55" s="102">
        <v>0</v>
      </c>
      <c r="EJ55" s="102">
        <v>0</v>
      </c>
      <c r="EK55" s="102">
        <v>0</v>
      </c>
      <c r="EL55" s="102">
        <v>0</v>
      </c>
      <c r="EM55" s="102">
        <v>0</v>
      </c>
      <c r="EN55" s="102">
        <v>0</v>
      </c>
      <c r="EO55" s="102">
        <v>0</v>
      </c>
      <c r="EP55" s="102">
        <v>0</v>
      </c>
      <c r="EQ55" s="102">
        <v>0</v>
      </c>
      <c r="ER55" s="102">
        <v>0</v>
      </c>
      <c r="ES55" s="102">
        <v>0</v>
      </c>
      <c r="ET55" s="102">
        <v>0</v>
      </c>
      <c r="EU55" s="102" t="s">
        <v>647</v>
      </c>
      <c r="EV55" s="102" t="s">
        <v>647</v>
      </c>
      <c r="EW55" s="102" t="s">
        <v>647</v>
      </c>
      <c r="EX55" s="102" t="s">
        <v>647</v>
      </c>
      <c r="EY55" s="102" t="s">
        <v>647</v>
      </c>
      <c r="EZ55" s="102" t="s">
        <v>647</v>
      </c>
      <c r="FA55" s="102" t="s">
        <v>647</v>
      </c>
      <c r="FB55" s="102" t="s">
        <v>647</v>
      </c>
      <c r="FC55" s="102" t="s">
        <v>647</v>
      </c>
      <c r="FD55" s="102" t="s">
        <v>647</v>
      </c>
      <c r="FE55" s="102" t="s">
        <v>647</v>
      </c>
      <c r="FF55" s="102" t="s">
        <v>647</v>
      </c>
      <c r="FG55" s="102">
        <v>0</v>
      </c>
      <c r="FH55" s="102">
        <v>0</v>
      </c>
      <c r="FI55" s="102">
        <v>0</v>
      </c>
      <c r="FJ55" s="102">
        <v>0</v>
      </c>
      <c r="FK55" s="102">
        <v>0</v>
      </c>
      <c r="FL55" s="102">
        <v>0</v>
      </c>
      <c r="FM55" s="102">
        <v>0</v>
      </c>
      <c r="FN55" s="102">
        <v>0</v>
      </c>
      <c r="FO55" s="102">
        <v>0</v>
      </c>
      <c r="FP55" s="102">
        <v>0</v>
      </c>
      <c r="FQ55" s="102">
        <v>0</v>
      </c>
      <c r="FR55" s="102">
        <v>0</v>
      </c>
      <c r="FS55" s="102">
        <v>0</v>
      </c>
      <c r="FT55" s="102">
        <v>0</v>
      </c>
      <c r="FU55" s="102">
        <v>0</v>
      </c>
      <c r="FV55" s="102">
        <v>0</v>
      </c>
      <c r="FW55" s="102">
        <v>0</v>
      </c>
      <c r="FX55" s="102">
        <v>0</v>
      </c>
      <c r="FY55" s="102">
        <v>0</v>
      </c>
      <c r="FZ55" s="102">
        <v>0</v>
      </c>
      <c r="GA55" s="102">
        <v>0</v>
      </c>
      <c r="GB55" s="102">
        <v>0</v>
      </c>
      <c r="GC55" s="102">
        <v>0</v>
      </c>
      <c r="GD55" s="102">
        <v>0</v>
      </c>
      <c r="GF55" s="102">
        <f t="shared" si="120"/>
        <v>-2.8642210000000001</v>
      </c>
      <c r="GG55" s="102">
        <f t="shared" si="120"/>
        <v>-2.7790396500000001</v>
      </c>
      <c r="GH55" s="102">
        <f t="shared" si="120"/>
        <v>-7.6724801700000009</v>
      </c>
      <c r="GI55" s="102">
        <f t="shared" si="120"/>
        <v>-1.6852499999999999</v>
      </c>
      <c r="GJ55" s="102">
        <f t="shared" si="150"/>
        <v>-0.8</v>
      </c>
      <c r="GK55" s="102">
        <f t="shared" si="37"/>
        <v>-0.78556899999999996</v>
      </c>
      <c r="GL55" s="102">
        <f t="shared" si="38"/>
        <v>0</v>
      </c>
      <c r="GM55" s="102">
        <f t="shared" si="121"/>
        <v>0</v>
      </c>
      <c r="GN55" s="102">
        <f t="shared" si="7"/>
        <v>0</v>
      </c>
      <c r="GO55" s="102">
        <v>0</v>
      </c>
      <c r="GQ55" s="929">
        <f t="shared" si="122"/>
        <v>1.7608386839676795</v>
      </c>
      <c r="GR55" s="929">
        <f t="shared" si="122"/>
        <v>-0.78035133846426097</v>
      </c>
      <c r="GS55" s="929">
        <f t="shared" si="122"/>
        <v>-0.52529298323690843</v>
      </c>
      <c r="GT55" s="929">
        <f t="shared" si="122"/>
        <v>-1.8038750000000103E-2</v>
      </c>
      <c r="GU55" s="929">
        <f t="shared" si="122"/>
        <v>-1</v>
      </c>
      <c r="GV55" s="929" t="str">
        <f t="shared" si="122"/>
        <v/>
      </c>
      <c r="GW55" s="929" t="str">
        <f t="shared" si="92"/>
        <v/>
      </c>
      <c r="GX55" s="929" t="str">
        <f t="shared" si="92"/>
        <v/>
      </c>
      <c r="GY55" s="929" t="str">
        <f t="shared" si="9"/>
        <v/>
      </c>
      <c r="HA55" s="102">
        <f t="shared" si="123"/>
        <v>-4.8934405200000004</v>
      </c>
      <c r="HB55" s="102">
        <f t="shared" si="123"/>
        <v>5.987230170000001</v>
      </c>
      <c r="HC55" s="102">
        <f t="shared" si="123"/>
        <v>0.88524999999999987</v>
      </c>
      <c r="HD55" s="102">
        <f t="shared" si="99"/>
        <v>1.4431000000000083E-2</v>
      </c>
      <c r="HE55" s="102">
        <f t="shared" si="93"/>
        <v>0.78556899999999996</v>
      </c>
      <c r="HF55" s="102">
        <f t="shared" si="93"/>
        <v>0</v>
      </c>
      <c r="HG55" s="102">
        <f t="shared" si="93"/>
        <v>0</v>
      </c>
      <c r="HH55" s="102">
        <f t="shared" si="93"/>
        <v>0</v>
      </c>
      <c r="HI55" s="102">
        <f t="shared" si="11"/>
        <v>0</v>
      </c>
      <c r="HK55" s="32">
        <f t="shared" si="124"/>
        <v>-7.5609263160696306E-5</v>
      </c>
      <c r="HL55" s="32">
        <f t="shared" si="124"/>
        <v>-1.9481714940544861E-4</v>
      </c>
      <c r="HM55" s="32">
        <f t="shared" si="124"/>
        <v>-9.999831929340175E-5</v>
      </c>
      <c r="HN55" s="32">
        <f t="shared" si="124"/>
        <v>-1.3003844523959857E-4</v>
      </c>
      <c r="HO55" s="32">
        <f t="shared" si="124"/>
        <v>-5.764030124993801E-5</v>
      </c>
      <c r="HP55" s="32">
        <f t="shared" si="124"/>
        <v>0</v>
      </c>
      <c r="HQ55" s="32">
        <f t="shared" si="124"/>
        <v>0</v>
      </c>
      <c r="HR55" s="32">
        <f t="shared" si="124"/>
        <v>0</v>
      </c>
      <c r="HS55" s="32">
        <f t="shared" si="124"/>
        <v>0</v>
      </c>
      <c r="HU55" s="102">
        <f t="shared" si="158"/>
        <v>-0.97720700000000005</v>
      </c>
      <c r="HV55" s="102">
        <f t="shared" si="158"/>
        <v>-0.39200000000000002</v>
      </c>
      <c r="HW55" s="102">
        <f t="shared" si="158"/>
        <v>-6.0984801700000002</v>
      </c>
      <c r="HX55" s="102">
        <f t="shared" si="158"/>
        <v>0</v>
      </c>
      <c r="HY55" s="102">
        <f t="shared" si="158"/>
        <v>-0.8</v>
      </c>
      <c r="HZ55" s="102">
        <f t="shared" si="158"/>
        <v>0</v>
      </c>
      <c r="IA55" s="102">
        <f t="shared" si="126"/>
        <v>0</v>
      </c>
      <c r="IB55" s="102">
        <f t="shared" si="127"/>
        <v>0</v>
      </c>
      <c r="IC55" s="102">
        <f t="shared" si="128"/>
        <v>0</v>
      </c>
      <c r="ID55" s="102">
        <f t="shared" si="18"/>
        <v>0</v>
      </c>
      <c r="IE55" s="102">
        <f t="shared" si="129"/>
        <v>0</v>
      </c>
      <c r="IF55" s="922" t="str">
        <f t="shared" si="20"/>
        <v/>
      </c>
      <c r="IG55" s="102">
        <f t="shared" si="151"/>
        <v>0</v>
      </c>
      <c r="IH55" s="102">
        <f t="shared" si="151"/>
        <v>0</v>
      </c>
      <c r="II55" s="145"/>
      <c r="IJ55" s="929" t="str">
        <f t="shared" si="130"/>
        <v/>
      </c>
      <c r="IK55" s="930">
        <f t="shared" si="131"/>
        <v>0</v>
      </c>
      <c r="IM55" s="32">
        <f t="shared" si="132"/>
        <v>0</v>
      </c>
      <c r="IN55" s="929">
        <f t="shared" si="133"/>
        <v>0</v>
      </c>
      <c r="IP55" s="929">
        <f t="shared" si="152"/>
        <v>14.55734737244898</v>
      </c>
      <c r="IQ55" s="929">
        <f t="shared" si="152"/>
        <v>-1</v>
      </c>
      <c r="IR55" s="929" t="str">
        <f t="shared" si="152"/>
        <v/>
      </c>
      <c r="IS55" s="929">
        <f t="shared" si="152"/>
        <v>-1</v>
      </c>
      <c r="IT55" s="929" t="str">
        <f t="shared" si="152"/>
        <v/>
      </c>
      <c r="IU55" s="929" t="str">
        <f t="shared" si="152"/>
        <v/>
      </c>
      <c r="IV55" s="929" t="str">
        <f t="shared" si="153"/>
        <v/>
      </c>
      <c r="IX55" s="102">
        <f t="shared" si="135"/>
        <v>-5.7064801699999999</v>
      </c>
      <c r="IY55" s="102">
        <f t="shared" si="135"/>
        <v>6.0984801700000002</v>
      </c>
      <c r="IZ55" s="102">
        <f t="shared" si="135"/>
        <v>-0.8</v>
      </c>
      <c r="JA55" s="102">
        <f t="shared" si="135"/>
        <v>0.8</v>
      </c>
      <c r="JB55" s="102">
        <f t="shared" si="135"/>
        <v>0</v>
      </c>
      <c r="JC55" s="102">
        <f t="shared" si="135"/>
        <v>0</v>
      </c>
      <c r="JD55" s="102">
        <f t="shared" si="136"/>
        <v>0</v>
      </c>
      <c r="JF55" s="32">
        <f t="shared" si="137"/>
        <v>-6.1095805861277391E-5</v>
      </c>
      <c r="JG55" s="32">
        <f t="shared" si="137"/>
        <v>-2.2989409981572877E-5</v>
      </c>
      <c r="JH55" s="32">
        <f t="shared" si="137"/>
        <v>-3.7516940108063345E-4</v>
      </c>
      <c r="JI55" s="32">
        <f t="shared" si="137"/>
        <v>0</v>
      </c>
      <c r="JJ55" s="32">
        <f t="shared" si="137"/>
        <v>-3.9867936615558072E-4</v>
      </c>
      <c r="JK55" s="32">
        <f t="shared" si="137"/>
        <v>0</v>
      </c>
      <c r="JL55" s="32">
        <f t="shared" si="137"/>
        <v>0</v>
      </c>
      <c r="JM55" s="32">
        <f t="shared" si="138"/>
        <v>0</v>
      </c>
      <c r="JO55" s="102">
        <f t="shared" si="159"/>
        <v>-0.38920700000000008</v>
      </c>
      <c r="JP55" s="102">
        <f t="shared" si="159"/>
        <v>0</v>
      </c>
      <c r="JQ55" s="102">
        <f t="shared" si="159"/>
        <v>-3.9687801700000001</v>
      </c>
      <c r="JR55" s="102">
        <f t="shared" si="159"/>
        <v>0</v>
      </c>
      <c r="JS55" s="102">
        <f t="shared" si="159"/>
        <v>0</v>
      </c>
      <c r="JT55" s="102">
        <f t="shared" si="140"/>
        <v>0</v>
      </c>
      <c r="JU55" s="102">
        <f t="shared" si="141"/>
        <v>0</v>
      </c>
      <c r="JV55" s="102">
        <f t="shared" si="141"/>
        <v>0</v>
      </c>
      <c r="JW55" s="102">
        <f t="shared" si="142"/>
        <v>0</v>
      </c>
      <c r="JX55" s="102">
        <f t="shared" si="143"/>
        <v>0</v>
      </c>
      <c r="JY55" s="102">
        <f t="shared" si="144"/>
        <v>0</v>
      </c>
      <c r="KB55" s="32" t="str">
        <f t="shared" si="145"/>
        <v xml:space="preserve"> </v>
      </c>
      <c r="KC55" s="32">
        <f t="shared" si="145"/>
        <v>-1</v>
      </c>
      <c r="KD55" s="32" t="str">
        <f t="shared" si="145"/>
        <v xml:space="preserve"> </v>
      </c>
      <c r="KE55" s="32" t="str">
        <f t="shared" si="145"/>
        <v xml:space="preserve"> </v>
      </c>
      <c r="KF55" s="32" t="str">
        <f t="shared" si="145"/>
        <v xml:space="preserve"> </v>
      </c>
      <c r="KG55" s="32" t="str">
        <f t="shared" si="145"/>
        <v xml:space="preserve"> </v>
      </c>
      <c r="KH55" s="32" t="str">
        <f t="shared" si="146"/>
        <v xml:space="preserve"> </v>
      </c>
      <c r="KJ55" s="102">
        <f t="shared" si="147"/>
        <v>-3.9687801700000001</v>
      </c>
      <c r="KK55" s="102">
        <f t="shared" si="147"/>
        <v>3.9687801700000001</v>
      </c>
      <c r="KL55" s="102">
        <f t="shared" si="147"/>
        <v>0</v>
      </c>
      <c r="KM55" s="102">
        <f t="shared" si="147"/>
        <v>0</v>
      </c>
      <c r="KN55" s="102">
        <f t="shared" si="147"/>
        <v>0</v>
      </c>
      <c r="KO55" s="102">
        <f t="shared" si="147"/>
        <v>0</v>
      </c>
      <c r="KP55" s="102">
        <f t="shared" si="148"/>
        <v>0</v>
      </c>
      <c r="KR55" s="32">
        <f t="shared" si="149"/>
        <v>-1.2140625405644286E-4</v>
      </c>
      <c r="KS55" s="32">
        <f t="shared" si="149"/>
        <v>0</v>
      </c>
      <c r="KT55" s="32">
        <f t="shared" si="149"/>
        <v>-1.5818597644371448E-3</v>
      </c>
      <c r="KU55" s="32">
        <f t="shared" si="149"/>
        <v>0</v>
      </c>
      <c r="KV55" s="32">
        <f t="shared" si="149"/>
        <v>0</v>
      </c>
      <c r="KW55" s="32">
        <f t="shared" si="149"/>
        <v>0</v>
      </c>
      <c r="KX55" s="32">
        <f t="shared" si="149"/>
        <v>0</v>
      </c>
      <c r="KY55" s="32">
        <f t="shared" si="149"/>
        <v>0</v>
      </c>
      <c r="KZ55" s="32">
        <f t="shared" si="46"/>
        <v>0</v>
      </c>
    </row>
    <row r="56" spans="1:312" outlineLevel="2">
      <c r="A56" s="884">
        <v>5155</v>
      </c>
      <c r="B56" s="70" t="s">
        <v>648</v>
      </c>
      <c r="C56" s="29" t="s">
        <v>88</v>
      </c>
      <c r="D56" s="31" t="s">
        <v>59</v>
      </c>
      <c r="E56" s="102">
        <v>0</v>
      </c>
      <c r="F56" s="102">
        <v>0</v>
      </c>
      <c r="G56" s="102">
        <v>0</v>
      </c>
      <c r="H56" s="102">
        <v>0</v>
      </c>
      <c r="I56" s="102">
        <v>0</v>
      </c>
      <c r="J56" s="102">
        <v>0</v>
      </c>
      <c r="K56" s="102">
        <v>0</v>
      </c>
      <c r="L56" s="102">
        <v>0</v>
      </c>
      <c r="M56" s="102">
        <v>0</v>
      </c>
      <c r="N56" s="102">
        <v>0</v>
      </c>
      <c r="O56" s="102">
        <v>0</v>
      </c>
      <c r="P56" s="102">
        <v>0</v>
      </c>
      <c r="Q56" s="102">
        <v>0</v>
      </c>
      <c r="R56" s="102">
        <v>0</v>
      </c>
      <c r="S56" s="102">
        <v>0</v>
      </c>
      <c r="T56" s="102">
        <v>0</v>
      </c>
      <c r="U56" s="102">
        <v>0</v>
      </c>
      <c r="V56" s="102">
        <v>0</v>
      </c>
      <c r="W56" s="102">
        <v>0</v>
      </c>
      <c r="X56" s="102">
        <v>0</v>
      </c>
      <c r="Y56" s="102">
        <v>0</v>
      </c>
      <c r="Z56" s="102">
        <v>-16.762287999999998</v>
      </c>
      <c r="AA56" s="102">
        <v>-0.87561400000000233</v>
      </c>
      <c r="AB56" s="102">
        <v>0</v>
      </c>
      <c r="AC56" s="102">
        <v>0</v>
      </c>
      <c r="AD56" s="102">
        <v>-1.7729999999999999</v>
      </c>
      <c r="AE56" s="102">
        <v>-4.0651679999999999</v>
      </c>
      <c r="AF56" s="102">
        <v>-0.53774999999999995</v>
      </c>
      <c r="AG56" s="102">
        <v>-4.5664999999999996</v>
      </c>
      <c r="AH56" s="102">
        <v>-0.76390000000000002</v>
      </c>
      <c r="AI56" s="102">
        <v>-1.1022000000000001</v>
      </c>
      <c r="AJ56" s="102">
        <v>-0.249</v>
      </c>
      <c r="AK56" s="102">
        <v>0</v>
      </c>
      <c r="AL56" s="102">
        <v>-0.55800000000000005</v>
      </c>
      <c r="AM56" s="102">
        <v>-0.50843318000000004</v>
      </c>
      <c r="AN56" s="102">
        <v>0</v>
      </c>
      <c r="AO56" s="102">
        <v>-0.3837835</v>
      </c>
      <c r="AP56" s="145">
        <v>-0.82740019999999992</v>
      </c>
      <c r="AQ56" s="143">
        <v>0</v>
      </c>
      <c r="AR56" s="220">
        <v>-14.69364</v>
      </c>
      <c r="AS56" s="102">
        <v>-3.5098003599999998</v>
      </c>
      <c r="AT56" s="102">
        <v>-1.7363999999999999</v>
      </c>
      <c r="AU56" s="102">
        <v>-0.42149999999999999</v>
      </c>
      <c r="AV56" s="102">
        <v>0.42149999999999999</v>
      </c>
      <c r="AW56" s="102">
        <v>-2.98603</v>
      </c>
      <c r="AX56" s="102">
        <v>-7.5881407599999999</v>
      </c>
      <c r="AY56" s="102">
        <v>-1.8475050000000002</v>
      </c>
      <c r="AZ56" s="102">
        <v>-1.3121984799999999</v>
      </c>
      <c r="BA56" s="102">
        <v>-0.18965599999999999</v>
      </c>
      <c r="BB56" s="102">
        <v>-1.5392979199999999</v>
      </c>
      <c r="BC56" s="102">
        <v>-1.0867599999999999</v>
      </c>
      <c r="BD56" s="102">
        <v>0</v>
      </c>
      <c r="BE56" s="102">
        <v>0</v>
      </c>
      <c r="BF56" s="102">
        <v>0</v>
      </c>
      <c r="BG56" s="102">
        <v>0</v>
      </c>
      <c r="BH56" s="102">
        <v>-4.4828E-2</v>
      </c>
      <c r="BI56" s="102">
        <v>-0.85299000000000003</v>
      </c>
      <c r="BJ56" s="102">
        <v>-0.44500000000000001</v>
      </c>
      <c r="BK56" s="102">
        <v>-0.68031900000000001</v>
      </c>
      <c r="BL56" s="102">
        <v>0</v>
      </c>
      <c r="BM56" s="102">
        <v>0</v>
      </c>
      <c r="BN56" s="102">
        <v>0</v>
      </c>
      <c r="BO56" s="102">
        <v>0</v>
      </c>
      <c r="BP56" s="102">
        <v>-10.280538999999999</v>
      </c>
      <c r="BQ56" s="102">
        <v>2.4687000000000001E-2</v>
      </c>
      <c r="BR56" s="102">
        <v>0</v>
      </c>
      <c r="BS56" s="102">
        <v>0</v>
      </c>
      <c r="BT56" s="102">
        <v>-1.7647999999999999</v>
      </c>
      <c r="BU56" s="102">
        <v>-2.031908</v>
      </c>
      <c r="BV56" s="102">
        <v>-0.33809099999999997</v>
      </c>
      <c r="BW56" s="102">
        <v>-0.71699999999999997</v>
      </c>
      <c r="BX56" s="102">
        <v>-0.08</v>
      </c>
      <c r="BY56" s="102">
        <v>0</v>
      </c>
      <c r="BZ56" s="102">
        <v>0</v>
      </c>
      <c r="CA56" s="102">
        <v>-0.126745</v>
      </c>
      <c r="CB56" s="102">
        <v>0</v>
      </c>
      <c r="CC56" s="102">
        <v>0</v>
      </c>
      <c r="CD56" s="102">
        <v>0</v>
      </c>
      <c r="CE56" s="102">
        <v>0</v>
      </c>
      <c r="CF56" s="102">
        <v>0</v>
      </c>
      <c r="CG56" s="102">
        <v>-1.3899140000000001</v>
      </c>
      <c r="CH56" s="102">
        <v>-9.7596000000000007</v>
      </c>
      <c r="CI56" s="102">
        <v>-0.14000000000000001</v>
      </c>
      <c r="CJ56" s="102">
        <v>-1.5601320000000001</v>
      </c>
      <c r="CK56" s="102">
        <v>-0.28284100000000001</v>
      </c>
      <c r="CL56" s="102">
        <v>-1.0258350000000001</v>
      </c>
      <c r="CM56" s="102">
        <v>-0.226938</v>
      </c>
      <c r="CN56" s="102">
        <v>-0.04</v>
      </c>
      <c r="CO56" s="102">
        <v>-0.22386600000000001</v>
      </c>
      <c r="CP56" s="102">
        <v>-4.2016999999999999E-2</v>
      </c>
      <c r="CQ56" s="102">
        <v>-2.3202370000000001</v>
      </c>
      <c r="CR56" s="102">
        <v>-1.346298</v>
      </c>
      <c r="CS56" s="102">
        <v>-1.6066130000000001</v>
      </c>
      <c r="CT56" s="102">
        <v>-0.67260600000000004</v>
      </c>
      <c r="CU56" s="102">
        <v>-0.286302</v>
      </c>
      <c r="CV56" s="102">
        <v>-3.2265039999999998</v>
      </c>
      <c r="CW56" s="102">
        <v>0</v>
      </c>
      <c r="CX56" s="102">
        <v>-1.741174</v>
      </c>
      <c r="CY56" s="102">
        <v>-0.54671700000000001</v>
      </c>
      <c r="CZ56" s="102">
        <v>0</v>
      </c>
      <c r="DA56" s="102">
        <v>0</v>
      </c>
      <c r="DB56" s="102">
        <v>0</v>
      </c>
      <c r="DC56" s="102">
        <v>0</v>
      </c>
      <c r="DD56" s="102">
        <v>0</v>
      </c>
      <c r="DE56" s="102">
        <v>0</v>
      </c>
      <c r="DF56" s="102">
        <v>0</v>
      </c>
      <c r="DG56" s="102">
        <v>0</v>
      </c>
      <c r="DH56" s="102">
        <v>0</v>
      </c>
      <c r="DI56" s="145"/>
      <c r="DJ56" s="102">
        <v>0</v>
      </c>
      <c r="DK56" s="102">
        <v>-1.741174</v>
      </c>
      <c r="DL56" s="102">
        <v>-0.54671700000000001</v>
      </c>
      <c r="DM56" s="102">
        <v>0</v>
      </c>
      <c r="DN56" s="102">
        <v>0</v>
      </c>
      <c r="DO56" s="102">
        <v>0</v>
      </c>
      <c r="DP56" s="102">
        <v>-2.5492750000000002</v>
      </c>
      <c r="DQ56" s="102">
        <v>-2.0304980000000001</v>
      </c>
      <c r="DR56" s="102">
        <v>-0.5</v>
      </c>
      <c r="DS56" s="102">
        <v>-0.2</v>
      </c>
      <c r="DT56" s="102">
        <v>-1</v>
      </c>
      <c r="DU56" s="102">
        <v>-1.0466040000000001</v>
      </c>
      <c r="DW56" s="102">
        <v>-0.8</v>
      </c>
      <c r="DX56" s="102">
        <v>-10.8</v>
      </c>
      <c r="DY56" s="102">
        <v>-9.8000000000000007</v>
      </c>
      <c r="DZ56" s="102">
        <v>-12.8</v>
      </c>
      <c r="EA56" s="102">
        <v>-1.8</v>
      </c>
      <c r="EB56" s="102">
        <v>-6.8</v>
      </c>
      <c r="EC56" s="102">
        <v>-6.8</v>
      </c>
      <c r="ED56" s="102">
        <v>-1.8</v>
      </c>
      <c r="EE56" s="102">
        <v>-4.8</v>
      </c>
      <c r="EF56" s="102">
        <v>-2.8</v>
      </c>
      <c r="EG56" s="102">
        <v>-0.8</v>
      </c>
      <c r="EH56" s="102">
        <v>-0.8</v>
      </c>
      <c r="EI56" s="102">
        <v>0</v>
      </c>
      <c r="EJ56" s="102">
        <v>-0.4</v>
      </c>
      <c r="EK56" s="102">
        <v>-1.4</v>
      </c>
      <c r="EL56" s="102">
        <v>-7.4</v>
      </c>
      <c r="EM56" s="102">
        <v>-6.46</v>
      </c>
      <c r="EN56" s="102">
        <v>-1.5</v>
      </c>
      <c r="EO56" s="102">
        <v>-6.4</v>
      </c>
      <c r="EP56" s="102">
        <v>-1.4</v>
      </c>
      <c r="EQ56" s="102">
        <v>0</v>
      </c>
      <c r="ER56" s="102">
        <v>-0.4</v>
      </c>
      <c r="ES56" s="102">
        <v>0</v>
      </c>
      <c r="ET56" s="102">
        <v>0</v>
      </c>
      <c r="EU56" s="102">
        <v>-4.17</v>
      </c>
      <c r="EV56" s="102">
        <v>-1.27</v>
      </c>
      <c r="EW56" s="102">
        <v>-4.1239999999999997</v>
      </c>
      <c r="EX56" s="102">
        <v>-1.01</v>
      </c>
      <c r="EY56" s="102">
        <v>-3.97</v>
      </c>
      <c r="EZ56" s="102">
        <v>-1.69</v>
      </c>
      <c r="FA56" s="102">
        <v>-3.41</v>
      </c>
      <c r="FB56" s="102">
        <v>-1.9039999999999999</v>
      </c>
      <c r="FC56" s="102">
        <v>-3.71</v>
      </c>
      <c r="FD56" s="102">
        <v>-1.27</v>
      </c>
      <c r="FE56" s="102">
        <v>-3.41</v>
      </c>
      <c r="FF56" s="102">
        <v>-1.99</v>
      </c>
      <c r="FG56" s="102">
        <v>-0.2</v>
      </c>
      <c r="FH56" s="102">
        <v>0</v>
      </c>
      <c r="FI56" s="102">
        <v>-0.2</v>
      </c>
      <c r="FJ56" s="102">
        <v>0</v>
      </c>
      <c r="FK56" s="102">
        <v>-0.2</v>
      </c>
      <c r="FL56" s="102">
        <v>0</v>
      </c>
      <c r="FM56" s="102">
        <v>-0.2</v>
      </c>
      <c r="FN56" s="102">
        <v>0</v>
      </c>
      <c r="FO56" s="102">
        <v>-0.2</v>
      </c>
      <c r="FP56" s="102">
        <v>0</v>
      </c>
      <c r="FQ56" s="102">
        <v>-0.2</v>
      </c>
      <c r="FR56" s="102">
        <v>0</v>
      </c>
      <c r="FS56" s="102">
        <v>-0.2</v>
      </c>
      <c r="FT56" s="102">
        <v>0</v>
      </c>
      <c r="FU56" s="102">
        <v>-0.2</v>
      </c>
      <c r="FV56" s="102">
        <v>0</v>
      </c>
      <c r="FW56" s="102">
        <v>-0.2</v>
      </c>
      <c r="FX56" s="102">
        <v>0</v>
      </c>
      <c r="FY56" s="102">
        <v>-0.2</v>
      </c>
      <c r="FZ56" s="102">
        <v>0</v>
      </c>
      <c r="GA56" s="102">
        <v>-0.2</v>
      </c>
      <c r="GB56" s="102">
        <v>0</v>
      </c>
      <c r="GC56" s="102">
        <v>-0.2</v>
      </c>
      <c r="GD56" s="102">
        <v>0</v>
      </c>
      <c r="GF56" s="102">
        <f t="shared" si="120"/>
        <v>0</v>
      </c>
      <c r="GG56" s="102">
        <f t="shared" si="120"/>
        <v>-17.637902</v>
      </c>
      <c r="GH56" s="102">
        <f t="shared" si="120"/>
        <v>-14.123951180000001</v>
      </c>
      <c r="GI56" s="102">
        <f t="shared" si="120"/>
        <v>-34.884898299999996</v>
      </c>
      <c r="GJ56" s="102">
        <f t="shared" si="150"/>
        <v>-4.8388509199999996</v>
      </c>
      <c r="GK56" s="102">
        <f t="shared" si="37"/>
        <v>-15.187650999999999</v>
      </c>
      <c r="GL56" s="102">
        <f t="shared" si="38"/>
        <v>-12.976391000000001</v>
      </c>
      <c r="GM56" s="102">
        <f t="shared" si="121"/>
        <v>-11.300057000000001</v>
      </c>
      <c r="GN56" s="102">
        <f t="shared" si="7"/>
        <v>-1.2</v>
      </c>
      <c r="GO56" s="102">
        <v>-2.2878910000000001</v>
      </c>
      <c r="GQ56" s="929">
        <f t="shared" si="122"/>
        <v>-0.19922725616686154</v>
      </c>
      <c r="GR56" s="929">
        <f t="shared" si="122"/>
        <v>1.469910710920483</v>
      </c>
      <c r="GS56" s="929">
        <f t="shared" si="122"/>
        <v>-0.86129095523262567</v>
      </c>
      <c r="GT56" s="929">
        <f t="shared" si="122"/>
        <v>2.1386895878991039</v>
      </c>
      <c r="GU56" s="929">
        <f t="shared" si="122"/>
        <v>-0.1455959186841993</v>
      </c>
      <c r="GV56" s="929">
        <f t="shared" si="122"/>
        <v>-0.12918337617909326</v>
      </c>
      <c r="GW56" s="929">
        <f t="shared" si="92"/>
        <v>-0.89380584540414265</v>
      </c>
      <c r="GX56" s="929">
        <f t="shared" si="92"/>
        <v>0.90657583333333358</v>
      </c>
      <c r="GY56" s="929">
        <f t="shared" si="9"/>
        <v>-0.79753279120627441</v>
      </c>
      <c r="HA56" s="102">
        <f t="shared" si="123"/>
        <v>3.5139508199999998</v>
      </c>
      <c r="HB56" s="102">
        <f t="shared" si="123"/>
        <v>-20.760947119999997</v>
      </c>
      <c r="HC56" s="102">
        <f t="shared" si="123"/>
        <v>30.046047379999997</v>
      </c>
      <c r="HD56" s="102">
        <f t="shared" si="99"/>
        <v>-10.34880008</v>
      </c>
      <c r="HE56" s="102">
        <f t="shared" si="93"/>
        <v>2.2112599999999976</v>
      </c>
      <c r="HF56" s="102">
        <f t="shared" si="93"/>
        <v>1.6763340000000007</v>
      </c>
      <c r="HG56" s="102">
        <f t="shared" si="93"/>
        <v>10.100057000000001</v>
      </c>
      <c r="HH56" s="102">
        <f t="shared" si="93"/>
        <v>-1.0878910000000002</v>
      </c>
      <c r="HI56" s="102">
        <f t="shared" si="11"/>
        <v>9.0121660000000006</v>
      </c>
      <c r="HK56" s="32">
        <f t="shared" si="124"/>
        <v>-4.7987396434612646E-4</v>
      </c>
      <c r="HL56" s="32">
        <f t="shared" si="124"/>
        <v>-3.5863082683331614E-4</v>
      </c>
      <c r="HM56" s="32">
        <f t="shared" si="124"/>
        <v>-2.0699784594103237E-3</v>
      </c>
      <c r="HN56" s="32">
        <f t="shared" si="124"/>
        <v>-7.8654581297875131E-4</v>
      </c>
      <c r="HO56" s="32">
        <f t="shared" si="124"/>
        <v>-1.1143779590576032E-3</v>
      </c>
      <c r="HP56" s="32">
        <f t="shared" si="124"/>
        <v>-9.1702483748790098E-4</v>
      </c>
      <c r="HQ56" s="32">
        <f t="shared" si="124"/>
        <v>-5.3228461961516815E-4</v>
      </c>
      <c r="HR56" s="32">
        <f t="shared" si="124"/>
        <v>-7.6276211620924925E-5</v>
      </c>
      <c r="HS56" s="32">
        <f t="shared" si="124"/>
        <v>-1.8129250747699632E-4</v>
      </c>
      <c r="HU56" s="102">
        <f t="shared" si="158"/>
        <v>0</v>
      </c>
      <c r="HV56" s="102">
        <f t="shared" si="158"/>
        <v>0</v>
      </c>
      <c r="HW56" s="102">
        <f t="shared" si="158"/>
        <v>-11.706318</v>
      </c>
      <c r="HX56" s="102">
        <f t="shared" si="158"/>
        <v>-21.151024060000001</v>
      </c>
      <c r="HY56" s="102">
        <f t="shared" si="158"/>
        <v>-2.8157139199999999</v>
      </c>
      <c r="HZ56" s="102">
        <f t="shared" si="158"/>
        <v>-10.255851999999999</v>
      </c>
      <c r="IA56" s="102">
        <f t="shared" si="126"/>
        <v>-0.126745</v>
      </c>
      <c r="IB56" s="102">
        <f t="shared" si="127"/>
        <v>-1.8414970000000004</v>
      </c>
      <c r="IC56" s="102">
        <f t="shared" si="128"/>
        <v>-2.2878910000000001</v>
      </c>
      <c r="ID56" s="102">
        <f t="shared" si="18"/>
        <v>-0.60000000000000009</v>
      </c>
      <c r="IE56" s="102">
        <f t="shared" si="129"/>
        <v>-2.2878910000000001</v>
      </c>
      <c r="IF56" s="922">
        <f t="shared" si="20"/>
        <v>0.24240821462103912</v>
      </c>
      <c r="IG56" s="102">
        <f t="shared" si="151"/>
        <v>-2.2878910000000001</v>
      </c>
      <c r="IH56" s="102">
        <f t="shared" si="151"/>
        <v>-0.60000000000000009</v>
      </c>
      <c r="II56" s="145"/>
      <c r="IJ56" s="929">
        <f t="shared" si="130"/>
        <v>3.8131516666666663</v>
      </c>
      <c r="IK56" s="930">
        <f t="shared" si="131"/>
        <v>-1.687891</v>
      </c>
      <c r="IM56" s="32">
        <f t="shared" si="132"/>
        <v>-3.5184334794603723E-4</v>
      </c>
      <c r="IN56" s="929">
        <f t="shared" si="133"/>
        <v>-8.4974560316132579E-5</v>
      </c>
      <c r="IP56" s="929" t="str">
        <f t="shared" si="152"/>
        <v/>
      </c>
      <c r="IQ56" s="929">
        <f t="shared" si="152"/>
        <v>0.80680415994166577</v>
      </c>
      <c r="IR56" s="929">
        <f t="shared" si="152"/>
        <v>-0.86687576393405141</v>
      </c>
      <c r="IS56" s="929">
        <f t="shared" si="152"/>
        <v>2.6423629286884371</v>
      </c>
      <c r="IT56" s="929">
        <f t="shared" si="152"/>
        <v>-0.98764168983717782</v>
      </c>
      <c r="IU56" s="929">
        <f t="shared" si="152"/>
        <v>13.529149078859129</v>
      </c>
      <c r="IV56" s="929">
        <f t="shared" si="153"/>
        <v>0.24240821462103912</v>
      </c>
      <c r="IX56" s="102">
        <f t="shared" si="135"/>
        <v>-11.706318</v>
      </c>
      <c r="IY56" s="102">
        <f t="shared" si="135"/>
        <v>-9.4447060600000015</v>
      </c>
      <c r="IZ56" s="102">
        <f t="shared" si="135"/>
        <v>18.335310140000001</v>
      </c>
      <c r="JA56" s="102">
        <f t="shared" si="135"/>
        <v>-7.4401380799999988</v>
      </c>
      <c r="JB56" s="102">
        <f t="shared" si="135"/>
        <v>10.129106999999999</v>
      </c>
      <c r="JC56" s="102">
        <f t="shared" si="135"/>
        <v>-1.7147520000000003</v>
      </c>
      <c r="JD56" s="102">
        <f t="shared" si="136"/>
        <v>-0.44639399999999974</v>
      </c>
      <c r="JF56" s="32">
        <f t="shared" si="137"/>
        <v>0</v>
      </c>
      <c r="JG56" s="32">
        <f t="shared" si="137"/>
        <v>0</v>
      </c>
      <c r="JH56" s="32">
        <f t="shared" si="137"/>
        <v>-7.2015521744648692E-4</v>
      </c>
      <c r="JI56" s="32">
        <f t="shared" si="137"/>
        <v>-2.2611564138591087E-3</v>
      </c>
      <c r="JJ56" s="32">
        <f t="shared" si="137"/>
        <v>-1.4032088011263068E-3</v>
      </c>
      <c r="JK56" s="32">
        <f t="shared" si="137"/>
        <v>-1.4775087028751016E-3</v>
      </c>
      <c r="JL56" s="32">
        <f t="shared" si="137"/>
        <v>-2.3961826083622219E-5</v>
      </c>
      <c r="JM56" s="32">
        <f t="shared" si="138"/>
        <v>-3.3553249294516476E-4</v>
      </c>
      <c r="JO56" s="102">
        <f t="shared" si="159"/>
        <v>0</v>
      </c>
      <c r="JP56" s="102">
        <f t="shared" si="159"/>
        <v>0</v>
      </c>
      <c r="JQ56" s="102">
        <f t="shared" si="159"/>
        <v>-0.76390000000000002</v>
      </c>
      <c r="JR56" s="102">
        <f t="shared" si="159"/>
        <v>-1.7363999999999999</v>
      </c>
      <c r="JS56" s="102">
        <f t="shared" si="159"/>
        <v>0</v>
      </c>
      <c r="JT56" s="102">
        <f t="shared" si="140"/>
        <v>0</v>
      </c>
      <c r="JU56" s="102">
        <f t="shared" si="141"/>
        <v>0</v>
      </c>
      <c r="JV56" s="102">
        <f t="shared" si="141"/>
        <v>-4.2016999999999999E-2</v>
      </c>
      <c r="JW56" s="102">
        <f t="shared" si="142"/>
        <v>0</v>
      </c>
      <c r="JX56" s="102">
        <f t="shared" si="143"/>
        <v>0</v>
      </c>
      <c r="JY56" s="102">
        <f t="shared" si="144"/>
        <v>0</v>
      </c>
      <c r="KB56" s="32" t="str">
        <f t="shared" si="145"/>
        <v xml:space="preserve"> </v>
      </c>
      <c r="KC56" s="32">
        <f t="shared" si="145"/>
        <v>1.2730723916743028</v>
      </c>
      <c r="KD56" s="32">
        <f t="shared" si="145"/>
        <v>-1</v>
      </c>
      <c r="KE56" s="32" t="str">
        <f t="shared" si="145"/>
        <v xml:space="preserve"> </v>
      </c>
      <c r="KF56" s="32" t="str">
        <f t="shared" si="145"/>
        <v xml:space="preserve"> </v>
      </c>
      <c r="KG56" s="32" t="str">
        <f t="shared" si="145"/>
        <v xml:space="preserve"> </v>
      </c>
      <c r="KH56" s="32">
        <f t="shared" si="146"/>
        <v>-1</v>
      </c>
      <c r="KJ56" s="102">
        <f t="shared" si="147"/>
        <v>-0.76390000000000002</v>
      </c>
      <c r="KK56" s="102">
        <f t="shared" si="147"/>
        <v>-0.97249999999999992</v>
      </c>
      <c r="KL56" s="102">
        <f t="shared" si="147"/>
        <v>1.7363999999999999</v>
      </c>
      <c r="KM56" s="102">
        <f t="shared" si="147"/>
        <v>0</v>
      </c>
      <c r="KN56" s="102">
        <f t="shared" si="147"/>
        <v>0</v>
      </c>
      <c r="KO56" s="102">
        <f t="shared" si="147"/>
        <v>-4.2016999999999999E-2</v>
      </c>
      <c r="KP56" s="102">
        <f t="shared" si="148"/>
        <v>4.2016999999999999E-2</v>
      </c>
      <c r="KR56" s="32">
        <f t="shared" si="149"/>
        <v>0</v>
      </c>
      <c r="KS56" s="32">
        <f t="shared" si="149"/>
        <v>0</v>
      </c>
      <c r="KT56" s="32">
        <f t="shared" si="149"/>
        <v>-3.0447206000163395E-4</v>
      </c>
      <c r="KU56" s="32">
        <f t="shared" si="149"/>
        <v>-1.9408338127965765E-3</v>
      </c>
      <c r="KV56" s="32">
        <f t="shared" si="149"/>
        <v>0</v>
      </c>
      <c r="KW56" s="32">
        <f t="shared" si="149"/>
        <v>0</v>
      </c>
      <c r="KX56" s="32">
        <f t="shared" si="149"/>
        <v>0</v>
      </c>
      <c r="KY56" s="32">
        <f t="shared" si="149"/>
        <v>-2.7460029907242523E-5</v>
      </c>
      <c r="KZ56" s="32">
        <f>+JY56/JY$11</f>
        <v>0</v>
      </c>
    </row>
    <row r="57" spans="1:312" outlineLevel="2">
      <c r="A57" s="884">
        <v>5199</v>
      </c>
      <c r="B57" s="70"/>
      <c r="C57" s="29" t="s">
        <v>93</v>
      </c>
      <c r="D57" s="31" t="s">
        <v>59</v>
      </c>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v>0</v>
      </c>
      <c r="AP57" s="145">
        <v>0</v>
      </c>
      <c r="AQ57" s="143">
        <v>0</v>
      </c>
      <c r="AR57" s="220">
        <v>0</v>
      </c>
      <c r="AS57" s="102">
        <v>0</v>
      </c>
      <c r="AT57" s="102">
        <v>0</v>
      </c>
      <c r="AU57" s="102">
        <v>0</v>
      </c>
      <c r="AV57" s="102">
        <v>0</v>
      </c>
      <c r="AW57" s="102">
        <v>-87.301801180000012</v>
      </c>
      <c r="AX57" s="102">
        <v>-28.670762549999999</v>
      </c>
      <c r="AY57" s="102">
        <v>-1.6835231500000001</v>
      </c>
      <c r="AZ57" s="102">
        <f>(1015376684/1000000)*-1</f>
        <v>-1015.376684</v>
      </c>
      <c r="BA57" s="102">
        <v>0</v>
      </c>
      <c r="BB57" s="102">
        <v>0</v>
      </c>
      <c r="BC57" s="102">
        <v>0</v>
      </c>
      <c r="BD57" s="102">
        <v>0</v>
      </c>
      <c r="BE57" s="102">
        <v>0</v>
      </c>
      <c r="BF57" s="102">
        <v>0</v>
      </c>
      <c r="BG57" s="102">
        <v>0</v>
      </c>
      <c r="BH57" s="102">
        <v>0</v>
      </c>
      <c r="BI57" s="102">
        <v>0</v>
      </c>
      <c r="BJ57" s="102">
        <v>0</v>
      </c>
      <c r="BK57" s="102">
        <v>0</v>
      </c>
      <c r="BL57" s="102">
        <v>-152</v>
      </c>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45"/>
      <c r="DJ57" s="102">
        <v>0</v>
      </c>
      <c r="DK57" s="102">
        <v>0</v>
      </c>
      <c r="DL57" s="102">
        <v>0</v>
      </c>
      <c r="DM57" s="102">
        <v>0</v>
      </c>
      <c r="DN57" s="102">
        <v>0</v>
      </c>
      <c r="DO57" s="102">
        <v>0</v>
      </c>
      <c r="DP57" s="102">
        <v>0</v>
      </c>
      <c r="DQ57" s="102">
        <v>0</v>
      </c>
      <c r="DR57" s="102">
        <v>0</v>
      </c>
      <c r="DS57" s="102">
        <v>0</v>
      </c>
      <c r="DT57" s="102">
        <v>0</v>
      </c>
      <c r="DU57" s="102">
        <v>0</v>
      </c>
      <c r="DW57" s="102">
        <v>-0.8</v>
      </c>
      <c r="DX57" s="102">
        <v>-10.8</v>
      </c>
      <c r="DY57" s="102">
        <v>-9.8000000000000007</v>
      </c>
      <c r="DZ57" s="102">
        <v>-12.8</v>
      </c>
      <c r="EA57" s="102">
        <v>-1.8</v>
      </c>
      <c r="EB57" s="102">
        <v>-6.8</v>
      </c>
      <c r="EC57" s="102">
        <v>-6.8</v>
      </c>
      <c r="ED57" s="102">
        <v>-1.8</v>
      </c>
      <c r="EE57" s="102">
        <v>-4.8</v>
      </c>
      <c r="EF57" s="102">
        <v>-2.8</v>
      </c>
      <c r="EG57" s="102">
        <v>-0.8</v>
      </c>
      <c r="EH57" s="102">
        <v>-0.8</v>
      </c>
      <c r="EI57" s="102">
        <v>-7.9533902236945684</v>
      </c>
      <c r="EJ57" s="102">
        <v>-6.863219947731019</v>
      </c>
      <c r="EK57" s="102">
        <v>-6.255504428661923</v>
      </c>
      <c r="EL57" s="102">
        <v>-6.4910781696206534</v>
      </c>
      <c r="EM57" s="102">
        <v>-6.4549870032261438</v>
      </c>
      <c r="EN57" s="102">
        <v>-7.2556382421396508</v>
      </c>
      <c r="EO57" s="102">
        <v>-7.9890168630523339</v>
      </c>
      <c r="EP57" s="102">
        <v>-8.5672104907254223</v>
      </c>
      <c r="EQ57" s="102">
        <v>-9.7624085254824138</v>
      </c>
      <c r="ER57" s="102">
        <v>-10.955871346779711</v>
      </c>
      <c r="ES57" s="102">
        <v>-11.044085242603474</v>
      </c>
      <c r="ET57" s="102">
        <v>-10.322033850603606</v>
      </c>
      <c r="EU57" s="102"/>
      <c r="EV57" s="102"/>
      <c r="EW57" s="102"/>
      <c r="EX57" s="102"/>
      <c r="EY57" s="102"/>
      <c r="EZ57" s="102"/>
      <c r="FA57" s="102"/>
      <c r="FB57" s="102"/>
      <c r="FC57" s="102"/>
      <c r="FD57" s="102"/>
      <c r="FE57" s="102"/>
      <c r="FF57" s="102"/>
      <c r="FG57" s="102">
        <v>0</v>
      </c>
      <c r="FH57" s="102">
        <v>0</v>
      </c>
      <c r="FI57" s="102">
        <v>0</v>
      </c>
      <c r="FJ57" s="102">
        <v>0</v>
      </c>
      <c r="FK57" s="102">
        <v>0</v>
      </c>
      <c r="FL57" s="102">
        <v>0</v>
      </c>
      <c r="FM57" s="102">
        <v>0</v>
      </c>
      <c r="FN57" s="102">
        <v>0</v>
      </c>
      <c r="FO57" s="102">
        <v>0</v>
      </c>
      <c r="FP57" s="102">
        <v>0</v>
      </c>
      <c r="FQ57" s="102">
        <v>0</v>
      </c>
      <c r="FR57" s="102">
        <v>0</v>
      </c>
      <c r="FS57" s="102">
        <v>0</v>
      </c>
      <c r="FT57" s="102">
        <v>0</v>
      </c>
      <c r="FU57" s="102">
        <v>0</v>
      </c>
      <c r="FV57" s="102">
        <v>0</v>
      </c>
      <c r="FW57" s="102">
        <v>0</v>
      </c>
      <c r="FX57" s="102">
        <v>0</v>
      </c>
      <c r="FY57" s="102">
        <v>0</v>
      </c>
      <c r="FZ57" s="102">
        <v>0</v>
      </c>
      <c r="GA57" s="102">
        <v>0</v>
      </c>
      <c r="GB57" s="102">
        <v>0</v>
      </c>
      <c r="GC57" s="102">
        <v>0</v>
      </c>
      <c r="GD57" s="102">
        <v>0</v>
      </c>
      <c r="GF57" s="102">
        <f t="shared" si="120"/>
        <v>0</v>
      </c>
      <c r="GG57" s="102">
        <f t="shared" si="120"/>
        <v>0</v>
      </c>
      <c r="GH57" s="102">
        <f t="shared" si="120"/>
        <v>0</v>
      </c>
      <c r="GI57" s="102">
        <f t="shared" si="120"/>
        <v>-1133.03277088</v>
      </c>
      <c r="GJ57" s="102">
        <f t="shared" si="150"/>
        <v>-152</v>
      </c>
      <c r="GK57" s="102">
        <f t="shared" si="37"/>
        <v>0</v>
      </c>
      <c r="GL57" s="102">
        <f t="shared" si="38"/>
        <v>0</v>
      </c>
      <c r="GM57" s="102">
        <f t="shared" si="121"/>
        <v>0</v>
      </c>
      <c r="GN57" s="102">
        <f t="shared" si="7"/>
        <v>0</v>
      </c>
      <c r="GO57" s="102">
        <v>0</v>
      </c>
      <c r="GQ57" s="929" t="str">
        <f t="shared" si="122"/>
        <v/>
      </c>
      <c r="GR57" s="929" t="str">
        <f t="shared" si="122"/>
        <v/>
      </c>
      <c r="GS57" s="929">
        <f t="shared" si="122"/>
        <v>-0.86584677521556141</v>
      </c>
      <c r="GT57" s="929">
        <f t="shared" si="122"/>
        <v>-1</v>
      </c>
      <c r="GU57" s="929" t="str">
        <f t="shared" si="122"/>
        <v/>
      </c>
      <c r="GV57" s="929" t="str">
        <f t="shared" si="122"/>
        <v/>
      </c>
      <c r="GW57" s="929" t="str">
        <f t="shared" si="92"/>
        <v/>
      </c>
      <c r="GX57" s="929" t="str">
        <f t="shared" si="92"/>
        <v/>
      </c>
      <c r="GY57" s="929" t="str">
        <f t="shared" si="9"/>
        <v/>
      </c>
      <c r="HA57" s="102">
        <f t="shared" si="123"/>
        <v>0</v>
      </c>
      <c r="HB57" s="102">
        <f t="shared" si="123"/>
        <v>-1133.03277088</v>
      </c>
      <c r="HC57" s="102">
        <f t="shared" si="123"/>
        <v>981.03277088000004</v>
      </c>
      <c r="HD57" s="102">
        <f t="shared" si="99"/>
        <v>152</v>
      </c>
      <c r="HE57" s="102">
        <f t="shared" si="93"/>
        <v>0</v>
      </c>
      <c r="HF57" s="102">
        <f t="shared" si="93"/>
        <v>0</v>
      </c>
      <c r="HG57" s="102">
        <f t="shared" si="93"/>
        <v>0</v>
      </c>
      <c r="HH57" s="102">
        <f t="shared" si="93"/>
        <v>0</v>
      </c>
      <c r="HI57" s="102">
        <f t="shared" si="11"/>
        <v>0</v>
      </c>
      <c r="HK57" s="32">
        <f t="shared" si="124"/>
        <v>0</v>
      </c>
      <c r="HL57" s="32">
        <f t="shared" si="124"/>
        <v>0</v>
      </c>
      <c r="HM57" s="32">
        <f t="shared" si="124"/>
        <v>-6.7231195841771813E-2</v>
      </c>
      <c r="HN57" s="32">
        <f t="shared" si="124"/>
        <v>-2.4707304595523727E-2</v>
      </c>
      <c r="HO57" s="32">
        <f t="shared" si="124"/>
        <v>0</v>
      </c>
      <c r="HP57" s="32">
        <f t="shared" si="124"/>
        <v>0</v>
      </c>
      <c r="HQ57" s="32">
        <f t="shared" si="124"/>
        <v>0</v>
      </c>
      <c r="HR57" s="32">
        <f t="shared" si="124"/>
        <v>0</v>
      </c>
      <c r="HS57" s="32">
        <f t="shared" si="124"/>
        <v>0</v>
      </c>
      <c r="HU57" s="102">
        <f t="shared" si="158"/>
        <v>0</v>
      </c>
      <c r="HV57" s="102">
        <f t="shared" si="158"/>
        <v>0</v>
      </c>
      <c r="HW57" s="102">
        <f t="shared" si="158"/>
        <v>0</v>
      </c>
      <c r="HX57" s="102">
        <f t="shared" si="158"/>
        <v>0</v>
      </c>
      <c r="HY57" s="102">
        <f t="shared" si="158"/>
        <v>0</v>
      </c>
      <c r="HZ57" s="102">
        <f t="shared" si="158"/>
        <v>0</v>
      </c>
      <c r="IA57" s="102">
        <f t="shared" si="126"/>
        <v>0</v>
      </c>
      <c r="IB57" s="102">
        <f t="shared" si="127"/>
        <v>0</v>
      </c>
      <c r="IC57" s="102">
        <f t="shared" si="128"/>
        <v>0</v>
      </c>
      <c r="ID57" s="102">
        <f t="shared" si="18"/>
        <v>0</v>
      </c>
      <c r="IE57" s="102">
        <f t="shared" si="129"/>
        <v>0</v>
      </c>
      <c r="IF57" s="922" t="str">
        <f t="shared" si="20"/>
        <v/>
      </c>
      <c r="IG57" s="102">
        <f t="shared" si="151"/>
        <v>0</v>
      </c>
      <c r="IH57" s="102">
        <f t="shared" si="151"/>
        <v>0</v>
      </c>
      <c r="II57" s="145"/>
      <c r="IJ57" s="929" t="str">
        <f t="shared" si="130"/>
        <v/>
      </c>
      <c r="IK57" s="930">
        <f t="shared" si="131"/>
        <v>0</v>
      </c>
      <c r="IM57" s="32">
        <f t="shared" si="132"/>
        <v>0</v>
      </c>
      <c r="IN57" s="929">
        <f t="shared" si="133"/>
        <v>0</v>
      </c>
      <c r="IP57" s="929" t="str">
        <f t="shared" si="152"/>
        <v/>
      </c>
      <c r="IQ57" s="929" t="str">
        <f t="shared" si="152"/>
        <v/>
      </c>
      <c r="IR57" s="929" t="str">
        <f t="shared" si="152"/>
        <v/>
      </c>
      <c r="IS57" s="929" t="str">
        <f t="shared" si="152"/>
        <v/>
      </c>
      <c r="IT57" s="929" t="str">
        <f t="shared" si="152"/>
        <v/>
      </c>
      <c r="IU57" s="929" t="str">
        <f t="shared" si="152"/>
        <v/>
      </c>
      <c r="IV57" s="929" t="str">
        <f t="shared" si="153"/>
        <v/>
      </c>
      <c r="IX57" s="102">
        <f t="shared" si="135"/>
        <v>0</v>
      </c>
      <c r="IY57" s="102">
        <f t="shared" si="135"/>
        <v>0</v>
      </c>
      <c r="IZ57" s="102">
        <f t="shared" si="135"/>
        <v>0</v>
      </c>
      <c r="JA57" s="102">
        <f t="shared" si="135"/>
        <v>0</v>
      </c>
      <c r="JB57" s="102">
        <f t="shared" si="135"/>
        <v>0</v>
      </c>
      <c r="JC57" s="102">
        <f t="shared" si="135"/>
        <v>0</v>
      </c>
      <c r="JD57" s="102">
        <f t="shared" si="136"/>
        <v>0</v>
      </c>
      <c r="JF57" s="32">
        <f t="shared" si="137"/>
        <v>0</v>
      </c>
      <c r="JG57" s="32">
        <f t="shared" si="137"/>
        <v>0</v>
      </c>
      <c r="JH57" s="32">
        <f t="shared" si="137"/>
        <v>0</v>
      </c>
      <c r="JI57" s="32">
        <f t="shared" si="137"/>
        <v>0</v>
      </c>
      <c r="JJ57" s="32">
        <f t="shared" si="137"/>
        <v>0</v>
      </c>
      <c r="JK57" s="32">
        <f t="shared" si="137"/>
        <v>0</v>
      </c>
      <c r="JL57" s="32">
        <f t="shared" si="137"/>
        <v>0</v>
      </c>
      <c r="JM57" s="32">
        <f t="shared" si="138"/>
        <v>0</v>
      </c>
      <c r="JO57" s="102">
        <f t="shared" si="159"/>
        <v>0</v>
      </c>
      <c r="JP57" s="102">
        <f t="shared" si="159"/>
        <v>0</v>
      </c>
      <c r="JQ57" s="102">
        <f t="shared" si="159"/>
        <v>0</v>
      </c>
      <c r="JR57" s="102">
        <f t="shared" si="159"/>
        <v>0</v>
      </c>
      <c r="JS57" s="102">
        <f t="shared" si="159"/>
        <v>0</v>
      </c>
      <c r="JT57" s="102">
        <f t="shared" si="140"/>
        <v>0</v>
      </c>
      <c r="JU57" s="102">
        <f t="shared" si="141"/>
        <v>0</v>
      </c>
      <c r="JV57" s="102">
        <f t="shared" si="141"/>
        <v>0</v>
      </c>
      <c r="JW57" s="102">
        <f t="shared" si="142"/>
        <v>0</v>
      </c>
      <c r="JX57" s="102">
        <f t="shared" si="143"/>
        <v>0</v>
      </c>
      <c r="JY57" s="102">
        <f t="shared" si="144"/>
        <v>0</v>
      </c>
      <c r="KB57" s="32" t="str">
        <f t="shared" si="145"/>
        <v xml:space="preserve"> </v>
      </c>
      <c r="KC57" s="32" t="str">
        <f t="shared" si="145"/>
        <v xml:space="preserve"> </v>
      </c>
      <c r="KD57" s="32" t="str">
        <f t="shared" si="145"/>
        <v xml:space="preserve"> </v>
      </c>
      <c r="KE57" s="32" t="str">
        <f t="shared" si="145"/>
        <v xml:space="preserve"> </v>
      </c>
      <c r="KF57" s="32" t="str">
        <f t="shared" si="145"/>
        <v xml:space="preserve"> </v>
      </c>
      <c r="KG57" s="32" t="str">
        <f t="shared" si="145"/>
        <v xml:space="preserve"> </v>
      </c>
      <c r="KH57" s="32" t="str">
        <f t="shared" si="146"/>
        <v xml:space="preserve"> </v>
      </c>
      <c r="KJ57" s="102">
        <f t="shared" si="147"/>
        <v>0</v>
      </c>
      <c r="KK57" s="102">
        <f t="shared" si="147"/>
        <v>0</v>
      </c>
      <c r="KL57" s="102">
        <f t="shared" si="147"/>
        <v>0</v>
      </c>
      <c r="KM57" s="102">
        <f t="shared" si="147"/>
        <v>0</v>
      </c>
      <c r="KN57" s="102">
        <f t="shared" si="147"/>
        <v>0</v>
      </c>
      <c r="KO57" s="102">
        <f t="shared" si="147"/>
        <v>0</v>
      </c>
      <c r="KP57" s="102">
        <f t="shared" si="148"/>
        <v>0</v>
      </c>
      <c r="KR57" s="32">
        <f t="shared" si="149"/>
        <v>0</v>
      </c>
      <c r="KS57" s="32">
        <f t="shared" si="149"/>
        <v>0</v>
      </c>
      <c r="KT57" s="32">
        <f t="shared" si="149"/>
        <v>0</v>
      </c>
      <c r="KU57" s="32">
        <f t="shared" si="149"/>
        <v>0</v>
      </c>
      <c r="KV57" s="32">
        <f t="shared" si="149"/>
        <v>0</v>
      </c>
      <c r="KW57" s="32">
        <f t="shared" si="149"/>
        <v>0</v>
      </c>
      <c r="KX57" s="32">
        <f t="shared" si="149"/>
        <v>0</v>
      </c>
      <c r="KY57" s="32">
        <f t="shared" si="149"/>
        <v>0</v>
      </c>
      <c r="KZ57" s="32">
        <f>+JY57/JY$11</f>
        <v>0</v>
      </c>
    </row>
    <row r="58" spans="1:312" outlineLevel="2">
      <c r="A58" s="884">
        <v>5240</v>
      </c>
      <c r="B58" s="70" t="s">
        <v>641</v>
      </c>
      <c r="C58" s="399" t="s">
        <v>84</v>
      </c>
      <c r="D58" s="307" t="s">
        <v>59</v>
      </c>
      <c r="E58" s="931">
        <v>0</v>
      </c>
      <c r="F58" s="931">
        <v>0</v>
      </c>
      <c r="G58" s="931">
        <v>0</v>
      </c>
      <c r="H58" s="931">
        <v>0</v>
      </c>
      <c r="I58" s="931">
        <v>0</v>
      </c>
      <c r="J58" s="931">
        <v>0</v>
      </c>
      <c r="K58" s="931">
        <v>0</v>
      </c>
      <c r="L58" s="931">
        <v>0</v>
      </c>
      <c r="M58" s="931">
        <v>0</v>
      </c>
      <c r="N58" s="931">
        <v>0</v>
      </c>
      <c r="O58" s="931">
        <v>-31.394378</v>
      </c>
      <c r="P58" s="931">
        <v>4.8453039999999987</v>
      </c>
      <c r="Q58" s="931">
        <v>0</v>
      </c>
      <c r="R58" s="931">
        <v>0</v>
      </c>
      <c r="S58" s="931">
        <v>0</v>
      </c>
      <c r="T58" s="931">
        <v>0</v>
      </c>
      <c r="U58" s="931">
        <v>0</v>
      </c>
      <c r="V58" s="931">
        <v>0</v>
      </c>
      <c r="W58" s="931">
        <v>0</v>
      </c>
      <c r="X58" s="931">
        <v>0</v>
      </c>
      <c r="Y58" s="931">
        <v>0</v>
      </c>
      <c r="Z58" s="931">
        <v>0</v>
      </c>
      <c r="AA58" s="931">
        <v>0</v>
      </c>
      <c r="AB58" s="931">
        <v>-26.025024420000001</v>
      </c>
      <c r="AC58" s="931">
        <v>0</v>
      </c>
      <c r="AD58" s="931">
        <v>0</v>
      </c>
      <c r="AE58" s="931">
        <v>0</v>
      </c>
      <c r="AF58" s="931">
        <v>0</v>
      </c>
      <c r="AG58" s="931">
        <v>0</v>
      </c>
      <c r="AH58" s="931">
        <v>0</v>
      </c>
      <c r="AI58" s="931">
        <v>0</v>
      </c>
      <c r="AJ58" s="931">
        <v>-22.181892019999999</v>
      </c>
      <c r="AK58" s="931">
        <v>0</v>
      </c>
      <c r="AL58" s="931">
        <v>-3.8012800000000002</v>
      </c>
      <c r="AM58" s="931">
        <v>-4.2783092800000002</v>
      </c>
      <c r="AN58" s="931">
        <v>18.447227299999998</v>
      </c>
      <c r="AO58" s="931">
        <v>0</v>
      </c>
      <c r="AP58" s="932">
        <v>0</v>
      </c>
      <c r="AQ58" s="936">
        <v>0</v>
      </c>
      <c r="AR58" s="951">
        <v>0</v>
      </c>
      <c r="AS58" s="931">
        <v>-0.124</v>
      </c>
      <c r="AT58" s="931">
        <v>-0.60760000000000003</v>
      </c>
      <c r="AU58" s="931">
        <v>0</v>
      </c>
      <c r="AV58" s="931">
        <v>0</v>
      </c>
      <c r="AW58" s="931">
        <v>0</v>
      </c>
      <c r="AX58" s="931">
        <v>0</v>
      </c>
      <c r="AY58" s="931">
        <v>0</v>
      </c>
      <c r="AZ58" s="931">
        <v>0</v>
      </c>
      <c r="BA58" s="931">
        <v>0</v>
      </c>
      <c r="BB58" s="931">
        <v>0</v>
      </c>
      <c r="BC58" s="931">
        <v>0</v>
      </c>
      <c r="BD58" s="931">
        <v>0</v>
      </c>
      <c r="BE58" s="931">
        <v>0</v>
      </c>
      <c r="BF58" s="931">
        <v>0</v>
      </c>
      <c r="BG58" s="931">
        <v>0</v>
      </c>
      <c r="BH58" s="931">
        <v>0</v>
      </c>
      <c r="BI58" s="931">
        <v>0</v>
      </c>
      <c r="BJ58" s="931">
        <v>0</v>
      </c>
      <c r="BK58" s="931">
        <v>0</v>
      </c>
      <c r="BL58" s="931">
        <v>0</v>
      </c>
      <c r="BM58" s="102">
        <v>0</v>
      </c>
      <c r="BN58" s="931">
        <v>0</v>
      </c>
      <c r="BO58" s="931"/>
      <c r="BP58" s="931"/>
      <c r="BQ58" s="931"/>
      <c r="BR58" s="931"/>
      <c r="BS58" s="931"/>
      <c r="BT58" s="931">
        <v>0</v>
      </c>
      <c r="BU58" s="931">
        <v>0</v>
      </c>
      <c r="BV58" s="931">
        <v>0</v>
      </c>
      <c r="BW58" s="931">
        <v>0</v>
      </c>
      <c r="BX58" s="931">
        <v>0</v>
      </c>
      <c r="BY58" s="931">
        <v>0</v>
      </c>
      <c r="BZ58" s="931">
        <v>0</v>
      </c>
      <c r="CA58" s="931">
        <v>0</v>
      </c>
      <c r="CB58" s="931">
        <v>0</v>
      </c>
      <c r="CC58" s="931">
        <v>0</v>
      </c>
      <c r="CD58" s="931">
        <v>0</v>
      </c>
      <c r="CE58" s="931">
        <v>0</v>
      </c>
      <c r="CF58" s="931">
        <v>0</v>
      </c>
      <c r="CG58" s="931">
        <v>0</v>
      </c>
      <c r="CH58" s="931">
        <v>0</v>
      </c>
      <c r="CI58" s="931">
        <v>0</v>
      </c>
      <c r="CJ58" s="931">
        <v>0</v>
      </c>
      <c r="CK58" s="931">
        <v>0</v>
      </c>
      <c r="CL58" s="931">
        <v>0</v>
      </c>
      <c r="CM58" s="931">
        <v>0</v>
      </c>
      <c r="CN58" s="931">
        <v>0</v>
      </c>
      <c r="CO58" s="931">
        <v>0</v>
      </c>
      <c r="CP58" s="931">
        <v>0</v>
      </c>
      <c r="CQ58" s="931">
        <v>0</v>
      </c>
      <c r="CR58" s="931">
        <v>0</v>
      </c>
      <c r="CS58" s="931">
        <v>0</v>
      </c>
      <c r="CT58" s="931">
        <v>0</v>
      </c>
      <c r="CU58" s="931">
        <v>0</v>
      </c>
      <c r="CV58" s="931">
        <v>0</v>
      </c>
      <c r="CW58" s="931">
        <v>0</v>
      </c>
      <c r="CX58" s="931">
        <v>0</v>
      </c>
      <c r="CY58" s="931">
        <v>0</v>
      </c>
      <c r="CZ58" s="931">
        <v>0</v>
      </c>
      <c r="DA58" s="931">
        <v>0</v>
      </c>
      <c r="DB58" s="931">
        <v>0</v>
      </c>
      <c r="DC58" s="931">
        <v>0</v>
      </c>
      <c r="DD58" s="931">
        <v>0</v>
      </c>
      <c r="DE58" s="931">
        <v>0</v>
      </c>
      <c r="DF58" s="931">
        <v>0</v>
      </c>
      <c r="DG58" s="931">
        <v>0</v>
      </c>
      <c r="DH58" s="931">
        <v>0</v>
      </c>
      <c r="DI58" s="145"/>
      <c r="DJ58" s="931">
        <v>0</v>
      </c>
      <c r="DK58" s="931">
        <v>0</v>
      </c>
      <c r="DL58" s="931">
        <v>0</v>
      </c>
      <c r="DM58" s="931">
        <v>0</v>
      </c>
      <c r="DN58" s="931">
        <v>0</v>
      </c>
      <c r="DO58" s="931">
        <v>0</v>
      </c>
      <c r="DP58" s="931">
        <v>0</v>
      </c>
      <c r="DQ58" s="931">
        <v>0</v>
      </c>
      <c r="DR58" s="931">
        <v>0</v>
      </c>
      <c r="DS58" s="931">
        <v>0</v>
      </c>
      <c r="DT58" s="931">
        <v>0</v>
      </c>
      <c r="DU58" s="931">
        <v>0</v>
      </c>
      <c r="DW58" s="931">
        <v>0</v>
      </c>
      <c r="DX58" s="931">
        <v>0</v>
      </c>
      <c r="DY58" s="931">
        <v>0</v>
      </c>
      <c r="DZ58" s="931">
        <v>0</v>
      </c>
      <c r="EA58" s="931">
        <v>0</v>
      </c>
      <c r="EB58" s="931">
        <v>0</v>
      </c>
      <c r="EC58" s="931">
        <v>0</v>
      </c>
      <c r="ED58" s="931">
        <v>0</v>
      </c>
      <c r="EE58" s="931">
        <v>0</v>
      </c>
      <c r="EF58" s="931">
        <v>0</v>
      </c>
      <c r="EG58" s="931">
        <v>0</v>
      </c>
      <c r="EH58" s="931">
        <v>0</v>
      </c>
      <c r="EI58" s="931"/>
      <c r="EJ58" s="931"/>
      <c r="EK58" s="931"/>
      <c r="EL58" s="931"/>
      <c r="EM58" s="931"/>
      <c r="EN58" s="931"/>
      <c r="EO58" s="931"/>
      <c r="EP58" s="931"/>
      <c r="EQ58" s="931"/>
      <c r="ER58" s="931"/>
      <c r="ES58" s="931"/>
      <c r="ET58" s="931"/>
      <c r="EU58" s="931" t="s">
        <v>647</v>
      </c>
      <c r="EV58" s="931">
        <f>+EV49/1000000</f>
        <v>-8.9999999999999999E-8</v>
      </c>
      <c r="EW58" s="931" t="s">
        <v>647</v>
      </c>
      <c r="EX58" s="931" t="s">
        <v>647</v>
      </c>
      <c r="EY58" s="931" t="s">
        <v>647</v>
      </c>
      <c r="EZ58" s="931" t="s">
        <v>647</v>
      </c>
      <c r="FA58" s="931" t="s">
        <v>647</v>
      </c>
      <c r="FB58" s="931" t="s">
        <v>647</v>
      </c>
      <c r="FC58" s="931" t="s">
        <v>647</v>
      </c>
      <c r="FD58" s="931" t="s">
        <v>647</v>
      </c>
      <c r="FE58" s="931" t="s">
        <v>647</v>
      </c>
      <c r="FF58" s="931" t="s">
        <v>647</v>
      </c>
      <c r="FG58" s="931">
        <v>0</v>
      </c>
      <c r="FH58" s="931">
        <v>0</v>
      </c>
      <c r="FI58" s="931">
        <v>0</v>
      </c>
      <c r="FJ58" s="931">
        <v>0</v>
      </c>
      <c r="FK58" s="931">
        <v>0</v>
      </c>
      <c r="FL58" s="931">
        <v>0</v>
      </c>
      <c r="FM58" s="931">
        <v>0</v>
      </c>
      <c r="FN58" s="931">
        <v>0</v>
      </c>
      <c r="FO58" s="931">
        <v>0</v>
      </c>
      <c r="FP58" s="931">
        <v>0</v>
      </c>
      <c r="FQ58" s="931">
        <v>0</v>
      </c>
      <c r="FR58" s="931">
        <v>0</v>
      </c>
      <c r="FS58" s="931">
        <v>0</v>
      </c>
      <c r="FT58" s="931">
        <v>0</v>
      </c>
      <c r="FU58" s="931">
        <v>0</v>
      </c>
      <c r="FV58" s="931">
        <v>0</v>
      </c>
      <c r="FW58" s="931">
        <v>0</v>
      </c>
      <c r="FX58" s="931">
        <v>0</v>
      </c>
      <c r="FY58" s="931">
        <v>0</v>
      </c>
      <c r="FZ58" s="931">
        <v>0</v>
      </c>
      <c r="GA58" s="931">
        <v>0</v>
      </c>
      <c r="GB58" s="931">
        <v>0</v>
      </c>
      <c r="GC58" s="931">
        <v>0</v>
      </c>
      <c r="GD58" s="931">
        <v>0</v>
      </c>
      <c r="GF58" s="931">
        <f t="shared" si="120"/>
        <v>-26.549074000000001</v>
      </c>
      <c r="GG58" s="931">
        <f t="shared" si="120"/>
        <v>-26.025024420000001</v>
      </c>
      <c r="GH58" s="931">
        <f t="shared" si="120"/>
        <v>-11.814254000000002</v>
      </c>
      <c r="GI58" s="931">
        <f t="shared" si="120"/>
        <v>-0.73160000000000003</v>
      </c>
      <c r="GJ58" s="931">
        <f t="shared" si="150"/>
        <v>0</v>
      </c>
      <c r="GK58" s="931">
        <f t="shared" si="37"/>
        <v>0</v>
      </c>
      <c r="GL58" s="931">
        <f t="shared" si="38"/>
        <v>0</v>
      </c>
      <c r="GM58" s="931">
        <f t="shared" si="121"/>
        <v>0</v>
      </c>
      <c r="GN58" s="931">
        <f t="shared" si="7"/>
        <v>0</v>
      </c>
      <c r="GO58" s="931">
        <v>0</v>
      </c>
      <c r="GQ58" s="934">
        <f t="shared" si="122"/>
        <v>-0.54604253931378244</v>
      </c>
      <c r="GR58" s="934">
        <f t="shared" si="122"/>
        <v>-0.93807480353816675</v>
      </c>
      <c r="GS58" s="934">
        <f t="shared" si="122"/>
        <v>-1</v>
      </c>
      <c r="GT58" s="934" t="str">
        <f t="shared" si="122"/>
        <v/>
      </c>
      <c r="GU58" s="934" t="str">
        <f t="shared" si="122"/>
        <v/>
      </c>
      <c r="GV58" s="934" t="str">
        <f t="shared" si="122"/>
        <v/>
      </c>
      <c r="GW58" s="934" t="str">
        <f t="shared" si="92"/>
        <v/>
      </c>
      <c r="GX58" s="934" t="str">
        <f t="shared" si="92"/>
        <v/>
      </c>
      <c r="GY58" s="934" t="str">
        <f t="shared" si="9"/>
        <v/>
      </c>
      <c r="HA58" s="931">
        <f t="shared" si="123"/>
        <v>14.210770419999999</v>
      </c>
      <c r="HB58" s="931">
        <f t="shared" si="123"/>
        <v>11.082654000000002</v>
      </c>
      <c r="HC58" s="931">
        <f t="shared" si="123"/>
        <v>0.73160000000000003</v>
      </c>
      <c r="HD58" s="931">
        <f t="shared" si="99"/>
        <v>0</v>
      </c>
      <c r="HE58" s="931">
        <f t="shared" si="93"/>
        <v>0</v>
      </c>
      <c r="HF58" s="931">
        <f t="shared" si="93"/>
        <v>0</v>
      </c>
      <c r="HG58" s="931">
        <f t="shared" si="93"/>
        <v>0</v>
      </c>
      <c r="HH58" s="931">
        <f>+GO58-GN58</f>
        <v>0</v>
      </c>
      <c r="HI58" s="931">
        <f t="shared" si="11"/>
        <v>0</v>
      </c>
      <c r="HK58" s="230">
        <f t="shared" si="124"/>
        <v>-7.0806219700223709E-4</v>
      </c>
      <c r="HL58" s="230">
        <f t="shared" si="124"/>
        <v>-2.9998373871742689E-4</v>
      </c>
      <c r="HM58" s="230">
        <f t="shared" si="124"/>
        <v>-4.3411227055364326E-5</v>
      </c>
      <c r="HN58" s="230">
        <f t="shared" si="124"/>
        <v>0</v>
      </c>
      <c r="HO58" s="230">
        <f t="shared" si="124"/>
        <v>0</v>
      </c>
      <c r="HP58" s="230">
        <f t="shared" si="124"/>
        <v>0</v>
      </c>
      <c r="HQ58" s="230">
        <f t="shared" si="124"/>
        <v>0</v>
      </c>
      <c r="HR58" s="230">
        <f t="shared" si="124"/>
        <v>0</v>
      </c>
      <c r="HS58" s="230">
        <f t="shared" si="124"/>
        <v>0</v>
      </c>
      <c r="HU58" s="931">
        <f t="shared" si="158"/>
        <v>0</v>
      </c>
      <c r="HV58" s="931">
        <f t="shared" si="158"/>
        <v>0</v>
      </c>
      <c r="HW58" s="931">
        <f t="shared" si="158"/>
        <v>0</v>
      </c>
      <c r="HX58" s="931">
        <f t="shared" si="158"/>
        <v>-0.73160000000000003</v>
      </c>
      <c r="HY58" s="931">
        <f t="shared" si="158"/>
        <v>0</v>
      </c>
      <c r="HZ58" s="931">
        <f t="shared" si="158"/>
        <v>0</v>
      </c>
      <c r="IA58" s="931">
        <f t="shared" si="126"/>
        <v>0</v>
      </c>
      <c r="IB58" s="931">
        <f t="shared" si="127"/>
        <v>0</v>
      </c>
      <c r="IC58" s="931">
        <f t="shared" si="128"/>
        <v>0</v>
      </c>
      <c r="ID58" s="931">
        <f t="shared" si="18"/>
        <v>0</v>
      </c>
      <c r="IE58" s="931">
        <f t="shared" si="129"/>
        <v>0</v>
      </c>
      <c r="IF58" s="922" t="str">
        <f t="shared" si="20"/>
        <v/>
      </c>
      <c r="IG58" s="931">
        <f t="shared" si="151"/>
        <v>0</v>
      </c>
      <c r="IH58" s="931">
        <f t="shared" si="151"/>
        <v>0</v>
      </c>
      <c r="II58" s="145"/>
      <c r="IJ58" s="934" t="str">
        <f t="shared" si="130"/>
        <v/>
      </c>
      <c r="IK58" s="935">
        <f t="shared" si="131"/>
        <v>0</v>
      </c>
      <c r="IM58" s="230">
        <f t="shared" si="132"/>
        <v>0</v>
      </c>
      <c r="IN58" s="934">
        <f t="shared" si="133"/>
        <v>0</v>
      </c>
      <c r="IP58" s="934" t="str">
        <f t="shared" si="152"/>
        <v/>
      </c>
      <c r="IQ58" s="934" t="str">
        <f t="shared" si="152"/>
        <v/>
      </c>
      <c r="IR58" s="934">
        <f t="shared" si="152"/>
        <v>-1</v>
      </c>
      <c r="IS58" s="934" t="str">
        <f t="shared" si="152"/>
        <v/>
      </c>
      <c r="IT58" s="934" t="str">
        <f t="shared" si="152"/>
        <v/>
      </c>
      <c r="IU58" s="934" t="str">
        <f t="shared" si="152"/>
        <v/>
      </c>
      <c r="IV58" s="934" t="str">
        <f t="shared" si="153"/>
        <v/>
      </c>
      <c r="IX58" s="931">
        <f t="shared" si="135"/>
        <v>0</v>
      </c>
      <c r="IY58" s="931">
        <f t="shared" si="135"/>
        <v>-0.73160000000000003</v>
      </c>
      <c r="IZ58" s="931">
        <f t="shared" si="135"/>
        <v>0.73160000000000003</v>
      </c>
      <c r="JA58" s="931">
        <f t="shared" si="135"/>
        <v>0</v>
      </c>
      <c r="JB58" s="931">
        <f t="shared" si="135"/>
        <v>0</v>
      </c>
      <c r="JC58" s="931">
        <f t="shared" si="135"/>
        <v>0</v>
      </c>
      <c r="JD58" s="931">
        <f t="shared" si="136"/>
        <v>0</v>
      </c>
      <c r="JF58" s="230">
        <f t="shared" si="137"/>
        <v>0</v>
      </c>
      <c r="JG58" s="230">
        <f t="shared" si="137"/>
        <v>0</v>
      </c>
      <c r="JH58" s="230">
        <f t="shared" si="137"/>
        <v>0</v>
      </c>
      <c r="JI58" s="230">
        <f t="shared" si="137"/>
        <v>-7.8211911994738843E-5</v>
      </c>
      <c r="JJ58" s="230">
        <f t="shared" si="137"/>
        <v>0</v>
      </c>
      <c r="JK58" s="230">
        <f t="shared" si="137"/>
        <v>0</v>
      </c>
      <c r="JL58" s="230">
        <f t="shared" si="137"/>
        <v>0</v>
      </c>
      <c r="JM58" s="230">
        <f t="shared" si="138"/>
        <v>0</v>
      </c>
      <c r="JO58" s="931">
        <f t="shared" si="159"/>
        <v>0</v>
      </c>
      <c r="JP58" s="931">
        <f t="shared" si="159"/>
        <v>0</v>
      </c>
      <c r="JQ58" s="931">
        <f t="shared" si="159"/>
        <v>0</v>
      </c>
      <c r="JR58" s="931">
        <f t="shared" si="159"/>
        <v>-0.60760000000000003</v>
      </c>
      <c r="JS58" s="931">
        <f t="shared" si="159"/>
        <v>0</v>
      </c>
      <c r="JT58" s="931">
        <f t="shared" si="140"/>
        <v>0</v>
      </c>
      <c r="JU58" s="931">
        <f t="shared" si="141"/>
        <v>0</v>
      </c>
      <c r="JV58" s="931">
        <f t="shared" si="141"/>
        <v>0</v>
      </c>
      <c r="JW58" s="931">
        <f t="shared" si="142"/>
        <v>0</v>
      </c>
      <c r="JX58" s="931">
        <f t="shared" si="143"/>
        <v>0</v>
      </c>
      <c r="JY58" s="931">
        <f t="shared" si="144"/>
        <v>0</v>
      </c>
      <c r="KB58" s="230" t="str">
        <f t="shared" si="145"/>
        <v xml:space="preserve"> </v>
      </c>
      <c r="KC58" s="230" t="str">
        <f t="shared" si="145"/>
        <v xml:space="preserve"> </v>
      </c>
      <c r="KD58" s="230">
        <f t="shared" si="145"/>
        <v>-1</v>
      </c>
      <c r="KE58" s="230" t="str">
        <f t="shared" si="145"/>
        <v xml:space="preserve"> </v>
      </c>
      <c r="KF58" s="230" t="str">
        <f t="shared" si="145"/>
        <v xml:space="preserve"> </v>
      </c>
      <c r="KG58" s="230" t="str">
        <f t="shared" si="145"/>
        <v xml:space="preserve"> </v>
      </c>
      <c r="KH58" s="230" t="str">
        <f t="shared" si="146"/>
        <v xml:space="preserve"> </v>
      </c>
      <c r="KJ58" s="931">
        <f t="shared" si="147"/>
        <v>0</v>
      </c>
      <c r="KK58" s="931">
        <f t="shared" si="147"/>
        <v>-0.60760000000000003</v>
      </c>
      <c r="KL58" s="931">
        <f t="shared" si="147"/>
        <v>0.60760000000000003</v>
      </c>
      <c r="KM58" s="931">
        <f t="shared" si="147"/>
        <v>0</v>
      </c>
      <c r="KN58" s="931">
        <f t="shared" si="147"/>
        <v>0</v>
      </c>
      <c r="KO58" s="931">
        <f t="shared" si="147"/>
        <v>0</v>
      </c>
      <c r="KP58" s="931">
        <f t="shared" si="148"/>
        <v>0</v>
      </c>
      <c r="KR58" s="230">
        <f t="shared" si="149"/>
        <v>0</v>
      </c>
      <c r="KS58" s="230">
        <f t="shared" si="149"/>
        <v>0</v>
      </c>
      <c r="KT58" s="230">
        <f t="shared" si="149"/>
        <v>0</v>
      </c>
      <c r="KU58" s="230">
        <f t="shared" si="149"/>
        <v>-6.7913535167887578E-4</v>
      </c>
      <c r="KV58" s="230">
        <f t="shared" si="149"/>
        <v>0</v>
      </c>
      <c r="KW58" s="230">
        <f t="shared" si="149"/>
        <v>0</v>
      </c>
      <c r="KX58" s="230">
        <f t="shared" si="149"/>
        <v>0</v>
      </c>
      <c r="KY58" s="230">
        <f t="shared" si="149"/>
        <v>0</v>
      </c>
      <c r="KZ58" s="230">
        <f>+JY58/JY$11</f>
        <v>0</v>
      </c>
    </row>
    <row r="59" spans="1:312" outlineLevel="1">
      <c r="A59" s="884"/>
      <c r="B59" s="70"/>
      <c r="E59" s="66"/>
      <c r="F59" s="66"/>
      <c r="G59" s="66"/>
      <c r="H59" s="66"/>
      <c r="I59" s="66"/>
      <c r="J59" s="66"/>
      <c r="K59" s="66"/>
      <c r="L59" s="66"/>
      <c r="M59" s="66"/>
      <c r="N59" s="66"/>
      <c r="O59" s="66"/>
      <c r="P59" s="66"/>
      <c r="Q59" s="102"/>
      <c r="R59" s="66"/>
      <c r="S59" s="66"/>
      <c r="T59" s="66"/>
      <c r="U59" s="66"/>
      <c r="V59" s="66"/>
      <c r="W59" s="66"/>
      <c r="X59" s="66"/>
      <c r="Y59" s="66"/>
      <c r="Z59" s="66"/>
      <c r="AA59" s="66"/>
      <c r="AB59" s="66"/>
      <c r="AC59" s="102"/>
      <c r="AD59" s="102"/>
      <c r="AE59" s="102"/>
      <c r="AF59" s="102"/>
      <c r="AG59" s="102"/>
      <c r="AH59" s="102"/>
      <c r="AI59" s="102"/>
      <c r="AJ59" s="102"/>
      <c r="AK59" s="102"/>
      <c r="AL59" s="102"/>
      <c r="AM59" s="102"/>
      <c r="AN59" s="102"/>
      <c r="AO59" s="66"/>
      <c r="AP59" s="88"/>
      <c r="AQ59" s="942"/>
      <c r="AR59" s="942"/>
      <c r="AS59" s="66"/>
      <c r="AT59" s="66"/>
      <c r="AU59" s="66"/>
      <c r="AV59" s="66"/>
      <c r="AW59" s="66"/>
      <c r="AX59" s="66"/>
      <c r="AY59" s="66"/>
      <c r="AZ59" s="66"/>
      <c r="BA59" s="66"/>
      <c r="BB59" s="66"/>
      <c r="BC59" s="66"/>
      <c r="BD59" s="66"/>
      <c r="BE59" s="66"/>
      <c r="BF59" s="66"/>
      <c r="BG59" s="66"/>
      <c r="BH59" s="66"/>
      <c r="BI59" s="66"/>
      <c r="BJ59" s="952"/>
      <c r="BK59" s="66"/>
      <c r="BL59" s="66"/>
      <c r="BM59" s="1522"/>
      <c r="BN59" s="66"/>
      <c r="BO59" s="66"/>
      <c r="BP59" s="66"/>
      <c r="BQ59" s="66"/>
      <c r="BR59" s="66"/>
      <c r="BS59" s="66"/>
      <c r="BT59" s="66"/>
      <c r="BU59" s="66"/>
      <c r="BV59" s="952"/>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J59" s="66"/>
      <c r="DK59" s="66"/>
      <c r="DL59" s="66"/>
      <c r="DM59" s="66"/>
      <c r="DN59" s="66"/>
      <c r="DO59" s="66"/>
      <c r="DP59" s="66"/>
      <c r="DQ59" s="66"/>
      <c r="DR59" s="66"/>
      <c r="DS59" s="66"/>
      <c r="DT59" s="66"/>
      <c r="DU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F59" s="66"/>
      <c r="GG59" s="66"/>
      <c r="GH59" s="66"/>
      <c r="GI59" s="66"/>
      <c r="GJ59" s="66"/>
      <c r="GK59" s="66"/>
      <c r="GL59" s="66"/>
      <c r="GM59" s="66"/>
      <c r="GN59" s="66"/>
      <c r="GO59" s="66"/>
      <c r="GQ59" s="50"/>
      <c r="GR59" s="50"/>
      <c r="GS59" s="50"/>
      <c r="GT59" s="922"/>
      <c r="GU59" s="922"/>
      <c r="GV59" s="922"/>
      <c r="GW59" s="922" t="str">
        <f t="shared" si="92"/>
        <v/>
      </c>
      <c r="GX59" s="50"/>
      <c r="GY59" s="922" t="str">
        <f t="shared" si="9"/>
        <v/>
      </c>
      <c r="HA59" s="66"/>
      <c r="HB59" s="66"/>
      <c r="HC59" s="66"/>
      <c r="HD59" s="66"/>
      <c r="HE59" s="66">
        <f t="shared" si="93"/>
        <v>0</v>
      </c>
      <c r="HF59" s="66">
        <f t="shared" si="93"/>
        <v>0</v>
      </c>
      <c r="HG59" s="66">
        <f t="shared" si="93"/>
        <v>0</v>
      </c>
      <c r="HH59" s="66"/>
      <c r="HI59" s="66">
        <f t="shared" si="11"/>
        <v>0</v>
      </c>
      <c r="HK59" s="50"/>
      <c r="HL59" s="50"/>
      <c r="HM59" s="50"/>
      <c r="HN59" s="50"/>
      <c r="HO59" s="50"/>
      <c r="HP59" s="50"/>
      <c r="HQ59" s="50"/>
      <c r="HR59" s="50"/>
      <c r="HS59" s="50"/>
      <c r="HU59" s="50"/>
      <c r="HV59" s="50"/>
      <c r="HW59" s="50"/>
      <c r="HX59" s="50"/>
      <c r="HY59" s="50"/>
      <c r="HZ59" s="50"/>
      <c r="IA59" s="50"/>
      <c r="IB59" s="50"/>
      <c r="IC59" s="50"/>
      <c r="ID59" s="66"/>
      <c r="IE59" s="66"/>
      <c r="IF59" s="922" t="str">
        <f t="shared" si="20"/>
        <v/>
      </c>
      <c r="IG59" s="66"/>
      <c r="IH59" s="66"/>
      <c r="II59" s="88"/>
      <c r="IJ59" s="50"/>
      <c r="IK59" s="66"/>
      <c r="IM59" s="50"/>
      <c r="IN59" s="50"/>
      <c r="IP59" s="50"/>
      <c r="IQ59" s="50"/>
      <c r="IR59" s="50"/>
      <c r="IS59" s="50"/>
      <c r="IT59" s="50"/>
      <c r="IU59" s="50"/>
      <c r="IV59" s="50"/>
      <c r="IX59" s="66"/>
      <c r="IY59" s="66"/>
      <c r="IZ59" s="66"/>
      <c r="JA59" s="66"/>
      <c r="JB59" s="66"/>
      <c r="JC59" s="66"/>
      <c r="JD59" s="66"/>
      <c r="JF59" s="50"/>
      <c r="JG59" s="50"/>
      <c r="JH59" s="50"/>
      <c r="JI59" s="50"/>
      <c r="JJ59" s="50"/>
      <c r="JK59" s="50"/>
      <c r="JL59" s="50"/>
      <c r="JM59" s="50"/>
      <c r="JO59" s="66"/>
      <c r="JP59" s="66"/>
      <c r="JQ59" s="66"/>
      <c r="JR59" s="66"/>
      <c r="JS59" s="66"/>
      <c r="JT59" s="66"/>
      <c r="JU59" s="66"/>
      <c r="JV59" s="66"/>
      <c r="JW59" s="66"/>
      <c r="JX59" s="66"/>
      <c r="JY59" s="66"/>
      <c r="KB59" s="50"/>
      <c r="KC59" s="50"/>
      <c r="KD59" s="50"/>
      <c r="KE59" s="50"/>
      <c r="KF59" s="50"/>
      <c r="KG59" s="50"/>
      <c r="KH59" s="50"/>
      <c r="KJ59" s="66"/>
      <c r="KK59" s="66"/>
      <c r="KL59" s="66"/>
      <c r="KM59" s="66"/>
      <c r="KN59" s="66"/>
      <c r="KO59" s="66"/>
      <c r="KP59" s="66"/>
      <c r="KR59" s="50"/>
      <c r="KS59" s="50"/>
      <c r="KT59" s="50"/>
      <c r="KU59" s="50"/>
      <c r="KV59" s="50"/>
      <c r="KW59" s="50"/>
      <c r="KX59" s="50"/>
      <c r="KY59" s="50"/>
      <c r="KZ59" s="50"/>
    </row>
    <row r="60" spans="1:312">
      <c r="A60" s="884"/>
      <c r="B60" s="70"/>
      <c r="C60" s="1524" t="s">
        <v>89</v>
      </c>
      <c r="D60" s="1525" t="s">
        <v>59</v>
      </c>
      <c r="E60" s="1526">
        <f t="shared" ref="E60:BP60" si="160">+E39+E42</f>
        <v>-1248.2430213399998</v>
      </c>
      <c r="F60" s="1526">
        <f t="shared" si="160"/>
        <v>1136.0424797500004</v>
      </c>
      <c r="G60" s="1526">
        <f t="shared" si="160"/>
        <v>427.93651225000031</v>
      </c>
      <c r="H60" s="1526">
        <f t="shared" si="160"/>
        <v>669.57995113000061</v>
      </c>
      <c r="I60" s="1526">
        <f t="shared" si="160"/>
        <v>1503.4645574299986</v>
      </c>
      <c r="J60" s="1526">
        <f t="shared" si="160"/>
        <v>603.48692325999946</v>
      </c>
      <c r="K60" s="1526">
        <f t="shared" si="160"/>
        <v>832.6874230199985</v>
      </c>
      <c r="L60" s="1526">
        <f t="shared" si="160"/>
        <v>1576.5594846800016</v>
      </c>
      <c r="M60" s="1526">
        <f t="shared" si="160"/>
        <v>1499.5283981400014</v>
      </c>
      <c r="N60" s="1526">
        <f t="shared" si="160"/>
        <v>1184.436691869998</v>
      </c>
      <c r="O60" s="1526">
        <f t="shared" si="160"/>
        <v>1745.5891536600025</v>
      </c>
      <c r="P60" s="1526">
        <f t="shared" si="160"/>
        <v>155.36372760999825</v>
      </c>
      <c r="Q60" s="1526">
        <f t="shared" si="160"/>
        <v>-316.58809092999968</v>
      </c>
      <c r="R60" s="1526">
        <f t="shared" si="160"/>
        <v>1390.6624949899999</v>
      </c>
      <c r="S60" s="1526">
        <f t="shared" si="160"/>
        <v>-93.193246700000032</v>
      </c>
      <c r="T60" s="1526">
        <f t="shared" si="160"/>
        <v>-583.10566422999773</v>
      </c>
      <c r="U60" s="1526">
        <f t="shared" si="160"/>
        <v>1587.6106911300005</v>
      </c>
      <c r="V60" s="1526">
        <f t="shared" si="160"/>
        <v>1261.2795914199967</v>
      </c>
      <c r="W60" s="1526">
        <f t="shared" si="160"/>
        <v>644.12489243999892</v>
      </c>
      <c r="X60" s="1526">
        <f t="shared" si="160"/>
        <v>999.95789331000174</v>
      </c>
      <c r="Y60" s="1526">
        <f t="shared" si="160"/>
        <v>-570.34529576999842</v>
      </c>
      <c r="Z60" s="1526">
        <f t="shared" si="160"/>
        <v>160.64188324999645</v>
      </c>
      <c r="AA60" s="1526">
        <f t="shared" si="160"/>
        <v>2725.5463580400005</v>
      </c>
      <c r="AB60" s="1526">
        <f t="shared" si="160"/>
        <v>2442.137900590008</v>
      </c>
      <c r="AC60" s="1526">
        <f t="shared" si="160"/>
        <v>-403.11304543000028</v>
      </c>
      <c r="AD60" s="1526">
        <f t="shared" si="160"/>
        <v>1759.6170573600002</v>
      </c>
      <c r="AE60" s="1526">
        <f t="shared" si="160"/>
        <v>490.82695196999975</v>
      </c>
      <c r="AF60" s="1526">
        <f t="shared" si="160"/>
        <v>957.63625005000063</v>
      </c>
      <c r="AG60" s="1526">
        <f t="shared" si="160"/>
        <v>745.87039123000034</v>
      </c>
      <c r="AH60" s="1526">
        <f t="shared" si="160"/>
        <v>544.00775340000041</v>
      </c>
      <c r="AI60" s="1526">
        <f t="shared" si="160"/>
        <v>373.93849135000005</v>
      </c>
      <c r="AJ60" s="1526">
        <f t="shared" si="160"/>
        <v>808.2665488099999</v>
      </c>
      <c r="AK60" s="1526">
        <f t="shared" si="160"/>
        <v>858.17337001999954</v>
      </c>
      <c r="AL60" s="1526">
        <f t="shared" si="160"/>
        <v>1244.1622664499998</v>
      </c>
      <c r="AM60" s="1526">
        <f t="shared" si="160"/>
        <v>3416.3270713600004</v>
      </c>
      <c r="AN60" s="1526">
        <f t="shared" si="160"/>
        <v>-59.380278100001988</v>
      </c>
      <c r="AO60" s="1526">
        <f t="shared" si="160"/>
        <v>1180.6559501900003</v>
      </c>
      <c r="AP60" s="1526">
        <f t="shared" si="160"/>
        <v>-502.45394305999992</v>
      </c>
      <c r="AQ60" s="1526">
        <f t="shared" si="160"/>
        <v>-115.84278654000025</v>
      </c>
      <c r="AR60" s="1526">
        <f t="shared" si="160"/>
        <v>-279.20173565000027</v>
      </c>
      <c r="AS60" s="1526">
        <f t="shared" si="160"/>
        <v>-1193.8856324500002</v>
      </c>
      <c r="AT60" s="1526">
        <f t="shared" si="160"/>
        <v>-896.8379936</v>
      </c>
      <c r="AU60" s="1526">
        <f t="shared" si="160"/>
        <v>64.577150560000405</v>
      </c>
      <c r="AV60" s="1526">
        <f t="shared" si="160"/>
        <v>117.15924510000002</v>
      </c>
      <c r="AW60" s="1526">
        <f t="shared" si="160"/>
        <v>99.175554559999568</v>
      </c>
      <c r="AX60" s="1526">
        <f t="shared" si="160"/>
        <v>165.92813243000001</v>
      </c>
      <c r="AY60" s="1526">
        <f t="shared" si="160"/>
        <v>-477.05186212000012</v>
      </c>
      <c r="AZ60" s="1526">
        <f t="shared" si="160"/>
        <v>-1697.7313282</v>
      </c>
      <c r="BA60" s="1526">
        <f t="shared" si="160"/>
        <v>-52.205762940000028</v>
      </c>
      <c r="BB60" s="1526">
        <f t="shared" si="160"/>
        <v>-478.1899181500001</v>
      </c>
      <c r="BC60" s="1526">
        <f t="shared" si="160"/>
        <v>-606.79629743999999</v>
      </c>
      <c r="BD60" s="1526">
        <f t="shared" si="160"/>
        <v>-497.83869813000001</v>
      </c>
      <c r="BE60" s="1526">
        <f t="shared" si="160"/>
        <v>-275.62019642000007</v>
      </c>
      <c r="BF60" s="1526">
        <f t="shared" si="160"/>
        <v>-550.33981901999994</v>
      </c>
      <c r="BG60" s="1526">
        <f t="shared" si="160"/>
        <v>-179.34335879000005</v>
      </c>
      <c r="BH60" s="1526">
        <f t="shared" si="160"/>
        <v>35.819911319999875</v>
      </c>
      <c r="BI60" s="1526">
        <f t="shared" si="160"/>
        <v>-206.02228946000014</v>
      </c>
      <c r="BJ60" s="1526">
        <f t="shared" si="160"/>
        <v>-57.611085399999922</v>
      </c>
      <c r="BK60" s="1526">
        <f t="shared" si="160"/>
        <v>397.79181274000007</v>
      </c>
      <c r="BL60" s="1526">
        <f t="shared" si="160"/>
        <v>395.28956538000028</v>
      </c>
      <c r="BM60" s="1526">
        <f t="shared" si="160"/>
        <v>284.99773750999992</v>
      </c>
      <c r="BN60" s="1526">
        <f t="shared" si="160"/>
        <v>274.87844790999998</v>
      </c>
      <c r="BO60" s="1526">
        <f t="shared" si="160"/>
        <v>274.09652492999993</v>
      </c>
      <c r="BP60" s="1526">
        <f t="shared" si="160"/>
        <v>491.81107157000031</v>
      </c>
      <c r="BQ60" s="1526">
        <f t="shared" ref="BQ60:DH60" si="161">+BQ39+BQ42</f>
        <v>101.0106898599999</v>
      </c>
      <c r="BR60" s="1526">
        <f t="shared" si="161"/>
        <v>214.58035303000005</v>
      </c>
      <c r="BS60" s="1526">
        <f t="shared" si="161"/>
        <v>199.57417014000006</v>
      </c>
      <c r="BT60" s="1526">
        <f t="shared" si="161"/>
        <v>244.65305585000016</v>
      </c>
      <c r="BU60" s="1526">
        <f t="shared" si="161"/>
        <v>149.61818370000015</v>
      </c>
      <c r="BV60" s="1526">
        <f t="shared" si="161"/>
        <v>402.43456421999974</v>
      </c>
      <c r="BW60" s="1526">
        <f t="shared" si="161"/>
        <v>416.45949804000037</v>
      </c>
      <c r="BX60" s="1526">
        <f t="shared" si="161"/>
        <v>87.972332930000277</v>
      </c>
      <c r="BY60" s="1526">
        <f t="shared" si="161"/>
        <v>88.905493470000096</v>
      </c>
      <c r="BZ60" s="1526">
        <f t="shared" si="161"/>
        <v>127.08420186000018</v>
      </c>
      <c r="CA60" s="1526">
        <f t="shared" si="161"/>
        <v>122.08167013000011</v>
      </c>
      <c r="CB60" s="1526">
        <f t="shared" si="161"/>
        <v>9.0989087200000824</v>
      </c>
      <c r="CC60" s="1526">
        <f t="shared" si="161"/>
        <v>-47.546363889999924</v>
      </c>
      <c r="CD60" s="1526">
        <f t="shared" si="161"/>
        <v>61.99229477999981</v>
      </c>
      <c r="CE60" s="1526">
        <f t="shared" si="161"/>
        <v>-47.182758750000062</v>
      </c>
      <c r="CF60" s="1526">
        <f t="shared" si="161"/>
        <v>586.86624984000025</v>
      </c>
      <c r="CG60" s="1526">
        <f t="shared" si="161"/>
        <v>69.60389392999997</v>
      </c>
      <c r="CH60" s="1526">
        <f t="shared" si="161"/>
        <v>219.79665008000018</v>
      </c>
      <c r="CI60" s="1526">
        <f t="shared" si="161"/>
        <v>613.85130763000006</v>
      </c>
      <c r="CJ60" s="1526">
        <f t="shared" si="161"/>
        <v>232.11366712999984</v>
      </c>
      <c r="CK60" s="1526">
        <f t="shared" si="161"/>
        <v>239.36214853999965</v>
      </c>
      <c r="CL60" s="1526">
        <f t="shared" si="161"/>
        <v>42.08422452999983</v>
      </c>
      <c r="CM60" s="1526">
        <f t="shared" si="161"/>
        <v>509.51494679000001</v>
      </c>
      <c r="CN60" s="1526">
        <f t="shared" si="161"/>
        <v>238.32084363999996</v>
      </c>
      <c r="CO60" s="1526">
        <f t="shared" si="161"/>
        <v>504.47375250999983</v>
      </c>
      <c r="CP60" s="1526">
        <f t="shared" si="161"/>
        <v>161.1802761199998</v>
      </c>
      <c r="CQ60" s="1526">
        <f t="shared" si="161"/>
        <v>235.32571399000005</v>
      </c>
      <c r="CR60" s="1526">
        <f t="shared" si="161"/>
        <v>402.38942390000011</v>
      </c>
      <c r="CS60" s="1526">
        <f t="shared" si="161"/>
        <v>454.89161486999978</v>
      </c>
      <c r="CT60" s="1526">
        <f t="shared" si="161"/>
        <v>801.0160215100002</v>
      </c>
      <c r="CU60" s="1526">
        <f t="shared" si="161"/>
        <v>485.8993579800001</v>
      </c>
      <c r="CV60" s="1526">
        <f t="shared" si="161"/>
        <v>164.42237050999967</v>
      </c>
      <c r="CW60" s="1526">
        <f t="shared" si="161"/>
        <v>461.04943822000007</v>
      </c>
      <c r="CX60" s="1526">
        <f t="shared" si="161"/>
        <v>247.6483856399995</v>
      </c>
      <c r="CY60" s="1526">
        <f t="shared" si="161"/>
        <v>679.93169352000041</v>
      </c>
      <c r="CZ60" s="1526">
        <f t="shared" si="161"/>
        <v>-73.111713319999836</v>
      </c>
      <c r="DA60" s="1526">
        <f t="shared" si="161"/>
        <v>31.676613550000098</v>
      </c>
      <c r="DB60" s="1526">
        <f t="shared" si="161"/>
        <v>-201.98600461000004</v>
      </c>
      <c r="DC60" s="1526">
        <f t="shared" si="161"/>
        <v>-218.01837403999997</v>
      </c>
      <c r="DD60" s="1526">
        <f t="shared" si="161"/>
        <v>333.00444980000009</v>
      </c>
      <c r="DE60" s="1526">
        <f t="shared" si="161"/>
        <v>245.11800161999989</v>
      </c>
      <c r="DF60" s="1526">
        <f t="shared" si="161"/>
        <v>391.95039173000004</v>
      </c>
      <c r="DG60" s="1526">
        <f t="shared" si="161"/>
        <v>-41.539388670000221</v>
      </c>
      <c r="DH60" s="1526">
        <f t="shared" si="161"/>
        <v>152.48098350999987</v>
      </c>
      <c r="DI60" s="949"/>
      <c r="DJ60" s="1526">
        <f t="shared" ref="DJ60:DU60" si="162">+DJ39+DJ42</f>
        <v>576.52026887</v>
      </c>
      <c r="DK60" s="1526">
        <f t="shared" si="162"/>
        <v>267.61463949999956</v>
      </c>
      <c r="DL60" s="1526">
        <f t="shared" si="162"/>
        <v>809.24786538999967</v>
      </c>
      <c r="DM60" s="1526">
        <f t="shared" si="162"/>
        <v>-57.246347209999925</v>
      </c>
      <c r="DN60" s="1526">
        <f t="shared" si="162"/>
        <v>71.519061840000035</v>
      </c>
      <c r="DO60" s="1526">
        <f t="shared" si="162"/>
        <v>-206.34185441999998</v>
      </c>
      <c r="DP60" s="1526">
        <f t="shared" si="162"/>
        <v>-87.180046281849741</v>
      </c>
      <c r="DQ60" s="1526">
        <f t="shared" si="162"/>
        <v>486.19892855650005</v>
      </c>
      <c r="DR60" s="1526">
        <f t="shared" si="162"/>
        <v>381.05187578915036</v>
      </c>
      <c r="DS60" s="1526">
        <f t="shared" si="162"/>
        <v>645.9989650765001</v>
      </c>
      <c r="DT60" s="1526">
        <f t="shared" si="162"/>
        <v>118.99611621894991</v>
      </c>
      <c r="DU60" s="1526">
        <f t="shared" si="162"/>
        <v>114.47281771919992</v>
      </c>
      <c r="DW60" s="1526">
        <v>622.14621517750743</v>
      </c>
      <c r="DX60" s="1526">
        <v>-334.30978869575904</v>
      </c>
      <c r="DY60" s="1526">
        <v>-237.03258232916494</v>
      </c>
      <c r="DZ60" s="1526">
        <v>679.73743309430438</v>
      </c>
      <c r="EA60" s="1526">
        <v>341.29701632089694</v>
      </c>
      <c r="EB60" s="1526">
        <v>543.28880961178197</v>
      </c>
      <c r="EC60" s="1526">
        <v>1387.7846263757888</v>
      </c>
      <c r="ED60" s="1526">
        <v>2209.845037548117</v>
      </c>
      <c r="EE60" s="1526">
        <v>1396.2980447035595</v>
      </c>
      <c r="EF60" s="1526">
        <v>1637.0219075590401</v>
      </c>
      <c r="EG60" s="1526">
        <v>1468.0107791037726</v>
      </c>
      <c r="EH60" s="1526">
        <v>1066.8667048574132</v>
      </c>
      <c r="EI60" s="1526">
        <f>+EI39+EI42</f>
        <v>-182.82359112956044</v>
      </c>
      <c r="EJ60" s="1526">
        <f t="shared" ref="EJ60:GD60" si="163">+EJ39+EJ42</f>
        <v>-45.584436750366365</v>
      </c>
      <c r="EK60" s="1526">
        <f t="shared" si="163"/>
        <v>-29.45856852470331</v>
      </c>
      <c r="EL60" s="1526">
        <f t="shared" si="163"/>
        <v>-97.639009168528958</v>
      </c>
      <c r="EM60" s="1526">
        <f t="shared" si="163"/>
        <v>109.24490857162789</v>
      </c>
      <c r="EN60" s="1526">
        <f t="shared" si="163"/>
        <v>320.89010179358502</v>
      </c>
      <c r="EO60" s="1526">
        <f t="shared" si="163"/>
        <v>383.86049724361192</v>
      </c>
      <c r="EP60" s="1526">
        <f t="shared" si="163"/>
        <v>453.85232322619459</v>
      </c>
      <c r="EQ60" s="1526">
        <f t="shared" si="163"/>
        <v>419.57474811203338</v>
      </c>
      <c r="ER60" s="1526">
        <f t="shared" si="163"/>
        <v>478.60959561466711</v>
      </c>
      <c r="ES60" s="1526">
        <f t="shared" si="163"/>
        <v>369.93309816674247</v>
      </c>
      <c r="ET60" s="1526">
        <f t="shared" si="163"/>
        <v>170.06329953912251</v>
      </c>
      <c r="EU60" s="1526">
        <f t="shared" si="163"/>
        <v>135.05859800000002</v>
      </c>
      <c r="EV60" s="1526">
        <f t="shared" si="163"/>
        <v>336.8367549100002</v>
      </c>
      <c r="EW60" s="1526">
        <f t="shared" si="163"/>
        <v>341.36084599999981</v>
      </c>
      <c r="EX60" s="1526">
        <f t="shared" si="163"/>
        <v>297.18355891000004</v>
      </c>
      <c r="EY60" s="1526">
        <f t="shared" si="163"/>
        <v>314.96711791000018</v>
      </c>
      <c r="EZ60" s="1526">
        <f t="shared" si="163"/>
        <v>282.30310291000006</v>
      </c>
      <c r="FA60" s="1526">
        <f t="shared" si="163"/>
        <v>307.20153890999984</v>
      </c>
      <c r="FB60" s="1526">
        <f t="shared" si="163"/>
        <v>101.67076090999996</v>
      </c>
      <c r="FC60" s="1526">
        <f t="shared" si="163"/>
        <v>-6.2338200000000938</v>
      </c>
      <c r="FD60" s="1526">
        <f t="shared" si="163"/>
        <v>-83.64703609</v>
      </c>
      <c r="FE60" s="1526">
        <f t="shared" si="163"/>
        <v>-26.128150090000162</v>
      </c>
      <c r="FF60" s="1526">
        <f t="shared" si="163"/>
        <v>-82.266508000000073</v>
      </c>
      <c r="FG60" s="1526">
        <f t="shared" si="163"/>
        <v>209.12499846034885</v>
      </c>
      <c r="FH60" s="1526">
        <f t="shared" si="163"/>
        <v>100.89741813949348</v>
      </c>
      <c r="FI60" s="1526">
        <f t="shared" si="163"/>
        <v>49.54475797906565</v>
      </c>
      <c r="FJ60" s="1526">
        <f t="shared" si="163"/>
        <v>-30.701071004891332</v>
      </c>
      <c r="FK60" s="1526">
        <f t="shared" si="163"/>
        <v>85.853631979065796</v>
      </c>
      <c r="FL60" s="1526">
        <f t="shared" si="163"/>
        <v>87.989001979065478</v>
      </c>
      <c r="FM60" s="1526">
        <f t="shared" si="163"/>
        <v>144.18804113949355</v>
      </c>
      <c r="FN60" s="1526">
        <f t="shared" si="163"/>
        <v>164.30569013949315</v>
      </c>
      <c r="FO60" s="1526">
        <f t="shared" si="163"/>
        <v>188.67355313949383</v>
      </c>
      <c r="FP60" s="1526">
        <f t="shared" si="163"/>
        <v>315.05278362077672</v>
      </c>
      <c r="FQ60" s="1526">
        <f t="shared" si="163"/>
        <v>382.57682394163254</v>
      </c>
      <c r="FR60" s="1526">
        <f t="shared" si="163"/>
        <v>308.67915862077706</v>
      </c>
      <c r="FS60" s="1526">
        <f t="shared" si="163"/>
        <v>209.12499846034885</v>
      </c>
      <c r="FT60" s="1526">
        <f t="shared" si="163"/>
        <v>100.89741813949348</v>
      </c>
      <c r="FU60" s="1526">
        <f t="shared" si="163"/>
        <v>49.54475797906565</v>
      </c>
      <c r="FV60" s="1526">
        <f t="shared" si="163"/>
        <v>-30.701071004891332</v>
      </c>
      <c r="FW60" s="1526">
        <f t="shared" si="163"/>
        <v>85.853631979065796</v>
      </c>
      <c r="FX60" s="1526">
        <f t="shared" si="163"/>
        <v>87.989001979065478</v>
      </c>
      <c r="FY60" s="1526">
        <f t="shared" si="163"/>
        <v>144.18804113949355</v>
      </c>
      <c r="FZ60" s="1526">
        <f t="shared" si="163"/>
        <v>164.30569013949315</v>
      </c>
      <c r="GA60" s="1526">
        <f t="shared" si="163"/>
        <v>188.67355313949383</v>
      </c>
      <c r="GB60" s="1526">
        <f t="shared" si="163"/>
        <v>315.05278362077672</v>
      </c>
      <c r="GC60" s="1526">
        <f t="shared" si="163"/>
        <v>382.57682394163254</v>
      </c>
      <c r="GD60" s="1526">
        <f t="shared" si="163"/>
        <v>308.67915862077706</v>
      </c>
      <c r="GF60" s="1526">
        <f>+SUMIF($E$6:$AZ$6,GF$7,$E60:$AZ60)</f>
        <v>10086.43228146</v>
      </c>
      <c r="GG60" s="1526">
        <f>+SUMIF($E$6:$AZ$6,GG$7,$E60:$AZ60)</f>
        <v>9648.7294075400059</v>
      </c>
      <c r="GH60" s="1526">
        <f>+SUMIF($E$6:$AZ$6,GH$7,$E60:$AZ60)</f>
        <v>10736.33282847</v>
      </c>
      <c r="GI60" s="1526">
        <f>+SUMIF($E$6:$AZ$6,GI$7,$E60:$AZ60)</f>
        <v>-3535.5092487800002</v>
      </c>
      <c r="GJ60" s="1526">
        <f>+SUMIF($E$6:$BL$6,GJ$7,$E60:$BL60)</f>
        <v>-2075.0661363100003</v>
      </c>
      <c r="GK60" s="1526">
        <f t="shared" si="37"/>
        <v>3142.0866296900008</v>
      </c>
      <c r="GL60" s="1526">
        <f t="shared" si="38"/>
        <v>2036.6652149300005</v>
      </c>
      <c r="GM60" s="1526">
        <f>+SUMIF($E$6:$CV$6,GM$7,$E60:$CV60)</f>
        <v>4238.8806948899992</v>
      </c>
      <c r="GN60" s="1526">
        <f t="shared" si="7"/>
        <v>2006.1847881338147</v>
      </c>
      <c r="GO60" s="1526">
        <v>2008.2044769499998</v>
      </c>
      <c r="GQ60" s="1528">
        <f t="shared" ref="GQ60:GV61" si="164">+IFERROR(GH60/GG60-1,"")</f>
        <v>0.11271985926769656</v>
      </c>
      <c r="GR60" s="1528">
        <f t="shared" si="164"/>
        <v>-1.3293032458349965</v>
      </c>
      <c r="GS60" s="1528">
        <f t="shared" si="164"/>
        <v>-0.41307857219549227</v>
      </c>
      <c r="GT60" s="1528">
        <f t="shared" si="164"/>
        <v>-2.5142103544118535</v>
      </c>
      <c r="GU60" s="1528">
        <f t="shared" si="164"/>
        <v>-0.35181124680482201</v>
      </c>
      <c r="GV60" s="1528">
        <f t="shared" si="164"/>
        <v>1.0812849671199829</v>
      </c>
      <c r="GW60" s="1528">
        <f t="shared" si="92"/>
        <v>-0.52671827009609284</v>
      </c>
      <c r="GX60" s="1528">
        <f t="shared" si="92"/>
        <v>1.0067311985073601E-3</v>
      </c>
      <c r="GY60" s="1528">
        <f t="shared" si="9"/>
        <v>-0.52624180261291509</v>
      </c>
      <c r="HA60" s="1526">
        <f>+GH60-GG60</f>
        <v>1087.6034209299942</v>
      </c>
      <c r="HB60" s="1526">
        <f>+GI60-GH60</f>
        <v>-14271.842077249999</v>
      </c>
      <c r="HC60" s="1526">
        <f>+GJ60-GI60</f>
        <v>1460.44311247</v>
      </c>
      <c r="HD60" s="1526">
        <f t="shared" si="99"/>
        <v>5217.1527660000011</v>
      </c>
      <c r="HE60" s="1526">
        <f t="shared" si="93"/>
        <v>-1105.4214147600003</v>
      </c>
      <c r="HF60" s="1526">
        <f t="shared" si="93"/>
        <v>2202.2154799599984</v>
      </c>
      <c r="HG60" s="1526">
        <f t="shared" si="93"/>
        <v>-2232.6959067561847</v>
      </c>
      <c r="HH60" s="1526">
        <f t="shared" si="93"/>
        <v>2.0196888161851803</v>
      </c>
      <c r="HI60" s="1526">
        <f t="shared" si="11"/>
        <v>-2230.6762179399993</v>
      </c>
      <c r="HK60" s="1529">
        <f>+GG60/GG$11</f>
        <v>0.26251274282504089</v>
      </c>
      <c r="HL60" s="1529">
        <f>+GH60/GH$11</f>
        <v>0.27261351093340946</v>
      </c>
      <c r="HM60" s="1529">
        <f>+GI60/GI$11</f>
        <v>-0.20978785505075059</v>
      </c>
      <c r="HN60" s="1529">
        <f>+GJ60/GJ$11</f>
        <v>-0.33729796766886666</v>
      </c>
      <c r="HO60" s="1529">
        <f t="shared" ref="HO60:HS74" si="165">+GK60/GK$11</f>
        <v>0.23054731015192054</v>
      </c>
      <c r="HP60" s="1529">
        <f t="shared" si="165"/>
        <v>0.1439285073745423</v>
      </c>
      <c r="HQ60" s="1529">
        <f t="shared" si="165"/>
        <v>0.19967076256992355</v>
      </c>
      <c r="HR60" s="1529">
        <f t="shared" si="165"/>
        <v>0.12752014620864607</v>
      </c>
      <c r="HS60" s="1529">
        <f t="shared" si="165"/>
        <v>0.1591301443787293</v>
      </c>
      <c r="HU60" s="1526">
        <f t="shared" ref="HU60:HZ60" si="166">+IFERROR(SUMIFS($E60:$BX60,$E$6:$BX$6,HU$7,$E$5:$BX$5,"&lt;="&amp;$HW$5),"NA")</f>
        <v>3092.2674024799999</v>
      </c>
      <c r="HV60" s="1526">
        <f t="shared" si="166"/>
        <v>3246.6657756799996</v>
      </c>
      <c r="HW60" s="1526">
        <f t="shared" si="166"/>
        <v>4094.8453585800007</v>
      </c>
      <c r="HX60" s="1526">
        <f t="shared" si="166"/>
        <v>-1807.5661411100004</v>
      </c>
      <c r="HY60" s="1526">
        <f t="shared" si="166"/>
        <v>-2460.9906921000002</v>
      </c>
      <c r="HZ60" s="1526">
        <f t="shared" si="166"/>
        <v>1641.3748248100003</v>
      </c>
      <c r="IA60" s="1526">
        <f>+IFERROR(SUMIFS($E60:$CJ60,$E$6:$CJ$6,IA$7,$E$5:$CJ$5,"&lt;="&amp;$HW$5),"NA")</f>
        <v>361.61620507000032</v>
      </c>
      <c r="IB60" s="1526">
        <f>+IFERROR(SUMIFS($E60:$CV60,$E$6:$CV$6,IB$7,$E$5:$CV$5,"&lt;="&amp;$HW$5),"NA")</f>
        <v>1694.9361921299992</v>
      </c>
      <c r="IC60" s="1526">
        <f>+SUMIF($CW$5:$DH$5,"&lt;="&amp;$HW$5,$CW60:$DH60)</f>
        <v>1145.2084130000003</v>
      </c>
      <c r="ID60" s="1526">
        <f t="shared" si="18"/>
        <v>502.70873753214801</v>
      </c>
      <c r="IE60" s="1526">
        <f>+SUMIF($DJ$5:$DU$5,"&lt;="&amp;$HW$5,$DJ60:$DU60)</f>
        <v>1461.3136339699993</v>
      </c>
      <c r="IF60" s="922">
        <f t="shared" si="20"/>
        <v>-0.32433538305602216</v>
      </c>
      <c r="IG60" s="1526">
        <f t="shared" si="151"/>
        <v>1145.2084130000003</v>
      </c>
      <c r="IH60" s="1526">
        <f>+ID60</f>
        <v>502.70873753214801</v>
      </c>
      <c r="II60" s="939"/>
      <c r="IJ60" s="1528">
        <f>+IFERROR(IG60/IH60,"")</f>
        <v>2.2780754092756639</v>
      </c>
      <c r="IK60" s="1530">
        <f>+IFERROR(IG60-IH60,"NA")</f>
        <v>642.49967546785228</v>
      </c>
      <c r="IM60" s="1529">
        <f>+IG60/IG$11</f>
        <v>0.17611589106556572</v>
      </c>
      <c r="IN60" s="1528">
        <f>+IFERROR(IH60/IH$11,"")</f>
        <v>7.1195756564787271E-2</v>
      </c>
      <c r="IP60" s="1529">
        <f t="shared" si="134"/>
        <v>0.26124634979476857</v>
      </c>
      <c r="IQ60" s="1529">
        <f t="shared" si="134"/>
        <v>-1.441424762799058</v>
      </c>
      <c r="IR60" s="1529">
        <f t="shared" si="134"/>
        <v>0.36149413077008674</v>
      </c>
      <c r="IS60" s="1529">
        <f>+IFERROR(HZ60/HY60-1,"NA")</f>
        <v>-1.6669569413972023</v>
      </c>
      <c r="IT60" s="1529">
        <f>+IFERROR(IA60/HZ60-1,"NA")</f>
        <v>-0.77968700408704039</v>
      </c>
      <c r="IU60" s="1529">
        <f>+IFERROR(IB60/IA60-1,"NA")</f>
        <v>3.6871134876322804</v>
      </c>
      <c r="IV60" s="1529">
        <f>+IFERROR(IE60/IB60-1,"NA")</f>
        <v>-0.1378356065819859</v>
      </c>
      <c r="IX60" s="1526">
        <f t="shared" si="135"/>
        <v>848.17958290000115</v>
      </c>
      <c r="IY60" s="1526">
        <f t="shared" si="135"/>
        <v>-5902.4114996900007</v>
      </c>
      <c r="IZ60" s="1526">
        <f>+HY60-HX60</f>
        <v>-653.42455098999972</v>
      </c>
      <c r="JA60" s="1526">
        <f>+HZ60-HY60</f>
        <v>4102.3655169100002</v>
      </c>
      <c r="JB60" s="1526">
        <f>+IA60-HZ60</f>
        <v>-1279.7586197400001</v>
      </c>
      <c r="JC60" s="1526">
        <f>+IB60-IA60</f>
        <v>1333.3199870599988</v>
      </c>
      <c r="JD60" s="1526">
        <f>+IE60-IB60</f>
        <v>-233.62255815999993</v>
      </c>
      <c r="JF60" s="1529">
        <f t="shared" ref="JF60:JL60" si="167">+HU60/HU$11</f>
        <v>0.19333116616343782</v>
      </c>
      <c r="JG60" s="1529">
        <f t="shared" si="167"/>
        <v>0.19040543517920619</v>
      </c>
      <c r="JH60" s="1529">
        <f t="shared" si="167"/>
        <v>0.25190877692011426</v>
      </c>
      <c r="JI60" s="1529">
        <f t="shared" si="167"/>
        <v>-0.19323838703275703</v>
      </c>
      <c r="JJ60" s="1529">
        <f t="shared" si="167"/>
        <v>-1.2264327615515149</v>
      </c>
      <c r="JK60" s="1529">
        <f t="shared" si="167"/>
        <v>0.23646456562915211</v>
      </c>
      <c r="JL60" s="1529">
        <f t="shared" si="167"/>
        <v>6.8365494614436986E-2</v>
      </c>
      <c r="JM60" s="1529">
        <f>+IE60/IE$11</f>
        <v>0.21431012516798739</v>
      </c>
      <c r="JO60" s="1526">
        <f>+SUMIFS($E60:$BX60,$E$6:$BX$6,JO$7,$E$5:$BX$5,$JQ$5)</f>
        <v>603.48692325999946</v>
      </c>
      <c r="JP60" s="1526">
        <f>+SUMIFS($E60:$BX60,$E$6:$BX$6,JP$7,$E$5:$BX$5,$JQ$5)</f>
        <v>1261.2795914199967</v>
      </c>
      <c r="JQ60" s="1526">
        <f>+SUMIFS($E60:$BX60,$E$6:$BX$6,JQ$7,$E$5:$BX$5,$JQ$5)</f>
        <v>544.00775340000041</v>
      </c>
      <c r="JR60" s="1526">
        <f>+SUMIFS($E60:$BX60,$E$6:$BX$6,JR$7,$E$5:$BX$5,$JQ$5)</f>
        <v>-896.8379936</v>
      </c>
      <c r="JS60" s="1526">
        <f>+SUMIFS($E60:$BX60,$E$6:$BX$6,JS$7,$E$5:$BX$5,$JQ$5)</f>
        <v>-550.33981901999994</v>
      </c>
      <c r="JT60" s="1526">
        <f>+SUMIFS($E60:$CJ60,$E$6:$CJ$6,JT$7,$E$5:$CJ$5,$JQ$5)</f>
        <v>214.58035303000005</v>
      </c>
      <c r="JU60" s="1526">
        <f>+SUMIFS($E60:$CV60,$E$6:$CV$6,JU$7,$E$5:$CV$5,$JQ$5)</f>
        <v>61.99229477999981</v>
      </c>
      <c r="JV60" s="1526">
        <f>+SUMIFS($E60:$CV60,$E$6:$CV$6,JV$7,$E$5:$CV$5,$JQ$5)</f>
        <v>161.1802761199998</v>
      </c>
      <c r="JW60" s="1526">
        <f>+SUMIFS($E60:$DH60,$E$6:$DH$6,JW$7,$E$5:$DH$5,$JQ$5)</f>
        <v>-201.98600461000004</v>
      </c>
      <c r="JX60" s="1526">
        <f>+SUMIF($FS$5:$GD$5,$JQ$5,$FS60:$GD60)</f>
        <v>87.989001979065478</v>
      </c>
      <c r="JY60" s="1526">
        <f>+SUMIF($DJ$5:$DU$5,$JQ$5,$DJ60:$DU60)</f>
        <v>-206.34185441999998</v>
      </c>
      <c r="KB60" s="1529">
        <f t="shared" ref="KB60:KG60" si="168">+IFERROR(JQ60/JP60-1," ")</f>
        <v>-0.56868583532098882</v>
      </c>
      <c r="KC60" s="1529">
        <f t="shared" si="168"/>
        <v>-2.6485757564939867</v>
      </c>
      <c r="KD60" s="1529">
        <f t="shared" si="168"/>
        <v>-0.38635536970185747</v>
      </c>
      <c r="KE60" s="1529">
        <f t="shared" si="168"/>
        <v>-1.3899051924174906</v>
      </c>
      <c r="KF60" s="1529">
        <f t="shared" si="168"/>
        <v>-0.71109985651233976</v>
      </c>
      <c r="KG60" s="1529">
        <f t="shared" si="168"/>
        <v>1.6000049956531113</v>
      </c>
      <c r="KH60" s="1529">
        <f t="shared" ref="KH60:KH71" si="169">+IFERROR(JY60/JV60-1," ")</f>
        <v>-2.2801929577684623</v>
      </c>
      <c r="KJ60" s="1526">
        <f t="shared" ref="KJ60:KO60" si="170">+JQ60-JP60</f>
        <v>-717.27183801999627</v>
      </c>
      <c r="KK60" s="1526">
        <f t="shared" si="170"/>
        <v>-1440.8457470000003</v>
      </c>
      <c r="KL60" s="1526">
        <f t="shared" si="170"/>
        <v>346.49817458000007</v>
      </c>
      <c r="KM60" s="1526">
        <f t="shared" si="170"/>
        <v>764.92017205000002</v>
      </c>
      <c r="KN60" s="1526">
        <f t="shared" si="170"/>
        <v>-152.58805825000024</v>
      </c>
      <c r="KO60" s="1526">
        <f t="shared" si="170"/>
        <v>99.187981339999993</v>
      </c>
      <c r="KP60" s="1526">
        <f t="shared" ref="KP60:KP71" si="171">+JY60-JV60</f>
        <v>-367.52213053999981</v>
      </c>
      <c r="KR60" s="1529">
        <f t="shared" ref="KR60:KY60" si="172">+JO60/JO$11</f>
        <v>0.18824709402720022</v>
      </c>
      <c r="KS60" s="1529">
        <f t="shared" si="172"/>
        <v>0.37501856272316414</v>
      </c>
      <c r="KT60" s="1529">
        <f t="shared" si="172"/>
        <v>0.21682833006225816</v>
      </c>
      <c r="KU60" s="1529">
        <f t="shared" si="172"/>
        <v>-1.0024265737039391</v>
      </c>
      <c r="KV60" s="1529">
        <f t="shared" si="172"/>
        <v>-1.7636610491476508</v>
      </c>
      <c r="KW60" s="1529">
        <f t="shared" si="172"/>
        <v>0.21161326291958549</v>
      </c>
      <c r="KX60" s="1529">
        <f t="shared" si="172"/>
        <v>7.0674836649346387E-2</v>
      </c>
      <c r="KY60" s="1529">
        <f t="shared" si="172"/>
        <v>0.10533867726664928</v>
      </c>
      <c r="KZ60" s="1529">
        <f t="shared" si="46"/>
        <v>-0.56302917087413262</v>
      </c>
    </row>
    <row r="61" spans="1:312">
      <c r="A61" s="884"/>
      <c r="B61" s="70"/>
      <c r="C61" s="943" t="s">
        <v>90</v>
      </c>
      <c r="D61" s="944" t="s">
        <v>35</v>
      </c>
      <c r="E61" s="945">
        <f t="shared" ref="E61:AN61" si="173">IFERROR(+E60/E$11,0)</f>
        <v>-1.4931609185755041</v>
      </c>
      <c r="F61" s="945">
        <f t="shared" si="173"/>
        <v>0.3765881819507067</v>
      </c>
      <c r="G61" s="945">
        <f t="shared" si="173"/>
        <v>0.16526910125555178</v>
      </c>
      <c r="H61" s="945">
        <f t="shared" si="173"/>
        <v>0.23547649399023499</v>
      </c>
      <c r="I61" s="945">
        <f t="shared" si="173"/>
        <v>0.42914980631955779</v>
      </c>
      <c r="J61" s="945">
        <f t="shared" si="173"/>
        <v>0.18824709402720022</v>
      </c>
      <c r="K61" s="945">
        <f t="shared" si="173"/>
        <v>0.25141833962809185</v>
      </c>
      <c r="L61" s="945">
        <f t="shared" si="173"/>
        <v>0.44318479689569706</v>
      </c>
      <c r="M61" s="945">
        <f t="shared" si="173"/>
        <v>0.43230340708517867</v>
      </c>
      <c r="N61" s="945">
        <f t="shared" si="173"/>
        <v>0.41047815758424139</v>
      </c>
      <c r="O61" s="945">
        <f t="shared" si="173"/>
        <v>0.42954000602961873</v>
      </c>
      <c r="P61" s="945">
        <f t="shared" si="173"/>
        <v>5.1799231742719914E-2</v>
      </c>
      <c r="Q61" s="945">
        <f t="shared" si="173"/>
        <v>-0.14308062848604552</v>
      </c>
      <c r="R61" s="945">
        <f t="shared" si="173"/>
        <v>0.40454294048448108</v>
      </c>
      <c r="S61" s="945">
        <f t="shared" si="173"/>
        <v>-4.6841537861624649E-2</v>
      </c>
      <c r="T61" s="945">
        <f t="shared" si="173"/>
        <v>-0.29435228440267724</v>
      </c>
      <c r="U61" s="945">
        <f t="shared" si="173"/>
        <v>0.39033599348147285</v>
      </c>
      <c r="V61" s="945">
        <f t="shared" si="173"/>
        <v>0.37501856272316414</v>
      </c>
      <c r="W61" s="945">
        <f t="shared" si="173"/>
        <v>0.24610099353564818</v>
      </c>
      <c r="X61" s="945">
        <f t="shared" si="173"/>
        <v>0.32019059633674263</v>
      </c>
      <c r="Y61" s="945">
        <f t="shared" si="173"/>
        <v>-0.4368546597384193</v>
      </c>
      <c r="Z61" s="945">
        <f t="shared" si="173"/>
        <v>6.9246108142120233E-2</v>
      </c>
      <c r="AA61" s="945">
        <f t="shared" si="173"/>
        <v>0.56493648113173955</v>
      </c>
      <c r="AB61" s="945">
        <f t="shared" si="173"/>
        <v>0.44292468671393326</v>
      </c>
      <c r="AC61" s="945">
        <f t="shared" si="173"/>
        <v>-0.2684482848510687</v>
      </c>
      <c r="AD61" s="945">
        <f t="shared" si="173"/>
        <v>0.46388668425083784</v>
      </c>
      <c r="AE61" s="945">
        <f t="shared" si="173"/>
        <v>0.18627323266726459</v>
      </c>
      <c r="AF61" s="945">
        <f t="shared" si="173"/>
        <v>0.32587481024146853</v>
      </c>
      <c r="AG61" s="945">
        <f t="shared" si="173"/>
        <v>0.25917670529163056</v>
      </c>
      <c r="AH61" s="945">
        <f t="shared" si="173"/>
        <v>0.21682833006225816</v>
      </c>
      <c r="AI61" s="945">
        <f t="shared" si="173"/>
        <v>0.15271900483626238</v>
      </c>
      <c r="AJ61" s="945">
        <f t="shared" si="173"/>
        <v>0.25551674749178438</v>
      </c>
      <c r="AK61" s="945">
        <f t="shared" si="173"/>
        <v>0.29462436449959256</v>
      </c>
      <c r="AL61" s="945">
        <f t="shared" si="173"/>
        <v>0.34457303468731426</v>
      </c>
      <c r="AM61" s="945">
        <f t="shared" si="173"/>
        <v>0.58236943414953424</v>
      </c>
      <c r="AN61" s="945">
        <f t="shared" si="173"/>
        <v>-1.1583802026513539E-2</v>
      </c>
      <c r="AO61" s="945">
        <f>IFERROR(+AO60/AO$11,0)</f>
        <v>0.4175548242141664</v>
      </c>
      <c r="AP61" s="945">
        <f t="shared" ref="AP61:DA61" si="174">IFERROR(+AP60/AP$11,0)</f>
        <v>-0.33572687213163832</v>
      </c>
      <c r="AQ61" s="945">
        <f t="shared" si="174"/>
        <v>-7.2036250682072492E-2</v>
      </c>
      <c r="AR61" s="945">
        <f t="shared" si="174"/>
        <v>-0.20966748364780469</v>
      </c>
      <c r="AS61" s="945">
        <f t="shared" si="174"/>
        <v>-0.99866138495430823</v>
      </c>
      <c r="AT61" s="945">
        <f t="shared" si="174"/>
        <v>-1.0024265737039391</v>
      </c>
      <c r="AU61" s="945">
        <f t="shared" si="174"/>
        <v>4.298690448643637E-2</v>
      </c>
      <c r="AV61" s="945">
        <f t="shared" si="174"/>
        <v>8.2374606301648778E-2</v>
      </c>
      <c r="AW61" s="945">
        <f t="shared" si="174"/>
        <v>6.5775973193511833E-2</v>
      </c>
      <c r="AX61" s="945">
        <f t="shared" si="174"/>
        <v>0.10771969216080095</v>
      </c>
      <c r="AY61" s="945">
        <f t="shared" si="174"/>
        <v>-0.50494248664055918</v>
      </c>
      <c r="AZ61" s="945">
        <f t="shared" si="174"/>
        <v>-2.9207187165026349</v>
      </c>
      <c r="BA61" s="945">
        <f t="shared" si="174"/>
        <v>-9.8308549117646971E-2</v>
      </c>
      <c r="BB61" s="945">
        <f t="shared" si="174"/>
        <v>-1.3383613418366374</v>
      </c>
      <c r="BC61" s="945">
        <f t="shared" si="174"/>
        <v>-2.6294841807689084</v>
      </c>
      <c r="BD61" s="945">
        <f t="shared" si="174"/>
        <v>-4.949948616204356</v>
      </c>
      <c r="BE61" s="945">
        <f t="shared" si="174"/>
        <v>-0.58036878917866386</v>
      </c>
      <c r="BF61" s="945">
        <f t="shared" si="174"/>
        <v>-1.7636610491476508</v>
      </c>
      <c r="BG61" s="945">
        <f t="shared" si="174"/>
        <v>-0.49535965908752638</v>
      </c>
      <c r="BH61" s="945">
        <f t="shared" si="174"/>
        <v>8.5193351691104022E-2</v>
      </c>
      <c r="BI61" s="945">
        <f t="shared" si="174"/>
        <v>-0.84937656368933057</v>
      </c>
      <c r="BJ61" s="945">
        <f t="shared" si="174"/>
        <v>-9.920970466483793E-2</v>
      </c>
      <c r="BK61" s="945">
        <f t="shared" si="174"/>
        <v>0.38501538908508348</v>
      </c>
      <c r="BL61" s="945">
        <f t="shared" si="174"/>
        <v>0.26239643890061154</v>
      </c>
      <c r="BM61" s="945">
        <f t="shared" si="174"/>
        <v>0.23971598564059879</v>
      </c>
      <c r="BN61" s="945">
        <f t="shared" si="174"/>
        <v>0.23390255360971021</v>
      </c>
      <c r="BO61" s="945">
        <f t="shared" si="174"/>
        <v>0.24530970940877073</v>
      </c>
      <c r="BP61" s="945">
        <f t="shared" si="174"/>
        <v>0.3376319951673199</v>
      </c>
      <c r="BQ61" s="945">
        <f t="shared" si="174"/>
        <v>0.10211201511054921</v>
      </c>
      <c r="BR61" s="945">
        <f t="shared" si="174"/>
        <v>0.21161326291958549</v>
      </c>
      <c r="BS61" s="945">
        <f t="shared" si="174"/>
        <v>0.18207605273045335</v>
      </c>
      <c r="BT61" s="945">
        <f t="shared" si="174"/>
        <v>0.21207417946221507</v>
      </c>
      <c r="BU61" s="945">
        <f t="shared" si="174"/>
        <v>0.17191021874101323</v>
      </c>
      <c r="BV61" s="945">
        <f t="shared" si="174"/>
        <v>0.32968772773079658</v>
      </c>
      <c r="BW61" s="945">
        <f t="shared" si="174"/>
        <v>0.31595138295580655</v>
      </c>
      <c r="BX61" s="945">
        <f t="shared" si="174"/>
        <v>8.5519338635603001E-2</v>
      </c>
      <c r="BY61" s="945">
        <f t="shared" si="174"/>
        <v>9.1003259786905349E-2</v>
      </c>
      <c r="BZ61" s="945">
        <f t="shared" si="174"/>
        <v>0.12350571622578881</v>
      </c>
      <c r="CA61" s="945">
        <f t="shared" si="174"/>
        <v>0.12745164362546332</v>
      </c>
      <c r="CB61" s="945">
        <f t="shared" si="174"/>
        <v>1.1312504668785467E-2</v>
      </c>
      <c r="CC61" s="945">
        <f t="shared" si="174"/>
        <v>-7.3807460543855938E-2</v>
      </c>
      <c r="CD61" s="945">
        <f t="shared" si="174"/>
        <v>7.0674836649346387E-2</v>
      </c>
      <c r="CE61" s="945">
        <f t="shared" si="174"/>
        <v>-4.2231575054381396E-2</v>
      </c>
      <c r="CF61" s="945">
        <f t="shared" si="174"/>
        <v>0.34751721773119754</v>
      </c>
      <c r="CG61" s="945">
        <f t="shared" si="174"/>
        <v>5.8276174030315979E-2</v>
      </c>
      <c r="CH61" s="945">
        <f t="shared" si="174"/>
        <v>0.15212270292389307</v>
      </c>
      <c r="CI61" s="945">
        <f t="shared" si="174"/>
        <v>0.32987806131750452</v>
      </c>
      <c r="CJ61" s="945">
        <f t="shared" si="174"/>
        <v>0.1492680245648734</v>
      </c>
      <c r="CK61" s="945">
        <f t="shared" si="174"/>
        <v>0.15228457852768007</v>
      </c>
      <c r="CL61" s="945">
        <f t="shared" si="174"/>
        <v>3.3133735792560029E-2</v>
      </c>
      <c r="CM61" s="945">
        <f t="shared" si="174"/>
        <v>0.28054439283986798</v>
      </c>
      <c r="CN61" s="945">
        <f t="shared" si="174"/>
        <v>0.15666478110121068</v>
      </c>
      <c r="CO61" s="945">
        <f t="shared" si="174"/>
        <v>0.28450942974766652</v>
      </c>
      <c r="CP61" s="945">
        <f t="shared" si="174"/>
        <v>0.10533867726664928</v>
      </c>
      <c r="CQ61" s="945">
        <f t="shared" si="174"/>
        <v>0.13482640156810599</v>
      </c>
      <c r="CR61" s="945">
        <f t="shared" si="174"/>
        <v>0.21060782131565034</v>
      </c>
      <c r="CS61" s="945">
        <f t="shared" si="174"/>
        <v>0.24815791432724782</v>
      </c>
      <c r="CT61" s="945">
        <f t="shared" si="174"/>
        <v>0.34359912394118591</v>
      </c>
      <c r="CU61" s="945">
        <f t="shared" si="174"/>
        <v>0.23766735677594497</v>
      </c>
      <c r="CV61" s="945">
        <f t="shared" si="174"/>
        <v>8.7365960318532804E-2</v>
      </c>
      <c r="CW61" s="945">
        <f t="shared" si="174"/>
        <v>0.23638722644616461</v>
      </c>
      <c r="CX61" s="945">
        <f t="shared" si="174"/>
        <v>0.15612491673570864</v>
      </c>
      <c r="CY61" s="945">
        <f t="shared" si="174"/>
        <v>0.36676030920897179</v>
      </c>
      <c r="CZ61" s="945">
        <f t="shared" si="174"/>
        <v>-0.20376994560606726</v>
      </c>
      <c r="DA61" s="945">
        <f t="shared" si="174"/>
        <v>8.2826912986393303E-2</v>
      </c>
      <c r="DB61" s="945">
        <f t="shared" ref="DB61:DH61" si="175">IFERROR(+DB60/DB$11,0)</f>
        <v>-0.54467003709761153</v>
      </c>
      <c r="DC61" s="945">
        <f t="shared" si="175"/>
        <v>-0.40584366302306557</v>
      </c>
      <c r="DD61" s="945">
        <f t="shared" si="175"/>
        <v>0.28302996314417506</v>
      </c>
      <c r="DE61" s="945">
        <f t="shared" si="175"/>
        <v>0.22539755375632467</v>
      </c>
      <c r="DF61" s="945">
        <f t="shared" si="175"/>
        <v>0.30658137387854789</v>
      </c>
      <c r="DG61" s="945">
        <f t="shared" si="175"/>
        <v>-4.9056244945810082E-2</v>
      </c>
      <c r="DH61" s="945">
        <f t="shared" si="175"/>
        <v>0.12804722740740374</v>
      </c>
      <c r="DJ61" s="945">
        <f t="shared" ref="DJ61:DU61" si="176">IFERROR(+DJ60/DJ$11,0)</f>
        <v>0.27906900381030242</v>
      </c>
      <c r="DK61" s="945">
        <f t="shared" si="176"/>
        <v>0.16661559736235071</v>
      </c>
      <c r="DL61" s="945">
        <f t="shared" si="176"/>
        <v>0.40805085200398006</v>
      </c>
      <c r="DM61" s="945">
        <f t="shared" si="176"/>
        <v>-0.15279515965797752</v>
      </c>
      <c r="DN61" s="945">
        <f t="shared" si="176"/>
        <v>0.16936106279720253</v>
      </c>
      <c r="DO61" s="945">
        <f t="shared" si="176"/>
        <v>-0.56302917087413262</v>
      </c>
      <c r="DP61" s="945">
        <f t="shared" si="176"/>
        <v>-0.15423286324559138</v>
      </c>
      <c r="DQ61" s="945">
        <f t="shared" si="176"/>
        <v>0.39520995365569506</v>
      </c>
      <c r="DR61" s="945">
        <f t="shared" si="176"/>
        <v>0.33804413555234025</v>
      </c>
      <c r="DS61" s="945">
        <f t="shared" si="176"/>
        <v>0.49122411368101232</v>
      </c>
      <c r="DT61" s="945">
        <f t="shared" si="176"/>
        <v>0.16014310096249623</v>
      </c>
      <c r="DU61" s="945">
        <f t="shared" si="176"/>
        <v>0.14820245522993175</v>
      </c>
      <c r="DW61" s="945">
        <v>0.21928142279407264</v>
      </c>
      <c r="DX61" s="945">
        <v>-0.23998306074368458</v>
      </c>
      <c r="DY61" s="945">
        <v>-0.1318805910082356</v>
      </c>
      <c r="DZ61" s="945">
        <v>0.26156610453721241</v>
      </c>
      <c r="EA61" s="945">
        <v>0.16548446867860936</v>
      </c>
      <c r="EB61" s="945">
        <v>0.22970964570319211</v>
      </c>
      <c r="EC61" s="945">
        <v>0.38004010215195716</v>
      </c>
      <c r="ED61" s="945">
        <v>0.48525069592304604</v>
      </c>
      <c r="EE61" s="945">
        <v>0.38951201035943328</v>
      </c>
      <c r="EF61" s="945">
        <v>0.4160431956982053</v>
      </c>
      <c r="EG61" s="945">
        <v>0.40158582885045407</v>
      </c>
      <c r="EH61" s="945">
        <v>0.26622497537082723</v>
      </c>
      <c r="EI61" s="945">
        <f>IFERROR(+EI60/EI$11,0)</f>
        <v>-0.34713756359372649</v>
      </c>
      <c r="EJ61" s="945">
        <f t="shared" ref="EJ61:FE61" si="177">IFERROR(+EJ60/EJ$11,0)</f>
        <v>-4.508845778844691E-2</v>
      </c>
      <c r="EK61" s="945">
        <f t="shared" si="177"/>
        <v>-2.7917287220198029E-2</v>
      </c>
      <c r="EL61" s="945">
        <f t="shared" si="177"/>
        <v>-9.7463354224628138E-2</v>
      </c>
      <c r="EM61" s="945">
        <f t="shared" si="177"/>
        <v>9.731790615805877E-2</v>
      </c>
      <c r="EN61" s="945">
        <f t="shared" si="177"/>
        <v>0.20809254185685744</v>
      </c>
      <c r="EO61" s="945">
        <f t="shared" si="177"/>
        <v>0.23573228150042361</v>
      </c>
      <c r="EP61" s="945">
        <f t="shared" si="177"/>
        <v>0.26346455370393279</v>
      </c>
      <c r="EQ61" s="945">
        <f t="shared" si="177"/>
        <v>0.23916305405990204</v>
      </c>
      <c r="ER61" s="945">
        <f t="shared" si="177"/>
        <v>0.27046302942872924</v>
      </c>
      <c r="ES61" s="945">
        <f t="shared" si="177"/>
        <v>0.23139551791465707</v>
      </c>
      <c r="ET61" s="945">
        <f t="shared" si="177"/>
        <v>0.14733409183544499</v>
      </c>
      <c r="EU61" s="945">
        <f t="shared" si="177"/>
        <v>0.14115652162180098</v>
      </c>
      <c r="EV61" s="945">
        <f t="shared" si="177"/>
        <v>0.29995393868321069</v>
      </c>
      <c r="EW61" s="945">
        <f t="shared" si="177"/>
        <v>0.29722543668069024</v>
      </c>
      <c r="EX61" s="945">
        <f t="shared" si="177"/>
        <v>0.28507913613507174</v>
      </c>
      <c r="EY61" s="945">
        <f t="shared" si="177"/>
        <v>0.28335611003999583</v>
      </c>
      <c r="EZ61" s="945">
        <f t="shared" si="177"/>
        <v>0.29454748608883591</v>
      </c>
      <c r="FA61" s="945">
        <f t="shared" si="177"/>
        <v>0.28452470878687658</v>
      </c>
      <c r="FB61" s="945">
        <f t="shared" si="177"/>
        <v>0.13922721995709414</v>
      </c>
      <c r="FC61" s="945">
        <f t="shared" si="177"/>
        <v>-1.1319297289936166E-2</v>
      </c>
      <c r="FD61" s="945">
        <f t="shared" si="177"/>
        <v>-0.18668504812917769</v>
      </c>
      <c r="FE61" s="945">
        <f t="shared" si="177"/>
        <v>-4.9950867826343288E-2</v>
      </c>
      <c r="FF61" s="947">
        <f t="shared" ref="FF61:GD61" si="178">+IFERROR(FF60/FF$11,"")</f>
        <v>-0.17279358618096749</v>
      </c>
      <c r="FG61" s="947">
        <f t="shared" si="178"/>
        <v>0.14278671775263013</v>
      </c>
      <c r="FH61" s="947">
        <f t="shared" si="178"/>
        <v>8.3642268976457296E-2</v>
      </c>
      <c r="FI61" s="947">
        <f t="shared" si="178"/>
        <v>4.4758183555129442E-2</v>
      </c>
      <c r="FJ61" s="947">
        <f t="shared" si="178"/>
        <v>-3.1707498721820639E-2</v>
      </c>
      <c r="FK61" s="947">
        <f t="shared" si="178"/>
        <v>7.4641351506044687E-2</v>
      </c>
      <c r="FL61" s="947">
        <f t="shared" si="178"/>
        <v>7.5551333483766955E-2</v>
      </c>
      <c r="FM61" s="947">
        <f t="shared" si="178"/>
        <v>0.11324845106113925</v>
      </c>
      <c r="FN61" s="947">
        <f t="shared" si="178"/>
        <v>0.12703864851911403</v>
      </c>
      <c r="FO61" s="947">
        <f t="shared" si="178"/>
        <v>0.14372368363521351</v>
      </c>
      <c r="FP61" s="947">
        <f t="shared" si="178"/>
        <v>0.2031544822045705</v>
      </c>
      <c r="FQ61" s="947">
        <f t="shared" si="178"/>
        <v>0.22608357913382909</v>
      </c>
      <c r="FR61" s="947">
        <f t="shared" si="178"/>
        <v>0.19926881972912397</v>
      </c>
      <c r="FS61" s="947">
        <f t="shared" si="178"/>
        <v>0.14278671775263013</v>
      </c>
      <c r="FT61" s="947">
        <f t="shared" si="178"/>
        <v>8.3642268976457296E-2</v>
      </c>
      <c r="FU61" s="947">
        <f t="shared" si="178"/>
        <v>4.4758183555129442E-2</v>
      </c>
      <c r="FV61" s="947">
        <f t="shared" si="178"/>
        <v>-3.1707498721820639E-2</v>
      </c>
      <c r="FW61" s="947">
        <f t="shared" si="178"/>
        <v>7.4641351506044687E-2</v>
      </c>
      <c r="FX61" s="947">
        <f t="shared" si="178"/>
        <v>7.5551333483766955E-2</v>
      </c>
      <c r="FY61" s="947">
        <f t="shared" si="178"/>
        <v>0.11324845106113925</v>
      </c>
      <c r="FZ61" s="947">
        <f t="shared" si="178"/>
        <v>0.12703864851911403</v>
      </c>
      <c r="GA61" s="947">
        <f t="shared" si="178"/>
        <v>0.14372368363521351</v>
      </c>
      <c r="GB61" s="947">
        <f t="shared" si="178"/>
        <v>0.2031544822045705</v>
      </c>
      <c r="GC61" s="947">
        <f t="shared" si="178"/>
        <v>0.22608357913382909</v>
      </c>
      <c r="GD61" s="947">
        <f t="shared" si="178"/>
        <v>0.19926881972912397</v>
      </c>
      <c r="GF61" s="947">
        <f t="shared" ref="GF61:GN61" si="179">+IFERROR(GF60/GF$11,"")</f>
        <v>0.27800584950790702</v>
      </c>
      <c r="GG61" s="947">
        <f t="shared" si="179"/>
        <v>0.26251274282504089</v>
      </c>
      <c r="GH61" s="947">
        <f t="shared" si="179"/>
        <v>0.27261351093340946</v>
      </c>
      <c r="GI61" s="947">
        <f t="shared" si="179"/>
        <v>-0.20978785505075059</v>
      </c>
      <c r="GJ61" s="947">
        <f t="shared" si="179"/>
        <v>-0.33729796766886666</v>
      </c>
      <c r="GK61" s="947">
        <f t="shared" si="179"/>
        <v>0.23054731015192054</v>
      </c>
      <c r="GL61" s="947">
        <f t="shared" si="179"/>
        <v>0.1439285073745423</v>
      </c>
      <c r="GM61" s="947">
        <f t="shared" si="179"/>
        <v>0.19967076256992355</v>
      </c>
      <c r="GN61" s="947">
        <f t="shared" si="179"/>
        <v>0.12752014620864607</v>
      </c>
      <c r="GO61" s="947">
        <v>0.1591301443787293</v>
      </c>
      <c r="GQ61" s="947">
        <f t="shared" si="164"/>
        <v>3.8477248760074634E-2</v>
      </c>
      <c r="GR61" s="947">
        <f t="shared" si="164"/>
        <v>-1.7695431320790072</v>
      </c>
      <c r="GS61" s="947">
        <f t="shared" si="164"/>
        <v>0.60780502564016214</v>
      </c>
      <c r="GT61" s="947">
        <f t="shared" si="164"/>
        <v>-1.6835123014386326</v>
      </c>
      <c r="GU61" s="947">
        <f t="shared" si="164"/>
        <v>-0.37570944861729361</v>
      </c>
      <c r="GV61" s="947">
        <f t="shared" si="164"/>
        <v>0.38729127545472486</v>
      </c>
      <c r="GW61" s="947">
        <f t="shared" si="92"/>
        <v>-0.36134792812247984</v>
      </c>
      <c r="GX61" s="947">
        <f t="shared" si="92"/>
        <v>0.24788238650827399</v>
      </c>
      <c r="GY61" s="947">
        <f t="shared" si="9"/>
        <v>-0.20303732839702637</v>
      </c>
      <c r="HA61" s="947">
        <f>+IFERROR(GH61-GG61,"")</f>
        <v>1.0100768108368574E-2</v>
      </c>
      <c r="HB61" s="947">
        <f>+IFERROR(GI61-GH61,"")</f>
        <v>-0.48240136598416006</v>
      </c>
      <c r="HC61" s="947">
        <f>+IFERROR(GJ61-GI61,"")</f>
        <v>-0.12751011261811607</v>
      </c>
      <c r="HD61" s="947">
        <f>+IFERROR(GK61-GJ61,"")</f>
        <v>0.5678452778207872</v>
      </c>
      <c r="HE61" s="947">
        <f t="shared" si="93"/>
        <v>-8.661880277737824E-2</v>
      </c>
      <c r="HF61" s="947">
        <f t="shared" si="93"/>
        <v>5.5742255195381257E-2</v>
      </c>
      <c r="HG61" s="947">
        <f t="shared" si="93"/>
        <v>-7.2150616361277481E-2</v>
      </c>
      <c r="HH61" s="947">
        <f t="shared" ref="HH61" si="180">+IFERROR(GO61-GN61,"")</f>
        <v>3.1609998170083226E-2</v>
      </c>
      <c r="HI61" s="947">
        <f t="shared" si="11"/>
        <v>-4.0540618191194255E-2</v>
      </c>
      <c r="HK61" s="945"/>
      <c r="HL61" s="945"/>
      <c r="HM61" s="945"/>
      <c r="HN61" s="945"/>
      <c r="HO61" s="945"/>
      <c r="HP61" s="945"/>
      <c r="HQ61" s="945"/>
      <c r="HR61" s="945"/>
      <c r="HS61" s="945"/>
      <c r="HU61" s="947">
        <f>+IFERROR(HU60/HU$11,"")</f>
        <v>0.19333116616343782</v>
      </c>
      <c r="HV61" s="947">
        <f>+IFERROR(HV60/HV$11,"")</f>
        <v>0.19040543517920619</v>
      </c>
      <c r="HW61" s="947">
        <f>+IFERROR(HW60/HW$11,"")</f>
        <v>0.25190877692011426</v>
      </c>
      <c r="HX61" s="947">
        <f>+IFERROR(HX60/HX$11,"")</f>
        <v>-0.19323838703275703</v>
      </c>
      <c r="HY61" s="947">
        <f>+IFERROR(HY60/HY$11,"")</f>
        <v>-1.2264327615515149</v>
      </c>
      <c r="HZ61" s="947">
        <f>+IFERROR(SUMIFS($E61:$BX61,$E$6:$BX$6,HZ$7,$E$5:$BX$5,"&lt;="&amp;$HW$5),"")</f>
        <v>1.3702855218565344</v>
      </c>
      <c r="IA61" s="947">
        <f>+IFERROR(SUMIFS($E61:$CJ61,$E$6:$CJ$6,IA$7,$E$5:$CJ$5,"&lt;="&amp;$HW$5),"")</f>
        <v>0.35014050041243339</v>
      </c>
      <c r="IB61" s="947">
        <f t="shared" ref="IB61:IC61" si="181">+IB60/IB11</f>
        <v>0.17874226186805017</v>
      </c>
      <c r="IC61" s="947">
        <f t="shared" si="181"/>
        <v>0.17611589106556572</v>
      </c>
      <c r="ID61" s="947">
        <f>+IFERROR(SUMIF($FG$5:$FR$5,"&lt;="&amp;$HW$5,$FG61:$FR61),"")</f>
        <v>0.38967235655220789</v>
      </c>
      <c r="IE61" s="947">
        <f>+IFERROR(IE60/IE$11,"")</f>
        <v>0.21431012516798739</v>
      </c>
      <c r="IF61" s="50">
        <f>+IC61-IB61</f>
        <v>-2.6263708024844568E-3</v>
      </c>
      <c r="IG61" s="945">
        <f t="shared" si="151"/>
        <v>0.17611589106556572</v>
      </c>
      <c r="IH61" s="945">
        <f>IFERROR(+IH60/IH$11,0)</f>
        <v>7.1195756564787271E-2</v>
      </c>
      <c r="II61" s="946"/>
      <c r="IJ61" s="947">
        <f>+IFERROR(IG61/IH61,"")</f>
        <v>2.4736852245583258</v>
      </c>
      <c r="IK61" s="945">
        <f>+IFERROR(IG61-IH61,"NA")</f>
        <v>0.10492013450077844</v>
      </c>
      <c r="IM61" s="945"/>
      <c r="IN61" s="945"/>
      <c r="IP61" s="945"/>
      <c r="IQ61" s="945"/>
      <c r="IR61" s="945"/>
      <c r="IS61" s="945"/>
      <c r="IT61" s="945"/>
      <c r="IU61" s="945"/>
      <c r="IV61" s="945"/>
      <c r="IX61" s="945"/>
      <c r="IY61" s="945"/>
      <c r="IZ61" s="945"/>
      <c r="JA61" s="945"/>
      <c r="JB61" s="945"/>
      <c r="JC61" s="945"/>
      <c r="JD61" s="945"/>
      <c r="JF61" s="945"/>
      <c r="JG61" s="945"/>
      <c r="JH61" s="945"/>
      <c r="JI61" s="945"/>
      <c r="JJ61" s="945"/>
      <c r="JK61" s="945"/>
      <c r="JL61" s="945"/>
      <c r="JM61" s="945"/>
      <c r="JO61" s="945">
        <f t="shared" ref="JO61:JY61" si="182">JO60/JO$11</f>
        <v>0.18824709402720022</v>
      </c>
      <c r="JP61" s="945">
        <f t="shared" si="182"/>
        <v>0.37501856272316414</v>
      </c>
      <c r="JQ61" s="945">
        <f t="shared" si="182"/>
        <v>0.21682833006225816</v>
      </c>
      <c r="JR61" s="945">
        <f t="shared" si="182"/>
        <v>-1.0024265737039391</v>
      </c>
      <c r="JS61" s="945">
        <f t="shared" si="182"/>
        <v>-1.7636610491476508</v>
      </c>
      <c r="JT61" s="945">
        <f>+SUMIFS($E61:$CJ61,$E$6:$CJ$6,JT$7,$E$5:$CJ$5,$JQ$5)</f>
        <v>0.21161326291958549</v>
      </c>
      <c r="JU61" s="945">
        <f>+SUMIFS($E61:$CV61,$E$6:$CV$6,JU$7,$E$5:$CV$5,$JQ$5)</f>
        <v>7.0674836649346387E-2</v>
      </c>
      <c r="JV61" s="945">
        <f>+SUMIFS($E61:$CV61,$E$6:$CV$6,JV$7,$E$5:$CV$5,$JQ$5)</f>
        <v>0.10533867726664928</v>
      </c>
      <c r="JW61" s="945">
        <f>+SUMIFS($E61:$DH61,$E$6:$DH$6,JW$7,$E$5:$DH$5,$JQ$5)</f>
        <v>-0.54467003709761153</v>
      </c>
      <c r="JX61" s="945">
        <f>+SUMIF($FS$5:$GD$5,$JQ$5,$FS61:$GD61)</f>
        <v>7.5551333483766955E-2</v>
      </c>
      <c r="JY61" s="945">
        <f t="shared" si="182"/>
        <v>-0.56302917087413262</v>
      </c>
      <c r="KB61" s="945"/>
      <c r="KC61" s="945"/>
      <c r="KD61" s="945"/>
      <c r="KE61" s="945"/>
      <c r="KF61" s="945"/>
      <c r="KG61" s="945"/>
      <c r="KH61" s="945">
        <f t="shared" si="169"/>
        <v>-6.3449424796640228</v>
      </c>
      <c r="KJ61" s="945"/>
      <c r="KK61" s="945"/>
      <c r="KL61" s="945"/>
      <c r="KM61" s="945"/>
      <c r="KN61" s="945"/>
      <c r="KO61" s="945"/>
      <c r="KP61" s="945">
        <f t="shared" si="171"/>
        <v>-0.66836784814078187</v>
      </c>
      <c r="KR61" s="945"/>
      <c r="KS61" s="945"/>
      <c r="KT61" s="945"/>
      <c r="KU61" s="945"/>
      <c r="KV61" s="945"/>
      <c r="KW61" s="945"/>
      <c r="KX61" s="945"/>
      <c r="KY61" s="945"/>
      <c r="KZ61" s="945"/>
    </row>
    <row r="62" spans="1:312">
      <c r="A62" s="884"/>
      <c r="B62" s="70"/>
      <c r="E62" s="66"/>
      <c r="F62" s="66"/>
      <c r="G62" s="66"/>
      <c r="H62" s="66"/>
      <c r="I62" s="66"/>
      <c r="J62" s="66"/>
      <c r="K62" s="66"/>
      <c r="L62" s="66"/>
      <c r="M62" s="66"/>
      <c r="N62" s="66"/>
      <c r="O62" s="66"/>
      <c r="P62" s="66"/>
      <c r="Q62" s="102"/>
      <c r="R62" s="66"/>
      <c r="S62" s="66"/>
      <c r="T62" s="66"/>
      <c r="U62" s="66"/>
      <c r="V62" s="66"/>
      <c r="W62" s="66"/>
      <c r="X62" s="66"/>
      <c r="Y62" s="66"/>
      <c r="Z62" s="66"/>
      <c r="AA62" s="66"/>
      <c r="AB62" s="66"/>
      <c r="AC62" s="102"/>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J62" s="66"/>
      <c r="DK62" s="66"/>
      <c r="DL62" s="66"/>
      <c r="DM62" s="66"/>
      <c r="DN62" s="66"/>
      <c r="DO62" s="66"/>
      <c r="DP62" s="66"/>
      <c r="DQ62" s="66"/>
      <c r="DR62" s="66"/>
      <c r="DS62" s="66"/>
      <c r="DT62" s="66"/>
      <c r="DU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F62" s="66"/>
      <c r="GG62" s="66"/>
      <c r="GH62" s="66"/>
      <c r="GI62" s="66"/>
      <c r="GJ62" s="66"/>
      <c r="GK62" s="66"/>
      <c r="GL62" s="66">
        <f t="shared" si="38"/>
        <v>0</v>
      </c>
      <c r="GM62" s="66">
        <f t="shared" ref="GM62:GM71" si="183">+SUMIF($E$6:$CV$6,GM$7,$E62:$CV62)</f>
        <v>0</v>
      </c>
      <c r="GN62" s="66">
        <f t="shared" si="7"/>
        <v>0</v>
      </c>
      <c r="GO62" s="66">
        <v>0</v>
      </c>
      <c r="GQ62" s="50"/>
      <c r="GR62" s="50"/>
      <c r="GS62" s="50"/>
      <c r="GT62" s="922"/>
      <c r="GU62" s="922"/>
      <c r="GV62" s="922"/>
      <c r="GW62" s="922" t="str">
        <f t="shared" si="92"/>
        <v/>
      </c>
      <c r="GX62" s="50"/>
      <c r="GY62" s="922" t="str">
        <f t="shared" si="9"/>
        <v/>
      </c>
      <c r="HA62" s="66"/>
      <c r="HB62" s="66"/>
      <c r="HC62" s="66"/>
      <c r="HD62" s="66"/>
      <c r="HE62" s="66">
        <f t="shared" si="93"/>
        <v>0</v>
      </c>
      <c r="HF62" s="66">
        <f t="shared" si="93"/>
        <v>0</v>
      </c>
      <c r="HG62" s="66">
        <f t="shared" si="93"/>
        <v>0</v>
      </c>
      <c r="HH62" s="66"/>
      <c r="HI62" s="66">
        <f t="shared" si="11"/>
        <v>0</v>
      </c>
      <c r="HK62" s="50"/>
      <c r="HL62" s="50"/>
      <c r="HM62" s="50"/>
      <c r="HN62" s="50"/>
      <c r="HO62" s="50"/>
      <c r="HP62" s="50"/>
      <c r="HQ62" s="50"/>
      <c r="HR62" s="50"/>
      <c r="HS62" s="50"/>
      <c r="HU62" s="66"/>
      <c r="HV62" s="66"/>
      <c r="HW62" s="66"/>
      <c r="HX62" s="66"/>
      <c r="HY62" s="66"/>
      <c r="HZ62" s="66"/>
      <c r="IA62" s="66"/>
      <c r="IB62" s="66"/>
      <c r="IC62" s="66"/>
      <c r="ID62" s="66"/>
      <c r="IE62" s="66"/>
      <c r="IG62" s="66"/>
      <c r="IH62" s="66"/>
      <c r="II62" s="88"/>
      <c r="IJ62" s="50"/>
      <c r="IK62" s="66"/>
      <c r="IM62" s="50"/>
      <c r="IN62" s="50"/>
      <c r="IP62" s="50"/>
      <c r="IQ62" s="50"/>
      <c r="IR62" s="50"/>
      <c r="IS62" s="50"/>
      <c r="IT62" s="50"/>
      <c r="IU62" s="50"/>
      <c r="IV62" s="50"/>
      <c r="IX62" s="66"/>
      <c r="IY62" s="66"/>
      <c r="IZ62" s="66"/>
      <c r="JA62" s="66"/>
      <c r="JB62" s="66"/>
      <c r="JC62" s="66"/>
      <c r="JD62" s="66"/>
      <c r="JF62" s="50"/>
      <c r="JG62" s="50"/>
      <c r="JH62" s="50"/>
      <c r="JI62" s="50"/>
      <c r="JJ62" s="50"/>
      <c r="JK62" s="50"/>
      <c r="JL62" s="50"/>
      <c r="JM62" s="50"/>
      <c r="JO62" s="50"/>
      <c r="JP62" s="50"/>
      <c r="JQ62" s="50"/>
      <c r="JR62" s="50"/>
      <c r="JS62" s="50"/>
      <c r="JT62" s="50"/>
      <c r="JU62" s="50"/>
      <c r="JV62" s="50"/>
      <c r="JW62" s="50"/>
      <c r="JX62" s="50"/>
      <c r="JY62" s="50"/>
      <c r="KB62" s="50"/>
      <c r="KC62" s="50"/>
      <c r="KD62" s="50"/>
      <c r="KE62" s="50"/>
      <c r="KF62" s="50"/>
      <c r="KG62" s="50"/>
      <c r="KH62" s="50" t="str">
        <f t="shared" si="169"/>
        <v xml:space="preserve"> </v>
      </c>
      <c r="KJ62" s="66"/>
      <c r="KK62" s="66"/>
      <c r="KL62" s="66"/>
      <c r="KM62" s="66"/>
      <c r="KN62" s="66"/>
      <c r="KO62" s="66"/>
      <c r="KP62" s="66">
        <f t="shared" si="171"/>
        <v>0</v>
      </c>
      <c r="KR62" s="50"/>
      <c r="KS62" s="50"/>
      <c r="KT62" s="50"/>
      <c r="KU62" s="50"/>
      <c r="KV62" s="50"/>
      <c r="KW62" s="50"/>
      <c r="KX62" s="50"/>
      <c r="KY62" s="50"/>
      <c r="KZ62" s="50"/>
    </row>
    <row r="63" spans="1:312">
      <c r="A63" s="884"/>
      <c r="B63" s="70"/>
      <c r="C63" s="185" t="s">
        <v>649</v>
      </c>
      <c r="D63" s="953" t="s">
        <v>59</v>
      </c>
      <c r="E63" s="933">
        <f t="shared" ref="E63:BJ63" si="184">+E64+E67</f>
        <v>-53.279629940000007</v>
      </c>
      <c r="F63" s="933">
        <f t="shared" si="184"/>
        <v>-67.748268370000005</v>
      </c>
      <c r="G63" s="933">
        <f t="shared" si="184"/>
        <v>-86.750514690000017</v>
      </c>
      <c r="H63" s="933">
        <f t="shared" si="184"/>
        <v>-69.512077449999992</v>
      </c>
      <c r="I63" s="933">
        <f t="shared" si="184"/>
        <v>-63.76192542999997</v>
      </c>
      <c r="J63" s="933">
        <f t="shared" si="184"/>
        <v>-70.423489600000011</v>
      </c>
      <c r="K63" s="933">
        <f t="shared" si="184"/>
        <v>-55.574052599999987</v>
      </c>
      <c r="L63" s="933">
        <f t="shared" si="184"/>
        <v>-109.69250660000002</v>
      </c>
      <c r="M63" s="933">
        <f t="shared" si="184"/>
        <v>-7.1134315999999878</v>
      </c>
      <c r="N63" s="933">
        <f t="shared" si="184"/>
        <v>-102.67171960000006</v>
      </c>
      <c r="O63" s="933">
        <f t="shared" si="184"/>
        <v>-60.270819089999961</v>
      </c>
      <c r="P63" s="933">
        <f t="shared" si="184"/>
        <v>-69.693883370000009</v>
      </c>
      <c r="Q63" s="933">
        <f t="shared" si="184"/>
        <v>-99.521728339999996</v>
      </c>
      <c r="R63" s="933">
        <f t="shared" si="184"/>
        <v>-81.107307720000009</v>
      </c>
      <c r="S63" s="933">
        <f t="shared" si="184"/>
        <v>-79.969570720000007</v>
      </c>
      <c r="T63" s="933">
        <f t="shared" si="184"/>
        <v>-78.631340120000004</v>
      </c>
      <c r="U63" s="933">
        <f t="shared" si="184"/>
        <v>-83.955766479999966</v>
      </c>
      <c r="V63" s="933">
        <f t="shared" si="184"/>
        <v>-75.113889589999971</v>
      </c>
      <c r="W63" s="933">
        <f t="shared" si="184"/>
        <v>-74.99743821000007</v>
      </c>
      <c r="X63" s="933">
        <f t="shared" si="184"/>
        <v>-80.224691670000027</v>
      </c>
      <c r="Y63" s="933">
        <f t="shared" si="184"/>
        <v>-73.244267939999986</v>
      </c>
      <c r="Z63" s="933">
        <f t="shared" si="184"/>
        <v>-76.081755060000006</v>
      </c>
      <c r="AA63" s="933">
        <f t="shared" si="184"/>
        <v>-179.17050670999987</v>
      </c>
      <c r="AB63" s="933">
        <f t="shared" si="184"/>
        <v>-116.9649122400001</v>
      </c>
      <c r="AC63" s="933">
        <f t="shared" si="184"/>
        <v>-74.672651930000001</v>
      </c>
      <c r="AD63" s="933">
        <f t="shared" si="184"/>
        <v>-75.165902930000001</v>
      </c>
      <c r="AE63" s="933">
        <f t="shared" si="184"/>
        <v>-74.844928890000006</v>
      </c>
      <c r="AF63" s="933">
        <f t="shared" si="184"/>
        <v>-74.912956129999998</v>
      </c>
      <c r="AG63" s="933">
        <f t="shared" si="184"/>
        <v>-68.260911929999992</v>
      </c>
      <c r="AH63" s="933">
        <f t="shared" si="184"/>
        <v>-79.428797930000002</v>
      </c>
      <c r="AI63" s="933">
        <f t="shared" si="184"/>
        <v>-74.701113929999991</v>
      </c>
      <c r="AJ63" s="933">
        <f t="shared" si="184"/>
        <v>-78.553022889999994</v>
      </c>
      <c r="AK63" s="933">
        <f t="shared" si="184"/>
        <v>-83.59315792999999</v>
      </c>
      <c r="AL63" s="933">
        <f t="shared" si="184"/>
        <v>-69.446449430000001</v>
      </c>
      <c r="AM63" s="933">
        <f t="shared" si="184"/>
        <v>-72.925533630000004</v>
      </c>
      <c r="AN63" s="933">
        <f t="shared" si="184"/>
        <v>-119.61533642000002</v>
      </c>
      <c r="AO63" s="933">
        <f t="shared" si="184"/>
        <v>-77.871058079999997</v>
      </c>
      <c r="AP63" s="933">
        <f t="shared" si="184"/>
        <v>-76.542095219999993</v>
      </c>
      <c r="AQ63" s="933">
        <f t="shared" si="184"/>
        <v>-76.402631219999989</v>
      </c>
      <c r="AR63" s="933">
        <f t="shared" si="184"/>
        <v>-73.397706629999988</v>
      </c>
      <c r="AS63" s="933">
        <f t="shared" si="184"/>
        <v>-39.56583887</v>
      </c>
      <c r="AT63" s="933">
        <f t="shared" si="184"/>
        <v>-117.55598293</v>
      </c>
      <c r="AU63" s="933">
        <f t="shared" si="184"/>
        <v>-115.16597830999999</v>
      </c>
      <c r="AV63" s="933">
        <f t="shared" si="184"/>
        <v>-104.65718071000001</v>
      </c>
      <c r="AW63" s="933">
        <f t="shared" si="184"/>
        <v>-152.42973889999999</v>
      </c>
      <c r="AX63" s="933">
        <f t="shared" si="184"/>
        <v>-92.57812822999999</v>
      </c>
      <c r="AY63" s="933">
        <f t="shared" si="184"/>
        <v>-72.867742639999918</v>
      </c>
      <c r="AZ63" s="933">
        <f t="shared" si="184"/>
        <v>-322.45418089999998</v>
      </c>
      <c r="BA63" s="933">
        <f t="shared" si="184"/>
        <v>105.87367812000001</v>
      </c>
      <c r="BB63" s="933">
        <f t="shared" si="184"/>
        <v>-120.70442298</v>
      </c>
      <c r="BC63" s="933">
        <f t="shared" si="184"/>
        <v>-121.18648200000001</v>
      </c>
      <c r="BD63" s="933">
        <f t="shared" si="184"/>
        <v>-120.572486</v>
      </c>
      <c r="BE63" s="933">
        <f t="shared" si="184"/>
        <v>-118.76285086999999</v>
      </c>
      <c r="BF63" s="933">
        <f t="shared" si="184"/>
        <v>-122.33470686999999</v>
      </c>
      <c r="BG63" s="933">
        <f t="shared" si="184"/>
        <v>-121.30276187</v>
      </c>
      <c r="BH63" s="933">
        <f t="shared" si="184"/>
        <v>-120.498249</v>
      </c>
      <c r="BI63" s="933">
        <f t="shared" si="184"/>
        <v>-114.413557</v>
      </c>
      <c r="BJ63" s="933">
        <f t="shared" si="184"/>
        <v>-117.38502</v>
      </c>
      <c r="BK63" s="933">
        <f>+BK64+BK67</f>
        <v>-116.952325</v>
      </c>
      <c r="BL63" s="933">
        <f>+BL64+BL67</f>
        <v>-300.49634500000002</v>
      </c>
      <c r="BM63" s="933">
        <f t="shared" ref="BM63:DH63" si="185">SUM(BM65:BM67)</f>
        <v>-77.728171779999997</v>
      </c>
      <c r="BN63" s="933">
        <f t="shared" si="185"/>
        <v>-61.190376349999994</v>
      </c>
      <c r="BO63" s="933">
        <f t="shared" si="185"/>
        <v>-62.052716119999999</v>
      </c>
      <c r="BP63" s="933">
        <f t="shared" si="185"/>
        <v>-60.028268890000007</v>
      </c>
      <c r="BQ63" s="933">
        <f t="shared" si="185"/>
        <v>-60.170330929999999</v>
      </c>
      <c r="BR63" s="933">
        <f t="shared" si="185"/>
        <v>-60.66453345</v>
      </c>
      <c r="BS63" s="933">
        <f t="shared" si="185"/>
        <v>-60.445020169999992</v>
      </c>
      <c r="BT63" s="933">
        <f t="shared" si="185"/>
        <v>-59.475307279999996</v>
      </c>
      <c r="BU63" s="933">
        <f t="shared" si="185"/>
        <v>-58.561948999999998</v>
      </c>
      <c r="BV63" s="933">
        <f t="shared" si="185"/>
        <v>-55.564616360000002</v>
      </c>
      <c r="BW63" s="933">
        <f t="shared" si="185"/>
        <v>-51.56800475</v>
      </c>
      <c r="BX63" s="933">
        <f t="shared" si="185"/>
        <v>-48.547706100000006</v>
      </c>
      <c r="BY63" s="933">
        <f t="shared" si="185"/>
        <v>-52.023218180000008</v>
      </c>
      <c r="BZ63" s="933">
        <f t="shared" si="185"/>
        <v>-52.896084610000003</v>
      </c>
      <c r="CA63" s="933">
        <f t="shared" si="185"/>
        <v>-54.889912729999999</v>
      </c>
      <c r="CB63" s="933">
        <f t="shared" si="185"/>
        <v>-51.673316949999993</v>
      </c>
      <c r="CC63" s="933">
        <f t="shared" si="185"/>
        <v>-53.032651819999998</v>
      </c>
      <c r="CD63" s="933">
        <f t="shared" si="185"/>
        <v>-53.126717760000005</v>
      </c>
      <c r="CE63" s="933">
        <f t="shared" si="185"/>
        <v>-52.698648890000001</v>
      </c>
      <c r="CF63" s="933">
        <f t="shared" si="185"/>
        <v>-54.108321580000002</v>
      </c>
      <c r="CG63" s="933">
        <f t="shared" si="185"/>
        <v>-62.061176379999992</v>
      </c>
      <c r="CH63" s="933">
        <f t="shared" si="185"/>
        <v>-58.973573610000003</v>
      </c>
      <c r="CI63" s="933">
        <f t="shared" si="185"/>
        <v>-58.901204190000001</v>
      </c>
      <c r="CJ63" s="933">
        <f t="shared" si="185"/>
        <v>-62.512583660000004</v>
      </c>
      <c r="CK63" s="933">
        <f t="shared" si="185"/>
        <v>-57.392174080000004</v>
      </c>
      <c r="CL63" s="933">
        <f t="shared" si="185"/>
        <v>-60.443720440000007</v>
      </c>
      <c r="CM63" s="933">
        <f t="shared" si="185"/>
        <v>-60.694359710000001</v>
      </c>
      <c r="CN63" s="933">
        <f t="shared" si="185"/>
        <v>-61.031049029999998</v>
      </c>
      <c r="CO63" s="933">
        <f t="shared" si="185"/>
        <v>-60.353906190000004</v>
      </c>
      <c r="CP63" s="933">
        <f t="shared" si="185"/>
        <v>-60.5363148</v>
      </c>
      <c r="CQ63" s="933">
        <f t="shared" si="185"/>
        <v>-62.934935750000001</v>
      </c>
      <c r="CR63" s="933">
        <f t="shared" si="185"/>
        <v>-63.38458785000001</v>
      </c>
      <c r="CS63" s="933">
        <f t="shared" si="185"/>
        <v>-64.208113779999991</v>
      </c>
      <c r="CT63" s="933">
        <f t="shared" si="185"/>
        <v>-64.61217413</v>
      </c>
      <c r="CU63" s="933">
        <f t="shared" si="185"/>
        <v>-66.737416969999998</v>
      </c>
      <c r="CV63" s="933">
        <f t="shared" si="185"/>
        <v>-63.81716102</v>
      </c>
      <c r="CW63" s="933">
        <f t="shared" si="185"/>
        <v>-64.328521260000002</v>
      </c>
      <c r="CX63" s="933">
        <f t="shared" si="185"/>
        <v>-60.46479283</v>
      </c>
      <c r="CY63" s="933">
        <f t="shared" si="185"/>
        <v>-65.768529409999999</v>
      </c>
      <c r="CZ63" s="933">
        <f t="shared" si="185"/>
        <v>-66.792883090000004</v>
      </c>
      <c r="DA63" s="933">
        <f t="shared" si="185"/>
        <v>-67.487420470000004</v>
      </c>
      <c r="DB63" s="933">
        <f t="shared" si="185"/>
        <v>-66.885824909999997</v>
      </c>
      <c r="DC63" s="933">
        <f t="shared" si="185"/>
        <v>-67.146543570000006</v>
      </c>
      <c r="DD63" s="933">
        <f t="shared" si="185"/>
        <v>-68.877870450000003</v>
      </c>
      <c r="DE63" s="933">
        <f t="shared" si="185"/>
        <v>-71.64438272999999</v>
      </c>
      <c r="DF63" s="933">
        <f t="shared" si="185"/>
        <v>-71.991724309999995</v>
      </c>
      <c r="DG63" s="933">
        <f t="shared" si="185"/>
        <v>-70.63778923000001</v>
      </c>
      <c r="DH63" s="933">
        <f t="shared" si="185"/>
        <v>-73.61351526</v>
      </c>
      <c r="DI63" s="949"/>
      <c r="DJ63" s="933">
        <f t="shared" ref="DJ63:DU63" si="186">SUM(DJ65:DJ67)</f>
        <v>-64.328521260000002</v>
      </c>
      <c r="DK63" s="933">
        <f t="shared" si="186"/>
        <v>-60.46479283</v>
      </c>
      <c r="DL63" s="933">
        <f t="shared" si="186"/>
        <v>-65.768529410000014</v>
      </c>
      <c r="DM63" s="933">
        <f t="shared" si="186"/>
        <v>-66.792883090000004</v>
      </c>
      <c r="DN63" s="933">
        <f t="shared" si="186"/>
        <v>-67.487420469999989</v>
      </c>
      <c r="DO63" s="933">
        <f t="shared" si="186"/>
        <v>-66.885824909999997</v>
      </c>
      <c r="DP63" s="933">
        <f t="shared" si="186"/>
        <v>-70.290333921666658</v>
      </c>
      <c r="DQ63" s="933">
        <f t="shared" si="186"/>
        <v>-70.290333921666658</v>
      </c>
      <c r="DR63" s="933">
        <f t="shared" si="186"/>
        <v>-70.290333921666658</v>
      </c>
      <c r="DS63" s="933">
        <f t="shared" si="186"/>
        <v>-70.290333921666658</v>
      </c>
      <c r="DT63" s="933">
        <f t="shared" si="186"/>
        <v>-70.290333921666658</v>
      </c>
      <c r="DU63" s="933">
        <f t="shared" si="186"/>
        <v>-70.290333921666658</v>
      </c>
      <c r="DW63" s="933">
        <v>-76.497914128749997</v>
      </c>
      <c r="DX63" s="933">
        <v>-109.84268835027778</v>
      </c>
      <c r="DY63" s="933">
        <v>-95.845969570277788</v>
      </c>
      <c r="DZ63" s="933">
        <v>-106.35760227805555</v>
      </c>
      <c r="EA63" s="933">
        <v>-91.56945976763889</v>
      </c>
      <c r="EB63" s="933">
        <v>-87.64510227805556</v>
      </c>
      <c r="EC63" s="933">
        <v>-89.288157833611109</v>
      </c>
      <c r="ED63" s="933">
        <v>-87.90621338916668</v>
      </c>
      <c r="EE63" s="933">
        <v>-87.938157833611115</v>
      </c>
      <c r="EF63" s="933">
        <v>-89.245102278055555</v>
      </c>
      <c r="EG63" s="933">
        <v>-88.19926894472222</v>
      </c>
      <c r="EH63" s="933">
        <v>-87.77010227805556</v>
      </c>
      <c r="EI63" s="933">
        <f>+EI64+EI67</f>
        <v>-167.43973786666666</v>
      </c>
      <c r="EJ63" s="933">
        <f t="shared" ref="EJ63:GD63" si="187">+EJ64+EJ67</f>
        <v>-163.38441810199998</v>
      </c>
      <c r="EK63" s="933">
        <f t="shared" si="187"/>
        <v>-157.25078446125332</v>
      </c>
      <c r="EL63" s="933">
        <f t="shared" si="187"/>
        <v>-151.61416283280317</v>
      </c>
      <c r="EM63" s="933">
        <f t="shared" si="187"/>
        <v>-145.79300606949104</v>
      </c>
      <c r="EN63" s="933">
        <f t="shared" si="187"/>
        <v>-140.2046955767114</v>
      </c>
      <c r="EO63" s="933">
        <f t="shared" si="187"/>
        <v>-135.18575083697627</v>
      </c>
      <c r="EP63" s="933">
        <f t="shared" si="187"/>
        <v>-130.14006388683055</v>
      </c>
      <c r="EQ63" s="933">
        <f t="shared" si="187"/>
        <v>-125.17787108135731</v>
      </c>
      <c r="ER63" s="933">
        <f t="shared" si="187"/>
        <v>-120.41416598810302</v>
      </c>
      <c r="ES63" s="933">
        <f t="shared" si="187"/>
        <v>-115.71600909857889</v>
      </c>
      <c r="ET63" s="933">
        <f t="shared" si="187"/>
        <v>-111.18577848463573</v>
      </c>
      <c r="EU63" s="933">
        <f t="shared" si="187"/>
        <v>-62.431831000000003</v>
      </c>
      <c r="EV63" s="933">
        <f t="shared" si="187"/>
        <v>-62.464212000000003</v>
      </c>
      <c r="EW63" s="933">
        <f t="shared" si="187"/>
        <v>-62.183587000000003</v>
      </c>
      <c r="EX63" s="933">
        <f t="shared" si="187"/>
        <v>-61.576006000000007</v>
      </c>
      <c r="EY63" s="933">
        <f t="shared" si="187"/>
        <v>-60.828530000000001</v>
      </c>
      <c r="EZ63" s="933">
        <f t="shared" si="187"/>
        <v>-59.818515000000005</v>
      </c>
      <c r="FA63" s="933">
        <f t="shared" si="187"/>
        <v>-56.744641000000001</v>
      </c>
      <c r="FB63" s="933">
        <f t="shared" si="187"/>
        <v>-54.374418000000006</v>
      </c>
      <c r="FC63" s="933">
        <f t="shared" si="187"/>
        <v>-54.241202999999999</v>
      </c>
      <c r="FD63" s="933">
        <f t="shared" si="187"/>
        <v>-54.172025000000005</v>
      </c>
      <c r="FE63" s="933">
        <f t="shared" si="187"/>
        <v>-54.159868000000003</v>
      </c>
      <c r="FF63" s="933">
        <f t="shared" si="187"/>
        <v>-53.940870000000004</v>
      </c>
      <c r="FG63" s="933">
        <f t="shared" si="187"/>
        <v>-63.520032023333329</v>
      </c>
      <c r="FH63" s="933">
        <f t="shared" si="187"/>
        <v>-63.520032023333329</v>
      </c>
      <c r="FI63" s="933">
        <f t="shared" si="187"/>
        <v>-63.520032023333329</v>
      </c>
      <c r="FJ63" s="933">
        <f t="shared" si="187"/>
        <v>-63.520032023333329</v>
      </c>
      <c r="FK63" s="933">
        <f t="shared" si="187"/>
        <v>-63.520032023333329</v>
      </c>
      <c r="FL63" s="933">
        <f t="shared" si="187"/>
        <v>-63.520032023333329</v>
      </c>
      <c r="FM63" s="933">
        <f t="shared" si="187"/>
        <v>-63.520032023333329</v>
      </c>
      <c r="FN63" s="933">
        <f t="shared" si="187"/>
        <v>-63.520032023333329</v>
      </c>
      <c r="FO63" s="933">
        <f t="shared" si="187"/>
        <v>-63.520032023333329</v>
      </c>
      <c r="FP63" s="933">
        <f t="shared" si="187"/>
        <v>-63.520032023333329</v>
      </c>
      <c r="FQ63" s="933">
        <f t="shared" si="187"/>
        <v>-63.520032023333329</v>
      </c>
      <c r="FR63" s="933">
        <f t="shared" si="187"/>
        <v>-63.520032023333329</v>
      </c>
      <c r="FS63" s="933">
        <f t="shared" si="187"/>
        <v>-63.520032023333329</v>
      </c>
      <c r="FT63" s="933">
        <f t="shared" si="187"/>
        <v>-63.520032023333329</v>
      </c>
      <c r="FU63" s="933">
        <f t="shared" si="187"/>
        <v>-63.520032023333329</v>
      </c>
      <c r="FV63" s="933">
        <f t="shared" si="187"/>
        <v>-63.520032023333329</v>
      </c>
      <c r="FW63" s="933">
        <f t="shared" si="187"/>
        <v>-63.520032023333329</v>
      </c>
      <c r="FX63" s="933">
        <f t="shared" si="187"/>
        <v>-63.520032023333329</v>
      </c>
      <c r="FY63" s="933">
        <f t="shared" si="187"/>
        <v>-63.520032023333329</v>
      </c>
      <c r="FZ63" s="933">
        <f t="shared" si="187"/>
        <v>-63.520032023333329</v>
      </c>
      <c r="GA63" s="933">
        <f t="shared" si="187"/>
        <v>-63.520032023333329</v>
      </c>
      <c r="GB63" s="933">
        <f t="shared" si="187"/>
        <v>-63.520032023333329</v>
      </c>
      <c r="GC63" s="933">
        <f t="shared" si="187"/>
        <v>-63.520032023333329</v>
      </c>
      <c r="GD63" s="933">
        <f t="shared" si="187"/>
        <v>-63.520032023333329</v>
      </c>
      <c r="GF63" s="116">
        <f t="shared" ref="GF63:GI69" si="188">+SUMIF($E$6:$AZ$6,GF$7,$E63:$AZ63)</f>
        <v>-816.49231833999988</v>
      </c>
      <c r="GG63" s="116">
        <f t="shared" si="188"/>
        <v>-1098.9831747999999</v>
      </c>
      <c r="GH63" s="116">
        <f t="shared" si="188"/>
        <v>-946.12076396999998</v>
      </c>
      <c r="GI63" s="116">
        <f t="shared" si="188"/>
        <v>-1321.4882626399999</v>
      </c>
      <c r="GJ63" s="116">
        <f>+SUMIF($E$6:$BL$6,GJ$7,$E63:$BL63)</f>
        <v>-1388.73552847</v>
      </c>
      <c r="GK63" s="116">
        <f t="shared" si="37"/>
        <v>-715.99700117999998</v>
      </c>
      <c r="GL63" s="116">
        <f t="shared" si="38"/>
        <v>-666.89741036000009</v>
      </c>
      <c r="GM63" s="116">
        <f t="shared" si="183"/>
        <v>-746.14591374999998</v>
      </c>
      <c r="GN63" s="116">
        <f t="shared" si="7"/>
        <v>-762.24038427999994</v>
      </c>
      <c r="GO63" s="116">
        <v>-815.63979752</v>
      </c>
      <c r="GQ63" s="954">
        <f t="shared" ref="GQ63:GX78" si="189">+IFERROR(GH63/GG63-1,"")</f>
        <v>-0.13909440502382475</v>
      </c>
      <c r="GR63" s="954">
        <f t="shared" si="189"/>
        <v>0.39674374875246077</v>
      </c>
      <c r="GS63" s="954">
        <f t="shared" si="189"/>
        <v>5.0887524112894544E-2</v>
      </c>
      <c r="GT63" s="954">
        <f t="shared" si="189"/>
        <v>-0.48442522964121948</v>
      </c>
      <c r="GU63" s="954">
        <f t="shared" si="189"/>
        <v>-6.8575134726934883E-2</v>
      </c>
      <c r="GV63" s="954">
        <f t="shared" si="189"/>
        <v>0.11883162561273175</v>
      </c>
      <c r="GW63" s="954">
        <f t="shared" si="92"/>
        <v>2.1570138271094885E-2</v>
      </c>
      <c r="GX63" s="954">
        <f t="shared" si="92"/>
        <v>7.0055869960813366E-2</v>
      </c>
      <c r="GY63" s="954">
        <f t="shared" si="9"/>
        <v>9.3137123033664837E-2</v>
      </c>
      <c r="HA63" s="116">
        <f t="shared" ref="HA63:HC69" si="190">+GH63-GG63</f>
        <v>152.86241082999993</v>
      </c>
      <c r="HB63" s="116">
        <f t="shared" si="190"/>
        <v>-375.36749866999992</v>
      </c>
      <c r="HC63" s="116">
        <f t="shared" si="190"/>
        <v>-67.24726583000006</v>
      </c>
      <c r="HD63" s="116">
        <f t="shared" si="99"/>
        <v>672.73852728999998</v>
      </c>
      <c r="HE63" s="116">
        <f t="shared" si="93"/>
        <v>49.099590819999889</v>
      </c>
      <c r="HF63" s="116">
        <f t="shared" si="93"/>
        <v>-79.248503389999883</v>
      </c>
      <c r="HG63" s="116">
        <f t="shared" si="93"/>
        <v>-16.094470529999967</v>
      </c>
      <c r="HH63" s="116">
        <f t="shared" si="93"/>
        <v>-53.399413240000058</v>
      </c>
      <c r="HI63" s="116">
        <f t="shared" si="11"/>
        <v>-69.493883770000025</v>
      </c>
      <c r="HK63" s="955">
        <f t="shared" ref="HK63:HN69" si="191">+GG63/GG$11</f>
        <v>-2.9900008109862954E-2</v>
      </c>
      <c r="HL63" s="955">
        <f t="shared" si="191"/>
        <v>-2.4023594215420521E-2</v>
      </c>
      <c r="HM63" s="955">
        <f t="shared" si="191"/>
        <v>-7.8413650930103829E-2</v>
      </c>
      <c r="HN63" s="955">
        <f t="shared" si="191"/>
        <v>-0.22573626121403881</v>
      </c>
      <c r="HO63" s="955">
        <f t="shared" si="165"/>
        <v>-5.2535528823142746E-2</v>
      </c>
      <c r="HP63" s="955">
        <f t="shared" si="165"/>
        <v>-4.7128780980511535E-2</v>
      </c>
      <c r="HQ63" s="955">
        <f t="shared" si="165"/>
        <v>-3.5146901814551094E-2</v>
      </c>
      <c r="HR63" s="955">
        <f t="shared" si="165"/>
        <v>-4.8450674047797015E-2</v>
      </c>
      <c r="HS63" s="955">
        <f t="shared" si="165"/>
        <v>-6.4631306338645667E-2</v>
      </c>
      <c r="HU63" s="116">
        <f t="shared" ref="HU63:HZ71" si="192">+IFERROR(SUMIFS($E63:$BX63,$E$6:$BX$6,HU$7,$E$5:$BX$5,"&lt;="&amp;$HW$5),"NA")</f>
        <v>-411.47590547999994</v>
      </c>
      <c r="HV63" s="116">
        <f t="shared" si="192"/>
        <v>-498.29960296999997</v>
      </c>
      <c r="HW63" s="116">
        <f t="shared" si="192"/>
        <v>-447.28614973999993</v>
      </c>
      <c r="HX63" s="116">
        <f t="shared" si="192"/>
        <v>-461.33531295</v>
      </c>
      <c r="HY63" s="116">
        <f t="shared" si="192"/>
        <v>-497.68727059999992</v>
      </c>
      <c r="HZ63" s="116">
        <f t="shared" si="192"/>
        <v>-381.83439751999998</v>
      </c>
      <c r="IA63" s="116">
        <f t="shared" ref="IA63:IA71" si="193">+IFERROR(SUMIFS($E63:$CJ63,$E$6:$CJ$6,IA$7,$E$5:$CJ$5,"&lt;="&amp;$HW$5),"NA")</f>
        <v>-317.64190205</v>
      </c>
      <c r="IB63" s="116">
        <f t="shared" ref="IB63:IB71" si="194">+IFERROR(SUMIFS($E63:$CV63,$E$6:$CV$6,IB$7,$E$5:$CV$5,"&lt;="&amp;$HW$5),"NA")</f>
        <v>-360.45152425000003</v>
      </c>
      <c r="IC63" s="116">
        <f t="shared" ref="IC63:IC71" si="195">+SUMIF($CW$5:$DH$5,"&lt;="&amp;$HW$5,$CW63:$DH63)</f>
        <v>-391.72797197000006</v>
      </c>
      <c r="ID63" s="116">
        <f t="shared" si="18"/>
        <v>-381.12019213999997</v>
      </c>
      <c r="IE63" s="116">
        <f t="shared" ref="IE63:IE71" si="196">+SUMIF($DJ$5:$DU$5,"&lt;="&amp;$HW$5,$DJ63:$DU63)</f>
        <v>-391.72797197</v>
      </c>
      <c r="IG63" s="116">
        <f t="shared" si="151"/>
        <v>-391.72797197000006</v>
      </c>
      <c r="IH63" s="116">
        <f t="shared" si="151"/>
        <v>-381.12019213999997</v>
      </c>
      <c r="II63" s="132"/>
      <c r="IJ63" s="954">
        <f t="shared" ref="IJ63:IJ69" si="197">+IFERROR(IG63/IH63,"")</f>
        <v>1.0278331614245813</v>
      </c>
      <c r="IK63" s="956">
        <f t="shared" ref="IK63:IK69" si="198">+IFERROR(IG63-IH63,"NA")</f>
        <v>-10.607779830000084</v>
      </c>
      <c r="IM63" s="955">
        <f t="shared" ref="IM63:IM69" si="199">+IG63/IG$11</f>
        <v>-6.0241891393443235E-2</v>
      </c>
      <c r="IN63" s="954">
        <f t="shared" ref="IN63:IN69" si="200">+IFERROR(IH63/IH$11,"")</f>
        <v>-5.3975867924494096E-2</v>
      </c>
      <c r="IP63" s="955">
        <f t="shared" ref="IP63:IR63" si="201">+IFERROR(HW63/HV63-1,"NA")</f>
        <v>-0.10237506296602705</v>
      </c>
      <c r="IQ63" s="955">
        <f t="shared" si="201"/>
        <v>3.1409788159473706E-2</v>
      </c>
      <c r="IR63" s="955">
        <f t="shared" si="201"/>
        <v>7.8797257937069709E-2</v>
      </c>
      <c r="IS63" s="955">
        <f>+IFERROR(HZ63/HY63-1,"NA")</f>
        <v>-0.23278247189310364</v>
      </c>
      <c r="IT63" s="955">
        <f>+IFERROR(IA63/HZ63-1,"NA")</f>
        <v>-0.16811606258348599</v>
      </c>
      <c r="IU63" s="955">
        <f>+IFERROR(IB63/IA63-1,"NA")</f>
        <v>0.13477322079900333</v>
      </c>
      <c r="IV63" s="955">
        <f>+IFERROR(IE63/IB63-1,"NA")</f>
        <v>8.677019131789665E-2</v>
      </c>
      <c r="IX63" s="116">
        <f t="shared" ref="IX63:JC71" si="202">+HW63-HV63</f>
        <v>51.013453230000039</v>
      </c>
      <c r="IY63" s="116">
        <f t="shared" si="202"/>
        <v>-14.049163210000074</v>
      </c>
      <c r="IZ63" s="116">
        <f t="shared" si="202"/>
        <v>-36.351957649999918</v>
      </c>
      <c r="JA63" s="116">
        <f t="shared" si="202"/>
        <v>115.85287307999994</v>
      </c>
      <c r="JB63" s="116">
        <f t="shared" si="202"/>
        <v>64.192495469999983</v>
      </c>
      <c r="JC63" s="116">
        <f t="shared" si="202"/>
        <v>-42.809622200000035</v>
      </c>
      <c r="JD63" s="116">
        <f t="shared" ref="JD63:JD71" si="203">+IE63-IB63</f>
        <v>-31.276447719999965</v>
      </c>
      <c r="JF63" s="955">
        <f t="shared" ref="JF63:JL69" si="204">+HU63/HU$11</f>
        <v>-2.5725820668291773E-2</v>
      </c>
      <c r="JG63" s="955">
        <f t="shared" si="204"/>
        <v>-2.9223504761051834E-2</v>
      </c>
      <c r="JH63" s="955">
        <f t="shared" si="204"/>
        <v>-2.7516376577743026E-2</v>
      </c>
      <c r="JI63" s="955">
        <f t="shared" si="204"/>
        <v>-4.9319186572595271E-2</v>
      </c>
      <c r="JJ63" s="955">
        <f t="shared" si="204"/>
        <v>-0.24802205698313615</v>
      </c>
      <c r="JK63" s="955">
        <f t="shared" si="204"/>
        <v>-5.5008949562929649E-2</v>
      </c>
      <c r="JL63" s="955">
        <f t="shared" si="204"/>
        <v>-6.0051915371754819E-2</v>
      </c>
      <c r="JM63" s="955">
        <f t="shared" ref="JM63:JM69" si="205">+IE63/IE$11</f>
        <v>-5.7449180486066738E-2</v>
      </c>
      <c r="JO63" s="116">
        <f t="shared" ref="JO63:JS71" si="206">+SUMIFS($E63:$BX63,$E$6:$BX$6,JO$7,$E$5:$BX$5,$JQ$5)</f>
        <v>-70.423489600000011</v>
      </c>
      <c r="JP63" s="116">
        <f t="shared" si="206"/>
        <v>-75.113889589999971</v>
      </c>
      <c r="JQ63" s="116">
        <f t="shared" si="206"/>
        <v>-79.428797930000002</v>
      </c>
      <c r="JR63" s="116">
        <f t="shared" si="206"/>
        <v>-117.55598293</v>
      </c>
      <c r="JS63" s="116">
        <f t="shared" si="206"/>
        <v>-122.33470686999999</v>
      </c>
      <c r="JT63" s="116">
        <f t="shared" ref="JT63:JT71" si="207">+SUMIFS($E63:$CJ63,$E$6:$CJ$6,JT$7,$E$5:$CJ$5,$JQ$5)</f>
        <v>-60.66453345</v>
      </c>
      <c r="JU63" s="116">
        <f t="shared" ref="JU63:JV71" si="208">+SUMIFS($E63:$CV63,$E$6:$CV$6,JU$7,$E$5:$CV$5,$JQ$5)</f>
        <v>-53.126717760000005</v>
      </c>
      <c r="JV63" s="116">
        <f t="shared" si="208"/>
        <v>-60.5363148</v>
      </c>
      <c r="JW63" s="116">
        <f t="shared" ref="JW63:JW71" si="209">+SUMIFS($E63:$DH63,$E$6:$DH$6,JW$7,$E$5:$DH$5,$JQ$5)</f>
        <v>-66.885824909999997</v>
      </c>
      <c r="JX63" s="116">
        <f t="shared" ref="JX63:JX71" si="210">+SUMIF($FS$5:$GD$5,$JQ$5,$FS63:$GD63)</f>
        <v>-63.520032023333329</v>
      </c>
      <c r="JY63" s="116">
        <f t="shared" ref="JY63:JY71" si="211">+SUMIF($DJ$5:$DU$5,$JQ$5,$DJ63:$DU63)</f>
        <v>-66.885824909999997</v>
      </c>
      <c r="KB63" s="955">
        <f t="shared" ref="KB63:KG71" si="212">+IFERROR(JQ63/JP63-1," ")</f>
        <v>5.7444879549606975E-2</v>
      </c>
      <c r="KC63" s="955">
        <f t="shared" si="212"/>
        <v>0.48001714735254075</v>
      </c>
      <c r="KD63" s="955">
        <f t="shared" si="212"/>
        <v>4.0650622970381134E-2</v>
      </c>
      <c r="KE63" s="955">
        <f t="shared" si="212"/>
        <v>-0.50411019896041709</v>
      </c>
      <c r="KF63" s="955">
        <f t="shared" si="212"/>
        <v>-0.12425407831105628</v>
      </c>
      <c r="KG63" s="955">
        <f t="shared" si="212"/>
        <v>0.13947025813777647</v>
      </c>
      <c r="KH63" s="955">
        <f t="shared" si="169"/>
        <v>0.10488762209885949</v>
      </c>
      <c r="KJ63" s="116">
        <f t="shared" ref="KJ63:KO71" si="213">+JQ63-JP63</f>
        <v>-4.3149083400000308</v>
      </c>
      <c r="KK63" s="116">
        <f t="shared" si="213"/>
        <v>-38.127184999999997</v>
      </c>
      <c r="KL63" s="116">
        <f t="shared" si="213"/>
        <v>-4.7787239399999919</v>
      </c>
      <c r="KM63" s="116">
        <f t="shared" si="213"/>
        <v>61.67017341999999</v>
      </c>
      <c r="KN63" s="116">
        <f t="shared" si="213"/>
        <v>7.5378156899999951</v>
      </c>
      <c r="KO63" s="116">
        <f t="shared" si="213"/>
        <v>-7.4095970399999942</v>
      </c>
      <c r="KP63" s="116">
        <f t="shared" si="171"/>
        <v>-6.3495101099999971</v>
      </c>
      <c r="KR63" s="955">
        <f t="shared" ref="KR63:KY69" si="214">+JO63/JO$11</f>
        <v>-2.1967364589842581E-2</v>
      </c>
      <c r="KS63" s="955">
        <f t="shared" si="214"/>
        <v>-2.2333749872916264E-2</v>
      </c>
      <c r="KT63" s="955">
        <f t="shared" si="214"/>
        <v>-3.1658397341537657E-2</v>
      </c>
      <c r="KU63" s="955">
        <f t="shared" si="214"/>
        <v>-0.13139635254957449</v>
      </c>
      <c r="KV63" s="955">
        <f t="shared" si="214"/>
        <v>-0.3920431522649348</v>
      </c>
      <c r="KW63" s="955">
        <f t="shared" si="214"/>
        <v>-5.9825700189122463E-2</v>
      </c>
      <c r="KX63" s="955">
        <f t="shared" si="214"/>
        <v>-6.0567561061077101E-2</v>
      </c>
      <c r="KY63" s="955">
        <f t="shared" si="214"/>
        <v>-3.9563248563254119E-2</v>
      </c>
      <c r="KZ63" s="955">
        <f t="shared" si="46"/>
        <v>-0.18250621352688387</v>
      </c>
    </row>
    <row r="64" spans="1:312" outlineLevel="1">
      <c r="A64" s="884"/>
      <c r="B64" s="70"/>
      <c r="C64" s="47" t="s">
        <v>92</v>
      </c>
      <c r="D64" s="923" t="s">
        <v>59</v>
      </c>
      <c r="E64" s="924">
        <v>-46.624546000000002</v>
      </c>
      <c r="F64" s="924">
        <v>-61.112972430000006</v>
      </c>
      <c r="G64" s="924">
        <v>-80.121044000000012</v>
      </c>
      <c r="H64" s="924">
        <v>-62.875648999999996</v>
      </c>
      <c r="I64" s="924">
        <v>-57.161553959999971</v>
      </c>
      <c r="J64" s="924">
        <v>-63.184797000000003</v>
      </c>
      <c r="K64" s="924">
        <v>-48.357786999999988</v>
      </c>
      <c r="L64" s="924">
        <v>-102.49866800000001</v>
      </c>
      <c r="M64" s="924">
        <v>5.9094000000015967E-2</v>
      </c>
      <c r="N64" s="924">
        <v>-95.50364200000007</v>
      </c>
      <c r="O64" s="924">
        <v>-51.595444659999956</v>
      </c>
      <c r="P64" s="924">
        <v>-57.402037000000007</v>
      </c>
      <c r="Q64" s="924">
        <v>-80.932400279999996</v>
      </c>
      <c r="R64" s="924">
        <v>-62.517984660000003</v>
      </c>
      <c r="S64" s="924">
        <v>-59.132081660000011</v>
      </c>
      <c r="T64" s="924">
        <v>-57.590551240000011</v>
      </c>
      <c r="U64" s="924">
        <v>-62.421389269999956</v>
      </c>
      <c r="V64" s="924">
        <v>-52.980932609999975</v>
      </c>
      <c r="W64" s="924">
        <v>-52.887037230000082</v>
      </c>
      <c r="X64" s="924">
        <v>-52.972802919999999</v>
      </c>
      <c r="Y64" s="924">
        <v>-51.155321959999988</v>
      </c>
      <c r="Z64" s="924">
        <v>-54.003228080000007</v>
      </c>
      <c r="AA64" s="924">
        <v>-124.46551029999986</v>
      </c>
      <c r="AB64" s="924">
        <v>-93.954849410000122</v>
      </c>
      <c r="AC64" s="924">
        <v>-50.727313000000002</v>
      </c>
      <c r="AD64" s="924">
        <v>-50.970564000000003</v>
      </c>
      <c r="AE64" s="924">
        <v>-50.649589960000007</v>
      </c>
      <c r="AF64" s="924">
        <v>-50.9276172</v>
      </c>
      <c r="AG64" s="924">
        <v>-44.065573000000001</v>
      </c>
      <c r="AH64" s="924">
        <v>-55.233458999999996</v>
      </c>
      <c r="AI64" s="924">
        <v>-51.689022999999999</v>
      </c>
      <c r="AJ64" s="924">
        <v>-51.353318000000002</v>
      </c>
      <c r="AK64" s="924">
        <v>-56.393456999999998</v>
      </c>
      <c r="AL64" s="924">
        <v>-45.316417000000001</v>
      </c>
      <c r="AM64" s="924">
        <v>-51.395664200000006</v>
      </c>
      <c r="AN64" s="924">
        <v>-173.58643161000003</v>
      </c>
      <c r="AO64" s="924">
        <f t="shared" ref="AO64:AZ64" si="215">SUM(AO65:AO66)</f>
        <v>-66.133064000000005</v>
      </c>
      <c r="AP64" s="924">
        <f t="shared" si="215"/>
        <v>-64.80410114</v>
      </c>
      <c r="AQ64" s="924">
        <f t="shared" si="215"/>
        <v>-64.664637139999996</v>
      </c>
      <c r="AR64" s="924">
        <f t="shared" si="215"/>
        <v>-61.659712549999995</v>
      </c>
      <c r="AS64" s="924">
        <f t="shared" si="215"/>
        <v>-27.82784479</v>
      </c>
      <c r="AT64" s="924">
        <f t="shared" si="215"/>
        <v>-101.53005184999999</v>
      </c>
      <c r="AU64" s="924">
        <f t="shared" si="215"/>
        <v>-50.073682229999996</v>
      </c>
      <c r="AV64" s="924">
        <f t="shared" si="215"/>
        <v>-50.006734630000004</v>
      </c>
      <c r="AW64" s="924">
        <f t="shared" si="215"/>
        <v>-49.907353819999997</v>
      </c>
      <c r="AX64" s="924">
        <f t="shared" si="215"/>
        <v>-52.688997819999997</v>
      </c>
      <c r="AY64" s="924">
        <f t="shared" si="215"/>
        <v>-61.106642949999923</v>
      </c>
      <c r="AZ64" s="924">
        <f t="shared" si="215"/>
        <v>-314.77418089999998</v>
      </c>
      <c r="BA64" s="924">
        <v>137.823215</v>
      </c>
      <c r="BB64" s="924">
        <v>-88.802943999999997</v>
      </c>
      <c r="BC64" s="924">
        <v>-88.687544000000003</v>
      </c>
      <c r="BD64" s="924">
        <v>-88.175292999999996</v>
      </c>
      <c r="BE64" s="924">
        <v>-87.444237999999999</v>
      </c>
      <c r="BF64" s="924">
        <v>-89.038505999999998</v>
      </c>
      <c r="BG64" s="924">
        <v>-87.827258999999998</v>
      </c>
      <c r="BH64" s="924">
        <v>-87.201508000000004</v>
      </c>
      <c r="BI64" s="924">
        <v>-86.746508000000006</v>
      </c>
      <c r="BJ64" s="924">
        <v>-86.473861999999997</v>
      </c>
      <c r="BK64" s="924">
        <v>-86.041167000000002</v>
      </c>
      <c r="BL64" s="924">
        <v>-85.483345</v>
      </c>
      <c r="BM64" s="924">
        <f t="shared" ref="BM64:DH64" si="216">SUM(BM65:BM66)</f>
        <v>-62.648352780000003</v>
      </c>
      <c r="BN64" s="924">
        <f t="shared" si="216"/>
        <v>-46.300986349999995</v>
      </c>
      <c r="BO64" s="924">
        <f t="shared" si="216"/>
        <v>-45.78714712</v>
      </c>
      <c r="BP64" s="924">
        <f t="shared" si="216"/>
        <v>-45.699249890000004</v>
      </c>
      <c r="BQ64" s="924">
        <f t="shared" si="216"/>
        <v>-45.821104929999997</v>
      </c>
      <c r="BR64" s="924">
        <f t="shared" si="216"/>
        <v>-45.795901450000002</v>
      </c>
      <c r="BS64" s="924">
        <f t="shared" si="216"/>
        <v>-45.161309589999995</v>
      </c>
      <c r="BT64" s="924">
        <f t="shared" si="216"/>
        <v>-44.568342279999996</v>
      </c>
      <c r="BU64" s="924">
        <f t="shared" si="216"/>
        <v>-43.942591159999999</v>
      </c>
      <c r="BV64" s="924">
        <f t="shared" si="216"/>
        <v>-40.463069359999999</v>
      </c>
      <c r="BW64" s="924">
        <f t="shared" si="216"/>
        <v>-37.68312075</v>
      </c>
      <c r="BX64" s="924">
        <f t="shared" si="216"/>
        <v>-35.521261100000004</v>
      </c>
      <c r="BY64" s="924">
        <f t="shared" si="216"/>
        <v>-34.663618180000007</v>
      </c>
      <c r="BZ64" s="924">
        <f t="shared" si="216"/>
        <v>-36.176121610000003</v>
      </c>
      <c r="CA64" s="924">
        <f t="shared" si="216"/>
        <v>-36.124121729999999</v>
      </c>
      <c r="CB64" s="924">
        <f t="shared" si="216"/>
        <v>-34.000957949999993</v>
      </c>
      <c r="CC64" s="924">
        <f t="shared" si="216"/>
        <v>-34.136008820000001</v>
      </c>
      <c r="CD64" s="924">
        <f t="shared" si="216"/>
        <v>-34.329020040000003</v>
      </c>
      <c r="CE64" s="924">
        <f t="shared" si="216"/>
        <v>-33.98736289</v>
      </c>
      <c r="CF64" s="924">
        <f t="shared" si="216"/>
        <v>-35.308647579999999</v>
      </c>
      <c r="CG64" s="924">
        <f t="shared" si="216"/>
        <v>-35.603895379999997</v>
      </c>
      <c r="CH64" s="924">
        <f t="shared" si="216"/>
        <v>-36.428544610000003</v>
      </c>
      <c r="CI64" s="924">
        <f t="shared" si="216"/>
        <v>-37.33371219</v>
      </c>
      <c r="CJ64" s="924">
        <f t="shared" si="216"/>
        <v>-38.557321659999999</v>
      </c>
      <c r="CK64" s="924">
        <f t="shared" si="216"/>
        <v>-41.225980079999999</v>
      </c>
      <c r="CL64" s="924">
        <f t="shared" si="216"/>
        <v>-41.659434440000005</v>
      </c>
      <c r="CM64" s="924">
        <f t="shared" si="216"/>
        <v>-41.910073709999999</v>
      </c>
      <c r="CN64" s="924">
        <f t="shared" si="216"/>
        <v>-42.286810029999998</v>
      </c>
      <c r="CO64" s="924">
        <f t="shared" si="216"/>
        <v>-42.452653189999999</v>
      </c>
      <c r="CP64" s="924">
        <f t="shared" si="216"/>
        <v>-42.961557799999994</v>
      </c>
      <c r="CQ64" s="924">
        <f t="shared" si="216"/>
        <v>-45.22696775</v>
      </c>
      <c r="CR64" s="924">
        <f t="shared" si="216"/>
        <v>-45.676619850000009</v>
      </c>
      <c r="CS64" s="924">
        <f t="shared" si="216"/>
        <v>-46.50014577999999</v>
      </c>
      <c r="CT64" s="924">
        <f t="shared" si="216"/>
        <v>-46.772874129999998</v>
      </c>
      <c r="CU64" s="924">
        <f t="shared" si="216"/>
        <v>-47.561301970000002</v>
      </c>
      <c r="CV64" s="924">
        <f t="shared" si="216"/>
        <v>-48.386301020000005</v>
      </c>
      <c r="CW64" s="924">
        <f t="shared" si="216"/>
        <v>-49.064978260000004</v>
      </c>
      <c r="CX64" s="924">
        <f t="shared" si="216"/>
        <v>-49.273253830000002</v>
      </c>
      <c r="CY64" s="924">
        <f t="shared" si="216"/>
        <v>-50.607869409999999</v>
      </c>
      <c r="CZ64" s="924">
        <f t="shared" si="216"/>
        <v>-51.935241089999998</v>
      </c>
      <c r="DA64" s="924">
        <f t="shared" si="216"/>
        <v>-52.579261470000006</v>
      </c>
      <c r="DB64" s="924">
        <f t="shared" si="216"/>
        <v>-52.014447909999994</v>
      </c>
      <c r="DC64" s="924">
        <f t="shared" si="216"/>
        <v>-52.229880569999999</v>
      </c>
      <c r="DD64" s="924">
        <f t="shared" si="216"/>
        <v>-52.074034449999999</v>
      </c>
      <c r="DE64" s="924">
        <f t="shared" si="216"/>
        <v>-52.074046729999992</v>
      </c>
      <c r="DF64" s="924">
        <f t="shared" si="216"/>
        <v>-52.108808310000001</v>
      </c>
      <c r="DG64" s="924">
        <f t="shared" si="216"/>
        <v>-52.442235230000001</v>
      </c>
      <c r="DH64" s="924">
        <f t="shared" si="216"/>
        <v>-55.349836260000004</v>
      </c>
      <c r="DJ64" s="924">
        <f t="shared" ref="DJ64:DU64" si="217">SUM(DJ65:DJ66)</f>
        <v>-49.064978260000004</v>
      </c>
      <c r="DK64" s="924">
        <f t="shared" si="217"/>
        <v>-49.273253830000002</v>
      </c>
      <c r="DL64" s="924">
        <f t="shared" si="217"/>
        <v>-50.607869410000006</v>
      </c>
      <c r="DM64" s="924">
        <f t="shared" si="217"/>
        <v>-51.935241089999998</v>
      </c>
      <c r="DN64" s="924">
        <f t="shared" si="217"/>
        <v>-52.579261469999992</v>
      </c>
      <c r="DO64" s="924">
        <f t="shared" si="217"/>
        <v>-52.014447909999994</v>
      </c>
      <c r="DP64" s="924">
        <f t="shared" si="217"/>
        <v>-52.014447909999994</v>
      </c>
      <c r="DQ64" s="924">
        <f t="shared" si="217"/>
        <v>-52.014447909999994</v>
      </c>
      <c r="DR64" s="924">
        <f t="shared" si="217"/>
        <v>-52.014447909999994</v>
      </c>
      <c r="DS64" s="924">
        <f t="shared" si="217"/>
        <v>-52.014447909999994</v>
      </c>
      <c r="DT64" s="924">
        <f t="shared" si="217"/>
        <v>-52.014447909999994</v>
      </c>
      <c r="DU64" s="924">
        <f t="shared" si="217"/>
        <v>-52.014447909999994</v>
      </c>
      <c r="DW64" s="924">
        <v>-51.514072189583331</v>
      </c>
      <c r="DX64" s="924">
        <v>-84.858846411111116</v>
      </c>
      <c r="DY64" s="924">
        <v>-68.362127631111122</v>
      </c>
      <c r="DZ64" s="924">
        <v>-78.873760338888886</v>
      </c>
      <c r="EA64" s="924">
        <v>-64.085617828472223</v>
      </c>
      <c r="EB64" s="924">
        <v>-60.161260338888894</v>
      </c>
      <c r="EC64" s="924">
        <v>-61.804315894444443</v>
      </c>
      <c r="ED64" s="924">
        <v>-60.422371450000014</v>
      </c>
      <c r="EE64" s="924">
        <v>-60.454315894444449</v>
      </c>
      <c r="EF64" s="924">
        <v>-61.761260338888889</v>
      </c>
      <c r="EG64" s="924">
        <v>-60.715427005555554</v>
      </c>
      <c r="EH64" s="924">
        <v>-60.286260338888894</v>
      </c>
      <c r="EI64" s="924">
        <f>SUM(EI65:EI66)</f>
        <v>-110.40042617</v>
      </c>
      <c r="EJ64" s="924">
        <f t="shared" ref="EJ64:GD64" si="218">SUM(EJ65:EJ66)</f>
        <v>-108.62667887319999</v>
      </c>
      <c r="EK64" s="924">
        <f t="shared" si="218"/>
        <v>-104.68335480160532</v>
      </c>
      <c r="EL64" s="924">
        <f t="shared" si="218"/>
        <v>-101.11776369287443</v>
      </c>
      <c r="EM64" s="924">
        <f t="shared" si="218"/>
        <v>-97.141462895159464</v>
      </c>
      <c r="EN64" s="924">
        <f t="shared" si="218"/>
        <v>-93.324214129353066</v>
      </c>
      <c r="EO64" s="924">
        <f t="shared" si="218"/>
        <v>-89.980488647512288</v>
      </c>
      <c r="EP64" s="924">
        <f t="shared" si="218"/>
        <v>-86.743012184945115</v>
      </c>
      <c r="EQ64" s="924">
        <f t="shared" si="218"/>
        <v>-83.516701447547305</v>
      </c>
      <c r="ER64" s="924">
        <f t="shared" si="218"/>
        <v>-80.419443139645423</v>
      </c>
      <c r="ES64" s="924">
        <f t="shared" si="218"/>
        <v>-77.321075164059593</v>
      </c>
      <c r="ET64" s="924">
        <f t="shared" si="218"/>
        <v>-74.326641907497219</v>
      </c>
      <c r="EU64" s="924">
        <f t="shared" si="218"/>
        <v>-47.582211999999998</v>
      </c>
      <c r="EV64" s="924">
        <f t="shared" si="218"/>
        <v>-47.614592999999999</v>
      </c>
      <c r="EW64" s="924">
        <f t="shared" si="218"/>
        <v>-47.333967999999999</v>
      </c>
      <c r="EX64" s="924">
        <f t="shared" si="218"/>
        <v>-46.726387000000003</v>
      </c>
      <c r="EY64" s="924">
        <f t="shared" si="218"/>
        <v>-45.978910999999997</v>
      </c>
      <c r="EZ64" s="924">
        <f t="shared" si="218"/>
        <v>-44.968896000000001</v>
      </c>
      <c r="FA64" s="924">
        <f t="shared" si="218"/>
        <v>-41.895021999999997</v>
      </c>
      <c r="FB64" s="924">
        <f t="shared" si="218"/>
        <v>-39.524799000000002</v>
      </c>
      <c r="FC64" s="924">
        <f t="shared" si="218"/>
        <v>-39.391584000000002</v>
      </c>
      <c r="FD64" s="924">
        <f t="shared" si="218"/>
        <v>-39.322406000000001</v>
      </c>
      <c r="FE64" s="924">
        <f t="shared" si="218"/>
        <v>-39.310248999999999</v>
      </c>
      <c r="FF64" s="924">
        <f t="shared" si="218"/>
        <v>-39.091251</v>
      </c>
      <c r="FG64" s="924">
        <f t="shared" si="218"/>
        <v>-35.535339999999998</v>
      </c>
      <c r="FH64" s="924">
        <f t="shared" si="218"/>
        <v>-35.535339999999998</v>
      </c>
      <c r="FI64" s="924">
        <f t="shared" si="218"/>
        <v>-35.535339999999998</v>
      </c>
      <c r="FJ64" s="924">
        <f t="shared" si="218"/>
        <v>-35.535339999999998</v>
      </c>
      <c r="FK64" s="924">
        <f t="shared" si="218"/>
        <v>-35.535339999999998</v>
      </c>
      <c r="FL64" s="924">
        <f t="shared" si="218"/>
        <v>-35.535339999999998</v>
      </c>
      <c r="FM64" s="924">
        <f t="shared" si="218"/>
        <v>-35.535339999999998</v>
      </c>
      <c r="FN64" s="924">
        <f t="shared" si="218"/>
        <v>-35.535339999999998</v>
      </c>
      <c r="FO64" s="924">
        <f t="shared" si="218"/>
        <v>-35.535339999999998</v>
      </c>
      <c r="FP64" s="924">
        <f t="shared" si="218"/>
        <v>-35.535339999999998</v>
      </c>
      <c r="FQ64" s="924">
        <f t="shared" si="218"/>
        <v>-35.535339999999998</v>
      </c>
      <c r="FR64" s="924">
        <f t="shared" si="218"/>
        <v>-35.535339999999998</v>
      </c>
      <c r="FS64" s="924">
        <f t="shared" si="218"/>
        <v>-35.535339999999998</v>
      </c>
      <c r="FT64" s="924">
        <f t="shared" si="218"/>
        <v>-35.535339999999998</v>
      </c>
      <c r="FU64" s="924">
        <f t="shared" si="218"/>
        <v>-35.535339999999998</v>
      </c>
      <c r="FV64" s="924">
        <f t="shared" si="218"/>
        <v>-35.535339999999998</v>
      </c>
      <c r="FW64" s="924">
        <f t="shared" si="218"/>
        <v>-35.535339999999998</v>
      </c>
      <c r="FX64" s="924">
        <f t="shared" si="218"/>
        <v>-35.535339999999998</v>
      </c>
      <c r="FY64" s="924">
        <f t="shared" si="218"/>
        <v>-35.535339999999998</v>
      </c>
      <c r="FZ64" s="924">
        <f t="shared" si="218"/>
        <v>-35.535339999999998</v>
      </c>
      <c r="GA64" s="924">
        <f t="shared" si="218"/>
        <v>-35.535339999999998</v>
      </c>
      <c r="GB64" s="924">
        <f t="shared" si="218"/>
        <v>-35.535339999999998</v>
      </c>
      <c r="GC64" s="924">
        <f t="shared" si="218"/>
        <v>-35.535339999999998</v>
      </c>
      <c r="GD64" s="924">
        <f t="shared" si="218"/>
        <v>-35.535339999999998</v>
      </c>
      <c r="GF64" s="924">
        <f t="shared" si="188"/>
        <v>-726.37904705000005</v>
      </c>
      <c r="GG64" s="924">
        <f t="shared" si="188"/>
        <v>-805.01408962000005</v>
      </c>
      <c r="GH64" s="924">
        <f t="shared" si="188"/>
        <v>-732.30842697000003</v>
      </c>
      <c r="GI64" s="924">
        <f t="shared" si="188"/>
        <v>-965.17700381999975</v>
      </c>
      <c r="GJ64" s="924">
        <f t="shared" ref="GJ64:GJ69" si="219">+SUMIF($E$6:$BL$6,GJ$7,$E64:$BL64)</f>
        <v>-824.09895899999992</v>
      </c>
      <c r="GK64" s="924">
        <f t="shared" si="37"/>
        <v>-539.39243676000001</v>
      </c>
      <c r="GL64" s="924">
        <f t="shared" si="38"/>
        <v>-426.64933264000007</v>
      </c>
      <c r="GM64" s="924">
        <f t="shared" si="183"/>
        <v>-532.62071974999992</v>
      </c>
      <c r="GN64" s="924">
        <f t="shared" si="7"/>
        <v>-426.42408000000006</v>
      </c>
      <c r="GO64" s="924">
        <v>-621.75389351999991</v>
      </c>
      <c r="GQ64" s="927">
        <f t="shared" si="189"/>
        <v>-9.0316012585966221E-2</v>
      </c>
      <c r="GR64" s="927">
        <f t="shared" si="189"/>
        <v>0.31799248550712012</v>
      </c>
      <c r="GS64" s="927">
        <f t="shared" si="189"/>
        <v>-0.146168054420731</v>
      </c>
      <c r="GT64" s="927">
        <f t="shared" si="189"/>
        <v>-0.34547613381950648</v>
      </c>
      <c r="GU64" s="927">
        <f t="shared" si="189"/>
        <v>-0.20901869666030271</v>
      </c>
      <c r="GV64" s="927">
        <f t="shared" si="189"/>
        <v>0.24838052940168742</v>
      </c>
      <c r="GW64" s="927">
        <f t="shared" si="92"/>
        <v>-0.19938510803681497</v>
      </c>
      <c r="GX64" s="927">
        <f t="shared" si="92"/>
        <v>0.45806468884214935</v>
      </c>
      <c r="GY64" s="927">
        <f t="shared" si="9"/>
        <v>0.16734830333269257</v>
      </c>
      <c r="HA64" s="924">
        <f t="shared" si="190"/>
        <v>72.705662650000022</v>
      </c>
      <c r="HB64" s="924">
        <f t="shared" si="190"/>
        <v>-232.86857684999973</v>
      </c>
      <c r="HC64" s="924">
        <f t="shared" si="190"/>
        <v>141.07804481999983</v>
      </c>
      <c r="HD64" s="924">
        <f t="shared" si="99"/>
        <v>284.70652223999991</v>
      </c>
      <c r="HE64" s="924">
        <f t="shared" si="93"/>
        <v>112.74310411999994</v>
      </c>
      <c r="HF64" s="924">
        <f t="shared" si="93"/>
        <v>-105.97138710999985</v>
      </c>
      <c r="HG64" s="924">
        <f t="shared" si="93"/>
        <v>106.19663974999986</v>
      </c>
      <c r="HH64" s="924">
        <f t="shared" si="93"/>
        <v>-195.32981351999985</v>
      </c>
      <c r="HI64" s="924">
        <f t="shared" si="11"/>
        <v>-89.133173769999985</v>
      </c>
      <c r="HK64" s="76">
        <f t="shared" si="191"/>
        <v>-2.1901998465601938E-2</v>
      </c>
      <c r="HL64" s="76">
        <f t="shared" si="191"/>
        <v>-1.8594540105260845E-2</v>
      </c>
      <c r="HM64" s="76">
        <f t="shared" si="191"/>
        <v>-5.72710744415613E-2</v>
      </c>
      <c r="HN64" s="76">
        <f t="shared" si="191"/>
        <v>-0.13395568418991458</v>
      </c>
      <c r="HO64" s="76">
        <f t="shared" si="165"/>
        <v>-3.9577354181217106E-2</v>
      </c>
      <c r="HP64" s="76">
        <f t="shared" si="165"/>
        <v>-3.0150758784050005E-2</v>
      </c>
      <c r="HQ64" s="76">
        <f t="shared" si="165"/>
        <v>-2.5088883818133463E-2</v>
      </c>
      <c r="HR64" s="76">
        <f t="shared" si="165"/>
        <v>-2.7105011138615191E-2</v>
      </c>
      <c r="HS64" s="76">
        <f t="shared" si="165"/>
        <v>-4.9267785217838679E-2</v>
      </c>
      <c r="HU64" s="924">
        <f t="shared" si="192"/>
        <v>-371.08056239000001</v>
      </c>
      <c r="HV64" s="924">
        <f t="shared" si="192"/>
        <v>-375.57533971999993</v>
      </c>
      <c r="HW64" s="924">
        <f t="shared" si="192"/>
        <v>-302.57411616000002</v>
      </c>
      <c r="HX64" s="924">
        <f t="shared" si="192"/>
        <v>-386.61941146999999</v>
      </c>
      <c r="HY64" s="924">
        <f t="shared" si="192"/>
        <v>-304.32531</v>
      </c>
      <c r="HZ64" s="924">
        <f t="shared" si="192"/>
        <v>-292.05274251999998</v>
      </c>
      <c r="IA64" s="924">
        <f t="shared" si="193"/>
        <v>-209.42984833000003</v>
      </c>
      <c r="IB64" s="924">
        <f t="shared" si="194"/>
        <v>-252.49650925000003</v>
      </c>
      <c r="IC64" s="924">
        <f t="shared" si="195"/>
        <v>-305.47505196999998</v>
      </c>
      <c r="ID64" s="924">
        <f t="shared" si="18"/>
        <v>-213.21203999999997</v>
      </c>
      <c r="IE64" s="924">
        <f t="shared" si="196"/>
        <v>-305.47505196999998</v>
      </c>
      <c r="IG64" s="924">
        <f t="shared" si="151"/>
        <v>-305.47505196999998</v>
      </c>
      <c r="IH64" s="924">
        <f t="shared" si="151"/>
        <v>-213.21203999999997</v>
      </c>
      <c r="II64" s="145"/>
      <c r="IJ64" s="927">
        <f t="shared" si="197"/>
        <v>1.4327289020357388</v>
      </c>
      <c r="IK64" s="928">
        <f t="shared" si="198"/>
        <v>-92.263011970000008</v>
      </c>
      <c r="IM64" s="76">
        <f t="shared" si="199"/>
        <v>-4.6977484940984734E-2</v>
      </c>
      <c r="IN64" s="927">
        <f t="shared" si="200"/>
        <v>-3.0195998921842777E-2</v>
      </c>
      <c r="IP64" s="927">
        <f t="shared" ref="IP64:IU71" si="220">+IFERROR(HW64/HV64-1,"")</f>
        <v>-0.19437171677571807</v>
      </c>
      <c r="IQ64" s="927">
        <f t="shared" si="220"/>
        <v>0.27776763054496412</v>
      </c>
      <c r="IR64" s="927">
        <f t="shared" si="220"/>
        <v>-0.21285558621358991</v>
      </c>
      <c r="IS64" s="927">
        <f t="shared" si="220"/>
        <v>-4.0327133750393651E-2</v>
      </c>
      <c r="IT64" s="927">
        <f t="shared" si="220"/>
        <v>-0.2829040175314973</v>
      </c>
      <c r="IU64" s="927">
        <f t="shared" si="220"/>
        <v>0.20563764555728259</v>
      </c>
      <c r="IV64" s="927">
        <f t="shared" ref="IV64:IV71" si="221">+IFERROR(IE64/IB64-1,"")</f>
        <v>0.20981891146679277</v>
      </c>
      <c r="IX64" s="924">
        <f t="shared" si="202"/>
        <v>73.001223559999914</v>
      </c>
      <c r="IY64" s="924">
        <f t="shared" si="202"/>
        <v>-84.045295309999972</v>
      </c>
      <c r="IZ64" s="924">
        <f t="shared" si="202"/>
        <v>82.294101469999987</v>
      </c>
      <c r="JA64" s="924">
        <f t="shared" si="202"/>
        <v>12.272567480000021</v>
      </c>
      <c r="JB64" s="924">
        <f t="shared" si="202"/>
        <v>82.622894189999954</v>
      </c>
      <c r="JC64" s="924">
        <f t="shared" si="202"/>
        <v>-43.066660920000004</v>
      </c>
      <c r="JD64" s="924">
        <f t="shared" si="203"/>
        <v>-52.97854271999995</v>
      </c>
      <c r="JF64" s="76">
        <f t="shared" si="204"/>
        <v>-2.3200269747016826E-2</v>
      </c>
      <c r="JG64" s="76">
        <f t="shared" si="204"/>
        <v>-2.2026161897427527E-2</v>
      </c>
      <c r="JH64" s="76">
        <f t="shared" si="204"/>
        <v>-1.861390818333172E-2</v>
      </c>
      <c r="JI64" s="76">
        <f t="shared" si="204"/>
        <v>-4.133166127029711E-2</v>
      </c>
      <c r="JJ64" s="76">
        <f t="shared" si="204"/>
        <v>-0.15166027711987576</v>
      </c>
      <c r="JK64" s="76">
        <f t="shared" si="204"/>
        <v>-4.207456082360015E-2</v>
      </c>
      <c r="JL64" s="76">
        <f t="shared" si="204"/>
        <v>-3.9593842774096333E-2</v>
      </c>
      <c r="JM64" s="76">
        <f t="shared" si="205"/>
        <v>-4.4799689198501087E-2</v>
      </c>
      <c r="JO64" s="924">
        <f t="shared" si="206"/>
        <v>-63.184797000000003</v>
      </c>
      <c r="JP64" s="924">
        <f t="shared" si="206"/>
        <v>-52.980932609999975</v>
      </c>
      <c r="JQ64" s="924">
        <f t="shared" si="206"/>
        <v>-55.233458999999996</v>
      </c>
      <c r="JR64" s="924">
        <f t="shared" si="206"/>
        <v>-101.53005184999999</v>
      </c>
      <c r="JS64" s="924">
        <f t="shared" si="206"/>
        <v>-89.038505999999998</v>
      </c>
      <c r="JT64" s="924">
        <f t="shared" si="207"/>
        <v>-45.795901450000002</v>
      </c>
      <c r="JU64" s="924">
        <f t="shared" si="208"/>
        <v>-34.329020040000003</v>
      </c>
      <c r="JV64" s="924">
        <f t="shared" si="208"/>
        <v>-42.961557799999994</v>
      </c>
      <c r="JW64" s="924">
        <f t="shared" si="209"/>
        <v>-52.014447909999994</v>
      </c>
      <c r="JX64" s="924">
        <f t="shared" si="210"/>
        <v>-35.535339999999998</v>
      </c>
      <c r="JY64" s="924">
        <f t="shared" si="211"/>
        <v>-52.014447909999994</v>
      </c>
      <c r="KB64" s="76">
        <f t="shared" si="212"/>
        <v>4.2515793494636744E-2</v>
      </c>
      <c r="KC64" s="76">
        <f t="shared" si="212"/>
        <v>0.8381983255837735</v>
      </c>
      <c r="KD64" s="76">
        <f t="shared" si="212"/>
        <v>-0.12303298996099143</v>
      </c>
      <c r="KE64" s="76">
        <f t="shared" si="212"/>
        <v>-0.48566183882285707</v>
      </c>
      <c r="KF64" s="76">
        <f t="shared" si="212"/>
        <v>-0.25039099672531939</v>
      </c>
      <c r="KG64" s="76">
        <f t="shared" si="212"/>
        <v>0.25146473013040871</v>
      </c>
      <c r="KH64" s="76">
        <f t="shared" si="169"/>
        <v>0.21072071343744425</v>
      </c>
      <c r="KJ64" s="924">
        <f t="shared" si="213"/>
        <v>-2.2525263900000212</v>
      </c>
      <c r="KK64" s="924">
        <f t="shared" si="213"/>
        <v>-46.296592849999996</v>
      </c>
      <c r="KL64" s="924">
        <f t="shared" si="213"/>
        <v>12.491545849999994</v>
      </c>
      <c r="KM64" s="924">
        <f t="shared" si="213"/>
        <v>43.242604549999996</v>
      </c>
      <c r="KN64" s="924">
        <f t="shared" si="213"/>
        <v>11.466881409999999</v>
      </c>
      <c r="KO64" s="924">
        <f t="shared" si="213"/>
        <v>-8.6325377599999911</v>
      </c>
      <c r="KP64" s="924">
        <f t="shared" si="171"/>
        <v>-9.0528901099999999</v>
      </c>
      <c r="KR64" s="76">
        <f t="shared" si="214"/>
        <v>-1.9709382197870971E-2</v>
      </c>
      <c r="KS64" s="76">
        <f t="shared" si="214"/>
        <v>-1.575291738191523E-2</v>
      </c>
      <c r="KT64" s="76">
        <f t="shared" si="214"/>
        <v>-2.201472056911348E-2</v>
      </c>
      <c r="KU64" s="76">
        <f t="shared" si="214"/>
        <v>-0.11348361992943422</v>
      </c>
      <c r="KV64" s="76">
        <f t="shared" si="214"/>
        <v>-0.2853396019683479</v>
      </c>
      <c r="KW64" s="76">
        <f t="shared" si="214"/>
        <v>-4.5162662831593883E-2</v>
      </c>
      <c r="KX64" s="76">
        <f t="shared" si="214"/>
        <v>-3.9137087798883807E-2</v>
      </c>
      <c r="KY64" s="76">
        <f t="shared" si="214"/>
        <v>-2.8077341601012166E-2</v>
      </c>
      <c r="KZ64" s="76">
        <f t="shared" si="46"/>
        <v>-0.14192782924511946</v>
      </c>
    </row>
    <row r="65" spans="1:312" outlineLevel="2">
      <c r="A65" s="884">
        <v>5160</v>
      </c>
      <c r="B65" s="70" t="s">
        <v>650</v>
      </c>
      <c r="C65" s="29" t="s">
        <v>651</v>
      </c>
      <c r="D65" s="31"/>
      <c r="E65" s="102">
        <v>-4.255763</v>
      </c>
      <c r="F65" s="102">
        <v>-4.255763</v>
      </c>
      <c r="G65" s="102">
        <v>-4.3357639999999993</v>
      </c>
      <c r="H65" s="102">
        <v>-4.3357639999999993</v>
      </c>
      <c r="I65" s="102">
        <v>-4.7350970000000032</v>
      </c>
      <c r="J65" s="102">
        <v>-4.3550969999999971</v>
      </c>
      <c r="K65" s="102">
        <v>-4.3151860000000006</v>
      </c>
      <c r="L65" s="102">
        <v>-8.3297430000000006</v>
      </c>
      <c r="M65" s="102">
        <v>2.9561999999998534E-2</v>
      </c>
      <c r="N65" s="102">
        <v>-30.585151999999994</v>
      </c>
      <c r="O65" s="102">
        <v>2.0434339999994222E-2</v>
      </c>
      <c r="P65" s="102">
        <v>-7.1911289999999894</v>
      </c>
      <c r="Q65" s="102">
        <v>-5.8684246299999998</v>
      </c>
      <c r="R65" s="102">
        <v>-5.8684246299999998</v>
      </c>
      <c r="S65" s="102">
        <v>-5.9883053000000039</v>
      </c>
      <c r="T65" s="102">
        <v>-5.8404964799999952</v>
      </c>
      <c r="U65" s="102">
        <v>-6.0632569099999998</v>
      </c>
      <c r="V65" s="102">
        <v>-6.019410360000002</v>
      </c>
      <c r="W65" s="102">
        <v>-5.9816181899999989</v>
      </c>
      <c r="X65" s="102">
        <v>-5.939620859999998</v>
      </c>
      <c r="Y65" s="102">
        <v>-5.9133708599999935</v>
      </c>
      <c r="Z65" s="102">
        <v>-5.9133708600000077</v>
      </c>
      <c r="AA65" s="102">
        <v>-27.742239120000001</v>
      </c>
      <c r="AB65" s="102">
        <v>-19.379099069999995</v>
      </c>
      <c r="AC65" s="102">
        <v>-11.001437999999998</v>
      </c>
      <c r="AD65" s="102">
        <v>-10.926603</v>
      </c>
      <c r="AE65" s="102">
        <v>-11.246464999999999</v>
      </c>
      <c r="AF65" s="102">
        <v>-11.076086</v>
      </c>
      <c r="AG65" s="102">
        <v>-11.324290999999999</v>
      </c>
      <c r="AH65" s="102">
        <v>-13.350705999999999</v>
      </c>
      <c r="AI65" s="102">
        <v>-11.794131</v>
      </c>
      <c r="AJ65" s="102">
        <v>-10.576292</v>
      </c>
      <c r="AK65" s="102">
        <v>-13.756864</v>
      </c>
      <c r="AL65" s="102">
        <v>-6.526097</v>
      </c>
      <c r="AM65" s="102">
        <v>-10.063778040000001</v>
      </c>
      <c r="AN65" s="102">
        <v>-10.215184000000047</v>
      </c>
      <c r="AO65" s="145">
        <v>-26.334599000000001</v>
      </c>
      <c r="AP65" s="145">
        <v>0</v>
      </c>
      <c r="AQ65" s="145">
        <v>0</v>
      </c>
      <c r="AR65" s="145">
        <v>0</v>
      </c>
      <c r="AS65" s="145">
        <v>0</v>
      </c>
      <c r="AT65" s="145">
        <v>0</v>
      </c>
      <c r="AU65" s="145">
        <v>0</v>
      </c>
      <c r="AV65" s="145">
        <v>0</v>
      </c>
      <c r="AW65" s="145">
        <v>0</v>
      </c>
      <c r="AX65" s="145">
        <v>0</v>
      </c>
      <c r="AY65" s="145">
        <v>0</v>
      </c>
      <c r="AZ65" s="145">
        <f>-637.4441809+284.72</f>
        <v>-352.72418089999996</v>
      </c>
      <c r="BA65" s="102"/>
      <c r="BB65" s="102"/>
      <c r="BC65" s="102"/>
      <c r="BD65" s="102"/>
      <c r="BE65" s="102"/>
      <c r="BF65" s="102"/>
      <c r="BG65" s="102"/>
      <c r="BH65" s="102"/>
      <c r="BI65" s="102"/>
      <c r="BJ65" s="102"/>
      <c r="BK65" s="102"/>
      <c r="BL65" s="102"/>
      <c r="BM65" s="102">
        <v>-8.1430825799999997</v>
      </c>
      <c r="BN65" s="102">
        <v>-8.1430819400000019</v>
      </c>
      <c r="BO65" s="102">
        <v>-8.0628875000000004</v>
      </c>
      <c r="BP65" s="102">
        <v>-8.0628875000000004</v>
      </c>
      <c r="BQ65" s="102">
        <v>-8.0628876599999995</v>
      </c>
      <c r="BR65" s="102">
        <v>-8.4128429600000008</v>
      </c>
      <c r="BS65" s="102">
        <v>-8.4987679600000003</v>
      </c>
      <c r="BT65" s="102">
        <v>-8.29404158</v>
      </c>
      <c r="BU65" s="102">
        <v>-8.2662678000000014</v>
      </c>
      <c r="BV65" s="102">
        <v>-7.9748275300000007</v>
      </c>
      <c r="BW65" s="102">
        <v>-7.1496914199999999</v>
      </c>
      <c r="BX65" s="102">
        <v>-7.0017302400000005</v>
      </c>
      <c r="BY65" s="102">
        <v>-6.6384303000000005</v>
      </c>
      <c r="BZ65" s="102">
        <v>-7.5632746600000003</v>
      </c>
      <c r="CA65" s="102">
        <v>-7.4343021500000006</v>
      </c>
      <c r="CB65" s="102">
        <v>-7.5869830399999989</v>
      </c>
      <c r="CC65" s="102">
        <v>-7.6238702899999993</v>
      </c>
      <c r="CD65" s="102">
        <v>-7.6599535899999998</v>
      </c>
      <c r="CE65" s="102">
        <v>-7.6441263800000012</v>
      </c>
      <c r="CF65" s="102">
        <v>-7.6664845999999995</v>
      </c>
      <c r="CG65" s="102">
        <v>-7.6698132599999997</v>
      </c>
      <c r="CH65" s="102">
        <v>-7.6710035899999998</v>
      </c>
      <c r="CI65" s="102">
        <v>-7.6769028900000009</v>
      </c>
      <c r="CJ65" s="102">
        <v>-7.6892292500000003</v>
      </c>
      <c r="CK65" s="102">
        <v>-7.6892280900000003</v>
      </c>
      <c r="CL65" s="102">
        <v>-7.7552287400000006</v>
      </c>
      <c r="CM65" s="102">
        <v>-7.7642939100000001</v>
      </c>
      <c r="CN65" s="102">
        <v>-7.7642939100000001</v>
      </c>
      <c r="CO65" s="102">
        <v>-7.8566870599999996</v>
      </c>
      <c r="CP65" s="102">
        <v>-8.163108900000001</v>
      </c>
      <c r="CQ65" s="102">
        <v>-8.4550197899999997</v>
      </c>
      <c r="CR65" s="102">
        <v>-8.4641450099999993</v>
      </c>
      <c r="CS65" s="102">
        <v>-8.7629408800000004</v>
      </c>
      <c r="CT65" s="102">
        <v>-8.9989205899999991</v>
      </c>
      <c r="CU65" s="102">
        <v>-9.0499296600000001</v>
      </c>
      <c r="CV65" s="102">
        <v>-9.2679149299999999</v>
      </c>
      <c r="CW65" s="102">
        <v>-9.3441316800000003</v>
      </c>
      <c r="CX65" s="102">
        <v>-9.3141316799999991</v>
      </c>
      <c r="CY65" s="102">
        <v>-9.8554321799999993</v>
      </c>
      <c r="CZ65" s="102">
        <v>-10.14628834</v>
      </c>
      <c r="DA65" s="102">
        <v>-10.146287630000002</v>
      </c>
      <c r="DB65" s="102">
        <v>-9.5270756700000003</v>
      </c>
      <c r="DC65" s="102">
        <v>-10.024442070000001</v>
      </c>
      <c r="DD65" s="102">
        <v>-9.5961979800000012</v>
      </c>
      <c r="DE65" s="102">
        <v>-9.6986693800000001</v>
      </c>
      <c r="DF65" s="102">
        <v>-9.6495818800000013</v>
      </c>
      <c r="DG65" s="102">
        <v>-9.3047099299999996</v>
      </c>
      <c r="DH65" s="102">
        <v>-9.7607029399999998</v>
      </c>
      <c r="DJ65" s="102">
        <v>-9.3441316800000003</v>
      </c>
      <c r="DK65" s="102">
        <v>-9.3141316799999991</v>
      </c>
      <c r="DL65" s="102">
        <v>-9.8554321799999993</v>
      </c>
      <c r="DM65" s="102">
        <v>-10.14628834</v>
      </c>
      <c r="DN65" s="102">
        <v>-10.14628763</v>
      </c>
      <c r="DO65" s="102">
        <v>-9.5270756700000003</v>
      </c>
      <c r="DP65" s="102">
        <v>-9.5270756700000003</v>
      </c>
      <c r="DQ65" s="102">
        <v>-9.5270756700000003</v>
      </c>
      <c r="DR65" s="102">
        <v>-9.5270756700000003</v>
      </c>
      <c r="DS65" s="102">
        <v>-9.5270756700000003</v>
      </c>
      <c r="DT65" s="102">
        <v>-9.5270756700000003</v>
      </c>
      <c r="DU65" s="102">
        <v>-9.5270756700000003</v>
      </c>
      <c r="DW65" s="102">
        <v>-10.988161253333335</v>
      </c>
      <c r="DX65" s="102">
        <v>-10.988161253333335</v>
      </c>
      <c r="DY65" s="102">
        <v>-10.988161253333335</v>
      </c>
      <c r="DZ65" s="102">
        <v>-10.988161253333335</v>
      </c>
      <c r="EA65" s="102">
        <v>-10.988161253333335</v>
      </c>
      <c r="EB65" s="102">
        <v>-10.988161253333335</v>
      </c>
      <c r="EC65" s="102">
        <v>-10.988161253333335</v>
      </c>
      <c r="ED65" s="102">
        <v>-10.988161253333335</v>
      </c>
      <c r="EE65" s="102">
        <v>-10.988161253333335</v>
      </c>
      <c r="EF65" s="102">
        <v>-10.988161253333335</v>
      </c>
      <c r="EG65" s="102">
        <v>-10.988161253333335</v>
      </c>
      <c r="EH65" s="102">
        <v>-10.988161253333335</v>
      </c>
      <c r="EI65" s="102">
        <v>-75.887121120000003</v>
      </c>
      <c r="EJ65" s="102">
        <v>-72.851636275199994</v>
      </c>
      <c r="EK65" s="102">
        <v>-69.937570824191994</v>
      </c>
      <c r="EL65" s="102">
        <v>-67.140067991224313</v>
      </c>
      <c r="EM65" s="102">
        <v>-64.454465271575344</v>
      </c>
      <c r="EN65" s="102">
        <v>-61.876286660712317</v>
      </c>
      <c r="EO65" s="102">
        <v>-59.401235194283828</v>
      </c>
      <c r="EP65" s="102">
        <v>-57.025185786512466</v>
      </c>
      <c r="EQ65" s="102">
        <v>-54.744178355051965</v>
      </c>
      <c r="ER65" s="102">
        <v>-52.554411220849886</v>
      </c>
      <c r="ES65" s="102">
        <v>-50.452234772015885</v>
      </c>
      <c r="ET65" s="102">
        <v>-48.434145381135252</v>
      </c>
      <c r="EU65" s="102">
        <v>-47.582211999999998</v>
      </c>
      <c r="EV65" s="102">
        <v>-47.614592999999999</v>
      </c>
      <c r="EW65" s="102">
        <v>-47.333967999999999</v>
      </c>
      <c r="EX65" s="102">
        <v>-46.726387000000003</v>
      </c>
      <c r="EY65" s="102">
        <v>-45.978910999999997</v>
      </c>
      <c r="EZ65" s="102">
        <v>-44.968896000000001</v>
      </c>
      <c r="FA65" s="102">
        <v>-41.895021999999997</v>
      </c>
      <c r="FB65" s="102">
        <v>-39.524799000000002</v>
      </c>
      <c r="FC65" s="102">
        <v>-39.391584000000002</v>
      </c>
      <c r="FD65" s="102">
        <v>-39.322406000000001</v>
      </c>
      <c r="FE65" s="102">
        <v>-39.310248999999999</v>
      </c>
      <c r="FF65" s="102">
        <v>-39.091251</v>
      </c>
      <c r="FG65" s="102">
        <v>-7.6345720000000004</v>
      </c>
      <c r="FH65" s="102">
        <v>-7.6345720000000004</v>
      </c>
      <c r="FI65" s="102">
        <v>-7.6345720000000004</v>
      </c>
      <c r="FJ65" s="102">
        <v>-7.6345720000000004</v>
      </c>
      <c r="FK65" s="102">
        <v>-7.6345720000000004</v>
      </c>
      <c r="FL65" s="102">
        <v>-7.6345720000000004</v>
      </c>
      <c r="FM65" s="102">
        <v>-7.6345720000000004</v>
      </c>
      <c r="FN65" s="102">
        <v>-7.6345720000000004</v>
      </c>
      <c r="FO65" s="102">
        <v>-7.6345720000000004</v>
      </c>
      <c r="FP65" s="102">
        <v>-7.6345720000000004</v>
      </c>
      <c r="FQ65" s="102">
        <v>-7.6345720000000004</v>
      </c>
      <c r="FR65" s="102">
        <v>-7.6345720000000004</v>
      </c>
      <c r="FS65" s="102">
        <v>-7.6345720000000004</v>
      </c>
      <c r="FT65" s="102">
        <v>-7.6345720000000004</v>
      </c>
      <c r="FU65" s="102">
        <v>-7.6345720000000004</v>
      </c>
      <c r="FV65" s="102">
        <v>-7.6345720000000004</v>
      </c>
      <c r="FW65" s="102">
        <v>-7.6345720000000004</v>
      </c>
      <c r="FX65" s="102">
        <v>-7.6345720000000004</v>
      </c>
      <c r="FY65" s="102">
        <v>-7.6345720000000004</v>
      </c>
      <c r="FZ65" s="102">
        <v>-7.6345720000000004</v>
      </c>
      <c r="GA65" s="102">
        <v>-7.6345720000000004</v>
      </c>
      <c r="GB65" s="102">
        <v>-7.6345720000000004</v>
      </c>
      <c r="GC65" s="102">
        <v>-7.6345720000000004</v>
      </c>
      <c r="GD65" s="102">
        <v>-7.6345720000000004</v>
      </c>
      <c r="GF65" s="102">
        <f t="shared" si="188"/>
        <v>-76.64446165999999</v>
      </c>
      <c r="GG65" s="102">
        <f t="shared" si="188"/>
        <v>-106.51763726999999</v>
      </c>
      <c r="GH65" s="102">
        <f t="shared" si="188"/>
        <v>-131.85793504000003</v>
      </c>
      <c r="GI65" s="102">
        <f t="shared" si="188"/>
        <v>-379.05877989999999</v>
      </c>
      <c r="GJ65" s="102">
        <f t="shared" si="219"/>
        <v>0</v>
      </c>
      <c r="GK65" s="102">
        <f t="shared" si="37"/>
        <v>-96.072996669999995</v>
      </c>
      <c r="GL65" s="102">
        <f t="shared" si="38"/>
        <v>-90.524374000000009</v>
      </c>
      <c r="GM65" s="102">
        <f t="shared" si="183"/>
        <v>-99.991711470000013</v>
      </c>
      <c r="GN65" s="102">
        <f t="shared" si="7"/>
        <v>-91.614864000000011</v>
      </c>
      <c r="GO65" s="102">
        <v>-116.36765136000001</v>
      </c>
      <c r="GQ65" s="929">
        <f t="shared" si="189"/>
        <v>0.23789767046529264</v>
      </c>
      <c r="GR65" s="929">
        <f t="shared" si="189"/>
        <v>1.8747513737797417</v>
      </c>
      <c r="GS65" s="929">
        <f t="shared" si="189"/>
        <v>-1</v>
      </c>
      <c r="GT65" s="929" t="str">
        <f t="shared" si="189"/>
        <v/>
      </c>
      <c r="GU65" s="929">
        <f t="shared" si="189"/>
        <v>-5.7754237531060681E-2</v>
      </c>
      <c r="GV65" s="929">
        <f t="shared" si="189"/>
        <v>0.10458329675939004</v>
      </c>
      <c r="GW65" s="929">
        <f t="shared" si="92"/>
        <v>-8.3775418450690919E-2</v>
      </c>
      <c r="GX65" s="929">
        <f t="shared" si="92"/>
        <v>0.2701830934333973</v>
      </c>
      <c r="GY65" s="929">
        <f t="shared" si="9"/>
        <v>0.16377297327202145</v>
      </c>
      <c r="HA65" s="102">
        <f t="shared" si="190"/>
        <v>-25.340297770000035</v>
      </c>
      <c r="HB65" s="102">
        <f t="shared" si="190"/>
        <v>-247.20084485999996</v>
      </c>
      <c r="HC65" s="102">
        <f t="shared" si="190"/>
        <v>379.05877989999999</v>
      </c>
      <c r="HD65" s="102">
        <f t="shared" si="99"/>
        <v>-96.072996669999995</v>
      </c>
      <c r="HE65" s="102">
        <f t="shared" si="93"/>
        <v>5.5486226699999861</v>
      </c>
      <c r="HF65" s="102">
        <f t="shared" si="93"/>
        <v>-9.4673374700000039</v>
      </c>
      <c r="HG65" s="102">
        <f t="shared" si="93"/>
        <v>8.3768474700000013</v>
      </c>
      <c r="HH65" s="102">
        <f t="shared" si="93"/>
        <v>-24.752787359999999</v>
      </c>
      <c r="HI65" s="102">
        <f t="shared" si="11"/>
        <v>-16.375939889999998</v>
      </c>
      <c r="HK65" s="32">
        <f t="shared" si="191"/>
        <v>-2.8980227279603666E-3</v>
      </c>
      <c r="HL65" s="32">
        <f t="shared" si="191"/>
        <v>-3.3480942878711434E-3</v>
      </c>
      <c r="HM65" s="32">
        <f t="shared" si="191"/>
        <v>-2.2492354786178607E-2</v>
      </c>
      <c r="HN65" s="32">
        <f t="shared" si="191"/>
        <v>0</v>
      </c>
      <c r="HO65" s="32">
        <f t="shared" si="165"/>
        <v>-7.0492553423608766E-3</v>
      </c>
      <c r="HP65" s="32">
        <f t="shared" si="165"/>
        <v>-6.3972409089741496E-3</v>
      </c>
      <c r="HQ65" s="32">
        <f t="shared" si="165"/>
        <v>-4.7100691708438815E-3</v>
      </c>
      <c r="HR65" s="32">
        <f t="shared" si="165"/>
        <v>-5.8233622950718822E-3</v>
      </c>
      <c r="HS65" s="32">
        <f t="shared" si="165"/>
        <v>-9.2209739468634231E-3</v>
      </c>
      <c r="HU65" s="102">
        <f t="shared" si="192"/>
        <v>-26.273247999999999</v>
      </c>
      <c r="HV65" s="102">
        <f t="shared" si="192"/>
        <v>-35.648318310000001</v>
      </c>
      <c r="HW65" s="102">
        <f t="shared" si="192"/>
        <v>-68.925589000000002</v>
      </c>
      <c r="HX65" s="102">
        <f t="shared" si="192"/>
        <v>-26.334599000000001</v>
      </c>
      <c r="HY65" s="102">
        <f t="shared" si="192"/>
        <v>0</v>
      </c>
      <c r="HZ65" s="102">
        <f t="shared" si="192"/>
        <v>-48.887670140000004</v>
      </c>
      <c r="IA65" s="102">
        <f t="shared" si="193"/>
        <v>-44.506814030000001</v>
      </c>
      <c r="IB65" s="102">
        <f t="shared" si="194"/>
        <v>-46.992840610000002</v>
      </c>
      <c r="IC65" s="102">
        <f t="shared" si="195"/>
        <v>-58.333347180000004</v>
      </c>
      <c r="ID65" s="102">
        <f t="shared" si="18"/>
        <v>-45.807431999999999</v>
      </c>
      <c r="IE65" s="102">
        <f t="shared" si="196"/>
        <v>-58.333347180000004</v>
      </c>
      <c r="IG65" s="102">
        <f t="shared" si="151"/>
        <v>-58.333347180000004</v>
      </c>
      <c r="IH65" s="102">
        <f t="shared" si="151"/>
        <v>-45.807431999999999</v>
      </c>
      <c r="II65" s="145"/>
      <c r="IJ65" s="929">
        <f t="shared" si="197"/>
        <v>1.2734472253323437</v>
      </c>
      <c r="IK65" s="930">
        <f t="shared" si="198"/>
        <v>-12.525915180000005</v>
      </c>
      <c r="IM65" s="32">
        <f t="shared" si="199"/>
        <v>-8.9707945740027523E-3</v>
      </c>
      <c r="IN65" s="929">
        <f t="shared" si="200"/>
        <v>-6.4874439890185683E-3</v>
      </c>
      <c r="IP65" s="929">
        <f t="shared" si="220"/>
        <v>0.93348781282243887</v>
      </c>
      <c r="IQ65" s="929">
        <f t="shared" si="220"/>
        <v>-0.61792710977050924</v>
      </c>
      <c r="IR65" s="929">
        <f t="shared" si="220"/>
        <v>-1</v>
      </c>
      <c r="IS65" s="929" t="str">
        <f t="shared" si="220"/>
        <v/>
      </c>
      <c r="IT65" s="929">
        <f t="shared" si="220"/>
        <v>-8.9610654331746864E-2</v>
      </c>
      <c r="IU65" s="929">
        <f t="shared" si="220"/>
        <v>5.5857212747789209E-2</v>
      </c>
      <c r="IV65" s="929">
        <f t="shared" si="221"/>
        <v>0.2413241341189909</v>
      </c>
      <c r="IX65" s="102">
        <f t="shared" si="202"/>
        <v>-33.277270690000002</v>
      </c>
      <c r="IY65" s="102">
        <f t="shared" si="202"/>
        <v>42.590990000000005</v>
      </c>
      <c r="IZ65" s="102">
        <f t="shared" si="202"/>
        <v>26.334599000000001</v>
      </c>
      <c r="JA65" s="102">
        <f t="shared" si="202"/>
        <v>-48.887670140000004</v>
      </c>
      <c r="JB65" s="102">
        <f t="shared" si="202"/>
        <v>4.3808561100000034</v>
      </c>
      <c r="JC65" s="102">
        <f t="shared" si="202"/>
        <v>-2.4860265800000008</v>
      </c>
      <c r="JD65" s="102">
        <f t="shared" si="203"/>
        <v>-11.340506570000002</v>
      </c>
      <c r="JF65" s="32">
        <f t="shared" si="204"/>
        <v>-1.6426256250243749E-3</v>
      </c>
      <c r="JG65" s="32">
        <f t="shared" si="204"/>
        <v>-2.0906474611790847E-3</v>
      </c>
      <c r="JH65" s="32">
        <f t="shared" si="204"/>
        <v>-4.2401993977886293E-3</v>
      </c>
      <c r="JI65" s="32">
        <f t="shared" si="204"/>
        <v>-2.8153080090277988E-3</v>
      </c>
      <c r="JJ65" s="32">
        <f t="shared" si="204"/>
        <v>0</v>
      </c>
      <c r="JK65" s="32">
        <f t="shared" si="204"/>
        <v>-7.0429992647258605E-3</v>
      </c>
      <c r="JL65" s="32">
        <f t="shared" si="204"/>
        <v>-8.4142533222058263E-3</v>
      </c>
      <c r="JM65" s="32">
        <f t="shared" si="205"/>
        <v>-8.5549239020308206E-3</v>
      </c>
      <c r="JO65" s="102">
        <f t="shared" si="206"/>
        <v>-4.3550969999999971</v>
      </c>
      <c r="JP65" s="102">
        <f t="shared" si="206"/>
        <v>-6.019410360000002</v>
      </c>
      <c r="JQ65" s="102">
        <f t="shared" si="206"/>
        <v>-13.350705999999999</v>
      </c>
      <c r="JR65" s="102">
        <f t="shared" si="206"/>
        <v>0</v>
      </c>
      <c r="JS65" s="102">
        <f t="shared" si="206"/>
        <v>0</v>
      </c>
      <c r="JT65" s="102">
        <f t="shared" si="207"/>
        <v>-8.4128429600000008</v>
      </c>
      <c r="JU65" s="102">
        <f t="shared" si="208"/>
        <v>-7.6599535899999998</v>
      </c>
      <c r="JV65" s="102">
        <f t="shared" si="208"/>
        <v>-8.163108900000001</v>
      </c>
      <c r="JW65" s="102">
        <f t="shared" si="209"/>
        <v>-9.5270756700000003</v>
      </c>
      <c r="JX65" s="102">
        <f t="shared" si="210"/>
        <v>-7.6345720000000004</v>
      </c>
      <c r="JY65" s="102">
        <f t="shared" si="211"/>
        <v>-9.5270756700000003</v>
      </c>
      <c r="KB65" s="32">
        <f t="shared" si="212"/>
        <v>1.2179424896361435</v>
      </c>
      <c r="KC65" s="32">
        <f t="shared" si="212"/>
        <v>-1</v>
      </c>
      <c r="KD65" s="32" t="str">
        <f t="shared" si="212"/>
        <v xml:space="preserve"> </v>
      </c>
      <c r="KE65" s="32" t="str">
        <f t="shared" si="212"/>
        <v xml:space="preserve"> </v>
      </c>
      <c r="KF65" s="32">
        <f t="shared" si="212"/>
        <v>-8.9492859141637959E-2</v>
      </c>
      <c r="KG65" s="32">
        <f t="shared" si="212"/>
        <v>6.5686469779251189E-2</v>
      </c>
      <c r="KH65" s="32">
        <f t="shared" si="169"/>
        <v>0.16708913071097209</v>
      </c>
      <c r="KJ65" s="102">
        <f t="shared" si="213"/>
        <v>-7.3312956399999969</v>
      </c>
      <c r="KK65" s="102">
        <f t="shared" si="213"/>
        <v>13.350705999999999</v>
      </c>
      <c r="KL65" s="102">
        <f t="shared" si="213"/>
        <v>0</v>
      </c>
      <c r="KM65" s="102">
        <f t="shared" si="213"/>
        <v>-8.4128429600000008</v>
      </c>
      <c r="KN65" s="102">
        <f t="shared" si="213"/>
        <v>0.752889370000001</v>
      </c>
      <c r="KO65" s="102">
        <f t="shared" si="213"/>
        <v>-0.50315531000000124</v>
      </c>
      <c r="KP65" s="102">
        <f t="shared" si="171"/>
        <v>-1.3639667699999993</v>
      </c>
      <c r="KR65" s="32">
        <f t="shared" si="214"/>
        <v>-1.3584956406807989E-3</v>
      </c>
      <c r="KS65" s="32">
        <f t="shared" si="214"/>
        <v>-1.7897622676243165E-3</v>
      </c>
      <c r="KT65" s="32">
        <f t="shared" si="214"/>
        <v>-5.3212684360468302E-3</v>
      </c>
      <c r="KU65" s="32">
        <f t="shared" si="214"/>
        <v>0</v>
      </c>
      <c r="KV65" s="32">
        <f t="shared" si="214"/>
        <v>0</v>
      </c>
      <c r="KW65" s="32">
        <f t="shared" si="214"/>
        <v>-8.2965151471568691E-3</v>
      </c>
      <c r="KX65" s="32">
        <f t="shared" si="214"/>
        <v>-8.7327944647966459E-3</v>
      </c>
      <c r="KY65" s="32">
        <f t="shared" si="214"/>
        <v>-5.3349647649779293E-3</v>
      </c>
      <c r="KZ65" s="32">
        <f t="shared" si="46"/>
        <v>-2.5995799690822718E-2</v>
      </c>
    </row>
    <row r="66" spans="1:312" outlineLevel="2">
      <c r="A66" s="884">
        <v>7460</v>
      </c>
      <c r="B66" s="70" t="s">
        <v>650</v>
      </c>
      <c r="C66" s="29" t="s">
        <v>652</v>
      </c>
      <c r="D66" s="31"/>
      <c r="E66" s="102">
        <v>-42.368783000000001</v>
      </c>
      <c r="F66" s="102">
        <v>-56.857209430000005</v>
      </c>
      <c r="G66" s="102">
        <v>-75.785280000000014</v>
      </c>
      <c r="H66" s="102">
        <v>-58.539884999999998</v>
      </c>
      <c r="I66" s="102">
        <v>-52.426456959999967</v>
      </c>
      <c r="J66" s="102">
        <v>-58.829700000000003</v>
      </c>
      <c r="K66" s="102">
        <v>-44.042600999999991</v>
      </c>
      <c r="L66" s="102">
        <v>-94.168925000000002</v>
      </c>
      <c r="M66" s="102">
        <v>2.9532000000017433E-2</v>
      </c>
      <c r="N66" s="102">
        <v>-64.918490000000077</v>
      </c>
      <c r="O66" s="102">
        <v>-51.61587899999995</v>
      </c>
      <c r="P66" s="102">
        <v>-50.210908000000018</v>
      </c>
      <c r="Q66" s="102">
        <v>-75.063975650000003</v>
      </c>
      <c r="R66" s="102">
        <v>-56.649560030000004</v>
      </c>
      <c r="S66" s="102">
        <v>-53.143776360000004</v>
      </c>
      <c r="T66" s="102">
        <v>-51.750054760000012</v>
      </c>
      <c r="U66" s="102">
        <v>-56.358132359999956</v>
      </c>
      <c r="V66" s="102">
        <v>-46.961522249999973</v>
      </c>
      <c r="W66" s="102">
        <v>-46.905419040000083</v>
      </c>
      <c r="X66" s="102">
        <v>-47.033182060000001</v>
      </c>
      <c r="Y66" s="102">
        <v>-45.241951099999994</v>
      </c>
      <c r="Z66" s="102">
        <v>-48.089857219999999</v>
      </c>
      <c r="AA66" s="102">
        <v>-96.72327117999987</v>
      </c>
      <c r="AB66" s="102">
        <v>-74.575750340000127</v>
      </c>
      <c r="AC66" s="102">
        <v>-39.725875000000002</v>
      </c>
      <c r="AD66" s="102">
        <v>-40.043961000000003</v>
      </c>
      <c r="AE66" s="102">
        <v>-39.403124960000007</v>
      </c>
      <c r="AF66" s="102">
        <v>-39.851531200000004</v>
      </c>
      <c r="AG66" s="102">
        <v>-32.741281999999998</v>
      </c>
      <c r="AH66" s="102">
        <v>-41.882753000000001</v>
      </c>
      <c r="AI66" s="102">
        <v>-39.894891999999999</v>
      </c>
      <c r="AJ66" s="102">
        <v>-40.777025999999999</v>
      </c>
      <c r="AK66" s="102">
        <v>-42.636592999999998</v>
      </c>
      <c r="AL66" s="102">
        <v>-38.790320000000001</v>
      </c>
      <c r="AM66" s="102">
        <v>-41.331886160000003</v>
      </c>
      <c r="AN66" s="102">
        <v>-163.37124760999998</v>
      </c>
      <c r="AO66" s="145">
        <v>-39.798465</v>
      </c>
      <c r="AP66" s="145">
        <v>-64.80410114</v>
      </c>
      <c r="AQ66" s="145">
        <v>-64.664637139999996</v>
      </c>
      <c r="AR66" s="145">
        <v>-61.659712549999995</v>
      </c>
      <c r="AS66" s="145">
        <v>-27.82784479</v>
      </c>
      <c r="AT66" s="145">
        <v>-101.53005184999999</v>
      </c>
      <c r="AU66" s="145">
        <v>-50.073682229999996</v>
      </c>
      <c r="AV66" s="145">
        <v>-50.006734630000004</v>
      </c>
      <c r="AW66" s="145">
        <v>-49.907353819999997</v>
      </c>
      <c r="AX66" s="145">
        <v>-52.688997819999997</v>
      </c>
      <c r="AY66" s="145">
        <v>-61.106642949999923</v>
      </c>
      <c r="AZ66" s="145">
        <v>37.950000000000003</v>
      </c>
      <c r="BA66" s="102"/>
      <c r="BB66" s="102"/>
      <c r="BC66" s="102"/>
      <c r="BD66" s="102"/>
      <c r="BE66" s="102"/>
      <c r="BF66" s="102"/>
      <c r="BG66" s="102"/>
      <c r="BH66" s="102"/>
      <c r="BI66" s="102"/>
      <c r="BJ66" s="102"/>
      <c r="BK66" s="102"/>
      <c r="BL66" s="102"/>
      <c r="BM66" s="102">
        <v>-54.505270200000005</v>
      </c>
      <c r="BN66" s="102">
        <v>-38.157904409999993</v>
      </c>
      <c r="BO66" s="102">
        <v>-37.724259619999998</v>
      </c>
      <c r="BP66" s="102">
        <v>-37.636362390000002</v>
      </c>
      <c r="BQ66" s="102">
        <v>-37.758217269999996</v>
      </c>
      <c r="BR66" s="102">
        <v>-37.383058490000003</v>
      </c>
      <c r="BS66" s="102">
        <v>-36.662541629999993</v>
      </c>
      <c r="BT66" s="102">
        <v>-36.274300699999998</v>
      </c>
      <c r="BU66" s="102">
        <v>-35.676323359999998</v>
      </c>
      <c r="BV66" s="102">
        <v>-32.48824183</v>
      </c>
      <c r="BW66" s="102">
        <v>-30.533429330000001</v>
      </c>
      <c r="BX66" s="102">
        <v>-28.519530860000003</v>
      </c>
      <c r="BY66" s="102">
        <v>-28.025187880000004</v>
      </c>
      <c r="BZ66" s="102">
        <v>-28.612846950000002</v>
      </c>
      <c r="CA66" s="102">
        <v>-28.689819579999998</v>
      </c>
      <c r="CB66" s="102">
        <v>-26.413974909999997</v>
      </c>
      <c r="CC66" s="102">
        <v>-26.512138530000001</v>
      </c>
      <c r="CD66" s="102">
        <v>-26.669066450000003</v>
      </c>
      <c r="CE66" s="102">
        <v>-26.343236509999997</v>
      </c>
      <c r="CF66" s="102">
        <v>-27.642162979999998</v>
      </c>
      <c r="CG66" s="102">
        <v>-27.934082119999996</v>
      </c>
      <c r="CH66" s="102">
        <v>-28.757541020000005</v>
      </c>
      <c r="CI66" s="102">
        <v>-29.656809299999995</v>
      </c>
      <c r="CJ66" s="102">
        <v>-30.868092409999996</v>
      </c>
      <c r="CK66" s="102">
        <v>-33.536751989999999</v>
      </c>
      <c r="CL66" s="102">
        <v>-33.904205700000006</v>
      </c>
      <c r="CM66" s="102">
        <v>-34.1457798</v>
      </c>
      <c r="CN66" s="102">
        <v>-34.522516119999999</v>
      </c>
      <c r="CO66" s="102">
        <v>-34.595966130000001</v>
      </c>
      <c r="CP66" s="102">
        <v>-34.798448899999997</v>
      </c>
      <c r="CQ66" s="102">
        <v>-36.771947959999999</v>
      </c>
      <c r="CR66" s="102">
        <v>-37.212474840000006</v>
      </c>
      <c r="CS66" s="102">
        <v>-37.737204899999988</v>
      </c>
      <c r="CT66" s="102">
        <v>-37.773953540000001</v>
      </c>
      <c r="CU66" s="102">
        <v>-38.511372310000006</v>
      </c>
      <c r="CV66" s="102">
        <v>-39.118386090000001</v>
      </c>
      <c r="CW66" s="102">
        <v>-39.72084658</v>
      </c>
      <c r="CX66" s="102">
        <v>-39.959122149999999</v>
      </c>
      <c r="CY66" s="102">
        <v>-40.752437229999998</v>
      </c>
      <c r="CZ66" s="102">
        <v>-41.78895275</v>
      </c>
      <c r="DA66" s="102">
        <v>-42.432973840000002</v>
      </c>
      <c r="DB66" s="102">
        <v>-42.487372239999992</v>
      </c>
      <c r="DC66" s="102">
        <v>-42.2054385</v>
      </c>
      <c r="DD66" s="102">
        <v>-42.47783647</v>
      </c>
      <c r="DE66" s="102">
        <v>-42.375377349999994</v>
      </c>
      <c r="DF66" s="102">
        <v>-42.459226430000001</v>
      </c>
      <c r="DG66" s="102">
        <v>-43.1375253</v>
      </c>
      <c r="DH66" s="102">
        <v>-45.589133320000002</v>
      </c>
      <c r="DJ66" s="102">
        <v>-39.720846580000007</v>
      </c>
      <c r="DK66" s="102">
        <v>-39.959122150000006</v>
      </c>
      <c r="DL66" s="102">
        <v>-40.752437230000005</v>
      </c>
      <c r="DM66" s="102">
        <v>-41.78895275</v>
      </c>
      <c r="DN66" s="102">
        <v>-42.432973839999995</v>
      </c>
      <c r="DO66" s="102">
        <v>-42.487372239999992</v>
      </c>
      <c r="DP66" s="102">
        <v>-42.487372239999992</v>
      </c>
      <c r="DQ66" s="102">
        <v>-42.487372239999992</v>
      </c>
      <c r="DR66" s="102">
        <v>-42.487372239999992</v>
      </c>
      <c r="DS66" s="102">
        <v>-42.487372239999992</v>
      </c>
      <c r="DT66" s="102">
        <v>-42.487372239999992</v>
      </c>
      <c r="DU66" s="102">
        <v>-42.487372239999992</v>
      </c>
      <c r="DW66" s="102">
        <v>-40.52591093625</v>
      </c>
      <c r="DX66" s="102">
        <v>-73.870685157777785</v>
      </c>
      <c r="DY66" s="102">
        <v>-57.373966377777784</v>
      </c>
      <c r="DZ66" s="102">
        <v>-67.885599085555555</v>
      </c>
      <c r="EA66" s="102">
        <v>-53.097456575138892</v>
      </c>
      <c r="EB66" s="102">
        <v>-49.173099085555556</v>
      </c>
      <c r="EC66" s="102">
        <v>-50.816154641111112</v>
      </c>
      <c r="ED66" s="102">
        <v>-49.434210196666676</v>
      </c>
      <c r="EE66" s="102">
        <v>-49.46615464111111</v>
      </c>
      <c r="EF66" s="102">
        <v>-50.77309908555555</v>
      </c>
      <c r="EG66" s="102">
        <v>-49.727265752222223</v>
      </c>
      <c r="EH66" s="102">
        <v>-49.298099085555556</v>
      </c>
      <c r="EI66" s="102">
        <v>-34.51330505</v>
      </c>
      <c r="EJ66" s="102">
        <v>-35.775042597999999</v>
      </c>
      <c r="EK66" s="102">
        <v>-34.745783977413325</v>
      </c>
      <c r="EL66" s="102">
        <v>-33.977695701650127</v>
      </c>
      <c r="EM66" s="102">
        <v>-32.686997623584119</v>
      </c>
      <c r="EN66" s="102">
        <v>-31.447927468640756</v>
      </c>
      <c r="EO66" s="102">
        <v>-30.579253453228457</v>
      </c>
      <c r="EP66" s="102">
        <v>-29.717826398432653</v>
      </c>
      <c r="EQ66" s="102">
        <v>-28.772523092495344</v>
      </c>
      <c r="ER66" s="102">
        <v>-27.865031918795534</v>
      </c>
      <c r="ES66" s="102">
        <v>-26.868840392043708</v>
      </c>
      <c r="ET66" s="102">
        <v>-25.89249652636196</v>
      </c>
      <c r="EU66" s="102"/>
      <c r="EV66" s="102"/>
      <c r="EW66" s="102"/>
      <c r="EX66" s="102"/>
      <c r="EY66" s="102"/>
      <c r="EZ66" s="102"/>
      <c r="FA66" s="102"/>
      <c r="FB66" s="102"/>
      <c r="FC66" s="102"/>
      <c r="FD66" s="102"/>
      <c r="FE66" s="102"/>
      <c r="FF66" s="102"/>
      <c r="FG66" s="102">
        <v>-27.900767999999999</v>
      </c>
      <c r="FH66" s="102">
        <v>-27.900767999999999</v>
      </c>
      <c r="FI66" s="102">
        <v>-27.900767999999999</v>
      </c>
      <c r="FJ66" s="102">
        <v>-27.900767999999999</v>
      </c>
      <c r="FK66" s="102">
        <v>-27.900767999999999</v>
      </c>
      <c r="FL66" s="102">
        <v>-27.900767999999999</v>
      </c>
      <c r="FM66" s="102">
        <v>-27.900767999999999</v>
      </c>
      <c r="FN66" s="102">
        <v>-27.900767999999999</v>
      </c>
      <c r="FO66" s="102">
        <v>-27.900767999999999</v>
      </c>
      <c r="FP66" s="102">
        <v>-27.900767999999999</v>
      </c>
      <c r="FQ66" s="102">
        <v>-27.900767999999999</v>
      </c>
      <c r="FR66" s="102">
        <v>-27.900767999999999</v>
      </c>
      <c r="FS66" s="102">
        <v>-27.900767999999999</v>
      </c>
      <c r="FT66" s="102">
        <v>-27.900767999999999</v>
      </c>
      <c r="FU66" s="102">
        <v>-27.900767999999999</v>
      </c>
      <c r="FV66" s="102">
        <v>-27.900767999999999</v>
      </c>
      <c r="FW66" s="102">
        <v>-27.900767999999999</v>
      </c>
      <c r="FX66" s="102">
        <v>-27.900767999999999</v>
      </c>
      <c r="FY66" s="102">
        <v>-27.900767999999999</v>
      </c>
      <c r="FZ66" s="102">
        <v>-27.900767999999999</v>
      </c>
      <c r="GA66" s="102">
        <v>-27.900767999999999</v>
      </c>
      <c r="GB66" s="102">
        <v>-27.900767999999999</v>
      </c>
      <c r="GC66" s="102">
        <v>-27.900767999999999</v>
      </c>
      <c r="GD66" s="102">
        <v>-27.900767999999999</v>
      </c>
      <c r="GF66" s="102">
        <f t="shared" si="188"/>
        <v>-649.73458539000001</v>
      </c>
      <c r="GG66" s="102">
        <f t="shared" si="188"/>
        <v>-698.49645235000003</v>
      </c>
      <c r="GH66" s="102">
        <f t="shared" si="188"/>
        <v>-600.45049193</v>
      </c>
      <c r="GI66" s="102">
        <f t="shared" si="188"/>
        <v>-586.11822391999976</v>
      </c>
      <c r="GJ66" s="102">
        <f t="shared" si="219"/>
        <v>0</v>
      </c>
      <c r="GK66" s="102">
        <f t="shared" si="37"/>
        <v>-443.31944008999994</v>
      </c>
      <c r="GL66" s="102">
        <f t="shared" si="38"/>
        <v>-336.12495863999999</v>
      </c>
      <c r="GM66" s="102">
        <f t="shared" si="183"/>
        <v>-432.62900827999999</v>
      </c>
      <c r="GN66" s="102">
        <f t="shared" si="7"/>
        <v>-334.80921599999999</v>
      </c>
      <c r="GO66" s="102">
        <v>-505.38624215999994</v>
      </c>
      <c r="GQ66" s="929">
        <f t="shared" si="189"/>
        <v>-0.14036715589626436</v>
      </c>
      <c r="GR66" s="929">
        <f t="shared" si="189"/>
        <v>-2.3869191886133234E-2</v>
      </c>
      <c r="GS66" s="929">
        <f t="shared" si="189"/>
        <v>-1</v>
      </c>
      <c r="GT66" s="929" t="str">
        <f t="shared" si="189"/>
        <v/>
      </c>
      <c r="GU66" s="929">
        <f t="shared" si="189"/>
        <v>-0.2417996409727442</v>
      </c>
      <c r="GV66" s="929">
        <f t="shared" si="189"/>
        <v>0.28710765790932768</v>
      </c>
      <c r="GW66" s="929">
        <f t="shared" si="92"/>
        <v>-0.22610548624305482</v>
      </c>
      <c r="GX66" s="929">
        <f t="shared" si="92"/>
        <v>0.5094753011816735</v>
      </c>
      <c r="GY66" s="929">
        <f t="shared" si="9"/>
        <v>0.16817465423610956</v>
      </c>
      <c r="HA66" s="102">
        <f t="shared" si="190"/>
        <v>98.045960420000029</v>
      </c>
      <c r="HB66" s="102">
        <f t="shared" si="190"/>
        <v>14.332268010000234</v>
      </c>
      <c r="HC66" s="102">
        <f t="shared" si="190"/>
        <v>586.11822391999976</v>
      </c>
      <c r="HD66" s="102">
        <f t="shared" si="99"/>
        <v>-443.31944008999994</v>
      </c>
      <c r="HE66" s="102">
        <f t="shared" si="93"/>
        <v>107.19448144999996</v>
      </c>
      <c r="HF66" s="102">
        <f t="shared" si="93"/>
        <v>-96.504049640000005</v>
      </c>
      <c r="HG66" s="102">
        <f t="shared" si="93"/>
        <v>97.819792280000001</v>
      </c>
      <c r="HH66" s="102">
        <f t="shared" si="93"/>
        <v>-170.57702615999995</v>
      </c>
      <c r="HI66" s="102">
        <f t="shared" si="11"/>
        <v>-72.757233879999944</v>
      </c>
      <c r="HK66" s="32">
        <f t="shared" si="191"/>
        <v>-1.9003975737641569E-2</v>
      </c>
      <c r="HL66" s="32">
        <f t="shared" si="191"/>
        <v>-1.52464458173897E-2</v>
      </c>
      <c r="HM66" s="32">
        <f t="shared" si="191"/>
        <v>-3.4778719655382692E-2</v>
      </c>
      <c r="HN66" s="32">
        <f t="shared" si="191"/>
        <v>0</v>
      </c>
      <c r="HO66" s="32">
        <f t="shared" si="165"/>
        <v>-3.2528098838856226E-2</v>
      </c>
      <c r="HP66" s="32">
        <f t="shared" si="165"/>
        <v>-2.375351787507585E-2</v>
      </c>
      <c r="HQ66" s="32">
        <f t="shared" si="165"/>
        <v>-2.0378814647289585E-2</v>
      </c>
      <c r="HR66" s="32">
        <f t="shared" si="165"/>
        <v>-2.1281648843543305E-2</v>
      </c>
      <c r="HS66" s="32">
        <f t="shared" si="165"/>
        <v>-4.0046811270975265E-2</v>
      </c>
      <c r="HU66" s="102">
        <f t="shared" si="192"/>
        <v>-344.80731438999999</v>
      </c>
      <c r="HV66" s="102">
        <f t="shared" si="192"/>
        <v>-339.92702140999995</v>
      </c>
      <c r="HW66" s="102">
        <f t="shared" si="192"/>
        <v>-233.64852716000004</v>
      </c>
      <c r="HX66" s="102">
        <f t="shared" si="192"/>
        <v>-360.28481246999996</v>
      </c>
      <c r="HY66" s="102">
        <f t="shared" si="192"/>
        <v>0</v>
      </c>
      <c r="HZ66" s="102">
        <f t="shared" si="192"/>
        <v>-243.16507237999997</v>
      </c>
      <c r="IA66" s="102">
        <f t="shared" si="193"/>
        <v>-164.92303430000001</v>
      </c>
      <c r="IB66" s="102">
        <f t="shared" si="194"/>
        <v>-205.50366864</v>
      </c>
      <c r="IC66" s="102">
        <f t="shared" si="195"/>
        <v>-247.14170478999998</v>
      </c>
      <c r="ID66" s="102">
        <f t="shared" si="18"/>
        <v>-167.404608</v>
      </c>
      <c r="IE66" s="102">
        <f t="shared" si="196"/>
        <v>-247.14170478999998</v>
      </c>
      <c r="IG66" s="102">
        <f t="shared" si="151"/>
        <v>-247.14170478999998</v>
      </c>
      <c r="IH66" s="102">
        <f t="shared" si="151"/>
        <v>-167.404608</v>
      </c>
      <c r="II66" s="145"/>
      <c r="IJ66" s="929">
        <f t="shared" si="197"/>
        <v>1.4763136316414898</v>
      </c>
      <c r="IK66" s="930">
        <f t="shared" si="198"/>
        <v>-79.737096789999981</v>
      </c>
      <c r="IM66" s="32">
        <f t="shared" si="199"/>
        <v>-3.8006690366981982E-2</v>
      </c>
      <c r="IN66" s="929">
        <f t="shared" si="200"/>
        <v>-2.3708554932824213E-2</v>
      </c>
      <c r="IP66" s="929">
        <f t="shared" si="220"/>
        <v>-0.31265091492039121</v>
      </c>
      <c r="IQ66" s="929">
        <f t="shared" si="220"/>
        <v>0.54199479384383498</v>
      </c>
      <c r="IR66" s="929">
        <f t="shared" si="220"/>
        <v>-1</v>
      </c>
      <c r="IS66" s="929" t="str">
        <f t="shared" si="220"/>
        <v/>
      </c>
      <c r="IT66" s="929">
        <f t="shared" si="220"/>
        <v>-0.32176511747431069</v>
      </c>
      <c r="IU66" s="929">
        <f t="shared" si="220"/>
        <v>0.24605801434736274</v>
      </c>
      <c r="IV66" s="929">
        <f t="shared" si="221"/>
        <v>0.20261456365015662</v>
      </c>
      <c r="IX66" s="102">
        <f t="shared" si="202"/>
        <v>106.27849424999991</v>
      </c>
      <c r="IY66" s="102">
        <f t="shared" si="202"/>
        <v>-126.63628530999992</v>
      </c>
      <c r="IZ66" s="102">
        <f t="shared" si="202"/>
        <v>360.28481246999996</v>
      </c>
      <c r="JA66" s="102">
        <f t="shared" si="202"/>
        <v>-243.16507237999997</v>
      </c>
      <c r="JB66" s="102">
        <f t="shared" si="202"/>
        <v>78.242038079999958</v>
      </c>
      <c r="JC66" s="102">
        <f t="shared" si="202"/>
        <v>-40.580634339999989</v>
      </c>
      <c r="JD66" s="102">
        <f t="shared" si="203"/>
        <v>-41.638036149999976</v>
      </c>
      <c r="JF66" s="32">
        <f t="shared" si="204"/>
        <v>-2.1557644121992448E-2</v>
      </c>
      <c r="JG66" s="32">
        <f t="shared" si="204"/>
        <v>-1.9935514436248445E-2</v>
      </c>
      <c r="JH66" s="32">
        <f t="shared" si="204"/>
        <v>-1.4373708785543093E-2</v>
      </c>
      <c r="JI66" s="32">
        <f t="shared" si="204"/>
        <v>-3.8516353261269308E-2</v>
      </c>
      <c r="JJ66" s="32">
        <f t="shared" si="204"/>
        <v>0</v>
      </c>
      <c r="JK66" s="32">
        <f t="shared" si="204"/>
        <v>-3.503156155887429E-2</v>
      </c>
      <c r="JL66" s="32">
        <f t="shared" si="204"/>
        <v>-3.1179589451890508E-2</v>
      </c>
      <c r="JM66" s="32">
        <f t="shared" si="205"/>
        <v>-3.624476529647027E-2</v>
      </c>
      <c r="JO66" s="102">
        <f t="shared" si="206"/>
        <v>-58.829700000000003</v>
      </c>
      <c r="JP66" s="102">
        <f t="shared" si="206"/>
        <v>-46.961522249999973</v>
      </c>
      <c r="JQ66" s="102">
        <f t="shared" si="206"/>
        <v>-41.882753000000001</v>
      </c>
      <c r="JR66" s="102">
        <f t="shared" si="206"/>
        <v>-101.53005184999999</v>
      </c>
      <c r="JS66" s="102">
        <f t="shared" si="206"/>
        <v>0</v>
      </c>
      <c r="JT66" s="102">
        <f t="shared" si="207"/>
        <v>-37.383058490000003</v>
      </c>
      <c r="JU66" s="102">
        <f t="shared" si="208"/>
        <v>-26.669066450000003</v>
      </c>
      <c r="JV66" s="102">
        <f t="shared" si="208"/>
        <v>-34.798448899999997</v>
      </c>
      <c r="JW66" s="102">
        <f t="shared" si="209"/>
        <v>-42.487372239999992</v>
      </c>
      <c r="JX66" s="102">
        <f t="shared" si="210"/>
        <v>-27.900767999999999</v>
      </c>
      <c r="JY66" s="102">
        <f t="shared" si="211"/>
        <v>-42.487372239999992</v>
      </c>
      <c r="KB66" s="32">
        <f t="shared" si="212"/>
        <v>-0.10814745789037905</v>
      </c>
      <c r="KC66" s="32">
        <f t="shared" si="212"/>
        <v>1.4241494309125282</v>
      </c>
      <c r="KD66" s="32">
        <f t="shared" si="212"/>
        <v>-1</v>
      </c>
      <c r="KE66" s="32" t="str">
        <f t="shared" si="212"/>
        <v xml:space="preserve"> </v>
      </c>
      <c r="KF66" s="32">
        <f t="shared" si="212"/>
        <v>-0.28660020000412756</v>
      </c>
      <c r="KG66" s="32">
        <f t="shared" si="212"/>
        <v>0.30482441015478412</v>
      </c>
      <c r="KH66" s="32">
        <f t="shared" si="169"/>
        <v>0.22095592140027809</v>
      </c>
      <c r="KJ66" s="102">
        <f t="shared" si="213"/>
        <v>5.0787692499999721</v>
      </c>
      <c r="KK66" s="102">
        <f t="shared" si="213"/>
        <v>-59.647298849999991</v>
      </c>
      <c r="KL66" s="102">
        <f t="shared" si="213"/>
        <v>101.53005184999999</v>
      </c>
      <c r="KM66" s="102">
        <f t="shared" si="213"/>
        <v>-37.383058490000003</v>
      </c>
      <c r="KN66" s="102">
        <f t="shared" si="213"/>
        <v>10.713992040000001</v>
      </c>
      <c r="KO66" s="102">
        <f t="shared" si="213"/>
        <v>-8.1293824499999943</v>
      </c>
      <c r="KP66" s="102">
        <f t="shared" si="171"/>
        <v>-7.6889233399999952</v>
      </c>
      <c r="KR66" s="32">
        <f t="shared" si="214"/>
        <v>-1.8350886557190173E-2</v>
      </c>
      <c r="KS66" s="32">
        <f t="shared" si="214"/>
        <v>-1.3963155114290915E-2</v>
      </c>
      <c r="KT66" s="32">
        <f t="shared" si="214"/>
        <v>-1.6693452133066649E-2</v>
      </c>
      <c r="KU66" s="32">
        <f t="shared" si="214"/>
        <v>-0.11348361992943422</v>
      </c>
      <c r="KV66" s="32">
        <f t="shared" si="214"/>
        <v>0</v>
      </c>
      <c r="KW66" s="32">
        <f t="shared" si="214"/>
        <v>-3.6866147684437016E-2</v>
      </c>
      <c r="KX66" s="32">
        <f t="shared" si="214"/>
        <v>-3.0404293334087156E-2</v>
      </c>
      <c r="KY66" s="32">
        <f t="shared" si="214"/>
        <v>-2.274237683603424E-2</v>
      </c>
      <c r="KZ66" s="32">
        <f t="shared" si="46"/>
        <v>-0.11593202955429674</v>
      </c>
    </row>
    <row r="67" spans="1:312" outlineLevel="1">
      <c r="A67" s="884"/>
      <c r="B67" s="70"/>
      <c r="C67" s="186" t="s">
        <v>50</v>
      </c>
      <c r="D67" s="307" t="s">
        <v>59</v>
      </c>
      <c r="E67" s="931">
        <v>-6.6550839400000008</v>
      </c>
      <c r="F67" s="931">
        <v>-6.6352959400000007</v>
      </c>
      <c r="G67" s="931">
        <v>-6.6294706899999998</v>
      </c>
      <c r="H67" s="931">
        <v>-6.6364284500000004</v>
      </c>
      <c r="I67" s="931">
        <v>-6.6003714700000007</v>
      </c>
      <c r="J67" s="931">
        <v>-7.2386926000000003</v>
      </c>
      <c r="K67" s="931">
        <v>-7.2162655999999981</v>
      </c>
      <c r="L67" s="931">
        <v>-7.1938386000000012</v>
      </c>
      <c r="M67" s="931">
        <v>-7.1725256000000037</v>
      </c>
      <c r="N67" s="931">
        <v>-7.1680775999999931</v>
      </c>
      <c r="O67" s="931">
        <v>-8.6753744300000086</v>
      </c>
      <c r="P67" s="931">
        <v>-12.291846369999995</v>
      </c>
      <c r="Q67" s="931">
        <v>-18.58932806</v>
      </c>
      <c r="R67" s="931">
        <v>-18.589323060000002</v>
      </c>
      <c r="S67" s="931">
        <v>-20.837489060000003</v>
      </c>
      <c r="T67" s="931">
        <v>-21.040788879999997</v>
      </c>
      <c r="U67" s="931">
        <v>-21.534377210000002</v>
      </c>
      <c r="V67" s="931">
        <v>-22.132956979999996</v>
      </c>
      <c r="W67" s="931">
        <v>-22.110400979999987</v>
      </c>
      <c r="X67" s="931">
        <v>-27.25188875000002</v>
      </c>
      <c r="Y67" s="931">
        <v>-22.088945979999991</v>
      </c>
      <c r="Z67" s="931">
        <v>-22.078526980000007</v>
      </c>
      <c r="AA67" s="931">
        <v>-54.704996409999993</v>
      </c>
      <c r="AB67" s="931">
        <v>-23.010062829999981</v>
      </c>
      <c r="AC67" s="931">
        <v>-23.945338929999998</v>
      </c>
      <c r="AD67" s="931">
        <v>-24.195338929999998</v>
      </c>
      <c r="AE67" s="931">
        <v>-24.195338929999998</v>
      </c>
      <c r="AF67" s="931">
        <v>-23.985338929999998</v>
      </c>
      <c r="AG67" s="931">
        <v>-24.195338929999998</v>
      </c>
      <c r="AH67" s="931">
        <v>-24.195338929999998</v>
      </c>
      <c r="AI67" s="931">
        <v>-23.012090929999999</v>
      </c>
      <c r="AJ67" s="931">
        <v>-27.19970489</v>
      </c>
      <c r="AK67" s="931">
        <v>-27.199700929999999</v>
      </c>
      <c r="AL67" s="931">
        <v>-24.13003243</v>
      </c>
      <c r="AM67" s="931">
        <v>-21.529869429999998</v>
      </c>
      <c r="AN67" s="931">
        <v>53.971095190000014</v>
      </c>
      <c r="AO67" s="931">
        <f t="shared" ref="AO67:AZ67" si="222">SUM(AO68:AO69)</f>
        <v>-11.737994079999998</v>
      </c>
      <c r="AP67" s="931">
        <f t="shared" si="222"/>
        <v>-11.73799408</v>
      </c>
      <c r="AQ67" s="931">
        <f t="shared" si="222"/>
        <v>-11.73799408</v>
      </c>
      <c r="AR67" s="931">
        <f t="shared" si="222"/>
        <v>-11.73799408</v>
      </c>
      <c r="AS67" s="931">
        <f t="shared" si="222"/>
        <v>-11.73799408</v>
      </c>
      <c r="AT67" s="931">
        <f t="shared" si="222"/>
        <v>-16.025931079999999</v>
      </c>
      <c r="AU67" s="931">
        <f t="shared" si="222"/>
        <v>-65.092296079999997</v>
      </c>
      <c r="AV67" s="931">
        <f t="shared" si="222"/>
        <v>-54.650446080000002</v>
      </c>
      <c r="AW67" s="931">
        <f t="shared" si="222"/>
        <v>-102.52238507999999</v>
      </c>
      <c r="AX67" s="931">
        <f t="shared" si="222"/>
        <v>-39.889130409999993</v>
      </c>
      <c r="AY67" s="931">
        <f t="shared" si="222"/>
        <v>-11.76109969</v>
      </c>
      <c r="AZ67" s="931">
        <f t="shared" si="222"/>
        <v>-7.68</v>
      </c>
      <c r="BA67" s="933">
        <v>-31.94953688</v>
      </c>
      <c r="BB67" s="933">
        <v>-31.90147898</v>
      </c>
      <c r="BC67" s="933">
        <v>-32.498938000000003</v>
      </c>
      <c r="BD67" s="933">
        <v>-32.397193000000001</v>
      </c>
      <c r="BE67" s="933">
        <v>-31.318612870000003</v>
      </c>
      <c r="BF67" s="933">
        <v>-33.29620087</v>
      </c>
      <c r="BG67" s="933">
        <v>-33.47550287</v>
      </c>
      <c r="BH67" s="933">
        <v>-33.296740999999997</v>
      </c>
      <c r="BI67" s="933">
        <v>-27.667048999999999</v>
      </c>
      <c r="BJ67" s="933">
        <v>-30.911158</v>
      </c>
      <c r="BK67" s="933">
        <v>-30.911158</v>
      </c>
      <c r="BL67" s="933">
        <v>-215.01300000000001</v>
      </c>
      <c r="BM67" s="931">
        <f t="shared" ref="BM67:DH67" si="223">SUM(BM68:BM69)</f>
        <v>-15.079819000000001</v>
      </c>
      <c r="BN67" s="931">
        <f t="shared" si="223"/>
        <v>-14.889390000000001</v>
      </c>
      <c r="BO67" s="931">
        <f t="shared" si="223"/>
        <v>-16.265568999999999</v>
      </c>
      <c r="BP67" s="931">
        <f t="shared" si="223"/>
        <v>-14.329019000000001</v>
      </c>
      <c r="BQ67" s="931">
        <f t="shared" si="223"/>
        <v>-14.349226</v>
      </c>
      <c r="BR67" s="931">
        <f t="shared" si="223"/>
        <v>-14.868632</v>
      </c>
      <c r="BS67" s="931">
        <f t="shared" si="223"/>
        <v>-15.283710579999999</v>
      </c>
      <c r="BT67" s="931">
        <f t="shared" si="223"/>
        <v>-14.906965</v>
      </c>
      <c r="BU67" s="931">
        <f t="shared" si="223"/>
        <v>-14.619357839999999</v>
      </c>
      <c r="BV67" s="931">
        <f t="shared" si="223"/>
        <v>-15.101547</v>
      </c>
      <c r="BW67" s="931">
        <f t="shared" si="223"/>
        <v>-13.884884</v>
      </c>
      <c r="BX67" s="931">
        <f t="shared" si="223"/>
        <v>-13.026445000000001</v>
      </c>
      <c r="BY67" s="931">
        <f t="shared" si="223"/>
        <v>-17.3596</v>
      </c>
      <c r="BZ67" s="931">
        <f t="shared" si="223"/>
        <v>-16.719963</v>
      </c>
      <c r="CA67" s="931">
        <f t="shared" si="223"/>
        <v>-18.765791</v>
      </c>
      <c r="CB67" s="931">
        <f t="shared" si="223"/>
        <v>-17.672359</v>
      </c>
      <c r="CC67" s="931">
        <f t="shared" si="223"/>
        <v>-18.896643000000001</v>
      </c>
      <c r="CD67" s="931">
        <f t="shared" si="223"/>
        <v>-18.797697719999999</v>
      </c>
      <c r="CE67" s="931">
        <f t="shared" si="223"/>
        <v>-18.711286000000001</v>
      </c>
      <c r="CF67" s="931">
        <f t="shared" si="223"/>
        <v>-18.799674000000003</v>
      </c>
      <c r="CG67" s="931">
        <f t="shared" si="223"/>
        <v>-26.457280999999998</v>
      </c>
      <c r="CH67" s="931">
        <f t="shared" si="223"/>
        <v>-22.545029</v>
      </c>
      <c r="CI67" s="931">
        <f t="shared" si="223"/>
        <v>-21.567492000000001</v>
      </c>
      <c r="CJ67" s="931">
        <f t="shared" si="223"/>
        <v>-23.955262000000001</v>
      </c>
      <c r="CK67" s="931">
        <f t="shared" si="223"/>
        <v>-16.166194000000001</v>
      </c>
      <c r="CL67" s="931">
        <f t="shared" si="223"/>
        <v>-18.784286000000002</v>
      </c>
      <c r="CM67" s="931">
        <f t="shared" si="223"/>
        <v>-18.784286000000002</v>
      </c>
      <c r="CN67" s="931">
        <f t="shared" si="223"/>
        <v>-18.744239</v>
      </c>
      <c r="CO67" s="931">
        <f t="shared" si="223"/>
        <v>-17.901253000000001</v>
      </c>
      <c r="CP67" s="931">
        <f t="shared" si="223"/>
        <v>-17.574757000000002</v>
      </c>
      <c r="CQ67" s="931">
        <f t="shared" si="223"/>
        <v>-17.707968000000001</v>
      </c>
      <c r="CR67" s="931">
        <f t="shared" si="223"/>
        <v>-17.707968000000001</v>
      </c>
      <c r="CS67" s="931">
        <f t="shared" si="223"/>
        <v>-17.707968000000001</v>
      </c>
      <c r="CT67" s="931">
        <f t="shared" si="223"/>
        <v>-17.839300000000001</v>
      </c>
      <c r="CU67" s="931">
        <f t="shared" si="223"/>
        <v>-19.176114999999999</v>
      </c>
      <c r="CV67" s="931">
        <f t="shared" si="223"/>
        <v>-15.430859999999999</v>
      </c>
      <c r="CW67" s="931">
        <f t="shared" si="223"/>
        <v>-15.263543</v>
      </c>
      <c r="CX67" s="931">
        <f t="shared" si="223"/>
        <v>-11.191539000000001</v>
      </c>
      <c r="CY67" s="931">
        <f t="shared" si="223"/>
        <v>-15.16066</v>
      </c>
      <c r="CZ67" s="931">
        <f t="shared" si="223"/>
        <v>-14.857642</v>
      </c>
      <c r="DA67" s="931">
        <f t="shared" si="223"/>
        <v>-14.908158999999999</v>
      </c>
      <c r="DB67" s="931">
        <f t="shared" si="223"/>
        <v>-14.871377000000001</v>
      </c>
      <c r="DC67" s="931">
        <f t="shared" si="223"/>
        <v>-14.916663</v>
      </c>
      <c r="DD67" s="931">
        <f t="shared" si="223"/>
        <v>-16.803836</v>
      </c>
      <c r="DE67" s="931">
        <f t="shared" si="223"/>
        <v>-19.570336000000001</v>
      </c>
      <c r="DF67" s="931">
        <f t="shared" si="223"/>
        <v>-19.882916000000002</v>
      </c>
      <c r="DG67" s="931">
        <f t="shared" si="223"/>
        <v>-18.195554000000001</v>
      </c>
      <c r="DH67" s="931">
        <f t="shared" si="223"/>
        <v>-18.263679</v>
      </c>
      <c r="DJ67" s="931">
        <f t="shared" ref="DJ67:DU67" si="224">SUM(DJ68:DJ69)</f>
        <v>-15.263543</v>
      </c>
      <c r="DK67" s="931">
        <f t="shared" si="224"/>
        <v>-11.191539000000001</v>
      </c>
      <c r="DL67" s="931">
        <f t="shared" si="224"/>
        <v>-15.16066</v>
      </c>
      <c r="DM67" s="931">
        <f t="shared" si="224"/>
        <v>-14.857642</v>
      </c>
      <c r="DN67" s="931">
        <f t="shared" si="224"/>
        <v>-14.908158999999999</v>
      </c>
      <c r="DO67" s="931">
        <f t="shared" si="224"/>
        <v>-14.871377000000001</v>
      </c>
      <c r="DP67" s="931">
        <f t="shared" si="224"/>
        <v>-18.275886011666667</v>
      </c>
      <c r="DQ67" s="931">
        <f t="shared" si="224"/>
        <v>-18.275886011666667</v>
      </c>
      <c r="DR67" s="931">
        <f t="shared" si="224"/>
        <v>-18.275886011666667</v>
      </c>
      <c r="DS67" s="931">
        <f t="shared" si="224"/>
        <v>-18.275886011666667</v>
      </c>
      <c r="DT67" s="931">
        <f t="shared" si="224"/>
        <v>-18.275886011666667</v>
      </c>
      <c r="DU67" s="931">
        <f t="shared" si="224"/>
        <v>-18.275886011666667</v>
      </c>
      <c r="DW67" s="931">
        <v>-24.983841939166666</v>
      </c>
      <c r="DX67" s="931">
        <v>-24.983841939166666</v>
      </c>
      <c r="DY67" s="931">
        <v>-27.483841939166666</v>
      </c>
      <c r="DZ67" s="931">
        <v>-27.483841939166666</v>
      </c>
      <c r="EA67" s="931">
        <v>-27.483841939166666</v>
      </c>
      <c r="EB67" s="931">
        <v>-27.483841939166666</v>
      </c>
      <c r="EC67" s="931">
        <v>-27.483841939166666</v>
      </c>
      <c r="ED67" s="931">
        <v>-27.483841939166666</v>
      </c>
      <c r="EE67" s="931">
        <v>-27.483841939166666</v>
      </c>
      <c r="EF67" s="931">
        <v>-27.483841939166666</v>
      </c>
      <c r="EG67" s="931">
        <v>-27.483841939166666</v>
      </c>
      <c r="EH67" s="931">
        <v>-27.483841939166666</v>
      </c>
      <c r="EI67" s="931">
        <f>SUM(EI68:EI69)</f>
        <v>-57.039311696666665</v>
      </c>
      <c r="EJ67" s="931">
        <f t="shared" ref="EJ67:GD67" si="225">SUM(EJ68:EJ69)</f>
        <v>-54.757739228799991</v>
      </c>
      <c r="EK67" s="931">
        <f t="shared" si="225"/>
        <v>-52.567429659647985</v>
      </c>
      <c r="EL67" s="931">
        <f t="shared" si="225"/>
        <v>-50.496399139928734</v>
      </c>
      <c r="EM67" s="931">
        <f t="shared" si="225"/>
        <v>-48.651543174331579</v>
      </c>
      <c r="EN67" s="931">
        <f t="shared" si="225"/>
        <v>-46.880481447358321</v>
      </c>
      <c r="EO67" s="931">
        <f t="shared" si="225"/>
        <v>-45.20526218946398</v>
      </c>
      <c r="EP67" s="931">
        <f t="shared" si="225"/>
        <v>-43.397051701885417</v>
      </c>
      <c r="EQ67" s="931">
        <f t="shared" si="225"/>
        <v>-41.661169633810005</v>
      </c>
      <c r="ER67" s="931">
        <f t="shared" si="225"/>
        <v>-39.994722848457599</v>
      </c>
      <c r="ES67" s="931">
        <f t="shared" si="225"/>
        <v>-38.394933934519294</v>
      </c>
      <c r="ET67" s="931">
        <f t="shared" si="225"/>
        <v>-36.859136577138521</v>
      </c>
      <c r="EU67" s="931">
        <f t="shared" si="225"/>
        <v>-14.849619000000001</v>
      </c>
      <c r="EV67" s="931">
        <f t="shared" si="225"/>
        <v>-14.849619000000001</v>
      </c>
      <c r="EW67" s="931">
        <f t="shared" si="225"/>
        <v>-14.849619000000001</v>
      </c>
      <c r="EX67" s="931">
        <f t="shared" si="225"/>
        <v>-14.849619000000001</v>
      </c>
      <c r="EY67" s="931">
        <f t="shared" si="225"/>
        <v>-14.849619000000001</v>
      </c>
      <c r="EZ67" s="931">
        <f t="shared" si="225"/>
        <v>-14.849619000000001</v>
      </c>
      <c r="FA67" s="931">
        <f t="shared" si="225"/>
        <v>-14.849619000000001</v>
      </c>
      <c r="FB67" s="931">
        <f t="shared" si="225"/>
        <v>-14.849619000000001</v>
      </c>
      <c r="FC67" s="931">
        <f t="shared" si="225"/>
        <v>-14.849619000000001</v>
      </c>
      <c r="FD67" s="931">
        <f t="shared" si="225"/>
        <v>-14.849619000000001</v>
      </c>
      <c r="FE67" s="931">
        <f t="shared" si="225"/>
        <v>-14.849619000000001</v>
      </c>
      <c r="FF67" s="931">
        <f t="shared" si="225"/>
        <v>-14.849619000000001</v>
      </c>
      <c r="FG67" s="931">
        <f t="shared" si="225"/>
        <v>-27.984692023333331</v>
      </c>
      <c r="FH67" s="931">
        <f t="shared" si="225"/>
        <v>-27.984692023333331</v>
      </c>
      <c r="FI67" s="931">
        <f t="shared" si="225"/>
        <v>-27.984692023333331</v>
      </c>
      <c r="FJ67" s="931">
        <f t="shared" si="225"/>
        <v>-27.984692023333331</v>
      </c>
      <c r="FK67" s="931">
        <f t="shared" si="225"/>
        <v>-27.984692023333331</v>
      </c>
      <c r="FL67" s="931">
        <f t="shared" si="225"/>
        <v>-27.984692023333331</v>
      </c>
      <c r="FM67" s="931">
        <f t="shared" si="225"/>
        <v>-27.984692023333331</v>
      </c>
      <c r="FN67" s="931">
        <f t="shared" si="225"/>
        <v>-27.984692023333331</v>
      </c>
      <c r="FO67" s="931">
        <f t="shared" si="225"/>
        <v>-27.984692023333331</v>
      </c>
      <c r="FP67" s="931">
        <f t="shared" si="225"/>
        <v>-27.984692023333331</v>
      </c>
      <c r="FQ67" s="931">
        <f t="shared" si="225"/>
        <v>-27.984692023333331</v>
      </c>
      <c r="FR67" s="931">
        <f t="shared" si="225"/>
        <v>-27.984692023333331</v>
      </c>
      <c r="FS67" s="931">
        <f t="shared" si="225"/>
        <v>-27.984692023333331</v>
      </c>
      <c r="FT67" s="931">
        <f t="shared" si="225"/>
        <v>-27.984692023333331</v>
      </c>
      <c r="FU67" s="931">
        <f t="shared" si="225"/>
        <v>-27.984692023333331</v>
      </c>
      <c r="FV67" s="931">
        <f t="shared" si="225"/>
        <v>-27.984692023333331</v>
      </c>
      <c r="FW67" s="931">
        <f t="shared" si="225"/>
        <v>-27.984692023333331</v>
      </c>
      <c r="FX67" s="931">
        <f t="shared" si="225"/>
        <v>-27.984692023333331</v>
      </c>
      <c r="FY67" s="931">
        <f t="shared" si="225"/>
        <v>-27.984692023333331</v>
      </c>
      <c r="FZ67" s="931">
        <f t="shared" si="225"/>
        <v>-27.984692023333331</v>
      </c>
      <c r="GA67" s="931">
        <f t="shared" si="225"/>
        <v>-27.984692023333331</v>
      </c>
      <c r="GB67" s="931">
        <f t="shared" si="225"/>
        <v>-27.984692023333331</v>
      </c>
      <c r="GC67" s="931">
        <f t="shared" si="225"/>
        <v>-27.984692023333331</v>
      </c>
      <c r="GD67" s="931">
        <f t="shared" si="225"/>
        <v>-27.984692023333331</v>
      </c>
      <c r="GF67" s="931">
        <f t="shared" si="188"/>
        <v>-90.11327129</v>
      </c>
      <c r="GG67" s="931">
        <f t="shared" si="188"/>
        <v>-293.96908517999998</v>
      </c>
      <c r="GH67" s="931">
        <f t="shared" si="188"/>
        <v>-213.81233699999996</v>
      </c>
      <c r="GI67" s="931">
        <f t="shared" si="188"/>
        <v>-356.31125881999998</v>
      </c>
      <c r="GJ67" s="931">
        <f t="shared" si="219"/>
        <v>-564.63656947000004</v>
      </c>
      <c r="GK67" s="931">
        <f t="shared" si="37"/>
        <v>-176.60456442</v>
      </c>
      <c r="GL67" s="931">
        <f t="shared" si="38"/>
        <v>-240.24807772000003</v>
      </c>
      <c r="GM67" s="931">
        <f t="shared" si="183"/>
        <v>-213.525194</v>
      </c>
      <c r="GN67" s="931">
        <f t="shared" si="7"/>
        <v>-335.81630427999994</v>
      </c>
      <c r="GO67" s="931">
        <v>-193.88590400000001</v>
      </c>
      <c r="GQ67" s="934">
        <f t="shared" si="189"/>
        <v>-0.2726706726012339</v>
      </c>
      <c r="GR67" s="934">
        <f t="shared" si="189"/>
        <v>0.66646725731265932</v>
      </c>
      <c r="GS67" s="934">
        <f t="shared" si="189"/>
        <v>0.58467226474940293</v>
      </c>
      <c r="GT67" s="934">
        <f t="shared" si="189"/>
        <v>-0.68722435993515063</v>
      </c>
      <c r="GU67" s="934">
        <f t="shared" si="189"/>
        <v>0.36037298078346014</v>
      </c>
      <c r="GV67" s="934">
        <f t="shared" si="189"/>
        <v>-0.11123037475931241</v>
      </c>
      <c r="GW67" s="934">
        <f t="shared" si="92"/>
        <v>0.57272450144688758</v>
      </c>
      <c r="GX67" s="934">
        <f t="shared" si="92"/>
        <v>-0.42264297019259645</v>
      </c>
      <c r="GY67" s="934">
        <f t="shared" si="9"/>
        <v>-9.1976453139295589E-2</v>
      </c>
      <c r="HA67" s="931">
        <f t="shared" si="190"/>
        <v>80.156748180000022</v>
      </c>
      <c r="HB67" s="931">
        <f t="shared" si="190"/>
        <v>-142.49892182000002</v>
      </c>
      <c r="HC67" s="931">
        <f t="shared" si="190"/>
        <v>-208.32531065000006</v>
      </c>
      <c r="HD67" s="931">
        <f t="shared" si="99"/>
        <v>388.03200505000007</v>
      </c>
      <c r="HE67" s="931">
        <f t="shared" si="93"/>
        <v>-63.643513300000023</v>
      </c>
      <c r="HF67" s="931">
        <f t="shared" si="93"/>
        <v>26.722883720000027</v>
      </c>
      <c r="HG67" s="931">
        <f t="shared" si="93"/>
        <v>-122.29111027999994</v>
      </c>
      <c r="HH67" s="931">
        <f t="shared" si="93"/>
        <v>141.93040027999993</v>
      </c>
      <c r="HI67" s="931">
        <f t="shared" si="11"/>
        <v>19.639289999999988</v>
      </c>
      <c r="HK67" s="230">
        <f t="shared" si="191"/>
        <v>-7.9980096442610199E-3</v>
      </c>
      <c r="HL67" s="230">
        <f t="shared" si="191"/>
        <v>-5.4290541101596765E-3</v>
      </c>
      <c r="HM67" s="230">
        <f t="shared" si="191"/>
        <v>-2.1142576488542512E-2</v>
      </c>
      <c r="HN67" s="230">
        <f t="shared" si="191"/>
        <v>-9.1780577024124232E-2</v>
      </c>
      <c r="HO67" s="230">
        <f t="shared" si="165"/>
        <v>-1.2958174641925642E-2</v>
      </c>
      <c r="HP67" s="230">
        <f t="shared" si="165"/>
        <v>-1.697802219646153E-2</v>
      </c>
      <c r="HQ67" s="230">
        <f t="shared" si="165"/>
        <v>-1.0058017996417626E-2</v>
      </c>
      <c r="HR67" s="230">
        <f t="shared" si="165"/>
        <v>-2.1345662909181828E-2</v>
      </c>
      <c r="HS67" s="230">
        <f t="shared" si="165"/>
        <v>-1.5363521120806975E-2</v>
      </c>
      <c r="HU67" s="931">
        <f t="shared" si="192"/>
        <v>-40.395343090000004</v>
      </c>
      <c r="HV67" s="931">
        <f t="shared" si="192"/>
        <v>-122.72426325000001</v>
      </c>
      <c r="HW67" s="931">
        <f t="shared" si="192"/>
        <v>-144.71203358</v>
      </c>
      <c r="HX67" s="931">
        <f t="shared" si="192"/>
        <v>-74.715901479999999</v>
      </c>
      <c r="HY67" s="931">
        <f t="shared" si="192"/>
        <v>-193.3619606</v>
      </c>
      <c r="HZ67" s="931">
        <f t="shared" si="192"/>
        <v>-89.781655000000001</v>
      </c>
      <c r="IA67" s="931">
        <f t="shared" si="193"/>
        <v>-108.21205372</v>
      </c>
      <c r="IB67" s="931">
        <f t="shared" si="194"/>
        <v>-107.955015</v>
      </c>
      <c r="IC67" s="931">
        <f t="shared" si="195"/>
        <v>-86.252919999999989</v>
      </c>
      <c r="ID67" s="931">
        <f t="shared" si="18"/>
        <v>-167.90815214</v>
      </c>
      <c r="IE67" s="931">
        <f t="shared" si="196"/>
        <v>-86.252919999999989</v>
      </c>
      <c r="IG67" s="931">
        <f t="shared" si="151"/>
        <v>-86.252919999999989</v>
      </c>
      <c r="IH67" s="931">
        <f t="shared" si="151"/>
        <v>-167.90815214</v>
      </c>
      <c r="II67" s="145"/>
      <c r="IJ67" s="934">
        <f t="shared" si="197"/>
        <v>0.51369107991899787</v>
      </c>
      <c r="IK67" s="935">
        <f t="shared" si="198"/>
        <v>81.65523214000001</v>
      </c>
      <c r="IM67" s="230">
        <f t="shared" si="199"/>
        <v>-1.326440645245849E-2</v>
      </c>
      <c r="IN67" s="934">
        <f t="shared" si="200"/>
        <v>-2.3779869002651322E-2</v>
      </c>
      <c r="IP67" s="934">
        <f t="shared" si="220"/>
        <v>0.17916400349626871</v>
      </c>
      <c r="IQ67" s="934">
        <f t="shared" si="220"/>
        <v>-0.4836925469733282</v>
      </c>
      <c r="IR67" s="934">
        <f t="shared" si="220"/>
        <v>1.58796262602492</v>
      </c>
      <c r="IS67" s="934">
        <f t="shared" si="220"/>
        <v>-0.53568088200280695</v>
      </c>
      <c r="IT67" s="934">
        <f t="shared" si="220"/>
        <v>0.20528022924059486</v>
      </c>
      <c r="IU67" s="934">
        <f t="shared" si="220"/>
        <v>-2.3753242930319995E-3</v>
      </c>
      <c r="IV67" s="934">
        <f t="shared" si="221"/>
        <v>-0.20102905826098039</v>
      </c>
      <c r="IX67" s="931">
        <f t="shared" si="202"/>
        <v>-21.987770329999989</v>
      </c>
      <c r="IY67" s="931">
        <f t="shared" si="202"/>
        <v>69.996132099999997</v>
      </c>
      <c r="IZ67" s="931">
        <f t="shared" si="202"/>
        <v>-118.64605912</v>
      </c>
      <c r="JA67" s="931">
        <f t="shared" si="202"/>
        <v>103.5803056</v>
      </c>
      <c r="JB67" s="931">
        <f t="shared" si="202"/>
        <v>-18.430398719999999</v>
      </c>
      <c r="JC67" s="931">
        <f t="shared" si="202"/>
        <v>0.25703871999999706</v>
      </c>
      <c r="JD67" s="931">
        <f t="shared" si="203"/>
        <v>21.702095000000014</v>
      </c>
      <c r="JF67" s="230">
        <f t="shared" si="204"/>
        <v>-2.5255509212749531E-3</v>
      </c>
      <c r="JG67" s="230">
        <f t="shared" si="204"/>
        <v>-7.1973428636243056E-3</v>
      </c>
      <c r="JH67" s="230">
        <f t="shared" si="204"/>
        <v>-8.9024683944113111E-3</v>
      </c>
      <c r="JI67" s="230">
        <f t="shared" si="204"/>
        <v>-7.9875253022981645E-3</v>
      </c>
      <c r="JJ67" s="230">
        <f t="shared" si="204"/>
        <v>-9.6361779863260458E-2</v>
      </c>
      <c r="JK67" s="230">
        <f t="shared" si="204"/>
        <v>-1.2934388739329497E-2</v>
      </c>
      <c r="JL67" s="230">
        <f t="shared" si="204"/>
        <v>-2.0458072597658486E-2</v>
      </c>
      <c r="JM67" s="230">
        <f t="shared" si="205"/>
        <v>-1.2649491287565647E-2</v>
      </c>
      <c r="JO67" s="931">
        <f t="shared" si="206"/>
        <v>-7.2386926000000003</v>
      </c>
      <c r="JP67" s="931">
        <f t="shared" si="206"/>
        <v>-22.132956979999996</v>
      </c>
      <c r="JQ67" s="931">
        <f t="shared" si="206"/>
        <v>-24.195338929999998</v>
      </c>
      <c r="JR67" s="931">
        <f t="shared" si="206"/>
        <v>-16.025931079999999</v>
      </c>
      <c r="JS67" s="931">
        <f t="shared" si="206"/>
        <v>-33.29620087</v>
      </c>
      <c r="JT67" s="931">
        <f t="shared" si="207"/>
        <v>-14.868632</v>
      </c>
      <c r="JU67" s="931">
        <f t="shared" si="208"/>
        <v>-18.797697719999999</v>
      </c>
      <c r="JV67" s="931">
        <f t="shared" si="208"/>
        <v>-17.574757000000002</v>
      </c>
      <c r="JW67" s="931">
        <f t="shared" si="209"/>
        <v>-14.871377000000001</v>
      </c>
      <c r="JX67" s="931">
        <f t="shared" si="210"/>
        <v>-27.984692023333331</v>
      </c>
      <c r="JY67" s="931">
        <f t="shared" si="211"/>
        <v>-14.871377000000001</v>
      </c>
      <c r="KB67" s="230">
        <f t="shared" si="212"/>
        <v>9.3181491829746665E-2</v>
      </c>
      <c r="KC67" s="230">
        <f t="shared" si="212"/>
        <v>-0.337643869078878</v>
      </c>
      <c r="KD67" s="230">
        <f t="shared" si="212"/>
        <v>1.0776453301707325</v>
      </c>
      <c r="KE67" s="230">
        <f t="shared" si="212"/>
        <v>-0.5534435878119448</v>
      </c>
      <c r="KF67" s="230">
        <f t="shared" si="212"/>
        <v>0.26425199843536373</v>
      </c>
      <c r="KG67" s="230">
        <f t="shared" si="212"/>
        <v>-6.5058005411951947E-2</v>
      </c>
      <c r="KH67" s="230">
        <f t="shared" si="169"/>
        <v>-0.15382175696654021</v>
      </c>
      <c r="KJ67" s="931">
        <f t="shared" si="213"/>
        <v>-2.0623819500000025</v>
      </c>
      <c r="KK67" s="931">
        <f t="shared" si="213"/>
        <v>8.1694078499999989</v>
      </c>
      <c r="KL67" s="931">
        <f t="shared" si="213"/>
        <v>-17.27026979</v>
      </c>
      <c r="KM67" s="931">
        <f t="shared" si="213"/>
        <v>18.427568870000002</v>
      </c>
      <c r="KN67" s="931">
        <f t="shared" si="213"/>
        <v>-3.9290657199999988</v>
      </c>
      <c r="KO67" s="931">
        <f t="shared" si="213"/>
        <v>1.2229407199999969</v>
      </c>
      <c r="KP67" s="931">
        <f t="shared" si="171"/>
        <v>2.703380000000001</v>
      </c>
      <c r="KR67" s="230">
        <f t="shared" si="214"/>
        <v>-2.2579823919716057E-3</v>
      </c>
      <c r="KS67" s="230">
        <f t="shared" si="214"/>
        <v>-6.5808324910010332E-3</v>
      </c>
      <c r="KT67" s="230">
        <f t="shared" si="214"/>
        <v>-9.643676772424177E-3</v>
      </c>
      <c r="KU67" s="230">
        <f t="shared" si="214"/>
        <v>-1.7912732620140266E-2</v>
      </c>
      <c r="KV67" s="230">
        <f t="shared" si="214"/>
        <v>-0.10670355029658694</v>
      </c>
      <c r="KW67" s="230">
        <f t="shared" si="214"/>
        <v>-1.4663037357528582E-2</v>
      </c>
      <c r="KX67" s="230">
        <f t="shared" si="214"/>
        <v>-2.1430473262193293E-2</v>
      </c>
      <c r="KY67" s="230">
        <f t="shared" si="214"/>
        <v>-1.1485906962241948E-2</v>
      </c>
      <c r="KZ67" s="230">
        <f t="shared" si="46"/>
        <v>-4.0578384281764406E-2</v>
      </c>
    </row>
    <row r="68" spans="1:312" outlineLevel="1">
      <c r="A68" s="884">
        <v>5165</v>
      </c>
      <c r="B68" s="70" t="s">
        <v>653</v>
      </c>
      <c r="C68" s="186" t="s">
        <v>654</v>
      </c>
      <c r="D68" s="307"/>
      <c r="E68" s="931">
        <v>-1.173181</v>
      </c>
      <c r="F68" s="931">
        <v>-1.1533929999999999</v>
      </c>
      <c r="G68" s="931">
        <v>-1.1475677499999999</v>
      </c>
      <c r="H68" s="931">
        <v>-1.1545255300000004</v>
      </c>
      <c r="I68" s="931">
        <v>-1.1184685299999995</v>
      </c>
      <c r="J68" s="931">
        <v>-1.187394470000001</v>
      </c>
      <c r="K68" s="931">
        <v>-1.1649674699999988</v>
      </c>
      <c r="L68" s="931">
        <v>-1.1425404700000019</v>
      </c>
      <c r="M68" s="931">
        <v>-1.1212274699999973</v>
      </c>
      <c r="N68" s="931">
        <v>-1.1167794700000009</v>
      </c>
      <c r="O68" s="931">
        <v>-1.0784454700000019</v>
      </c>
      <c r="P68" s="931">
        <v>-1.0784454699999984</v>
      </c>
      <c r="Q68" s="931">
        <v>-7.3759271600000007</v>
      </c>
      <c r="R68" s="931">
        <v>-7.3759221600000009</v>
      </c>
      <c r="S68" s="931">
        <v>-7.8600881599999965</v>
      </c>
      <c r="T68" s="931">
        <v>-8.0633879800000052</v>
      </c>
      <c r="U68" s="931">
        <v>-8.556976309999996</v>
      </c>
      <c r="V68" s="931">
        <v>-9.1555560799999967</v>
      </c>
      <c r="W68" s="931">
        <v>-9.1330000800000093</v>
      </c>
      <c r="X68" s="931">
        <v>-9.1123850799999957</v>
      </c>
      <c r="Y68" s="931">
        <v>-9.1115450799999991</v>
      </c>
      <c r="Z68" s="931">
        <v>-9.1011260800000002</v>
      </c>
      <c r="AA68" s="931">
        <v>-39.030839279999995</v>
      </c>
      <c r="AB68" s="931">
        <v>-7.864231999999987</v>
      </c>
      <c r="AC68" s="931">
        <v>-8.4309066599999998</v>
      </c>
      <c r="AD68" s="931">
        <v>-8.6809066599999998</v>
      </c>
      <c r="AE68" s="931">
        <v>-8.6809066599999998</v>
      </c>
      <c r="AF68" s="931">
        <v>-8.6809066599999998</v>
      </c>
      <c r="AG68" s="931">
        <v>-8.6809066599999998</v>
      </c>
      <c r="AH68" s="931">
        <v>-8.6809066599999998</v>
      </c>
      <c r="AI68" s="931">
        <v>-8.6809066599999998</v>
      </c>
      <c r="AJ68" s="931">
        <v>-8.6809066599999998</v>
      </c>
      <c r="AK68" s="931">
        <v>-8.6809066599999998</v>
      </c>
      <c r="AL68" s="931">
        <v>-8.6809066599999998</v>
      </c>
      <c r="AM68" s="931">
        <v>-8.6809066599999998</v>
      </c>
      <c r="AN68" s="931">
        <v>-12.523397739999975</v>
      </c>
      <c r="AO68" s="931">
        <v>-2.3787666400000003</v>
      </c>
      <c r="AP68" s="931">
        <v>-2.3787666400000003</v>
      </c>
      <c r="AQ68" s="931">
        <v>-2.3787666400000003</v>
      </c>
      <c r="AR68" s="931">
        <v>-2.3787666400000003</v>
      </c>
      <c r="AS68" s="931">
        <v>-2.3787666400000003</v>
      </c>
      <c r="AT68" s="931">
        <v>-6.6667036399999997</v>
      </c>
      <c r="AU68" s="931">
        <v>-55.733068639999999</v>
      </c>
      <c r="AV68" s="931">
        <v>-45.291218640000004</v>
      </c>
      <c r="AW68" s="931">
        <v>-93.163157639999994</v>
      </c>
      <c r="AX68" s="931">
        <f>-61.92329364+32.14</f>
        <v>-29.783293639999997</v>
      </c>
      <c r="AY68" s="931"/>
      <c r="AZ68" s="931"/>
      <c r="BA68" s="931"/>
      <c r="BB68" s="931"/>
      <c r="BC68" s="931"/>
      <c r="BD68" s="931"/>
      <c r="BE68" s="931"/>
      <c r="BF68" s="931"/>
      <c r="BG68" s="931"/>
      <c r="BH68" s="931"/>
      <c r="BI68" s="931"/>
      <c r="BJ68" s="931"/>
      <c r="BK68" s="931"/>
      <c r="BL68" s="931"/>
      <c r="BM68" s="931">
        <v>-15.079819000000001</v>
      </c>
      <c r="BN68" s="931">
        <v>-14.889390000000001</v>
      </c>
      <c r="BO68" s="931">
        <v>-16.265568999999999</v>
      </c>
      <c r="BP68" s="931">
        <v>-14.329019000000001</v>
      </c>
      <c r="BQ68" s="931">
        <v>-14.349226</v>
      </c>
      <c r="BR68" s="931">
        <v>-14.868632</v>
      </c>
      <c r="BS68" s="931">
        <v>-15.283710579999999</v>
      </c>
      <c r="BT68" s="931">
        <v>-14.906965</v>
      </c>
      <c r="BU68" s="931">
        <v>-14.619357839999999</v>
      </c>
      <c r="BV68" s="931">
        <v>-15.101547</v>
      </c>
      <c r="BW68" s="931">
        <v>-13.884884</v>
      </c>
      <c r="BX68" s="931">
        <v>-13.026445000000001</v>
      </c>
      <c r="BY68" s="931">
        <v>-17.3596</v>
      </c>
      <c r="BZ68" s="931">
        <v>-15.577591</v>
      </c>
      <c r="CA68" s="931">
        <v>-17.684131000000001</v>
      </c>
      <c r="CB68" s="931">
        <v>-17.672359</v>
      </c>
      <c r="CC68" s="931">
        <v>-18.817219000000001</v>
      </c>
      <c r="CD68" s="931">
        <v>-18.756513719999997</v>
      </c>
      <c r="CE68" s="931">
        <v>-18.751294000000001</v>
      </c>
      <c r="CF68" s="931">
        <v>-21.104306000000001</v>
      </c>
      <c r="CG68" s="931">
        <v>-26.457280999999998</v>
      </c>
      <c r="CH68" s="931">
        <v>-22.545029</v>
      </c>
      <c r="CI68" s="931">
        <v>-21.567492000000001</v>
      </c>
      <c r="CJ68" s="931">
        <v>-23.955262000000001</v>
      </c>
      <c r="CK68" s="931">
        <v>-16.166194000000001</v>
      </c>
      <c r="CL68" s="931">
        <v>-18.784286000000002</v>
      </c>
      <c r="CM68" s="931">
        <v>-18.784286000000002</v>
      </c>
      <c r="CN68" s="931">
        <v>-18.744239</v>
      </c>
      <c r="CO68" s="931">
        <v>-17.901253000000001</v>
      </c>
      <c r="CP68" s="931">
        <v>-17.574757000000002</v>
      </c>
      <c r="CQ68" s="931">
        <v>-17.707968000000001</v>
      </c>
      <c r="CR68" s="931">
        <v>-17.707968000000001</v>
      </c>
      <c r="CS68" s="931">
        <v>-17.707968000000001</v>
      </c>
      <c r="CT68" s="931">
        <v>-17.839300000000001</v>
      </c>
      <c r="CU68" s="931">
        <v>-19.176114999999999</v>
      </c>
      <c r="CV68" s="931">
        <v>-15.430859999999999</v>
      </c>
      <c r="CW68" s="931">
        <v>-15.263543</v>
      </c>
      <c r="CX68" s="931">
        <v>-11.191539000000001</v>
      </c>
      <c r="CY68" s="931">
        <v>-15.16066</v>
      </c>
      <c r="CZ68" s="931">
        <v>-14.857642</v>
      </c>
      <c r="DA68" s="931">
        <v>-14.908158999999999</v>
      </c>
      <c r="DB68" s="931">
        <v>-14.871377000000001</v>
      </c>
      <c r="DC68" s="931">
        <v>-14.916663</v>
      </c>
      <c r="DD68" s="931">
        <v>-16.803836</v>
      </c>
      <c r="DE68" s="931">
        <v>-19.570336000000001</v>
      </c>
      <c r="DF68" s="931">
        <v>-19.882916000000002</v>
      </c>
      <c r="DG68" s="931">
        <v>-18.195554000000001</v>
      </c>
      <c r="DH68" s="931">
        <v>-18.263679</v>
      </c>
      <c r="DI68" s="657"/>
      <c r="DJ68" s="931">
        <v>-15.263543</v>
      </c>
      <c r="DK68" s="931">
        <v>-11.191539000000001</v>
      </c>
      <c r="DL68" s="931">
        <v>-15.16066</v>
      </c>
      <c r="DM68" s="931">
        <v>-14.857642</v>
      </c>
      <c r="DN68" s="931">
        <v>-14.908158999999999</v>
      </c>
      <c r="DO68" s="931">
        <v>-14.871377000000001</v>
      </c>
      <c r="DP68" s="931">
        <v>-14.871377000000001</v>
      </c>
      <c r="DQ68" s="931">
        <v>-14.871377000000001</v>
      </c>
      <c r="DR68" s="931">
        <v>-14.871377000000001</v>
      </c>
      <c r="DS68" s="931">
        <v>-14.871377000000001</v>
      </c>
      <c r="DT68" s="931">
        <v>-14.871377000000001</v>
      </c>
      <c r="DU68" s="931">
        <v>-14.871377000000001</v>
      </c>
      <c r="DW68" s="931">
        <v>-8.6600724916666678</v>
      </c>
      <c r="DX68" s="931">
        <v>-8.6600724916666678</v>
      </c>
      <c r="DY68" s="931">
        <v>-11.160072491666668</v>
      </c>
      <c r="DZ68" s="931">
        <v>-11.160072491666668</v>
      </c>
      <c r="EA68" s="931">
        <v>-11.160072491666668</v>
      </c>
      <c r="EB68" s="931">
        <v>-11.160072491666668</v>
      </c>
      <c r="EC68" s="931">
        <v>-11.160072491666668</v>
      </c>
      <c r="ED68" s="931">
        <v>-11.160072491666668</v>
      </c>
      <c r="EE68" s="931">
        <v>-11.160072491666668</v>
      </c>
      <c r="EF68" s="931">
        <v>-11.160072491666668</v>
      </c>
      <c r="EG68" s="931">
        <v>-11.160072491666668</v>
      </c>
      <c r="EH68" s="931">
        <v>-11.160072491666668</v>
      </c>
      <c r="EI68" s="931">
        <v>-14.383652029999999</v>
      </c>
      <c r="EJ68" s="931">
        <v>-13.808305948799999</v>
      </c>
      <c r="EK68" s="931">
        <v>-13.255973710847998</v>
      </c>
      <c r="EL68" s="931">
        <v>-12.725734762414078</v>
      </c>
      <c r="EM68" s="931">
        <v>-12.216705371917515</v>
      </c>
      <c r="EN68" s="931">
        <v>-11.728037157040815</v>
      </c>
      <c r="EO68" s="931">
        <v>-11.25891567075918</v>
      </c>
      <c r="EP68" s="931">
        <v>-10.808559043928813</v>
      </c>
      <c r="EQ68" s="931">
        <v>-10.376216682171659</v>
      </c>
      <c r="ER68" s="931">
        <v>-9.9611680148847928</v>
      </c>
      <c r="ES68" s="931">
        <v>-9.5627212942894015</v>
      </c>
      <c r="ET68" s="931">
        <v>-9.1802124425178242</v>
      </c>
      <c r="EU68" s="931">
        <v>-14.849619000000001</v>
      </c>
      <c r="EV68" s="931">
        <v>-14.849619000000001</v>
      </c>
      <c r="EW68" s="931">
        <v>-14.849619000000001</v>
      </c>
      <c r="EX68" s="931">
        <v>-14.849619000000001</v>
      </c>
      <c r="EY68" s="931">
        <v>-14.849619000000001</v>
      </c>
      <c r="EZ68" s="931">
        <v>-14.849619000000001</v>
      </c>
      <c r="FA68" s="931">
        <v>-14.849619000000001</v>
      </c>
      <c r="FB68" s="931">
        <v>-14.849619000000001</v>
      </c>
      <c r="FC68" s="931">
        <v>-14.849619000000001</v>
      </c>
      <c r="FD68" s="931">
        <v>-14.849619000000001</v>
      </c>
      <c r="FE68" s="931">
        <v>-14.849619000000001</v>
      </c>
      <c r="FF68" s="931">
        <v>-14.849619000000001</v>
      </c>
      <c r="FG68" s="931">
        <v>-25.264860511666665</v>
      </c>
      <c r="FH68" s="931">
        <v>-25.264860511666665</v>
      </c>
      <c r="FI68" s="931">
        <v>-25.264860511666665</v>
      </c>
      <c r="FJ68" s="931">
        <v>-25.264860511666665</v>
      </c>
      <c r="FK68" s="931">
        <v>-25.264860511666665</v>
      </c>
      <c r="FL68" s="931">
        <v>-25.264860511666665</v>
      </c>
      <c r="FM68" s="931">
        <v>-25.264860511666665</v>
      </c>
      <c r="FN68" s="931">
        <v>-25.264860511666665</v>
      </c>
      <c r="FO68" s="931">
        <v>-25.264860511666665</v>
      </c>
      <c r="FP68" s="931">
        <v>-25.264860511666665</v>
      </c>
      <c r="FQ68" s="931">
        <v>-25.264860511666665</v>
      </c>
      <c r="FR68" s="931">
        <v>-25.264860511666665</v>
      </c>
      <c r="FS68" s="931">
        <v>-25.264860511666665</v>
      </c>
      <c r="FT68" s="931">
        <v>-25.264860511666665</v>
      </c>
      <c r="FU68" s="931">
        <v>-25.264860511666665</v>
      </c>
      <c r="FV68" s="931">
        <v>-25.264860511666665</v>
      </c>
      <c r="FW68" s="931">
        <v>-25.264860511666665</v>
      </c>
      <c r="FX68" s="931">
        <v>-25.264860511666665</v>
      </c>
      <c r="FY68" s="931">
        <v>-25.264860511666665</v>
      </c>
      <c r="FZ68" s="931">
        <v>-25.264860511666665</v>
      </c>
      <c r="GA68" s="931">
        <v>-25.264860511666665</v>
      </c>
      <c r="GB68" s="931">
        <v>-25.264860511666665</v>
      </c>
      <c r="GC68" s="931">
        <v>-25.264860511666665</v>
      </c>
      <c r="GD68" s="931">
        <v>-25.264860511666665</v>
      </c>
      <c r="GF68" s="931">
        <f t="shared" si="188"/>
        <v>-13.6369361</v>
      </c>
      <c r="GG68" s="931">
        <f t="shared" si="188"/>
        <v>-131.74098544999998</v>
      </c>
      <c r="GH68" s="931">
        <f t="shared" si="188"/>
        <v>-107.76337099999999</v>
      </c>
      <c r="GI68" s="931">
        <f t="shared" si="188"/>
        <v>-242.53127540000003</v>
      </c>
      <c r="GJ68" s="931">
        <f t="shared" si="219"/>
        <v>0</v>
      </c>
      <c r="GK68" s="931">
        <f t="shared" si="37"/>
        <v>-176.60456442</v>
      </c>
      <c r="GL68" s="931">
        <f t="shared" si="38"/>
        <v>-240.24807771999997</v>
      </c>
      <c r="GM68" s="931">
        <f t="shared" si="183"/>
        <v>-213.525194</v>
      </c>
      <c r="GN68" s="931">
        <f t="shared" si="7"/>
        <v>-303.17832613999991</v>
      </c>
      <c r="GO68" s="931">
        <v>-193.88590400000001</v>
      </c>
      <c r="GQ68" s="934">
        <f t="shared" si="189"/>
        <v>-0.18200573168704803</v>
      </c>
      <c r="GR68" s="934">
        <f t="shared" si="189"/>
        <v>1.2505910231779964</v>
      </c>
      <c r="GS68" s="934">
        <f t="shared" si="189"/>
        <v>-1</v>
      </c>
      <c r="GT68" s="934" t="str">
        <f t="shared" si="189"/>
        <v/>
      </c>
      <c r="GU68" s="934">
        <f t="shared" si="189"/>
        <v>0.36037298078345992</v>
      </c>
      <c r="GV68" s="934">
        <f t="shared" si="189"/>
        <v>-0.11123037475931219</v>
      </c>
      <c r="GW68" s="934">
        <f t="shared" si="92"/>
        <v>0.41987144683263899</v>
      </c>
      <c r="GX68" s="934">
        <f t="shared" si="92"/>
        <v>-0.36048890279027235</v>
      </c>
      <c r="GY68" s="934">
        <f t="shared" si="9"/>
        <v>-9.1976453139295589E-2</v>
      </c>
      <c r="HA68" s="931">
        <f t="shared" si="190"/>
        <v>23.97761444999999</v>
      </c>
      <c r="HB68" s="931">
        <f t="shared" si="190"/>
        <v>-134.76790440000002</v>
      </c>
      <c r="HC68" s="931">
        <f t="shared" si="190"/>
        <v>242.53127540000003</v>
      </c>
      <c r="HD68" s="931">
        <f t="shared" si="99"/>
        <v>-176.60456442</v>
      </c>
      <c r="HE68" s="931">
        <f t="shared" si="93"/>
        <v>-63.643513299999967</v>
      </c>
      <c r="HF68" s="931">
        <f t="shared" si="93"/>
        <v>26.72288371999997</v>
      </c>
      <c r="HG68" s="931">
        <f t="shared" si="93"/>
        <v>-89.653132139999911</v>
      </c>
      <c r="HH68" s="931">
        <f t="shared" si="93"/>
        <v>109.2924221399999</v>
      </c>
      <c r="HI68" s="931">
        <f t="shared" si="11"/>
        <v>19.639289999999988</v>
      </c>
      <c r="HK68" s="230">
        <f t="shared" si="191"/>
        <v>-3.5842737392892225E-3</v>
      </c>
      <c r="HL68" s="230">
        <f t="shared" si="191"/>
        <v>-2.7362928653280293E-3</v>
      </c>
      <c r="HM68" s="230">
        <f t="shared" si="191"/>
        <v>-1.4391170399694501E-2</v>
      </c>
      <c r="HN68" s="230">
        <f t="shared" si="191"/>
        <v>0</v>
      </c>
      <c r="HO68" s="230">
        <f t="shared" si="165"/>
        <v>-1.2958174641925642E-2</v>
      </c>
      <c r="HP68" s="230">
        <f t="shared" si="165"/>
        <v>-1.6978022196461523E-2</v>
      </c>
      <c r="HQ68" s="230">
        <f t="shared" si="165"/>
        <v>-1.0058017996417626E-2</v>
      </c>
      <c r="HR68" s="230">
        <f t="shared" si="165"/>
        <v>-1.9271078469610358E-2</v>
      </c>
      <c r="HS68" s="230">
        <f t="shared" si="165"/>
        <v>-1.5363521120806975E-2</v>
      </c>
      <c r="HU68" s="931">
        <f t="shared" si="192"/>
        <v>-6.9345302800000006</v>
      </c>
      <c r="HV68" s="931">
        <f t="shared" si="192"/>
        <v>-48.387857849999996</v>
      </c>
      <c r="HW68" s="931">
        <f t="shared" si="192"/>
        <v>-51.835439959999995</v>
      </c>
      <c r="HX68" s="931">
        <f t="shared" si="192"/>
        <v>-18.560536840000001</v>
      </c>
      <c r="HY68" s="931">
        <f t="shared" si="192"/>
        <v>0</v>
      </c>
      <c r="HZ68" s="931">
        <f t="shared" si="192"/>
        <v>-89.781655000000001</v>
      </c>
      <c r="IA68" s="931">
        <f t="shared" si="193"/>
        <v>-105.86741371999999</v>
      </c>
      <c r="IB68" s="931">
        <f t="shared" si="194"/>
        <v>-107.955015</v>
      </c>
      <c r="IC68" s="931">
        <f t="shared" si="195"/>
        <v>-86.252919999999989</v>
      </c>
      <c r="ID68" s="931">
        <f t="shared" si="18"/>
        <v>-151.58916306999998</v>
      </c>
      <c r="IE68" s="931">
        <f t="shared" si="196"/>
        <v>-86.252919999999989</v>
      </c>
      <c r="IG68" s="931">
        <f t="shared" si="151"/>
        <v>-86.252919999999989</v>
      </c>
      <c r="IH68" s="931">
        <f t="shared" si="151"/>
        <v>-151.58916306999998</v>
      </c>
      <c r="II68" s="145"/>
      <c r="IJ68" s="934">
        <f t="shared" si="197"/>
        <v>0.56899133324042828</v>
      </c>
      <c r="IK68" s="935">
        <f t="shared" si="198"/>
        <v>65.336243069999995</v>
      </c>
      <c r="IM68" s="230">
        <f t="shared" si="199"/>
        <v>-1.326440645245849E-2</v>
      </c>
      <c r="IN68" s="934">
        <f t="shared" si="200"/>
        <v>-2.1468704134272949E-2</v>
      </c>
      <c r="IP68" s="934">
        <f t="shared" si="220"/>
        <v>7.1248909606359101E-2</v>
      </c>
      <c r="IQ68" s="934">
        <f t="shared" si="220"/>
        <v>-0.64193345606167007</v>
      </c>
      <c r="IR68" s="934">
        <f t="shared" si="220"/>
        <v>-1</v>
      </c>
      <c r="IS68" s="934" t="str">
        <f t="shared" si="220"/>
        <v/>
      </c>
      <c r="IT68" s="934">
        <f t="shared" si="220"/>
        <v>0.17916531745822661</v>
      </c>
      <c r="IU68" s="934">
        <f t="shared" si="220"/>
        <v>1.971901651929775E-2</v>
      </c>
      <c r="IV68" s="934">
        <f t="shared" si="221"/>
        <v>-0.20102905826098039</v>
      </c>
      <c r="IX68" s="931">
        <f t="shared" si="202"/>
        <v>-3.447582109999999</v>
      </c>
      <c r="IY68" s="931">
        <f t="shared" si="202"/>
        <v>33.274903119999991</v>
      </c>
      <c r="IZ68" s="931">
        <f t="shared" si="202"/>
        <v>18.560536840000001</v>
      </c>
      <c r="JA68" s="931">
        <f t="shared" si="202"/>
        <v>-89.781655000000001</v>
      </c>
      <c r="JB68" s="931">
        <f t="shared" si="202"/>
        <v>-16.085758719999987</v>
      </c>
      <c r="JC68" s="931">
        <f t="shared" si="202"/>
        <v>-2.0876012800000154</v>
      </c>
      <c r="JD68" s="931">
        <f t="shared" si="203"/>
        <v>21.702095000000014</v>
      </c>
      <c r="JF68" s="230">
        <f t="shared" si="204"/>
        <v>-4.3355268200701545E-4</v>
      </c>
      <c r="JG68" s="230">
        <f t="shared" si="204"/>
        <v>-2.8377762812339781E-3</v>
      </c>
      <c r="JH68" s="230">
        <f t="shared" si="204"/>
        <v>-3.1888389274772918E-3</v>
      </c>
      <c r="JI68" s="230">
        <f t="shared" si="204"/>
        <v>-1.98421961988134E-3</v>
      </c>
      <c r="JJ68" s="230">
        <f t="shared" si="204"/>
        <v>0</v>
      </c>
      <c r="JK68" s="230">
        <f t="shared" si="204"/>
        <v>-1.2934388739329497E-2</v>
      </c>
      <c r="JL68" s="230">
        <f t="shared" si="204"/>
        <v>-2.0014805755505311E-2</v>
      </c>
      <c r="JM68" s="230">
        <f t="shared" si="205"/>
        <v>-1.2649491287565647E-2</v>
      </c>
      <c r="JO68" s="931">
        <f t="shared" si="206"/>
        <v>-1.187394470000001</v>
      </c>
      <c r="JP68" s="931">
        <f t="shared" si="206"/>
        <v>-9.1555560799999967</v>
      </c>
      <c r="JQ68" s="931">
        <f t="shared" si="206"/>
        <v>-8.6809066599999998</v>
      </c>
      <c r="JR68" s="931">
        <f t="shared" si="206"/>
        <v>-6.6667036399999997</v>
      </c>
      <c r="JS68" s="931">
        <f t="shared" si="206"/>
        <v>0</v>
      </c>
      <c r="JT68" s="931">
        <f t="shared" si="207"/>
        <v>-14.868632</v>
      </c>
      <c r="JU68" s="931">
        <f t="shared" si="208"/>
        <v>-18.756513719999997</v>
      </c>
      <c r="JV68" s="931">
        <f t="shared" si="208"/>
        <v>-17.574757000000002</v>
      </c>
      <c r="JW68" s="931">
        <f t="shared" si="209"/>
        <v>-14.871377000000001</v>
      </c>
      <c r="JX68" s="931">
        <f t="shared" si="210"/>
        <v>-25.264860511666665</v>
      </c>
      <c r="JY68" s="931">
        <f t="shared" si="211"/>
        <v>-14.871377000000001</v>
      </c>
      <c r="KB68" s="230">
        <f t="shared" si="212"/>
        <v>-5.1842773486675764E-2</v>
      </c>
      <c r="KC68" s="230">
        <f t="shared" si="212"/>
        <v>-0.23202680306206636</v>
      </c>
      <c r="KD68" s="230">
        <f t="shared" si="212"/>
        <v>-1</v>
      </c>
      <c r="KE68" s="230" t="str">
        <f t="shared" si="212"/>
        <v xml:space="preserve"> </v>
      </c>
      <c r="KF68" s="230">
        <f t="shared" si="212"/>
        <v>0.26148214038789841</v>
      </c>
      <c r="KG68" s="230">
        <f t="shared" si="212"/>
        <v>-6.3005137182817306E-2</v>
      </c>
      <c r="KH68" s="230">
        <f t="shared" si="169"/>
        <v>-0.15382175696654021</v>
      </c>
      <c r="KJ68" s="931">
        <f t="shared" si="213"/>
        <v>0.47464941999999688</v>
      </c>
      <c r="KK68" s="931">
        <f t="shared" si="213"/>
        <v>2.0142030200000001</v>
      </c>
      <c r="KL68" s="931">
        <f t="shared" si="213"/>
        <v>6.6667036399999997</v>
      </c>
      <c r="KM68" s="931">
        <f t="shared" si="213"/>
        <v>-14.868632</v>
      </c>
      <c r="KN68" s="931">
        <f t="shared" si="213"/>
        <v>-3.8878817199999975</v>
      </c>
      <c r="KO68" s="931">
        <f t="shared" si="213"/>
        <v>1.1817567199999957</v>
      </c>
      <c r="KP68" s="931">
        <f t="shared" si="171"/>
        <v>2.703380000000001</v>
      </c>
      <c r="KR68" s="230">
        <f t="shared" si="214"/>
        <v>-3.7038674712951055E-4</v>
      </c>
      <c r="KS68" s="230">
        <f t="shared" si="214"/>
        <v>-2.7222381979457515E-3</v>
      </c>
      <c r="KT68" s="230">
        <f t="shared" si="214"/>
        <v>-3.4599993892552739E-3</v>
      </c>
      <c r="KU68" s="230">
        <f t="shared" si="214"/>
        <v>-7.4516032276007917E-3</v>
      </c>
      <c r="KV68" s="230">
        <f t="shared" si="214"/>
        <v>0</v>
      </c>
      <c r="KW68" s="230">
        <f t="shared" si="214"/>
        <v>-1.4663037357528582E-2</v>
      </c>
      <c r="KX68" s="230">
        <f t="shared" si="214"/>
        <v>-2.1383521096881519E-2</v>
      </c>
      <c r="KY68" s="230">
        <f t="shared" si="214"/>
        <v>-1.1485906962241948E-2</v>
      </c>
      <c r="KZ68" s="230">
        <f t="shared" si="46"/>
        <v>-4.0578384281764406E-2</v>
      </c>
    </row>
    <row r="69" spans="1:312" outlineLevel="1">
      <c r="A69" s="884">
        <v>7465</v>
      </c>
      <c r="B69" s="70" t="s">
        <v>653</v>
      </c>
      <c r="C69" s="186" t="s">
        <v>655</v>
      </c>
      <c r="D69" s="307"/>
      <c r="E69" s="931">
        <v>-5.4819029400000003</v>
      </c>
      <c r="F69" s="931">
        <v>-5.4819029400000003</v>
      </c>
      <c r="G69" s="931">
        <v>-5.4819029399999994</v>
      </c>
      <c r="H69" s="931">
        <v>-5.4819029199999996</v>
      </c>
      <c r="I69" s="931">
        <v>-5.4819029400000012</v>
      </c>
      <c r="J69" s="931">
        <v>-6.0512981299999993</v>
      </c>
      <c r="K69" s="931">
        <v>-6.0512981299999993</v>
      </c>
      <c r="L69" s="931">
        <v>-6.0512981299999993</v>
      </c>
      <c r="M69" s="931">
        <v>-6.0512981300000064</v>
      </c>
      <c r="N69" s="931">
        <v>-6.0512981299999922</v>
      </c>
      <c r="O69" s="931">
        <v>-7.5969289600000067</v>
      </c>
      <c r="P69" s="931">
        <v>-11.213400899999996</v>
      </c>
      <c r="Q69" s="931">
        <v>-11.2134009</v>
      </c>
      <c r="R69" s="931">
        <v>-11.2134009</v>
      </c>
      <c r="S69" s="931">
        <v>-12.977400900000006</v>
      </c>
      <c r="T69" s="931">
        <v>-12.977400899999992</v>
      </c>
      <c r="U69" s="931">
        <v>-12.977400900000006</v>
      </c>
      <c r="V69" s="931">
        <v>-12.977400899999999</v>
      </c>
      <c r="W69" s="931">
        <v>-12.977400899999978</v>
      </c>
      <c r="X69" s="931">
        <v>-18.139503670000025</v>
      </c>
      <c r="Y69" s="931">
        <v>-12.977400899999992</v>
      </c>
      <c r="Z69" s="931">
        <v>-12.977400900000006</v>
      </c>
      <c r="AA69" s="931">
        <v>-15.674157129999998</v>
      </c>
      <c r="AB69" s="931">
        <v>-15.145830829999994</v>
      </c>
      <c r="AC69" s="931">
        <v>-15.51443227</v>
      </c>
      <c r="AD69" s="931">
        <v>-15.51443227</v>
      </c>
      <c r="AE69" s="931">
        <v>-15.51443227</v>
      </c>
      <c r="AF69" s="931">
        <v>-15.30443227</v>
      </c>
      <c r="AG69" s="931">
        <v>-15.51443227</v>
      </c>
      <c r="AH69" s="931">
        <v>-15.51443227</v>
      </c>
      <c r="AI69" s="931">
        <v>-14.331184270000001</v>
      </c>
      <c r="AJ69" s="931">
        <v>-18.518798230000002</v>
      </c>
      <c r="AK69" s="931">
        <v>-18.518794270000001</v>
      </c>
      <c r="AL69" s="931">
        <v>-15.44912577</v>
      </c>
      <c r="AM69" s="931">
        <v>-12.84896277</v>
      </c>
      <c r="AN69" s="931">
        <v>66.494492929999993</v>
      </c>
      <c r="AO69" s="931">
        <v>-9.359227439999998</v>
      </c>
      <c r="AP69" s="931">
        <v>-9.3592274399999997</v>
      </c>
      <c r="AQ69" s="931">
        <v>-9.3592274399999997</v>
      </c>
      <c r="AR69" s="931">
        <v>-9.3592274399999997</v>
      </c>
      <c r="AS69" s="931">
        <v>-9.3592274399999997</v>
      </c>
      <c r="AT69" s="931">
        <v>-9.3592274399999997</v>
      </c>
      <c r="AU69" s="931">
        <v>-9.3592274399999997</v>
      </c>
      <c r="AV69" s="931">
        <v>-9.3592274399999997</v>
      </c>
      <c r="AW69" s="931">
        <v>-9.3592274399999997</v>
      </c>
      <c r="AX69" s="931">
        <v>-10.10583677</v>
      </c>
      <c r="AY69" s="931">
        <v>-11.76109969</v>
      </c>
      <c r="AZ69" s="931">
        <v>-7.68</v>
      </c>
      <c r="BA69" s="931"/>
      <c r="BB69" s="931"/>
      <c r="BC69" s="931"/>
      <c r="BD69" s="931"/>
      <c r="BE69" s="931"/>
      <c r="BF69" s="931"/>
      <c r="BG69" s="931"/>
      <c r="BH69" s="931"/>
      <c r="BI69" s="931"/>
      <c r="BJ69" s="931"/>
      <c r="BK69" s="931"/>
      <c r="BL69" s="931"/>
      <c r="BM69" s="931">
        <v>0</v>
      </c>
      <c r="BN69" s="931">
        <v>0</v>
      </c>
      <c r="BO69" s="931">
        <v>0</v>
      </c>
      <c r="BP69" s="931">
        <v>0</v>
      </c>
      <c r="BQ69" s="931">
        <v>0</v>
      </c>
      <c r="BR69" s="931">
        <v>0</v>
      </c>
      <c r="BS69" s="931">
        <v>0</v>
      </c>
      <c r="BT69" s="931">
        <v>0</v>
      </c>
      <c r="BU69" s="931">
        <v>0</v>
      </c>
      <c r="BV69" s="931">
        <v>0</v>
      </c>
      <c r="BW69" s="931">
        <v>0</v>
      </c>
      <c r="BX69" s="931">
        <v>0</v>
      </c>
      <c r="BY69" s="931">
        <v>0</v>
      </c>
      <c r="BZ69" s="931">
        <v>-1.1423719999999999</v>
      </c>
      <c r="CA69" s="931">
        <v>-1.0816600000000001</v>
      </c>
      <c r="CB69" s="931">
        <v>0</v>
      </c>
      <c r="CC69" s="931">
        <v>-7.9423999999999995E-2</v>
      </c>
      <c r="CD69" s="931">
        <v>-4.1183999999999998E-2</v>
      </c>
      <c r="CE69" s="931">
        <v>4.0008000000000002E-2</v>
      </c>
      <c r="CF69" s="931">
        <v>2.3046319999999998</v>
      </c>
      <c r="CG69" s="931">
        <v>0</v>
      </c>
      <c r="CH69" s="931">
        <v>0</v>
      </c>
      <c r="CI69" s="931">
        <v>0</v>
      </c>
      <c r="CJ69" s="931">
        <v>0</v>
      </c>
      <c r="CK69" s="931">
        <v>0</v>
      </c>
      <c r="CL69" s="931">
        <v>0</v>
      </c>
      <c r="CM69" s="931">
        <v>0</v>
      </c>
      <c r="CN69" s="931">
        <v>0</v>
      </c>
      <c r="CO69" s="931">
        <v>0</v>
      </c>
      <c r="CP69" s="931">
        <v>0</v>
      </c>
      <c r="CQ69" s="931">
        <v>0</v>
      </c>
      <c r="CR69" s="931">
        <v>0</v>
      </c>
      <c r="CS69" s="931">
        <v>0</v>
      </c>
      <c r="CT69" s="931">
        <v>0</v>
      </c>
      <c r="CU69" s="931">
        <v>0</v>
      </c>
      <c r="CV69" s="931">
        <v>0</v>
      </c>
      <c r="CW69" s="931">
        <v>0</v>
      </c>
      <c r="CX69" s="931">
        <v>0</v>
      </c>
      <c r="CY69" s="931">
        <v>0</v>
      </c>
      <c r="CZ69" s="931">
        <v>0</v>
      </c>
      <c r="DA69" s="931">
        <v>0</v>
      </c>
      <c r="DB69" s="931">
        <v>0</v>
      </c>
      <c r="DC69" s="931">
        <v>0</v>
      </c>
      <c r="DD69" s="931">
        <v>0</v>
      </c>
      <c r="DE69" s="931">
        <v>0</v>
      </c>
      <c r="DF69" s="931">
        <v>0</v>
      </c>
      <c r="DG69" s="931">
        <v>0</v>
      </c>
      <c r="DH69" s="931">
        <v>0</v>
      </c>
      <c r="DJ69" s="931">
        <v>0</v>
      </c>
      <c r="DK69" s="931">
        <v>0</v>
      </c>
      <c r="DL69" s="931">
        <v>0</v>
      </c>
      <c r="DM69" s="931">
        <v>0</v>
      </c>
      <c r="DN69" s="931">
        <v>0</v>
      </c>
      <c r="DO69" s="931">
        <v>0</v>
      </c>
      <c r="DP69" s="931">
        <v>-3.4045090116666668</v>
      </c>
      <c r="DQ69" s="931">
        <v>-3.4045090116666668</v>
      </c>
      <c r="DR69" s="931">
        <v>-3.4045090116666668</v>
      </c>
      <c r="DS69" s="931">
        <v>-3.4045090116666668</v>
      </c>
      <c r="DT69" s="931">
        <v>-3.4045090116666668</v>
      </c>
      <c r="DU69" s="931">
        <v>-3.4045090116666668</v>
      </c>
      <c r="DW69" s="931">
        <v>-16.323769447499998</v>
      </c>
      <c r="DX69" s="931">
        <v>-16.323769447499998</v>
      </c>
      <c r="DY69" s="931">
        <v>-16.323769447499998</v>
      </c>
      <c r="DZ69" s="931">
        <v>-16.323769447499998</v>
      </c>
      <c r="EA69" s="931">
        <v>-16.323769447499998</v>
      </c>
      <c r="EB69" s="931">
        <v>-16.323769447499998</v>
      </c>
      <c r="EC69" s="931">
        <v>-16.323769447499998</v>
      </c>
      <c r="ED69" s="931">
        <v>-16.323769447499998</v>
      </c>
      <c r="EE69" s="931">
        <v>-16.323769447499998</v>
      </c>
      <c r="EF69" s="931">
        <v>-16.323769447499998</v>
      </c>
      <c r="EG69" s="931">
        <v>-16.323769447499998</v>
      </c>
      <c r="EH69" s="931">
        <v>-16.323769447499998</v>
      </c>
      <c r="EI69" s="931">
        <v>-42.655659666666665</v>
      </c>
      <c r="EJ69" s="931">
        <v>-40.949433279999994</v>
      </c>
      <c r="EK69" s="931">
        <v>-39.311455948799988</v>
      </c>
      <c r="EL69" s="931">
        <v>-37.770664377514656</v>
      </c>
      <c r="EM69" s="931">
        <v>-36.434837802414066</v>
      </c>
      <c r="EN69" s="931">
        <v>-35.152444290317504</v>
      </c>
      <c r="EO69" s="931">
        <v>-33.9463465187048</v>
      </c>
      <c r="EP69" s="931">
        <v>-32.588492657956607</v>
      </c>
      <c r="EQ69" s="931">
        <v>-31.284952951638342</v>
      </c>
      <c r="ER69" s="931">
        <v>-30.033554833572804</v>
      </c>
      <c r="ES69" s="931">
        <v>-28.832212640229891</v>
      </c>
      <c r="ET69" s="931">
        <v>-27.678924134620697</v>
      </c>
      <c r="EU69" s="931"/>
      <c r="EV69" s="931"/>
      <c r="EW69" s="931"/>
      <c r="EX69" s="931"/>
      <c r="EY69" s="931"/>
      <c r="EZ69" s="931"/>
      <c r="FA69" s="931"/>
      <c r="FB69" s="931"/>
      <c r="FC69" s="931"/>
      <c r="FD69" s="931"/>
      <c r="FE69" s="931"/>
      <c r="FF69" s="931"/>
      <c r="FG69" s="931">
        <v>-2.7198315116666669</v>
      </c>
      <c r="FH69" s="931">
        <v>-2.7198315116666669</v>
      </c>
      <c r="FI69" s="931">
        <v>-2.7198315116666669</v>
      </c>
      <c r="FJ69" s="931">
        <v>-2.7198315116666669</v>
      </c>
      <c r="FK69" s="931">
        <v>-2.7198315116666669</v>
      </c>
      <c r="FL69" s="931">
        <v>-2.7198315116666669</v>
      </c>
      <c r="FM69" s="931">
        <v>-2.7198315116666669</v>
      </c>
      <c r="FN69" s="931">
        <v>-2.7198315116666669</v>
      </c>
      <c r="FO69" s="931">
        <v>-2.7198315116666669</v>
      </c>
      <c r="FP69" s="931">
        <v>-2.7198315116666669</v>
      </c>
      <c r="FQ69" s="931">
        <v>-2.7198315116666669</v>
      </c>
      <c r="FR69" s="931">
        <v>-2.7198315116666669</v>
      </c>
      <c r="FS69" s="931">
        <v>-2.7198315116666669</v>
      </c>
      <c r="FT69" s="931">
        <v>-2.7198315116666669</v>
      </c>
      <c r="FU69" s="931">
        <v>-2.7198315116666669</v>
      </c>
      <c r="FV69" s="931">
        <v>-2.7198315116666669</v>
      </c>
      <c r="FW69" s="931">
        <v>-2.7198315116666669</v>
      </c>
      <c r="FX69" s="931">
        <v>-2.7198315116666669</v>
      </c>
      <c r="FY69" s="931">
        <v>-2.7198315116666669</v>
      </c>
      <c r="FZ69" s="931">
        <v>-2.7198315116666669</v>
      </c>
      <c r="GA69" s="931">
        <v>-2.7198315116666669</v>
      </c>
      <c r="GB69" s="931">
        <v>-2.7198315116666669</v>
      </c>
      <c r="GC69" s="931">
        <v>-2.7198315116666669</v>
      </c>
      <c r="GD69" s="931">
        <v>-2.7198315116666669</v>
      </c>
      <c r="GF69" s="931">
        <f t="shared" si="188"/>
        <v>-76.47633519</v>
      </c>
      <c r="GG69" s="931">
        <f t="shared" si="188"/>
        <v>-162.22809973</v>
      </c>
      <c r="GH69" s="931">
        <f t="shared" si="188"/>
        <v>-106.04896599999999</v>
      </c>
      <c r="GI69" s="931">
        <f t="shared" si="188"/>
        <v>-113.77998341999998</v>
      </c>
      <c r="GJ69" s="931">
        <f t="shared" si="219"/>
        <v>0</v>
      </c>
      <c r="GK69" s="931">
        <f>+SUMIF($E$6:$BX$6,GK$7,$E69:$BX69)</f>
        <v>0</v>
      </c>
      <c r="GL69" s="931">
        <f t="shared" si="38"/>
        <v>-4.4408920985006262E-16</v>
      </c>
      <c r="GM69" s="931">
        <f t="shared" si="183"/>
        <v>0</v>
      </c>
      <c r="GN69" s="931">
        <f t="shared" si="7"/>
        <v>-32.637978139999994</v>
      </c>
      <c r="GO69" s="931">
        <v>0</v>
      </c>
      <c r="GQ69" s="934">
        <f t="shared" si="189"/>
        <v>-0.34629718170588353</v>
      </c>
      <c r="GR69" s="934">
        <f t="shared" si="189"/>
        <v>7.2900450721980592E-2</v>
      </c>
      <c r="GS69" s="934">
        <f t="shared" si="189"/>
        <v>-1</v>
      </c>
      <c r="GT69" s="934" t="str">
        <f t="shared" si="189"/>
        <v/>
      </c>
      <c r="GU69" s="934" t="str">
        <f t="shared" si="189"/>
        <v/>
      </c>
      <c r="GV69" s="934">
        <f t="shared" si="189"/>
        <v>-1</v>
      </c>
      <c r="GW69" s="934" t="str">
        <f t="shared" si="92"/>
        <v/>
      </c>
      <c r="GX69" s="934">
        <f t="shared" si="92"/>
        <v>-1</v>
      </c>
      <c r="GY69" s="934" t="str">
        <f t="shared" si="9"/>
        <v/>
      </c>
      <c r="HA69" s="931">
        <f t="shared" si="190"/>
        <v>56.179133730000004</v>
      </c>
      <c r="HB69" s="931">
        <f t="shared" si="190"/>
        <v>-7.7310174199999864</v>
      </c>
      <c r="HC69" s="931">
        <f t="shared" si="190"/>
        <v>113.77998341999998</v>
      </c>
      <c r="HD69" s="931">
        <f t="shared" si="99"/>
        <v>0</v>
      </c>
      <c r="HE69" s="931">
        <f t="shared" si="93"/>
        <v>-4.4408920985006262E-16</v>
      </c>
      <c r="HF69" s="931">
        <f t="shared" si="93"/>
        <v>4.4408920985006262E-16</v>
      </c>
      <c r="HG69" s="931">
        <f t="shared" si="93"/>
        <v>-32.637978139999994</v>
      </c>
      <c r="HH69" s="931">
        <f t="shared" si="93"/>
        <v>32.637978139999994</v>
      </c>
      <c r="HI69" s="931">
        <f t="shared" si="11"/>
        <v>0</v>
      </c>
      <c r="HK69" s="230">
        <f t="shared" si="191"/>
        <v>-4.4137359049717965E-3</v>
      </c>
      <c r="HL69" s="230">
        <f t="shared" si="191"/>
        <v>-2.6927612448316481E-3</v>
      </c>
      <c r="HM69" s="230">
        <f t="shared" si="191"/>
        <v>-6.7514060888480137E-3</v>
      </c>
      <c r="HN69" s="230">
        <f t="shared" si="191"/>
        <v>0</v>
      </c>
      <c r="HO69" s="230">
        <f t="shared" si="165"/>
        <v>0</v>
      </c>
      <c r="HP69" s="230">
        <f t="shared" si="165"/>
        <v>-3.1383212442726485E-20</v>
      </c>
      <c r="HQ69" s="230">
        <f t="shared" si="165"/>
        <v>0</v>
      </c>
      <c r="HR69" s="230">
        <f t="shared" si="165"/>
        <v>-2.0745844395714677E-3</v>
      </c>
      <c r="HS69" s="230">
        <f t="shared" si="165"/>
        <v>0</v>
      </c>
      <c r="HU69" s="931">
        <f t="shared" si="192"/>
        <v>-33.46081281</v>
      </c>
      <c r="HV69" s="931">
        <f t="shared" si="192"/>
        <v>-74.336405400000004</v>
      </c>
      <c r="HW69" s="931">
        <f t="shared" si="192"/>
        <v>-92.876593620000008</v>
      </c>
      <c r="HX69" s="931">
        <f t="shared" si="192"/>
        <v>-56.155364639999988</v>
      </c>
      <c r="HY69" s="931">
        <f t="shared" si="192"/>
        <v>0</v>
      </c>
      <c r="HZ69" s="931">
        <f t="shared" si="192"/>
        <v>0</v>
      </c>
      <c r="IA69" s="931">
        <f t="shared" si="193"/>
        <v>-2.3446400000000001</v>
      </c>
      <c r="IB69" s="931">
        <f t="shared" si="194"/>
        <v>0</v>
      </c>
      <c r="IC69" s="931">
        <f t="shared" si="195"/>
        <v>0</v>
      </c>
      <c r="ID69" s="931">
        <f t="shared" si="18"/>
        <v>-16.318989070000001</v>
      </c>
      <c r="IE69" s="931">
        <f t="shared" si="196"/>
        <v>0</v>
      </c>
      <c r="IG69" s="931">
        <f t="shared" si="151"/>
        <v>0</v>
      </c>
      <c r="IH69" s="931">
        <f t="shared" si="151"/>
        <v>-16.318989070000001</v>
      </c>
      <c r="II69" s="145"/>
      <c r="IJ69" s="934">
        <f t="shared" si="197"/>
        <v>0</v>
      </c>
      <c r="IK69" s="935">
        <f t="shared" si="198"/>
        <v>16.318989070000001</v>
      </c>
      <c r="IM69" s="230">
        <f t="shared" si="199"/>
        <v>0</v>
      </c>
      <c r="IN69" s="934">
        <f t="shared" si="200"/>
        <v>-2.3111648683783719E-3</v>
      </c>
      <c r="IP69" s="934">
        <f t="shared" si="220"/>
        <v>0.24940926481763936</v>
      </c>
      <c r="IQ69" s="934">
        <f t="shared" si="220"/>
        <v>-0.39537656958267775</v>
      </c>
      <c r="IR69" s="934">
        <f t="shared" si="220"/>
        <v>-1</v>
      </c>
      <c r="IS69" s="934" t="str">
        <f t="shared" si="220"/>
        <v/>
      </c>
      <c r="IT69" s="934" t="str">
        <f t="shared" si="220"/>
        <v/>
      </c>
      <c r="IU69" s="934">
        <f t="shared" si="220"/>
        <v>-1</v>
      </c>
      <c r="IV69" s="934" t="str">
        <f t="shared" si="221"/>
        <v/>
      </c>
      <c r="IX69" s="931">
        <f t="shared" si="202"/>
        <v>-18.540188220000005</v>
      </c>
      <c r="IY69" s="931">
        <f t="shared" si="202"/>
        <v>36.721228980000021</v>
      </c>
      <c r="IZ69" s="931">
        <f t="shared" si="202"/>
        <v>56.155364639999988</v>
      </c>
      <c r="JA69" s="931">
        <f t="shared" si="202"/>
        <v>0</v>
      </c>
      <c r="JB69" s="931">
        <f t="shared" si="202"/>
        <v>-2.3446400000000001</v>
      </c>
      <c r="JC69" s="931">
        <f t="shared" si="202"/>
        <v>2.3446400000000001</v>
      </c>
      <c r="JD69" s="931">
        <f t="shared" si="203"/>
        <v>0</v>
      </c>
      <c r="JF69" s="230">
        <f t="shared" si="204"/>
        <v>-2.0919982392679374E-3</v>
      </c>
      <c r="JG69" s="230">
        <f t="shared" si="204"/>
        <v>-4.3595665823903266E-3</v>
      </c>
      <c r="JH69" s="230">
        <f t="shared" si="204"/>
        <v>-5.7136294669340188E-3</v>
      </c>
      <c r="JI69" s="230">
        <f t="shared" si="204"/>
        <v>-6.003305682416824E-3</v>
      </c>
      <c r="JJ69" s="230">
        <f t="shared" si="204"/>
        <v>0</v>
      </c>
      <c r="JK69" s="230">
        <f t="shared" si="204"/>
        <v>0</v>
      </c>
      <c r="JL69" s="230">
        <f t="shared" si="204"/>
        <v>-4.4326684215317369E-4</v>
      </c>
      <c r="JM69" s="230">
        <f t="shared" si="205"/>
        <v>0</v>
      </c>
      <c r="JO69" s="931">
        <f t="shared" si="206"/>
        <v>-6.0512981299999993</v>
      </c>
      <c r="JP69" s="931">
        <f t="shared" si="206"/>
        <v>-12.977400899999999</v>
      </c>
      <c r="JQ69" s="931">
        <f t="shared" si="206"/>
        <v>-15.51443227</v>
      </c>
      <c r="JR69" s="931">
        <f t="shared" si="206"/>
        <v>-9.3592274399999997</v>
      </c>
      <c r="JS69" s="931">
        <f t="shared" si="206"/>
        <v>0</v>
      </c>
      <c r="JT69" s="931">
        <f t="shared" si="207"/>
        <v>0</v>
      </c>
      <c r="JU69" s="931">
        <f t="shared" si="208"/>
        <v>-4.1183999999999998E-2</v>
      </c>
      <c r="JV69" s="931">
        <f t="shared" si="208"/>
        <v>0</v>
      </c>
      <c r="JW69" s="931">
        <f t="shared" si="209"/>
        <v>0</v>
      </c>
      <c r="JX69" s="931">
        <f t="shared" si="210"/>
        <v>-2.7198315116666669</v>
      </c>
      <c r="JY69" s="931">
        <f t="shared" si="211"/>
        <v>0</v>
      </c>
      <c r="KB69" s="230">
        <f t="shared" si="212"/>
        <v>0.19549610816138085</v>
      </c>
      <c r="KC69" s="230">
        <f t="shared" si="212"/>
        <v>-0.39674057824869413</v>
      </c>
      <c r="KD69" s="230">
        <f t="shared" si="212"/>
        <v>-1</v>
      </c>
      <c r="KE69" s="230" t="str">
        <f t="shared" si="212"/>
        <v xml:space="preserve"> </v>
      </c>
      <c r="KF69" s="230" t="str">
        <f t="shared" si="212"/>
        <v xml:space="preserve"> </v>
      </c>
      <c r="KG69" s="230">
        <f t="shared" si="212"/>
        <v>-1</v>
      </c>
      <c r="KH69" s="230" t="str">
        <f t="shared" si="169"/>
        <v xml:space="preserve"> </v>
      </c>
      <c r="KJ69" s="931">
        <f t="shared" si="213"/>
        <v>-2.5370313700000011</v>
      </c>
      <c r="KK69" s="931">
        <f t="shared" si="213"/>
        <v>6.1552048300000006</v>
      </c>
      <c r="KL69" s="931">
        <f t="shared" si="213"/>
        <v>9.3592274399999997</v>
      </c>
      <c r="KM69" s="931">
        <f t="shared" si="213"/>
        <v>0</v>
      </c>
      <c r="KN69" s="931">
        <f t="shared" si="213"/>
        <v>-4.1183999999999998E-2</v>
      </c>
      <c r="KO69" s="931">
        <f t="shared" si="213"/>
        <v>4.1183999999999998E-2</v>
      </c>
      <c r="KP69" s="931">
        <f t="shared" si="171"/>
        <v>0</v>
      </c>
      <c r="KR69" s="230">
        <f t="shared" si="214"/>
        <v>-1.8875956448420952E-3</v>
      </c>
      <c r="KS69" s="230">
        <f t="shared" si="214"/>
        <v>-3.8585942930552813E-3</v>
      </c>
      <c r="KT69" s="230">
        <f t="shared" si="214"/>
        <v>-6.183677383168904E-3</v>
      </c>
      <c r="KU69" s="230">
        <f t="shared" si="214"/>
        <v>-1.0461129392539473E-2</v>
      </c>
      <c r="KV69" s="230">
        <f t="shared" si="214"/>
        <v>0</v>
      </c>
      <c r="KW69" s="230">
        <f t="shared" si="214"/>
        <v>0</v>
      </c>
      <c r="KX69" s="230">
        <f t="shared" si="214"/>
        <v>-4.6952165311772484E-5</v>
      </c>
      <c r="KY69" s="230">
        <f t="shared" si="214"/>
        <v>0</v>
      </c>
      <c r="KZ69" s="230">
        <f t="shared" si="46"/>
        <v>0</v>
      </c>
    </row>
    <row r="70" spans="1:312" outlineLevel="2">
      <c r="A70" s="884"/>
      <c r="B70" s="70"/>
      <c r="C70" s="29" t="s">
        <v>656</v>
      </c>
      <c r="D70" s="31"/>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45"/>
      <c r="AQ70" s="143"/>
      <c r="AR70" s="143"/>
      <c r="AS70" s="102"/>
      <c r="AT70" s="102"/>
      <c r="AU70" s="102"/>
      <c r="AV70" s="102"/>
      <c r="AW70" s="102"/>
      <c r="AX70" s="102"/>
      <c r="AY70" s="102"/>
      <c r="AZ70" s="102"/>
      <c r="BA70" s="102">
        <v>-32.980728999999997</v>
      </c>
      <c r="BB70" s="102">
        <v>-8.5428090000000001</v>
      </c>
      <c r="BC70" s="102">
        <v>-5.8246599999999997</v>
      </c>
      <c r="BD70" s="102">
        <v>-54.087308999999998</v>
      </c>
      <c r="BE70" s="102">
        <v>-28.001034000000001</v>
      </c>
      <c r="BF70" s="102">
        <v>-75.420088000000007</v>
      </c>
      <c r="BG70" s="102">
        <v>-76.258741000000001</v>
      </c>
      <c r="BH70" s="102">
        <v>-77.323158000000006</v>
      </c>
      <c r="BI70" s="102">
        <v>-67.804768999999993</v>
      </c>
      <c r="BJ70" s="102">
        <v>-97.539164999999997</v>
      </c>
      <c r="BK70" s="102">
        <v>-135.69105099999999</v>
      </c>
      <c r="BL70" s="102">
        <v>-137.00238372999999</v>
      </c>
      <c r="BM70" s="102">
        <v>4.5880010199999992</v>
      </c>
      <c r="BN70" s="102">
        <v>11.603701170000003</v>
      </c>
      <c r="BO70" s="102">
        <v>-40.052883000000001</v>
      </c>
      <c r="BP70" s="102">
        <v>-14.552191000000001</v>
      </c>
      <c r="BQ70" s="102">
        <v>-27.481998000000001</v>
      </c>
      <c r="BR70" s="102">
        <v>-32.992108000000002</v>
      </c>
      <c r="BS70" s="102">
        <v>-15.538558999999999</v>
      </c>
      <c r="BT70" s="102">
        <v>-54.753310999999997</v>
      </c>
      <c r="BU70" s="102">
        <v>-55.897544000000003</v>
      </c>
      <c r="BV70" s="102">
        <v>-17.949293999999998</v>
      </c>
      <c r="BW70" s="102">
        <v>-10.914099999999999</v>
      </c>
      <c r="BX70" s="102">
        <v>-3.8660730000000001</v>
      </c>
      <c r="BY70" s="102">
        <v>-5.055104</v>
      </c>
      <c r="BZ70" s="102">
        <v>-5.1417729999999997</v>
      </c>
      <c r="CA70" s="102">
        <v>-7.7203799999999996</v>
      </c>
      <c r="CB70" s="102">
        <v>-12.862152999999999</v>
      </c>
      <c r="CC70" s="102">
        <v>0</v>
      </c>
      <c r="CD70" s="102">
        <v>0</v>
      </c>
      <c r="CE70" s="102">
        <v>0</v>
      </c>
      <c r="CF70" s="102">
        <v>-1.8407500000000001</v>
      </c>
      <c r="CG70" s="102">
        <v>-0.204323</v>
      </c>
      <c r="CH70" s="102">
        <v>-0.16306200000000001</v>
      </c>
      <c r="CI70" s="102">
        <v>-0.20998600000000001</v>
      </c>
      <c r="CJ70" s="102">
        <v>0</v>
      </c>
      <c r="CK70" s="102">
        <v>0</v>
      </c>
      <c r="CL70" s="102">
        <v>0</v>
      </c>
      <c r="CM70" s="102">
        <v>0</v>
      </c>
      <c r="CN70" s="102">
        <v>0</v>
      </c>
      <c r="CO70" s="102">
        <v>0</v>
      </c>
      <c r="CP70" s="102">
        <v>0</v>
      </c>
      <c r="CQ70" s="102">
        <v>0</v>
      </c>
      <c r="CR70" s="102">
        <v>0</v>
      </c>
      <c r="CS70" s="102">
        <v>0</v>
      </c>
      <c r="CT70" s="102">
        <v>0</v>
      </c>
      <c r="CU70" s="102">
        <v>0</v>
      </c>
      <c r="CV70" s="102">
        <v>0</v>
      </c>
      <c r="CW70" s="102">
        <v>0</v>
      </c>
      <c r="CX70" s="102">
        <v>0</v>
      </c>
      <c r="CY70" s="102">
        <v>0</v>
      </c>
      <c r="CZ70" s="102">
        <v>0</v>
      </c>
      <c r="DA70" s="102">
        <v>0</v>
      </c>
      <c r="DB70" s="102">
        <v>-0.89066299999999998</v>
      </c>
      <c r="DC70" s="102">
        <v>-4.6087829999999999</v>
      </c>
      <c r="DD70" s="102">
        <v>-4.7586389999999996</v>
      </c>
      <c r="DE70" s="102">
        <v>10.258084999999999</v>
      </c>
      <c r="DF70" s="102">
        <v>0</v>
      </c>
      <c r="DG70" s="102">
        <v>0</v>
      </c>
      <c r="DH70" s="102">
        <v>0</v>
      </c>
      <c r="DI70" s="949"/>
      <c r="DJ70" s="957"/>
      <c r="DK70" s="957"/>
      <c r="DL70" s="957"/>
      <c r="DM70" s="957"/>
      <c r="DN70" s="957"/>
      <c r="DO70" s="957"/>
      <c r="DP70" s="957"/>
      <c r="DQ70" s="957"/>
      <c r="DR70" s="957"/>
      <c r="DS70" s="957"/>
      <c r="DT70" s="957"/>
      <c r="DU70" s="957"/>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v>-28.492540839143999</v>
      </c>
      <c r="EV70" s="102">
        <v>-18.055975436423999</v>
      </c>
      <c r="EW70" s="102">
        <v>-44.236682871120003</v>
      </c>
      <c r="EX70" s="102">
        <v>-18.464484894120002</v>
      </c>
      <c r="EY70" s="102">
        <v>-47.922558188544002</v>
      </c>
      <c r="EZ70" s="102">
        <v>-11.975951237832</v>
      </c>
      <c r="FA70" s="102">
        <v>-23.372431766712001</v>
      </c>
      <c r="FB70" s="102">
        <v>-67.157070879456001</v>
      </c>
      <c r="FC70" s="102">
        <v>-17.71619184</v>
      </c>
      <c r="FD70" s="102">
        <v>0</v>
      </c>
      <c r="FE70" s="102">
        <v>0</v>
      </c>
      <c r="FF70" s="102">
        <v>0</v>
      </c>
      <c r="FG70" s="145"/>
      <c r="FH70" s="145"/>
      <c r="FI70" s="145"/>
      <c r="FJ70" s="145"/>
      <c r="FK70" s="145"/>
      <c r="FL70" s="145"/>
      <c r="FM70" s="145"/>
      <c r="FN70" s="145"/>
      <c r="FO70" s="145"/>
      <c r="FP70" s="145"/>
      <c r="FQ70" s="145"/>
      <c r="FR70" s="145"/>
      <c r="FS70" s="145"/>
      <c r="FT70" s="145"/>
      <c r="FU70" s="145"/>
      <c r="FV70" s="145"/>
      <c r="FW70" s="145"/>
      <c r="FX70" s="145"/>
      <c r="FY70" s="145"/>
      <c r="FZ70" s="145"/>
      <c r="GA70" s="145"/>
      <c r="GB70" s="145"/>
      <c r="GC70" s="145"/>
      <c r="GD70" s="145"/>
      <c r="GF70" s="102"/>
      <c r="GG70" s="102"/>
      <c r="GH70" s="102"/>
      <c r="GI70" s="102"/>
      <c r="GJ70" s="102"/>
      <c r="GK70" s="102">
        <f t="shared" si="37"/>
        <v>-257.80635881000001</v>
      </c>
      <c r="GL70" s="102">
        <f t="shared" si="38"/>
        <v>-33.197530999999998</v>
      </c>
      <c r="GM70" s="102">
        <f t="shared" si="183"/>
        <v>0</v>
      </c>
      <c r="GN70" s="102">
        <f t="shared" si="7"/>
        <v>0</v>
      </c>
      <c r="GO70" s="102">
        <v>0</v>
      </c>
      <c r="GQ70" s="32"/>
      <c r="GR70" s="32"/>
      <c r="GS70" s="32"/>
      <c r="GT70" s="929" t="str">
        <f t="shared" si="189"/>
        <v/>
      </c>
      <c r="GU70" s="929">
        <f t="shared" si="189"/>
        <v>-0.87123075181994969</v>
      </c>
      <c r="GV70" s="929">
        <f t="shared" si="189"/>
        <v>-1</v>
      </c>
      <c r="GW70" s="929" t="str">
        <f t="shared" si="189"/>
        <v/>
      </c>
      <c r="GX70" s="32"/>
      <c r="GY70" s="929" t="str">
        <f t="shared" si="9"/>
        <v/>
      </c>
      <c r="HA70" s="102"/>
      <c r="HB70" s="102"/>
      <c r="HC70" s="102"/>
      <c r="HD70" s="102">
        <f t="shared" si="99"/>
        <v>-257.80635881000001</v>
      </c>
      <c r="HE70" s="102">
        <f t="shared" si="99"/>
        <v>224.60882781000001</v>
      </c>
      <c r="HF70" s="102">
        <f t="shared" si="99"/>
        <v>33.197530999999998</v>
      </c>
      <c r="HG70" s="102">
        <f t="shared" si="99"/>
        <v>0</v>
      </c>
      <c r="HH70" s="102"/>
      <c r="HI70" s="102">
        <f t="shared" si="11"/>
        <v>0</v>
      </c>
      <c r="HK70" s="32"/>
      <c r="HL70" s="32"/>
      <c r="HM70" s="32"/>
      <c r="HN70" s="32"/>
      <c r="HO70" s="32">
        <f t="shared" si="165"/>
        <v>-1.8916271118078757E-2</v>
      </c>
      <c r="HP70" s="32">
        <f t="shared" si="165"/>
        <v>-2.3460267550719266E-3</v>
      </c>
      <c r="HQ70" s="32">
        <f t="shared" si="165"/>
        <v>0</v>
      </c>
      <c r="HR70" s="32">
        <f t="shared" si="165"/>
        <v>0</v>
      </c>
      <c r="HS70" s="32">
        <f t="shared" si="165"/>
        <v>0</v>
      </c>
      <c r="HU70" s="102">
        <f t="shared" si="192"/>
        <v>0</v>
      </c>
      <c r="HV70" s="102">
        <f t="shared" si="192"/>
        <v>0</v>
      </c>
      <c r="HW70" s="102">
        <f t="shared" si="192"/>
        <v>0</v>
      </c>
      <c r="HX70" s="102">
        <f t="shared" si="192"/>
        <v>0</v>
      </c>
      <c r="HY70" s="102">
        <f t="shared" si="192"/>
        <v>-204.856629</v>
      </c>
      <c r="HZ70" s="102">
        <f t="shared" si="192"/>
        <v>-98.887477810000007</v>
      </c>
      <c r="IA70" s="102">
        <f t="shared" si="193"/>
        <v>-30.779409999999999</v>
      </c>
      <c r="IB70" s="102">
        <f t="shared" si="194"/>
        <v>0</v>
      </c>
      <c r="IC70" s="102">
        <f t="shared" si="195"/>
        <v>-0.89066299999999998</v>
      </c>
      <c r="ID70" s="102">
        <f t="shared" si="18"/>
        <v>0</v>
      </c>
      <c r="IE70" s="102">
        <f t="shared" si="196"/>
        <v>0</v>
      </c>
      <c r="IG70" s="102">
        <f t="shared" si="151"/>
        <v>-0.89066299999999998</v>
      </c>
      <c r="IH70" s="102">
        <f t="shared" si="151"/>
        <v>0</v>
      </c>
      <c r="II70" s="145"/>
      <c r="IJ70" s="929"/>
      <c r="IK70" s="930"/>
      <c r="IM70" s="32"/>
      <c r="IN70" s="32"/>
      <c r="IP70" s="32"/>
      <c r="IQ70" s="32"/>
      <c r="IR70" s="32"/>
      <c r="IS70" s="929">
        <f t="shared" si="220"/>
        <v>-0.5172844623446381</v>
      </c>
      <c r="IT70" s="929">
        <f t="shared" si="220"/>
        <v>-0.68874309789618859</v>
      </c>
      <c r="IU70" s="929">
        <f t="shared" si="220"/>
        <v>-1</v>
      </c>
      <c r="IV70" s="929" t="str">
        <f t="shared" si="221"/>
        <v/>
      </c>
      <c r="IX70" s="102">
        <f t="shared" si="202"/>
        <v>0</v>
      </c>
      <c r="IY70" s="102">
        <f t="shared" si="202"/>
        <v>0</v>
      </c>
      <c r="IZ70" s="102">
        <f t="shared" si="202"/>
        <v>-204.856629</v>
      </c>
      <c r="JA70" s="102">
        <f t="shared" si="202"/>
        <v>105.96915118999999</v>
      </c>
      <c r="JB70" s="102">
        <f t="shared" si="202"/>
        <v>68.108067810000009</v>
      </c>
      <c r="JC70" s="102">
        <f t="shared" si="202"/>
        <v>30.779409999999999</v>
      </c>
      <c r="JD70" s="102">
        <f t="shared" si="203"/>
        <v>0</v>
      </c>
      <c r="JF70" s="32"/>
      <c r="JG70" s="32"/>
      <c r="JH70" s="32"/>
      <c r="JI70" s="32"/>
      <c r="JJ70" s="32"/>
      <c r="JK70" s="32"/>
      <c r="JL70" s="32"/>
      <c r="JM70" s="32"/>
      <c r="JO70" s="102">
        <f t="shared" si="206"/>
        <v>0</v>
      </c>
      <c r="JP70" s="102">
        <f t="shared" si="206"/>
        <v>0</v>
      </c>
      <c r="JQ70" s="102">
        <f t="shared" si="206"/>
        <v>0</v>
      </c>
      <c r="JR70" s="102">
        <f t="shared" si="206"/>
        <v>0</v>
      </c>
      <c r="JS70" s="102">
        <f t="shared" si="206"/>
        <v>-75.420088000000007</v>
      </c>
      <c r="JT70" s="102">
        <f t="shared" si="207"/>
        <v>-32.992108000000002</v>
      </c>
      <c r="JU70" s="102">
        <f t="shared" si="208"/>
        <v>0</v>
      </c>
      <c r="JV70" s="102">
        <f t="shared" si="208"/>
        <v>0</v>
      </c>
      <c r="JW70" s="102">
        <f t="shared" si="209"/>
        <v>-0.89066299999999998</v>
      </c>
      <c r="JX70" s="102">
        <f t="shared" si="210"/>
        <v>0</v>
      </c>
      <c r="JY70" s="102">
        <f t="shared" si="211"/>
        <v>0</v>
      </c>
      <c r="KB70" s="32" t="str">
        <f t="shared" si="212"/>
        <v xml:space="preserve"> </v>
      </c>
      <c r="KC70" s="32" t="str">
        <f t="shared" si="212"/>
        <v xml:space="preserve"> </v>
      </c>
      <c r="KD70" s="32" t="str">
        <f t="shared" si="212"/>
        <v xml:space="preserve"> </v>
      </c>
      <c r="KE70" s="32">
        <f t="shared" si="212"/>
        <v>-0.56255542952959692</v>
      </c>
      <c r="KF70" s="32">
        <f t="shared" si="212"/>
        <v>-1</v>
      </c>
      <c r="KG70" s="32" t="str">
        <f t="shared" si="212"/>
        <v xml:space="preserve"> </v>
      </c>
      <c r="KH70" s="32" t="str">
        <f t="shared" si="169"/>
        <v xml:space="preserve"> </v>
      </c>
      <c r="KJ70" s="102">
        <f t="shared" si="213"/>
        <v>0</v>
      </c>
      <c r="KK70" s="102">
        <f t="shared" si="213"/>
        <v>0</v>
      </c>
      <c r="KL70" s="102">
        <f t="shared" si="213"/>
        <v>-75.420088000000007</v>
      </c>
      <c r="KM70" s="102">
        <f t="shared" si="213"/>
        <v>42.427980000000005</v>
      </c>
      <c r="KN70" s="102">
        <f t="shared" si="213"/>
        <v>32.992108000000002</v>
      </c>
      <c r="KO70" s="102">
        <f t="shared" si="213"/>
        <v>0</v>
      </c>
      <c r="KP70" s="102">
        <f t="shared" si="171"/>
        <v>0</v>
      </c>
      <c r="KR70" s="32"/>
      <c r="KS70" s="32"/>
      <c r="KT70" s="32"/>
      <c r="KU70" s="32"/>
      <c r="KV70" s="32"/>
      <c r="KW70" s="32"/>
      <c r="KX70" s="32"/>
      <c r="KY70" s="32"/>
      <c r="KZ70" s="32"/>
    </row>
    <row r="71" spans="1:312" outlineLevel="2">
      <c r="A71" s="884"/>
      <c r="B71" s="70"/>
      <c r="C71" s="29" t="s">
        <v>846</v>
      </c>
      <c r="D71" s="31"/>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45"/>
      <c r="AQ71" s="143"/>
      <c r="AR71" s="143"/>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J71" s="102"/>
      <c r="DK71" s="102"/>
      <c r="DL71" s="102"/>
      <c r="DM71" s="102"/>
      <c r="DN71" s="102"/>
      <c r="DO71" s="102"/>
      <c r="DP71" s="102"/>
      <c r="DQ71" s="102"/>
      <c r="DR71" s="102"/>
      <c r="DS71" s="102"/>
      <c r="DT71" s="102"/>
      <c r="DU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v>-16.643508625833299</v>
      </c>
      <c r="EV71" s="102">
        <v>-16.643508625833299</v>
      </c>
      <c r="EW71" s="102">
        <v>-16.643508625833299</v>
      </c>
      <c r="EX71" s="102">
        <v>-16.643508625833299</v>
      </c>
      <c r="EY71" s="102">
        <v>-16.643508625833299</v>
      </c>
      <c r="EZ71" s="102">
        <v>-16.643508625833299</v>
      </c>
      <c r="FA71" s="102">
        <v>-16.643508625833299</v>
      </c>
      <c r="FB71" s="102">
        <v>-16.643508625833299</v>
      </c>
      <c r="FC71" s="102">
        <v>-16.643508625833299</v>
      </c>
      <c r="FD71" s="102">
        <v>-16.643508625833299</v>
      </c>
      <c r="FE71" s="102">
        <v>-16.643508625833299</v>
      </c>
      <c r="FF71" s="102">
        <v>-16.643508625833299</v>
      </c>
      <c r="FG71" s="145"/>
      <c r="FH71" s="145"/>
      <c r="FI71" s="145"/>
      <c r="FJ71" s="145"/>
      <c r="FK71" s="145"/>
      <c r="FL71" s="145"/>
      <c r="FM71" s="145"/>
      <c r="FN71" s="145"/>
      <c r="FO71" s="145"/>
      <c r="FP71" s="145"/>
      <c r="FQ71" s="145"/>
      <c r="FR71" s="145"/>
      <c r="FS71" s="145"/>
      <c r="FT71" s="145"/>
      <c r="FU71" s="145"/>
      <c r="FV71" s="145"/>
      <c r="FW71" s="145"/>
      <c r="FX71" s="145"/>
      <c r="FY71" s="145"/>
      <c r="FZ71" s="145"/>
      <c r="GA71" s="145"/>
      <c r="GB71" s="145"/>
      <c r="GC71" s="145"/>
      <c r="GD71" s="145"/>
      <c r="GF71" s="102"/>
      <c r="GG71" s="102"/>
      <c r="GH71" s="102"/>
      <c r="GI71" s="102"/>
      <c r="GJ71" s="102"/>
      <c r="GK71" s="102">
        <f t="shared" si="37"/>
        <v>0</v>
      </c>
      <c r="GL71" s="102">
        <f t="shared" si="38"/>
        <v>0</v>
      </c>
      <c r="GM71" s="102">
        <f t="shared" si="183"/>
        <v>0</v>
      </c>
      <c r="GN71" s="102">
        <f t="shared" si="7"/>
        <v>0</v>
      </c>
      <c r="GO71" s="102">
        <v>0</v>
      </c>
      <c r="GQ71" s="32"/>
      <c r="GR71" s="32"/>
      <c r="GS71" s="32"/>
      <c r="GT71" s="929" t="str">
        <f t="shared" si="189"/>
        <v/>
      </c>
      <c r="GU71" s="929" t="str">
        <f t="shared" si="189"/>
        <v/>
      </c>
      <c r="GV71" s="929" t="str">
        <f t="shared" si="189"/>
        <v/>
      </c>
      <c r="GW71" s="929" t="str">
        <f t="shared" si="189"/>
        <v/>
      </c>
      <c r="GX71" s="32"/>
      <c r="GY71" s="929" t="str">
        <f t="shared" si="9"/>
        <v/>
      </c>
      <c r="HA71" s="102"/>
      <c r="HB71" s="102"/>
      <c r="HC71" s="102"/>
      <c r="HD71" s="102">
        <f t="shared" ref="HD71:HH102" si="226">+GK71-GJ71</f>
        <v>0</v>
      </c>
      <c r="HE71" s="102">
        <f t="shared" si="226"/>
        <v>0</v>
      </c>
      <c r="HF71" s="102">
        <f t="shared" si="226"/>
        <v>0</v>
      </c>
      <c r="HG71" s="102">
        <f t="shared" si="226"/>
        <v>0</v>
      </c>
      <c r="HH71" s="102"/>
      <c r="HI71" s="102">
        <f t="shared" si="11"/>
        <v>0</v>
      </c>
      <c r="HK71" s="32"/>
      <c r="HL71" s="32"/>
      <c r="HM71" s="32"/>
      <c r="HN71" s="32"/>
      <c r="HO71" s="32">
        <f t="shared" si="165"/>
        <v>0</v>
      </c>
      <c r="HP71" s="32">
        <f t="shared" si="165"/>
        <v>0</v>
      </c>
      <c r="HQ71" s="32">
        <f t="shared" si="165"/>
        <v>0</v>
      </c>
      <c r="HR71" s="32">
        <f t="shared" si="165"/>
        <v>0</v>
      </c>
      <c r="HS71" s="32">
        <f t="shared" si="165"/>
        <v>0</v>
      </c>
      <c r="HU71" s="102">
        <f t="shared" si="192"/>
        <v>0</v>
      </c>
      <c r="HV71" s="102">
        <f t="shared" si="192"/>
        <v>0</v>
      </c>
      <c r="HW71" s="102">
        <f t="shared" si="192"/>
        <v>0</v>
      </c>
      <c r="HX71" s="102">
        <f t="shared" si="192"/>
        <v>0</v>
      </c>
      <c r="HY71" s="102">
        <f t="shared" si="192"/>
        <v>0</v>
      </c>
      <c r="HZ71" s="102">
        <f t="shared" si="192"/>
        <v>0</v>
      </c>
      <c r="IA71" s="102">
        <f t="shared" si="193"/>
        <v>0</v>
      </c>
      <c r="IB71" s="102">
        <f t="shared" si="194"/>
        <v>0</v>
      </c>
      <c r="IC71" s="102">
        <f t="shared" si="195"/>
        <v>0</v>
      </c>
      <c r="ID71" s="102">
        <f>+SUMIF($FG$5:$FR$5,"&lt;="&amp;$HW$5,$FG71:$FR71)</f>
        <v>0</v>
      </c>
      <c r="IE71" s="102">
        <f t="shared" si="196"/>
        <v>0</v>
      </c>
      <c r="IG71" s="102">
        <f t="shared" si="151"/>
        <v>0</v>
      </c>
      <c r="IH71" s="102">
        <f t="shared" si="151"/>
        <v>0</v>
      </c>
      <c r="II71" s="145"/>
      <c r="IJ71" s="929"/>
      <c r="IK71" s="930"/>
      <c r="IM71" s="32"/>
      <c r="IN71" s="32"/>
      <c r="IP71" s="32"/>
      <c r="IQ71" s="32"/>
      <c r="IR71" s="32"/>
      <c r="IS71" s="929" t="str">
        <f t="shared" si="220"/>
        <v/>
      </c>
      <c r="IT71" s="929" t="str">
        <f t="shared" si="220"/>
        <v/>
      </c>
      <c r="IU71" s="929" t="str">
        <f t="shared" si="220"/>
        <v/>
      </c>
      <c r="IV71" s="929" t="str">
        <f t="shared" si="221"/>
        <v/>
      </c>
      <c r="IX71" s="102">
        <f t="shared" si="202"/>
        <v>0</v>
      </c>
      <c r="IY71" s="102">
        <f t="shared" si="202"/>
        <v>0</v>
      </c>
      <c r="IZ71" s="102">
        <f t="shared" si="202"/>
        <v>0</v>
      </c>
      <c r="JA71" s="102">
        <f t="shared" si="202"/>
        <v>0</v>
      </c>
      <c r="JB71" s="102">
        <f t="shared" si="202"/>
        <v>0</v>
      </c>
      <c r="JC71" s="102">
        <f t="shared" si="202"/>
        <v>0</v>
      </c>
      <c r="JD71" s="102">
        <f t="shared" si="203"/>
        <v>0</v>
      </c>
      <c r="JF71" s="32"/>
      <c r="JG71" s="32"/>
      <c r="JH71" s="32"/>
      <c r="JI71" s="32"/>
      <c r="JJ71" s="32"/>
      <c r="JK71" s="32"/>
      <c r="JL71" s="32"/>
      <c r="JM71" s="32"/>
      <c r="JO71" s="102">
        <f t="shared" si="206"/>
        <v>0</v>
      </c>
      <c r="JP71" s="102">
        <f t="shared" si="206"/>
        <v>0</v>
      </c>
      <c r="JQ71" s="102">
        <f t="shared" si="206"/>
        <v>0</v>
      </c>
      <c r="JR71" s="102">
        <f t="shared" si="206"/>
        <v>0</v>
      </c>
      <c r="JS71" s="102">
        <f t="shared" si="206"/>
        <v>0</v>
      </c>
      <c r="JT71" s="102">
        <f t="shared" si="207"/>
        <v>0</v>
      </c>
      <c r="JU71" s="102">
        <f t="shared" si="208"/>
        <v>0</v>
      </c>
      <c r="JV71" s="102">
        <f t="shared" si="208"/>
        <v>0</v>
      </c>
      <c r="JW71" s="102">
        <f t="shared" si="209"/>
        <v>0</v>
      </c>
      <c r="JX71" s="102">
        <f t="shared" si="210"/>
        <v>0</v>
      </c>
      <c r="JY71" s="102">
        <f t="shared" si="211"/>
        <v>0</v>
      </c>
      <c r="KB71" s="32" t="str">
        <f t="shared" si="212"/>
        <v xml:space="preserve"> </v>
      </c>
      <c r="KC71" s="32" t="str">
        <f t="shared" si="212"/>
        <v xml:space="preserve"> </v>
      </c>
      <c r="KD71" s="32" t="str">
        <f t="shared" si="212"/>
        <v xml:space="preserve"> </v>
      </c>
      <c r="KE71" s="32" t="str">
        <f t="shared" si="212"/>
        <v xml:space="preserve"> </v>
      </c>
      <c r="KF71" s="32" t="str">
        <f t="shared" si="212"/>
        <v xml:space="preserve"> </v>
      </c>
      <c r="KG71" s="32" t="str">
        <f t="shared" si="212"/>
        <v xml:space="preserve"> </v>
      </c>
      <c r="KH71" s="32" t="str">
        <f t="shared" si="169"/>
        <v xml:space="preserve"> </v>
      </c>
      <c r="KJ71" s="102">
        <f t="shared" si="213"/>
        <v>0</v>
      </c>
      <c r="KK71" s="102">
        <f t="shared" si="213"/>
        <v>0</v>
      </c>
      <c r="KL71" s="102">
        <f t="shared" si="213"/>
        <v>0</v>
      </c>
      <c r="KM71" s="102">
        <f t="shared" si="213"/>
        <v>0</v>
      </c>
      <c r="KN71" s="102">
        <f t="shared" si="213"/>
        <v>0</v>
      </c>
      <c r="KO71" s="102">
        <f t="shared" si="213"/>
        <v>0</v>
      </c>
      <c r="KP71" s="102">
        <f t="shared" si="171"/>
        <v>0</v>
      </c>
      <c r="KR71" s="32"/>
      <c r="KS71" s="32"/>
      <c r="KT71" s="32"/>
      <c r="KU71" s="32"/>
      <c r="KV71" s="32"/>
      <c r="KW71" s="32"/>
      <c r="KX71" s="32"/>
      <c r="KY71" s="32"/>
      <c r="KZ71" s="32"/>
    </row>
    <row r="72" spans="1:312" outlineLevel="2">
      <c r="A72" s="884"/>
      <c r="B72" s="70"/>
      <c r="C72" s="29"/>
      <c r="D72" s="31"/>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45"/>
      <c r="AQ72" s="143"/>
      <c r="AR72" s="143"/>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f t="shared" ref="BY72:CA72" si="227">+BY63+BY70</f>
        <v>-57.078322180000008</v>
      </c>
      <c r="BZ72" s="102">
        <f t="shared" si="227"/>
        <v>-58.037857610000003</v>
      </c>
      <c r="CA72" s="102">
        <f t="shared" si="227"/>
        <v>-62.610292729999998</v>
      </c>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J72" s="102"/>
      <c r="DK72" s="102"/>
      <c r="DL72" s="102"/>
      <c r="DM72" s="102"/>
      <c r="DN72" s="102"/>
      <c r="DO72" s="102"/>
      <c r="DP72" s="102"/>
      <c r="DQ72" s="102"/>
      <c r="DR72" s="102"/>
      <c r="DS72" s="102"/>
      <c r="DT72" s="102"/>
      <c r="DU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F72" s="102"/>
      <c r="GG72" s="102"/>
      <c r="GH72" s="102"/>
      <c r="GI72" s="102"/>
      <c r="GJ72" s="102"/>
      <c r="GK72" s="102">
        <f t="shared" ref="GK72:GM72" si="228">+GK63+GK70</f>
        <v>-973.80335998999999</v>
      </c>
      <c r="GL72" s="102">
        <f t="shared" si="228"/>
        <v>-700.09494136000012</v>
      </c>
      <c r="GM72" s="102">
        <f t="shared" si="228"/>
        <v>-746.14591374999998</v>
      </c>
      <c r="GN72" s="102">
        <f t="shared" si="7"/>
        <v>0</v>
      </c>
      <c r="GO72" s="102">
        <v>-815.63979752</v>
      </c>
      <c r="GQ72" s="32"/>
      <c r="GR72" s="32"/>
      <c r="GS72" s="32"/>
      <c r="GT72" s="929" t="str">
        <f t="shared" si="189"/>
        <v/>
      </c>
      <c r="GU72" s="929">
        <f t="shared" si="189"/>
        <v>-0.28107154881126162</v>
      </c>
      <c r="GV72" s="929">
        <f t="shared" si="189"/>
        <v>6.5778181885647546E-2</v>
      </c>
      <c r="GW72" s="929">
        <f t="shared" si="189"/>
        <v>-1</v>
      </c>
      <c r="GX72" s="32"/>
      <c r="GY72" s="929">
        <f t="shared" si="9"/>
        <v>9.3137123033664837E-2</v>
      </c>
      <c r="HA72" s="102"/>
      <c r="HB72" s="102"/>
      <c r="HC72" s="102"/>
      <c r="HD72" s="102">
        <f t="shared" si="226"/>
        <v>-973.80335998999999</v>
      </c>
      <c r="HE72" s="102">
        <f t="shared" si="226"/>
        <v>273.70841862999987</v>
      </c>
      <c r="HF72" s="102">
        <f t="shared" si="226"/>
        <v>-46.050972389999856</v>
      </c>
      <c r="HG72" s="102">
        <f t="shared" si="226"/>
        <v>746.14591374999998</v>
      </c>
      <c r="HH72" s="102"/>
      <c r="HI72" s="102">
        <f t="shared" si="11"/>
        <v>-69.493883770000025</v>
      </c>
      <c r="HK72" s="32"/>
      <c r="HL72" s="32"/>
      <c r="HM72" s="32"/>
      <c r="HN72" s="32"/>
      <c r="HO72" s="32">
        <f t="shared" si="165"/>
        <v>-7.14517999412215E-2</v>
      </c>
      <c r="HP72" s="32">
        <f t="shared" si="165"/>
        <v>-4.9474807735583465E-2</v>
      </c>
      <c r="HQ72" s="32">
        <f t="shared" si="165"/>
        <v>-3.5146901814551094E-2</v>
      </c>
      <c r="HR72" s="32">
        <f t="shared" si="165"/>
        <v>0</v>
      </c>
      <c r="HS72" s="32">
        <f t="shared" si="165"/>
        <v>-6.4631306338645667E-2</v>
      </c>
      <c r="HU72" s="102"/>
      <c r="HV72" s="102"/>
      <c r="HW72" s="102"/>
      <c r="HX72" s="102"/>
      <c r="HY72" s="102"/>
      <c r="HZ72" s="102"/>
      <c r="IA72" s="102"/>
      <c r="IB72" s="102"/>
      <c r="IC72" s="102"/>
      <c r="ID72" s="102"/>
      <c r="IE72" s="102"/>
      <c r="IG72" s="102"/>
      <c r="IH72" s="102"/>
      <c r="II72" s="145"/>
      <c r="IJ72" s="929"/>
      <c r="IK72" s="930"/>
      <c r="IM72" s="32"/>
      <c r="IN72" s="32"/>
      <c r="IP72" s="32"/>
      <c r="IQ72" s="32"/>
      <c r="IR72" s="32"/>
      <c r="IS72" s="32"/>
      <c r="IT72" s="32"/>
      <c r="IU72" s="32"/>
      <c r="IV72" s="32"/>
      <c r="IX72" s="102"/>
      <c r="IY72" s="102"/>
      <c r="IZ72" s="102"/>
      <c r="JA72" s="102"/>
      <c r="JB72" s="102"/>
      <c r="JC72" s="102"/>
      <c r="JD72" s="102"/>
      <c r="JF72" s="32"/>
      <c r="JG72" s="32"/>
      <c r="JH72" s="32"/>
      <c r="JI72" s="32"/>
      <c r="JJ72" s="32"/>
      <c r="JK72" s="32"/>
      <c r="JL72" s="32"/>
      <c r="JM72" s="32"/>
      <c r="JO72" s="102"/>
      <c r="JP72" s="102"/>
      <c r="JQ72" s="102"/>
      <c r="JR72" s="102"/>
      <c r="JS72" s="102"/>
      <c r="JT72" s="102"/>
      <c r="JU72" s="102"/>
      <c r="JV72" s="102"/>
      <c r="JW72" s="102"/>
      <c r="JX72" s="102"/>
      <c r="JY72" s="102"/>
      <c r="KB72" s="32"/>
      <c r="KC72" s="32"/>
      <c r="KD72" s="32"/>
      <c r="KE72" s="32"/>
      <c r="KF72" s="32"/>
      <c r="KG72" s="32"/>
      <c r="KH72" s="32"/>
      <c r="KJ72" s="102"/>
      <c r="KK72" s="102"/>
      <c r="KL72" s="102"/>
      <c r="KM72" s="102"/>
      <c r="KN72" s="102"/>
      <c r="KO72" s="102"/>
      <c r="KP72" s="102"/>
      <c r="KR72" s="32"/>
      <c r="KS72" s="32"/>
      <c r="KT72" s="32"/>
      <c r="KU72" s="32"/>
      <c r="KV72" s="32"/>
      <c r="KW72" s="32"/>
      <c r="KX72" s="32"/>
      <c r="KY72" s="32"/>
      <c r="KZ72" s="32"/>
    </row>
    <row r="73" spans="1:312" outlineLevel="1">
      <c r="A73" s="884"/>
      <c r="B73" s="70"/>
      <c r="D73" s="31"/>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45"/>
      <c r="AQ73" s="143"/>
      <c r="AR73" s="143"/>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957"/>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J73" s="102"/>
      <c r="DK73" s="102"/>
      <c r="DL73" s="102"/>
      <c r="DM73" s="102"/>
      <c r="DN73" s="102"/>
      <c r="DO73" s="102"/>
      <c r="DP73" s="102"/>
      <c r="DQ73" s="102"/>
      <c r="DR73" s="102"/>
      <c r="DS73" s="102"/>
      <c r="DT73" s="102"/>
      <c r="DU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F73" s="102"/>
      <c r="GG73" s="102"/>
      <c r="GH73" s="102"/>
      <c r="GI73" s="102"/>
      <c r="GJ73" s="102"/>
      <c r="GK73" s="102"/>
      <c r="GL73" s="102">
        <f t="shared" si="38"/>
        <v>0</v>
      </c>
      <c r="GM73" s="102">
        <f>+SUMIF($E$6:$CV$6,GM$7,$E73:$CV73)</f>
        <v>0</v>
      </c>
      <c r="GN73" s="102">
        <f t="shared" si="7"/>
        <v>0</v>
      </c>
      <c r="GO73" s="102">
        <v>0</v>
      </c>
      <c r="GQ73" s="32"/>
      <c r="GR73" s="32"/>
      <c r="GS73" s="32"/>
      <c r="GT73" s="929"/>
      <c r="GU73" s="929"/>
      <c r="GV73" s="929"/>
      <c r="GW73" s="929" t="str">
        <f t="shared" si="189"/>
        <v/>
      </c>
      <c r="GX73" s="32"/>
      <c r="GY73" s="929" t="str">
        <f t="shared" si="9"/>
        <v/>
      </c>
      <c r="HA73" s="102"/>
      <c r="HB73" s="102"/>
      <c r="HC73" s="102"/>
      <c r="HD73" s="102"/>
      <c r="HE73" s="102">
        <f t="shared" si="226"/>
        <v>0</v>
      </c>
      <c r="HF73" s="102">
        <f t="shared" si="226"/>
        <v>0</v>
      </c>
      <c r="HG73" s="102">
        <f t="shared" si="226"/>
        <v>0</v>
      </c>
      <c r="HH73" s="102"/>
      <c r="HI73" s="102">
        <f t="shared" si="11"/>
        <v>0</v>
      </c>
      <c r="HK73" s="32"/>
      <c r="HL73" s="32"/>
      <c r="HM73" s="32"/>
      <c r="HN73" s="32"/>
      <c r="HO73" s="32"/>
      <c r="HP73" s="32">
        <f t="shared" si="165"/>
        <v>0</v>
      </c>
      <c r="HQ73" s="32">
        <f t="shared" si="165"/>
        <v>0</v>
      </c>
      <c r="HR73" s="32">
        <f t="shared" si="165"/>
        <v>0</v>
      </c>
      <c r="HS73" s="32">
        <f t="shared" si="165"/>
        <v>0</v>
      </c>
      <c r="HU73" s="102"/>
      <c r="HV73" s="102"/>
      <c r="HW73" s="102"/>
      <c r="HX73" s="102"/>
      <c r="HY73" s="102"/>
      <c r="HZ73" s="102"/>
      <c r="IA73" s="102"/>
      <c r="IB73" s="102"/>
      <c r="IC73" s="102"/>
      <c r="ID73" s="102"/>
      <c r="IE73" s="102"/>
      <c r="IG73" s="102"/>
      <c r="IH73" s="102"/>
      <c r="II73" s="145"/>
      <c r="IJ73" s="32"/>
      <c r="IK73" s="102"/>
      <c r="IM73" s="32"/>
      <c r="IN73" s="32"/>
      <c r="IP73" s="32"/>
      <c r="IQ73" s="32"/>
      <c r="IR73" s="32"/>
      <c r="IS73" s="32"/>
      <c r="IT73" s="32"/>
      <c r="IU73" s="32"/>
      <c r="IV73" s="32"/>
      <c r="IX73" s="102"/>
      <c r="IY73" s="102"/>
      <c r="IZ73" s="102"/>
      <c r="JA73" s="102"/>
      <c r="JB73" s="102"/>
      <c r="JC73" s="102"/>
      <c r="JD73" s="102"/>
      <c r="JF73" s="32"/>
      <c r="JG73" s="32"/>
      <c r="JH73" s="32"/>
      <c r="JI73" s="32"/>
      <c r="JJ73" s="32"/>
      <c r="JK73" s="32"/>
      <c r="JL73" s="32"/>
      <c r="JM73" s="32"/>
      <c r="JO73" s="102"/>
      <c r="JP73" s="102"/>
      <c r="JQ73" s="102"/>
      <c r="JR73" s="102"/>
      <c r="JS73" s="102"/>
      <c r="JT73" s="102"/>
      <c r="JU73" s="102"/>
      <c r="JV73" s="102"/>
      <c r="JW73" s="102"/>
      <c r="JX73" s="102"/>
      <c r="JY73" s="102"/>
      <c r="KB73" s="32"/>
      <c r="KC73" s="32"/>
      <c r="KD73" s="32"/>
      <c r="KE73" s="32"/>
      <c r="KF73" s="32"/>
      <c r="KG73" s="32"/>
      <c r="KH73" s="32"/>
      <c r="KJ73" s="102"/>
      <c r="KK73" s="102"/>
      <c r="KL73" s="102"/>
      <c r="KM73" s="102"/>
      <c r="KN73" s="102"/>
      <c r="KO73" s="102"/>
      <c r="KP73" s="102"/>
      <c r="KR73" s="32"/>
      <c r="KS73" s="32"/>
      <c r="KT73" s="32"/>
      <c r="KU73" s="32"/>
      <c r="KV73" s="32"/>
      <c r="KW73" s="32"/>
      <c r="KX73" s="32"/>
      <c r="KY73" s="32"/>
      <c r="KZ73" s="32"/>
    </row>
    <row r="74" spans="1:312">
      <c r="A74" s="884"/>
      <c r="B74" s="70"/>
      <c r="C74" s="1524" t="s">
        <v>94</v>
      </c>
      <c r="D74" s="1525" t="s">
        <v>59</v>
      </c>
      <c r="E74" s="1526">
        <f t="shared" ref="E74:AZ74" si="229">+E60+E63</f>
        <v>-1301.5226512799998</v>
      </c>
      <c r="F74" s="1526">
        <f t="shared" si="229"/>
        <v>1068.2942113800004</v>
      </c>
      <c r="G74" s="1526">
        <f t="shared" si="229"/>
        <v>341.18599756000026</v>
      </c>
      <c r="H74" s="1526">
        <f t="shared" si="229"/>
        <v>600.06787368000062</v>
      </c>
      <c r="I74" s="1526">
        <f t="shared" si="229"/>
        <v>1439.7026319999986</v>
      </c>
      <c r="J74" s="1526">
        <f t="shared" si="229"/>
        <v>533.06343365999942</v>
      </c>
      <c r="K74" s="1526">
        <f t="shared" si="229"/>
        <v>777.11337041999855</v>
      </c>
      <c r="L74" s="1526">
        <f t="shared" si="229"/>
        <v>1466.8669780800014</v>
      </c>
      <c r="M74" s="1526">
        <f t="shared" si="229"/>
        <v>1492.4149665400014</v>
      </c>
      <c r="N74" s="1526">
        <f t="shared" si="229"/>
        <v>1081.764972269998</v>
      </c>
      <c r="O74" s="1526">
        <f t="shared" si="229"/>
        <v>1685.3183345700024</v>
      </c>
      <c r="P74" s="1526">
        <f t="shared" si="229"/>
        <v>85.669844239998241</v>
      </c>
      <c r="Q74" s="1526">
        <f t="shared" si="229"/>
        <v>-416.10981926999966</v>
      </c>
      <c r="R74" s="1526">
        <f t="shared" si="229"/>
        <v>1309.5551872699998</v>
      </c>
      <c r="S74" s="1526">
        <f t="shared" si="229"/>
        <v>-173.16281742000004</v>
      </c>
      <c r="T74" s="1526">
        <f t="shared" si="229"/>
        <v>-661.73700434999773</v>
      </c>
      <c r="U74" s="1526">
        <f t="shared" si="229"/>
        <v>1503.6549246500006</v>
      </c>
      <c r="V74" s="1526">
        <f t="shared" si="229"/>
        <v>1186.1657018299968</v>
      </c>
      <c r="W74" s="1526">
        <f t="shared" si="229"/>
        <v>569.12745422999888</v>
      </c>
      <c r="X74" s="1526">
        <f t="shared" si="229"/>
        <v>919.73320164000165</v>
      </c>
      <c r="Y74" s="1526">
        <f t="shared" si="229"/>
        <v>-643.5895637099984</v>
      </c>
      <c r="Z74" s="1526">
        <f t="shared" si="229"/>
        <v>84.560128189996448</v>
      </c>
      <c r="AA74" s="1526">
        <f t="shared" si="229"/>
        <v>2546.3758513300008</v>
      </c>
      <c r="AB74" s="1526">
        <f t="shared" si="229"/>
        <v>2325.1729883500079</v>
      </c>
      <c r="AC74" s="1526">
        <f t="shared" si="229"/>
        <v>-477.78569736000031</v>
      </c>
      <c r="AD74" s="1526">
        <f t="shared" si="229"/>
        <v>1684.4511544300003</v>
      </c>
      <c r="AE74" s="1526">
        <f t="shared" si="229"/>
        <v>415.98202307999975</v>
      </c>
      <c r="AF74" s="1526">
        <f t="shared" si="229"/>
        <v>882.72329392000063</v>
      </c>
      <c r="AG74" s="1526">
        <f t="shared" si="229"/>
        <v>677.60947930000032</v>
      </c>
      <c r="AH74" s="1526">
        <f t="shared" si="229"/>
        <v>464.57895547000044</v>
      </c>
      <c r="AI74" s="1526">
        <f t="shared" si="229"/>
        <v>299.23737742000003</v>
      </c>
      <c r="AJ74" s="1526">
        <f t="shared" si="229"/>
        <v>729.71352591999994</v>
      </c>
      <c r="AK74" s="1526">
        <f t="shared" si="229"/>
        <v>774.58021208999958</v>
      </c>
      <c r="AL74" s="1526">
        <f t="shared" si="229"/>
        <v>1174.7158170199998</v>
      </c>
      <c r="AM74" s="1526">
        <f t="shared" si="229"/>
        <v>3343.4015377300007</v>
      </c>
      <c r="AN74" s="1526">
        <f t="shared" si="229"/>
        <v>-178.99561452000199</v>
      </c>
      <c r="AO74" s="1526">
        <f t="shared" si="229"/>
        <v>1102.7848921100003</v>
      </c>
      <c r="AP74" s="1526">
        <f t="shared" si="229"/>
        <v>-578.99603827999988</v>
      </c>
      <c r="AQ74" s="1526">
        <f t="shared" si="229"/>
        <v>-192.24541776000024</v>
      </c>
      <c r="AR74" s="1526">
        <f t="shared" si="229"/>
        <v>-352.59944228000029</v>
      </c>
      <c r="AS74" s="1526">
        <f t="shared" si="229"/>
        <v>-1233.4514713200003</v>
      </c>
      <c r="AT74" s="1526">
        <f t="shared" si="229"/>
        <v>-1014.39397653</v>
      </c>
      <c r="AU74" s="1526">
        <f t="shared" si="229"/>
        <v>-50.588827749999581</v>
      </c>
      <c r="AV74" s="1526">
        <f t="shared" si="229"/>
        <v>12.502064390000015</v>
      </c>
      <c r="AW74" s="1526">
        <f t="shared" si="229"/>
        <v>-53.254184340000421</v>
      </c>
      <c r="AX74" s="1526">
        <f t="shared" si="229"/>
        <v>73.350004200000015</v>
      </c>
      <c r="AY74" s="1526">
        <f t="shared" si="229"/>
        <v>-549.91960476000008</v>
      </c>
      <c r="AZ74" s="1526">
        <f t="shared" si="229"/>
        <v>-2020.1855091</v>
      </c>
      <c r="BA74" s="1526">
        <f t="shared" ref="BA74:DH74" si="230">+BA60+BA63+BA70+BA71</f>
        <v>20.687186179999983</v>
      </c>
      <c r="BB74" s="1526">
        <f t="shared" si="230"/>
        <v>-607.43715013000019</v>
      </c>
      <c r="BC74" s="1526">
        <f t="shared" si="230"/>
        <v>-733.80743944000005</v>
      </c>
      <c r="BD74" s="1526">
        <f t="shared" si="230"/>
        <v>-672.49849313000004</v>
      </c>
      <c r="BE74" s="1526">
        <f t="shared" si="230"/>
        <v>-422.38408129000004</v>
      </c>
      <c r="BF74" s="1526">
        <f t="shared" si="230"/>
        <v>-748.09461388999989</v>
      </c>
      <c r="BG74" s="1526">
        <f t="shared" si="230"/>
        <v>-376.90486166000005</v>
      </c>
      <c r="BH74" s="1526">
        <f t="shared" si="230"/>
        <v>-162.00149568000012</v>
      </c>
      <c r="BI74" s="1526">
        <f t="shared" si="230"/>
        <v>-388.24061546000007</v>
      </c>
      <c r="BJ74" s="1526">
        <f t="shared" si="230"/>
        <v>-272.53527039999994</v>
      </c>
      <c r="BK74" s="1526">
        <f t="shared" si="230"/>
        <v>145.14843674000011</v>
      </c>
      <c r="BL74" s="1526">
        <f t="shared" si="230"/>
        <v>-42.209163349999727</v>
      </c>
      <c r="BM74" s="1526">
        <f t="shared" si="230"/>
        <v>211.85756674999993</v>
      </c>
      <c r="BN74" s="1526">
        <f t="shared" si="230"/>
        <v>225.29177272999996</v>
      </c>
      <c r="BO74" s="1526">
        <f t="shared" si="230"/>
        <v>171.99092580999991</v>
      </c>
      <c r="BP74" s="1526">
        <f t="shared" si="230"/>
        <v>417.23061168000032</v>
      </c>
      <c r="BQ74" s="1526">
        <f t="shared" si="230"/>
        <v>13.3583609299999</v>
      </c>
      <c r="BR74" s="1526">
        <f t="shared" si="230"/>
        <v>120.92371158000006</v>
      </c>
      <c r="BS74" s="1526">
        <f t="shared" si="230"/>
        <v>123.59059097000008</v>
      </c>
      <c r="BT74" s="1526">
        <f t="shared" si="230"/>
        <v>130.42443757000018</v>
      </c>
      <c r="BU74" s="1526">
        <f t="shared" si="230"/>
        <v>35.158690700000143</v>
      </c>
      <c r="BV74" s="1526">
        <f t="shared" si="230"/>
        <v>328.92065385999973</v>
      </c>
      <c r="BW74" s="1526">
        <f t="shared" si="230"/>
        <v>353.97739329000035</v>
      </c>
      <c r="BX74" s="1526">
        <f t="shared" si="230"/>
        <v>35.558553830000271</v>
      </c>
      <c r="BY74" s="1526">
        <f t="shared" si="230"/>
        <v>31.827171290000088</v>
      </c>
      <c r="BZ74" s="1526">
        <f t="shared" si="230"/>
        <v>69.046344250000175</v>
      </c>
      <c r="CA74" s="1526">
        <f t="shared" si="230"/>
        <v>59.471377400000115</v>
      </c>
      <c r="CB74" s="1526">
        <f t="shared" si="230"/>
        <v>-55.43656122999991</v>
      </c>
      <c r="CC74" s="1526">
        <f t="shared" si="230"/>
        <v>-100.57901570999992</v>
      </c>
      <c r="CD74" s="1526">
        <f t="shared" si="230"/>
        <v>8.8655770199998045</v>
      </c>
      <c r="CE74" s="1526">
        <f t="shared" si="230"/>
        <v>-99.881407640000063</v>
      </c>
      <c r="CF74" s="1526">
        <f t="shared" si="230"/>
        <v>530.91717826000024</v>
      </c>
      <c r="CG74" s="1526">
        <f t="shared" si="230"/>
        <v>7.3383945499999781</v>
      </c>
      <c r="CH74" s="1526">
        <f t="shared" si="230"/>
        <v>160.66001447000016</v>
      </c>
      <c r="CI74" s="1526">
        <f t="shared" si="230"/>
        <v>554.74011744000006</v>
      </c>
      <c r="CJ74" s="1526">
        <f t="shared" si="230"/>
        <v>169.60108346999982</v>
      </c>
      <c r="CK74" s="1526">
        <f t="shared" si="230"/>
        <v>181.96997445999966</v>
      </c>
      <c r="CL74" s="1526">
        <f t="shared" si="230"/>
        <v>-18.359495910000177</v>
      </c>
      <c r="CM74" s="1526">
        <f t="shared" si="230"/>
        <v>448.82058708</v>
      </c>
      <c r="CN74" s="1526">
        <f t="shared" si="230"/>
        <v>177.28979460999997</v>
      </c>
      <c r="CO74" s="1526">
        <f t="shared" si="230"/>
        <v>444.11984631999985</v>
      </c>
      <c r="CP74" s="1526">
        <f t="shared" si="230"/>
        <v>100.6439613199998</v>
      </c>
      <c r="CQ74" s="1526">
        <f t="shared" si="230"/>
        <v>172.39077824000006</v>
      </c>
      <c r="CR74" s="1526">
        <f t="shared" si="230"/>
        <v>339.00483605000011</v>
      </c>
      <c r="CS74" s="1526">
        <f t="shared" si="230"/>
        <v>390.68350108999982</v>
      </c>
      <c r="CT74" s="1526">
        <f t="shared" si="230"/>
        <v>736.40384738000023</v>
      </c>
      <c r="CU74" s="1526">
        <f t="shared" si="230"/>
        <v>419.16194101000008</v>
      </c>
      <c r="CV74" s="1526">
        <f t="shared" si="230"/>
        <v>100.60520948999967</v>
      </c>
      <c r="CW74" s="1526">
        <f t="shared" si="230"/>
        <v>396.72091696000007</v>
      </c>
      <c r="CX74" s="1526">
        <f t="shared" si="230"/>
        <v>187.18359280999951</v>
      </c>
      <c r="CY74" s="1526">
        <f t="shared" si="230"/>
        <v>614.16316411000037</v>
      </c>
      <c r="CZ74" s="1526">
        <f t="shared" si="230"/>
        <v>-139.90459640999984</v>
      </c>
      <c r="DA74" s="1526">
        <f t="shared" si="230"/>
        <v>-35.810806919999905</v>
      </c>
      <c r="DB74" s="1526">
        <f t="shared" si="230"/>
        <v>-269.76249252000002</v>
      </c>
      <c r="DC74" s="1526">
        <f t="shared" si="230"/>
        <v>-289.77370060999999</v>
      </c>
      <c r="DD74" s="1526">
        <f t="shared" si="230"/>
        <v>259.36794035000008</v>
      </c>
      <c r="DE74" s="1526">
        <f t="shared" si="230"/>
        <v>183.73170388999989</v>
      </c>
      <c r="DF74" s="1526">
        <f t="shared" si="230"/>
        <v>319.95866742000004</v>
      </c>
      <c r="DG74" s="1526">
        <f t="shared" si="230"/>
        <v>-112.17717790000023</v>
      </c>
      <c r="DH74" s="1526">
        <f t="shared" si="230"/>
        <v>78.867468249999874</v>
      </c>
      <c r="DI74" s="949"/>
      <c r="DJ74" s="1526">
        <f t="shared" ref="DJ74:DU74" si="231">+DJ60+DJ63+DJ70+DJ71</f>
        <v>512.19174760999999</v>
      </c>
      <c r="DK74" s="1526">
        <f t="shared" si="231"/>
        <v>207.14984666999956</v>
      </c>
      <c r="DL74" s="1526">
        <f t="shared" si="231"/>
        <v>743.47933597999963</v>
      </c>
      <c r="DM74" s="1526">
        <f t="shared" si="231"/>
        <v>-124.03923029999993</v>
      </c>
      <c r="DN74" s="1526">
        <f t="shared" si="231"/>
        <v>4.0316413700000453</v>
      </c>
      <c r="DO74" s="1526">
        <f t="shared" si="231"/>
        <v>-273.22767933</v>
      </c>
      <c r="DP74" s="1526">
        <f t="shared" si="231"/>
        <v>-157.47038020351641</v>
      </c>
      <c r="DQ74" s="1526">
        <f t="shared" si="231"/>
        <v>415.90859463483338</v>
      </c>
      <c r="DR74" s="1526">
        <f t="shared" si="231"/>
        <v>310.76154186748369</v>
      </c>
      <c r="DS74" s="1526">
        <f t="shared" si="231"/>
        <v>575.70863115483348</v>
      </c>
      <c r="DT74" s="1526">
        <f t="shared" si="231"/>
        <v>48.70578229728325</v>
      </c>
      <c r="DU74" s="1526">
        <f t="shared" si="231"/>
        <v>44.182483797533266</v>
      </c>
      <c r="DW74" s="1526">
        <v>545.64830104875739</v>
      </c>
      <c r="DX74" s="1526">
        <v>-444.15247704603684</v>
      </c>
      <c r="DY74" s="1526">
        <v>-332.87855189944275</v>
      </c>
      <c r="DZ74" s="1526">
        <v>573.37983081624884</v>
      </c>
      <c r="EA74" s="1526">
        <v>249.72755655325807</v>
      </c>
      <c r="EB74" s="1526">
        <v>455.64370733372641</v>
      </c>
      <c r="EC74" s="1526">
        <v>1298.4964685421776</v>
      </c>
      <c r="ED74" s="1526">
        <v>2121.9388241589504</v>
      </c>
      <c r="EE74" s="1526">
        <v>1308.3598868699485</v>
      </c>
      <c r="EF74" s="1526">
        <v>1547.7768052809845</v>
      </c>
      <c r="EG74" s="1526">
        <v>1379.8115101590504</v>
      </c>
      <c r="EH74" s="1526">
        <v>979.09660257935764</v>
      </c>
      <c r="EI74" s="1526">
        <f>+EI60+EI63</f>
        <v>-350.26332899622707</v>
      </c>
      <c r="EJ74" s="1526">
        <f t="shared" ref="EJ74:ET74" si="232">+EJ60+EJ63</f>
        <v>-208.96885485236635</v>
      </c>
      <c r="EK74" s="1526">
        <f t="shared" si="232"/>
        <v>-186.70935298595663</v>
      </c>
      <c r="EL74" s="1526">
        <f t="shared" si="232"/>
        <v>-249.25317200133213</v>
      </c>
      <c r="EM74" s="1526">
        <f t="shared" si="232"/>
        <v>-36.548097497863154</v>
      </c>
      <c r="EN74" s="1526">
        <f t="shared" si="232"/>
        <v>180.68540621687362</v>
      </c>
      <c r="EO74" s="1526">
        <f t="shared" si="232"/>
        <v>248.67474640663565</v>
      </c>
      <c r="EP74" s="1526">
        <f t="shared" si="232"/>
        <v>323.71225933936404</v>
      </c>
      <c r="EQ74" s="1526">
        <f t="shared" si="232"/>
        <v>294.39687703067608</v>
      </c>
      <c r="ER74" s="1526">
        <f t="shared" si="232"/>
        <v>358.19542962656408</v>
      </c>
      <c r="ES74" s="1526">
        <f t="shared" si="232"/>
        <v>254.21708906816357</v>
      </c>
      <c r="ET74" s="1526">
        <f t="shared" si="232"/>
        <v>58.877521054486778</v>
      </c>
      <c r="EU74" s="1526">
        <f>+EU60+EU63+EU70+EU71</f>
        <v>27.490717535022718</v>
      </c>
      <c r="EV74" s="1526">
        <f t="shared" ref="EV74:GD74" si="233">+EV60+EV63+EV70+EV71</f>
        <v>239.67305884774294</v>
      </c>
      <c r="EW74" s="1526">
        <f t="shared" si="233"/>
        <v>218.29706750304652</v>
      </c>
      <c r="EX74" s="1526">
        <f t="shared" si="233"/>
        <v>200.49955939004673</v>
      </c>
      <c r="EY74" s="1526">
        <f t="shared" si="233"/>
        <v>189.57252109562288</v>
      </c>
      <c r="EZ74" s="1526">
        <f t="shared" si="233"/>
        <v>193.86512804633477</v>
      </c>
      <c r="FA74" s="1526">
        <f t="shared" si="233"/>
        <v>210.44095751745454</v>
      </c>
      <c r="FB74" s="1526">
        <f t="shared" si="233"/>
        <v>-36.504236595289349</v>
      </c>
      <c r="FC74" s="1526">
        <f t="shared" si="233"/>
        <v>-94.834723465833406</v>
      </c>
      <c r="FD74" s="1526">
        <f t="shared" si="233"/>
        <v>-154.4625697158333</v>
      </c>
      <c r="FE74" s="1526">
        <f t="shared" si="233"/>
        <v>-96.931526715833456</v>
      </c>
      <c r="FF74" s="1526">
        <f t="shared" si="233"/>
        <v>-152.85088662583337</v>
      </c>
      <c r="FG74" s="1526">
        <f t="shared" si="233"/>
        <v>145.60496643701552</v>
      </c>
      <c r="FH74" s="1526">
        <f t="shared" si="233"/>
        <v>37.377386116160153</v>
      </c>
      <c r="FI74" s="1526">
        <f t="shared" si="233"/>
        <v>-13.975274044267678</v>
      </c>
      <c r="FJ74" s="1526">
        <f t="shared" si="233"/>
        <v>-94.221103028224661</v>
      </c>
      <c r="FK74" s="1526">
        <f t="shared" si="233"/>
        <v>22.333599955732467</v>
      </c>
      <c r="FL74" s="1526">
        <f t="shared" si="233"/>
        <v>24.468969955732149</v>
      </c>
      <c r="FM74" s="1526">
        <f t="shared" si="233"/>
        <v>80.668009116160221</v>
      </c>
      <c r="FN74" s="1526">
        <f t="shared" si="233"/>
        <v>100.78565811615982</v>
      </c>
      <c r="FO74" s="1526">
        <f t="shared" si="233"/>
        <v>125.1535211161605</v>
      </c>
      <c r="FP74" s="1526">
        <f t="shared" si="233"/>
        <v>251.53275159744339</v>
      </c>
      <c r="FQ74" s="1526">
        <f t="shared" si="233"/>
        <v>319.05679191829921</v>
      </c>
      <c r="FR74" s="1526">
        <f t="shared" si="233"/>
        <v>245.15912659744373</v>
      </c>
      <c r="FS74" s="1526">
        <f t="shared" si="233"/>
        <v>145.60496643701552</v>
      </c>
      <c r="FT74" s="1526">
        <f t="shared" si="233"/>
        <v>37.377386116160153</v>
      </c>
      <c r="FU74" s="1526">
        <f t="shared" si="233"/>
        <v>-13.975274044267678</v>
      </c>
      <c r="FV74" s="1526">
        <f t="shared" si="233"/>
        <v>-94.221103028224661</v>
      </c>
      <c r="FW74" s="1526">
        <f t="shared" si="233"/>
        <v>22.333599955732467</v>
      </c>
      <c r="FX74" s="1526">
        <f t="shared" si="233"/>
        <v>24.468969955732149</v>
      </c>
      <c r="FY74" s="1526">
        <f t="shared" si="233"/>
        <v>80.668009116160221</v>
      </c>
      <c r="FZ74" s="1526">
        <f t="shared" si="233"/>
        <v>100.78565811615982</v>
      </c>
      <c r="GA74" s="1526">
        <f t="shared" si="233"/>
        <v>125.1535211161605</v>
      </c>
      <c r="GB74" s="1526">
        <f t="shared" si="233"/>
        <v>251.53275159744339</v>
      </c>
      <c r="GC74" s="1526">
        <f t="shared" si="233"/>
        <v>319.05679191829921</v>
      </c>
      <c r="GD74" s="1526">
        <f t="shared" si="233"/>
        <v>245.15912659744373</v>
      </c>
      <c r="GF74" s="1526">
        <f>+SUMIF($E$6:$AZ$6,GF$7,$E74:$AZ74)</f>
        <v>9269.9399631199994</v>
      </c>
      <c r="GG74" s="1526">
        <f>+SUMIF($E$6:$AZ$6,GG$7,$E74:$AZ74)</f>
        <v>8549.7462327400062</v>
      </c>
      <c r="GH74" s="1526">
        <f>+SUMIF($E$6:$AZ$6,GH$7,$E74:$AZ74)</f>
        <v>9790.2120645000014</v>
      </c>
      <c r="GI74" s="1526">
        <f>+SUMIF($E$6:$AZ$6,GI$7,$E74:$AZ74)</f>
        <v>-4856.9975114199997</v>
      </c>
      <c r="GJ74" s="1526">
        <f>+SUMIF($E$6:$BL$6,GJ$7,$E74:$BL74)</f>
        <v>-4260.2775615099999</v>
      </c>
      <c r="GK74" s="1526">
        <f t="shared" si="37"/>
        <v>2168.2832697000008</v>
      </c>
      <c r="GL74" s="1526">
        <f t="shared" si="38"/>
        <v>1336.5702735700004</v>
      </c>
      <c r="GM74" s="1526">
        <f>+SUMIF($E$6:$CV$6,GM$7,$E74:$CV74)</f>
        <v>3492.7347811399991</v>
      </c>
      <c r="GN74" s="1526">
        <f t="shared" si="7"/>
        <v>1243.9444038538147</v>
      </c>
      <c r="GO74" s="1526">
        <v>1192.5646794299994</v>
      </c>
      <c r="GQ74" s="1528">
        <f t="shared" ref="GQ74:GV75" si="234">+IFERROR(GH74/GG74-1,"")</f>
        <v>0.14508802928089404</v>
      </c>
      <c r="GR74" s="1528">
        <f t="shared" si="234"/>
        <v>-1.4961074877051759</v>
      </c>
      <c r="GS74" s="1528">
        <f t="shared" si="234"/>
        <v>-0.12285778374540313</v>
      </c>
      <c r="GT74" s="1528">
        <f t="shared" si="234"/>
        <v>-1.5089535220168804</v>
      </c>
      <c r="GU74" s="1528">
        <f t="shared" si="234"/>
        <v>-0.38358133725077093</v>
      </c>
      <c r="GV74" s="1528">
        <f t="shared" si="234"/>
        <v>1.6132069897161854</v>
      </c>
      <c r="GW74" s="1528">
        <f t="shared" si="189"/>
        <v>-0.64384802116357609</v>
      </c>
      <c r="GX74" s="1528">
        <f t="shared" si="189"/>
        <v>-4.1303875209083185E-2</v>
      </c>
      <c r="GY74" s="1528">
        <f t="shared" si="9"/>
        <v>-0.65855847805290368</v>
      </c>
      <c r="HA74" s="1526">
        <f>+GH74-GG74</f>
        <v>1240.4658317599951</v>
      </c>
      <c r="HB74" s="1526">
        <f>+GI74-GH74</f>
        <v>-14647.209575920002</v>
      </c>
      <c r="HC74" s="1526">
        <f>+GJ74-GI74</f>
        <v>596.71994990999974</v>
      </c>
      <c r="HD74" s="1526">
        <f t="shared" si="226"/>
        <v>6428.5608312100012</v>
      </c>
      <c r="HE74" s="1526">
        <f t="shared" si="226"/>
        <v>-831.71299613000042</v>
      </c>
      <c r="HF74" s="1526">
        <f t="shared" si="226"/>
        <v>2156.1645075699989</v>
      </c>
      <c r="HG74" s="1526">
        <f t="shared" si="226"/>
        <v>-2248.7903772861846</v>
      </c>
      <c r="HH74" s="1526">
        <f t="shared" si="226"/>
        <v>-51.379724423815333</v>
      </c>
      <c r="HI74" s="1526">
        <f t="shared" si="11"/>
        <v>-2300.1701017099995</v>
      </c>
      <c r="HK74" s="1529">
        <f>+GG74/GG$11</f>
        <v>0.23261273471517796</v>
      </c>
      <c r="HL74" s="1529">
        <f>+GH74/GH$11</f>
        <v>0.248589916717989</v>
      </c>
      <c r="HM74" s="1529">
        <f>+GI74/GI$11</f>
        <v>-0.28820150598085437</v>
      </c>
      <c r="HN74" s="1529">
        <f>+GJ74/GJ$11</f>
        <v>-0.69249983798488579</v>
      </c>
      <c r="HO74" s="1529">
        <f t="shared" si="165"/>
        <v>0.15909551021069904</v>
      </c>
      <c r="HP74" s="1529">
        <f t="shared" si="165"/>
        <v>9.4453699638958846E-2</v>
      </c>
      <c r="HQ74" s="1529">
        <f t="shared" si="165"/>
        <v>0.16452386075537245</v>
      </c>
      <c r="HR74" s="1529">
        <f t="shared" si="165"/>
        <v>7.9069472160849072E-2</v>
      </c>
      <c r="HS74" s="1529">
        <f t="shared" si="165"/>
        <v>9.4498838040083591E-2</v>
      </c>
      <c r="HU74" s="1526">
        <f t="shared" ref="HU74:HZ74" si="235">+IFERROR(SUMIFS($E74:$BX74,$E$6:$BX$6,HU$7,$E$5:$BX$5,"&lt;="&amp;$HW$5),"NA")</f>
        <v>2680.7914969999993</v>
      </c>
      <c r="HV74" s="1526">
        <f t="shared" si="235"/>
        <v>2748.3661727099998</v>
      </c>
      <c r="HW74" s="1526">
        <f t="shared" si="235"/>
        <v>3647.5592088400012</v>
      </c>
      <c r="HX74" s="1526">
        <f t="shared" si="235"/>
        <v>-2268.9014540600006</v>
      </c>
      <c r="HY74" s="1526">
        <f t="shared" si="235"/>
        <v>-3163.5345917000004</v>
      </c>
      <c r="HZ74" s="1526">
        <f t="shared" si="235"/>
        <v>1160.6529494800002</v>
      </c>
      <c r="IA74" s="1526">
        <f>+IFERROR(SUMIFS($E74:$CJ74,$E$6:$CJ$6,IA$7,$E$5:$CJ$5,"&lt;="&amp;$HW$5),"NA")</f>
        <v>13.194893020000336</v>
      </c>
      <c r="IB74" s="1526">
        <f>+IFERROR(SUMIFS($E74:$CV74,$E$6:$CV$6,IB$7,$E$5:$CV$5,"&lt;="&amp;$HW$5),"NA")</f>
        <v>1334.4846678799991</v>
      </c>
      <c r="IC74" s="1526">
        <f>+SUMIF($CW$5:$DH$5,"&lt;="&amp;$HW$5,$CW74:$DH74)</f>
        <v>752.58977803000005</v>
      </c>
      <c r="ID74" s="1526">
        <f t="shared" si="18"/>
        <v>121.58854539214795</v>
      </c>
      <c r="IE74" s="1526">
        <f>+SUMIF($DJ$5:$DU$5,"&lt;="&amp;$HW$5,$DJ74:$DU74)</f>
        <v>1069.5856619999993</v>
      </c>
      <c r="IG74" s="1526">
        <f t="shared" si="151"/>
        <v>752.58977803000005</v>
      </c>
      <c r="IH74" s="1526">
        <f>+ID74</f>
        <v>121.58854539214795</v>
      </c>
      <c r="II74" s="939"/>
      <c r="IJ74" s="1528">
        <f>+IFERROR(IG74/IH74,"")</f>
        <v>6.1896437333199765</v>
      </c>
      <c r="IK74" s="1530">
        <f>+IFERROR(IG74-IH74,"NA")</f>
        <v>631.00123263785213</v>
      </c>
      <c r="IM74" s="1529">
        <f>+IG74/IG$11</f>
        <v>0.11573702905078967</v>
      </c>
      <c r="IN74" s="1528">
        <f>+IFERROR(IH74/IH$11,"")</f>
        <v>1.7219888640293161E-2</v>
      </c>
      <c r="IP74" s="1529">
        <f t="shared" ref="IP74:IU74" si="236">+IFERROR(HW74/HV74-1,"NA")</f>
        <v>0.32717366596146125</v>
      </c>
      <c r="IQ74" s="1529">
        <f t="shared" si="236"/>
        <v>-1.622032796221986</v>
      </c>
      <c r="IR74" s="1529">
        <f t="shared" si="236"/>
        <v>0.39430233342181187</v>
      </c>
      <c r="IS74" s="1529">
        <f t="shared" si="236"/>
        <v>-1.3668848611692581</v>
      </c>
      <c r="IT74" s="1529">
        <f t="shared" si="236"/>
        <v>-0.98863149141531759</v>
      </c>
      <c r="IU74" s="1529">
        <f t="shared" si="236"/>
        <v>100.13645225143061</v>
      </c>
      <c r="IV74" s="1529">
        <f>+IFERROR(IE74/IB74-1,"NA")</f>
        <v>-0.19850284702095977</v>
      </c>
      <c r="IX74" s="1526">
        <f t="shared" ref="IX74:JC74" si="237">+HW74-HV74</f>
        <v>899.19303613000147</v>
      </c>
      <c r="IY74" s="1526">
        <f t="shared" si="237"/>
        <v>-5916.4606629000018</v>
      </c>
      <c r="IZ74" s="1526">
        <f t="shared" si="237"/>
        <v>-894.63313763999986</v>
      </c>
      <c r="JA74" s="1526">
        <f t="shared" si="237"/>
        <v>4324.1875411800011</v>
      </c>
      <c r="JB74" s="1526">
        <f t="shared" si="237"/>
        <v>-1147.4580564599999</v>
      </c>
      <c r="JC74" s="1526">
        <f t="shared" si="237"/>
        <v>1321.2897748599987</v>
      </c>
      <c r="JD74" s="1526">
        <f>+IE74-IB74</f>
        <v>-264.89900587999978</v>
      </c>
      <c r="JF74" s="1529">
        <f t="shared" ref="JF74:JL74" si="238">+HU74/HU$11</f>
        <v>0.167605345495146</v>
      </c>
      <c r="JG74" s="1529">
        <f t="shared" si="238"/>
        <v>0.16118193041815437</v>
      </c>
      <c r="JH74" s="1529">
        <f t="shared" si="238"/>
        <v>0.22439240034237129</v>
      </c>
      <c r="JI74" s="1529">
        <f t="shared" si="238"/>
        <v>-0.24255757360535232</v>
      </c>
      <c r="JJ74" s="1529">
        <f t="shared" si="238"/>
        <v>-1.5765449572877623</v>
      </c>
      <c r="JK74" s="1529">
        <f t="shared" si="238"/>
        <v>0.16720939751025621</v>
      </c>
      <c r="JL74" s="1529">
        <f t="shared" si="238"/>
        <v>2.4945657164957102E-3</v>
      </c>
      <c r="JM74" s="1529">
        <f>+IE74/IE$11</f>
        <v>0.15686094468192066</v>
      </c>
      <c r="JO74" s="1526">
        <f>+SUMIFS($E74:$BX74,$E$6:$BX$6,JO$7,$E$5:$BX$5,$JQ$5)</f>
        <v>533.06343365999942</v>
      </c>
      <c r="JP74" s="1526">
        <f>+SUMIFS($E74:$BX74,$E$6:$BX$6,JP$7,$E$5:$BX$5,$JQ$5)</f>
        <v>1186.1657018299968</v>
      </c>
      <c r="JQ74" s="1526">
        <f>+SUMIFS($E74:$BX74,$E$6:$BX$6,JQ$7,$E$5:$BX$5,$JQ$5)</f>
        <v>464.57895547000044</v>
      </c>
      <c r="JR74" s="1526">
        <f>+SUMIFS($E74:$BX74,$E$6:$BX$6,JR$7,$E$5:$BX$5,$JQ$5)</f>
        <v>-1014.39397653</v>
      </c>
      <c r="JS74" s="1526">
        <f>+SUMIFS($E74:$BX74,$E$6:$BX$6,JS$7,$E$5:$BX$5,$JQ$5)</f>
        <v>-748.09461388999989</v>
      </c>
      <c r="JT74" s="1526">
        <f>+SUMIFS($E74:$CJ74,$E$6:$CJ$6,JT$7,$E$5:$CJ$5,$JQ$5)</f>
        <v>120.92371158000006</v>
      </c>
      <c r="JU74" s="1526">
        <f>+SUMIFS($E74:$CV74,$E$6:$CV$6,JU$7,$E$5:$CV$5,$JQ$5)</f>
        <v>8.8655770199998045</v>
      </c>
      <c r="JV74" s="1526">
        <f>+SUMIFS($E74:$CV74,$E$6:$CV$6,JV$7,$E$5:$CV$5,$JQ$5)</f>
        <v>100.6439613199998</v>
      </c>
      <c r="JW74" s="1526">
        <f>+SUMIFS($E74:$DH74,$E$6:$DH$6,JW$7,$E$5:$DH$5,$JQ$5)</f>
        <v>-269.76249252000002</v>
      </c>
      <c r="JX74" s="1526">
        <f>+SUMIF($FS$5:$GD$5,$JQ$5,$FS74:$GD74)</f>
        <v>24.468969955732149</v>
      </c>
      <c r="JY74" s="1526">
        <f>+SUMIF($DJ$5:$DU$5,$JQ$5,$DJ74:$DU74)</f>
        <v>-273.22767933</v>
      </c>
      <c r="KB74" s="1529">
        <f t="shared" ref="KB74:KG74" si="239">+IFERROR(JQ74/JP74-1," ")</f>
        <v>-0.60833553461101109</v>
      </c>
      <c r="KC74" s="1529">
        <f t="shared" si="239"/>
        <v>-3.1834694933690408</v>
      </c>
      <c r="KD74" s="1529">
        <f t="shared" si="239"/>
        <v>-0.26252064661399788</v>
      </c>
      <c r="KE74" s="1529">
        <f t="shared" si="239"/>
        <v>-1.1616422700214504</v>
      </c>
      <c r="KF74" s="1529">
        <f t="shared" si="239"/>
        <v>-0.92668454429523062</v>
      </c>
      <c r="KG74" s="1529">
        <f t="shared" si="239"/>
        <v>10.352217807476904</v>
      </c>
      <c r="KH74" s="1529">
        <f>+IFERROR(JY74/JV74-1," ")</f>
        <v>-3.7147945663750881</v>
      </c>
      <c r="KJ74" s="1526">
        <f t="shared" ref="KJ74:KO74" si="240">+JQ74-JP74</f>
        <v>-721.58674635999637</v>
      </c>
      <c r="KK74" s="1526">
        <f t="shared" si="240"/>
        <v>-1478.9729320000006</v>
      </c>
      <c r="KL74" s="1526">
        <f t="shared" si="240"/>
        <v>266.29936264000014</v>
      </c>
      <c r="KM74" s="1526">
        <f t="shared" si="240"/>
        <v>869.01832546999992</v>
      </c>
      <c r="KN74" s="1526">
        <f t="shared" si="240"/>
        <v>-112.05813456000025</v>
      </c>
      <c r="KO74" s="1526">
        <f t="shared" si="240"/>
        <v>91.778384299999999</v>
      </c>
      <c r="KP74" s="1526">
        <f>+JY74-JV74</f>
        <v>-373.87164064999979</v>
      </c>
      <c r="KR74" s="1529">
        <f t="shared" ref="KR74:KY74" si="241">+JO74/JO$11</f>
        <v>0.16627972943735764</v>
      </c>
      <c r="KS74" s="1529">
        <f t="shared" si="241"/>
        <v>0.35268481285024789</v>
      </c>
      <c r="KT74" s="1529">
        <f t="shared" si="241"/>
        <v>0.18516993272072049</v>
      </c>
      <c r="KU74" s="1529">
        <f t="shared" si="241"/>
        <v>-1.1338229262535136</v>
      </c>
      <c r="KV74" s="1529">
        <f t="shared" si="241"/>
        <v>-2.3974011801370239</v>
      </c>
      <c r="KW74" s="1529">
        <f t="shared" si="241"/>
        <v>0.11925165007167791</v>
      </c>
      <c r="KX74" s="1529">
        <f t="shared" si="241"/>
        <v>1.0107275588269281E-2</v>
      </c>
      <c r="KY74" s="1529">
        <f t="shared" si="241"/>
        <v>6.5775428703395158E-2</v>
      </c>
      <c r="KZ74" s="1529">
        <f t="shared" si="46"/>
        <v>-0.74553538440101652</v>
      </c>
    </row>
    <row r="75" spans="1:312">
      <c r="A75" s="884"/>
      <c r="B75" s="70"/>
      <c r="C75" s="943" t="s">
        <v>95</v>
      </c>
      <c r="D75" s="944" t="s">
        <v>35</v>
      </c>
      <c r="E75" s="945">
        <f t="shared" ref="E75:AN75" si="242">IFERROR(+E74/E$11,0)</f>
        <v>-1.5568945504264318</v>
      </c>
      <c r="F75" s="945">
        <f t="shared" si="242"/>
        <v>0.354130221380974</v>
      </c>
      <c r="G75" s="945">
        <f t="shared" si="242"/>
        <v>0.13176604838237913</v>
      </c>
      <c r="H75" s="945">
        <f t="shared" si="242"/>
        <v>0.21103063019117735</v>
      </c>
      <c r="I75" s="945">
        <f t="shared" si="242"/>
        <v>0.41094956487481016</v>
      </c>
      <c r="J75" s="945">
        <f t="shared" si="242"/>
        <v>0.16627972943735764</v>
      </c>
      <c r="K75" s="945">
        <f t="shared" si="242"/>
        <v>0.23463853048864164</v>
      </c>
      <c r="L75" s="945">
        <f t="shared" si="242"/>
        <v>0.41234926437637176</v>
      </c>
      <c r="M75" s="945">
        <f t="shared" si="242"/>
        <v>0.43025265518173905</v>
      </c>
      <c r="N75" s="945">
        <f t="shared" si="242"/>
        <v>0.37489626571387408</v>
      </c>
      <c r="O75" s="945">
        <f t="shared" si="242"/>
        <v>0.41470906603377411</v>
      </c>
      <c r="P75" s="945">
        <f t="shared" si="242"/>
        <v>2.8562858161397569E-2</v>
      </c>
      <c r="Q75" s="945">
        <f t="shared" si="242"/>
        <v>-0.18805904633200671</v>
      </c>
      <c r="R75" s="945">
        <f t="shared" si="242"/>
        <v>0.38094887012015127</v>
      </c>
      <c r="S75" s="945">
        <f t="shared" si="242"/>
        <v>-8.703648553543232E-2</v>
      </c>
      <c r="T75" s="945">
        <f t="shared" si="242"/>
        <v>-0.33404545840147509</v>
      </c>
      <c r="U75" s="945">
        <f t="shared" si="242"/>
        <v>0.36969430991221935</v>
      </c>
      <c r="V75" s="945">
        <f t="shared" si="242"/>
        <v>0.35268481285024789</v>
      </c>
      <c r="W75" s="945">
        <f t="shared" si="242"/>
        <v>0.21744669951171605</v>
      </c>
      <c r="X75" s="945">
        <f t="shared" si="242"/>
        <v>0.29450232282182448</v>
      </c>
      <c r="Y75" s="945">
        <f t="shared" si="242"/>
        <v>-0.49295593730838755</v>
      </c>
      <c r="Z75" s="945">
        <f t="shared" si="242"/>
        <v>3.6450393027598997E-2</v>
      </c>
      <c r="AA75" s="945">
        <f t="shared" si="242"/>
        <v>0.52779898930931923</v>
      </c>
      <c r="AB75" s="945">
        <f t="shared" si="242"/>
        <v>0.42171104144930321</v>
      </c>
      <c r="AC75" s="945">
        <f t="shared" si="242"/>
        <v>-0.3181756394061826</v>
      </c>
      <c r="AD75" s="945">
        <f t="shared" si="242"/>
        <v>0.44407074683816466</v>
      </c>
      <c r="AE75" s="945">
        <f t="shared" si="242"/>
        <v>0.15786891053879276</v>
      </c>
      <c r="AF75" s="945">
        <f t="shared" si="242"/>
        <v>0.30038262010955091</v>
      </c>
      <c r="AG75" s="945">
        <f t="shared" si="242"/>
        <v>0.23545725153365982</v>
      </c>
      <c r="AH75" s="945">
        <f t="shared" si="242"/>
        <v>0.18516993272072049</v>
      </c>
      <c r="AI75" s="945">
        <f t="shared" si="242"/>
        <v>0.12221056549811492</v>
      </c>
      <c r="AJ75" s="945">
        <f t="shared" si="242"/>
        <v>0.23068383445826635</v>
      </c>
      <c r="AK75" s="945">
        <f t="shared" si="242"/>
        <v>0.26592552357533228</v>
      </c>
      <c r="AL75" s="945">
        <f t="shared" si="242"/>
        <v>0.32533971241607024</v>
      </c>
      <c r="AM75" s="945">
        <f t="shared" si="242"/>
        <v>0.56993807120680251</v>
      </c>
      <c r="AN75" s="945">
        <f t="shared" si="242"/>
        <v>-3.4918155127565256E-2</v>
      </c>
      <c r="AO75" s="945">
        <f>IFERROR(+AO74/AO$11,0)</f>
        <v>0.39001467929495187</v>
      </c>
      <c r="AP75" s="946">
        <v>-0.390826872250709</v>
      </c>
      <c r="AQ75" s="945">
        <v>-0.13075706418005822</v>
      </c>
      <c r="AR75" s="945">
        <v>-0.28065709655711024</v>
      </c>
      <c r="AS75" s="945">
        <v>-1.1486821504392215</v>
      </c>
      <c r="AT75" s="945">
        <v>-1.1156613593682376</v>
      </c>
      <c r="AU75" s="945">
        <v>-5.7414247332509903E-2</v>
      </c>
      <c r="AV75" s="945">
        <v>-1.6994475150116487E-2</v>
      </c>
      <c r="AW75" s="945">
        <v>-1.379742675971787E-2</v>
      </c>
      <c r="AX75" s="945">
        <v>1.5118811154014795E-2</v>
      </c>
      <c r="AY75" s="945">
        <v>-0.66142163232307272</v>
      </c>
      <c r="AZ75" s="945">
        <v>-1.3063051751836927</v>
      </c>
      <c r="BA75" s="945">
        <f t="shared" ref="BA75:DH75" si="243">IFERROR(+BA74/BA$11,0)</f>
        <v>3.8955991525682604E-2</v>
      </c>
      <c r="BB75" s="945">
        <f t="shared" si="243"/>
        <v>-1.7000994133765801</v>
      </c>
      <c r="BC75" s="945">
        <f t="shared" si="243"/>
        <v>-3.179872820382216</v>
      </c>
      <c r="BD75" s="945">
        <f t="shared" si="243"/>
        <v>-6.6865693606628867</v>
      </c>
      <c r="BE75" s="945">
        <f t="shared" si="243"/>
        <v>-0.88940702100461699</v>
      </c>
      <c r="BF75" s="945">
        <f t="shared" si="243"/>
        <v>-2.3974011801370239</v>
      </c>
      <c r="BG75" s="945">
        <f t="shared" si="243"/>
        <v>-1.0410391833853581</v>
      </c>
      <c r="BH75" s="945">
        <f t="shared" si="243"/>
        <v>-0.3853010766178292</v>
      </c>
      <c r="BI75" s="945">
        <f t="shared" si="243"/>
        <v>-1.6006155484844764</v>
      </c>
      <c r="BJ75" s="945">
        <f t="shared" si="243"/>
        <v>-0.46932189351071968</v>
      </c>
      <c r="BK75" s="945">
        <f t="shared" si="243"/>
        <v>0.14048650589766976</v>
      </c>
      <c r="BL75" s="945">
        <f t="shared" si="243"/>
        <v>-2.8018787041259208E-2</v>
      </c>
      <c r="BM75" s="945">
        <f t="shared" si="243"/>
        <v>0.17819666174407167</v>
      </c>
      <c r="BN75" s="945">
        <f t="shared" si="243"/>
        <v>0.19170772153828211</v>
      </c>
      <c r="BO75" s="945">
        <f t="shared" si="243"/>
        <v>0.15392768675987947</v>
      </c>
      <c r="BP75" s="945">
        <f t="shared" si="243"/>
        <v>0.28643194919687665</v>
      </c>
      <c r="BQ75" s="945">
        <f t="shared" si="243"/>
        <v>1.3504007892896113E-2</v>
      </c>
      <c r="BR75" s="945">
        <f t="shared" si="243"/>
        <v>0.11925165007167791</v>
      </c>
      <c r="BS75" s="945">
        <f t="shared" si="243"/>
        <v>0.11275450596966526</v>
      </c>
      <c r="BT75" s="945">
        <f t="shared" si="243"/>
        <v>0.11305665275007709</v>
      </c>
      <c r="BU75" s="945">
        <f t="shared" si="243"/>
        <v>4.0397083158045625E-2</v>
      </c>
      <c r="BV75" s="945">
        <f t="shared" si="243"/>
        <v>0.26946269683622265</v>
      </c>
      <c r="BW75" s="945">
        <f t="shared" si="243"/>
        <v>0.26854867633328655</v>
      </c>
      <c r="BX75" s="945">
        <f t="shared" si="243"/>
        <v>3.4567049720050001E-2</v>
      </c>
      <c r="BY75" s="945">
        <f t="shared" si="243"/>
        <v>3.2578148145182444E-2</v>
      </c>
      <c r="BZ75" s="945">
        <f t="shared" si="243"/>
        <v>6.7102110841148685E-2</v>
      </c>
      <c r="CA75" s="945">
        <f t="shared" si="243"/>
        <v>6.2087328836744199E-2</v>
      </c>
      <c r="CB75" s="945">
        <f t="shared" si="243"/>
        <v>-6.892324970326548E-2</v>
      </c>
      <c r="CC75" s="945">
        <f t="shared" si="243"/>
        <v>-0.15613142890863652</v>
      </c>
      <c r="CD75" s="945">
        <f t="shared" si="243"/>
        <v>1.0107275588269281E-2</v>
      </c>
      <c r="CE75" s="945">
        <f t="shared" si="243"/>
        <v>-8.9400223196697257E-2</v>
      </c>
      <c r="CF75" s="945">
        <f t="shared" si="243"/>
        <v>0.31438655858113373</v>
      </c>
      <c r="CG75" s="945">
        <f t="shared" si="243"/>
        <v>6.1441039251195987E-3</v>
      </c>
      <c r="CH75" s="945">
        <f t="shared" si="243"/>
        <v>0.11119384960631871</v>
      </c>
      <c r="CI75" s="945">
        <f t="shared" si="243"/>
        <v>0.2981122499888092</v>
      </c>
      <c r="CJ75" s="945">
        <f t="shared" si="243"/>
        <v>0.10906733328826493</v>
      </c>
      <c r="CK75" s="945">
        <f t="shared" si="243"/>
        <v>0.11577110681183141</v>
      </c>
      <c r="CL75" s="945">
        <f t="shared" si="243"/>
        <v>-1.4454791398921727E-2</v>
      </c>
      <c r="CM75" s="945">
        <f t="shared" si="243"/>
        <v>0.24712542760455669</v>
      </c>
      <c r="CN75" s="945">
        <f t="shared" si="243"/>
        <v>0.11654484953909612</v>
      </c>
      <c r="CO75" s="945">
        <f t="shared" si="243"/>
        <v>0.25047147366427114</v>
      </c>
      <c r="CP75" s="945">
        <f t="shared" si="243"/>
        <v>6.5775428703395158E-2</v>
      </c>
      <c r="CQ75" s="945">
        <f t="shared" si="243"/>
        <v>9.8768757138934002E-2</v>
      </c>
      <c r="CR75" s="945">
        <f t="shared" si="243"/>
        <v>0.17743276958915058</v>
      </c>
      <c r="CS75" s="945">
        <f t="shared" si="243"/>
        <v>0.21313033615769858</v>
      </c>
      <c r="CT75" s="945">
        <f t="shared" si="243"/>
        <v>0.31588346553880753</v>
      </c>
      <c r="CU75" s="945">
        <f t="shared" si="243"/>
        <v>0.20502416589943662</v>
      </c>
      <c r="CV75" s="945">
        <f t="shared" si="243"/>
        <v>5.3456659899003472E-2</v>
      </c>
      <c r="CW75" s="945">
        <f t="shared" si="243"/>
        <v>0.20340499187118516</v>
      </c>
      <c r="CX75" s="945">
        <f t="shared" si="243"/>
        <v>0.11800611082615423</v>
      </c>
      <c r="CY75" s="945">
        <f t="shared" si="243"/>
        <v>0.33128426593504334</v>
      </c>
      <c r="CZ75" s="945">
        <f t="shared" si="243"/>
        <v>-0.38992865446508357</v>
      </c>
      <c r="DA75" s="945">
        <f t="shared" si="243"/>
        <v>-9.3636858752388752E-2</v>
      </c>
      <c r="DB75" s="945">
        <f t="shared" si="243"/>
        <v>-0.72743429472805254</v>
      </c>
      <c r="DC75" s="945">
        <f t="shared" si="243"/>
        <v>-0.53941701299788092</v>
      </c>
      <c r="DD75" s="945">
        <f t="shared" si="243"/>
        <v>0.22044419719355082</v>
      </c>
      <c r="DE75" s="945">
        <f t="shared" si="243"/>
        <v>0.16894996014404678</v>
      </c>
      <c r="DF75" s="945">
        <f t="shared" si="243"/>
        <v>0.25026985534829072</v>
      </c>
      <c r="DG75" s="945">
        <f t="shared" si="243"/>
        <v>-0.13247645891251139</v>
      </c>
      <c r="DH75" s="945">
        <f t="shared" si="243"/>
        <v>6.622963998255979E-2</v>
      </c>
      <c r="DJ75" s="945">
        <f t="shared" ref="DJ75:DT75" si="244">IFERROR(+CL74/CL$11,0)</f>
        <v>-1.4454791398921727E-2</v>
      </c>
      <c r="DK75" s="945">
        <f t="shared" si="244"/>
        <v>0.24712542760455669</v>
      </c>
      <c r="DL75" s="945">
        <f t="shared" si="244"/>
        <v>0.11654484953909612</v>
      </c>
      <c r="DM75" s="945">
        <f t="shared" si="244"/>
        <v>0.25047147366427114</v>
      </c>
      <c r="DN75" s="945">
        <f t="shared" si="244"/>
        <v>6.5775428703395158E-2</v>
      </c>
      <c r="DO75" s="945">
        <f t="shared" si="244"/>
        <v>9.8768757138934002E-2</v>
      </c>
      <c r="DP75" s="945">
        <f t="shared" si="244"/>
        <v>0.17743276958915058</v>
      </c>
      <c r="DQ75" s="945">
        <f t="shared" si="244"/>
        <v>0.21313033615769858</v>
      </c>
      <c r="DR75" s="945">
        <f t="shared" si="244"/>
        <v>0.31588346553880753</v>
      </c>
      <c r="DS75" s="945">
        <f t="shared" si="244"/>
        <v>0.20502416589943662</v>
      </c>
      <c r="DT75" s="945">
        <f t="shared" si="244"/>
        <v>5.3456659899003472E-2</v>
      </c>
      <c r="DU75" s="945">
        <f t="shared" ref="DU75" si="245">IFERROR(+DI74/DI$11,0)</f>
        <v>0</v>
      </c>
      <c r="DW75" s="945">
        <v>0.19231899653203219</v>
      </c>
      <c r="DX75" s="945">
        <v>-0.31883323337384883</v>
      </c>
      <c r="DY75" s="945">
        <v>-0.18520753445406216</v>
      </c>
      <c r="DZ75" s="945">
        <v>0.22063920782483207</v>
      </c>
      <c r="EA75" s="945">
        <v>0.12108524257290137</v>
      </c>
      <c r="EB75" s="945">
        <v>0.19265214509628917</v>
      </c>
      <c r="EC75" s="945">
        <v>0.3555888436647795</v>
      </c>
      <c r="ED75" s="945">
        <v>0.46594773553520746</v>
      </c>
      <c r="EE75" s="945">
        <v>0.36498073727271413</v>
      </c>
      <c r="EF75" s="945">
        <v>0.39336187580827198</v>
      </c>
      <c r="EG75" s="945">
        <v>0.37745822908937177</v>
      </c>
      <c r="EH75" s="945">
        <v>0.24432290155890407</v>
      </c>
      <c r="EI75" s="945">
        <f>IFERROR(+EI74/EI$11,0)</f>
        <v>-0.66506492894460223</v>
      </c>
      <c r="EJ75" s="945">
        <f t="shared" ref="EJ75:FE75" si="246">IFERROR(+EJ74/EJ$11,0)</f>
        <v>-0.206695180697506</v>
      </c>
      <c r="EK75" s="945">
        <f t="shared" si="246"/>
        <v>-0.17694066259992469</v>
      </c>
      <c r="EL75" s="945">
        <f t="shared" si="246"/>
        <v>-0.24880475950393138</v>
      </c>
      <c r="EM75" s="945">
        <f t="shared" si="246"/>
        <v>-3.2557895549160318E-2</v>
      </c>
      <c r="EN75" s="945">
        <f t="shared" si="246"/>
        <v>0.11717184558186867</v>
      </c>
      <c r="EO75" s="945">
        <f t="shared" si="246"/>
        <v>0.15271346164274016</v>
      </c>
      <c r="EP75" s="945">
        <f t="shared" si="246"/>
        <v>0.18791730607233537</v>
      </c>
      <c r="EQ75" s="945">
        <f t="shared" si="246"/>
        <v>0.16781004227059343</v>
      </c>
      <c r="ER75" s="945">
        <f t="shared" si="246"/>
        <v>0.20241679630327253</v>
      </c>
      <c r="ES75" s="945">
        <f t="shared" si="246"/>
        <v>0.1590144144419588</v>
      </c>
      <c r="ET75" s="945">
        <f t="shared" si="246"/>
        <v>5.1008454602455372E-2</v>
      </c>
      <c r="EU75" s="945">
        <f t="shared" si="246"/>
        <v>2.8731929115177527E-2</v>
      </c>
      <c r="EV75" s="945">
        <f t="shared" si="246"/>
        <v>0.21342943413892596</v>
      </c>
      <c r="EW75" s="945">
        <f t="shared" si="246"/>
        <v>0.19007288614086443</v>
      </c>
      <c r="EX75" s="945">
        <f t="shared" si="246"/>
        <v>0.19233312029783922</v>
      </c>
      <c r="EY75" s="945">
        <f t="shared" si="246"/>
        <v>0.17054647642132567</v>
      </c>
      <c r="EZ75" s="945">
        <f t="shared" si="246"/>
        <v>0.20227367505961419</v>
      </c>
      <c r="FA75" s="945">
        <f t="shared" si="246"/>
        <v>0.19490674547703637</v>
      </c>
      <c r="FB75" s="945">
        <f t="shared" si="246"/>
        <v>-4.9988643070323191E-2</v>
      </c>
      <c r="FC75" s="945">
        <f t="shared" si="246"/>
        <v>-0.17219977931968483</v>
      </c>
      <c r="FD75" s="945">
        <f t="shared" si="246"/>
        <v>-0.34473250469425931</v>
      </c>
      <c r="FE75" s="945">
        <f t="shared" si="246"/>
        <v>-0.18531024441111629</v>
      </c>
      <c r="FF75" s="947">
        <f t="shared" ref="FF75:GD75" si="247">+IFERROR(FF74/FF$11,"")</f>
        <v>-0.32104988400648055</v>
      </c>
      <c r="FG75" s="947">
        <f t="shared" si="247"/>
        <v>9.9416403582019849E-2</v>
      </c>
      <c r="FH75" s="947">
        <f t="shared" si="247"/>
        <v>3.098522678590775E-2</v>
      </c>
      <c r="FI75" s="947">
        <f t="shared" si="247"/>
        <v>-1.2625107204497141E-2</v>
      </c>
      <c r="FJ75" s="947">
        <f t="shared" si="247"/>
        <v>-9.7309813828969985E-2</v>
      </c>
      <c r="FK75" s="947">
        <f t="shared" si="247"/>
        <v>1.9416884833686338E-2</v>
      </c>
      <c r="FL75" s="947">
        <f t="shared" si="247"/>
        <v>2.1010163401667309E-2</v>
      </c>
      <c r="FM75" s="947">
        <f t="shared" si="247"/>
        <v>6.3358424252070347E-2</v>
      </c>
      <c r="FN75" s="947">
        <f t="shared" si="247"/>
        <v>7.792593054030135E-2</v>
      </c>
      <c r="FO75" s="947">
        <f t="shared" si="247"/>
        <v>9.5336759049813286E-2</v>
      </c>
      <c r="FP75" s="947">
        <f t="shared" si="247"/>
        <v>0.16219506243048343</v>
      </c>
      <c r="FQ75" s="947">
        <f t="shared" si="247"/>
        <v>0.18854644858166167</v>
      </c>
      <c r="FR75" s="947">
        <f t="shared" si="247"/>
        <v>0.15826325956431855</v>
      </c>
      <c r="FS75" s="947">
        <f t="shared" si="247"/>
        <v>9.9416403582019849E-2</v>
      </c>
      <c r="FT75" s="947">
        <f t="shared" si="247"/>
        <v>3.098522678590775E-2</v>
      </c>
      <c r="FU75" s="947">
        <f t="shared" si="247"/>
        <v>-1.2625107204497141E-2</v>
      </c>
      <c r="FV75" s="947">
        <f t="shared" si="247"/>
        <v>-9.7309813828969985E-2</v>
      </c>
      <c r="FW75" s="947">
        <f t="shared" si="247"/>
        <v>1.9416884833686338E-2</v>
      </c>
      <c r="FX75" s="947">
        <f t="shared" si="247"/>
        <v>2.1010163401667309E-2</v>
      </c>
      <c r="FY75" s="947">
        <f t="shared" si="247"/>
        <v>6.3358424252070347E-2</v>
      </c>
      <c r="FZ75" s="947">
        <f t="shared" si="247"/>
        <v>7.792593054030135E-2</v>
      </c>
      <c r="GA75" s="947">
        <f t="shared" si="247"/>
        <v>9.5336759049813286E-2</v>
      </c>
      <c r="GB75" s="947">
        <f t="shared" si="247"/>
        <v>0.16219506243048343</v>
      </c>
      <c r="GC75" s="947">
        <f t="shared" si="247"/>
        <v>0.18854644858166167</v>
      </c>
      <c r="GD75" s="947">
        <f t="shared" si="247"/>
        <v>0.15826325956431855</v>
      </c>
      <c r="GF75" s="947">
        <f t="shared" ref="GF75:GN75" si="248">+IFERROR(GF74/GF$11,"")</f>
        <v>0.25550139657126014</v>
      </c>
      <c r="GG75" s="947">
        <f t="shared" si="248"/>
        <v>0.23261273471517796</v>
      </c>
      <c r="GH75" s="947">
        <f t="shared" si="248"/>
        <v>0.248589916717989</v>
      </c>
      <c r="GI75" s="947">
        <f t="shared" si="248"/>
        <v>-0.28820150598085437</v>
      </c>
      <c r="GJ75" s="947">
        <f t="shared" si="248"/>
        <v>-0.69249983798488579</v>
      </c>
      <c r="GK75" s="947">
        <f t="shared" si="248"/>
        <v>0.15909551021069904</v>
      </c>
      <c r="GL75" s="947">
        <f t="shared" si="248"/>
        <v>9.4453699638958846E-2</v>
      </c>
      <c r="GM75" s="947">
        <f t="shared" si="248"/>
        <v>0.16452386075537245</v>
      </c>
      <c r="GN75" s="947">
        <f t="shared" si="248"/>
        <v>7.9069472160849072E-2</v>
      </c>
      <c r="GO75" s="947">
        <v>9.4498838040083591E-2</v>
      </c>
      <c r="GQ75" s="947">
        <f t="shared" si="234"/>
        <v>6.8685757993319996E-2</v>
      </c>
      <c r="GR75" s="947">
        <f t="shared" si="234"/>
        <v>-2.1593451165913637</v>
      </c>
      <c r="GS75" s="947">
        <f t="shared" si="234"/>
        <v>1.4028321282640679</v>
      </c>
      <c r="GT75" s="947">
        <f t="shared" si="234"/>
        <v>-1.2297408627179656</v>
      </c>
      <c r="GU75" s="947">
        <f t="shared" si="234"/>
        <v>-0.4063082011939334</v>
      </c>
      <c r="GV75" s="947">
        <f t="shared" si="234"/>
        <v>0.74184665486106716</v>
      </c>
      <c r="GW75" s="947">
        <f t="shared" si="189"/>
        <v>-0.51940422624523719</v>
      </c>
      <c r="GX75" s="947">
        <f t="shared" si="189"/>
        <v>0.19513682661048937</v>
      </c>
      <c r="GY75" s="947">
        <f t="shared" ref="GY75:GY138" si="249">+IFERROR(GO75/GM75-1,"")</f>
        <v>-0.42562229207232016</v>
      </c>
      <c r="HA75" s="947">
        <f>+IFERROR(GH75-GG75,"")</f>
        <v>1.5977182002811036E-2</v>
      </c>
      <c r="HB75" s="947">
        <f>+IFERROR(GI75-GH75,"")</f>
        <v>-0.53679142269884339</v>
      </c>
      <c r="HC75" s="947">
        <f>+IFERROR(GJ75-GI75,"")</f>
        <v>-0.40429833200403142</v>
      </c>
      <c r="HD75" s="947">
        <f>+IFERROR(GK75-GJ75,"")</f>
        <v>0.8515953481955848</v>
      </c>
      <c r="HE75" s="947">
        <f t="shared" si="226"/>
        <v>-6.4641810571740191E-2</v>
      </c>
      <c r="HF75" s="947">
        <f t="shared" si="226"/>
        <v>7.0070161116413607E-2</v>
      </c>
      <c r="HG75" s="947">
        <f t="shared" si="226"/>
        <v>-8.5454388594523381E-2</v>
      </c>
      <c r="HH75" s="947">
        <f t="shared" ref="HH75" si="250">+IFERROR(GO75-GN75,"")</f>
        <v>1.5429365879234519E-2</v>
      </c>
      <c r="HI75" s="947">
        <f t="shared" ref="HI75:HI138" si="251">+GO75-GM75</f>
        <v>-7.0025022715288862E-2</v>
      </c>
      <c r="HK75" s="945"/>
      <c r="HL75" s="945"/>
      <c r="HM75" s="945"/>
      <c r="HN75" s="945"/>
      <c r="HO75" s="945"/>
      <c r="HP75" s="945"/>
      <c r="HQ75" s="945"/>
      <c r="HR75" s="945"/>
      <c r="HS75" s="945"/>
      <c r="HU75" s="945">
        <f t="shared" ref="HU75:IE75" si="252">IFERROR(+HU74/HU$11,0)</f>
        <v>0.167605345495146</v>
      </c>
      <c r="HV75" s="945">
        <f t="shared" si="252"/>
        <v>0.16118193041815437</v>
      </c>
      <c r="HW75" s="945">
        <f t="shared" si="252"/>
        <v>0.22439240034237129</v>
      </c>
      <c r="HX75" s="945">
        <f t="shared" si="252"/>
        <v>-0.24255757360535232</v>
      </c>
      <c r="HY75" s="945">
        <f t="shared" si="252"/>
        <v>-1.5765449572877623</v>
      </c>
      <c r="HZ75" s="945">
        <f>+IFERROR(SUMIFS($E75:$BX75,$E$6:$BX$6,HZ$7,$E$5:$BX$5,"&lt;="&amp;$HW$5),"NA")</f>
        <v>0.94301967720368385</v>
      </c>
      <c r="IA75" s="945">
        <f>+IFERROR(SUMIFS($E75:$CJ75,$E$6:$CJ$6,IA$7,$E$5:$CJ$5,"&lt;="&amp;$HW$5),"NA")</f>
        <v>-5.3179815200557395E-2</v>
      </c>
      <c r="IB75" s="945">
        <f>+IFERROR(SUMIFS($E75:$CV75,$E$6:$CV$6,IB$7,$E$5:$CV$5,"&lt;="&amp;$HW$5),"NA")</f>
        <v>0.78123349492422878</v>
      </c>
      <c r="IC75" s="945">
        <f>+SUMIF($CW$5:$DH$5,"&lt;="&amp;$HW$5,$CW75:$DH75)</f>
        <v>-0.55830443931314211</v>
      </c>
      <c r="ID75" s="945">
        <f t="shared" ref="ID75:ID104" si="253">+SUMIF($FG$5:$FR$5,"&lt;="&amp;$HW$5,$FG75:$FR75)</f>
        <v>6.0893757569814119E-2</v>
      </c>
      <c r="IE75" s="945">
        <f t="shared" si="252"/>
        <v>0.15686094468192066</v>
      </c>
      <c r="IG75" s="945">
        <f t="shared" ref="IG75:IH104" si="254">+IC75</f>
        <v>-0.55830443931314211</v>
      </c>
      <c r="IH75" s="945">
        <f>IFERROR(+IH74/IH$11,0)</f>
        <v>1.7219888640293161E-2</v>
      </c>
      <c r="II75" s="946"/>
      <c r="IJ75" s="947">
        <f>+IFERROR(IG75/IH75,"")</f>
        <v>-32.422070256990771</v>
      </c>
      <c r="IK75" s="945">
        <f>+IFERROR(IG75-IH75,"NA")</f>
        <v>-0.57552432795343522</v>
      </c>
      <c r="IM75" s="945"/>
      <c r="IN75" s="945"/>
      <c r="IP75" s="945"/>
      <c r="IQ75" s="945"/>
      <c r="IR75" s="945"/>
      <c r="IS75" s="945"/>
      <c r="IT75" s="945"/>
      <c r="IU75" s="945"/>
      <c r="IV75" s="945"/>
      <c r="IX75" s="945"/>
      <c r="IY75" s="945"/>
      <c r="IZ75" s="945"/>
      <c r="JA75" s="945"/>
      <c r="JB75" s="945"/>
      <c r="JC75" s="945"/>
      <c r="JD75" s="945"/>
      <c r="JF75" s="945"/>
      <c r="JG75" s="945"/>
      <c r="JH75" s="945"/>
      <c r="JI75" s="945"/>
      <c r="JJ75" s="945"/>
      <c r="JK75" s="945"/>
      <c r="JL75" s="945"/>
      <c r="JM75" s="945"/>
      <c r="JO75" s="945">
        <f t="shared" ref="JO75:JY75" si="255">JO74/JO$11</f>
        <v>0.16627972943735764</v>
      </c>
      <c r="JP75" s="945">
        <f t="shared" si="255"/>
        <v>0.35268481285024789</v>
      </c>
      <c r="JQ75" s="945">
        <f t="shared" si="255"/>
        <v>0.18516993272072049</v>
      </c>
      <c r="JR75" s="945">
        <f t="shared" si="255"/>
        <v>-1.1338229262535136</v>
      </c>
      <c r="JS75" s="945">
        <f t="shared" si="255"/>
        <v>-2.3974011801370239</v>
      </c>
      <c r="JT75" s="945">
        <f>+SUMIFS($E75:$CJ75,$E$6:$CJ$6,JT$7,$E$5:$CJ$5,$JQ$5)</f>
        <v>0.11925165007167791</v>
      </c>
      <c r="JU75" s="945">
        <f>+SUMIFS($E75:$CV75,$E$6:$CV$6,JU$7,$E$5:$CV$5,$JQ$5)</f>
        <v>1.0107275588269281E-2</v>
      </c>
      <c r="JV75" s="945">
        <f>+SUMIFS($E75:$CV75,$E$6:$CV$6,JV$7,$E$5:$CV$5,$JQ$5)</f>
        <v>6.5775428703395158E-2</v>
      </c>
      <c r="JW75" s="945">
        <f>+SUMIFS($E75:$DH75,$E$6:$DH$6,JW$7,$E$5:$DH$5,$JQ$5)</f>
        <v>-0.72743429472805254</v>
      </c>
      <c r="JX75" s="945">
        <f>+SUMIF($FS$5:$GD$5,$JQ$5,$FS75:$GD75)</f>
        <v>2.1010163401667309E-2</v>
      </c>
      <c r="JY75" s="945">
        <f t="shared" si="255"/>
        <v>-0.74553538440101652</v>
      </c>
      <c r="KB75" s="945"/>
      <c r="KC75" s="945"/>
      <c r="KD75" s="945"/>
      <c r="KE75" s="945"/>
      <c r="KF75" s="945"/>
      <c r="KG75" s="945"/>
      <c r="KH75" s="945">
        <f>+IFERROR(JY75/JV75-1," ")</f>
        <v>-12.334557586281971</v>
      </c>
      <c r="KJ75" s="945"/>
      <c r="KK75" s="945"/>
      <c r="KL75" s="945"/>
      <c r="KM75" s="945"/>
      <c r="KN75" s="945"/>
      <c r="KO75" s="945"/>
      <c r="KP75" s="945">
        <f>+JY75-JV75</f>
        <v>-0.81131081310441167</v>
      </c>
      <c r="KR75" s="945"/>
      <c r="KS75" s="945"/>
      <c r="KT75" s="945"/>
      <c r="KU75" s="945"/>
      <c r="KV75" s="945"/>
      <c r="KW75" s="945"/>
      <c r="KX75" s="945"/>
      <c r="KY75" s="945"/>
      <c r="KZ75" s="945"/>
    </row>
    <row r="76" spans="1:312">
      <c r="A76" s="884"/>
      <c r="B76" s="70"/>
      <c r="C76" s="29"/>
      <c r="D76" s="31"/>
      <c r="E76" s="66"/>
      <c r="F76" s="66"/>
      <c r="G76" s="66"/>
      <c r="H76" s="66"/>
      <c r="I76" s="66"/>
      <c r="J76" s="66"/>
      <c r="K76" s="66"/>
      <c r="L76" s="66"/>
      <c r="M76" s="66"/>
      <c r="N76" s="66"/>
      <c r="O76" s="66"/>
      <c r="P76" s="66"/>
      <c r="Q76" s="102"/>
      <c r="R76" s="66"/>
      <c r="S76" s="66"/>
      <c r="T76" s="66"/>
      <c r="U76" s="66"/>
      <c r="V76" s="66"/>
      <c r="W76" s="66"/>
      <c r="X76" s="66"/>
      <c r="Y76" s="66"/>
      <c r="Z76" s="66"/>
      <c r="AA76" s="66"/>
      <c r="AB76" s="66"/>
      <c r="AC76" s="102"/>
      <c r="AD76" s="66"/>
      <c r="AE76" s="66"/>
      <c r="AF76" s="66"/>
      <c r="AG76" s="66"/>
      <c r="AH76" s="66"/>
      <c r="AI76" s="66"/>
      <c r="AJ76" s="66"/>
      <c r="AK76" s="66"/>
      <c r="AL76" s="66"/>
      <c r="AM76" s="66"/>
      <c r="AN76" s="66"/>
      <c r="AO76" s="66"/>
      <c r="AP76" s="88"/>
      <c r="AQ76" s="958"/>
      <c r="AR76" s="959"/>
      <c r="AS76" s="959"/>
      <c r="AT76" s="959"/>
      <c r="AU76" s="66"/>
      <c r="AV76" s="66"/>
      <c r="AW76" s="66"/>
      <c r="AX76" s="66"/>
      <c r="AY76" s="66"/>
      <c r="AZ76" s="66"/>
      <c r="BA76" s="66"/>
      <c r="BB76" s="66"/>
      <c r="BC76" s="66"/>
      <c r="BD76" s="66"/>
      <c r="BE76" s="66"/>
      <c r="BF76" s="66"/>
      <c r="BG76" s="66"/>
      <c r="BH76" s="66"/>
      <c r="BI76" s="66"/>
      <c r="BJ76" s="66"/>
      <c r="BK76" s="66"/>
      <c r="BL76" s="66"/>
      <c r="BM76" s="66">
        <v>0</v>
      </c>
      <c r="BN76" s="66">
        <v>0</v>
      </c>
      <c r="BO76" s="66">
        <v>0</v>
      </c>
      <c r="BP76" s="66">
        <v>0</v>
      </c>
      <c r="BQ76" s="66">
        <v>0</v>
      </c>
      <c r="BR76" s="66">
        <v>0</v>
      </c>
      <c r="BS76" s="66">
        <v>0</v>
      </c>
      <c r="BT76" s="66">
        <v>0</v>
      </c>
      <c r="BU76" s="66">
        <v>0</v>
      </c>
      <c r="BV76" s="66">
        <v>0</v>
      </c>
      <c r="BW76" s="66">
        <v>0</v>
      </c>
      <c r="BX76" s="66">
        <v>0</v>
      </c>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J76" s="66"/>
      <c r="DK76" s="66"/>
      <c r="DL76" s="66"/>
      <c r="DM76" s="66"/>
      <c r="DN76" s="66"/>
      <c r="DO76" s="66"/>
      <c r="DP76" s="66"/>
      <c r="DQ76" s="66"/>
      <c r="DR76" s="66"/>
      <c r="DS76" s="66"/>
      <c r="DT76" s="66"/>
      <c r="DU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F76" s="66"/>
      <c r="GG76" s="66"/>
      <c r="GH76" s="66"/>
      <c r="GI76" s="66"/>
      <c r="GJ76" s="66"/>
      <c r="GK76" s="66"/>
      <c r="GL76" s="66">
        <f t="shared" ref="GL76:GL103" si="256">+SUMIF($E$6:$CJ$6,GL$7,$E76:$CJ76)</f>
        <v>0</v>
      </c>
      <c r="GM76" s="66">
        <f t="shared" ref="GM76:GM97" si="257">+SUMIF($E$6:$CV$6,GM$7,$E76:$CV76)</f>
        <v>0</v>
      </c>
      <c r="GN76" s="66">
        <f t="shared" ref="GN76:GN103" si="258">+SUM(FS76:GD76)</f>
        <v>0</v>
      </c>
      <c r="GO76" s="66">
        <v>0</v>
      </c>
      <c r="GQ76" s="50"/>
      <c r="GR76" s="50"/>
      <c r="GS76" s="50"/>
      <c r="GT76" s="922"/>
      <c r="GU76" s="922"/>
      <c r="GV76" s="922"/>
      <c r="GW76" s="922" t="str">
        <f t="shared" si="189"/>
        <v/>
      </c>
      <c r="GX76" s="50"/>
      <c r="GY76" s="922" t="str">
        <f t="shared" si="249"/>
        <v/>
      </c>
      <c r="HA76" s="66"/>
      <c r="HB76" s="66"/>
      <c r="HC76" s="66"/>
      <c r="HD76" s="66"/>
      <c r="HE76" s="66">
        <f t="shared" si="226"/>
        <v>0</v>
      </c>
      <c r="HF76" s="66">
        <f t="shared" si="226"/>
        <v>0</v>
      </c>
      <c r="HG76" s="66">
        <f t="shared" si="226"/>
        <v>0</v>
      </c>
      <c r="HH76" s="66"/>
      <c r="HI76" s="66">
        <f t="shared" si="251"/>
        <v>0</v>
      </c>
      <c r="HK76" s="50"/>
      <c r="HL76" s="50"/>
      <c r="HM76" s="50"/>
      <c r="HN76" s="50"/>
      <c r="HO76" s="50"/>
      <c r="HP76" s="50"/>
      <c r="HQ76" s="50"/>
      <c r="HR76" s="50"/>
      <c r="HS76" s="50"/>
      <c r="HU76" s="66"/>
      <c r="HV76" s="66"/>
      <c r="HW76" s="66"/>
      <c r="HX76" s="66"/>
      <c r="HY76" s="66"/>
      <c r="HZ76" s="66"/>
      <c r="IA76" s="66"/>
      <c r="IB76" s="66"/>
      <c r="IC76" s="66"/>
      <c r="ID76" s="66"/>
      <c r="IE76" s="66"/>
      <c r="IG76" s="66"/>
      <c r="IH76" s="66"/>
      <c r="II76" s="88"/>
      <c r="IJ76" s="50"/>
      <c r="IK76" s="66"/>
      <c r="IM76" s="50"/>
      <c r="IN76" s="50"/>
      <c r="IP76" s="50"/>
      <c r="IQ76" s="50"/>
      <c r="IR76" s="50"/>
      <c r="IS76" s="50"/>
      <c r="IT76" s="50"/>
      <c r="IU76" s="50"/>
      <c r="IV76" s="50"/>
      <c r="IX76" s="66"/>
      <c r="IY76" s="66"/>
      <c r="IZ76" s="66"/>
      <c r="JA76" s="66"/>
      <c r="JB76" s="66"/>
      <c r="JC76" s="66"/>
      <c r="JD76" s="66"/>
      <c r="JF76" s="50"/>
      <c r="JG76" s="50"/>
      <c r="JH76" s="50"/>
      <c r="JI76" s="50"/>
      <c r="JJ76" s="50"/>
      <c r="JK76" s="50"/>
      <c r="JL76" s="50"/>
      <c r="JM76" s="50"/>
      <c r="JO76" s="66"/>
      <c r="JP76" s="66"/>
      <c r="JQ76" s="66"/>
      <c r="JR76" s="66"/>
      <c r="JS76" s="66"/>
      <c r="JT76" s="66"/>
      <c r="JU76" s="66"/>
      <c r="JV76" s="66"/>
      <c r="JW76" s="66"/>
      <c r="JX76" s="66"/>
      <c r="JY76" s="66"/>
      <c r="KB76" s="50"/>
      <c r="KC76" s="50"/>
      <c r="KD76" s="50"/>
      <c r="KE76" s="50"/>
      <c r="KF76" s="50"/>
      <c r="KG76" s="50"/>
      <c r="KH76" s="50"/>
      <c r="KJ76" s="66"/>
      <c r="KK76" s="66"/>
      <c r="KL76" s="66"/>
      <c r="KM76" s="66"/>
      <c r="KN76" s="66"/>
      <c r="KO76" s="66"/>
      <c r="KP76" s="66"/>
      <c r="KR76" s="50"/>
      <c r="KS76" s="50"/>
      <c r="KT76" s="50"/>
      <c r="KU76" s="50"/>
      <c r="KV76" s="50"/>
      <c r="KW76" s="50"/>
      <c r="KX76" s="50"/>
      <c r="KY76" s="50"/>
      <c r="KZ76" s="50"/>
    </row>
    <row r="77" spans="1:312">
      <c r="A77" s="884"/>
      <c r="B77" s="70"/>
      <c r="C77" s="1431" t="s">
        <v>96</v>
      </c>
      <c r="D77" s="1531" t="s">
        <v>59</v>
      </c>
      <c r="E77" s="1532">
        <f t="shared" ref="E77:AN77" si="259">SUM(E78:E80)</f>
        <v>0.21647158000000002</v>
      </c>
      <c r="F77" s="1532">
        <f t="shared" si="259"/>
        <v>2.8062983300000002</v>
      </c>
      <c r="G77" s="1532">
        <f t="shared" si="259"/>
        <v>6.4418054799999993</v>
      </c>
      <c r="H77" s="1532">
        <f t="shared" si="259"/>
        <v>0.29266876000000053</v>
      </c>
      <c r="I77" s="1532">
        <f t="shared" si="259"/>
        <v>16.761590869999999</v>
      </c>
      <c r="J77" s="1532">
        <f t="shared" si="259"/>
        <v>2.844020640000001</v>
      </c>
      <c r="K77" s="1532">
        <f t="shared" si="259"/>
        <v>2.850992779999999</v>
      </c>
      <c r="L77" s="1532">
        <f t="shared" si="259"/>
        <v>43.620217049999994</v>
      </c>
      <c r="M77" s="1532">
        <f t="shared" si="259"/>
        <v>18.788762440000003</v>
      </c>
      <c r="N77" s="1532">
        <f t="shared" si="259"/>
        <v>4.0030024599999985</v>
      </c>
      <c r="O77" s="1532">
        <f t="shared" si="259"/>
        <v>4.0381258999999998</v>
      </c>
      <c r="P77" s="1532">
        <f t="shared" si="259"/>
        <v>1.3304409799999999</v>
      </c>
      <c r="Q77" s="1532">
        <f t="shared" si="259"/>
        <v>49.797820540000004</v>
      </c>
      <c r="R77" s="1532">
        <f t="shared" si="259"/>
        <v>0.75465596999999973</v>
      </c>
      <c r="S77" s="1532">
        <f t="shared" si="259"/>
        <v>36.850361709999994</v>
      </c>
      <c r="T77" s="1532">
        <f t="shared" si="259"/>
        <v>18.809462570000001</v>
      </c>
      <c r="U77" s="1532">
        <f t="shared" si="259"/>
        <v>27.246188930000002</v>
      </c>
      <c r="V77" s="1532">
        <f t="shared" si="259"/>
        <v>13.244010660000001</v>
      </c>
      <c r="W77" s="1532">
        <f t="shared" si="259"/>
        <v>11.49119468</v>
      </c>
      <c r="X77" s="1532">
        <f t="shared" si="259"/>
        <v>53.626004349999995</v>
      </c>
      <c r="Y77" s="1532">
        <f t="shared" si="259"/>
        <v>20.139720820000012</v>
      </c>
      <c r="Z77" s="1532">
        <f t="shared" si="259"/>
        <v>5.7748406299999999</v>
      </c>
      <c r="AA77" s="1532">
        <f t="shared" si="259"/>
        <v>5.6822215699999958</v>
      </c>
      <c r="AB77" s="1532">
        <f t="shared" si="259"/>
        <v>870.85560901999997</v>
      </c>
      <c r="AC77" s="1532">
        <f t="shared" si="259"/>
        <v>57.182977749999999</v>
      </c>
      <c r="AD77" s="1532">
        <f t="shared" si="259"/>
        <v>46.045810430000003</v>
      </c>
      <c r="AE77" s="1532">
        <f t="shared" si="259"/>
        <v>51.466310180000001</v>
      </c>
      <c r="AF77" s="1532">
        <f t="shared" si="259"/>
        <v>10.696172879999999</v>
      </c>
      <c r="AG77" s="1532">
        <f t="shared" si="259"/>
        <v>15.12402254</v>
      </c>
      <c r="AH77" s="1532">
        <f t="shared" si="259"/>
        <v>4.2375541200000004</v>
      </c>
      <c r="AI77" s="1532">
        <f t="shared" si="259"/>
        <v>14.201904930000001</v>
      </c>
      <c r="AJ77" s="1532">
        <f t="shared" si="259"/>
        <v>5.2938577799999997</v>
      </c>
      <c r="AK77" s="1532">
        <f t="shared" si="259"/>
        <v>106.87113808000001</v>
      </c>
      <c r="AL77" s="1532">
        <f t="shared" si="259"/>
        <v>34.234093399999999</v>
      </c>
      <c r="AM77" s="1532">
        <f t="shared" si="259"/>
        <v>81.288565729999988</v>
      </c>
      <c r="AN77" s="1532">
        <f t="shared" si="259"/>
        <v>2262.0280587500001</v>
      </c>
      <c r="AO77" s="1532">
        <f t="shared" ref="AO77:AZ77" si="260">SUM(AO78:AO80)</f>
        <v>60.71978244000001</v>
      </c>
      <c r="AP77" s="1532">
        <f t="shared" si="260"/>
        <v>47.022048499999983</v>
      </c>
      <c r="AQ77" s="1532">
        <f t="shared" si="260"/>
        <v>168.44177738000002</v>
      </c>
      <c r="AR77" s="1532">
        <f t="shared" si="260"/>
        <v>28.136522860000003</v>
      </c>
      <c r="AS77" s="1532">
        <f t="shared" si="260"/>
        <v>45.664231610000002</v>
      </c>
      <c r="AT77" s="1532">
        <f t="shared" si="260"/>
        <v>3366.6350324800001</v>
      </c>
      <c r="AU77" s="1532">
        <f t="shared" si="260"/>
        <v>180.86248143</v>
      </c>
      <c r="AV77" s="1532">
        <f t="shared" si="260"/>
        <v>47.172657219999998</v>
      </c>
      <c r="AW77" s="1532">
        <f t="shared" si="260"/>
        <v>24.462457209999997</v>
      </c>
      <c r="AX77" s="1532">
        <f t="shared" si="260"/>
        <v>6.3825940800000005</v>
      </c>
      <c r="AY77" s="1532">
        <f t="shared" si="260"/>
        <v>47.119995270000004</v>
      </c>
      <c r="AZ77" s="1532">
        <f t="shared" si="260"/>
        <v>1801.5886277</v>
      </c>
      <c r="BA77" s="1532">
        <f>SUM(BA78:BA80)</f>
        <v>81.447395870000008</v>
      </c>
      <c r="BB77" s="1532">
        <f>SUM(BB78:BB80)</f>
        <v>32.219665190000001</v>
      </c>
      <c r="BC77" s="1532">
        <f>SUM(BC78:BC80)</f>
        <v>18.893252830000002</v>
      </c>
      <c r="BD77" s="1532">
        <f>SUM(BD78:BD80)</f>
        <v>349.45115303</v>
      </c>
      <c r="BE77" s="1533">
        <f>SUM(BE78:BE80)</f>
        <v>101.46521113</v>
      </c>
      <c r="BF77" s="1532">
        <f t="shared" ref="BF77:DH77" si="261">SUM(BF78:BF80)</f>
        <v>33.318387439999995</v>
      </c>
      <c r="BG77" s="1532">
        <f t="shared" si="261"/>
        <v>109.1413647</v>
      </c>
      <c r="BH77" s="1532">
        <f t="shared" si="261"/>
        <v>30.919275680000002</v>
      </c>
      <c r="BI77" s="1532">
        <f t="shared" si="261"/>
        <v>38.287481400000004</v>
      </c>
      <c r="BJ77" s="1532">
        <f t="shared" si="261"/>
        <v>446.13952749999999</v>
      </c>
      <c r="BK77" s="1532">
        <f t="shared" si="261"/>
        <v>140.82425549999999</v>
      </c>
      <c r="BL77" s="1532">
        <f t="shared" si="261"/>
        <v>66.159208860000007</v>
      </c>
      <c r="BM77" s="1534">
        <f t="shared" si="261"/>
        <v>8.00966019</v>
      </c>
      <c r="BN77" s="1534">
        <f t="shared" si="261"/>
        <v>4.0144015499999997</v>
      </c>
      <c r="BO77" s="1534">
        <f t="shared" si="261"/>
        <v>9.1674794599999991</v>
      </c>
      <c r="BP77" s="1534">
        <f t="shared" si="261"/>
        <v>19.318470619999999</v>
      </c>
      <c r="BQ77" s="1534">
        <f t="shared" si="261"/>
        <v>69.610647990000004</v>
      </c>
      <c r="BR77" s="1534">
        <f t="shared" si="261"/>
        <v>41.055233700000002</v>
      </c>
      <c r="BS77" s="1534">
        <f t="shared" si="261"/>
        <v>22.746062439999999</v>
      </c>
      <c r="BT77" s="1534">
        <f t="shared" si="261"/>
        <v>9.3222917699999996</v>
      </c>
      <c r="BU77" s="1534">
        <f t="shared" si="261"/>
        <v>8.6633297399999982</v>
      </c>
      <c r="BV77" s="1534">
        <f t="shared" si="261"/>
        <v>17.546503550000004</v>
      </c>
      <c r="BW77" s="1534">
        <f t="shared" si="261"/>
        <v>8.4010181300000077</v>
      </c>
      <c r="BX77" s="1534">
        <f t="shared" si="261"/>
        <v>105.51788175</v>
      </c>
      <c r="BY77" s="1534">
        <f t="shared" si="261"/>
        <v>11.20382889</v>
      </c>
      <c r="BZ77" s="1534">
        <f t="shared" si="261"/>
        <v>59.218423989999998</v>
      </c>
      <c r="CA77" s="1534">
        <f t="shared" si="261"/>
        <v>39.623491270000002</v>
      </c>
      <c r="CB77" s="1534">
        <f t="shared" si="261"/>
        <v>80.682656939999987</v>
      </c>
      <c r="CC77" s="1534">
        <f t="shared" si="261"/>
        <v>27.46868126</v>
      </c>
      <c r="CD77" s="1534">
        <f t="shared" si="261"/>
        <v>42.467716410000001</v>
      </c>
      <c r="CE77" s="1534">
        <f t="shared" si="261"/>
        <v>11.77351721</v>
      </c>
      <c r="CF77" s="1534">
        <f t="shared" si="261"/>
        <v>50.804467639999999</v>
      </c>
      <c r="CG77" s="1534">
        <f t="shared" si="261"/>
        <v>21.675422570000002</v>
      </c>
      <c r="CH77" s="1534">
        <f t="shared" si="261"/>
        <v>59.992800969999998</v>
      </c>
      <c r="CI77" s="1534">
        <f t="shared" si="261"/>
        <v>52.748789160000001</v>
      </c>
      <c r="CJ77" s="1534">
        <f t="shared" si="261"/>
        <v>181.00158694999999</v>
      </c>
      <c r="CK77" s="1534">
        <f t="shared" si="261"/>
        <v>0.77876433999999994</v>
      </c>
      <c r="CL77" s="1534">
        <f t="shared" si="261"/>
        <v>6.8045900599999998</v>
      </c>
      <c r="CM77" s="1534">
        <f t="shared" si="261"/>
        <v>53.688784200000001</v>
      </c>
      <c r="CN77" s="1534">
        <f t="shared" si="261"/>
        <v>79.866924529999991</v>
      </c>
      <c r="CO77" s="1534">
        <f t="shared" si="261"/>
        <v>147.06835525</v>
      </c>
      <c r="CP77" s="1534">
        <f t="shared" si="261"/>
        <v>48.901018469999997</v>
      </c>
      <c r="CQ77" s="1534">
        <f t="shared" si="261"/>
        <v>50.414737729999999</v>
      </c>
      <c r="CR77" s="1534">
        <f t="shared" si="261"/>
        <v>106.73669172999999</v>
      </c>
      <c r="CS77" s="1534">
        <f t="shared" si="261"/>
        <v>44.59080041</v>
      </c>
      <c r="CT77" s="1534">
        <f t="shared" si="261"/>
        <v>53.34247491</v>
      </c>
      <c r="CU77" s="1534">
        <f t="shared" si="261"/>
        <v>7.4457560100000002</v>
      </c>
      <c r="CV77" s="1534">
        <f t="shared" si="261"/>
        <v>59.646191960000003</v>
      </c>
      <c r="CW77" s="1534">
        <f t="shared" si="261"/>
        <v>22.05628364</v>
      </c>
      <c r="CX77" s="1534">
        <f t="shared" si="261"/>
        <v>17.606245380000001</v>
      </c>
      <c r="CY77" s="1534">
        <f t="shared" si="261"/>
        <v>440.59967475999997</v>
      </c>
      <c r="CZ77" s="1534">
        <f t="shared" si="261"/>
        <v>107.68538001999998</v>
      </c>
      <c r="DA77" s="1534">
        <f t="shared" si="261"/>
        <v>56.130835840000003</v>
      </c>
      <c r="DB77" s="1534">
        <f t="shared" si="261"/>
        <v>154.59219954</v>
      </c>
      <c r="DC77" s="1534">
        <f t="shared" si="261"/>
        <v>36.420138019999996</v>
      </c>
      <c r="DD77" s="1534">
        <f t="shared" si="261"/>
        <v>36.841732809999996</v>
      </c>
      <c r="DE77" s="1534">
        <f t="shared" si="261"/>
        <v>91.518744650000002</v>
      </c>
      <c r="DF77" s="1534">
        <f t="shared" si="261"/>
        <v>37.435212280000002</v>
      </c>
      <c r="DG77" s="1534">
        <f t="shared" si="261"/>
        <v>10.632488949999999</v>
      </c>
      <c r="DH77" s="1534">
        <f t="shared" si="261"/>
        <v>141.27804249999997</v>
      </c>
      <c r="DI77" s="949"/>
      <c r="DJ77" s="1534">
        <f t="shared" ref="DJ77:DU77" si="262">SUM(DJ78:DJ80)</f>
        <v>0</v>
      </c>
      <c r="DK77" s="1534">
        <f t="shared" si="262"/>
        <v>0</v>
      </c>
      <c r="DL77" s="1534">
        <f t="shared" si="262"/>
        <v>0</v>
      </c>
      <c r="DM77" s="1534">
        <f t="shared" si="262"/>
        <v>0</v>
      </c>
      <c r="DN77" s="1534">
        <f t="shared" si="262"/>
        <v>0</v>
      </c>
      <c r="DO77" s="1534">
        <f t="shared" si="262"/>
        <v>0</v>
      </c>
      <c r="DP77" s="1534">
        <f t="shared" si="262"/>
        <v>0</v>
      </c>
      <c r="DQ77" s="1534">
        <f t="shared" si="262"/>
        <v>0</v>
      </c>
      <c r="DR77" s="1534">
        <f t="shared" si="262"/>
        <v>0</v>
      </c>
      <c r="DS77" s="1534">
        <f t="shared" si="262"/>
        <v>0</v>
      </c>
      <c r="DT77" s="1534">
        <f t="shared" si="262"/>
        <v>0</v>
      </c>
      <c r="DU77" s="1534">
        <f t="shared" si="262"/>
        <v>0</v>
      </c>
      <c r="DW77" s="1534">
        <v>50</v>
      </c>
      <c r="DX77" s="1534">
        <v>150</v>
      </c>
      <c r="DY77" s="1534">
        <v>150</v>
      </c>
      <c r="DZ77" s="1534">
        <v>50</v>
      </c>
      <c r="EA77" s="1534">
        <v>50</v>
      </c>
      <c r="EB77" s="1534">
        <v>50</v>
      </c>
      <c r="EC77" s="1534">
        <v>50</v>
      </c>
      <c r="ED77" s="1534">
        <v>50</v>
      </c>
      <c r="EE77" s="1534">
        <v>50</v>
      </c>
      <c r="EF77" s="1534">
        <v>50</v>
      </c>
      <c r="EG77" s="1534">
        <v>50</v>
      </c>
      <c r="EH77" s="1534">
        <v>50</v>
      </c>
      <c r="EI77" s="1534">
        <f>SUM(EI78:EI80)</f>
        <v>91.900846757450836</v>
      </c>
      <c r="EJ77" s="1534">
        <f t="shared" ref="EJ77:GD77" si="263">SUM(EJ78:EJ80)</f>
        <v>93.450734054458835</v>
      </c>
      <c r="EK77" s="1534">
        <f t="shared" si="263"/>
        <v>1343.5922019517955</v>
      </c>
      <c r="EL77" s="1534">
        <f t="shared" si="263"/>
        <v>93.421300886847632</v>
      </c>
      <c r="EM77" s="1534">
        <f t="shared" si="263"/>
        <v>93.80771642149405</v>
      </c>
      <c r="EN77" s="1534">
        <f t="shared" si="263"/>
        <v>95.150108975087647</v>
      </c>
      <c r="EO77" s="1534">
        <f t="shared" si="263"/>
        <v>95.42633286492844</v>
      </c>
      <c r="EP77" s="1534">
        <f t="shared" si="263"/>
        <v>95.727954238101233</v>
      </c>
      <c r="EQ77" s="1534">
        <f t="shared" si="263"/>
        <v>100.88802073436359</v>
      </c>
      <c r="ER77" s="1534">
        <f t="shared" si="263"/>
        <v>95.878232558747641</v>
      </c>
      <c r="ES77" s="1534">
        <f t="shared" si="263"/>
        <v>95.331388620174039</v>
      </c>
      <c r="ET77" s="1534">
        <f t="shared" si="263"/>
        <v>93.909197142055632</v>
      </c>
      <c r="EU77" s="1534">
        <f t="shared" si="263"/>
        <v>22.297518439999983</v>
      </c>
      <c r="EV77" s="1534">
        <f t="shared" si="263"/>
        <v>22.297518439999983</v>
      </c>
      <c r="EW77" s="1534">
        <f t="shared" si="263"/>
        <v>22.297518439999983</v>
      </c>
      <c r="EX77" s="1534">
        <f t="shared" si="263"/>
        <v>22.297518439999983</v>
      </c>
      <c r="EY77" s="1534">
        <f t="shared" si="263"/>
        <v>22.297518439999983</v>
      </c>
      <c r="EZ77" s="1534">
        <f t="shared" si="263"/>
        <v>22.297518439999983</v>
      </c>
      <c r="FA77" s="1534">
        <f t="shared" si="263"/>
        <v>22.297518439999983</v>
      </c>
      <c r="FB77" s="1534">
        <f t="shared" si="263"/>
        <v>22.297518439999983</v>
      </c>
      <c r="FC77" s="1534">
        <f t="shared" si="263"/>
        <v>22.297518439999983</v>
      </c>
      <c r="FD77" s="1534">
        <f t="shared" si="263"/>
        <v>22.297518439999983</v>
      </c>
      <c r="FE77" s="1534">
        <f t="shared" si="263"/>
        <v>22.297518439999983</v>
      </c>
      <c r="FF77" s="1534">
        <f t="shared" si="263"/>
        <v>22.297518439999983</v>
      </c>
      <c r="FG77" s="1534">
        <f t="shared" si="263"/>
        <v>1.44022896</v>
      </c>
      <c r="FH77" s="1534">
        <f t="shared" si="263"/>
        <v>1.44022896</v>
      </c>
      <c r="FI77" s="1534">
        <f t="shared" si="263"/>
        <v>1.44022896</v>
      </c>
      <c r="FJ77" s="1534">
        <f t="shared" si="263"/>
        <v>1.44022896</v>
      </c>
      <c r="FK77" s="1534">
        <f t="shared" si="263"/>
        <v>1.44022896</v>
      </c>
      <c r="FL77" s="1534">
        <f t="shared" si="263"/>
        <v>1.44022896</v>
      </c>
      <c r="FM77" s="1534">
        <f t="shared" si="263"/>
        <v>1.44022896</v>
      </c>
      <c r="FN77" s="1534">
        <f t="shared" si="263"/>
        <v>1.44022896</v>
      </c>
      <c r="FO77" s="1534">
        <f t="shared" si="263"/>
        <v>1.44022896</v>
      </c>
      <c r="FP77" s="1534">
        <f t="shared" si="263"/>
        <v>1.44022896</v>
      </c>
      <c r="FQ77" s="1534">
        <f t="shared" si="263"/>
        <v>1.44022896</v>
      </c>
      <c r="FR77" s="1534">
        <f t="shared" si="263"/>
        <v>1.44022896</v>
      </c>
      <c r="FS77" s="1534">
        <f t="shared" si="263"/>
        <v>1.44022896</v>
      </c>
      <c r="FT77" s="1534">
        <f t="shared" si="263"/>
        <v>1.44022896</v>
      </c>
      <c r="FU77" s="1534">
        <f t="shared" si="263"/>
        <v>1.44022896</v>
      </c>
      <c r="FV77" s="1534">
        <f t="shared" si="263"/>
        <v>1.44022896</v>
      </c>
      <c r="FW77" s="1534">
        <f t="shared" si="263"/>
        <v>1.44022896</v>
      </c>
      <c r="FX77" s="1534">
        <f t="shared" si="263"/>
        <v>1.44022896</v>
      </c>
      <c r="FY77" s="1534">
        <f t="shared" si="263"/>
        <v>1.44022896</v>
      </c>
      <c r="FZ77" s="1534">
        <f t="shared" si="263"/>
        <v>1.44022896</v>
      </c>
      <c r="GA77" s="1534">
        <f t="shared" si="263"/>
        <v>1.44022896</v>
      </c>
      <c r="GB77" s="1534">
        <f t="shared" si="263"/>
        <v>1.44022896</v>
      </c>
      <c r="GC77" s="1534">
        <f t="shared" si="263"/>
        <v>1.44022896</v>
      </c>
      <c r="GD77" s="1534">
        <f t="shared" si="263"/>
        <v>1.44022896</v>
      </c>
      <c r="GF77" s="1534">
        <f t="shared" ref="GF77:GI87" si="264">+SUMIF($E$6:$AZ$6,GF$7,$E77:$AZ77)</f>
        <v>103.99439727000001</v>
      </c>
      <c r="GG77" s="1534">
        <f t="shared" si="264"/>
        <v>1114.2720914500001</v>
      </c>
      <c r="GH77" s="1534">
        <f t="shared" si="264"/>
        <v>2688.6704665699999</v>
      </c>
      <c r="GI77" s="1534">
        <f t="shared" si="264"/>
        <v>5824.2082081799999</v>
      </c>
      <c r="GJ77" s="1534">
        <f>+SUMIF($E$6:$BL$6,GJ$7,$E77:$BL77)</f>
        <v>1448.26617913</v>
      </c>
      <c r="GK77" s="1534">
        <f t="shared" ref="GK77:GK103" si="265">+SUMIF($E$6:$BX$6,GK$7,$E77:$BX77)</f>
        <v>323.37298089000001</v>
      </c>
      <c r="GL77" s="1534">
        <f t="shared" si="256"/>
        <v>638.66138326000009</v>
      </c>
      <c r="GM77" s="1534">
        <f t="shared" si="257"/>
        <v>659.28508959999999</v>
      </c>
      <c r="GN77" s="1534">
        <f t="shared" si="258"/>
        <v>17.282747520000004</v>
      </c>
      <c r="GO77" s="1534">
        <v>1152.79697839</v>
      </c>
      <c r="GQ77" s="1536">
        <f t="shared" ref="GQ77:GX92" si="266">+IFERROR(GH77/GG77-1,"")</f>
        <v>1.4129388927539579</v>
      </c>
      <c r="GR77" s="1536">
        <f t="shared" si="266"/>
        <v>1.1662038098741343</v>
      </c>
      <c r="GS77" s="1536">
        <f t="shared" si="266"/>
        <v>-0.75133681225613891</v>
      </c>
      <c r="GT77" s="1536">
        <f t="shared" si="266"/>
        <v>-0.77671716321908724</v>
      </c>
      <c r="GU77" s="1536">
        <f t="shared" si="266"/>
        <v>0.97499921453626337</v>
      </c>
      <c r="GV77" s="1536">
        <f t="shared" si="266"/>
        <v>3.2292082910552189E-2</v>
      </c>
      <c r="GW77" s="1536">
        <f t="shared" si="189"/>
        <v>-0.97378562356008114</v>
      </c>
      <c r="GX77" s="1536">
        <f t="shared" si="189"/>
        <v>65.70218245426291</v>
      </c>
      <c r="GY77" s="1536">
        <f t="shared" si="249"/>
        <v>0.74855612022019558</v>
      </c>
      <c r="HA77" s="1534">
        <f t="shared" ref="HA77:HD92" si="267">+GH77-GG77</f>
        <v>1574.3983751199999</v>
      </c>
      <c r="HB77" s="1534">
        <f t="shared" si="267"/>
        <v>3135.53774161</v>
      </c>
      <c r="HC77" s="1534">
        <f t="shared" si="267"/>
        <v>-4375.9420290500002</v>
      </c>
      <c r="HD77" s="1534">
        <f t="shared" si="267"/>
        <v>-1124.8931982399999</v>
      </c>
      <c r="HE77" s="1534">
        <f t="shared" si="226"/>
        <v>315.28840237000009</v>
      </c>
      <c r="HF77" s="1534">
        <f t="shared" si="226"/>
        <v>20.623706339999899</v>
      </c>
      <c r="HG77" s="1534">
        <f t="shared" si="226"/>
        <v>-642.00234207999995</v>
      </c>
      <c r="HH77" s="1534">
        <f t="shared" si="226"/>
        <v>1135.5142308700001</v>
      </c>
      <c r="HI77" s="1534">
        <f t="shared" si="251"/>
        <v>493.51188879000006</v>
      </c>
      <c r="HK77" s="1537">
        <f t="shared" ref="HK77:HS92" si="268">+GG77/GG$11</f>
        <v>3.0315973287773176E-2</v>
      </c>
      <c r="HL77" s="1537">
        <f t="shared" si="268"/>
        <v>6.826985595034582E-2</v>
      </c>
      <c r="HM77" s="1537">
        <f t="shared" si="268"/>
        <v>0.3455932544327755</v>
      </c>
      <c r="HN77" s="1537">
        <f t="shared" si="268"/>
        <v>0.23541285278394891</v>
      </c>
      <c r="HO77" s="1537">
        <f t="shared" si="268"/>
        <v>2.3727153228538866E-2</v>
      </c>
      <c r="HP77" s="1537">
        <f t="shared" si="268"/>
        <v>4.5133377315295105E-2</v>
      </c>
      <c r="HQ77" s="1537">
        <f t="shared" si="268"/>
        <v>3.1055357785866745E-2</v>
      </c>
      <c r="HR77" s="1537">
        <f t="shared" si="268"/>
        <v>1.0985520893554467E-3</v>
      </c>
      <c r="HS77" s="1537">
        <f t="shared" si="268"/>
        <v>9.1347644981438297E-2</v>
      </c>
      <c r="HU77" s="1534">
        <f t="shared" ref="HU77:HZ87" si="269">+IFERROR(SUMIFS($E77:$BX77,$E$6:$BX$6,HU$7,$E$5:$BX$5,"&lt;="&amp;$HW$5),"NA")</f>
        <v>29.362855659999997</v>
      </c>
      <c r="HV77" s="1534">
        <f t="shared" si="269"/>
        <v>146.70250038</v>
      </c>
      <c r="HW77" s="1534">
        <f t="shared" si="269"/>
        <v>184.75284790000001</v>
      </c>
      <c r="HX77" s="1534">
        <f t="shared" si="269"/>
        <v>3716.61939527</v>
      </c>
      <c r="HY77" s="1534">
        <f t="shared" si="269"/>
        <v>616.79506548999996</v>
      </c>
      <c r="HZ77" s="1534">
        <f t="shared" si="269"/>
        <v>151.17589351000001</v>
      </c>
      <c r="IA77" s="1534">
        <f t="shared" ref="IA77:IA87" si="270">+IFERROR(SUMIFS($E77:$CJ77,$E$6:$CJ$6,IA$7,$E$5:$CJ$5,"&lt;="&amp;$HW$5),"NA")</f>
        <v>260.66479876</v>
      </c>
      <c r="IB77" s="1534">
        <f t="shared" ref="IB77:IB87" si="271">+IFERROR(SUMIFS($E77:$CV77,$E$6:$CV$6,IB$7,$E$5:$CV$5,"&lt;="&amp;$HW$5),"NA")</f>
        <v>337.10843684999998</v>
      </c>
      <c r="IC77" s="1534">
        <f t="shared" ref="IC77:IC87" si="272">+SUMIF($CW$5:$DH$5,"&lt;="&amp;$HW$5,$CW77:$DH77)</f>
        <v>798.67061918000002</v>
      </c>
      <c r="ID77" s="1534">
        <f t="shared" si="253"/>
        <v>8.6413737600000005</v>
      </c>
      <c r="IE77" s="1534">
        <f t="shared" ref="IE77:IE87" si="273">+SUMIF($DJ$5:$DU$5,"&lt;="&amp;$HW$5,$DJ77:$DU77)</f>
        <v>0</v>
      </c>
      <c r="IG77" s="1534">
        <f t="shared" si="254"/>
        <v>798.67061918000002</v>
      </c>
      <c r="IH77" s="1534">
        <f t="shared" si="254"/>
        <v>8.6413737600000005</v>
      </c>
      <c r="II77" s="939"/>
      <c r="IJ77" s="1536">
        <f t="shared" ref="IJ77:IJ87" si="274">+IFERROR(IG77/IH77,"")</f>
        <v>92.424033650408845</v>
      </c>
      <c r="IK77" s="1538">
        <f t="shared" ref="IK77:IK95" si="275">+IFERROR(IG77-IH77,"NA")</f>
        <v>790.02924542000005</v>
      </c>
      <c r="IM77" s="1537">
        <f t="shared" ref="IM77:IM87" si="276">+IG77/IG$11</f>
        <v>0.12282357182157093</v>
      </c>
      <c r="IN77" s="1536">
        <f t="shared" ref="IN77:IN87" si="277">+IFERROR(IH77/IH$11,"")</f>
        <v>1.2238282263056087E-3</v>
      </c>
      <c r="IP77" s="1537">
        <f t="shared" ref="IP77:IU103" si="278">+IFERROR(HW77/HV77-1,"NA")</f>
        <v>0.25937081795769723</v>
      </c>
      <c r="IQ77" s="1537">
        <f t="shared" si="278"/>
        <v>19.11670963406026</v>
      </c>
      <c r="IR77" s="1537">
        <f t="shared" si="278"/>
        <v>-0.83404405996616937</v>
      </c>
      <c r="IS77" s="1537">
        <f>+IFERROR(HZ77/HY77-1,"NA")</f>
        <v>-0.75490093554833892</v>
      </c>
      <c r="IT77" s="1537">
        <f>+IFERROR(IA77/HZ77-1,"NA")</f>
        <v>0.72424844138763111</v>
      </c>
      <c r="IU77" s="1537">
        <f>+IFERROR(IB77/IA77-1,"NA")</f>
        <v>0.29326414020476688</v>
      </c>
      <c r="IV77" s="1537">
        <f>+IFERROR(IE77/IB77-1,"NA")</f>
        <v>-1</v>
      </c>
      <c r="IX77" s="1534">
        <f t="shared" ref="IX77:JC103" si="279">+HW77-HV77</f>
        <v>38.050347520000003</v>
      </c>
      <c r="IY77" s="1534">
        <f t="shared" si="279"/>
        <v>3531.8665473700003</v>
      </c>
      <c r="IZ77" s="1534">
        <f t="shared" si="279"/>
        <v>-3099.82432978</v>
      </c>
      <c r="JA77" s="1534">
        <f t="shared" si="279"/>
        <v>-465.61917197999992</v>
      </c>
      <c r="JB77" s="1534">
        <f t="shared" si="279"/>
        <v>109.48890524999999</v>
      </c>
      <c r="JC77" s="1534">
        <f t="shared" si="279"/>
        <v>76.443638089999979</v>
      </c>
      <c r="JD77" s="1534">
        <f t="shared" ref="JD77:JD87" si="280">+IE77-IB77</f>
        <v>-337.10843684999998</v>
      </c>
      <c r="JF77" s="1537">
        <f t="shared" ref="JF77:JL87" si="281">+HU77/HU$11</f>
        <v>1.8357905018446139E-3</v>
      </c>
      <c r="JG77" s="1537">
        <f t="shared" si="281"/>
        <v>8.6035814453001812E-3</v>
      </c>
      <c r="JH77" s="1537">
        <f t="shared" si="281"/>
        <v>1.1365719550184972E-2</v>
      </c>
      <c r="JI77" s="1537">
        <f t="shared" si="281"/>
        <v>0.39732628357134597</v>
      </c>
      <c r="JJ77" s="1537">
        <f t="shared" si="281"/>
        <v>0.3073793321968038</v>
      </c>
      <c r="JK77" s="1537">
        <f t="shared" si="281"/>
        <v>2.177914602569778E-2</v>
      </c>
      <c r="JL77" s="1537">
        <f t="shared" si="281"/>
        <v>4.9280086583372164E-2</v>
      </c>
      <c r="JM77" s="1537">
        <f t="shared" ref="JM77:JM87" si="282">+IE77/IE$11</f>
        <v>0</v>
      </c>
      <c r="JO77" s="1534">
        <f t="shared" ref="JO77:JS87" si="283">+SUMIFS($E77:$BX77,$E$6:$BX$6,JO$7,$E$5:$BX$5,$JQ$5)</f>
        <v>2.844020640000001</v>
      </c>
      <c r="JP77" s="1534">
        <f t="shared" si="283"/>
        <v>13.244010660000001</v>
      </c>
      <c r="JQ77" s="1534">
        <f t="shared" si="283"/>
        <v>4.2375541200000004</v>
      </c>
      <c r="JR77" s="1534">
        <f t="shared" si="283"/>
        <v>3366.6350324800001</v>
      </c>
      <c r="JS77" s="1534">
        <f t="shared" si="283"/>
        <v>33.318387439999995</v>
      </c>
      <c r="JT77" s="1534">
        <f t="shared" ref="JT77:JT87" si="284">+SUMIFS($E77:$CJ77,$E$6:$CJ$6,JT$7,$E$5:$CJ$5,$JQ$5)</f>
        <v>41.055233700000002</v>
      </c>
      <c r="JU77" s="1534">
        <f t="shared" ref="JU77:JV87" si="285">+SUMIFS($E77:$CV77,$E$6:$CV$6,JU$7,$E$5:$CV$5,$JQ$5)</f>
        <v>42.467716410000001</v>
      </c>
      <c r="JV77" s="1534">
        <f t="shared" si="285"/>
        <v>48.901018469999997</v>
      </c>
      <c r="JW77" s="1534">
        <f t="shared" ref="JW77:JW87" si="286">+SUMIFS($E77:$DH77,$E$6:$DH$6,JW$7,$E$5:$DH$5,$JQ$5)</f>
        <v>154.59219954</v>
      </c>
      <c r="JX77" s="1534">
        <f t="shared" ref="JX77:JX87" si="287">+SUMIF($FS$5:$GD$5,$JQ$5,$FS77:$GD77)</f>
        <v>1.44022896</v>
      </c>
      <c r="JY77" s="1534">
        <f t="shared" ref="JY77:JY87" si="288">+SUMIF($DJ$5:$DU$5,$JQ$5,$DJ77:$DU77)</f>
        <v>0</v>
      </c>
      <c r="KB77" s="1537">
        <f t="shared" ref="KB77:KG87" si="289">+IFERROR(JQ77/JP77-1," ")</f>
        <v>-0.68003996457067184</v>
      </c>
      <c r="KC77" s="1537">
        <f t="shared" si="289"/>
        <v>793.47599656379134</v>
      </c>
      <c r="KD77" s="1537">
        <f t="shared" si="289"/>
        <v>-0.99010335628348278</v>
      </c>
      <c r="KE77" s="1537">
        <f t="shared" si="289"/>
        <v>0.23220950515485117</v>
      </c>
      <c r="KF77" s="1537">
        <f t="shared" si="289"/>
        <v>3.4404449389360048E-2</v>
      </c>
      <c r="KG77" s="1537">
        <f t="shared" si="289"/>
        <v>0.15148688471709604</v>
      </c>
      <c r="KH77" s="1537">
        <f t="shared" ref="KH77:KH87" si="290">+IFERROR(JY77/JV77-1," ")</f>
        <v>-1</v>
      </c>
      <c r="KJ77" s="1534">
        <f t="shared" ref="KJ77:KO87" si="291">+JQ77-JP77</f>
        <v>-9.0064565400000003</v>
      </c>
      <c r="KK77" s="1534">
        <f t="shared" si="291"/>
        <v>3362.3974783600002</v>
      </c>
      <c r="KL77" s="1534">
        <f t="shared" si="291"/>
        <v>-3333.3166450399999</v>
      </c>
      <c r="KM77" s="1534">
        <f t="shared" si="291"/>
        <v>7.7368462600000072</v>
      </c>
      <c r="KN77" s="1534">
        <f t="shared" si="291"/>
        <v>1.412482709999999</v>
      </c>
      <c r="KO77" s="1534">
        <f t="shared" si="291"/>
        <v>6.4333020599999955</v>
      </c>
      <c r="KP77" s="1534">
        <f t="shared" ref="KP77:KP87" si="292">+JY77-JV77</f>
        <v>-48.901018469999997</v>
      </c>
      <c r="KR77" s="1537">
        <f t="shared" ref="KR77:KY87" si="293">+JO77/JO$11</f>
        <v>8.8714204102600231E-4</v>
      </c>
      <c r="KS77" s="1537">
        <f t="shared" si="293"/>
        <v>3.9378658595527645E-3</v>
      </c>
      <c r="KT77" s="1537">
        <f t="shared" si="293"/>
        <v>1.6889865588228972E-3</v>
      </c>
      <c r="KU77" s="1537">
        <f t="shared" si="293"/>
        <v>3.763003401510415</v>
      </c>
      <c r="KV77" s="1537">
        <f t="shared" si="293"/>
        <v>0.10677465107463506</v>
      </c>
      <c r="KW77" s="1537">
        <f t="shared" si="293"/>
        <v>4.0487546229213717E-2</v>
      </c>
      <c r="KX77" s="1537">
        <f t="shared" si="293"/>
        <v>4.8415676993390472E-2</v>
      </c>
      <c r="KY77" s="1537">
        <f t="shared" si="293"/>
        <v>3.1959050614770661E-2</v>
      </c>
      <c r="KZ77" s="1537">
        <f t="shared" si="46"/>
        <v>0</v>
      </c>
    </row>
    <row r="78" spans="1:312" outlineLevel="1">
      <c r="A78" s="884">
        <v>4210</v>
      </c>
      <c r="B78" s="70" t="s">
        <v>659</v>
      </c>
      <c r="C78" s="47" t="s">
        <v>97</v>
      </c>
      <c r="D78" s="923" t="s">
        <v>59</v>
      </c>
      <c r="E78" s="924">
        <v>0.21617525000000001</v>
      </c>
      <c r="F78" s="924">
        <v>5.7139950000000023E-2</v>
      </c>
      <c r="G78" s="924">
        <v>3.5136120100000001</v>
      </c>
      <c r="H78" s="924">
        <v>0.2921282000000005</v>
      </c>
      <c r="I78" s="924">
        <v>10.465397199999998</v>
      </c>
      <c r="J78" s="924">
        <v>2.8401576600000009</v>
      </c>
      <c r="K78" s="924">
        <v>0.18355683000000056</v>
      </c>
      <c r="L78" s="924">
        <v>9.5109219799999991</v>
      </c>
      <c r="M78" s="924">
        <v>1.760102400000001</v>
      </c>
      <c r="N78" s="924">
        <v>4.0015560999999984</v>
      </c>
      <c r="O78" s="924">
        <v>4.0344713900000002</v>
      </c>
      <c r="P78" s="924">
        <v>1.3245375199999998</v>
      </c>
      <c r="Q78" s="924">
        <v>1.45689884</v>
      </c>
      <c r="R78" s="924">
        <v>0.75375239999999977</v>
      </c>
      <c r="S78" s="924">
        <v>15.330882150000001</v>
      </c>
      <c r="T78" s="924">
        <v>8.9854248599999984</v>
      </c>
      <c r="U78" s="924">
        <v>19.063411290000005</v>
      </c>
      <c r="V78" s="924">
        <v>10.391298769999999</v>
      </c>
      <c r="W78" s="924">
        <v>2.9221339799999981</v>
      </c>
      <c r="X78" s="924">
        <v>1.8173424699999927</v>
      </c>
      <c r="Y78" s="924">
        <v>18.078813780000011</v>
      </c>
      <c r="Z78" s="924">
        <v>0.57847187999999505</v>
      </c>
      <c r="AA78" s="924">
        <v>3.2372866399999936</v>
      </c>
      <c r="AB78" s="924">
        <v>17.945471599999991</v>
      </c>
      <c r="AC78" s="924">
        <v>38.844884329999999</v>
      </c>
      <c r="AD78" s="924">
        <v>34.629919100000002</v>
      </c>
      <c r="AE78" s="924">
        <v>7.9924534299999994</v>
      </c>
      <c r="AF78" s="924">
        <v>2.5150332799999999</v>
      </c>
      <c r="AG78" s="924">
        <v>-1.5156567599999999</v>
      </c>
      <c r="AH78" s="924">
        <v>4.19651087</v>
      </c>
      <c r="AI78" s="924">
        <v>2.4748465199999998</v>
      </c>
      <c r="AJ78" s="924">
        <v>3.8856688999999998</v>
      </c>
      <c r="AK78" s="924">
        <v>53.089294260000003</v>
      </c>
      <c r="AL78" s="924">
        <v>25.844637150000001</v>
      </c>
      <c r="AM78" s="924">
        <v>66.684560699999992</v>
      </c>
      <c r="AN78" s="102">
        <v>9.0544061599999139</v>
      </c>
      <c r="AO78" s="960">
        <v>47.507961380000012</v>
      </c>
      <c r="AP78" s="961">
        <v>45.264006699999982</v>
      </c>
      <c r="AQ78" s="962">
        <v>67.177859940000005</v>
      </c>
      <c r="AR78" s="962">
        <v>22.929552600000005</v>
      </c>
      <c r="AS78" s="960">
        <v>33.89906397</v>
      </c>
      <c r="AT78" s="960">
        <v>16.634481210000001</v>
      </c>
      <c r="AU78" s="960">
        <v>60.729207610000003</v>
      </c>
      <c r="AV78" s="960">
        <v>38.555109459999997</v>
      </c>
      <c r="AW78" s="960">
        <v>21.695015699999999</v>
      </c>
      <c r="AX78" s="960">
        <v>4.8886371100000003</v>
      </c>
      <c r="AY78" s="960">
        <v>45.258469720000001</v>
      </c>
      <c r="AZ78" s="960">
        <f>213.91889044+1</f>
        <v>214.91889044000001</v>
      </c>
      <c r="BA78" s="102">
        <v>81.250755120000008</v>
      </c>
      <c r="BB78" s="102">
        <v>17.085883980000002</v>
      </c>
      <c r="BC78" s="102">
        <v>10.194731630000001</v>
      </c>
      <c r="BD78" s="102">
        <v>41.952031259999998</v>
      </c>
      <c r="BE78" s="924">
        <v>96.516526650000003</v>
      </c>
      <c r="BF78" s="924">
        <v>24.641454579999998</v>
      </c>
      <c r="BG78" s="924">
        <f>107.09019493</f>
        <v>107.09019493</v>
      </c>
      <c r="BH78" s="924">
        <v>30.060597010000002</v>
      </c>
      <c r="BI78" s="924">
        <v>18.28409942</v>
      </c>
      <c r="BJ78" s="924">
        <f>446.13887201</f>
        <v>446.13887201</v>
      </c>
      <c r="BK78" s="924">
        <v>95.18093691</v>
      </c>
      <c r="BL78" s="924">
        <v>65.906130000000005</v>
      </c>
      <c r="BM78" s="102">
        <v>7.8427657200000001</v>
      </c>
      <c r="BN78" s="102">
        <v>4.01423693</v>
      </c>
      <c r="BO78" s="102">
        <v>9.1652519699999999</v>
      </c>
      <c r="BP78" s="102">
        <v>19.318318089999998</v>
      </c>
      <c r="BQ78" s="924">
        <v>69.608317450000001</v>
      </c>
      <c r="BR78" s="924">
        <v>41.054653090000002</v>
      </c>
      <c r="BS78" s="924">
        <v>22.74380171</v>
      </c>
      <c r="BT78" s="924">
        <v>9.3219504499999992</v>
      </c>
      <c r="BU78" s="924">
        <v>8.661532789999999</v>
      </c>
      <c r="BV78" s="924">
        <v>17.545622530000003</v>
      </c>
      <c r="BW78" s="924">
        <v>8.3487375400000072</v>
      </c>
      <c r="BX78" s="924">
        <v>105.44793851</v>
      </c>
      <c r="BY78" s="924">
        <v>11.20113634</v>
      </c>
      <c r="BZ78" s="924">
        <v>59.21762038</v>
      </c>
      <c r="CA78" s="924">
        <v>39.622279630000001</v>
      </c>
      <c r="CB78" s="924">
        <v>71.340445829999993</v>
      </c>
      <c r="CC78" s="924">
        <v>27.464923460000001</v>
      </c>
      <c r="CD78" s="924">
        <v>42.467218250000002</v>
      </c>
      <c r="CE78" s="924">
        <v>11.00005166</v>
      </c>
      <c r="CF78" s="924">
        <v>50.804076459999997</v>
      </c>
      <c r="CG78" s="924">
        <v>21.656185520000001</v>
      </c>
      <c r="CH78" s="924">
        <v>59.418280729999999</v>
      </c>
      <c r="CI78" s="924">
        <v>52.747209560000002</v>
      </c>
      <c r="CJ78" s="924">
        <v>86.173182980000007</v>
      </c>
      <c r="CK78" s="924">
        <v>0.77770193999999992</v>
      </c>
      <c r="CL78" s="924">
        <v>6.8021617499999998</v>
      </c>
      <c r="CM78" s="924">
        <v>53.688085780000002</v>
      </c>
      <c r="CN78" s="924">
        <v>79.866384099999991</v>
      </c>
      <c r="CO78" s="924">
        <v>144.13232356</v>
      </c>
      <c r="CP78" s="924">
        <v>48.900156609999996</v>
      </c>
      <c r="CQ78" s="924">
        <v>49.997363010000001</v>
      </c>
      <c r="CR78" s="924">
        <v>106.73626481999999</v>
      </c>
      <c r="CS78" s="924">
        <v>44.586173789999997</v>
      </c>
      <c r="CT78" s="924">
        <v>53.225788880000003</v>
      </c>
      <c r="CU78" s="924">
        <v>2.8125513300000002</v>
      </c>
      <c r="CV78" s="924">
        <v>59.6407709</v>
      </c>
      <c r="CW78" s="924">
        <v>22.055014</v>
      </c>
      <c r="CX78" s="924">
        <v>17.599586980000002</v>
      </c>
      <c r="CY78" s="924">
        <v>440.59867654999999</v>
      </c>
      <c r="CZ78" s="924">
        <v>107.67727131999999</v>
      </c>
      <c r="DA78" s="924">
        <v>56.129836020000006</v>
      </c>
      <c r="DB78" s="924">
        <v>132.51597569</v>
      </c>
      <c r="DC78" s="924">
        <v>18.069018539999998</v>
      </c>
      <c r="DD78" s="924">
        <v>12.26416577</v>
      </c>
      <c r="DE78" s="924">
        <v>67.297151240000005</v>
      </c>
      <c r="DF78" s="924">
        <v>37.433284520000001</v>
      </c>
      <c r="DG78" s="924">
        <v>10.631450109999999</v>
      </c>
      <c r="DH78" s="924">
        <v>14.55160856</v>
      </c>
      <c r="DJ78" s="924"/>
      <c r="DK78" s="924"/>
      <c r="DL78" s="924"/>
      <c r="DM78" s="924"/>
      <c r="DN78" s="924"/>
      <c r="DO78" s="924"/>
      <c r="DP78" s="924"/>
      <c r="DQ78" s="924"/>
      <c r="DR78" s="924"/>
      <c r="DS78" s="924"/>
      <c r="DT78" s="924"/>
      <c r="DU78" s="924"/>
      <c r="DW78" s="924">
        <v>29.3</v>
      </c>
      <c r="DX78" s="924">
        <v>29.3</v>
      </c>
      <c r="DY78" s="924">
        <v>29.3</v>
      </c>
      <c r="DZ78" s="924">
        <v>29.3</v>
      </c>
      <c r="EA78" s="924">
        <v>29.3</v>
      </c>
      <c r="EB78" s="924">
        <v>29.3</v>
      </c>
      <c r="EC78" s="924">
        <v>29.3</v>
      </c>
      <c r="ED78" s="924">
        <v>29.3</v>
      </c>
      <c r="EE78" s="924">
        <v>29.3</v>
      </c>
      <c r="EF78" s="924">
        <v>29.3</v>
      </c>
      <c r="EG78" s="924">
        <v>29.3</v>
      </c>
      <c r="EH78" s="924">
        <v>29.3</v>
      </c>
      <c r="EI78" s="924">
        <v>34.819198589950837</v>
      </c>
      <c r="EJ78" s="924">
        <v>36.369085886958835</v>
      </c>
      <c r="EK78" s="924">
        <v>36.510553784295631</v>
      </c>
      <c r="EL78" s="924">
        <v>36.339652719347633</v>
      </c>
      <c r="EM78" s="924">
        <v>36.726068253994036</v>
      </c>
      <c r="EN78" s="924">
        <v>38.068460807587641</v>
      </c>
      <c r="EO78" s="924">
        <v>38.344684697428434</v>
      </c>
      <c r="EP78" s="924">
        <v>38.646306070601234</v>
      </c>
      <c r="EQ78" s="924">
        <v>38.747792678061231</v>
      </c>
      <c r="ER78" s="924">
        <v>38.796584391247634</v>
      </c>
      <c r="ES78" s="924">
        <v>38.24974045267404</v>
      </c>
      <c r="ET78" s="924">
        <v>36.827548974555633</v>
      </c>
      <c r="EU78" s="924">
        <v>22.297518439999983</v>
      </c>
      <c r="EV78" s="924">
        <v>22.297518439999983</v>
      </c>
      <c r="EW78" s="924">
        <v>22.297518439999983</v>
      </c>
      <c r="EX78" s="924">
        <v>22.297518439999983</v>
      </c>
      <c r="EY78" s="924">
        <v>22.297518439999983</v>
      </c>
      <c r="EZ78" s="924">
        <v>22.297518439999983</v>
      </c>
      <c r="FA78" s="924">
        <v>22.297518439999983</v>
      </c>
      <c r="FB78" s="924">
        <v>22.297518439999983</v>
      </c>
      <c r="FC78" s="924">
        <v>22.297518439999983</v>
      </c>
      <c r="FD78" s="924">
        <v>22.297518439999983</v>
      </c>
      <c r="FE78" s="924">
        <v>22.297518439999983</v>
      </c>
      <c r="FF78" s="924">
        <v>22.297518439999983</v>
      </c>
      <c r="FG78" s="924">
        <v>1.44022896</v>
      </c>
      <c r="FH78" s="924">
        <v>1.44022896</v>
      </c>
      <c r="FI78" s="924">
        <v>1.44022896</v>
      </c>
      <c r="FJ78" s="924">
        <v>1.44022896</v>
      </c>
      <c r="FK78" s="924">
        <v>1.44022896</v>
      </c>
      <c r="FL78" s="924">
        <v>1.44022896</v>
      </c>
      <c r="FM78" s="924">
        <v>1.44022896</v>
      </c>
      <c r="FN78" s="924">
        <v>1.44022896</v>
      </c>
      <c r="FO78" s="924">
        <v>1.44022896</v>
      </c>
      <c r="FP78" s="924">
        <v>1.44022896</v>
      </c>
      <c r="FQ78" s="924">
        <v>1.44022896</v>
      </c>
      <c r="FR78" s="924">
        <v>1.44022896</v>
      </c>
      <c r="FS78" s="924">
        <v>1.44022896</v>
      </c>
      <c r="FT78" s="924">
        <v>1.44022896</v>
      </c>
      <c r="FU78" s="924">
        <v>1.44022896</v>
      </c>
      <c r="FV78" s="924">
        <v>1.44022896</v>
      </c>
      <c r="FW78" s="924">
        <v>1.44022896</v>
      </c>
      <c r="FX78" s="924">
        <v>1.44022896</v>
      </c>
      <c r="FY78" s="924">
        <v>1.44022896</v>
      </c>
      <c r="FZ78" s="924">
        <v>1.44022896</v>
      </c>
      <c r="GA78" s="924">
        <v>1.44022896</v>
      </c>
      <c r="GB78" s="924">
        <v>1.44022896</v>
      </c>
      <c r="GC78" s="924">
        <v>1.44022896</v>
      </c>
      <c r="GD78" s="924">
        <v>1.44022896</v>
      </c>
      <c r="GF78" s="924">
        <f t="shared" si="264"/>
        <v>38.199756489999999</v>
      </c>
      <c r="GG78" s="924">
        <f t="shared" si="264"/>
        <v>100.56118865999998</v>
      </c>
      <c r="GH78" s="924">
        <f t="shared" si="264"/>
        <v>247.69655793999993</v>
      </c>
      <c r="GI78" s="924">
        <f t="shared" si="264"/>
        <v>619.45825583999999</v>
      </c>
      <c r="GJ78" s="924">
        <f t="shared" ref="GJ78:GJ87" si="294">+SUMIF($E$6:$BL$6,GJ$7,$E78:$BL78)</f>
        <v>1034.3022135000001</v>
      </c>
      <c r="GK78" s="924">
        <f t="shared" si="265"/>
        <v>323.07312678000005</v>
      </c>
      <c r="GL78" s="924">
        <f t="shared" si="256"/>
        <v>533.11261079999997</v>
      </c>
      <c r="GM78" s="924">
        <f t="shared" si="257"/>
        <v>651.16572646999998</v>
      </c>
      <c r="GN78" s="924">
        <f t="shared" si="258"/>
        <v>17.282747520000004</v>
      </c>
      <c r="GO78" s="924">
        <v>936.82303929999989</v>
      </c>
      <c r="GQ78" s="927">
        <f t="shared" si="266"/>
        <v>1.4631427018774459</v>
      </c>
      <c r="GR78" s="927">
        <f t="shared" si="266"/>
        <v>1.5008755107127998</v>
      </c>
      <c r="GS78" s="927">
        <f t="shared" si="266"/>
        <v>0.669688318379843</v>
      </c>
      <c r="GT78" s="927">
        <f t="shared" si="266"/>
        <v>-0.68764146246313729</v>
      </c>
      <c r="GU78" s="927">
        <f t="shared" si="266"/>
        <v>0.65012985175652949</v>
      </c>
      <c r="GV78" s="927">
        <f t="shared" si="266"/>
        <v>0.22144123638877544</v>
      </c>
      <c r="GW78" s="927">
        <f t="shared" si="189"/>
        <v>-0.97345875739853416</v>
      </c>
      <c r="GX78" s="927">
        <f t="shared" si="189"/>
        <v>53.205677553056084</v>
      </c>
      <c r="GY78" s="927">
        <f t="shared" si="249"/>
        <v>0.43868603831249176</v>
      </c>
      <c r="HA78" s="924">
        <f t="shared" si="267"/>
        <v>147.13536927999996</v>
      </c>
      <c r="HB78" s="924">
        <f t="shared" si="267"/>
        <v>371.76169790000006</v>
      </c>
      <c r="HC78" s="924">
        <f t="shared" si="267"/>
        <v>414.84395766000011</v>
      </c>
      <c r="HD78" s="924">
        <f t="shared" si="267"/>
        <v>-711.22908672000005</v>
      </c>
      <c r="HE78" s="924">
        <f t="shared" si="226"/>
        <v>210.03948401999992</v>
      </c>
      <c r="HF78" s="924">
        <f t="shared" si="226"/>
        <v>118.05311567000001</v>
      </c>
      <c r="HG78" s="924">
        <f t="shared" si="226"/>
        <v>-633.88297894999994</v>
      </c>
      <c r="HH78" s="924">
        <f t="shared" si="226"/>
        <v>919.54029177999985</v>
      </c>
      <c r="HI78" s="924">
        <f t="shared" si="251"/>
        <v>285.65731282999991</v>
      </c>
      <c r="HK78" s="76">
        <f t="shared" si="268"/>
        <v>2.7359657776550141E-3</v>
      </c>
      <c r="HL78" s="76">
        <f t="shared" si="268"/>
        <v>6.2894313528623069E-3</v>
      </c>
      <c r="HM78" s="76">
        <f t="shared" si="268"/>
        <v>3.6757029791676055E-2</v>
      </c>
      <c r="HN78" s="76">
        <f t="shared" si="268"/>
        <v>0.16812381468926918</v>
      </c>
      <c r="HO78" s="76">
        <f t="shared" si="268"/>
        <v>2.3705151747788696E-2</v>
      </c>
      <c r="HP78" s="76">
        <f t="shared" si="268"/>
        <v>3.7674381519609002E-2</v>
      </c>
      <c r="HQ78" s="76">
        <f t="shared" si="268"/>
        <v>3.0672898465956281E-2</v>
      </c>
      <c r="HR78" s="76">
        <f t="shared" si="268"/>
        <v>1.0985520893554467E-3</v>
      </c>
      <c r="HS78" s="76">
        <f t="shared" si="268"/>
        <v>7.423386772224623E-2</v>
      </c>
      <c r="HU78" s="924">
        <f t="shared" si="269"/>
        <v>17.38461027</v>
      </c>
      <c r="HV78" s="924">
        <f t="shared" si="269"/>
        <v>55.981668310000003</v>
      </c>
      <c r="HW78" s="924">
        <f t="shared" si="269"/>
        <v>86.663144250000002</v>
      </c>
      <c r="HX78" s="924">
        <f t="shared" si="269"/>
        <v>233.41292579999998</v>
      </c>
      <c r="HY78" s="924">
        <f t="shared" si="269"/>
        <v>271.64138322000002</v>
      </c>
      <c r="HZ78" s="924">
        <f t="shared" si="269"/>
        <v>151.00354325000001</v>
      </c>
      <c r="IA78" s="924">
        <f t="shared" si="270"/>
        <v>251.31362389</v>
      </c>
      <c r="IB78" s="924">
        <f t="shared" si="271"/>
        <v>334.16681374000001</v>
      </c>
      <c r="IC78" s="924">
        <f t="shared" si="272"/>
        <v>776.5763605599999</v>
      </c>
      <c r="ID78" s="924">
        <f t="shared" si="253"/>
        <v>8.6413737600000005</v>
      </c>
      <c r="IE78" s="924">
        <f t="shared" si="273"/>
        <v>0</v>
      </c>
      <c r="IG78" s="924">
        <f t="shared" si="254"/>
        <v>776.5763605599999</v>
      </c>
      <c r="IH78" s="924">
        <f t="shared" si="254"/>
        <v>8.6413737600000005</v>
      </c>
      <c r="II78" s="145"/>
      <c r="IJ78" s="927">
        <f t="shared" si="274"/>
        <v>89.867234322705642</v>
      </c>
      <c r="IK78" s="928">
        <f t="shared" si="275"/>
        <v>767.93498679999993</v>
      </c>
      <c r="IM78" s="76">
        <f t="shared" si="276"/>
        <v>0.11942580596504786</v>
      </c>
      <c r="IN78" s="927">
        <f t="shared" si="277"/>
        <v>1.2238282263056087E-3</v>
      </c>
      <c r="IP78" s="927">
        <f t="shared" ref="IP78:IU87" si="295">+IFERROR(HW78/HV78-1,"")</f>
        <v>0.5480629082023869</v>
      </c>
      <c r="IQ78" s="927">
        <f t="shared" si="295"/>
        <v>1.6933355328842685</v>
      </c>
      <c r="IR78" s="927">
        <f t="shared" si="295"/>
        <v>0.1637803788670904</v>
      </c>
      <c r="IS78" s="927">
        <f t="shared" si="295"/>
        <v>-0.4441070007079756</v>
      </c>
      <c r="IT78" s="927">
        <f t="shared" si="295"/>
        <v>0.66428958209230626</v>
      </c>
      <c r="IU78" s="927">
        <f t="shared" si="295"/>
        <v>0.32968045491343867</v>
      </c>
      <c r="IV78" s="927">
        <f t="shared" ref="IV78:IV87" si="296">+IFERROR(IE78/IB78-1,"")</f>
        <v>-1</v>
      </c>
      <c r="IX78" s="924">
        <f t="shared" si="279"/>
        <v>30.681475939999999</v>
      </c>
      <c r="IY78" s="924">
        <f t="shared" si="279"/>
        <v>146.74978154999997</v>
      </c>
      <c r="IZ78" s="924">
        <f t="shared" si="279"/>
        <v>38.228457420000041</v>
      </c>
      <c r="JA78" s="924">
        <f t="shared" si="279"/>
        <v>-120.63783997000002</v>
      </c>
      <c r="JB78" s="924">
        <f t="shared" si="279"/>
        <v>100.31008064</v>
      </c>
      <c r="JC78" s="924">
        <f t="shared" si="279"/>
        <v>82.853189850000007</v>
      </c>
      <c r="JD78" s="924">
        <f t="shared" si="280"/>
        <v>-334.16681374000001</v>
      </c>
      <c r="JF78" s="76">
        <f t="shared" si="281"/>
        <v>1.0869004970593631E-3</v>
      </c>
      <c r="JG78" s="76">
        <f t="shared" si="281"/>
        <v>3.2831263373240206E-3</v>
      </c>
      <c r="JH78" s="76">
        <f t="shared" si="281"/>
        <v>5.3313873322042866E-3</v>
      </c>
      <c r="JI78" s="76">
        <f t="shared" si="281"/>
        <v>2.4953077106484561E-2</v>
      </c>
      <c r="JJ78" s="76">
        <f t="shared" si="281"/>
        <v>0.1353722681047185</v>
      </c>
      <c r="JK78" s="76">
        <f t="shared" si="281"/>
        <v>2.1754316395834479E-2</v>
      </c>
      <c r="JL78" s="76">
        <f t="shared" si="281"/>
        <v>4.7512196521338326E-2</v>
      </c>
      <c r="JM78" s="76">
        <f t="shared" si="282"/>
        <v>0</v>
      </c>
      <c r="JO78" s="924">
        <f t="shared" si="283"/>
        <v>2.8401576600000009</v>
      </c>
      <c r="JP78" s="924">
        <f t="shared" si="283"/>
        <v>10.391298769999999</v>
      </c>
      <c r="JQ78" s="924">
        <f t="shared" si="283"/>
        <v>4.19651087</v>
      </c>
      <c r="JR78" s="924">
        <f t="shared" si="283"/>
        <v>16.634481210000001</v>
      </c>
      <c r="JS78" s="924">
        <f t="shared" si="283"/>
        <v>24.641454579999998</v>
      </c>
      <c r="JT78" s="924">
        <f t="shared" si="284"/>
        <v>41.054653090000002</v>
      </c>
      <c r="JU78" s="924">
        <f t="shared" si="285"/>
        <v>42.467218250000002</v>
      </c>
      <c r="JV78" s="924">
        <f t="shared" si="285"/>
        <v>48.900156609999996</v>
      </c>
      <c r="JW78" s="924">
        <f t="shared" si="286"/>
        <v>132.51597569</v>
      </c>
      <c r="JX78" s="924">
        <f t="shared" si="287"/>
        <v>1.44022896</v>
      </c>
      <c r="JY78" s="924">
        <f t="shared" si="288"/>
        <v>0</v>
      </c>
      <c r="KB78" s="76">
        <f t="shared" si="289"/>
        <v>-0.59615145682121495</v>
      </c>
      <c r="KC78" s="76">
        <f t="shared" si="289"/>
        <v>2.9638837418286017</v>
      </c>
      <c r="KD78" s="76">
        <f t="shared" si="289"/>
        <v>0.48134794640824241</v>
      </c>
      <c r="KE78" s="76">
        <f t="shared" si="289"/>
        <v>0.66608074846854293</v>
      </c>
      <c r="KF78" s="76">
        <f t="shared" si="289"/>
        <v>3.4406944248277505E-2</v>
      </c>
      <c r="KG78" s="76">
        <f t="shared" si="289"/>
        <v>0.15148009747495039</v>
      </c>
      <c r="KH78" s="76">
        <f t="shared" si="290"/>
        <v>-1</v>
      </c>
      <c r="KJ78" s="924">
        <f t="shared" si="291"/>
        <v>-6.1947878999999988</v>
      </c>
      <c r="KK78" s="924">
        <f t="shared" si="291"/>
        <v>12.43797034</v>
      </c>
      <c r="KL78" s="924">
        <f t="shared" si="291"/>
        <v>8.0069733699999972</v>
      </c>
      <c r="KM78" s="924">
        <f t="shared" si="291"/>
        <v>16.413198510000004</v>
      </c>
      <c r="KN78" s="924">
        <f t="shared" si="291"/>
        <v>1.4125651599999998</v>
      </c>
      <c r="KO78" s="924">
        <f t="shared" si="291"/>
        <v>6.4329383599999943</v>
      </c>
      <c r="KP78" s="924">
        <f t="shared" si="292"/>
        <v>-48.900156609999996</v>
      </c>
      <c r="KR78" s="76">
        <f t="shared" si="293"/>
        <v>8.859370525974926E-4</v>
      </c>
      <c r="KS78" s="76">
        <f t="shared" si="293"/>
        <v>3.0896638271654506E-3</v>
      </c>
      <c r="KT78" s="76">
        <f t="shared" si="293"/>
        <v>1.6726277122766711E-3</v>
      </c>
      <c r="KU78" s="76">
        <f t="shared" si="293"/>
        <v>1.8592929964695526E-2</v>
      </c>
      <c r="KV78" s="76">
        <f t="shared" si="293"/>
        <v>7.8967888811817238E-2</v>
      </c>
      <c r="KW78" s="76">
        <f t="shared" si="293"/>
        <v>4.0486973647545131E-2</v>
      </c>
      <c r="KX78" s="76">
        <f t="shared" si="293"/>
        <v>4.8415109061895917E-2</v>
      </c>
      <c r="KY78" s="76">
        <f t="shared" si="293"/>
        <v>3.195848734986894E-2</v>
      </c>
      <c r="KZ78" s="76">
        <f t="shared" si="46"/>
        <v>0</v>
      </c>
    </row>
    <row r="79" spans="1:312" outlineLevel="1">
      <c r="A79" s="884">
        <v>4215</v>
      </c>
      <c r="B79" s="70" t="s">
        <v>661</v>
      </c>
      <c r="C79" s="17" t="s">
        <v>98</v>
      </c>
      <c r="D79" s="31" t="s">
        <v>59</v>
      </c>
      <c r="E79" s="102">
        <v>0</v>
      </c>
      <c r="F79" s="102">
        <v>2.7480311200000003</v>
      </c>
      <c r="G79" s="102">
        <v>2.9275264799999992</v>
      </c>
      <c r="H79" s="102">
        <v>0</v>
      </c>
      <c r="I79" s="102">
        <v>6.2958286200000018</v>
      </c>
      <c r="J79" s="102">
        <v>0</v>
      </c>
      <c r="K79" s="102">
        <v>2.6650655999999984</v>
      </c>
      <c r="L79" s="102">
        <v>0</v>
      </c>
      <c r="M79" s="102">
        <v>0</v>
      </c>
      <c r="N79" s="102">
        <v>0</v>
      </c>
      <c r="O79" s="102">
        <v>0</v>
      </c>
      <c r="P79" s="102">
        <v>0</v>
      </c>
      <c r="Q79" s="102">
        <v>33.205745759999999</v>
      </c>
      <c r="R79" s="102">
        <v>0</v>
      </c>
      <c r="S79" s="102">
        <v>13.614067899999995</v>
      </c>
      <c r="T79" s="102">
        <v>0</v>
      </c>
      <c r="U79" s="102">
        <v>0</v>
      </c>
      <c r="V79" s="102">
        <v>0</v>
      </c>
      <c r="W79" s="102">
        <v>0</v>
      </c>
      <c r="X79" s="102">
        <v>50.297960000000003</v>
      </c>
      <c r="Y79" s="102">
        <v>0</v>
      </c>
      <c r="Z79" s="102">
        <v>0.1373494900000054</v>
      </c>
      <c r="AA79" s="102">
        <v>0</v>
      </c>
      <c r="AB79" s="102">
        <v>837.33682714999998</v>
      </c>
      <c r="AC79" s="102">
        <v>2.448569</v>
      </c>
      <c r="AD79" s="102">
        <v>2.049023</v>
      </c>
      <c r="AE79" s="102">
        <v>2.0800320000000001</v>
      </c>
      <c r="AF79" s="102">
        <v>0</v>
      </c>
      <c r="AG79" s="102">
        <v>16.127880000000001</v>
      </c>
      <c r="AH79" s="102">
        <v>0</v>
      </c>
      <c r="AI79" s="102">
        <v>7.568549</v>
      </c>
      <c r="AJ79" s="102">
        <v>0</v>
      </c>
      <c r="AK79" s="102">
        <v>28.983671000000001</v>
      </c>
      <c r="AL79" s="102">
        <v>0</v>
      </c>
      <c r="AM79" s="102">
        <v>2.627202</v>
      </c>
      <c r="AN79" s="102">
        <v>120.097217</v>
      </c>
      <c r="AO79" s="940">
        <v>7.2116530000000001</v>
      </c>
      <c r="AP79" s="963">
        <v>0</v>
      </c>
      <c r="AQ79" s="962">
        <v>0</v>
      </c>
      <c r="AR79" s="962">
        <v>0</v>
      </c>
      <c r="AS79" s="940">
        <v>0</v>
      </c>
      <c r="AT79" s="940">
        <v>0</v>
      </c>
      <c r="AU79" s="940">
        <v>0</v>
      </c>
      <c r="AV79" s="940">
        <v>0</v>
      </c>
      <c r="AW79" s="940">
        <v>-1.5828540000000002</v>
      </c>
      <c r="AX79" s="940">
        <v>0</v>
      </c>
      <c r="AY79" s="940">
        <v>0</v>
      </c>
      <c r="AZ79" s="940">
        <f>318.331-318.37</f>
        <v>-3.8999999999987267E-2</v>
      </c>
      <c r="BA79" s="102">
        <v>0</v>
      </c>
      <c r="BB79" s="102">
        <v>0</v>
      </c>
      <c r="BC79" s="102">
        <v>0</v>
      </c>
      <c r="BD79" s="102">
        <v>0</v>
      </c>
      <c r="BE79" s="102">
        <v>0</v>
      </c>
      <c r="BF79" s="102">
        <v>0</v>
      </c>
      <c r="BG79" s="102">
        <v>0</v>
      </c>
      <c r="BH79" s="102">
        <v>0</v>
      </c>
      <c r="BI79" s="102">
        <v>0</v>
      </c>
      <c r="BJ79" s="102">
        <v>0</v>
      </c>
      <c r="BK79" s="102">
        <v>0</v>
      </c>
      <c r="BL79" s="102"/>
      <c r="BM79" s="102">
        <v>0</v>
      </c>
      <c r="BN79" s="102">
        <v>0</v>
      </c>
      <c r="BO79" s="102">
        <v>0</v>
      </c>
      <c r="BP79" s="102">
        <v>0</v>
      </c>
      <c r="BQ79" s="102">
        <v>0</v>
      </c>
      <c r="BR79" s="102">
        <v>0</v>
      </c>
      <c r="BS79" s="102">
        <v>0</v>
      </c>
      <c r="BT79" s="102">
        <v>0</v>
      </c>
      <c r="BU79" s="102">
        <v>0</v>
      </c>
      <c r="BV79" s="102">
        <v>0</v>
      </c>
      <c r="BW79" s="102">
        <v>0</v>
      </c>
      <c r="BX79" s="102">
        <v>0</v>
      </c>
      <c r="BY79" s="102">
        <v>0</v>
      </c>
      <c r="BZ79" s="102">
        <v>0</v>
      </c>
      <c r="CA79" s="102">
        <v>0</v>
      </c>
      <c r="CB79" s="102">
        <v>0</v>
      </c>
      <c r="CC79" s="102">
        <v>0</v>
      </c>
      <c r="CD79" s="102">
        <v>0</v>
      </c>
      <c r="CE79" s="102">
        <v>0</v>
      </c>
      <c r="CF79" s="102">
        <v>0</v>
      </c>
      <c r="CG79" s="102">
        <v>0</v>
      </c>
      <c r="CH79" s="102">
        <v>0</v>
      </c>
      <c r="CI79" s="102">
        <v>0</v>
      </c>
      <c r="CJ79" s="102">
        <v>0</v>
      </c>
      <c r="CK79" s="102">
        <v>0</v>
      </c>
      <c r="CL79" s="102">
        <v>0</v>
      </c>
      <c r="CM79" s="102">
        <v>0</v>
      </c>
      <c r="CN79" s="102">
        <v>0</v>
      </c>
      <c r="CO79" s="102">
        <v>0</v>
      </c>
      <c r="CP79" s="102">
        <v>0</v>
      </c>
      <c r="CQ79" s="102">
        <v>0</v>
      </c>
      <c r="CR79" s="102">
        <v>0</v>
      </c>
      <c r="CS79" s="102">
        <v>0</v>
      </c>
      <c r="CT79" s="102">
        <v>0</v>
      </c>
      <c r="CU79" s="102">
        <v>0</v>
      </c>
      <c r="CV79" s="102">
        <v>0</v>
      </c>
      <c r="CW79" s="102">
        <v>0</v>
      </c>
      <c r="CX79" s="102">
        <v>0</v>
      </c>
      <c r="CY79" s="102">
        <v>0</v>
      </c>
      <c r="CZ79" s="102">
        <v>0</v>
      </c>
      <c r="DA79" s="102">
        <v>0</v>
      </c>
      <c r="DB79" s="102">
        <v>0</v>
      </c>
      <c r="DC79" s="102">
        <v>0</v>
      </c>
      <c r="DD79" s="102">
        <v>0</v>
      </c>
      <c r="DE79" s="102">
        <v>0</v>
      </c>
      <c r="DF79" s="102">
        <v>0</v>
      </c>
      <c r="DG79" s="102">
        <v>0</v>
      </c>
      <c r="DH79" s="102">
        <v>0</v>
      </c>
      <c r="DJ79" s="102"/>
      <c r="DK79" s="102"/>
      <c r="DL79" s="102"/>
      <c r="DM79" s="102"/>
      <c r="DN79" s="102"/>
      <c r="DO79" s="102"/>
      <c r="DP79" s="102"/>
      <c r="DQ79" s="102"/>
      <c r="DR79" s="102"/>
      <c r="DS79" s="102"/>
      <c r="DT79" s="102"/>
      <c r="DU79" s="102"/>
      <c r="DW79" s="102">
        <v>5</v>
      </c>
      <c r="DX79" s="102">
        <v>5</v>
      </c>
      <c r="DY79" s="102">
        <v>5</v>
      </c>
      <c r="DZ79" s="102">
        <v>5</v>
      </c>
      <c r="EA79" s="102">
        <v>5</v>
      </c>
      <c r="EB79" s="102">
        <v>5</v>
      </c>
      <c r="EC79" s="102">
        <v>5</v>
      </c>
      <c r="ED79" s="102">
        <v>5</v>
      </c>
      <c r="EE79" s="102">
        <v>5</v>
      </c>
      <c r="EF79" s="102">
        <v>5</v>
      </c>
      <c r="EG79" s="102">
        <v>5</v>
      </c>
      <c r="EH79" s="102">
        <v>5</v>
      </c>
      <c r="EI79" s="102">
        <v>0</v>
      </c>
      <c r="EJ79" s="102">
        <v>0</v>
      </c>
      <c r="EK79" s="102">
        <v>0</v>
      </c>
      <c r="EL79" s="102">
        <v>0</v>
      </c>
      <c r="EM79" s="102">
        <v>0</v>
      </c>
      <c r="EN79" s="102">
        <v>0</v>
      </c>
      <c r="EO79" s="102">
        <v>0</v>
      </c>
      <c r="EP79" s="102">
        <v>0</v>
      </c>
      <c r="EQ79" s="102">
        <v>5.0585798888023641</v>
      </c>
      <c r="ER79" s="102">
        <v>0</v>
      </c>
      <c r="ES79" s="102">
        <v>0</v>
      </c>
      <c r="ET79" s="102">
        <v>0</v>
      </c>
      <c r="EU79" s="102"/>
      <c r="EV79" s="102"/>
      <c r="EW79" s="102"/>
      <c r="EX79" s="102"/>
      <c r="EY79" s="102"/>
      <c r="EZ79" s="102"/>
      <c r="FA79" s="102"/>
      <c r="FB79" s="102"/>
      <c r="FC79" s="102"/>
      <c r="FD79" s="102"/>
      <c r="FE79" s="102"/>
      <c r="FF79" s="102"/>
      <c r="FG79" s="102">
        <v>0</v>
      </c>
      <c r="FH79" s="102">
        <v>0</v>
      </c>
      <c r="FI79" s="102">
        <v>0</v>
      </c>
      <c r="FJ79" s="102">
        <v>0</v>
      </c>
      <c r="FK79" s="102">
        <v>0</v>
      </c>
      <c r="FL79" s="102">
        <v>0</v>
      </c>
      <c r="FM79" s="102">
        <v>0</v>
      </c>
      <c r="FN79" s="102">
        <v>0</v>
      </c>
      <c r="FO79" s="102">
        <v>0</v>
      </c>
      <c r="FP79" s="102">
        <v>0</v>
      </c>
      <c r="FQ79" s="102">
        <v>0</v>
      </c>
      <c r="FR79" s="102">
        <v>0</v>
      </c>
      <c r="FS79" s="102">
        <v>0</v>
      </c>
      <c r="FT79" s="102">
        <v>0</v>
      </c>
      <c r="FU79" s="102">
        <v>0</v>
      </c>
      <c r="FV79" s="102">
        <v>0</v>
      </c>
      <c r="FW79" s="102">
        <v>0</v>
      </c>
      <c r="FX79" s="102">
        <v>0</v>
      </c>
      <c r="FY79" s="102">
        <v>0</v>
      </c>
      <c r="FZ79" s="102">
        <v>0</v>
      </c>
      <c r="GA79" s="102">
        <v>0</v>
      </c>
      <c r="GB79" s="102">
        <v>0</v>
      </c>
      <c r="GC79" s="102">
        <v>0</v>
      </c>
      <c r="GD79" s="102">
        <v>0</v>
      </c>
      <c r="GF79" s="102">
        <f t="shared" si="264"/>
        <v>14.63645182</v>
      </c>
      <c r="GG79" s="102">
        <f t="shared" si="264"/>
        <v>934.59195030000001</v>
      </c>
      <c r="GH79" s="102">
        <f t="shared" si="264"/>
        <v>181.98214300000001</v>
      </c>
      <c r="GI79" s="102">
        <f t="shared" si="264"/>
        <v>5.5897990000000126</v>
      </c>
      <c r="GJ79" s="102">
        <f t="shared" si="294"/>
        <v>0</v>
      </c>
      <c r="GK79" s="102">
        <f t="shared" si="265"/>
        <v>0</v>
      </c>
      <c r="GL79" s="102">
        <f t="shared" si="256"/>
        <v>0</v>
      </c>
      <c r="GM79" s="102">
        <f t="shared" si="257"/>
        <v>0</v>
      </c>
      <c r="GN79" s="102">
        <f t="shared" si="258"/>
        <v>0</v>
      </c>
      <c r="GO79" s="102">
        <v>0</v>
      </c>
      <c r="GQ79" s="929">
        <f t="shared" si="266"/>
        <v>-0.80528171364884482</v>
      </c>
      <c r="GR79" s="929">
        <f t="shared" si="266"/>
        <v>-0.96928380495002742</v>
      </c>
      <c r="GS79" s="929">
        <f t="shared" si="266"/>
        <v>-1</v>
      </c>
      <c r="GT79" s="929" t="str">
        <f t="shared" si="266"/>
        <v/>
      </c>
      <c r="GU79" s="929" t="str">
        <f t="shared" si="266"/>
        <v/>
      </c>
      <c r="GV79" s="929" t="str">
        <f t="shared" si="266"/>
        <v/>
      </c>
      <c r="GW79" s="929" t="str">
        <f t="shared" si="266"/>
        <v/>
      </c>
      <c r="GX79" s="929" t="str">
        <f t="shared" si="266"/>
        <v/>
      </c>
      <c r="GY79" s="929" t="str">
        <f t="shared" si="249"/>
        <v/>
      </c>
      <c r="HA79" s="102">
        <f t="shared" si="267"/>
        <v>-752.60980730000006</v>
      </c>
      <c r="HB79" s="102">
        <f t="shared" si="267"/>
        <v>-176.39234400000001</v>
      </c>
      <c r="HC79" s="102">
        <f t="shared" si="267"/>
        <v>-5.5897990000000126</v>
      </c>
      <c r="HD79" s="102">
        <f t="shared" si="267"/>
        <v>0</v>
      </c>
      <c r="HE79" s="102">
        <f t="shared" si="226"/>
        <v>0</v>
      </c>
      <c r="HF79" s="102">
        <f t="shared" si="226"/>
        <v>0</v>
      </c>
      <c r="HG79" s="102">
        <f t="shared" si="226"/>
        <v>0</v>
      </c>
      <c r="HH79" s="102">
        <f t="shared" si="226"/>
        <v>0</v>
      </c>
      <c r="HI79" s="102">
        <f t="shared" si="251"/>
        <v>0</v>
      </c>
      <c r="HK79" s="32">
        <f t="shared" si="268"/>
        <v>2.5427420122667594E-2</v>
      </c>
      <c r="HL79" s="32">
        <f t="shared" si="268"/>
        <v>4.6208320590491294E-3</v>
      </c>
      <c r="HM79" s="32">
        <f t="shared" si="268"/>
        <v>3.3168402622040595E-4</v>
      </c>
      <c r="HN79" s="32">
        <f t="shared" si="268"/>
        <v>0</v>
      </c>
      <c r="HO79" s="32">
        <f t="shared" si="268"/>
        <v>0</v>
      </c>
      <c r="HP79" s="32">
        <f t="shared" si="268"/>
        <v>0</v>
      </c>
      <c r="HQ79" s="32">
        <f t="shared" si="268"/>
        <v>0</v>
      </c>
      <c r="HR79" s="32">
        <f t="shared" si="268"/>
        <v>0</v>
      </c>
      <c r="HS79" s="32">
        <f t="shared" si="268"/>
        <v>0</v>
      </c>
      <c r="HU79" s="102">
        <f t="shared" si="269"/>
        <v>11.971386220000001</v>
      </c>
      <c r="HV79" s="102">
        <f t="shared" si="269"/>
        <v>46.819813659999994</v>
      </c>
      <c r="HW79" s="102">
        <f t="shared" si="269"/>
        <v>22.705504000000001</v>
      </c>
      <c r="HX79" s="102">
        <f t="shared" si="269"/>
        <v>7.2116530000000001</v>
      </c>
      <c r="HY79" s="102">
        <f t="shared" si="269"/>
        <v>0</v>
      </c>
      <c r="HZ79" s="102">
        <f t="shared" si="269"/>
        <v>0</v>
      </c>
      <c r="IA79" s="102">
        <f t="shared" si="270"/>
        <v>0</v>
      </c>
      <c r="IB79" s="102">
        <f t="shared" si="271"/>
        <v>0</v>
      </c>
      <c r="IC79" s="102">
        <f t="shared" si="272"/>
        <v>0</v>
      </c>
      <c r="ID79" s="102">
        <f t="shared" si="253"/>
        <v>0</v>
      </c>
      <c r="IE79" s="102">
        <f t="shared" si="273"/>
        <v>0</v>
      </c>
      <c r="IG79" s="102">
        <f t="shared" si="254"/>
        <v>0</v>
      </c>
      <c r="IH79" s="102">
        <f t="shared" si="254"/>
        <v>0</v>
      </c>
      <c r="II79" s="145"/>
      <c r="IJ79" s="929" t="str">
        <f t="shared" si="274"/>
        <v/>
      </c>
      <c r="IK79" s="930">
        <f t="shared" si="275"/>
        <v>0</v>
      </c>
      <c r="IM79" s="32">
        <f t="shared" si="276"/>
        <v>0</v>
      </c>
      <c r="IN79" s="929">
        <f t="shared" si="277"/>
        <v>0</v>
      </c>
      <c r="IP79" s="929">
        <f t="shared" si="295"/>
        <v>-0.5150449729491724</v>
      </c>
      <c r="IQ79" s="929">
        <f t="shared" si="295"/>
        <v>-0.68238304685947515</v>
      </c>
      <c r="IR79" s="929">
        <f t="shared" si="295"/>
        <v>-1</v>
      </c>
      <c r="IS79" s="929" t="str">
        <f t="shared" si="295"/>
        <v/>
      </c>
      <c r="IT79" s="929" t="str">
        <f t="shared" si="295"/>
        <v/>
      </c>
      <c r="IU79" s="929" t="str">
        <f t="shared" si="295"/>
        <v/>
      </c>
      <c r="IV79" s="929" t="str">
        <f t="shared" si="296"/>
        <v/>
      </c>
      <c r="IX79" s="102">
        <f t="shared" si="279"/>
        <v>-24.114309659999993</v>
      </c>
      <c r="IY79" s="102">
        <f t="shared" si="279"/>
        <v>-15.493851000000001</v>
      </c>
      <c r="IZ79" s="102">
        <f t="shared" si="279"/>
        <v>-7.2116530000000001</v>
      </c>
      <c r="JA79" s="102">
        <f t="shared" si="279"/>
        <v>0</v>
      </c>
      <c r="JB79" s="102">
        <f t="shared" si="279"/>
        <v>0</v>
      </c>
      <c r="JC79" s="102">
        <f t="shared" si="279"/>
        <v>0</v>
      </c>
      <c r="JD79" s="102">
        <f t="shared" si="280"/>
        <v>0</v>
      </c>
      <c r="JF79" s="32">
        <f t="shared" si="281"/>
        <v>7.4846116369151202E-4</v>
      </c>
      <c r="JG79" s="32">
        <f t="shared" si="281"/>
        <v>2.7458160497208827E-3</v>
      </c>
      <c r="JH79" s="32">
        <f t="shared" si="281"/>
        <v>1.3968087292991769E-3</v>
      </c>
      <c r="JI79" s="32">
        <f t="shared" si="281"/>
        <v>7.7096387339064295E-4</v>
      </c>
      <c r="JJ79" s="32">
        <f t="shared" si="281"/>
        <v>0</v>
      </c>
      <c r="JK79" s="32">
        <f t="shared" si="281"/>
        <v>0</v>
      </c>
      <c r="JL79" s="32">
        <f t="shared" si="281"/>
        <v>0</v>
      </c>
      <c r="JM79" s="32">
        <f t="shared" si="282"/>
        <v>0</v>
      </c>
      <c r="JO79" s="102">
        <f t="shared" si="283"/>
        <v>0</v>
      </c>
      <c r="JP79" s="102">
        <f t="shared" si="283"/>
        <v>0</v>
      </c>
      <c r="JQ79" s="102">
        <f t="shared" si="283"/>
        <v>0</v>
      </c>
      <c r="JR79" s="102">
        <f t="shared" si="283"/>
        <v>0</v>
      </c>
      <c r="JS79" s="102">
        <f t="shared" si="283"/>
        <v>0</v>
      </c>
      <c r="JT79" s="102">
        <f t="shared" si="284"/>
        <v>0</v>
      </c>
      <c r="JU79" s="102">
        <f t="shared" si="285"/>
        <v>0</v>
      </c>
      <c r="JV79" s="102">
        <f t="shared" si="285"/>
        <v>0</v>
      </c>
      <c r="JW79" s="102">
        <f t="shared" si="286"/>
        <v>0</v>
      </c>
      <c r="JX79" s="102">
        <f t="shared" si="287"/>
        <v>0</v>
      </c>
      <c r="JY79" s="102">
        <f t="shared" si="288"/>
        <v>0</v>
      </c>
      <c r="KB79" s="32" t="str">
        <f t="shared" si="289"/>
        <v xml:space="preserve"> </v>
      </c>
      <c r="KC79" s="32" t="str">
        <f t="shared" si="289"/>
        <v xml:space="preserve"> </v>
      </c>
      <c r="KD79" s="32" t="str">
        <f t="shared" si="289"/>
        <v xml:space="preserve"> </v>
      </c>
      <c r="KE79" s="32" t="str">
        <f t="shared" si="289"/>
        <v xml:space="preserve"> </v>
      </c>
      <c r="KF79" s="32" t="str">
        <f t="shared" si="289"/>
        <v xml:space="preserve"> </v>
      </c>
      <c r="KG79" s="32" t="str">
        <f t="shared" si="289"/>
        <v xml:space="preserve"> </v>
      </c>
      <c r="KH79" s="32" t="str">
        <f t="shared" si="290"/>
        <v xml:space="preserve"> </v>
      </c>
      <c r="KJ79" s="102">
        <f t="shared" si="291"/>
        <v>0</v>
      </c>
      <c r="KK79" s="102">
        <f t="shared" si="291"/>
        <v>0</v>
      </c>
      <c r="KL79" s="102">
        <f t="shared" si="291"/>
        <v>0</v>
      </c>
      <c r="KM79" s="102">
        <f t="shared" si="291"/>
        <v>0</v>
      </c>
      <c r="KN79" s="102">
        <f t="shared" si="291"/>
        <v>0</v>
      </c>
      <c r="KO79" s="102">
        <f t="shared" si="291"/>
        <v>0</v>
      </c>
      <c r="KP79" s="102">
        <f t="shared" si="292"/>
        <v>0</v>
      </c>
      <c r="KR79" s="32">
        <f t="shared" si="293"/>
        <v>0</v>
      </c>
      <c r="KS79" s="32">
        <f t="shared" si="293"/>
        <v>0</v>
      </c>
      <c r="KT79" s="32">
        <f t="shared" si="293"/>
        <v>0</v>
      </c>
      <c r="KU79" s="32">
        <f t="shared" si="293"/>
        <v>0</v>
      </c>
      <c r="KV79" s="32">
        <f t="shared" si="293"/>
        <v>0</v>
      </c>
      <c r="KW79" s="32">
        <f t="shared" si="293"/>
        <v>0</v>
      </c>
      <c r="KX79" s="32">
        <f t="shared" si="293"/>
        <v>0</v>
      </c>
      <c r="KY79" s="32">
        <f t="shared" si="293"/>
        <v>0</v>
      </c>
      <c r="KZ79" s="32">
        <f t="shared" si="46"/>
        <v>0</v>
      </c>
    </row>
    <row r="80" spans="1:312" outlineLevel="1">
      <c r="A80" s="884"/>
      <c r="B80" s="70"/>
      <c r="C80" s="186" t="s">
        <v>99</v>
      </c>
      <c r="D80" s="307" t="s">
        <v>59</v>
      </c>
      <c r="E80" s="931">
        <v>2.9632999999999998E-4</v>
      </c>
      <c r="F80" s="931">
        <v>1.1272599999999999E-3</v>
      </c>
      <c r="G80" s="931">
        <v>6.669899999999999E-4</v>
      </c>
      <c r="H80" s="931">
        <v>5.4055999999999983E-4</v>
      </c>
      <c r="I80" s="931">
        <v>3.6505000000000044E-4</v>
      </c>
      <c r="J80" s="931">
        <v>3.8629800000000002E-3</v>
      </c>
      <c r="K80" s="931">
        <v>2.3703499999999994E-3</v>
      </c>
      <c r="L80" s="931">
        <v>34.109295069999995</v>
      </c>
      <c r="M80" s="931">
        <v>17.028660040000002</v>
      </c>
      <c r="N80" s="931">
        <v>1.446359999999999E-3</v>
      </c>
      <c r="O80" s="931">
        <v>3.6545100000000014E-3</v>
      </c>
      <c r="P80" s="931">
        <v>5.9034599999999993E-3</v>
      </c>
      <c r="Q80" s="931">
        <v>15.13517594</v>
      </c>
      <c r="R80" s="931">
        <v>9.0356999999999981E-4</v>
      </c>
      <c r="S80" s="931">
        <v>7.9054116600000004</v>
      </c>
      <c r="T80" s="931">
        <v>9.8240377100000025</v>
      </c>
      <c r="U80" s="931">
        <v>8.1827776399999976</v>
      </c>
      <c r="V80" s="931">
        <v>2.8527118900000019</v>
      </c>
      <c r="W80" s="931">
        <v>8.5690607000000014</v>
      </c>
      <c r="X80" s="931">
        <v>1.5107018799999992</v>
      </c>
      <c r="Y80" s="931">
        <v>2.06090704</v>
      </c>
      <c r="Z80" s="931">
        <v>5.0590192599999995</v>
      </c>
      <c r="AA80" s="931">
        <v>2.4449349300000023</v>
      </c>
      <c r="AB80" s="931">
        <v>15.573310269999993</v>
      </c>
      <c r="AC80" s="931">
        <v>15.889524420000001</v>
      </c>
      <c r="AD80" s="931">
        <v>9.3668683300000009</v>
      </c>
      <c r="AE80" s="931">
        <v>41.39382475</v>
      </c>
      <c r="AF80" s="931">
        <v>8.1811395999999998</v>
      </c>
      <c r="AG80" s="931">
        <v>0.51179929999999996</v>
      </c>
      <c r="AH80" s="931">
        <v>4.1043249999999996E-2</v>
      </c>
      <c r="AI80" s="931">
        <v>4.1585094099999997</v>
      </c>
      <c r="AJ80" s="931">
        <v>1.40818888</v>
      </c>
      <c r="AK80" s="931">
        <v>24.798172819999998</v>
      </c>
      <c r="AL80" s="931">
        <v>8.3894562500000003</v>
      </c>
      <c r="AM80" s="931">
        <v>11.976803030000001</v>
      </c>
      <c r="AN80" s="931">
        <v>2132.8764355900003</v>
      </c>
      <c r="AO80" s="931">
        <f>+AO81+AO84</f>
        <v>6.00016806</v>
      </c>
      <c r="AP80" s="931">
        <f t="shared" ref="AP80:AZ80" si="297">+AP81+AP84</f>
        <v>1.7580418000000002</v>
      </c>
      <c r="AQ80" s="931">
        <f t="shared" si="297"/>
        <v>101.26391744</v>
      </c>
      <c r="AR80" s="931">
        <f t="shared" si="297"/>
        <v>5.2069702599999994</v>
      </c>
      <c r="AS80" s="931">
        <f t="shared" si="297"/>
        <v>11.765167640000001</v>
      </c>
      <c r="AT80" s="931">
        <f t="shared" si="297"/>
        <v>3350.00055127</v>
      </c>
      <c r="AU80" s="931">
        <f t="shared" si="297"/>
        <v>120.13327382000001</v>
      </c>
      <c r="AV80" s="931">
        <f t="shared" si="297"/>
        <v>8.617547759999999</v>
      </c>
      <c r="AW80" s="931">
        <f t="shared" si="297"/>
        <v>4.3502955099999996</v>
      </c>
      <c r="AX80" s="931">
        <f t="shared" si="297"/>
        <v>1.4939569699999997</v>
      </c>
      <c r="AY80" s="931">
        <f t="shared" si="297"/>
        <v>1.8615255500000001</v>
      </c>
      <c r="AZ80" s="931">
        <f t="shared" si="297"/>
        <v>1586.7087372599999</v>
      </c>
      <c r="BA80" s="933">
        <f>+BA81+BA84</f>
        <v>0.19664075</v>
      </c>
      <c r="BB80" s="933">
        <f>+BB81+BB84</f>
        <v>15.133781210000002</v>
      </c>
      <c r="BC80" s="933">
        <f>+BC81+BC84</f>
        <v>8.6985212000000001</v>
      </c>
      <c r="BD80" s="933">
        <f>+BD81+BD84</f>
        <v>307.49912176999999</v>
      </c>
      <c r="BE80" s="933">
        <f t="shared" ref="BE80:DG80" si="298">+BE81+BE84</f>
        <v>4.9486844799999998</v>
      </c>
      <c r="BF80" s="933">
        <f t="shared" si="298"/>
        <v>8.6769328599999991</v>
      </c>
      <c r="BG80" s="933">
        <f t="shared" si="298"/>
        <v>2.05116977</v>
      </c>
      <c r="BH80" s="933">
        <f t="shared" si="298"/>
        <v>0.85867866999999998</v>
      </c>
      <c r="BI80" s="933">
        <f t="shared" si="298"/>
        <v>20.00338198</v>
      </c>
      <c r="BJ80" s="933">
        <f t="shared" si="298"/>
        <v>6.5549E-4</v>
      </c>
      <c r="BK80" s="933">
        <f t="shared" si="298"/>
        <v>45.64331859</v>
      </c>
      <c r="BL80" s="933">
        <f t="shared" si="298"/>
        <v>0.25307886000000002</v>
      </c>
      <c r="BM80" s="931">
        <f t="shared" si="298"/>
        <v>0.16689446999999999</v>
      </c>
      <c r="BN80" s="931">
        <f t="shared" si="298"/>
        <v>1.6462000000000001E-4</v>
      </c>
      <c r="BO80" s="931">
        <f t="shared" si="298"/>
        <v>2.2274899999999999E-3</v>
      </c>
      <c r="BP80" s="931">
        <f t="shared" si="298"/>
        <v>1.5253E-4</v>
      </c>
      <c r="BQ80" s="931">
        <f t="shared" si="298"/>
        <v>2.3305399999999999E-3</v>
      </c>
      <c r="BR80" s="931">
        <f t="shared" si="298"/>
        <v>5.8061000000000007E-4</v>
      </c>
      <c r="BS80" s="931">
        <f t="shared" si="298"/>
        <v>2.2607299999999999E-3</v>
      </c>
      <c r="BT80" s="931">
        <f t="shared" si="298"/>
        <v>3.4131999999999999E-4</v>
      </c>
      <c r="BU80" s="931">
        <f t="shared" si="298"/>
        <v>1.7969500000000001E-3</v>
      </c>
      <c r="BV80" s="931">
        <f t="shared" si="298"/>
        <v>8.8101999999999994E-4</v>
      </c>
      <c r="BW80" s="931">
        <f t="shared" si="298"/>
        <v>5.2280589999999995E-2</v>
      </c>
      <c r="BX80" s="931">
        <f t="shared" si="298"/>
        <v>6.994323999999999E-2</v>
      </c>
      <c r="BY80" s="931">
        <f t="shared" si="298"/>
        <v>2.6925500000000002E-3</v>
      </c>
      <c r="BZ80" s="931">
        <f t="shared" si="298"/>
        <v>8.0361000000000007E-4</v>
      </c>
      <c r="CA80" s="931">
        <f t="shared" si="298"/>
        <v>1.2116399999999999E-3</v>
      </c>
      <c r="CB80" s="931">
        <f t="shared" si="298"/>
        <v>9.3422111099999992</v>
      </c>
      <c r="CC80" s="931">
        <f t="shared" si="298"/>
        <v>3.7578000000000004E-3</v>
      </c>
      <c r="CD80" s="931">
        <f t="shared" si="298"/>
        <v>4.9815999999999999E-4</v>
      </c>
      <c r="CE80" s="931">
        <f t="shared" si="298"/>
        <v>0.77346554999999995</v>
      </c>
      <c r="CF80" s="931">
        <f t="shared" si="298"/>
        <v>3.9118000000000003E-4</v>
      </c>
      <c r="CG80" s="931">
        <f t="shared" si="298"/>
        <v>1.9237049999999999E-2</v>
      </c>
      <c r="CH80" s="931">
        <f t="shared" si="298"/>
        <v>0.57452024000000002</v>
      </c>
      <c r="CI80" s="931">
        <f t="shared" si="298"/>
        <v>1.5796E-3</v>
      </c>
      <c r="CJ80" s="931">
        <f t="shared" si="298"/>
        <v>94.828403969999997</v>
      </c>
      <c r="CK80" s="931">
        <f t="shared" si="298"/>
        <v>1.0624E-3</v>
      </c>
      <c r="CL80" s="931">
        <f t="shared" si="298"/>
        <v>2.4283099999999999E-3</v>
      </c>
      <c r="CM80" s="931">
        <f t="shared" si="298"/>
        <v>6.9841999999999994E-4</v>
      </c>
      <c r="CN80" s="931">
        <f t="shared" si="298"/>
        <v>5.4043000000000006E-4</v>
      </c>
      <c r="CO80" s="931">
        <f t="shared" si="298"/>
        <v>2.9360316900000001</v>
      </c>
      <c r="CP80" s="931">
        <f t="shared" si="298"/>
        <v>8.6185999999999999E-4</v>
      </c>
      <c r="CQ80" s="931">
        <f t="shared" si="298"/>
        <v>0.41737471999999998</v>
      </c>
      <c r="CR80" s="931">
        <f t="shared" si="298"/>
        <v>4.2691000000014899E-4</v>
      </c>
      <c r="CS80" s="931">
        <f t="shared" si="298"/>
        <v>4.6266199999999997E-3</v>
      </c>
      <c r="CT80" s="931">
        <f t="shared" si="298"/>
        <v>0.11668603000000001</v>
      </c>
      <c r="CU80" s="931">
        <f t="shared" si="298"/>
        <v>4.6332046800000004</v>
      </c>
      <c r="CV80" s="931">
        <f t="shared" si="298"/>
        <v>5.4210600000000001E-3</v>
      </c>
      <c r="CW80" s="931">
        <f t="shared" si="298"/>
        <v>1.26964E-3</v>
      </c>
      <c r="CX80" s="931">
        <f t="shared" si="298"/>
        <v>6.6583999999999992E-3</v>
      </c>
      <c r="CY80" s="931">
        <f t="shared" si="298"/>
        <v>9.9821000000000003E-4</v>
      </c>
      <c r="CZ80" s="931">
        <f t="shared" si="298"/>
        <v>8.1086999999999999E-3</v>
      </c>
      <c r="DA80" s="931">
        <f t="shared" si="298"/>
        <v>9.9982000000000001E-4</v>
      </c>
      <c r="DB80" s="931">
        <f t="shared" si="298"/>
        <v>22.076223850000002</v>
      </c>
      <c r="DC80" s="931">
        <f t="shared" si="298"/>
        <v>18.351119480000001</v>
      </c>
      <c r="DD80" s="931">
        <f t="shared" si="298"/>
        <v>24.577567039999998</v>
      </c>
      <c r="DE80" s="931">
        <f t="shared" si="298"/>
        <v>24.221593410000001</v>
      </c>
      <c r="DF80" s="931">
        <f t="shared" si="298"/>
        <v>1.9277599999999999E-3</v>
      </c>
      <c r="DG80" s="931">
        <f t="shared" si="298"/>
        <v>1.0388399999999999E-3</v>
      </c>
      <c r="DH80" s="931">
        <f>+DH81+DH84</f>
        <v>126.72643393999998</v>
      </c>
      <c r="DJ80" s="931"/>
      <c r="DK80" s="931"/>
      <c r="DL80" s="931"/>
      <c r="DM80" s="931"/>
      <c r="DN80" s="931"/>
      <c r="DO80" s="931"/>
      <c r="DP80" s="931"/>
      <c r="DQ80" s="931"/>
      <c r="DR80" s="931"/>
      <c r="DS80" s="931"/>
      <c r="DT80" s="931"/>
      <c r="DU80" s="931"/>
      <c r="DW80" s="931">
        <v>15.7</v>
      </c>
      <c r="DX80" s="931">
        <v>115.7</v>
      </c>
      <c r="DY80" s="931">
        <v>115.7</v>
      </c>
      <c r="DZ80" s="931">
        <v>15.7</v>
      </c>
      <c r="EA80" s="931">
        <v>15.7</v>
      </c>
      <c r="EB80" s="931">
        <v>15.7</v>
      </c>
      <c r="EC80" s="931">
        <v>15.7</v>
      </c>
      <c r="ED80" s="931">
        <v>15.7</v>
      </c>
      <c r="EE80" s="931">
        <v>15.7</v>
      </c>
      <c r="EF80" s="931">
        <v>15.7</v>
      </c>
      <c r="EG80" s="931">
        <v>15.7</v>
      </c>
      <c r="EH80" s="931">
        <v>15.7</v>
      </c>
      <c r="EI80" s="931">
        <f>+EI81+EI84</f>
        <v>57.081648167499999</v>
      </c>
      <c r="EJ80" s="931">
        <f t="shared" ref="EJ80:GD80" si="299">+EJ81+EJ84</f>
        <v>57.081648167499999</v>
      </c>
      <c r="EK80" s="931">
        <f t="shared" si="299"/>
        <v>1307.0816481674999</v>
      </c>
      <c r="EL80" s="931">
        <f t="shared" si="299"/>
        <v>57.081648167499992</v>
      </c>
      <c r="EM80" s="931">
        <f t="shared" si="299"/>
        <v>57.081648167500013</v>
      </c>
      <c r="EN80" s="931">
        <f t="shared" si="299"/>
        <v>57.081648167500013</v>
      </c>
      <c r="EO80" s="931">
        <f t="shared" si="299"/>
        <v>57.081648167499999</v>
      </c>
      <c r="EP80" s="931">
        <f t="shared" si="299"/>
        <v>57.081648167499999</v>
      </c>
      <c r="EQ80" s="931">
        <f t="shared" si="299"/>
        <v>57.081648167499999</v>
      </c>
      <c r="ER80" s="931">
        <f t="shared" si="299"/>
        <v>57.081648167499999</v>
      </c>
      <c r="ES80" s="931">
        <f t="shared" si="299"/>
        <v>57.081648167499999</v>
      </c>
      <c r="ET80" s="931">
        <f t="shared" si="299"/>
        <v>57.081648167499999</v>
      </c>
      <c r="EU80" s="931">
        <f t="shared" si="299"/>
        <v>0</v>
      </c>
      <c r="EV80" s="931">
        <f t="shared" si="299"/>
        <v>0</v>
      </c>
      <c r="EW80" s="931">
        <f t="shared" si="299"/>
        <v>0</v>
      </c>
      <c r="EX80" s="931">
        <f t="shared" si="299"/>
        <v>0</v>
      </c>
      <c r="EY80" s="931">
        <f t="shared" si="299"/>
        <v>0</v>
      </c>
      <c r="EZ80" s="931">
        <f t="shared" si="299"/>
        <v>0</v>
      </c>
      <c r="FA80" s="931">
        <f t="shared" si="299"/>
        <v>0</v>
      </c>
      <c r="FB80" s="931">
        <f t="shared" si="299"/>
        <v>0</v>
      </c>
      <c r="FC80" s="931">
        <f t="shared" si="299"/>
        <v>0</v>
      </c>
      <c r="FD80" s="931">
        <f t="shared" si="299"/>
        <v>0</v>
      </c>
      <c r="FE80" s="931">
        <f t="shared" si="299"/>
        <v>0</v>
      </c>
      <c r="FF80" s="931">
        <f t="shared" si="299"/>
        <v>0</v>
      </c>
      <c r="FG80" s="931">
        <f t="shared" si="299"/>
        <v>0</v>
      </c>
      <c r="FH80" s="931">
        <f t="shared" si="299"/>
        <v>0</v>
      </c>
      <c r="FI80" s="931">
        <f t="shared" si="299"/>
        <v>0</v>
      </c>
      <c r="FJ80" s="931">
        <f t="shared" si="299"/>
        <v>0</v>
      </c>
      <c r="FK80" s="931">
        <f t="shared" si="299"/>
        <v>0</v>
      </c>
      <c r="FL80" s="931">
        <f t="shared" si="299"/>
        <v>0</v>
      </c>
      <c r="FM80" s="931">
        <f t="shared" si="299"/>
        <v>0</v>
      </c>
      <c r="FN80" s="931">
        <f t="shared" si="299"/>
        <v>0</v>
      </c>
      <c r="FO80" s="931">
        <f t="shared" si="299"/>
        <v>0</v>
      </c>
      <c r="FP80" s="931">
        <f t="shared" si="299"/>
        <v>0</v>
      </c>
      <c r="FQ80" s="931">
        <f t="shared" si="299"/>
        <v>0</v>
      </c>
      <c r="FR80" s="931">
        <f t="shared" si="299"/>
        <v>0</v>
      </c>
      <c r="FS80" s="931">
        <f>+FS81+FS84</f>
        <v>0</v>
      </c>
      <c r="FT80" s="931">
        <f t="shared" si="299"/>
        <v>0</v>
      </c>
      <c r="FU80" s="931">
        <f t="shared" si="299"/>
        <v>0</v>
      </c>
      <c r="FV80" s="931">
        <f t="shared" si="299"/>
        <v>0</v>
      </c>
      <c r="FW80" s="931">
        <f t="shared" si="299"/>
        <v>0</v>
      </c>
      <c r="FX80" s="931">
        <f t="shared" si="299"/>
        <v>0</v>
      </c>
      <c r="FY80" s="931">
        <f t="shared" si="299"/>
        <v>0</v>
      </c>
      <c r="FZ80" s="931">
        <f t="shared" si="299"/>
        <v>0</v>
      </c>
      <c r="GA80" s="931">
        <f t="shared" si="299"/>
        <v>0</v>
      </c>
      <c r="GB80" s="931">
        <f t="shared" si="299"/>
        <v>0</v>
      </c>
      <c r="GC80" s="931">
        <f t="shared" si="299"/>
        <v>0</v>
      </c>
      <c r="GD80" s="931">
        <f t="shared" si="299"/>
        <v>0</v>
      </c>
      <c r="GF80" s="931">
        <f t="shared" si="264"/>
        <v>51.158188959999997</v>
      </c>
      <c r="GG80" s="931">
        <f t="shared" si="264"/>
        <v>79.118952489999998</v>
      </c>
      <c r="GH80" s="931">
        <f t="shared" si="264"/>
        <v>2258.9917656300004</v>
      </c>
      <c r="GI80" s="931">
        <f t="shared" si="264"/>
        <v>5199.1601533399989</v>
      </c>
      <c r="GJ80" s="931">
        <f t="shared" si="294"/>
        <v>413.96396562999996</v>
      </c>
      <c r="GK80" s="931">
        <f t="shared" si="265"/>
        <v>0.29985410999999995</v>
      </c>
      <c r="GL80" s="931">
        <f t="shared" si="256"/>
        <v>105.54877246</v>
      </c>
      <c r="GM80" s="931">
        <f t="shared" si="257"/>
        <v>8.11936313</v>
      </c>
      <c r="GN80" s="931">
        <f t="shared" si="258"/>
        <v>0</v>
      </c>
      <c r="GO80" s="931">
        <v>215.97393908999999</v>
      </c>
      <c r="GQ80" s="934">
        <f t="shared" si="266"/>
        <v>27.551841177567649</v>
      </c>
      <c r="GR80" s="934">
        <f t="shared" si="266"/>
        <v>1.3015401084873046</v>
      </c>
      <c r="GS80" s="934">
        <f t="shared" si="266"/>
        <v>-0.92037868551441626</v>
      </c>
      <c r="GT80" s="934">
        <f t="shared" si="266"/>
        <v>-0.99927565166319809</v>
      </c>
      <c r="GU80" s="934">
        <f t="shared" si="266"/>
        <v>351.00041933725709</v>
      </c>
      <c r="GV80" s="934">
        <f t="shared" si="266"/>
        <v>-0.92307477443115682</v>
      </c>
      <c r="GW80" s="934">
        <f t="shared" si="266"/>
        <v>-1</v>
      </c>
      <c r="GX80" s="934" t="str">
        <f t="shared" si="266"/>
        <v/>
      </c>
      <c r="GY80" s="934">
        <f t="shared" si="249"/>
        <v>25.599862037455146</v>
      </c>
      <c r="HA80" s="931">
        <f t="shared" si="267"/>
        <v>2179.8728131400003</v>
      </c>
      <c r="HB80" s="931">
        <f t="shared" si="267"/>
        <v>2940.1683877099986</v>
      </c>
      <c r="HC80" s="931">
        <f t="shared" si="267"/>
        <v>-4785.1961877099993</v>
      </c>
      <c r="HD80" s="931">
        <f t="shared" si="267"/>
        <v>-413.66411151999995</v>
      </c>
      <c r="HE80" s="931">
        <f t="shared" si="226"/>
        <v>105.24891835</v>
      </c>
      <c r="HF80" s="931">
        <f t="shared" si="226"/>
        <v>-97.429409329999999</v>
      </c>
      <c r="HG80" s="931">
        <f t="shared" si="226"/>
        <v>-8.11936313</v>
      </c>
      <c r="HH80" s="931">
        <f t="shared" si="226"/>
        <v>215.97393908999999</v>
      </c>
      <c r="HI80" s="931">
        <f t="shared" si="251"/>
        <v>207.85457595999998</v>
      </c>
      <c r="HK80" s="230">
        <f t="shared" si="268"/>
        <v>2.1525873874505669E-3</v>
      </c>
      <c r="HL80" s="230">
        <f t="shared" si="268"/>
        <v>5.7359592538434402E-2</v>
      </c>
      <c r="HM80" s="230">
        <f t="shared" si="268"/>
        <v>0.30850454061487903</v>
      </c>
      <c r="HN80" s="230">
        <f t="shared" si="268"/>
        <v>6.7289038094679759E-2</v>
      </c>
      <c r="HO80" s="230">
        <f t="shared" si="268"/>
        <v>2.2001480750172231E-5</v>
      </c>
      <c r="HP80" s="230">
        <f t="shared" si="268"/>
        <v>7.4589957956860981E-3</v>
      </c>
      <c r="HQ80" s="230">
        <f t="shared" si="268"/>
        <v>3.8245931991046333E-4</v>
      </c>
      <c r="HR80" s="230">
        <f t="shared" si="268"/>
        <v>0</v>
      </c>
      <c r="HS80" s="230">
        <f t="shared" si="268"/>
        <v>1.7113777259192057E-2</v>
      </c>
      <c r="HU80" s="931">
        <f t="shared" si="269"/>
        <v>6.8591700000000004E-3</v>
      </c>
      <c r="HV80" s="931">
        <f t="shared" si="269"/>
        <v>43.901018409999999</v>
      </c>
      <c r="HW80" s="931">
        <f t="shared" si="269"/>
        <v>75.384199649999999</v>
      </c>
      <c r="HX80" s="931">
        <f t="shared" si="269"/>
        <v>3475.9948164699999</v>
      </c>
      <c r="HY80" s="931">
        <f t="shared" si="269"/>
        <v>345.15368226999999</v>
      </c>
      <c r="HZ80" s="931">
        <f t="shared" si="269"/>
        <v>0.17235026000000001</v>
      </c>
      <c r="IA80" s="931">
        <f t="shared" si="270"/>
        <v>9.3511748699999995</v>
      </c>
      <c r="IB80" s="931">
        <f t="shared" si="271"/>
        <v>2.9416231100000001</v>
      </c>
      <c r="IC80" s="931">
        <f t="shared" si="272"/>
        <v>22.094258620000002</v>
      </c>
      <c r="ID80" s="931">
        <f t="shared" si="253"/>
        <v>0</v>
      </c>
      <c r="IE80" s="931">
        <f t="shared" si="273"/>
        <v>0</v>
      </c>
      <c r="IG80" s="931">
        <f t="shared" si="254"/>
        <v>22.094258620000002</v>
      </c>
      <c r="IH80" s="931">
        <f t="shared" si="254"/>
        <v>0</v>
      </c>
      <c r="II80" s="145"/>
      <c r="IJ80" s="934" t="str">
        <f t="shared" si="274"/>
        <v/>
      </c>
      <c r="IK80" s="935">
        <f t="shared" si="275"/>
        <v>22.094258620000002</v>
      </c>
      <c r="IM80" s="230">
        <f t="shared" si="276"/>
        <v>3.3977658565230565E-3</v>
      </c>
      <c r="IN80" s="934">
        <f t="shared" si="277"/>
        <v>0</v>
      </c>
      <c r="IP80" s="934">
        <f t="shared" si="295"/>
        <v>0.71714011155669688</v>
      </c>
      <c r="IQ80" s="934">
        <f t="shared" si="295"/>
        <v>45.110389612261407</v>
      </c>
      <c r="IR80" s="934">
        <f t="shared" si="295"/>
        <v>-0.90070362572619822</v>
      </c>
      <c r="IS80" s="934">
        <f t="shared" si="295"/>
        <v>-0.99950065646448705</v>
      </c>
      <c r="IT80" s="934">
        <f t="shared" si="295"/>
        <v>53.256807445489201</v>
      </c>
      <c r="IU80" s="934">
        <f t="shared" si="295"/>
        <v>-0.68542743014707408</v>
      </c>
      <c r="IV80" s="934">
        <f t="shared" si="296"/>
        <v>-1</v>
      </c>
      <c r="IX80" s="931">
        <f t="shared" si="279"/>
        <v>31.48318124</v>
      </c>
      <c r="IY80" s="931">
        <f t="shared" si="279"/>
        <v>3400.6106168199999</v>
      </c>
      <c r="IZ80" s="931">
        <f t="shared" si="279"/>
        <v>-3130.8411341999999</v>
      </c>
      <c r="JA80" s="931">
        <f t="shared" si="279"/>
        <v>-344.98133201000002</v>
      </c>
      <c r="JB80" s="931">
        <f t="shared" si="279"/>
        <v>9.1788246099999995</v>
      </c>
      <c r="JC80" s="931">
        <f t="shared" si="279"/>
        <v>-6.4095517599999994</v>
      </c>
      <c r="JD80" s="931">
        <f t="shared" si="280"/>
        <v>-2.9416231100000001</v>
      </c>
      <c r="JF80" s="230">
        <f t="shared" si="281"/>
        <v>4.2884109373909317E-7</v>
      </c>
      <c r="JG80" s="230">
        <f t="shared" si="281"/>
        <v>2.574639058255277E-3</v>
      </c>
      <c r="JH80" s="230">
        <f t="shared" si="281"/>
        <v>4.6375234886815086E-3</v>
      </c>
      <c r="JI80" s="230">
        <f t="shared" si="281"/>
        <v>0.37160224259147079</v>
      </c>
      <c r="JJ80" s="230">
        <f t="shared" si="281"/>
        <v>0.17200706409208535</v>
      </c>
      <c r="JK80" s="230">
        <f t="shared" si="281"/>
        <v>2.4829629863300147E-5</v>
      </c>
      <c r="JL80" s="230">
        <f t="shared" si="281"/>
        <v>1.7678900620338364E-3</v>
      </c>
      <c r="JM80" s="230">
        <f t="shared" si="282"/>
        <v>0</v>
      </c>
      <c r="JO80" s="931">
        <f t="shared" si="283"/>
        <v>3.8629800000000002E-3</v>
      </c>
      <c r="JP80" s="931">
        <f t="shared" si="283"/>
        <v>2.8527118900000019</v>
      </c>
      <c r="JQ80" s="931">
        <f t="shared" si="283"/>
        <v>4.1043249999999996E-2</v>
      </c>
      <c r="JR80" s="931">
        <f t="shared" si="283"/>
        <v>3350.00055127</v>
      </c>
      <c r="JS80" s="931">
        <f t="shared" si="283"/>
        <v>8.6769328599999991</v>
      </c>
      <c r="JT80" s="931">
        <f t="shared" si="284"/>
        <v>5.8061000000000007E-4</v>
      </c>
      <c r="JU80" s="931">
        <f t="shared" si="285"/>
        <v>4.9815999999999999E-4</v>
      </c>
      <c r="JV80" s="931">
        <f t="shared" si="285"/>
        <v>8.6185999999999999E-4</v>
      </c>
      <c r="JW80" s="931">
        <f t="shared" si="286"/>
        <v>22.076223850000002</v>
      </c>
      <c r="JX80" s="931">
        <f t="shared" si="287"/>
        <v>0</v>
      </c>
      <c r="JY80" s="931">
        <f t="shared" si="288"/>
        <v>0</v>
      </c>
      <c r="KB80" s="230">
        <f t="shared" si="289"/>
        <v>-0.98561254988845015</v>
      </c>
      <c r="KC80" s="230">
        <f t="shared" si="289"/>
        <v>81620.230074860068</v>
      </c>
      <c r="KD80" s="230">
        <f t="shared" si="289"/>
        <v>-0.9974098712142867</v>
      </c>
      <c r="KE80" s="230">
        <f t="shared" si="289"/>
        <v>-0.99993308580239493</v>
      </c>
      <c r="KF80" s="230">
        <f t="shared" si="289"/>
        <v>-0.14200582146363316</v>
      </c>
      <c r="KG80" s="230">
        <f t="shared" si="289"/>
        <v>0.73008671912638512</v>
      </c>
      <c r="KH80" s="230">
        <f t="shared" si="290"/>
        <v>-1</v>
      </c>
      <c r="KJ80" s="931">
        <f t="shared" si="291"/>
        <v>-2.8116686400000019</v>
      </c>
      <c r="KK80" s="931">
        <f t="shared" si="291"/>
        <v>3349.9595080200002</v>
      </c>
      <c r="KL80" s="931">
        <f t="shared" si="291"/>
        <v>-3341.3236184100001</v>
      </c>
      <c r="KM80" s="931">
        <f t="shared" si="291"/>
        <v>-8.676352249999999</v>
      </c>
      <c r="KN80" s="931">
        <f t="shared" si="291"/>
        <v>-8.245000000000008E-5</v>
      </c>
      <c r="KO80" s="931">
        <f t="shared" si="291"/>
        <v>3.637E-4</v>
      </c>
      <c r="KP80" s="931">
        <f t="shared" si="292"/>
        <v>-8.6185999999999999E-4</v>
      </c>
      <c r="KR80" s="230">
        <f t="shared" si="293"/>
        <v>1.2049884285096558E-6</v>
      </c>
      <c r="KS80" s="230">
        <f t="shared" si="293"/>
        <v>8.4820203238731369E-4</v>
      </c>
      <c r="KT80" s="230">
        <f t="shared" si="293"/>
        <v>1.6358846546226024E-5</v>
      </c>
      <c r="KU80" s="230">
        <f t="shared" si="293"/>
        <v>3.7444104715457192</v>
      </c>
      <c r="KV80" s="230">
        <f t="shared" si="293"/>
        <v>2.7806762262817822E-2</v>
      </c>
      <c r="KW80" s="230">
        <f t="shared" si="293"/>
        <v>5.7258166858623386E-7</v>
      </c>
      <c r="KX80" s="230">
        <f t="shared" si="293"/>
        <v>5.6793149455401566E-7</v>
      </c>
      <c r="KY80" s="230">
        <f t="shared" si="293"/>
        <v>5.6326490172682586E-7</v>
      </c>
      <c r="KZ80" s="230">
        <f t="shared" si="46"/>
        <v>0</v>
      </c>
    </row>
    <row r="81" spans="1:312" outlineLevel="2">
      <c r="A81" s="884"/>
      <c r="B81" s="70"/>
      <c r="C81" s="29" t="s">
        <v>662</v>
      </c>
      <c r="D81" s="31" t="s">
        <v>59</v>
      </c>
      <c r="E81" s="102">
        <v>0</v>
      </c>
      <c r="F81" s="102">
        <v>0</v>
      </c>
      <c r="G81" s="102">
        <v>0</v>
      </c>
      <c r="H81" s="102">
        <v>0</v>
      </c>
      <c r="I81" s="102">
        <v>0</v>
      </c>
      <c r="J81" s="102">
        <v>0</v>
      </c>
      <c r="K81" s="102">
        <v>0</v>
      </c>
      <c r="L81" s="102">
        <v>34.108465029999998</v>
      </c>
      <c r="M81" s="102">
        <v>17.025162000000002</v>
      </c>
      <c r="N81" s="102">
        <v>0</v>
      </c>
      <c r="O81" s="102">
        <v>0</v>
      </c>
      <c r="P81" s="102">
        <v>0</v>
      </c>
      <c r="Q81" s="102">
        <v>15.132695999999999</v>
      </c>
      <c r="R81" s="102">
        <v>0</v>
      </c>
      <c r="S81" s="102">
        <v>0</v>
      </c>
      <c r="T81" s="102">
        <v>7.9493780000000029</v>
      </c>
      <c r="U81" s="102">
        <v>0</v>
      </c>
      <c r="V81" s="102">
        <v>0</v>
      </c>
      <c r="W81" s="102">
        <v>6</v>
      </c>
      <c r="X81" s="102">
        <v>0</v>
      </c>
      <c r="Y81" s="102">
        <v>0</v>
      </c>
      <c r="Z81" s="102">
        <v>3.1999999999999993</v>
      </c>
      <c r="AA81" s="102">
        <v>0</v>
      </c>
      <c r="AB81" s="102">
        <v>0</v>
      </c>
      <c r="AC81" s="102">
        <v>1.21469768</v>
      </c>
      <c r="AD81" s="102">
        <v>7.6194267400000006</v>
      </c>
      <c r="AE81" s="102">
        <v>16.6509</v>
      </c>
      <c r="AF81" s="102">
        <v>0</v>
      </c>
      <c r="AG81" s="102">
        <v>0</v>
      </c>
      <c r="AH81" s="102">
        <v>0</v>
      </c>
      <c r="AI81" s="102">
        <v>0</v>
      </c>
      <c r="AJ81" s="102">
        <v>0</v>
      </c>
      <c r="AK81" s="102">
        <v>8.4976199999999995</v>
      </c>
      <c r="AL81" s="102">
        <v>0.54</v>
      </c>
      <c r="AM81" s="102">
        <v>3.8012800000000002</v>
      </c>
      <c r="AN81" s="102">
        <v>2061.4334434800003</v>
      </c>
      <c r="AO81" s="102">
        <f>SUM(AO82:AO83)</f>
        <v>0</v>
      </c>
      <c r="AP81" s="102">
        <f t="shared" ref="AP81:AZ81" si="300">SUM(AP82:AP83)</f>
        <v>0</v>
      </c>
      <c r="AQ81" s="102">
        <f t="shared" si="300"/>
        <v>1.7435</v>
      </c>
      <c r="AR81" s="102">
        <f t="shared" si="300"/>
        <v>0</v>
      </c>
      <c r="AS81" s="102">
        <f t="shared" si="300"/>
        <v>1.360625</v>
      </c>
      <c r="AT81" s="102">
        <f t="shared" si="300"/>
        <v>0</v>
      </c>
      <c r="AU81" s="102">
        <f t="shared" si="300"/>
        <v>11.82559781</v>
      </c>
      <c r="AV81" s="102">
        <f t="shared" si="300"/>
        <v>0</v>
      </c>
      <c r="AW81" s="102">
        <f t="shared" si="300"/>
        <v>0</v>
      </c>
      <c r="AX81" s="102">
        <f t="shared" si="300"/>
        <v>5.0821999999999999E-2</v>
      </c>
      <c r="AY81" s="102">
        <f t="shared" si="300"/>
        <v>0.75949968000000001</v>
      </c>
      <c r="AZ81" s="102">
        <f t="shared" si="300"/>
        <v>-0.24551199999996243</v>
      </c>
      <c r="BA81" s="102">
        <f>SUM(BA82:BA83)</f>
        <v>0</v>
      </c>
      <c r="BB81" s="102">
        <f>SUM(BB82:BB83)</f>
        <v>4.1160290000000002</v>
      </c>
      <c r="BC81" s="102">
        <f>SUM(BC82:BC83)</f>
        <v>6.9308100000000001</v>
      </c>
      <c r="BD81" s="102">
        <f>SUM(BD82:BD83)</f>
        <v>308.48402584000002</v>
      </c>
      <c r="BE81" s="102">
        <f>SUM(BE82:BE83)</f>
        <v>4.5056435700000002</v>
      </c>
      <c r="BF81" s="102">
        <f t="shared" ref="BF81:BL81" si="301">SUM(BF82:BF83)</f>
        <v>8.3267183899999999</v>
      </c>
      <c r="BG81" s="102">
        <f t="shared" si="301"/>
        <v>0</v>
      </c>
      <c r="BH81" s="102">
        <f t="shared" si="301"/>
        <v>2.6590630000000001E-2</v>
      </c>
      <c r="BI81" s="102">
        <f t="shared" si="301"/>
        <v>19.95264959</v>
      </c>
      <c r="BJ81" s="102">
        <f t="shared" si="301"/>
        <v>0</v>
      </c>
      <c r="BK81" s="102">
        <f t="shared" si="301"/>
        <v>45.642482940000001</v>
      </c>
      <c r="BL81" s="102">
        <f t="shared" si="301"/>
        <v>1.4454610000000001</v>
      </c>
      <c r="BM81" s="102">
        <f t="shared" ref="BM81" si="302">+SUM(BM82:BM83)</f>
        <v>0.16505728</v>
      </c>
      <c r="BN81" s="102">
        <f t="shared" ref="BN81" si="303">+SUM(BN82:BN83)</f>
        <v>0</v>
      </c>
      <c r="BO81" s="102">
        <f t="shared" ref="BO81:DH81" si="304">+SUM(BO82:BO83)</f>
        <v>0</v>
      </c>
      <c r="BP81" s="102">
        <f t="shared" si="304"/>
        <v>0</v>
      </c>
      <c r="BQ81" s="102">
        <f t="shared" si="304"/>
        <v>0</v>
      </c>
      <c r="BR81" s="102">
        <f t="shared" si="304"/>
        <v>0</v>
      </c>
      <c r="BS81" s="102">
        <f t="shared" si="304"/>
        <v>0</v>
      </c>
      <c r="BT81" s="102">
        <f t="shared" si="304"/>
        <v>0</v>
      </c>
      <c r="BU81" s="102">
        <f t="shared" si="304"/>
        <v>0</v>
      </c>
      <c r="BV81" s="102">
        <f t="shared" si="304"/>
        <v>0</v>
      </c>
      <c r="BW81" s="102">
        <f t="shared" si="304"/>
        <v>0</v>
      </c>
      <c r="BX81" s="102">
        <f t="shared" si="304"/>
        <v>0</v>
      </c>
      <c r="BY81" s="102">
        <f t="shared" si="304"/>
        <v>0</v>
      </c>
      <c r="BZ81" s="102">
        <f t="shared" si="304"/>
        <v>0</v>
      </c>
      <c r="CA81" s="102">
        <f t="shared" si="304"/>
        <v>0</v>
      </c>
      <c r="CB81" s="102">
        <f t="shared" si="304"/>
        <v>8.865599679999999</v>
      </c>
      <c r="CC81" s="102">
        <f t="shared" si="304"/>
        <v>0</v>
      </c>
      <c r="CD81" s="102">
        <f t="shared" si="304"/>
        <v>0</v>
      </c>
      <c r="CE81" s="102">
        <f t="shared" si="304"/>
        <v>0.77251999999999998</v>
      </c>
      <c r="CF81" s="102">
        <f t="shared" si="304"/>
        <v>0</v>
      </c>
      <c r="CG81" s="102">
        <f t="shared" si="304"/>
        <v>0</v>
      </c>
      <c r="CH81" s="102">
        <f t="shared" si="304"/>
        <v>0</v>
      </c>
      <c r="CI81" s="102">
        <f t="shared" si="304"/>
        <v>0</v>
      </c>
      <c r="CJ81" s="102">
        <f t="shared" si="304"/>
        <v>94.824130599999989</v>
      </c>
      <c r="CK81" s="102">
        <f t="shared" si="304"/>
        <v>0</v>
      </c>
      <c r="CL81" s="102">
        <f t="shared" si="304"/>
        <v>0</v>
      </c>
      <c r="CM81" s="102">
        <f t="shared" si="304"/>
        <v>0</v>
      </c>
      <c r="CN81" s="102">
        <f t="shared" si="304"/>
        <v>0</v>
      </c>
      <c r="CO81" s="102">
        <f t="shared" si="304"/>
        <v>2.93</v>
      </c>
      <c r="CP81" s="102">
        <f t="shared" si="304"/>
        <v>0</v>
      </c>
      <c r="CQ81" s="102">
        <f t="shared" si="304"/>
        <v>0.4145508</v>
      </c>
      <c r="CR81" s="102">
        <f t="shared" si="304"/>
        <v>0</v>
      </c>
      <c r="CS81" s="102">
        <f t="shared" si="304"/>
        <v>0</v>
      </c>
      <c r="CT81" s="102">
        <f t="shared" si="304"/>
        <v>0</v>
      </c>
      <c r="CU81" s="102">
        <f t="shared" si="304"/>
        <v>0</v>
      </c>
      <c r="CV81" s="102">
        <f t="shared" si="304"/>
        <v>0</v>
      </c>
      <c r="CW81" s="102">
        <f t="shared" si="304"/>
        <v>0</v>
      </c>
      <c r="CX81" s="102">
        <f t="shared" si="304"/>
        <v>0</v>
      </c>
      <c r="CY81" s="102">
        <f t="shared" si="304"/>
        <v>0</v>
      </c>
      <c r="CZ81" s="102">
        <f t="shared" si="304"/>
        <v>0</v>
      </c>
      <c r="DA81" s="102">
        <f t="shared" si="304"/>
        <v>0</v>
      </c>
      <c r="DB81" s="102">
        <f t="shared" si="304"/>
        <v>0</v>
      </c>
      <c r="DC81" s="102">
        <f t="shared" si="304"/>
        <v>2.92521187</v>
      </c>
      <c r="DD81" s="102">
        <f t="shared" si="304"/>
        <v>5.6623199999999993E-3</v>
      </c>
      <c r="DE81" s="102">
        <f t="shared" si="304"/>
        <v>0</v>
      </c>
      <c r="DF81" s="102">
        <f t="shared" si="304"/>
        <v>0</v>
      </c>
      <c r="DG81" s="102">
        <f t="shared" si="304"/>
        <v>0</v>
      </c>
      <c r="DH81" s="102">
        <f t="shared" si="304"/>
        <v>16.3692308</v>
      </c>
      <c r="DJ81" s="102">
        <v>0</v>
      </c>
      <c r="DK81" s="102">
        <v>0</v>
      </c>
      <c r="DL81" s="102">
        <v>0</v>
      </c>
      <c r="DM81" s="102">
        <v>0</v>
      </c>
      <c r="DN81" s="102">
        <v>0</v>
      </c>
      <c r="DO81" s="102">
        <v>0</v>
      </c>
      <c r="DP81" s="102">
        <v>0</v>
      </c>
      <c r="DQ81" s="102">
        <v>0</v>
      </c>
      <c r="DR81" s="102">
        <v>0</v>
      </c>
      <c r="DS81" s="102">
        <v>0</v>
      </c>
      <c r="DT81" s="102">
        <v>0</v>
      </c>
      <c r="DU81" s="102">
        <v>0</v>
      </c>
      <c r="DW81" s="102">
        <v>3.7</v>
      </c>
      <c r="DX81" s="102">
        <v>3.7</v>
      </c>
      <c r="DY81" s="102">
        <v>3.7</v>
      </c>
      <c r="DZ81" s="102">
        <v>3.7</v>
      </c>
      <c r="EA81" s="102">
        <v>3.7</v>
      </c>
      <c r="EB81" s="102">
        <v>3.7</v>
      </c>
      <c r="EC81" s="102">
        <v>3.7</v>
      </c>
      <c r="ED81" s="102">
        <v>3.7</v>
      </c>
      <c r="EE81" s="102">
        <v>3.7</v>
      </c>
      <c r="EF81" s="102">
        <v>3.7</v>
      </c>
      <c r="EG81" s="102">
        <v>3.7</v>
      </c>
      <c r="EH81" s="102">
        <v>3.7</v>
      </c>
      <c r="EI81" s="102">
        <f>SUM(EI82:EI83)</f>
        <v>0</v>
      </c>
      <c r="EJ81" s="102">
        <f t="shared" ref="EJ81:GD81" si="305">SUM(EJ82:EJ83)</f>
        <v>0</v>
      </c>
      <c r="EK81" s="102">
        <f t="shared" si="305"/>
        <v>1.0244548320770263E-14</v>
      </c>
      <c r="EL81" s="102">
        <f t="shared" si="305"/>
        <v>-9.3132257461547859E-15</v>
      </c>
      <c r="EM81" s="102">
        <f t="shared" si="305"/>
        <v>1.3038516044616699E-14</v>
      </c>
      <c r="EN81" s="102">
        <f t="shared" si="305"/>
        <v>1.3038516044616699E-14</v>
      </c>
      <c r="EO81" s="102">
        <f t="shared" si="305"/>
        <v>0</v>
      </c>
      <c r="EP81" s="102">
        <f t="shared" si="305"/>
        <v>0</v>
      </c>
      <c r="EQ81" s="102">
        <f t="shared" si="305"/>
        <v>0</v>
      </c>
      <c r="ER81" s="102">
        <f t="shared" si="305"/>
        <v>0</v>
      </c>
      <c r="ES81" s="102">
        <f t="shared" si="305"/>
        <v>0</v>
      </c>
      <c r="ET81" s="102">
        <f t="shared" si="305"/>
        <v>0</v>
      </c>
      <c r="EU81" s="102">
        <f t="shared" si="305"/>
        <v>0</v>
      </c>
      <c r="EV81" s="102">
        <f t="shared" si="305"/>
        <v>0</v>
      </c>
      <c r="EW81" s="102">
        <f t="shared" si="305"/>
        <v>0</v>
      </c>
      <c r="EX81" s="102">
        <f t="shared" si="305"/>
        <v>0</v>
      </c>
      <c r="EY81" s="102">
        <f t="shared" si="305"/>
        <v>0</v>
      </c>
      <c r="EZ81" s="102">
        <f t="shared" si="305"/>
        <v>0</v>
      </c>
      <c r="FA81" s="102">
        <f t="shared" si="305"/>
        <v>0</v>
      </c>
      <c r="FB81" s="102">
        <f t="shared" si="305"/>
        <v>0</v>
      </c>
      <c r="FC81" s="102">
        <f t="shared" si="305"/>
        <v>0</v>
      </c>
      <c r="FD81" s="102">
        <f t="shared" si="305"/>
        <v>0</v>
      </c>
      <c r="FE81" s="102">
        <f t="shared" si="305"/>
        <v>0</v>
      </c>
      <c r="FF81" s="102">
        <f t="shared" si="305"/>
        <v>0</v>
      </c>
      <c r="FG81" s="102">
        <f t="shared" si="305"/>
        <v>0</v>
      </c>
      <c r="FH81" s="102">
        <f t="shared" si="305"/>
        <v>0</v>
      </c>
      <c r="FI81" s="102">
        <f t="shared" si="305"/>
        <v>0</v>
      </c>
      <c r="FJ81" s="102">
        <f t="shared" si="305"/>
        <v>0</v>
      </c>
      <c r="FK81" s="102">
        <f t="shared" si="305"/>
        <v>0</v>
      </c>
      <c r="FL81" s="102">
        <f t="shared" si="305"/>
        <v>0</v>
      </c>
      <c r="FM81" s="102">
        <f t="shared" si="305"/>
        <v>0</v>
      </c>
      <c r="FN81" s="102">
        <f t="shared" si="305"/>
        <v>0</v>
      </c>
      <c r="FO81" s="102">
        <f t="shared" si="305"/>
        <v>0</v>
      </c>
      <c r="FP81" s="102">
        <f t="shared" si="305"/>
        <v>0</v>
      </c>
      <c r="FQ81" s="102">
        <f t="shared" si="305"/>
        <v>0</v>
      </c>
      <c r="FR81" s="102">
        <f t="shared" si="305"/>
        <v>0</v>
      </c>
      <c r="FS81" s="102">
        <f>SUM(FS82:FS83)</f>
        <v>0</v>
      </c>
      <c r="FT81" s="102">
        <f t="shared" si="305"/>
        <v>0</v>
      </c>
      <c r="FU81" s="102">
        <f t="shared" si="305"/>
        <v>0</v>
      </c>
      <c r="FV81" s="102">
        <f t="shared" si="305"/>
        <v>0</v>
      </c>
      <c r="FW81" s="102">
        <f t="shared" si="305"/>
        <v>0</v>
      </c>
      <c r="FX81" s="102">
        <f t="shared" si="305"/>
        <v>0</v>
      </c>
      <c r="FY81" s="102">
        <f t="shared" si="305"/>
        <v>0</v>
      </c>
      <c r="FZ81" s="102">
        <f t="shared" si="305"/>
        <v>0</v>
      </c>
      <c r="GA81" s="102">
        <f t="shared" si="305"/>
        <v>0</v>
      </c>
      <c r="GB81" s="102">
        <f t="shared" si="305"/>
        <v>0</v>
      </c>
      <c r="GC81" s="102">
        <f t="shared" si="305"/>
        <v>0</v>
      </c>
      <c r="GD81" s="102">
        <f t="shared" si="305"/>
        <v>0</v>
      </c>
      <c r="GF81" s="102">
        <f t="shared" si="264"/>
        <v>51.13362703</v>
      </c>
      <c r="GG81" s="102">
        <f t="shared" si="264"/>
        <v>32.282074000000001</v>
      </c>
      <c r="GH81" s="102">
        <f t="shared" si="264"/>
        <v>2099.7573679000002</v>
      </c>
      <c r="GI81" s="102">
        <f t="shared" si="264"/>
        <v>15.494532490000037</v>
      </c>
      <c r="GJ81" s="102">
        <f t="shared" si="294"/>
        <v>399.43041096000002</v>
      </c>
      <c r="GK81" s="102">
        <f t="shared" si="265"/>
        <v>0.16505728</v>
      </c>
      <c r="GL81" s="102">
        <f t="shared" si="256"/>
        <v>104.46225027999999</v>
      </c>
      <c r="GM81" s="102">
        <f t="shared" si="257"/>
        <v>3.3445508000000004</v>
      </c>
      <c r="GN81" s="102">
        <f t="shared" si="258"/>
        <v>0</v>
      </c>
      <c r="GO81" s="102">
        <v>19.300104990000001</v>
      </c>
      <c r="GQ81" s="929">
        <f t="shared" si="266"/>
        <v>64.044066496471075</v>
      </c>
      <c r="GR81" s="929">
        <f t="shared" si="266"/>
        <v>-0.99262079860898578</v>
      </c>
      <c r="GS81" s="929">
        <f t="shared" si="266"/>
        <v>24.77879721235778</v>
      </c>
      <c r="GT81" s="929">
        <f t="shared" si="266"/>
        <v>-0.99958676836948068</v>
      </c>
      <c r="GU81" s="929">
        <f t="shared" si="266"/>
        <v>631.88484022031616</v>
      </c>
      <c r="GV81" s="929">
        <f t="shared" si="266"/>
        <v>-0.96798316338164947</v>
      </c>
      <c r="GW81" s="929">
        <f t="shared" si="266"/>
        <v>-1</v>
      </c>
      <c r="GX81" s="929" t="str">
        <f t="shared" si="266"/>
        <v/>
      </c>
      <c r="GY81" s="929">
        <f t="shared" si="249"/>
        <v>4.7706120026641541</v>
      </c>
      <c r="HA81" s="102">
        <f t="shared" si="267"/>
        <v>2067.4752939</v>
      </c>
      <c r="HB81" s="102">
        <f t="shared" si="267"/>
        <v>-2084.2628354100002</v>
      </c>
      <c r="HC81" s="102">
        <f t="shared" si="267"/>
        <v>383.93587846999998</v>
      </c>
      <c r="HD81" s="102">
        <f t="shared" si="267"/>
        <v>-399.26535368000003</v>
      </c>
      <c r="HE81" s="102">
        <f t="shared" si="226"/>
        <v>104.29719299999999</v>
      </c>
      <c r="HF81" s="102">
        <f t="shared" si="226"/>
        <v>-101.11769948</v>
      </c>
      <c r="HG81" s="102">
        <f t="shared" si="226"/>
        <v>-3.3445508000000004</v>
      </c>
      <c r="HH81" s="102">
        <f t="shared" si="226"/>
        <v>19.300104990000001</v>
      </c>
      <c r="HI81" s="102">
        <f t="shared" si="251"/>
        <v>15.955554190000001</v>
      </c>
      <c r="HK81" s="32">
        <f t="shared" si="268"/>
        <v>8.7829759047844901E-4</v>
      </c>
      <c r="HL81" s="32">
        <f t="shared" si="268"/>
        <v>5.3316363912787518E-2</v>
      </c>
      <c r="HM81" s="32">
        <f t="shared" si="268"/>
        <v>9.1940495904881234E-4</v>
      </c>
      <c r="HN81" s="32">
        <f t="shared" si="268"/>
        <v>6.4926637028315387E-2</v>
      </c>
      <c r="HO81" s="32">
        <f t="shared" si="268"/>
        <v>1.2110904761638212E-5</v>
      </c>
      <c r="HP81" s="32">
        <f t="shared" si="268"/>
        <v>7.3822126727406271E-3</v>
      </c>
      <c r="HQ81" s="32">
        <f t="shared" si="268"/>
        <v>1.5754371419202633E-4</v>
      </c>
      <c r="HR81" s="32">
        <f t="shared" si="268"/>
        <v>0</v>
      </c>
      <c r="HS81" s="32">
        <f t="shared" si="268"/>
        <v>1.5293405272394486E-3</v>
      </c>
      <c r="HU81" s="102">
        <f t="shared" si="269"/>
        <v>0</v>
      </c>
      <c r="HV81" s="102">
        <f t="shared" si="269"/>
        <v>23.082074000000002</v>
      </c>
      <c r="HW81" s="102">
        <f t="shared" si="269"/>
        <v>25.485024420000002</v>
      </c>
      <c r="HX81" s="102">
        <f t="shared" si="269"/>
        <v>3.1041249999999998</v>
      </c>
      <c r="HY81" s="102">
        <f t="shared" si="269"/>
        <v>332.36322680000001</v>
      </c>
      <c r="HZ81" s="102">
        <f t="shared" si="269"/>
        <v>0.16505728</v>
      </c>
      <c r="IA81" s="102">
        <f t="shared" si="270"/>
        <v>8.865599679999999</v>
      </c>
      <c r="IB81" s="102">
        <f t="shared" si="271"/>
        <v>2.93</v>
      </c>
      <c r="IC81" s="102">
        <f t="shared" si="272"/>
        <v>0</v>
      </c>
      <c r="ID81" s="102">
        <f t="shared" si="253"/>
        <v>0</v>
      </c>
      <c r="IE81" s="102">
        <f t="shared" si="273"/>
        <v>0</v>
      </c>
      <c r="IG81" s="102">
        <f t="shared" si="254"/>
        <v>0</v>
      </c>
      <c r="IH81" s="102">
        <f t="shared" si="254"/>
        <v>0</v>
      </c>
      <c r="II81" s="145"/>
      <c r="IJ81" s="929" t="str">
        <f t="shared" si="274"/>
        <v/>
      </c>
      <c r="IK81" s="930">
        <f t="shared" si="275"/>
        <v>0</v>
      </c>
      <c r="IM81" s="32">
        <f t="shared" si="276"/>
        <v>0</v>
      </c>
      <c r="IN81" s="929">
        <f t="shared" si="277"/>
        <v>0</v>
      </c>
      <c r="IP81" s="929">
        <f t="shared" si="295"/>
        <v>0.10410461468930388</v>
      </c>
      <c r="IQ81" s="929">
        <f t="shared" si="295"/>
        <v>-0.87819807629597713</v>
      </c>
      <c r="IR81" s="929">
        <f t="shared" si="295"/>
        <v>106.07146999557042</v>
      </c>
      <c r="IS81" s="929">
        <f t="shared" si="295"/>
        <v>-0.99950338284536111</v>
      </c>
      <c r="IT81" s="929">
        <f t="shared" si="295"/>
        <v>52.712260858775807</v>
      </c>
      <c r="IU81" s="929">
        <f t="shared" si="295"/>
        <v>-0.66950910194943514</v>
      </c>
      <c r="IV81" s="929">
        <f t="shared" si="296"/>
        <v>-1</v>
      </c>
      <c r="IX81" s="102">
        <f t="shared" si="279"/>
        <v>2.4029504199999998</v>
      </c>
      <c r="IY81" s="102">
        <f t="shared" si="279"/>
        <v>-22.380899420000002</v>
      </c>
      <c r="IZ81" s="102">
        <f t="shared" si="279"/>
        <v>329.2591018</v>
      </c>
      <c r="JA81" s="102">
        <f t="shared" si="279"/>
        <v>-332.19816952000002</v>
      </c>
      <c r="JB81" s="102">
        <f t="shared" si="279"/>
        <v>8.7005423999999998</v>
      </c>
      <c r="JC81" s="102">
        <f t="shared" si="279"/>
        <v>-5.9355996799999993</v>
      </c>
      <c r="JD81" s="102">
        <f t="shared" si="280"/>
        <v>-2.93</v>
      </c>
      <c r="JF81" s="32">
        <f t="shared" si="281"/>
        <v>0</v>
      </c>
      <c r="JG81" s="32">
        <f t="shared" si="281"/>
        <v>1.3536817918648057E-3</v>
      </c>
      <c r="JH81" s="32">
        <f t="shared" si="281"/>
        <v>1.5678006784724395E-3</v>
      </c>
      <c r="JI81" s="32">
        <f t="shared" si="281"/>
        <v>3.3184739108894023E-4</v>
      </c>
      <c r="JJ81" s="32">
        <f t="shared" si="281"/>
        <v>0.16563295074255938</v>
      </c>
      <c r="JK81" s="32">
        <f t="shared" si="281"/>
        <v>2.37789671372883E-5</v>
      </c>
      <c r="JL81" s="32">
        <f t="shared" si="281"/>
        <v>1.6760894525162868E-3</v>
      </c>
      <c r="JM81" s="32">
        <f t="shared" si="282"/>
        <v>0</v>
      </c>
      <c r="JO81" s="102">
        <f t="shared" si="283"/>
        <v>0</v>
      </c>
      <c r="JP81" s="102">
        <f t="shared" si="283"/>
        <v>0</v>
      </c>
      <c r="JQ81" s="102">
        <f t="shared" si="283"/>
        <v>0</v>
      </c>
      <c r="JR81" s="102">
        <f t="shared" si="283"/>
        <v>0</v>
      </c>
      <c r="JS81" s="102">
        <f t="shared" si="283"/>
        <v>8.3267183899999999</v>
      </c>
      <c r="JT81" s="102">
        <f t="shared" si="284"/>
        <v>0</v>
      </c>
      <c r="JU81" s="102">
        <f t="shared" si="285"/>
        <v>0</v>
      </c>
      <c r="JV81" s="102">
        <f t="shared" si="285"/>
        <v>0</v>
      </c>
      <c r="JW81" s="102">
        <f t="shared" si="286"/>
        <v>0</v>
      </c>
      <c r="JX81" s="102">
        <f t="shared" si="287"/>
        <v>0</v>
      </c>
      <c r="JY81" s="102">
        <f t="shared" si="288"/>
        <v>0</v>
      </c>
      <c r="KB81" s="32" t="str">
        <f t="shared" si="289"/>
        <v xml:space="preserve"> </v>
      </c>
      <c r="KC81" s="32" t="str">
        <f t="shared" si="289"/>
        <v xml:space="preserve"> </v>
      </c>
      <c r="KD81" s="32" t="str">
        <f t="shared" si="289"/>
        <v xml:space="preserve"> </v>
      </c>
      <c r="KE81" s="32">
        <f t="shared" si="289"/>
        <v>-1</v>
      </c>
      <c r="KF81" s="32" t="str">
        <f t="shared" si="289"/>
        <v xml:space="preserve"> </v>
      </c>
      <c r="KG81" s="32" t="str">
        <f t="shared" si="289"/>
        <v xml:space="preserve"> </v>
      </c>
      <c r="KH81" s="32" t="str">
        <f t="shared" si="290"/>
        <v xml:space="preserve"> </v>
      </c>
      <c r="KJ81" s="102">
        <f t="shared" si="291"/>
        <v>0</v>
      </c>
      <c r="KK81" s="102">
        <f t="shared" si="291"/>
        <v>0</v>
      </c>
      <c r="KL81" s="102">
        <f t="shared" si="291"/>
        <v>8.3267183899999999</v>
      </c>
      <c r="KM81" s="102">
        <f t="shared" si="291"/>
        <v>-8.3267183899999999</v>
      </c>
      <c r="KN81" s="102">
        <f t="shared" si="291"/>
        <v>0</v>
      </c>
      <c r="KO81" s="102">
        <f t="shared" si="291"/>
        <v>0</v>
      </c>
      <c r="KP81" s="102">
        <f t="shared" si="292"/>
        <v>0</v>
      </c>
      <c r="KR81" s="32">
        <f t="shared" si="293"/>
        <v>0</v>
      </c>
      <c r="KS81" s="32">
        <f t="shared" si="293"/>
        <v>0</v>
      </c>
      <c r="KT81" s="32">
        <f t="shared" si="293"/>
        <v>0</v>
      </c>
      <c r="KU81" s="32">
        <f t="shared" si="293"/>
        <v>0</v>
      </c>
      <c r="KV81" s="32">
        <f t="shared" si="293"/>
        <v>2.6684438203681479E-2</v>
      </c>
      <c r="KW81" s="32">
        <f t="shared" si="293"/>
        <v>0</v>
      </c>
      <c r="KX81" s="32">
        <f t="shared" si="293"/>
        <v>0</v>
      </c>
      <c r="KY81" s="32">
        <f t="shared" si="293"/>
        <v>0</v>
      </c>
      <c r="KZ81" s="32">
        <f t="shared" ref="KZ81:KZ103" si="306">+JY81/JY$11</f>
        <v>0</v>
      </c>
    </row>
    <row r="82" spans="1:312" outlineLevel="2">
      <c r="A82" s="884">
        <v>4265</v>
      </c>
      <c r="B82" s="70"/>
      <c r="C82" s="40" t="s">
        <v>663</v>
      </c>
      <c r="D82" s="31"/>
      <c r="E82" s="102">
        <v>0</v>
      </c>
      <c r="F82" s="102">
        <v>0</v>
      </c>
      <c r="G82" s="102">
        <v>0</v>
      </c>
      <c r="H82" s="102">
        <v>0</v>
      </c>
      <c r="I82" s="102">
        <v>0</v>
      </c>
      <c r="J82" s="102">
        <v>0</v>
      </c>
      <c r="K82" s="102">
        <v>0</v>
      </c>
      <c r="L82" s="102">
        <v>34.108465029999998</v>
      </c>
      <c r="M82" s="102">
        <v>0</v>
      </c>
      <c r="N82" s="102">
        <v>0</v>
      </c>
      <c r="O82" s="102">
        <v>0</v>
      </c>
      <c r="P82" s="102">
        <v>0</v>
      </c>
      <c r="Q82" s="102">
        <v>0</v>
      </c>
      <c r="R82" s="102">
        <v>0</v>
      </c>
      <c r="S82" s="102">
        <v>0</v>
      </c>
      <c r="T82" s="102">
        <v>0</v>
      </c>
      <c r="U82" s="102">
        <v>0</v>
      </c>
      <c r="V82" s="102">
        <v>0</v>
      </c>
      <c r="W82" s="102">
        <v>0</v>
      </c>
      <c r="X82" s="102">
        <v>0</v>
      </c>
      <c r="Y82" s="102">
        <v>0</v>
      </c>
      <c r="Z82" s="102">
        <v>0</v>
      </c>
      <c r="AA82" s="102">
        <v>0</v>
      </c>
      <c r="AB82" s="102">
        <v>0</v>
      </c>
      <c r="AC82" s="102">
        <v>0</v>
      </c>
      <c r="AD82" s="102">
        <v>0</v>
      </c>
      <c r="AE82" s="102">
        <v>0</v>
      </c>
      <c r="AF82" s="102">
        <v>0</v>
      </c>
      <c r="AG82" s="102">
        <v>0</v>
      </c>
      <c r="AH82" s="102">
        <v>0</v>
      </c>
      <c r="AI82" s="102">
        <v>0</v>
      </c>
      <c r="AJ82" s="102">
        <v>0</v>
      </c>
      <c r="AK82" s="102">
        <v>0</v>
      </c>
      <c r="AL82" s="102">
        <v>0</v>
      </c>
      <c r="AM82" s="102">
        <v>0</v>
      </c>
      <c r="AN82" s="102">
        <v>0</v>
      </c>
      <c r="AO82" s="102">
        <v>0</v>
      </c>
      <c r="AP82" s="145">
        <v>0</v>
      </c>
      <c r="AQ82" s="143">
        <v>0</v>
      </c>
      <c r="AR82" s="143">
        <v>0</v>
      </c>
      <c r="AS82" s="102">
        <v>0</v>
      </c>
      <c r="AT82" s="102">
        <v>0</v>
      </c>
      <c r="AU82" s="102">
        <v>0</v>
      </c>
      <c r="AV82" s="102">
        <v>0</v>
      </c>
      <c r="AW82" s="102">
        <v>0</v>
      </c>
      <c r="AX82" s="102">
        <v>0</v>
      </c>
      <c r="AY82" s="102">
        <v>0</v>
      </c>
      <c r="AZ82" s="102">
        <v>0</v>
      </c>
      <c r="BA82" s="102">
        <v>0</v>
      </c>
      <c r="BB82" s="102">
        <v>0</v>
      </c>
      <c r="BC82" s="102">
        <v>0</v>
      </c>
      <c r="BD82" s="102">
        <v>0</v>
      </c>
      <c r="BE82" s="102">
        <v>0</v>
      </c>
      <c r="BF82" s="102">
        <v>0</v>
      </c>
      <c r="BG82" s="102">
        <v>0</v>
      </c>
      <c r="BH82" s="102">
        <v>0</v>
      </c>
      <c r="BI82" s="102">
        <v>0</v>
      </c>
      <c r="BJ82" s="102">
        <v>0</v>
      </c>
      <c r="BK82" s="102">
        <v>0</v>
      </c>
      <c r="BL82" s="102"/>
      <c r="BM82" s="102">
        <v>0</v>
      </c>
      <c r="BN82" s="102">
        <v>0</v>
      </c>
      <c r="BO82" s="102">
        <v>0</v>
      </c>
      <c r="BP82" s="102">
        <v>0</v>
      </c>
      <c r="BQ82" s="102">
        <v>0</v>
      </c>
      <c r="BR82" s="102">
        <v>0</v>
      </c>
      <c r="BS82" s="102">
        <v>0</v>
      </c>
      <c r="BT82" s="102">
        <v>0</v>
      </c>
      <c r="BU82" s="102">
        <v>0</v>
      </c>
      <c r="BV82" s="102">
        <v>0</v>
      </c>
      <c r="BW82" s="102">
        <v>0</v>
      </c>
      <c r="BX82" s="102">
        <v>0</v>
      </c>
      <c r="BY82" s="102">
        <v>0</v>
      </c>
      <c r="BZ82" s="102">
        <v>0</v>
      </c>
      <c r="CA82" s="102">
        <v>0</v>
      </c>
      <c r="CB82" s="102">
        <v>0</v>
      </c>
      <c r="CC82" s="102">
        <v>0</v>
      </c>
      <c r="CD82" s="102">
        <v>0</v>
      </c>
      <c r="CE82" s="102">
        <v>0</v>
      </c>
      <c r="CF82" s="102">
        <v>0</v>
      </c>
      <c r="CG82" s="102">
        <v>0</v>
      </c>
      <c r="CH82" s="102">
        <v>0</v>
      </c>
      <c r="CI82" s="102">
        <v>0</v>
      </c>
      <c r="CJ82" s="102">
        <v>0</v>
      </c>
      <c r="CK82" s="102">
        <v>0</v>
      </c>
      <c r="CL82" s="102">
        <v>0</v>
      </c>
      <c r="CM82" s="102">
        <v>0</v>
      </c>
      <c r="CN82" s="102">
        <v>0</v>
      </c>
      <c r="CO82" s="102">
        <v>0</v>
      </c>
      <c r="CP82" s="102">
        <v>0</v>
      </c>
      <c r="CQ82" s="102">
        <v>0</v>
      </c>
      <c r="CR82" s="102">
        <v>0</v>
      </c>
      <c r="CS82" s="102">
        <v>0</v>
      </c>
      <c r="CT82" s="102">
        <v>0</v>
      </c>
      <c r="CU82" s="102">
        <v>0</v>
      </c>
      <c r="CV82" s="102">
        <v>0</v>
      </c>
      <c r="CW82" s="102">
        <v>0</v>
      </c>
      <c r="CX82" s="102">
        <v>0</v>
      </c>
      <c r="CY82" s="102">
        <v>0</v>
      </c>
      <c r="CZ82" s="102">
        <v>0</v>
      </c>
      <c r="DA82" s="102">
        <v>0</v>
      </c>
      <c r="DB82" s="102">
        <v>0</v>
      </c>
      <c r="DC82" s="102">
        <v>0</v>
      </c>
      <c r="DD82" s="102">
        <v>0</v>
      </c>
      <c r="DE82" s="102">
        <v>0</v>
      </c>
      <c r="DF82" s="102">
        <v>0</v>
      </c>
      <c r="DG82" s="102">
        <v>0</v>
      </c>
      <c r="DH82" s="102">
        <v>0</v>
      </c>
      <c r="DJ82" s="102"/>
      <c r="DK82" s="102"/>
      <c r="DL82" s="102"/>
      <c r="DM82" s="102"/>
      <c r="DN82" s="102"/>
      <c r="DO82" s="102"/>
      <c r="DP82" s="102"/>
      <c r="DQ82" s="102"/>
      <c r="DR82" s="102"/>
      <c r="DS82" s="102"/>
      <c r="DT82" s="102"/>
      <c r="DU82" s="102"/>
      <c r="DW82" s="102"/>
      <c r="DX82" s="102"/>
      <c r="DY82" s="102"/>
      <c r="DZ82" s="102"/>
      <c r="EA82" s="102"/>
      <c r="EB82" s="102"/>
      <c r="EC82" s="102"/>
      <c r="ED82" s="102"/>
      <c r="EE82" s="102"/>
      <c r="EF82" s="102"/>
      <c r="EG82" s="102"/>
      <c r="EH82" s="102"/>
      <c r="EI82" s="102">
        <v>0</v>
      </c>
      <c r="EJ82" s="102">
        <v>0</v>
      </c>
      <c r="EK82" s="102">
        <v>0</v>
      </c>
      <c r="EL82" s="102">
        <v>0</v>
      </c>
      <c r="EM82" s="102">
        <v>0</v>
      </c>
      <c r="EN82" s="102">
        <v>0</v>
      </c>
      <c r="EO82" s="102">
        <v>0</v>
      </c>
      <c r="EP82" s="102">
        <v>0</v>
      </c>
      <c r="EQ82" s="102">
        <v>0</v>
      </c>
      <c r="ER82" s="102">
        <v>0</v>
      </c>
      <c r="ES82" s="102">
        <v>0</v>
      </c>
      <c r="ET82" s="102">
        <v>0</v>
      </c>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F82" s="102">
        <f t="shared" si="264"/>
        <v>34.108465029999998</v>
      </c>
      <c r="GG82" s="102">
        <f t="shared" si="264"/>
        <v>0</v>
      </c>
      <c r="GH82" s="102">
        <f t="shared" si="264"/>
        <v>0</v>
      </c>
      <c r="GI82" s="102">
        <f t="shared" si="264"/>
        <v>0</v>
      </c>
      <c r="GJ82" s="102">
        <f t="shared" si="294"/>
        <v>0</v>
      </c>
      <c r="GK82" s="102">
        <f t="shared" si="265"/>
        <v>0</v>
      </c>
      <c r="GL82" s="102">
        <f t="shared" si="256"/>
        <v>0</v>
      </c>
      <c r="GM82" s="102">
        <f t="shared" si="257"/>
        <v>0</v>
      </c>
      <c r="GN82" s="102">
        <f t="shared" si="258"/>
        <v>0</v>
      </c>
      <c r="GO82" s="102">
        <v>0</v>
      </c>
      <c r="GQ82" s="929" t="str">
        <f t="shared" si="266"/>
        <v/>
      </c>
      <c r="GR82" s="929" t="str">
        <f t="shared" si="266"/>
        <v/>
      </c>
      <c r="GS82" s="929" t="str">
        <f t="shared" si="266"/>
        <v/>
      </c>
      <c r="GT82" s="929" t="str">
        <f t="shared" si="266"/>
        <v/>
      </c>
      <c r="GU82" s="929" t="str">
        <f t="shared" si="266"/>
        <v/>
      </c>
      <c r="GV82" s="929" t="str">
        <f t="shared" si="266"/>
        <v/>
      </c>
      <c r="GW82" s="929" t="str">
        <f t="shared" si="266"/>
        <v/>
      </c>
      <c r="GX82" s="929" t="str">
        <f t="shared" si="266"/>
        <v/>
      </c>
      <c r="GY82" s="929" t="str">
        <f t="shared" si="249"/>
        <v/>
      </c>
      <c r="HA82" s="102">
        <f t="shared" si="267"/>
        <v>0</v>
      </c>
      <c r="HB82" s="102">
        <f t="shared" si="267"/>
        <v>0</v>
      </c>
      <c r="HC82" s="102">
        <f t="shared" si="267"/>
        <v>0</v>
      </c>
      <c r="HD82" s="102">
        <f t="shared" si="267"/>
        <v>0</v>
      </c>
      <c r="HE82" s="102">
        <f t="shared" si="226"/>
        <v>0</v>
      </c>
      <c r="HF82" s="102">
        <f t="shared" si="226"/>
        <v>0</v>
      </c>
      <c r="HG82" s="102">
        <f t="shared" si="226"/>
        <v>0</v>
      </c>
      <c r="HH82" s="102">
        <f t="shared" si="226"/>
        <v>0</v>
      </c>
      <c r="HI82" s="102">
        <f t="shared" si="251"/>
        <v>0</v>
      </c>
      <c r="HK82" s="32">
        <f t="shared" si="268"/>
        <v>0</v>
      </c>
      <c r="HL82" s="32">
        <f t="shared" si="268"/>
        <v>0</v>
      </c>
      <c r="HM82" s="32">
        <f t="shared" si="268"/>
        <v>0</v>
      </c>
      <c r="HN82" s="32">
        <f t="shared" si="268"/>
        <v>0</v>
      </c>
      <c r="HO82" s="32">
        <f t="shared" si="268"/>
        <v>0</v>
      </c>
      <c r="HP82" s="32">
        <f t="shared" si="268"/>
        <v>0</v>
      </c>
      <c r="HQ82" s="32">
        <f t="shared" si="268"/>
        <v>0</v>
      </c>
      <c r="HR82" s="32">
        <f t="shared" si="268"/>
        <v>0</v>
      </c>
      <c r="HS82" s="32">
        <f t="shared" si="268"/>
        <v>0</v>
      </c>
      <c r="HU82" s="102">
        <f t="shared" si="269"/>
        <v>0</v>
      </c>
      <c r="HV82" s="102">
        <f t="shared" si="269"/>
        <v>0</v>
      </c>
      <c r="HW82" s="102">
        <f t="shared" si="269"/>
        <v>0</v>
      </c>
      <c r="HX82" s="102">
        <f t="shared" si="269"/>
        <v>0</v>
      </c>
      <c r="HY82" s="102">
        <f t="shared" si="269"/>
        <v>0</v>
      </c>
      <c r="HZ82" s="102">
        <f t="shared" si="269"/>
        <v>0</v>
      </c>
      <c r="IA82" s="102">
        <f t="shared" si="270"/>
        <v>0</v>
      </c>
      <c r="IB82" s="102">
        <f t="shared" si="271"/>
        <v>0</v>
      </c>
      <c r="IC82" s="102">
        <f t="shared" si="272"/>
        <v>0</v>
      </c>
      <c r="ID82" s="102">
        <f t="shared" si="253"/>
        <v>0</v>
      </c>
      <c r="IE82" s="102">
        <f t="shared" si="273"/>
        <v>0</v>
      </c>
      <c r="IG82" s="102">
        <f t="shared" si="254"/>
        <v>0</v>
      </c>
      <c r="IH82" s="102">
        <f t="shared" si="254"/>
        <v>0</v>
      </c>
      <c r="II82" s="145"/>
      <c r="IJ82" s="929" t="str">
        <f t="shared" si="274"/>
        <v/>
      </c>
      <c r="IK82" s="930">
        <f t="shared" si="275"/>
        <v>0</v>
      </c>
      <c r="IM82" s="32">
        <f t="shared" si="276"/>
        <v>0</v>
      </c>
      <c r="IN82" s="929">
        <f t="shared" si="277"/>
        <v>0</v>
      </c>
      <c r="IP82" s="929" t="str">
        <f t="shared" si="295"/>
        <v/>
      </c>
      <c r="IQ82" s="929" t="str">
        <f t="shared" si="295"/>
        <v/>
      </c>
      <c r="IR82" s="929" t="str">
        <f t="shared" si="295"/>
        <v/>
      </c>
      <c r="IS82" s="929" t="str">
        <f t="shared" si="295"/>
        <v/>
      </c>
      <c r="IT82" s="929" t="str">
        <f t="shared" si="295"/>
        <v/>
      </c>
      <c r="IU82" s="929" t="str">
        <f t="shared" si="295"/>
        <v/>
      </c>
      <c r="IV82" s="929" t="str">
        <f t="shared" si="296"/>
        <v/>
      </c>
      <c r="IX82" s="102">
        <f t="shared" si="279"/>
        <v>0</v>
      </c>
      <c r="IY82" s="102">
        <f t="shared" si="279"/>
        <v>0</v>
      </c>
      <c r="IZ82" s="102">
        <f t="shared" si="279"/>
        <v>0</v>
      </c>
      <c r="JA82" s="102">
        <f t="shared" si="279"/>
        <v>0</v>
      </c>
      <c r="JB82" s="102">
        <f t="shared" si="279"/>
        <v>0</v>
      </c>
      <c r="JC82" s="102">
        <f t="shared" si="279"/>
        <v>0</v>
      </c>
      <c r="JD82" s="102">
        <f t="shared" si="280"/>
        <v>0</v>
      </c>
      <c r="JF82" s="32">
        <f t="shared" si="281"/>
        <v>0</v>
      </c>
      <c r="JG82" s="32">
        <f t="shared" si="281"/>
        <v>0</v>
      </c>
      <c r="JH82" s="32">
        <f t="shared" si="281"/>
        <v>0</v>
      </c>
      <c r="JI82" s="32">
        <f t="shared" si="281"/>
        <v>0</v>
      </c>
      <c r="JJ82" s="32">
        <f t="shared" si="281"/>
        <v>0</v>
      </c>
      <c r="JK82" s="32">
        <f t="shared" si="281"/>
        <v>0</v>
      </c>
      <c r="JL82" s="32">
        <f t="shared" si="281"/>
        <v>0</v>
      </c>
      <c r="JM82" s="32">
        <f t="shared" si="282"/>
        <v>0</v>
      </c>
      <c r="JO82" s="102">
        <f t="shared" si="283"/>
        <v>0</v>
      </c>
      <c r="JP82" s="102">
        <f t="shared" si="283"/>
        <v>0</v>
      </c>
      <c r="JQ82" s="102">
        <f t="shared" si="283"/>
        <v>0</v>
      </c>
      <c r="JR82" s="102">
        <f t="shared" si="283"/>
        <v>0</v>
      </c>
      <c r="JS82" s="102">
        <f t="shared" si="283"/>
        <v>0</v>
      </c>
      <c r="JT82" s="102">
        <f t="shared" si="284"/>
        <v>0</v>
      </c>
      <c r="JU82" s="102">
        <f t="shared" si="285"/>
        <v>0</v>
      </c>
      <c r="JV82" s="102">
        <f t="shared" si="285"/>
        <v>0</v>
      </c>
      <c r="JW82" s="102">
        <f t="shared" si="286"/>
        <v>0</v>
      </c>
      <c r="JX82" s="102">
        <f t="shared" si="287"/>
        <v>0</v>
      </c>
      <c r="JY82" s="102">
        <f t="shared" si="288"/>
        <v>0</v>
      </c>
      <c r="KB82" s="32" t="str">
        <f t="shared" si="289"/>
        <v xml:space="preserve"> </v>
      </c>
      <c r="KC82" s="32" t="str">
        <f t="shared" si="289"/>
        <v xml:space="preserve"> </v>
      </c>
      <c r="KD82" s="32" t="str">
        <f t="shared" si="289"/>
        <v xml:space="preserve"> </v>
      </c>
      <c r="KE82" s="32" t="str">
        <f t="shared" si="289"/>
        <v xml:space="preserve"> </v>
      </c>
      <c r="KF82" s="32" t="str">
        <f t="shared" si="289"/>
        <v xml:space="preserve"> </v>
      </c>
      <c r="KG82" s="32" t="str">
        <f t="shared" si="289"/>
        <v xml:space="preserve"> </v>
      </c>
      <c r="KH82" s="32" t="str">
        <f t="shared" si="290"/>
        <v xml:space="preserve"> </v>
      </c>
      <c r="KJ82" s="102">
        <f t="shared" si="291"/>
        <v>0</v>
      </c>
      <c r="KK82" s="102">
        <f t="shared" si="291"/>
        <v>0</v>
      </c>
      <c r="KL82" s="102">
        <f t="shared" si="291"/>
        <v>0</v>
      </c>
      <c r="KM82" s="102">
        <f t="shared" si="291"/>
        <v>0</v>
      </c>
      <c r="KN82" s="102">
        <f t="shared" si="291"/>
        <v>0</v>
      </c>
      <c r="KO82" s="102">
        <f t="shared" si="291"/>
        <v>0</v>
      </c>
      <c r="KP82" s="102">
        <f t="shared" si="292"/>
        <v>0</v>
      </c>
      <c r="KR82" s="32">
        <f t="shared" si="293"/>
        <v>0</v>
      </c>
      <c r="KS82" s="32">
        <f t="shared" si="293"/>
        <v>0</v>
      </c>
      <c r="KT82" s="32">
        <f t="shared" si="293"/>
        <v>0</v>
      </c>
      <c r="KU82" s="32">
        <f t="shared" si="293"/>
        <v>0</v>
      </c>
      <c r="KV82" s="32">
        <f t="shared" si="293"/>
        <v>0</v>
      </c>
      <c r="KW82" s="32">
        <f t="shared" si="293"/>
        <v>0</v>
      </c>
      <c r="KX82" s="32">
        <f t="shared" si="293"/>
        <v>0</v>
      </c>
      <c r="KY82" s="32">
        <f t="shared" si="293"/>
        <v>0</v>
      </c>
      <c r="KZ82" s="32">
        <f t="shared" si="306"/>
        <v>0</v>
      </c>
    </row>
    <row r="83" spans="1:312" outlineLevel="2">
      <c r="A83" s="884">
        <v>4250</v>
      </c>
      <c r="B83" s="70" t="s">
        <v>664</v>
      </c>
      <c r="C83" s="40" t="s">
        <v>665</v>
      </c>
      <c r="D83" s="31"/>
      <c r="E83" s="102">
        <v>0</v>
      </c>
      <c r="F83" s="102">
        <v>0</v>
      </c>
      <c r="G83" s="102">
        <v>0</v>
      </c>
      <c r="H83" s="102">
        <v>0</v>
      </c>
      <c r="I83" s="102">
        <v>0</v>
      </c>
      <c r="J83" s="102">
        <v>0</v>
      </c>
      <c r="K83" s="102">
        <v>0</v>
      </c>
      <c r="L83" s="102">
        <v>0</v>
      </c>
      <c r="M83" s="102">
        <v>17.025162000000002</v>
      </c>
      <c r="N83" s="102">
        <v>0</v>
      </c>
      <c r="O83" s="102">
        <v>0</v>
      </c>
      <c r="P83" s="102">
        <v>0</v>
      </c>
      <c r="Q83" s="102">
        <v>15.132695999999999</v>
      </c>
      <c r="R83" s="102">
        <v>0</v>
      </c>
      <c r="S83" s="102">
        <v>0</v>
      </c>
      <c r="T83" s="102">
        <v>7.9493780000000029</v>
      </c>
      <c r="U83" s="102">
        <v>0</v>
      </c>
      <c r="V83" s="102">
        <v>0</v>
      </c>
      <c r="W83" s="102">
        <v>6</v>
      </c>
      <c r="X83" s="102">
        <v>0</v>
      </c>
      <c r="Y83" s="102">
        <v>0</v>
      </c>
      <c r="Z83" s="102">
        <v>3.1999999999999993</v>
      </c>
      <c r="AA83" s="102">
        <v>0</v>
      </c>
      <c r="AB83" s="102">
        <v>0</v>
      </c>
      <c r="AC83" s="102">
        <v>1.21469768</v>
      </c>
      <c r="AD83" s="102">
        <v>7.6194267400000006</v>
      </c>
      <c r="AE83" s="102">
        <v>16.6509</v>
      </c>
      <c r="AF83" s="102">
        <v>0</v>
      </c>
      <c r="AG83" s="102">
        <v>0</v>
      </c>
      <c r="AH83" s="102">
        <v>0</v>
      </c>
      <c r="AI83" s="102">
        <v>0</v>
      </c>
      <c r="AJ83" s="102">
        <v>0</v>
      </c>
      <c r="AK83" s="102">
        <v>8.4976199999999995</v>
      </c>
      <c r="AL83" s="102">
        <v>0.54</v>
      </c>
      <c r="AM83" s="102">
        <v>3.8012800000000002</v>
      </c>
      <c r="AN83" s="102">
        <v>2061.4334434800003</v>
      </c>
      <c r="AO83" s="940">
        <v>0</v>
      </c>
      <c r="AP83" s="963">
        <v>0</v>
      </c>
      <c r="AQ83" s="962">
        <v>1.7435</v>
      </c>
      <c r="AR83" s="962">
        <v>0</v>
      </c>
      <c r="AS83" s="940">
        <v>1.360625</v>
      </c>
      <c r="AT83" s="940">
        <v>0</v>
      </c>
      <c r="AU83" s="940">
        <v>11.82559781</v>
      </c>
      <c r="AV83" s="940">
        <v>0</v>
      </c>
      <c r="AW83" s="940">
        <v>0</v>
      </c>
      <c r="AX83" s="940">
        <v>5.0821999999999999E-2</v>
      </c>
      <c r="AY83" s="940">
        <v>0.75949968000000001</v>
      </c>
      <c r="AZ83" s="940">
        <f>605.004488+605.01-1210.26</f>
        <v>-0.24551199999996243</v>
      </c>
      <c r="BA83" s="102">
        <v>0</v>
      </c>
      <c r="BB83" s="102">
        <v>4.1160290000000002</v>
      </c>
      <c r="BC83" s="102">
        <v>6.9308100000000001</v>
      </c>
      <c r="BD83" s="102">
        <f>308.48402584</f>
        <v>308.48402584000002</v>
      </c>
      <c r="BE83" s="102">
        <v>4.5056435700000002</v>
      </c>
      <c r="BF83" s="102">
        <v>8.3267183899999999</v>
      </c>
      <c r="BG83" s="102">
        <v>0</v>
      </c>
      <c r="BH83" s="102">
        <v>2.6590630000000001E-2</v>
      </c>
      <c r="BI83" s="102">
        <v>19.95264959</v>
      </c>
      <c r="BJ83" s="102">
        <v>0</v>
      </c>
      <c r="BK83" s="102">
        <v>45.642482940000001</v>
      </c>
      <c r="BL83" s="102">
        <v>1.4454610000000001</v>
      </c>
      <c r="BM83" s="102">
        <v>0.16505728</v>
      </c>
      <c r="BN83" s="102">
        <v>0</v>
      </c>
      <c r="BO83" s="102">
        <v>0</v>
      </c>
      <c r="BP83" s="102">
        <v>0</v>
      </c>
      <c r="BQ83" s="102">
        <v>0</v>
      </c>
      <c r="BR83" s="102">
        <v>0</v>
      </c>
      <c r="BS83" s="102">
        <v>0</v>
      </c>
      <c r="BT83" s="102">
        <v>0</v>
      </c>
      <c r="BU83" s="102">
        <v>0</v>
      </c>
      <c r="BV83" s="102">
        <v>0</v>
      </c>
      <c r="BW83" s="102">
        <v>0</v>
      </c>
      <c r="BX83" s="102">
        <v>0</v>
      </c>
      <c r="BY83" s="102">
        <v>0</v>
      </c>
      <c r="BZ83" s="102">
        <v>0</v>
      </c>
      <c r="CA83" s="102">
        <v>0</v>
      </c>
      <c r="CB83" s="102">
        <v>8.865599679999999</v>
      </c>
      <c r="CC83" s="102">
        <v>0</v>
      </c>
      <c r="CD83" s="102">
        <v>0</v>
      </c>
      <c r="CE83" s="102">
        <v>0.77251999999999998</v>
      </c>
      <c r="CF83" s="102">
        <v>0</v>
      </c>
      <c r="CG83" s="102">
        <v>0</v>
      </c>
      <c r="CH83" s="102">
        <v>0</v>
      </c>
      <c r="CI83" s="102">
        <v>0</v>
      </c>
      <c r="CJ83" s="102">
        <v>94.824130599999989</v>
      </c>
      <c r="CK83" s="102">
        <v>0</v>
      </c>
      <c r="CL83" s="102">
        <v>0</v>
      </c>
      <c r="CM83" s="102">
        <v>0</v>
      </c>
      <c r="CN83" s="102">
        <v>0</v>
      </c>
      <c r="CO83" s="102">
        <v>2.93</v>
      </c>
      <c r="CP83" s="102">
        <v>0</v>
      </c>
      <c r="CQ83" s="102">
        <v>0.4145508</v>
      </c>
      <c r="CR83" s="102">
        <v>0</v>
      </c>
      <c r="CS83" s="102">
        <v>0</v>
      </c>
      <c r="CT83" s="102">
        <v>0</v>
      </c>
      <c r="CU83" s="102">
        <v>0</v>
      </c>
      <c r="CV83" s="102">
        <v>0</v>
      </c>
      <c r="CW83" s="102">
        <v>0</v>
      </c>
      <c r="CX83" s="102">
        <v>0</v>
      </c>
      <c r="CY83" s="102">
        <v>0</v>
      </c>
      <c r="CZ83" s="102">
        <v>0</v>
      </c>
      <c r="DA83" s="102">
        <v>0</v>
      </c>
      <c r="DB83" s="102">
        <v>0</v>
      </c>
      <c r="DC83" s="102">
        <v>2.92521187</v>
      </c>
      <c r="DD83" s="102">
        <v>5.6623199999999993E-3</v>
      </c>
      <c r="DE83" s="102">
        <v>0</v>
      </c>
      <c r="DF83" s="102">
        <v>0</v>
      </c>
      <c r="DG83" s="102">
        <v>0</v>
      </c>
      <c r="DH83" s="102">
        <v>16.3692308</v>
      </c>
      <c r="DJ83" s="102">
        <v>0</v>
      </c>
      <c r="DK83" s="102">
        <v>0</v>
      </c>
      <c r="DL83" s="102">
        <v>0</v>
      </c>
      <c r="DM83" s="102">
        <v>0</v>
      </c>
      <c r="DN83" s="102">
        <v>0</v>
      </c>
      <c r="DO83" s="102">
        <v>0</v>
      </c>
      <c r="DP83" s="102">
        <v>0</v>
      </c>
      <c r="DQ83" s="102">
        <v>0</v>
      </c>
      <c r="DR83" s="102">
        <v>0</v>
      </c>
      <c r="DS83" s="102">
        <v>0</v>
      </c>
      <c r="DT83" s="102">
        <v>0</v>
      </c>
      <c r="DU83" s="102">
        <v>0</v>
      </c>
      <c r="DW83" s="102">
        <v>3.7</v>
      </c>
      <c r="DX83" s="102">
        <v>3.7</v>
      </c>
      <c r="DY83" s="102">
        <v>3.7</v>
      </c>
      <c r="DZ83" s="102">
        <v>3.7</v>
      </c>
      <c r="EA83" s="102">
        <v>3.7</v>
      </c>
      <c r="EB83" s="102">
        <v>3.7</v>
      </c>
      <c r="EC83" s="102">
        <v>3.7</v>
      </c>
      <c r="ED83" s="102">
        <v>3.7</v>
      </c>
      <c r="EE83" s="102">
        <v>3.7</v>
      </c>
      <c r="EF83" s="102">
        <v>3.7</v>
      </c>
      <c r="EG83" s="102">
        <v>3.7</v>
      </c>
      <c r="EH83" s="102">
        <v>3.7</v>
      </c>
      <c r="EI83" s="102">
        <v>0</v>
      </c>
      <c r="EJ83" s="102">
        <v>0</v>
      </c>
      <c r="EK83" s="102">
        <v>1.0244548320770263E-14</v>
      </c>
      <c r="EL83" s="102">
        <v>-9.3132257461547859E-15</v>
      </c>
      <c r="EM83" s="102">
        <v>1.3038516044616699E-14</v>
      </c>
      <c r="EN83" s="102">
        <v>1.3038516044616699E-14</v>
      </c>
      <c r="EO83" s="102">
        <v>0</v>
      </c>
      <c r="EP83" s="102">
        <v>0</v>
      </c>
      <c r="EQ83" s="102">
        <v>0</v>
      </c>
      <c r="ER83" s="102">
        <v>0</v>
      </c>
      <c r="ES83" s="102">
        <v>0</v>
      </c>
      <c r="ET83" s="102">
        <v>0</v>
      </c>
      <c r="EU83" s="102"/>
      <c r="EV83" s="102"/>
      <c r="EW83" s="102"/>
      <c r="EX83" s="102"/>
      <c r="EY83" s="102"/>
      <c r="EZ83" s="102"/>
      <c r="FA83" s="102"/>
      <c r="FB83" s="102"/>
      <c r="FC83" s="102"/>
      <c r="FD83" s="102"/>
      <c r="FE83" s="102"/>
      <c r="FF83" s="102"/>
      <c r="FG83" s="102">
        <v>0</v>
      </c>
      <c r="FH83" s="102">
        <v>0</v>
      </c>
      <c r="FI83" s="102">
        <v>0</v>
      </c>
      <c r="FJ83" s="102">
        <v>0</v>
      </c>
      <c r="FK83" s="102">
        <v>0</v>
      </c>
      <c r="FL83" s="102">
        <v>0</v>
      </c>
      <c r="FM83" s="102">
        <v>0</v>
      </c>
      <c r="FN83" s="102">
        <v>0</v>
      </c>
      <c r="FO83" s="102">
        <v>0</v>
      </c>
      <c r="FP83" s="102">
        <v>0</v>
      </c>
      <c r="FQ83" s="102">
        <v>0</v>
      </c>
      <c r="FR83" s="102">
        <v>0</v>
      </c>
      <c r="FS83" s="102">
        <v>0</v>
      </c>
      <c r="FT83" s="102">
        <v>0</v>
      </c>
      <c r="FU83" s="102">
        <v>0</v>
      </c>
      <c r="FV83" s="102">
        <v>0</v>
      </c>
      <c r="FW83" s="102">
        <v>0</v>
      </c>
      <c r="FX83" s="102">
        <v>0</v>
      </c>
      <c r="FY83" s="102">
        <v>0</v>
      </c>
      <c r="FZ83" s="102">
        <v>0</v>
      </c>
      <c r="GA83" s="102">
        <v>0</v>
      </c>
      <c r="GB83" s="102">
        <v>0</v>
      </c>
      <c r="GC83" s="102">
        <v>0</v>
      </c>
      <c r="GD83" s="102">
        <v>0</v>
      </c>
      <c r="GF83" s="102">
        <f t="shared" si="264"/>
        <v>17.025162000000002</v>
      </c>
      <c r="GG83" s="102">
        <f t="shared" si="264"/>
        <v>32.282074000000001</v>
      </c>
      <c r="GH83" s="102">
        <f t="shared" si="264"/>
        <v>2099.7573679000002</v>
      </c>
      <c r="GI83" s="102">
        <f t="shared" si="264"/>
        <v>15.494532490000037</v>
      </c>
      <c r="GJ83" s="102">
        <f t="shared" si="294"/>
        <v>399.43041096000002</v>
      </c>
      <c r="GK83" s="102">
        <f t="shared" si="265"/>
        <v>0.16505728</v>
      </c>
      <c r="GL83" s="102">
        <f t="shared" si="256"/>
        <v>104.46225027999999</v>
      </c>
      <c r="GM83" s="102">
        <f t="shared" si="257"/>
        <v>3.3445508000000004</v>
      </c>
      <c r="GN83" s="102">
        <f t="shared" si="258"/>
        <v>0</v>
      </c>
      <c r="GO83" s="102">
        <v>19.300104990000001</v>
      </c>
      <c r="GQ83" s="929">
        <f t="shared" si="266"/>
        <v>64.044066496471075</v>
      </c>
      <c r="GR83" s="929">
        <f t="shared" si="266"/>
        <v>-0.99262079860898578</v>
      </c>
      <c r="GS83" s="929">
        <f t="shared" si="266"/>
        <v>24.77879721235778</v>
      </c>
      <c r="GT83" s="929">
        <f t="shared" si="266"/>
        <v>-0.99958676836948068</v>
      </c>
      <c r="GU83" s="929">
        <f t="shared" si="266"/>
        <v>631.88484022031616</v>
      </c>
      <c r="GV83" s="929">
        <f t="shared" si="266"/>
        <v>-0.96798316338164947</v>
      </c>
      <c r="GW83" s="929">
        <f t="shared" si="266"/>
        <v>-1</v>
      </c>
      <c r="GX83" s="929" t="str">
        <f t="shared" si="266"/>
        <v/>
      </c>
      <c r="GY83" s="929">
        <f t="shared" si="249"/>
        <v>4.7706120026641541</v>
      </c>
      <c r="HA83" s="102">
        <f t="shared" si="267"/>
        <v>2067.4752939</v>
      </c>
      <c r="HB83" s="102">
        <f t="shared" si="267"/>
        <v>-2084.2628354100002</v>
      </c>
      <c r="HC83" s="102">
        <f t="shared" si="267"/>
        <v>383.93587846999998</v>
      </c>
      <c r="HD83" s="102">
        <f t="shared" si="267"/>
        <v>-399.26535368000003</v>
      </c>
      <c r="HE83" s="102">
        <f t="shared" si="226"/>
        <v>104.29719299999999</v>
      </c>
      <c r="HF83" s="102">
        <f t="shared" si="226"/>
        <v>-101.11769948</v>
      </c>
      <c r="HG83" s="102">
        <f t="shared" si="226"/>
        <v>-3.3445508000000004</v>
      </c>
      <c r="HH83" s="102">
        <f t="shared" si="226"/>
        <v>19.300104990000001</v>
      </c>
      <c r="HI83" s="102">
        <f t="shared" si="251"/>
        <v>15.955554190000001</v>
      </c>
      <c r="HK83" s="32">
        <f t="shared" si="268"/>
        <v>8.7829759047844901E-4</v>
      </c>
      <c r="HL83" s="32">
        <f t="shared" si="268"/>
        <v>5.3316363912787518E-2</v>
      </c>
      <c r="HM83" s="32">
        <f t="shared" si="268"/>
        <v>9.1940495904881234E-4</v>
      </c>
      <c r="HN83" s="32">
        <f t="shared" si="268"/>
        <v>6.4926637028315387E-2</v>
      </c>
      <c r="HO83" s="32">
        <f t="shared" si="268"/>
        <v>1.2110904761638212E-5</v>
      </c>
      <c r="HP83" s="32">
        <f t="shared" si="268"/>
        <v>7.3822126727406271E-3</v>
      </c>
      <c r="HQ83" s="32">
        <f t="shared" si="268"/>
        <v>1.5754371419202633E-4</v>
      </c>
      <c r="HR83" s="32">
        <f t="shared" si="268"/>
        <v>0</v>
      </c>
      <c r="HS83" s="32">
        <f t="shared" si="268"/>
        <v>1.5293405272394486E-3</v>
      </c>
      <c r="HU83" s="102">
        <f t="shared" si="269"/>
        <v>0</v>
      </c>
      <c r="HV83" s="102">
        <f t="shared" si="269"/>
        <v>23.082074000000002</v>
      </c>
      <c r="HW83" s="102">
        <f t="shared" si="269"/>
        <v>25.485024420000002</v>
      </c>
      <c r="HX83" s="102">
        <f t="shared" si="269"/>
        <v>3.1041249999999998</v>
      </c>
      <c r="HY83" s="102">
        <f t="shared" si="269"/>
        <v>332.36322680000001</v>
      </c>
      <c r="HZ83" s="102">
        <f t="shared" si="269"/>
        <v>0.16505728</v>
      </c>
      <c r="IA83" s="102">
        <f t="shared" si="270"/>
        <v>8.865599679999999</v>
      </c>
      <c r="IB83" s="102">
        <f t="shared" si="271"/>
        <v>2.93</v>
      </c>
      <c r="IC83" s="102">
        <f t="shared" si="272"/>
        <v>0</v>
      </c>
      <c r="ID83" s="102">
        <f t="shared" si="253"/>
        <v>0</v>
      </c>
      <c r="IE83" s="102">
        <f t="shared" si="273"/>
        <v>0</v>
      </c>
      <c r="IG83" s="102">
        <f t="shared" si="254"/>
        <v>0</v>
      </c>
      <c r="IH83" s="102">
        <f t="shared" si="254"/>
        <v>0</v>
      </c>
      <c r="II83" s="145"/>
      <c r="IJ83" s="929" t="str">
        <f t="shared" si="274"/>
        <v/>
      </c>
      <c r="IK83" s="930">
        <f t="shared" si="275"/>
        <v>0</v>
      </c>
      <c r="IM83" s="32">
        <f t="shared" si="276"/>
        <v>0</v>
      </c>
      <c r="IN83" s="929">
        <f t="shared" si="277"/>
        <v>0</v>
      </c>
      <c r="IP83" s="929">
        <f t="shared" si="295"/>
        <v>0.10410461468930388</v>
      </c>
      <c r="IQ83" s="929">
        <f t="shared" si="295"/>
        <v>-0.87819807629597713</v>
      </c>
      <c r="IR83" s="929">
        <f t="shared" si="295"/>
        <v>106.07146999557042</v>
      </c>
      <c r="IS83" s="929">
        <f t="shared" si="295"/>
        <v>-0.99950338284536111</v>
      </c>
      <c r="IT83" s="929">
        <f t="shared" si="295"/>
        <v>52.712260858775807</v>
      </c>
      <c r="IU83" s="929">
        <f t="shared" si="295"/>
        <v>-0.66950910194943514</v>
      </c>
      <c r="IV83" s="929">
        <f t="shared" si="296"/>
        <v>-1</v>
      </c>
      <c r="IX83" s="102">
        <f t="shared" si="279"/>
        <v>2.4029504199999998</v>
      </c>
      <c r="IY83" s="102">
        <f t="shared" si="279"/>
        <v>-22.380899420000002</v>
      </c>
      <c r="IZ83" s="102">
        <f t="shared" si="279"/>
        <v>329.2591018</v>
      </c>
      <c r="JA83" s="102">
        <f t="shared" si="279"/>
        <v>-332.19816952000002</v>
      </c>
      <c r="JB83" s="102">
        <f t="shared" si="279"/>
        <v>8.7005423999999998</v>
      </c>
      <c r="JC83" s="102">
        <f t="shared" si="279"/>
        <v>-5.9355996799999993</v>
      </c>
      <c r="JD83" s="102">
        <f t="shared" si="280"/>
        <v>-2.93</v>
      </c>
      <c r="JF83" s="32">
        <f t="shared" si="281"/>
        <v>0</v>
      </c>
      <c r="JG83" s="32">
        <f t="shared" si="281"/>
        <v>1.3536817918648057E-3</v>
      </c>
      <c r="JH83" s="32">
        <f t="shared" si="281"/>
        <v>1.5678006784724395E-3</v>
      </c>
      <c r="JI83" s="32">
        <f t="shared" si="281"/>
        <v>3.3184739108894023E-4</v>
      </c>
      <c r="JJ83" s="32">
        <f t="shared" si="281"/>
        <v>0.16563295074255938</v>
      </c>
      <c r="JK83" s="32">
        <f t="shared" si="281"/>
        <v>2.37789671372883E-5</v>
      </c>
      <c r="JL83" s="32">
        <f t="shared" si="281"/>
        <v>1.6760894525162868E-3</v>
      </c>
      <c r="JM83" s="32">
        <f t="shared" si="282"/>
        <v>0</v>
      </c>
      <c r="JO83" s="102">
        <f t="shared" si="283"/>
        <v>0</v>
      </c>
      <c r="JP83" s="102">
        <f t="shared" si="283"/>
        <v>0</v>
      </c>
      <c r="JQ83" s="102">
        <f t="shared" si="283"/>
        <v>0</v>
      </c>
      <c r="JR83" s="102">
        <f t="shared" si="283"/>
        <v>0</v>
      </c>
      <c r="JS83" s="102">
        <f t="shared" si="283"/>
        <v>8.3267183899999999</v>
      </c>
      <c r="JT83" s="102">
        <f t="shared" si="284"/>
        <v>0</v>
      </c>
      <c r="JU83" s="102">
        <f t="shared" si="285"/>
        <v>0</v>
      </c>
      <c r="JV83" s="102">
        <f t="shared" si="285"/>
        <v>0</v>
      </c>
      <c r="JW83" s="102">
        <f t="shared" si="286"/>
        <v>0</v>
      </c>
      <c r="JX83" s="102">
        <f t="shared" si="287"/>
        <v>0</v>
      </c>
      <c r="JY83" s="102">
        <f t="shared" si="288"/>
        <v>0</v>
      </c>
      <c r="KB83" s="32" t="str">
        <f t="shared" si="289"/>
        <v xml:space="preserve"> </v>
      </c>
      <c r="KC83" s="32" t="str">
        <f t="shared" si="289"/>
        <v xml:space="preserve"> </v>
      </c>
      <c r="KD83" s="32" t="str">
        <f t="shared" si="289"/>
        <v xml:space="preserve"> </v>
      </c>
      <c r="KE83" s="32">
        <f t="shared" si="289"/>
        <v>-1</v>
      </c>
      <c r="KF83" s="32" t="str">
        <f t="shared" si="289"/>
        <v xml:space="preserve"> </v>
      </c>
      <c r="KG83" s="32" t="str">
        <f t="shared" si="289"/>
        <v xml:space="preserve"> </v>
      </c>
      <c r="KH83" s="32" t="str">
        <f t="shared" si="290"/>
        <v xml:space="preserve"> </v>
      </c>
      <c r="KJ83" s="102">
        <f t="shared" si="291"/>
        <v>0</v>
      </c>
      <c r="KK83" s="102">
        <f t="shared" si="291"/>
        <v>0</v>
      </c>
      <c r="KL83" s="102">
        <f t="shared" si="291"/>
        <v>8.3267183899999999</v>
      </c>
      <c r="KM83" s="102">
        <f t="shared" si="291"/>
        <v>-8.3267183899999999</v>
      </c>
      <c r="KN83" s="102">
        <f t="shared" si="291"/>
        <v>0</v>
      </c>
      <c r="KO83" s="102">
        <f t="shared" si="291"/>
        <v>0</v>
      </c>
      <c r="KP83" s="102">
        <f t="shared" si="292"/>
        <v>0</v>
      </c>
      <c r="KR83" s="32">
        <f t="shared" si="293"/>
        <v>0</v>
      </c>
      <c r="KS83" s="32">
        <f t="shared" si="293"/>
        <v>0</v>
      </c>
      <c r="KT83" s="32">
        <f t="shared" si="293"/>
        <v>0</v>
      </c>
      <c r="KU83" s="32">
        <f t="shared" si="293"/>
        <v>0</v>
      </c>
      <c r="KV83" s="32">
        <f t="shared" si="293"/>
        <v>2.6684438203681479E-2</v>
      </c>
      <c r="KW83" s="32">
        <f t="shared" si="293"/>
        <v>0</v>
      </c>
      <c r="KX83" s="32">
        <f t="shared" si="293"/>
        <v>0</v>
      </c>
      <c r="KY83" s="32">
        <f t="shared" si="293"/>
        <v>0</v>
      </c>
      <c r="KZ83" s="32">
        <f t="shared" si="306"/>
        <v>0</v>
      </c>
    </row>
    <row r="84" spans="1:312" outlineLevel="2">
      <c r="A84" s="884"/>
      <c r="B84" s="70"/>
      <c r="C84" s="399" t="s">
        <v>666</v>
      </c>
      <c r="D84" s="307" t="s">
        <v>59</v>
      </c>
      <c r="E84" s="931">
        <v>2.9632999999999998E-4</v>
      </c>
      <c r="F84" s="931">
        <v>1.1272599999999999E-3</v>
      </c>
      <c r="G84" s="931">
        <v>6.669899999999999E-4</v>
      </c>
      <c r="H84" s="931">
        <v>5.4055999999999983E-4</v>
      </c>
      <c r="I84" s="931">
        <v>3.6505000000000044E-4</v>
      </c>
      <c r="J84" s="931">
        <v>3.8629800000000002E-3</v>
      </c>
      <c r="K84" s="931">
        <v>2.3703499999999994E-3</v>
      </c>
      <c r="L84" s="931">
        <v>8.300399999999989E-4</v>
      </c>
      <c r="M84" s="931">
        <v>3.4980400000000009E-3</v>
      </c>
      <c r="N84" s="931">
        <v>1.446359999999999E-3</v>
      </c>
      <c r="O84" s="931">
        <v>3.6545100000000014E-3</v>
      </c>
      <c r="P84" s="931">
        <v>5.9034599999999993E-3</v>
      </c>
      <c r="Q84" s="931">
        <v>2.4799400000000004E-3</v>
      </c>
      <c r="R84" s="931">
        <v>9.0356999999999981E-4</v>
      </c>
      <c r="S84" s="931">
        <v>7.9054116600000004</v>
      </c>
      <c r="T84" s="931">
        <v>1.8746597100000004</v>
      </c>
      <c r="U84" s="931">
        <v>8.1827776399999976</v>
      </c>
      <c r="V84" s="931">
        <v>2.8527118900000019</v>
      </c>
      <c r="W84" s="931">
        <v>2.5690607000000014</v>
      </c>
      <c r="X84" s="931">
        <v>1.5107018799999992</v>
      </c>
      <c r="Y84" s="931">
        <v>2.06090704</v>
      </c>
      <c r="Z84" s="931">
        <v>1.8590192600000002</v>
      </c>
      <c r="AA84" s="931">
        <v>2.4449349300000023</v>
      </c>
      <c r="AB84" s="931">
        <v>15.573310269999993</v>
      </c>
      <c r="AC84" s="931">
        <v>14.67482674</v>
      </c>
      <c r="AD84" s="931">
        <v>1.7474415900000002</v>
      </c>
      <c r="AE84" s="931">
        <v>24.74292475</v>
      </c>
      <c r="AF84" s="931">
        <v>8.1811395999999998</v>
      </c>
      <c r="AG84" s="931">
        <v>0.51179929999999996</v>
      </c>
      <c r="AH84" s="931">
        <v>4.1043249999999996E-2</v>
      </c>
      <c r="AI84" s="931">
        <v>4.1585094099999997</v>
      </c>
      <c r="AJ84" s="931">
        <v>1.40818888</v>
      </c>
      <c r="AK84" s="931">
        <v>16.30055282</v>
      </c>
      <c r="AL84" s="931">
        <v>7.8494562500000002</v>
      </c>
      <c r="AM84" s="931">
        <v>8.1755230300000008</v>
      </c>
      <c r="AN84" s="931">
        <v>71.442992110000006</v>
      </c>
      <c r="AO84" s="931">
        <f t="shared" ref="AO84:AZ84" si="307">SUM(AO85:AO87)</f>
        <v>6.00016806</v>
      </c>
      <c r="AP84" s="931">
        <f t="shared" si="307"/>
        <v>1.7580418000000002</v>
      </c>
      <c r="AQ84" s="931">
        <f t="shared" si="307"/>
        <v>99.520417440000003</v>
      </c>
      <c r="AR84" s="931">
        <f t="shared" si="307"/>
        <v>5.2069702599999994</v>
      </c>
      <c r="AS84" s="931">
        <f t="shared" si="307"/>
        <v>10.404542640000001</v>
      </c>
      <c r="AT84" s="931">
        <f t="shared" si="307"/>
        <v>3350.00055127</v>
      </c>
      <c r="AU84" s="931">
        <f t="shared" si="307"/>
        <v>108.30767601000001</v>
      </c>
      <c r="AV84" s="931">
        <f t="shared" si="307"/>
        <v>8.617547759999999</v>
      </c>
      <c r="AW84" s="931">
        <f t="shared" si="307"/>
        <v>4.3502955099999996</v>
      </c>
      <c r="AX84" s="931">
        <f t="shared" si="307"/>
        <v>1.4431349699999998</v>
      </c>
      <c r="AY84" s="931">
        <f t="shared" si="307"/>
        <v>1.1020258700000001</v>
      </c>
      <c r="AZ84" s="931">
        <f t="shared" si="307"/>
        <v>1586.9542492599999</v>
      </c>
      <c r="BA84" s="933">
        <f>SUM(BA85:BA87)</f>
        <v>0.19664075</v>
      </c>
      <c r="BB84" s="933">
        <f t="shared" ref="BB84:DG84" si="308">SUM(BB85:BB87)</f>
        <v>11.017752210000001</v>
      </c>
      <c r="BC84" s="933">
        <f t="shared" si="308"/>
        <v>1.7677111999999999</v>
      </c>
      <c r="BD84" s="933">
        <f t="shared" si="308"/>
        <v>-0.9849040699999998</v>
      </c>
      <c r="BE84" s="933">
        <f t="shared" si="308"/>
        <v>0.44304090999999995</v>
      </c>
      <c r="BF84" s="933">
        <f t="shared" si="308"/>
        <v>0.35021446999999994</v>
      </c>
      <c r="BG84" s="933">
        <f t="shared" si="308"/>
        <v>2.05116977</v>
      </c>
      <c r="BH84" s="933">
        <f t="shared" si="308"/>
        <v>0.83208804000000003</v>
      </c>
      <c r="BI84" s="933">
        <f t="shared" si="308"/>
        <v>5.0732390000000002E-2</v>
      </c>
      <c r="BJ84" s="933">
        <f t="shared" si="308"/>
        <v>6.5549E-4</v>
      </c>
      <c r="BK84" s="933">
        <f t="shared" si="308"/>
        <v>8.3564999999999996E-4</v>
      </c>
      <c r="BL84" s="933">
        <f t="shared" si="308"/>
        <v>-1.1923821400000001</v>
      </c>
      <c r="BM84" s="931">
        <f t="shared" si="308"/>
        <v>1.83719E-3</v>
      </c>
      <c r="BN84" s="931">
        <f t="shared" si="308"/>
        <v>1.6462000000000001E-4</v>
      </c>
      <c r="BO84" s="931">
        <f t="shared" si="308"/>
        <v>2.2274899999999999E-3</v>
      </c>
      <c r="BP84" s="931">
        <f t="shared" si="308"/>
        <v>1.5253E-4</v>
      </c>
      <c r="BQ84" s="931">
        <f t="shared" si="308"/>
        <v>2.3305399999999999E-3</v>
      </c>
      <c r="BR84" s="931">
        <f t="shared" si="308"/>
        <v>5.8061000000000007E-4</v>
      </c>
      <c r="BS84" s="931">
        <f t="shared" si="308"/>
        <v>2.2607299999999999E-3</v>
      </c>
      <c r="BT84" s="931">
        <f t="shared" si="308"/>
        <v>3.4131999999999999E-4</v>
      </c>
      <c r="BU84" s="931">
        <f t="shared" si="308"/>
        <v>1.7969500000000001E-3</v>
      </c>
      <c r="BV84" s="931">
        <f t="shared" si="308"/>
        <v>8.8101999999999994E-4</v>
      </c>
      <c r="BW84" s="931">
        <f t="shared" si="308"/>
        <v>5.2280589999999995E-2</v>
      </c>
      <c r="BX84" s="931">
        <f t="shared" si="308"/>
        <v>6.994323999999999E-2</v>
      </c>
      <c r="BY84" s="931">
        <f t="shared" si="308"/>
        <v>2.6925500000000002E-3</v>
      </c>
      <c r="BZ84" s="931">
        <f t="shared" si="308"/>
        <v>8.0361000000000007E-4</v>
      </c>
      <c r="CA84" s="931">
        <f t="shared" si="308"/>
        <v>1.2116399999999999E-3</v>
      </c>
      <c r="CB84" s="931">
        <f t="shared" si="308"/>
        <v>0.47661143</v>
      </c>
      <c r="CC84" s="931">
        <f t="shared" si="308"/>
        <v>3.7578000000000004E-3</v>
      </c>
      <c r="CD84" s="931">
        <f t="shared" si="308"/>
        <v>4.9815999999999999E-4</v>
      </c>
      <c r="CE84" s="931">
        <f t="shared" si="308"/>
        <v>9.4554999999999997E-4</v>
      </c>
      <c r="CF84" s="931">
        <f t="shared" si="308"/>
        <v>3.9118000000000003E-4</v>
      </c>
      <c r="CG84" s="931">
        <f t="shared" si="308"/>
        <v>1.9237049999999999E-2</v>
      </c>
      <c r="CH84" s="931">
        <f t="shared" si="308"/>
        <v>0.57452024000000002</v>
      </c>
      <c r="CI84" s="931">
        <f t="shared" si="308"/>
        <v>1.5796E-3</v>
      </c>
      <c r="CJ84" s="931">
        <f t="shared" si="308"/>
        <v>4.2733700000000003E-3</v>
      </c>
      <c r="CK84" s="931">
        <f t="shared" si="308"/>
        <v>1.0624E-3</v>
      </c>
      <c r="CL84" s="931">
        <f t="shared" si="308"/>
        <v>2.4283099999999999E-3</v>
      </c>
      <c r="CM84" s="931">
        <f t="shared" si="308"/>
        <v>6.9841999999999994E-4</v>
      </c>
      <c r="CN84" s="931">
        <f t="shared" si="308"/>
        <v>5.4043000000000006E-4</v>
      </c>
      <c r="CO84" s="931">
        <f t="shared" si="308"/>
        <v>6.0316900000000001E-3</v>
      </c>
      <c r="CP84" s="931">
        <f t="shared" si="308"/>
        <v>8.6185999999999999E-4</v>
      </c>
      <c r="CQ84" s="931">
        <f t="shared" si="308"/>
        <v>2.8239200000000002E-3</v>
      </c>
      <c r="CR84" s="931">
        <f t="shared" si="308"/>
        <v>4.2691000000014899E-4</v>
      </c>
      <c r="CS84" s="931">
        <f t="shared" si="308"/>
        <v>4.6266199999999997E-3</v>
      </c>
      <c r="CT84" s="931">
        <f t="shared" si="308"/>
        <v>0.11668603000000001</v>
      </c>
      <c r="CU84" s="931">
        <f t="shared" si="308"/>
        <v>4.6332046800000004</v>
      </c>
      <c r="CV84" s="931">
        <f t="shared" si="308"/>
        <v>5.4210600000000001E-3</v>
      </c>
      <c r="CW84" s="931">
        <f t="shared" si="308"/>
        <v>1.26964E-3</v>
      </c>
      <c r="CX84" s="931">
        <f t="shared" si="308"/>
        <v>6.6583999999999992E-3</v>
      </c>
      <c r="CY84" s="931">
        <f t="shared" si="308"/>
        <v>9.9821000000000003E-4</v>
      </c>
      <c r="CZ84" s="931">
        <f t="shared" si="308"/>
        <v>8.1086999999999999E-3</v>
      </c>
      <c r="DA84" s="931">
        <f t="shared" si="308"/>
        <v>9.9982000000000001E-4</v>
      </c>
      <c r="DB84" s="931">
        <f t="shared" si="308"/>
        <v>22.076223850000002</v>
      </c>
      <c r="DC84" s="931">
        <f t="shared" si="308"/>
        <v>15.425907609999999</v>
      </c>
      <c r="DD84" s="931">
        <f t="shared" si="308"/>
        <v>24.571904719999999</v>
      </c>
      <c r="DE84" s="931">
        <f t="shared" si="308"/>
        <v>24.221593410000001</v>
      </c>
      <c r="DF84" s="931">
        <f t="shared" si="308"/>
        <v>1.9277599999999999E-3</v>
      </c>
      <c r="DG84" s="931">
        <f t="shared" si="308"/>
        <v>1.0388399999999999E-3</v>
      </c>
      <c r="DH84" s="931">
        <f>SUM(DH85:DH87)</f>
        <v>110.35720313999998</v>
      </c>
      <c r="DJ84" s="931">
        <f t="shared" ref="DJ84:DU84" si="309">SUM(DJ85:DJ87)</f>
        <v>1.26964E-3</v>
      </c>
      <c r="DK84" s="931">
        <f t="shared" si="309"/>
        <v>6.6583999999999992E-3</v>
      </c>
      <c r="DL84" s="931">
        <f t="shared" si="309"/>
        <v>9.9821000000000003E-4</v>
      </c>
      <c r="DM84" s="931">
        <f t="shared" si="309"/>
        <v>8.1086999999999999E-3</v>
      </c>
      <c r="DN84" s="931">
        <f t="shared" si="309"/>
        <v>9.9982000000000001E-4</v>
      </c>
      <c r="DO84" s="931">
        <f t="shared" si="309"/>
        <v>22.076223850000002</v>
      </c>
      <c r="DP84" s="931">
        <f t="shared" si="309"/>
        <v>0</v>
      </c>
      <c r="DQ84" s="931">
        <f t="shared" si="309"/>
        <v>0</v>
      </c>
      <c r="DR84" s="931">
        <f t="shared" si="309"/>
        <v>0</v>
      </c>
      <c r="DS84" s="931">
        <f t="shared" si="309"/>
        <v>0</v>
      </c>
      <c r="DT84" s="931">
        <f t="shared" si="309"/>
        <v>0</v>
      </c>
      <c r="DU84" s="931">
        <f t="shared" si="309"/>
        <v>0</v>
      </c>
      <c r="DW84" s="931">
        <v>12</v>
      </c>
      <c r="DX84" s="931">
        <v>112</v>
      </c>
      <c r="DY84" s="931">
        <v>112</v>
      </c>
      <c r="DZ84" s="931">
        <v>12</v>
      </c>
      <c r="EA84" s="931">
        <v>12</v>
      </c>
      <c r="EB84" s="931">
        <v>12</v>
      </c>
      <c r="EC84" s="931">
        <v>12</v>
      </c>
      <c r="ED84" s="931">
        <v>12</v>
      </c>
      <c r="EE84" s="931">
        <v>12</v>
      </c>
      <c r="EF84" s="931">
        <v>12</v>
      </c>
      <c r="EG84" s="931">
        <v>12</v>
      </c>
      <c r="EH84" s="931">
        <v>12</v>
      </c>
      <c r="EI84" s="931">
        <f>SUM(EI85:EI87)</f>
        <v>57.081648167499999</v>
      </c>
      <c r="EJ84" s="931">
        <f t="shared" ref="EJ84:GD84" si="310">SUM(EJ85:EJ87)</f>
        <v>57.081648167499999</v>
      </c>
      <c r="EK84" s="931">
        <f t="shared" si="310"/>
        <v>1307.0816481674999</v>
      </c>
      <c r="EL84" s="931">
        <f t="shared" si="310"/>
        <v>57.081648167499999</v>
      </c>
      <c r="EM84" s="931">
        <f t="shared" si="310"/>
        <v>57.081648167499999</v>
      </c>
      <c r="EN84" s="931">
        <f t="shared" si="310"/>
        <v>57.081648167499999</v>
      </c>
      <c r="EO84" s="931">
        <f t="shared" si="310"/>
        <v>57.081648167499999</v>
      </c>
      <c r="EP84" s="931">
        <f t="shared" si="310"/>
        <v>57.081648167499999</v>
      </c>
      <c r="EQ84" s="931">
        <f t="shared" si="310"/>
        <v>57.081648167499999</v>
      </c>
      <c r="ER84" s="931">
        <f t="shared" si="310"/>
        <v>57.081648167499999</v>
      </c>
      <c r="ES84" s="931">
        <f t="shared" si="310"/>
        <v>57.081648167499999</v>
      </c>
      <c r="ET84" s="931">
        <f t="shared" si="310"/>
        <v>57.081648167499999</v>
      </c>
      <c r="EU84" s="931">
        <f t="shared" si="310"/>
        <v>0</v>
      </c>
      <c r="EV84" s="931">
        <f t="shared" si="310"/>
        <v>0</v>
      </c>
      <c r="EW84" s="931">
        <f t="shared" si="310"/>
        <v>0</v>
      </c>
      <c r="EX84" s="931">
        <f t="shared" si="310"/>
        <v>0</v>
      </c>
      <c r="EY84" s="931">
        <f t="shared" si="310"/>
        <v>0</v>
      </c>
      <c r="EZ84" s="931">
        <f t="shared" si="310"/>
        <v>0</v>
      </c>
      <c r="FA84" s="931">
        <f t="shared" si="310"/>
        <v>0</v>
      </c>
      <c r="FB84" s="931">
        <f t="shared" si="310"/>
        <v>0</v>
      </c>
      <c r="FC84" s="931">
        <f t="shared" si="310"/>
        <v>0</v>
      </c>
      <c r="FD84" s="931">
        <f t="shared" si="310"/>
        <v>0</v>
      </c>
      <c r="FE84" s="931">
        <f t="shared" si="310"/>
        <v>0</v>
      </c>
      <c r="FF84" s="931">
        <f t="shared" si="310"/>
        <v>0</v>
      </c>
      <c r="FG84" s="931">
        <f t="shared" si="310"/>
        <v>0</v>
      </c>
      <c r="FH84" s="931">
        <f t="shared" si="310"/>
        <v>0</v>
      </c>
      <c r="FI84" s="931">
        <f t="shared" si="310"/>
        <v>0</v>
      </c>
      <c r="FJ84" s="931">
        <f t="shared" si="310"/>
        <v>0</v>
      </c>
      <c r="FK84" s="931">
        <f t="shared" si="310"/>
        <v>0</v>
      </c>
      <c r="FL84" s="931">
        <f t="shared" si="310"/>
        <v>0</v>
      </c>
      <c r="FM84" s="931">
        <f t="shared" si="310"/>
        <v>0</v>
      </c>
      <c r="FN84" s="931">
        <f t="shared" si="310"/>
        <v>0</v>
      </c>
      <c r="FO84" s="931">
        <f t="shared" si="310"/>
        <v>0</v>
      </c>
      <c r="FP84" s="931">
        <f t="shared" si="310"/>
        <v>0</v>
      </c>
      <c r="FQ84" s="931">
        <f t="shared" si="310"/>
        <v>0</v>
      </c>
      <c r="FR84" s="931">
        <f t="shared" si="310"/>
        <v>0</v>
      </c>
      <c r="FS84" s="931">
        <f t="shared" si="310"/>
        <v>0</v>
      </c>
      <c r="FT84" s="931">
        <f t="shared" si="310"/>
        <v>0</v>
      </c>
      <c r="FU84" s="931">
        <f t="shared" si="310"/>
        <v>0</v>
      </c>
      <c r="FV84" s="931">
        <f t="shared" si="310"/>
        <v>0</v>
      </c>
      <c r="FW84" s="931">
        <f t="shared" si="310"/>
        <v>0</v>
      </c>
      <c r="FX84" s="931">
        <f t="shared" si="310"/>
        <v>0</v>
      </c>
      <c r="FY84" s="931">
        <f t="shared" si="310"/>
        <v>0</v>
      </c>
      <c r="FZ84" s="931">
        <f t="shared" si="310"/>
        <v>0</v>
      </c>
      <c r="GA84" s="931">
        <f t="shared" si="310"/>
        <v>0</v>
      </c>
      <c r="GB84" s="931">
        <f t="shared" si="310"/>
        <v>0</v>
      </c>
      <c r="GC84" s="931">
        <f t="shared" si="310"/>
        <v>0</v>
      </c>
      <c r="GD84" s="931">
        <f t="shared" si="310"/>
        <v>0</v>
      </c>
      <c r="GF84" s="931">
        <f t="shared" si="264"/>
        <v>2.4561929999999999E-2</v>
      </c>
      <c r="GG84" s="931">
        <f t="shared" si="264"/>
        <v>46.836878489999997</v>
      </c>
      <c r="GH84" s="931">
        <f t="shared" si="264"/>
        <v>159.23439773000001</v>
      </c>
      <c r="GI84" s="931">
        <f t="shared" si="264"/>
        <v>5183.665620849999</v>
      </c>
      <c r="GJ84" s="931">
        <f t="shared" si="294"/>
        <v>14.533554670000004</v>
      </c>
      <c r="GK84" s="931">
        <f t="shared" si="265"/>
        <v>0.13479682999999998</v>
      </c>
      <c r="GL84" s="931">
        <f t="shared" si="256"/>
        <v>1.0865221799999998</v>
      </c>
      <c r="GM84" s="931">
        <f t="shared" si="257"/>
        <v>4.7748123300000005</v>
      </c>
      <c r="GN84" s="931">
        <f t="shared" si="258"/>
        <v>0</v>
      </c>
      <c r="GO84" s="931">
        <v>196.67383409999999</v>
      </c>
      <c r="GQ84" s="934">
        <f t="shared" si="266"/>
        <v>2.3997653742872229</v>
      </c>
      <c r="GR84" s="934">
        <f t="shared" si="266"/>
        <v>31.553679950732075</v>
      </c>
      <c r="GS84" s="934">
        <f t="shared" si="266"/>
        <v>-0.9971962785154308</v>
      </c>
      <c r="GT84" s="934">
        <f t="shared" si="266"/>
        <v>-0.99072513001390872</v>
      </c>
      <c r="GU84" s="934">
        <f t="shared" si="266"/>
        <v>7.0604431127942693</v>
      </c>
      <c r="GV84" s="934">
        <f t="shared" si="266"/>
        <v>3.3945833945147825</v>
      </c>
      <c r="GW84" s="934">
        <f t="shared" si="266"/>
        <v>-1</v>
      </c>
      <c r="GX84" s="934" t="str">
        <f t="shared" si="266"/>
        <v/>
      </c>
      <c r="GY84" s="934">
        <f t="shared" si="249"/>
        <v>40.189856377035866</v>
      </c>
      <c r="HA84" s="931">
        <f t="shared" si="267"/>
        <v>112.39751924000001</v>
      </c>
      <c r="HB84" s="931">
        <f t="shared" si="267"/>
        <v>5024.4312231199992</v>
      </c>
      <c r="HC84" s="931">
        <f t="shared" si="267"/>
        <v>-5169.1320661799991</v>
      </c>
      <c r="HD84" s="931">
        <f t="shared" si="267"/>
        <v>-14.398757840000005</v>
      </c>
      <c r="HE84" s="931">
        <f t="shared" si="226"/>
        <v>0.9517253499999998</v>
      </c>
      <c r="HF84" s="931">
        <f t="shared" si="226"/>
        <v>3.6882901500000007</v>
      </c>
      <c r="HG84" s="931">
        <f t="shared" si="226"/>
        <v>-4.7748123300000005</v>
      </c>
      <c r="HH84" s="931">
        <f t="shared" si="226"/>
        <v>196.67383409999999</v>
      </c>
      <c r="HI84" s="931">
        <f t="shared" si="251"/>
        <v>191.89902176999999</v>
      </c>
      <c r="HK84" s="230">
        <f t="shared" si="268"/>
        <v>1.2742897969721181E-3</v>
      </c>
      <c r="HL84" s="230">
        <f t="shared" si="268"/>
        <v>4.0432286256468792E-3</v>
      </c>
      <c r="HM84" s="230">
        <f t="shared" si="268"/>
        <v>0.30758513565583018</v>
      </c>
      <c r="HN84" s="230">
        <f t="shared" si="268"/>
        <v>2.3624010663643841E-3</v>
      </c>
      <c r="HO84" s="230">
        <f t="shared" si="268"/>
        <v>9.8905759885340191E-6</v>
      </c>
      <c r="HP84" s="230">
        <f t="shared" si="268"/>
        <v>7.6783122945470712E-5</v>
      </c>
      <c r="HQ84" s="230">
        <f t="shared" si="268"/>
        <v>2.2491560571843706E-4</v>
      </c>
      <c r="HR84" s="230">
        <f t="shared" si="268"/>
        <v>0</v>
      </c>
      <c r="HS84" s="230">
        <f t="shared" si="268"/>
        <v>1.5584436731952608E-2</v>
      </c>
      <c r="HU84" s="931">
        <f t="shared" si="269"/>
        <v>6.8591700000000004E-3</v>
      </c>
      <c r="HV84" s="931">
        <f t="shared" si="269"/>
        <v>20.81894441</v>
      </c>
      <c r="HW84" s="931">
        <f t="shared" si="269"/>
        <v>49.899175230000004</v>
      </c>
      <c r="HX84" s="931">
        <f t="shared" si="269"/>
        <v>3472.8906914700001</v>
      </c>
      <c r="HY84" s="931">
        <f t="shared" si="269"/>
        <v>12.790455470000003</v>
      </c>
      <c r="HZ84" s="931">
        <f t="shared" si="269"/>
        <v>7.2929799999999993E-3</v>
      </c>
      <c r="IA84" s="931">
        <f t="shared" si="270"/>
        <v>0.48557518999999999</v>
      </c>
      <c r="IB84" s="931">
        <f t="shared" si="271"/>
        <v>1.1623110000000001E-2</v>
      </c>
      <c r="IC84" s="931">
        <f t="shared" si="272"/>
        <v>22.094258620000002</v>
      </c>
      <c r="ID84" s="931">
        <f t="shared" si="253"/>
        <v>0</v>
      </c>
      <c r="IE84" s="931">
        <f t="shared" si="273"/>
        <v>22.094258620000002</v>
      </c>
      <c r="IG84" s="931">
        <f t="shared" si="254"/>
        <v>22.094258620000002</v>
      </c>
      <c r="IH84" s="931">
        <f t="shared" si="254"/>
        <v>0</v>
      </c>
      <c r="II84" s="145"/>
      <c r="IJ84" s="934" t="str">
        <f t="shared" si="274"/>
        <v/>
      </c>
      <c r="IK84" s="935">
        <f t="shared" si="275"/>
        <v>22.094258620000002</v>
      </c>
      <c r="IM84" s="230">
        <f t="shared" si="276"/>
        <v>3.3977658565230565E-3</v>
      </c>
      <c r="IN84" s="934">
        <f t="shared" si="277"/>
        <v>0</v>
      </c>
      <c r="IP84" s="934">
        <f t="shared" si="295"/>
        <v>1.3968158157928432</v>
      </c>
      <c r="IQ84" s="934">
        <f t="shared" si="295"/>
        <v>68.598158195249184</v>
      </c>
      <c r="IR84" s="934">
        <f t="shared" si="295"/>
        <v>-0.9963170578615056</v>
      </c>
      <c r="IS84" s="934">
        <f t="shared" si="295"/>
        <v>-0.99942981076654336</v>
      </c>
      <c r="IT84" s="934">
        <f t="shared" si="295"/>
        <v>65.581176693203602</v>
      </c>
      <c r="IU84" s="934">
        <f t="shared" si="295"/>
        <v>-0.97606321278482122</v>
      </c>
      <c r="IV84" s="934">
        <f t="shared" si="296"/>
        <v>1899.8904346599147</v>
      </c>
      <c r="IX84" s="931">
        <f t="shared" si="279"/>
        <v>29.080230820000004</v>
      </c>
      <c r="IY84" s="931">
        <f t="shared" si="279"/>
        <v>3422.9915162400002</v>
      </c>
      <c r="IZ84" s="931">
        <f t="shared" si="279"/>
        <v>-3460.1002360000002</v>
      </c>
      <c r="JA84" s="931">
        <f t="shared" si="279"/>
        <v>-12.783162490000002</v>
      </c>
      <c r="JB84" s="931">
        <f t="shared" si="279"/>
        <v>0.47828220999999999</v>
      </c>
      <c r="JC84" s="931">
        <f t="shared" si="279"/>
        <v>-0.47395208</v>
      </c>
      <c r="JD84" s="931">
        <f t="shared" si="280"/>
        <v>22.082635510000003</v>
      </c>
      <c r="JF84" s="230">
        <f t="shared" si="281"/>
        <v>4.2884109373909317E-7</v>
      </c>
      <c r="JG84" s="230">
        <f t="shared" si="281"/>
        <v>1.2209572663904717E-3</v>
      </c>
      <c r="JH84" s="230">
        <f t="shared" si="281"/>
        <v>3.0697228102090691E-3</v>
      </c>
      <c r="JI84" s="230">
        <f t="shared" si="281"/>
        <v>0.37127039520038185</v>
      </c>
      <c r="JJ84" s="230">
        <f t="shared" si="281"/>
        <v>6.3741133495259766E-3</v>
      </c>
      <c r="JK84" s="230">
        <f t="shared" si="281"/>
        <v>1.0506627260118475E-6</v>
      </c>
      <c r="JL84" s="230">
        <f t="shared" si="281"/>
        <v>9.1800609517549533E-5</v>
      </c>
      <c r="JM84" s="230">
        <f t="shared" si="282"/>
        <v>3.2402512508435915E-3</v>
      </c>
      <c r="JO84" s="931">
        <f t="shared" si="283"/>
        <v>3.8629800000000002E-3</v>
      </c>
      <c r="JP84" s="931">
        <f t="shared" si="283"/>
        <v>2.8527118900000019</v>
      </c>
      <c r="JQ84" s="931">
        <f t="shared" si="283"/>
        <v>4.1043249999999996E-2</v>
      </c>
      <c r="JR84" s="931">
        <f t="shared" si="283"/>
        <v>3350.00055127</v>
      </c>
      <c r="JS84" s="931">
        <f t="shared" si="283"/>
        <v>0.35021446999999994</v>
      </c>
      <c r="JT84" s="931">
        <f t="shared" si="284"/>
        <v>5.8061000000000007E-4</v>
      </c>
      <c r="JU84" s="931">
        <f t="shared" si="285"/>
        <v>4.9815999999999999E-4</v>
      </c>
      <c r="JV84" s="931">
        <f t="shared" si="285"/>
        <v>8.6185999999999999E-4</v>
      </c>
      <c r="JW84" s="931">
        <f t="shared" si="286"/>
        <v>22.076223850000002</v>
      </c>
      <c r="JX84" s="931">
        <f t="shared" si="287"/>
        <v>0</v>
      </c>
      <c r="JY84" s="931">
        <f t="shared" si="288"/>
        <v>22.076223850000002</v>
      </c>
      <c r="KB84" s="230">
        <f t="shared" si="289"/>
        <v>-0.98561254988845015</v>
      </c>
      <c r="KC84" s="230">
        <f t="shared" si="289"/>
        <v>81620.230074860068</v>
      </c>
      <c r="KD84" s="230">
        <f t="shared" si="289"/>
        <v>-0.99989545838436733</v>
      </c>
      <c r="KE84" s="230">
        <f t="shared" si="289"/>
        <v>-0.99834213018097173</v>
      </c>
      <c r="KF84" s="230">
        <f t="shared" si="289"/>
        <v>-0.14200582146363316</v>
      </c>
      <c r="KG84" s="230">
        <f t="shared" si="289"/>
        <v>0.73008671912638512</v>
      </c>
      <c r="KH84" s="230">
        <f t="shared" si="290"/>
        <v>25613.628651985244</v>
      </c>
      <c r="KJ84" s="931">
        <f t="shared" si="291"/>
        <v>-2.8116686400000019</v>
      </c>
      <c r="KK84" s="931">
        <f t="shared" si="291"/>
        <v>3349.9595080200002</v>
      </c>
      <c r="KL84" s="931">
        <f t="shared" si="291"/>
        <v>-3349.6503367999999</v>
      </c>
      <c r="KM84" s="931">
        <f t="shared" si="291"/>
        <v>-0.34963385999999996</v>
      </c>
      <c r="KN84" s="931">
        <f t="shared" si="291"/>
        <v>-8.245000000000008E-5</v>
      </c>
      <c r="KO84" s="931">
        <f t="shared" si="291"/>
        <v>3.637E-4</v>
      </c>
      <c r="KP84" s="931">
        <f t="shared" si="292"/>
        <v>22.075361990000001</v>
      </c>
      <c r="KR84" s="230">
        <f t="shared" si="293"/>
        <v>1.2049884285096558E-6</v>
      </c>
      <c r="KS84" s="230">
        <f t="shared" si="293"/>
        <v>8.4820203238731369E-4</v>
      </c>
      <c r="KT84" s="230">
        <f t="shared" si="293"/>
        <v>1.6358846546226024E-5</v>
      </c>
      <c r="KU84" s="230">
        <f t="shared" si="293"/>
        <v>3.7444104715457192</v>
      </c>
      <c r="KV84" s="230">
        <f t="shared" si="293"/>
        <v>1.1223240591363461E-3</v>
      </c>
      <c r="KW84" s="230">
        <f t="shared" si="293"/>
        <v>5.7258166858623386E-7</v>
      </c>
      <c r="KX84" s="230">
        <f t="shared" si="293"/>
        <v>5.6793149455401566E-7</v>
      </c>
      <c r="KY84" s="230">
        <f t="shared" si="293"/>
        <v>5.6326490172682586E-7</v>
      </c>
      <c r="KZ84" s="230">
        <f t="shared" si="306"/>
        <v>6.0237696541184618E-2</v>
      </c>
    </row>
    <row r="85" spans="1:312" outlineLevel="2">
      <c r="A85" s="884">
        <v>4295</v>
      </c>
      <c r="B85" s="70" t="s">
        <v>638</v>
      </c>
      <c r="C85" s="40" t="s">
        <v>83</v>
      </c>
      <c r="D85" s="31"/>
      <c r="E85" s="66">
        <v>2.9632999999999998E-4</v>
      </c>
      <c r="F85" s="66">
        <v>1.1272599999999999E-3</v>
      </c>
      <c r="G85" s="66">
        <v>6.669899999999999E-4</v>
      </c>
      <c r="H85" s="66">
        <v>5.4055999999999983E-4</v>
      </c>
      <c r="I85" s="66">
        <v>3.6505000000000044E-4</v>
      </c>
      <c r="J85" s="66">
        <v>3.8629800000000002E-3</v>
      </c>
      <c r="K85" s="66">
        <v>2.3703499999999994E-3</v>
      </c>
      <c r="L85" s="66">
        <v>8.300399999999989E-4</v>
      </c>
      <c r="M85" s="66">
        <v>3.4980400000000009E-3</v>
      </c>
      <c r="N85" s="66">
        <v>1.446359999999999E-3</v>
      </c>
      <c r="O85" s="66">
        <v>3.6545100000000014E-3</v>
      </c>
      <c r="P85" s="66">
        <v>5.9034599999999993E-3</v>
      </c>
      <c r="Q85" s="102">
        <v>2.4799400000000004E-3</v>
      </c>
      <c r="R85" s="66">
        <v>9.0356999999999981E-4</v>
      </c>
      <c r="S85" s="66">
        <v>7.9054116600000004</v>
      </c>
      <c r="T85" s="66">
        <v>1.8746597100000004</v>
      </c>
      <c r="U85" s="66">
        <v>8.1827776399999976</v>
      </c>
      <c r="V85" s="66">
        <v>2.8527118900000019</v>
      </c>
      <c r="W85" s="66">
        <v>2.5690607000000014</v>
      </c>
      <c r="X85" s="66">
        <v>1.5107018799999992</v>
      </c>
      <c r="Y85" s="66">
        <v>2.06090704</v>
      </c>
      <c r="Z85" s="66">
        <v>1.8590192600000002</v>
      </c>
      <c r="AA85" s="66">
        <v>2.4449349300000023</v>
      </c>
      <c r="AB85" s="66">
        <v>15.573310269999993</v>
      </c>
      <c r="AC85" s="102">
        <v>14.674816740000001</v>
      </c>
      <c r="AD85" s="66">
        <v>1.7474415900000002</v>
      </c>
      <c r="AE85" s="66">
        <v>24.74292475</v>
      </c>
      <c r="AF85" s="66">
        <v>8.1811395999999998</v>
      </c>
      <c r="AG85" s="66">
        <v>0.51179929999999996</v>
      </c>
      <c r="AH85" s="66">
        <v>4.1043249999999996E-2</v>
      </c>
      <c r="AI85" s="66">
        <v>4.1585094099999997</v>
      </c>
      <c r="AJ85" s="66">
        <v>1.40818888</v>
      </c>
      <c r="AK85" s="66">
        <v>16.30055282</v>
      </c>
      <c r="AL85" s="66">
        <v>7.8494562500000002</v>
      </c>
      <c r="AM85" s="66">
        <v>8.1755230300000008</v>
      </c>
      <c r="AN85" s="102">
        <v>71.443002110000009</v>
      </c>
      <c r="AO85" s="873">
        <v>1.6806000000000026E-4</v>
      </c>
      <c r="AP85" s="920">
        <v>1.7580418000000002</v>
      </c>
      <c r="AQ85" s="962">
        <v>99.520417440000003</v>
      </c>
      <c r="AR85" s="962">
        <v>5.2069702599999994</v>
      </c>
      <c r="AS85" s="873">
        <v>10.404542640000001</v>
      </c>
      <c r="AT85" s="873">
        <v>5.5126999999999997E-4</v>
      </c>
      <c r="AU85" s="873">
        <v>108.30767601000001</v>
      </c>
      <c r="AV85" s="873">
        <v>8.617547759999999</v>
      </c>
      <c r="AW85" s="873">
        <v>4.3502955099999996</v>
      </c>
      <c r="AX85" s="873">
        <v>1.4431349699999998</v>
      </c>
      <c r="AY85" s="873">
        <v>0.95719404000000008</v>
      </c>
      <c r="AZ85" s="873">
        <f>571.85724926+1015.097</f>
        <v>1586.9542492599999</v>
      </c>
      <c r="BA85" s="102">
        <v>0.19664075</v>
      </c>
      <c r="BB85" s="102">
        <v>11.017752210000001</v>
      </c>
      <c r="BC85" s="102">
        <v>1.7677111999999999</v>
      </c>
      <c r="BD85" s="102">
        <v>-0.9849040699999998</v>
      </c>
      <c r="BE85" s="66">
        <v>0.38304090999999996</v>
      </c>
      <c r="BF85" s="66">
        <v>0.35021446999999994</v>
      </c>
      <c r="BG85" s="66">
        <v>0.35116976999999999</v>
      </c>
      <c r="BH85" s="66">
        <v>0.83208804000000003</v>
      </c>
      <c r="BI85" s="66">
        <v>5.0732390000000002E-2</v>
      </c>
      <c r="BJ85" s="66">
        <v>6.5549E-4</v>
      </c>
      <c r="BK85" s="66">
        <v>8.3564999999999996E-4</v>
      </c>
      <c r="BL85" s="66">
        <v>1.06686E-3</v>
      </c>
      <c r="BM85" s="102">
        <v>1.83719E-3</v>
      </c>
      <c r="BN85" s="102">
        <v>1.6462000000000001E-4</v>
      </c>
      <c r="BO85" s="102">
        <v>2.2274899999999999E-3</v>
      </c>
      <c r="BP85" s="102">
        <v>1.5253E-4</v>
      </c>
      <c r="BQ85" s="66">
        <v>2.3305399999999999E-3</v>
      </c>
      <c r="BR85" s="66">
        <v>5.8061000000000007E-4</v>
      </c>
      <c r="BS85" s="66">
        <v>2.2607299999999999E-3</v>
      </c>
      <c r="BT85" s="102">
        <v>3.4131999999999999E-4</v>
      </c>
      <c r="BU85" s="102">
        <v>1.7969500000000001E-3</v>
      </c>
      <c r="BV85" s="102">
        <v>8.8101999999999994E-4</v>
      </c>
      <c r="BW85" s="102">
        <v>5.2280589999999995E-2</v>
      </c>
      <c r="BX85" s="102">
        <v>6.994323999999999E-2</v>
      </c>
      <c r="BY85" s="102">
        <v>2.6925500000000002E-3</v>
      </c>
      <c r="BZ85" s="102">
        <v>8.0361000000000007E-4</v>
      </c>
      <c r="CA85" s="102">
        <v>1.2116399999999999E-3</v>
      </c>
      <c r="CB85" s="102">
        <v>0.47661143</v>
      </c>
      <c r="CC85" s="102">
        <v>3.7578000000000004E-3</v>
      </c>
      <c r="CD85" s="102">
        <v>4.9815999999999999E-4</v>
      </c>
      <c r="CE85" s="102">
        <v>9.4554999999999997E-4</v>
      </c>
      <c r="CF85" s="102">
        <v>3.9118000000000003E-4</v>
      </c>
      <c r="CG85" s="102">
        <v>1.9237049999999999E-2</v>
      </c>
      <c r="CH85" s="102">
        <v>0.57452024000000002</v>
      </c>
      <c r="CI85" s="102">
        <v>1.5796E-3</v>
      </c>
      <c r="CJ85" s="102">
        <v>4.2733700000000003E-3</v>
      </c>
      <c r="CK85" s="102">
        <v>1.0624E-3</v>
      </c>
      <c r="CL85" s="102">
        <v>2.4283099999999999E-3</v>
      </c>
      <c r="CM85" s="102">
        <v>6.9841999999999994E-4</v>
      </c>
      <c r="CN85" s="102">
        <v>5.4043000000000006E-4</v>
      </c>
      <c r="CO85" s="102">
        <v>6.0316900000000001E-3</v>
      </c>
      <c r="CP85" s="102">
        <v>8.6185999999999999E-4</v>
      </c>
      <c r="CQ85" s="102">
        <v>2.8239200000000002E-3</v>
      </c>
      <c r="CR85" s="102">
        <v>4.2691000000014899E-4</v>
      </c>
      <c r="CS85" s="102">
        <v>4.6266199999999997E-3</v>
      </c>
      <c r="CT85" s="102">
        <v>0.11668603000000001</v>
      </c>
      <c r="CU85" s="102">
        <v>0.25292868000000002</v>
      </c>
      <c r="CV85" s="102">
        <v>5.4210600000000001E-3</v>
      </c>
      <c r="CW85" s="102">
        <v>1.26964E-3</v>
      </c>
      <c r="CX85" s="102">
        <v>6.6583999999999992E-3</v>
      </c>
      <c r="CY85" s="102">
        <v>9.9821000000000003E-4</v>
      </c>
      <c r="CZ85" s="102">
        <v>8.1086999999999999E-3</v>
      </c>
      <c r="DA85" s="102">
        <v>9.9982000000000001E-4</v>
      </c>
      <c r="DB85" s="102">
        <v>18.60402685</v>
      </c>
      <c r="DC85" s="102">
        <v>15.425907609999999</v>
      </c>
      <c r="DD85" s="102">
        <v>24.571904719999999</v>
      </c>
      <c r="DE85" s="102">
        <v>24.221593410000001</v>
      </c>
      <c r="DF85" s="102">
        <v>1.9277599999999999E-3</v>
      </c>
      <c r="DG85" s="102">
        <v>1.0388399999999999E-3</v>
      </c>
      <c r="DH85" s="102">
        <v>110.35720313999998</v>
      </c>
      <c r="DJ85" s="66"/>
      <c r="DK85" s="66"/>
      <c r="DL85" s="66"/>
      <c r="DM85" s="66"/>
      <c r="DN85" s="66"/>
      <c r="DO85" s="66"/>
      <c r="DP85" s="66"/>
      <c r="DQ85" s="66"/>
      <c r="DR85" s="66"/>
      <c r="DS85" s="66"/>
      <c r="DT85" s="66"/>
      <c r="DU85" s="66"/>
      <c r="DW85" s="66">
        <v>12</v>
      </c>
      <c r="DX85" s="66">
        <v>112</v>
      </c>
      <c r="DY85" s="66">
        <v>112</v>
      </c>
      <c r="DZ85" s="66">
        <v>12</v>
      </c>
      <c r="EA85" s="66">
        <v>12</v>
      </c>
      <c r="EB85" s="66">
        <v>12</v>
      </c>
      <c r="EC85" s="66">
        <v>12</v>
      </c>
      <c r="ED85" s="66">
        <v>12</v>
      </c>
      <c r="EE85" s="66">
        <v>12</v>
      </c>
      <c r="EF85" s="66">
        <v>12</v>
      </c>
      <c r="EG85" s="66">
        <v>12</v>
      </c>
      <c r="EH85" s="66">
        <v>12</v>
      </c>
      <c r="EI85" s="66">
        <v>57.081648167499999</v>
      </c>
      <c r="EJ85" s="66">
        <v>57.081648167499999</v>
      </c>
      <c r="EK85" s="66">
        <v>57.081648167499999</v>
      </c>
      <c r="EL85" s="66">
        <v>57.081648167499999</v>
      </c>
      <c r="EM85" s="66">
        <v>57.081648167499999</v>
      </c>
      <c r="EN85" s="66">
        <v>57.081648167499999</v>
      </c>
      <c r="EO85" s="66">
        <v>57.081648167499999</v>
      </c>
      <c r="EP85" s="66">
        <v>57.081648167499999</v>
      </c>
      <c r="EQ85" s="66">
        <v>57.081648167499999</v>
      </c>
      <c r="ER85" s="66">
        <v>57.081648167499999</v>
      </c>
      <c r="ES85" s="66">
        <v>57.081648167499999</v>
      </c>
      <c r="ET85" s="66">
        <v>57.081648167499999</v>
      </c>
      <c r="EU85" s="66"/>
      <c r="EV85" s="66"/>
      <c r="EW85" s="66"/>
      <c r="EX85" s="66"/>
      <c r="EY85" s="66"/>
      <c r="EZ85" s="66"/>
      <c r="FA85" s="66"/>
      <c r="FB85" s="66"/>
      <c r="FC85" s="66"/>
      <c r="FD85" s="66"/>
      <c r="FE85" s="66"/>
      <c r="FF85" s="66"/>
      <c r="FG85" s="88"/>
      <c r="FH85" s="88"/>
      <c r="FI85" s="88"/>
      <c r="FJ85" s="88"/>
      <c r="FK85" s="88"/>
      <c r="FL85" s="88"/>
      <c r="FM85" s="88"/>
      <c r="FN85" s="88"/>
      <c r="FO85" s="88"/>
      <c r="FP85" s="88"/>
      <c r="FQ85" s="88"/>
      <c r="FR85" s="88"/>
      <c r="FS85" s="66"/>
      <c r="FT85" s="88"/>
      <c r="FU85" s="88"/>
      <c r="FV85" s="88"/>
      <c r="FW85" s="88"/>
      <c r="FX85" s="88"/>
      <c r="FY85" s="88"/>
      <c r="FZ85" s="88"/>
      <c r="GA85" s="88"/>
      <c r="GB85" s="88"/>
      <c r="GC85" s="88"/>
      <c r="GD85" s="88"/>
      <c r="GF85" s="66">
        <f t="shared" si="264"/>
        <v>2.4561929999999999E-2</v>
      </c>
      <c r="GG85" s="66">
        <f t="shared" si="264"/>
        <v>46.836878489999997</v>
      </c>
      <c r="GH85" s="66">
        <f t="shared" si="264"/>
        <v>159.23439773000001</v>
      </c>
      <c r="GI85" s="66">
        <f t="shared" si="264"/>
        <v>1827.5207890199999</v>
      </c>
      <c r="GJ85" s="66">
        <f t="shared" si="294"/>
        <v>13.967003670000004</v>
      </c>
      <c r="GK85" s="66">
        <f t="shared" si="265"/>
        <v>0.13479682999999998</v>
      </c>
      <c r="GL85" s="66">
        <f t="shared" si="256"/>
        <v>1.0865221799999998</v>
      </c>
      <c r="GM85" s="66">
        <f t="shared" si="257"/>
        <v>0.39453633000000016</v>
      </c>
      <c r="GN85" s="66">
        <f t="shared" si="258"/>
        <v>0</v>
      </c>
      <c r="GO85" s="66">
        <v>193.20163709999997</v>
      </c>
      <c r="GQ85" s="922">
        <f t="shared" si="266"/>
        <v>2.3997653742872229</v>
      </c>
      <c r="GR85" s="922">
        <f t="shared" si="266"/>
        <v>10.476922166771836</v>
      </c>
      <c r="GS85" s="922">
        <f t="shared" si="266"/>
        <v>-0.9923574036728251</v>
      </c>
      <c r="GT85" s="922">
        <f t="shared" si="266"/>
        <v>-0.99034890852863933</v>
      </c>
      <c r="GU85" s="922">
        <f t="shared" si="266"/>
        <v>7.0604431127942693</v>
      </c>
      <c r="GV85" s="922">
        <f t="shared" si="266"/>
        <v>-0.63688147627138159</v>
      </c>
      <c r="GW85" s="922">
        <f t="shared" si="266"/>
        <v>-1</v>
      </c>
      <c r="GX85" s="922" t="str">
        <f t="shared" si="266"/>
        <v/>
      </c>
      <c r="GY85" s="922">
        <f t="shared" si="249"/>
        <v>488.69289368104552</v>
      </c>
      <c r="HA85" s="66">
        <f t="shared" si="267"/>
        <v>112.39751924000001</v>
      </c>
      <c r="HB85" s="66">
        <f t="shared" si="267"/>
        <v>1668.28639129</v>
      </c>
      <c r="HC85" s="66">
        <f t="shared" si="267"/>
        <v>-1813.55378535</v>
      </c>
      <c r="HD85" s="66">
        <f t="shared" si="267"/>
        <v>-13.832206840000005</v>
      </c>
      <c r="HE85" s="66">
        <f t="shared" si="226"/>
        <v>0.9517253499999998</v>
      </c>
      <c r="HF85" s="66">
        <f t="shared" si="226"/>
        <v>-0.69198584999999957</v>
      </c>
      <c r="HG85" s="66">
        <f t="shared" si="226"/>
        <v>-0.39453633000000016</v>
      </c>
      <c r="HH85" s="66">
        <f t="shared" si="226"/>
        <v>193.20163709999997</v>
      </c>
      <c r="HI85" s="66">
        <f t="shared" si="251"/>
        <v>192.80710076999998</v>
      </c>
      <c r="HK85" s="50">
        <f t="shared" si="268"/>
        <v>1.2742897969721181E-3</v>
      </c>
      <c r="HL85" s="50">
        <f t="shared" si="268"/>
        <v>4.0432286256468792E-3</v>
      </c>
      <c r="HM85" s="50">
        <f t="shared" si="268"/>
        <v>0.10844029513469898</v>
      </c>
      <c r="HN85" s="50">
        <f t="shared" si="268"/>
        <v>2.2703093023782096E-3</v>
      </c>
      <c r="HO85" s="50">
        <f t="shared" si="268"/>
        <v>9.8905759885340191E-6</v>
      </c>
      <c r="HP85" s="50">
        <f t="shared" si="268"/>
        <v>7.6783122945470712E-5</v>
      </c>
      <c r="HQ85" s="50">
        <f t="shared" si="268"/>
        <v>1.8584474426847096E-5</v>
      </c>
      <c r="HR85" s="50">
        <f t="shared" si="268"/>
        <v>0</v>
      </c>
      <c r="HS85" s="50">
        <f t="shared" si="268"/>
        <v>1.5309299804282491E-2</v>
      </c>
      <c r="HU85" s="66">
        <f t="shared" si="269"/>
        <v>6.8591700000000004E-3</v>
      </c>
      <c r="HV85" s="66">
        <f t="shared" si="269"/>
        <v>20.81894441</v>
      </c>
      <c r="HW85" s="66">
        <f t="shared" si="269"/>
        <v>49.899165230000008</v>
      </c>
      <c r="HX85" s="66">
        <f t="shared" si="269"/>
        <v>116.89069147000001</v>
      </c>
      <c r="HY85" s="66">
        <f t="shared" si="269"/>
        <v>12.730455470000003</v>
      </c>
      <c r="HZ85" s="66">
        <f t="shared" si="269"/>
        <v>7.2929799999999993E-3</v>
      </c>
      <c r="IA85" s="66">
        <f t="shared" si="270"/>
        <v>0.48557518999999999</v>
      </c>
      <c r="IB85" s="66">
        <f t="shared" si="271"/>
        <v>1.1623110000000001E-2</v>
      </c>
      <c r="IC85" s="66">
        <f t="shared" si="272"/>
        <v>18.62206162</v>
      </c>
      <c r="ID85" s="66">
        <f t="shared" si="253"/>
        <v>0</v>
      </c>
      <c r="IE85" s="66">
        <f t="shared" si="273"/>
        <v>0</v>
      </c>
      <c r="IG85" s="66">
        <f t="shared" si="254"/>
        <v>18.62206162</v>
      </c>
      <c r="IH85" s="66">
        <f t="shared" si="254"/>
        <v>0</v>
      </c>
      <c r="II85" s="88"/>
      <c r="IJ85" s="922" t="str">
        <f t="shared" si="274"/>
        <v/>
      </c>
      <c r="IK85" s="964">
        <f t="shared" si="275"/>
        <v>18.62206162</v>
      </c>
      <c r="IM85" s="50">
        <f t="shared" si="276"/>
        <v>2.8637939945732578E-3</v>
      </c>
      <c r="IN85" s="922">
        <f t="shared" si="277"/>
        <v>0</v>
      </c>
      <c r="IP85" s="922">
        <f t="shared" si="295"/>
        <v>1.3968153354610937</v>
      </c>
      <c r="IQ85" s="922">
        <f t="shared" si="295"/>
        <v>1.3425380150392545</v>
      </c>
      <c r="IR85" s="922">
        <f t="shared" si="295"/>
        <v>-0.8910909388086965</v>
      </c>
      <c r="IS85" s="922">
        <f t="shared" si="295"/>
        <v>-0.99942712340362161</v>
      </c>
      <c r="IT85" s="922">
        <f t="shared" si="295"/>
        <v>65.581176693203602</v>
      </c>
      <c r="IU85" s="922">
        <f t="shared" si="295"/>
        <v>-0.97606321278482122</v>
      </c>
      <c r="IV85" s="922">
        <f t="shared" si="296"/>
        <v>-1</v>
      </c>
      <c r="IX85" s="66">
        <f t="shared" si="279"/>
        <v>29.080220820000008</v>
      </c>
      <c r="IY85" s="66">
        <f t="shared" si="279"/>
        <v>66.991526239999999</v>
      </c>
      <c r="IZ85" s="66">
        <f t="shared" si="279"/>
        <v>-104.160236</v>
      </c>
      <c r="JA85" s="66">
        <f t="shared" si="279"/>
        <v>-12.723162490000002</v>
      </c>
      <c r="JB85" s="66">
        <f t="shared" si="279"/>
        <v>0.47828220999999999</v>
      </c>
      <c r="JC85" s="66">
        <f t="shared" si="279"/>
        <v>-0.47395208</v>
      </c>
      <c r="JD85" s="66">
        <f t="shared" si="280"/>
        <v>-1.1623110000000001E-2</v>
      </c>
      <c r="JF85" s="50">
        <f t="shared" si="281"/>
        <v>4.2884109373909317E-7</v>
      </c>
      <c r="JG85" s="50">
        <f t="shared" si="281"/>
        <v>1.2209572663904717E-3</v>
      </c>
      <c r="JH85" s="50">
        <f t="shared" si="281"/>
        <v>3.0697221950239896E-3</v>
      </c>
      <c r="JI85" s="50">
        <f t="shared" si="281"/>
        <v>1.2496233562405427E-2</v>
      </c>
      <c r="JJ85" s="50">
        <f t="shared" si="281"/>
        <v>6.3442123970643078E-3</v>
      </c>
      <c r="JK85" s="50">
        <f t="shared" si="281"/>
        <v>1.0506627260118475E-6</v>
      </c>
      <c r="JL85" s="50">
        <f t="shared" si="281"/>
        <v>9.1800609517549533E-5</v>
      </c>
      <c r="JM85" s="50">
        <f t="shared" si="282"/>
        <v>0</v>
      </c>
      <c r="JO85" s="66">
        <f t="shared" si="283"/>
        <v>3.8629800000000002E-3</v>
      </c>
      <c r="JP85" s="66">
        <f t="shared" si="283"/>
        <v>2.8527118900000019</v>
      </c>
      <c r="JQ85" s="66">
        <f t="shared" si="283"/>
        <v>4.1043249999999996E-2</v>
      </c>
      <c r="JR85" s="66">
        <f t="shared" si="283"/>
        <v>5.5126999999999997E-4</v>
      </c>
      <c r="JS85" s="66">
        <f t="shared" si="283"/>
        <v>0.35021446999999994</v>
      </c>
      <c r="JT85" s="66">
        <f t="shared" si="284"/>
        <v>5.8061000000000007E-4</v>
      </c>
      <c r="JU85" s="66">
        <f t="shared" si="285"/>
        <v>4.9815999999999999E-4</v>
      </c>
      <c r="JV85" s="66">
        <f t="shared" si="285"/>
        <v>8.6185999999999999E-4</v>
      </c>
      <c r="JW85" s="66">
        <f t="shared" si="286"/>
        <v>18.60402685</v>
      </c>
      <c r="JX85" s="66">
        <f t="shared" si="287"/>
        <v>0</v>
      </c>
      <c r="JY85" s="66">
        <f t="shared" si="288"/>
        <v>0</v>
      </c>
      <c r="KB85" s="50">
        <f t="shared" si="289"/>
        <v>-0.98561254988845015</v>
      </c>
      <c r="KC85" s="50">
        <f t="shared" si="289"/>
        <v>-0.9865685587764127</v>
      </c>
      <c r="KD85" s="50">
        <f t="shared" si="289"/>
        <v>634.2866471964735</v>
      </c>
      <c r="KE85" s="50">
        <f t="shared" si="289"/>
        <v>-0.99834213018097173</v>
      </c>
      <c r="KF85" s="50">
        <f t="shared" si="289"/>
        <v>-0.14200582146363316</v>
      </c>
      <c r="KG85" s="50">
        <f t="shared" si="289"/>
        <v>0.73008671912638512</v>
      </c>
      <c r="KH85" s="50">
        <f t="shared" si="290"/>
        <v>-1</v>
      </c>
      <c r="KJ85" s="66">
        <f t="shared" si="291"/>
        <v>-2.8116686400000019</v>
      </c>
      <c r="KK85" s="66">
        <f t="shared" si="291"/>
        <v>-4.0491979999999997E-2</v>
      </c>
      <c r="KL85" s="66">
        <f t="shared" si="291"/>
        <v>0.34966319999999995</v>
      </c>
      <c r="KM85" s="66">
        <f t="shared" si="291"/>
        <v>-0.34963385999999996</v>
      </c>
      <c r="KN85" s="66">
        <f t="shared" si="291"/>
        <v>-8.245000000000008E-5</v>
      </c>
      <c r="KO85" s="66">
        <f t="shared" si="291"/>
        <v>3.637E-4</v>
      </c>
      <c r="KP85" s="66">
        <f t="shared" si="292"/>
        <v>-8.6185999999999999E-4</v>
      </c>
      <c r="KR85" s="50">
        <f t="shared" si="293"/>
        <v>1.2049884285096558E-6</v>
      </c>
      <c r="KS85" s="50">
        <f t="shared" si="293"/>
        <v>8.4820203238731369E-4</v>
      </c>
      <c r="KT85" s="50">
        <f t="shared" si="293"/>
        <v>1.6358846546226024E-5</v>
      </c>
      <c r="KU85" s="50">
        <f t="shared" si="293"/>
        <v>6.1617337939436109E-7</v>
      </c>
      <c r="KV85" s="50">
        <f t="shared" si="293"/>
        <v>1.1223240591363461E-3</v>
      </c>
      <c r="KW85" s="50">
        <f t="shared" si="293"/>
        <v>5.7258166858623386E-7</v>
      </c>
      <c r="KX85" s="50">
        <f t="shared" si="293"/>
        <v>5.6793149455401566E-7</v>
      </c>
      <c r="KY85" s="50">
        <f t="shared" si="293"/>
        <v>5.6326490172682586E-7</v>
      </c>
      <c r="KZ85" s="50">
        <f t="shared" si="306"/>
        <v>0</v>
      </c>
    </row>
    <row r="86" spans="1:312" outlineLevel="2">
      <c r="A86" s="884">
        <v>4245</v>
      </c>
      <c r="B86" s="70" t="s">
        <v>667</v>
      </c>
      <c r="C86" s="40" t="s">
        <v>668</v>
      </c>
      <c r="D86" s="31"/>
      <c r="E86" s="66">
        <v>0</v>
      </c>
      <c r="F86" s="66">
        <v>0</v>
      </c>
      <c r="G86" s="66">
        <v>0</v>
      </c>
      <c r="H86" s="66">
        <v>0</v>
      </c>
      <c r="I86" s="66">
        <v>0</v>
      </c>
      <c r="J86" s="66">
        <v>0</v>
      </c>
      <c r="K86" s="66">
        <v>0</v>
      </c>
      <c r="L86" s="66">
        <v>0</v>
      </c>
      <c r="M86" s="66">
        <v>0</v>
      </c>
      <c r="N86" s="66">
        <v>0</v>
      </c>
      <c r="O86" s="66">
        <v>0</v>
      </c>
      <c r="P86" s="66">
        <v>0</v>
      </c>
      <c r="Q86" s="102">
        <v>0</v>
      </c>
      <c r="R86" s="66">
        <v>0</v>
      </c>
      <c r="S86" s="66">
        <v>0</v>
      </c>
      <c r="T86" s="66">
        <v>0</v>
      </c>
      <c r="U86" s="66">
        <v>0</v>
      </c>
      <c r="V86" s="66">
        <v>0</v>
      </c>
      <c r="W86" s="66">
        <v>0</v>
      </c>
      <c r="X86" s="66">
        <v>0</v>
      </c>
      <c r="Y86" s="66">
        <v>0</v>
      </c>
      <c r="Z86" s="66">
        <v>0</v>
      </c>
      <c r="AA86" s="66">
        <v>0</v>
      </c>
      <c r="AB86" s="66">
        <v>0</v>
      </c>
      <c r="AC86" s="102">
        <v>0</v>
      </c>
      <c r="AD86" s="66">
        <v>0</v>
      </c>
      <c r="AE86" s="66">
        <v>0</v>
      </c>
      <c r="AF86" s="66">
        <v>0</v>
      </c>
      <c r="AG86" s="66">
        <v>0</v>
      </c>
      <c r="AH86" s="66">
        <v>0</v>
      </c>
      <c r="AI86" s="66">
        <v>0</v>
      </c>
      <c r="AJ86" s="66">
        <v>0</v>
      </c>
      <c r="AK86" s="66">
        <v>0</v>
      </c>
      <c r="AL86" s="66">
        <v>0</v>
      </c>
      <c r="AM86" s="66">
        <v>0</v>
      </c>
      <c r="AN86" s="102">
        <v>0</v>
      </c>
      <c r="AO86" s="66">
        <v>6</v>
      </c>
      <c r="AP86" s="88">
        <v>0</v>
      </c>
      <c r="AQ86" s="143">
        <v>0</v>
      </c>
      <c r="AR86" s="143">
        <v>0</v>
      </c>
      <c r="AS86" s="66">
        <v>0</v>
      </c>
      <c r="AT86" s="66">
        <v>3350</v>
      </c>
      <c r="AU86" s="66">
        <v>0</v>
      </c>
      <c r="AV86" s="66">
        <v>0</v>
      </c>
      <c r="AW86" s="66">
        <v>0</v>
      </c>
      <c r="AX86" s="66">
        <v>0</v>
      </c>
      <c r="AY86" s="66">
        <v>0</v>
      </c>
      <c r="AZ86" s="66">
        <v>0</v>
      </c>
      <c r="BA86" s="102">
        <v>0</v>
      </c>
      <c r="BB86" s="102">
        <v>0</v>
      </c>
      <c r="BC86" s="102">
        <v>0</v>
      </c>
      <c r="BD86" s="102">
        <v>0</v>
      </c>
      <c r="BE86" s="66">
        <v>0.06</v>
      </c>
      <c r="BF86" s="66">
        <v>0</v>
      </c>
      <c r="BG86" s="66">
        <v>1.7</v>
      </c>
      <c r="BH86" s="66">
        <v>0</v>
      </c>
      <c r="BI86" s="66">
        <v>0</v>
      </c>
      <c r="BJ86" s="66">
        <v>0</v>
      </c>
      <c r="BK86" s="66">
        <v>0</v>
      </c>
      <c r="BL86" s="66">
        <v>-1.193449</v>
      </c>
      <c r="BM86" s="102">
        <v>0</v>
      </c>
      <c r="BN86" s="102">
        <v>0</v>
      </c>
      <c r="BO86" s="102">
        <v>0</v>
      </c>
      <c r="BP86" s="102">
        <v>0</v>
      </c>
      <c r="BQ86" s="66">
        <v>0</v>
      </c>
      <c r="BR86" s="66">
        <v>0</v>
      </c>
      <c r="BS86" s="66">
        <v>0</v>
      </c>
      <c r="BT86" s="66">
        <v>0</v>
      </c>
      <c r="BU86" s="66">
        <v>0</v>
      </c>
      <c r="BV86" s="66">
        <v>0</v>
      </c>
      <c r="BW86" s="66">
        <v>0</v>
      </c>
      <c r="BX86" s="66">
        <v>0</v>
      </c>
      <c r="BY86" s="66">
        <v>0</v>
      </c>
      <c r="BZ86" s="66">
        <v>0</v>
      </c>
      <c r="CA86" s="66">
        <v>0</v>
      </c>
      <c r="CB86" s="66">
        <v>0</v>
      </c>
      <c r="CC86" s="66">
        <v>0</v>
      </c>
      <c r="CD86" s="66">
        <v>0</v>
      </c>
      <c r="CE86" s="66">
        <v>0</v>
      </c>
      <c r="CF86" s="66">
        <v>0</v>
      </c>
      <c r="CG86" s="66">
        <v>0</v>
      </c>
      <c r="CH86" s="66">
        <v>0</v>
      </c>
      <c r="CI86" s="66">
        <v>0</v>
      </c>
      <c r="CJ86" s="66">
        <v>0</v>
      </c>
      <c r="CK86" s="66">
        <v>0</v>
      </c>
      <c r="CL86" s="66">
        <v>0</v>
      </c>
      <c r="CM86" s="66">
        <v>0</v>
      </c>
      <c r="CN86" s="66">
        <v>0</v>
      </c>
      <c r="CO86" s="66">
        <v>0</v>
      </c>
      <c r="CP86" s="66">
        <v>0</v>
      </c>
      <c r="CQ86" s="66">
        <v>0</v>
      </c>
      <c r="CR86" s="66">
        <v>0</v>
      </c>
      <c r="CS86" s="66">
        <v>0</v>
      </c>
      <c r="CT86" s="66">
        <v>0</v>
      </c>
      <c r="CU86" s="66">
        <v>0</v>
      </c>
      <c r="CV86" s="66">
        <v>0</v>
      </c>
      <c r="CW86" s="66">
        <v>0</v>
      </c>
      <c r="CX86" s="66">
        <v>0</v>
      </c>
      <c r="CY86" s="66">
        <v>0</v>
      </c>
      <c r="CZ86" s="66">
        <v>0</v>
      </c>
      <c r="DA86" s="66">
        <v>0</v>
      </c>
      <c r="DB86" s="66">
        <v>0</v>
      </c>
      <c r="DC86" s="66">
        <v>0</v>
      </c>
      <c r="DD86" s="66">
        <v>0</v>
      </c>
      <c r="DE86" s="66">
        <v>0</v>
      </c>
      <c r="DF86" s="66">
        <v>0</v>
      </c>
      <c r="DG86" s="66">
        <v>0</v>
      </c>
      <c r="DH86" s="66">
        <v>0</v>
      </c>
      <c r="DJ86" s="66">
        <v>0</v>
      </c>
      <c r="DK86" s="66">
        <v>0</v>
      </c>
      <c r="DL86" s="66">
        <v>0</v>
      </c>
      <c r="DM86" s="66">
        <v>0</v>
      </c>
      <c r="DN86" s="66">
        <v>0</v>
      </c>
      <c r="DO86" s="66">
        <v>0</v>
      </c>
      <c r="DP86" s="66">
        <v>0</v>
      </c>
      <c r="DQ86" s="66">
        <v>0</v>
      </c>
      <c r="DR86" s="66">
        <v>0</v>
      </c>
      <c r="DS86" s="66">
        <v>0</v>
      </c>
      <c r="DT86" s="66">
        <v>0</v>
      </c>
      <c r="DU86" s="66">
        <v>0</v>
      </c>
      <c r="DW86" s="66"/>
      <c r="DX86" s="66"/>
      <c r="DY86" s="66"/>
      <c r="DZ86" s="66"/>
      <c r="EA86" s="66"/>
      <c r="EB86" s="66"/>
      <c r="EC86" s="66"/>
      <c r="ED86" s="66"/>
      <c r="EE86" s="66"/>
      <c r="EF86" s="66"/>
      <c r="EG86" s="66"/>
      <c r="EH86" s="66"/>
      <c r="EI86" s="66">
        <v>0</v>
      </c>
      <c r="EJ86" s="66">
        <v>0</v>
      </c>
      <c r="EK86" s="66">
        <v>1250</v>
      </c>
      <c r="EL86" s="66">
        <v>0</v>
      </c>
      <c r="EM86" s="66">
        <v>0</v>
      </c>
      <c r="EN86" s="66">
        <v>0</v>
      </c>
      <c r="EO86" s="66">
        <v>0</v>
      </c>
      <c r="EP86" s="66">
        <v>0</v>
      </c>
      <c r="EQ86" s="66">
        <v>0</v>
      </c>
      <c r="ER86" s="66">
        <v>0</v>
      </c>
      <c r="ES86" s="66">
        <v>0</v>
      </c>
      <c r="ET86" s="66">
        <v>0</v>
      </c>
      <c r="EU86" s="66"/>
      <c r="EV86" s="66"/>
      <c r="EW86" s="66"/>
      <c r="EX86" s="66"/>
      <c r="EY86" s="66"/>
      <c r="EZ86" s="66"/>
      <c r="FA86" s="66"/>
      <c r="FB86" s="66"/>
      <c r="FC86" s="66"/>
      <c r="FD86" s="66"/>
      <c r="FE86" s="66"/>
      <c r="FF86" s="66"/>
      <c r="FG86" s="66">
        <v>0</v>
      </c>
      <c r="FH86" s="66">
        <v>0</v>
      </c>
      <c r="FI86" s="66">
        <v>0</v>
      </c>
      <c r="FJ86" s="66">
        <v>0</v>
      </c>
      <c r="FK86" s="66">
        <v>0</v>
      </c>
      <c r="FL86" s="66">
        <v>0</v>
      </c>
      <c r="FM86" s="66">
        <v>0</v>
      </c>
      <c r="FN86" s="66">
        <v>0</v>
      </c>
      <c r="FO86" s="66">
        <v>0</v>
      </c>
      <c r="FP86" s="66">
        <v>0</v>
      </c>
      <c r="FQ86" s="66">
        <v>0</v>
      </c>
      <c r="FR86" s="66">
        <v>0</v>
      </c>
      <c r="FS86" s="66">
        <v>0</v>
      </c>
      <c r="FT86" s="66">
        <v>0</v>
      </c>
      <c r="FU86" s="66">
        <v>0</v>
      </c>
      <c r="FV86" s="66">
        <v>0</v>
      </c>
      <c r="FW86" s="66">
        <v>0</v>
      </c>
      <c r="FX86" s="66">
        <v>0</v>
      </c>
      <c r="FY86" s="66">
        <v>0</v>
      </c>
      <c r="FZ86" s="66">
        <v>0</v>
      </c>
      <c r="GA86" s="66">
        <v>0</v>
      </c>
      <c r="GB86" s="66">
        <v>0</v>
      </c>
      <c r="GC86" s="66">
        <v>0</v>
      </c>
      <c r="GD86" s="66">
        <v>0</v>
      </c>
      <c r="GF86" s="66">
        <f t="shared" si="264"/>
        <v>0</v>
      </c>
      <c r="GG86" s="66">
        <f t="shared" si="264"/>
        <v>0</v>
      </c>
      <c r="GH86" s="66">
        <f t="shared" si="264"/>
        <v>0</v>
      </c>
      <c r="GI86" s="66">
        <f t="shared" si="264"/>
        <v>3356</v>
      </c>
      <c r="GJ86" s="66">
        <f t="shared" si="294"/>
        <v>0.56655100000000003</v>
      </c>
      <c r="GK86" s="66">
        <f t="shared" si="265"/>
        <v>0</v>
      </c>
      <c r="GL86" s="66">
        <f t="shared" si="256"/>
        <v>0</v>
      </c>
      <c r="GM86" s="66">
        <f t="shared" si="257"/>
        <v>0</v>
      </c>
      <c r="GN86" s="66">
        <f t="shared" si="258"/>
        <v>0</v>
      </c>
      <c r="GO86" s="66">
        <v>0</v>
      </c>
      <c r="GQ86" s="922" t="str">
        <f t="shared" si="266"/>
        <v/>
      </c>
      <c r="GR86" s="922" t="str">
        <f t="shared" si="266"/>
        <v/>
      </c>
      <c r="GS86" s="922">
        <f t="shared" si="266"/>
        <v>-0.99983118265792614</v>
      </c>
      <c r="GT86" s="922">
        <f t="shared" si="266"/>
        <v>-1</v>
      </c>
      <c r="GU86" s="922" t="str">
        <f t="shared" si="266"/>
        <v/>
      </c>
      <c r="GV86" s="922" t="str">
        <f t="shared" si="266"/>
        <v/>
      </c>
      <c r="GW86" s="922" t="str">
        <f t="shared" si="266"/>
        <v/>
      </c>
      <c r="GX86" s="922" t="str">
        <f t="shared" si="266"/>
        <v/>
      </c>
      <c r="GY86" s="922" t="str">
        <f t="shared" si="249"/>
        <v/>
      </c>
      <c r="HA86" s="66">
        <f t="shared" si="267"/>
        <v>0</v>
      </c>
      <c r="HB86" s="66">
        <f t="shared" si="267"/>
        <v>3356</v>
      </c>
      <c r="HC86" s="66">
        <f t="shared" si="267"/>
        <v>-3355.4334490000001</v>
      </c>
      <c r="HD86" s="66">
        <f t="shared" si="267"/>
        <v>-0.56655100000000003</v>
      </c>
      <c r="HE86" s="66">
        <f t="shared" si="226"/>
        <v>0</v>
      </c>
      <c r="HF86" s="66">
        <f t="shared" si="226"/>
        <v>0</v>
      </c>
      <c r="HG86" s="66">
        <f t="shared" si="226"/>
        <v>0</v>
      </c>
      <c r="HH86" s="66">
        <f t="shared" si="226"/>
        <v>0</v>
      </c>
      <c r="HI86" s="66">
        <f t="shared" si="251"/>
        <v>0</v>
      </c>
      <c r="HK86" s="50">
        <f t="shared" si="268"/>
        <v>0</v>
      </c>
      <c r="HL86" s="50">
        <f t="shared" si="268"/>
        <v>0</v>
      </c>
      <c r="HM86" s="50">
        <f t="shared" si="268"/>
        <v>0.19913624657982867</v>
      </c>
      <c r="HN86" s="50">
        <f t="shared" si="268"/>
        <v>9.2091763986174762E-5</v>
      </c>
      <c r="HO86" s="50">
        <f t="shared" si="268"/>
        <v>0</v>
      </c>
      <c r="HP86" s="50">
        <f t="shared" si="268"/>
        <v>0</v>
      </c>
      <c r="HQ86" s="50">
        <f t="shared" si="268"/>
        <v>0</v>
      </c>
      <c r="HR86" s="50">
        <f t="shared" si="268"/>
        <v>0</v>
      </c>
      <c r="HS86" s="50">
        <f t="shared" si="268"/>
        <v>0</v>
      </c>
      <c r="HU86" s="66">
        <f t="shared" si="269"/>
        <v>0</v>
      </c>
      <c r="HV86" s="66">
        <f t="shared" si="269"/>
        <v>0</v>
      </c>
      <c r="HW86" s="66">
        <f t="shared" si="269"/>
        <v>0</v>
      </c>
      <c r="HX86" s="66">
        <f t="shared" si="269"/>
        <v>3356</v>
      </c>
      <c r="HY86" s="66">
        <f t="shared" si="269"/>
        <v>0.06</v>
      </c>
      <c r="HZ86" s="66">
        <f t="shared" si="269"/>
        <v>0</v>
      </c>
      <c r="IA86" s="66">
        <f t="shared" si="270"/>
        <v>0</v>
      </c>
      <c r="IB86" s="66">
        <f t="shared" si="271"/>
        <v>0</v>
      </c>
      <c r="IC86" s="66">
        <f t="shared" si="272"/>
        <v>0</v>
      </c>
      <c r="ID86" s="66">
        <f t="shared" si="253"/>
        <v>0</v>
      </c>
      <c r="IE86" s="66">
        <f t="shared" si="273"/>
        <v>0</v>
      </c>
      <c r="IG86" s="66">
        <f t="shared" si="254"/>
        <v>0</v>
      </c>
      <c r="IH86" s="66">
        <f t="shared" si="254"/>
        <v>0</v>
      </c>
      <c r="II86" s="88"/>
      <c r="IJ86" s="922" t="str">
        <f t="shared" si="274"/>
        <v/>
      </c>
      <c r="IK86" s="964">
        <f t="shared" si="275"/>
        <v>0</v>
      </c>
      <c r="IM86" s="50">
        <f t="shared" si="276"/>
        <v>0</v>
      </c>
      <c r="IN86" s="922">
        <f t="shared" si="277"/>
        <v>0</v>
      </c>
      <c r="IP86" s="922" t="str">
        <f t="shared" si="295"/>
        <v/>
      </c>
      <c r="IQ86" s="922" t="str">
        <f t="shared" si="295"/>
        <v/>
      </c>
      <c r="IR86" s="922">
        <f t="shared" si="295"/>
        <v>-0.99998212157330157</v>
      </c>
      <c r="IS86" s="922">
        <f t="shared" si="295"/>
        <v>-1</v>
      </c>
      <c r="IT86" s="922" t="str">
        <f t="shared" si="295"/>
        <v/>
      </c>
      <c r="IU86" s="922" t="str">
        <f t="shared" si="295"/>
        <v/>
      </c>
      <c r="IV86" s="922" t="str">
        <f t="shared" si="296"/>
        <v/>
      </c>
      <c r="IX86" s="66">
        <f t="shared" si="279"/>
        <v>0</v>
      </c>
      <c r="IY86" s="66">
        <f t="shared" si="279"/>
        <v>3356</v>
      </c>
      <c r="IZ86" s="66">
        <f t="shared" si="279"/>
        <v>-3355.94</v>
      </c>
      <c r="JA86" s="66">
        <f t="shared" si="279"/>
        <v>-0.06</v>
      </c>
      <c r="JB86" s="66">
        <f t="shared" si="279"/>
        <v>0</v>
      </c>
      <c r="JC86" s="66">
        <f t="shared" si="279"/>
        <v>0</v>
      </c>
      <c r="JD86" s="66">
        <f t="shared" si="280"/>
        <v>0</v>
      </c>
      <c r="JF86" s="50">
        <f t="shared" si="281"/>
        <v>0</v>
      </c>
      <c r="JG86" s="50">
        <f t="shared" si="281"/>
        <v>0</v>
      </c>
      <c r="JH86" s="50">
        <f t="shared" si="281"/>
        <v>0</v>
      </c>
      <c r="JI86" s="50">
        <f t="shared" si="281"/>
        <v>0.35877416163797643</v>
      </c>
      <c r="JJ86" s="50">
        <f t="shared" si="281"/>
        <v>2.9900952461668548E-5</v>
      </c>
      <c r="JK86" s="50">
        <f t="shared" si="281"/>
        <v>0</v>
      </c>
      <c r="JL86" s="50">
        <f t="shared" si="281"/>
        <v>0</v>
      </c>
      <c r="JM86" s="50">
        <f t="shared" si="282"/>
        <v>0</v>
      </c>
      <c r="JO86" s="66">
        <f t="shared" si="283"/>
        <v>0</v>
      </c>
      <c r="JP86" s="66">
        <f t="shared" si="283"/>
        <v>0</v>
      </c>
      <c r="JQ86" s="66">
        <f t="shared" si="283"/>
        <v>0</v>
      </c>
      <c r="JR86" s="66">
        <f t="shared" si="283"/>
        <v>3350</v>
      </c>
      <c r="JS86" s="66">
        <f t="shared" si="283"/>
        <v>0</v>
      </c>
      <c r="JT86" s="66">
        <f t="shared" si="284"/>
        <v>0</v>
      </c>
      <c r="JU86" s="66">
        <f t="shared" si="285"/>
        <v>0</v>
      </c>
      <c r="JV86" s="66">
        <f t="shared" si="285"/>
        <v>0</v>
      </c>
      <c r="JW86" s="66">
        <f t="shared" si="286"/>
        <v>0</v>
      </c>
      <c r="JX86" s="66">
        <f t="shared" si="287"/>
        <v>0</v>
      </c>
      <c r="JY86" s="66">
        <f t="shared" si="288"/>
        <v>0</v>
      </c>
      <c r="KB86" s="50" t="str">
        <f t="shared" si="289"/>
        <v xml:space="preserve"> </v>
      </c>
      <c r="KC86" s="50" t="str">
        <f t="shared" si="289"/>
        <v xml:space="preserve"> </v>
      </c>
      <c r="KD86" s="50">
        <f t="shared" si="289"/>
        <v>-1</v>
      </c>
      <c r="KE86" s="50" t="str">
        <f t="shared" si="289"/>
        <v xml:space="preserve"> </v>
      </c>
      <c r="KF86" s="50" t="str">
        <f t="shared" si="289"/>
        <v xml:space="preserve"> </v>
      </c>
      <c r="KG86" s="50" t="str">
        <f t="shared" si="289"/>
        <v xml:space="preserve"> </v>
      </c>
      <c r="KH86" s="50" t="str">
        <f t="shared" si="290"/>
        <v xml:space="preserve"> </v>
      </c>
      <c r="KJ86" s="66">
        <f t="shared" si="291"/>
        <v>0</v>
      </c>
      <c r="KK86" s="66">
        <f t="shared" si="291"/>
        <v>3350</v>
      </c>
      <c r="KL86" s="66">
        <f t="shared" si="291"/>
        <v>-3350</v>
      </c>
      <c r="KM86" s="66">
        <f t="shared" si="291"/>
        <v>0</v>
      </c>
      <c r="KN86" s="66">
        <f t="shared" si="291"/>
        <v>0</v>
      </c>
      <c r="KO86" s="66">
        <f t="shared" si="291"/>
        <v>0</v>
      </c>
      <c r="KP86" s="66">
        <f t="shared" si="292"/>
        <v>0</v>
      </c>
      <c r="KR86" s="50">
        <f t="shared" si="293"/>
        <v>0</v>
      </c>
      <c r="KS86" s="50">
        <f t="shared" si="293"/>
        <v>0</v>
      </c>
      <c r="KT86" s="50">
        <f t="shared" si="293"/>
        <v>0</v>
      </c>
      <c r="KU86" s="50">
        <f t="shared" si="293"/>
        <v>3.7444098553723402</v>
      </c>
      <c r="KV86" s="50">
        <f t="shared" si="293"/>
        <v>0</v>
      </c>
      <c r="KW86" s="50">
        <f t="shared" si="293"/>
        <v>0</v>
      </c>
      <c r="KX86" s="50">
        <f t="shared" si="293"/>
        <v>0</v>
      </c>
      <c r="KY86" s="50">
        <f t="shared" si="293"/>
        <v>0</v>
      </c>
      <c r="KZ86" s="50">
        <f t="shared" si="306"/>
        <v>0</v>
      </c>
    </row>
    <row r="87" spans="1:312" outlineLevel="2">
      <c r="A87" s="884">
        <v>4255</v>
      </c>
      <c r="B87" s="70" t="s">
        <v>217</v>
      </c>
      <c r="C87" s="965" t="s">
        <v>669</v>
      </c>
      <c r="D87" s="307"/>
      <c r="E87" s="931">
        <v>0</v>
      </c>
      <c r="F87" s="931">
        <v>0</v>
      </c>
      <c r="G87" s="931">
        <v>0</v>
      </c>
      <c r="H87" s="931">
        <v>0</v>
      </c>
      <c r="I87" s="931">
        <v>0</v>
      </c>
      <c r="J87" s="931">
        <v>0</v>
      </c>
      <c r="K87" s="931">
        <v>0</v>
      </c>
      <c r="L87" s="931">
        <v>0</v>
      </c>
      <c r="M87" s="931">
        <v>0</v>
      </c>
      <c r="N87" s="931">
        <v>0</v>
      </c>
      <c r="O87" s="931">
        <v>0</v>
      </c>
      <c r="P87" s="931">
        <v>0</v>
      </c>
      <c r="Q87" s="931">
        <v>0</v>
      </c>
      <c r="R87" s="931">
        <v>0</v>
      </c>
      <c r="S87" s="931">
        <v>0</v>
      </c>
      <c r="T87" s="931">
        <v>0</v>
      </c>
      <c r="U87" s="931">
        <v>0</v>
      </c>
      <c r="V87" s="931">
        <v>0</v>
      </c>
      <c r="W87" s="931">
        <v>0</v>
      </c>
      <c r="X87" s="931">
        <v>0</v>
      </c>
      <c r="Y87" s="931">
        <v>0</v>
      </c>
      <c r="Z87" s="931">
        <v>0</v>
      </c>
      <c r="AA87" s="931">
        <v>0</v>
      </c>
      <c r="AB87" s="931">
        <v>0</v>
      </c>
      <c r="AC87" s="931">
        <v>1.0000000000000001E-5</v>
      </c>
      <c r="AD87" s="931">
        <v>0</v>
      </c>
      <c r="AE87" s="931">
        <v>0</v>
      </c>
      <c r="AF87" s="931">
        <v>0</v>
      </c>
      <c r="AG87" s="931">
        <v>0</v>
      </c>
      <c r="AH87" s="931">
        <v>0</v>
      </c>
      <c r="AI87" s="931">
        <v>0</v>
      </c>
      <c r="AJ87" s="931">
        <v>0</v>
      </c>
      <c r="AK87" s="931">
        <v>0</v>
      </c>
      <c r="AL87" s="931">
        <v>0</v>
      </c>
      <c r="AM87" s="931">
        <v>0</v>
      </c>
      <c r="AN87" s="931">
        <v>-1.0000000000000001E-5</v>
      </c>
      <c r="AO87" s="931">
        <v>0</v>
      </c>
      <c r="AP87" s="932">
        <v>0</v>
      </c>
      <c r="AQ87" s="936">
        <v>0</v>
      </c>
      <c r="AR87" s="936">
        <v>0</v>
      </c>
      <c r="AS87" s="931">
        <v>0</v>
      </c>
      <c r="AT87" s="931">
        <v>0</v>
      </c>
      <c r="AU87" s="931">
        <v>0</v>
      </c>
      <c r="AV87" s="931">
        <v>0</v>
      </c>
      <c r="AW87" s="931">
        <v>0</v>
      </c>
      <c r="AX87" s="931">
        <v>0</v>
      </c>
      <c r="AY87" s="931">
        <v>0.14483182999999999</v>
      </c>
      <c r="AZ87" s="931">
        <v>0</v>
      </c>
      <c r="BA87" s="931">
        <v>0</v>
      </c>
      <c r="BB87" s="931">
        <v>0</v>
      </c>
      <c r="BC87" s="931">
        <v>0</v>
      </c>
      <c r="BD87" s="931">
        <v>0</v>
      </c>
      <c r="BE87" s="931">
        <v>0</v>
      </c>
      <c r="BF87" s="931">
        <v>0</v>
      </c>
      <c r="BG87" s="931">
        <v>0</v>
      </c>
      <c r="BH87" s="931">
        <v>0</v>
      </c>
      <c r="BI87" s="931">
        <v>0</v>
      </c>
      <c r="BJ87" s="931">
        <v>0</v>
      </c>
      <c r="BK87" s="931">
        <v>0</v>
      </c>
      <c r="BL87" s="931">
        <v>0</v>
      </c>
      <c r="BM87" s="102">
        <v>0</v>
      </c>
      <c r="BN87" s="931">
        <v>0</v>
      </c>
      <c r="BO87" s="931">
        <v>0</v>
      </c>
      <c r="BP87" s="931">
        <v>0</v>
      </c>
      <c r="BQ87" s="931">
        <v>0</v>
      </c>
      <c r="BR87" s="931">
        <v>0</v>
      </c>
      <c r="BS87" s="931">
        <v>0</v>
      </c>
      <c r="BT87" s="931">
        <v>0</v>
      </c>
      <c r="BU87" s="931">
        <v>0</v>
      </c>
      <c r="BV87" s="931">
        <v>0</v>
      </c>
      <c r="BW87" s="931">
        <v>0</v>
      </c>
      <c r="BX87" s="931">
        <v>0</v>
      </c>
      <c r="BY87" s="931">
        <v>0</v>
      </c>
      <c r="BZ87" s="931">
        <v>0</v>
      </c>
      <c r="CA87" s="931">
        <v>0</v>
      </c>
      <c r="CB87" s="931">
        <v>0</v>
      </c>
      <c r="CC87" s="931">
        <v>0</v>
      </c>
      <c r="CD87" s="931">
        <v>0</v>
      </c>
      <c r="CE87" s="931">
        <v>0</v>
      </c>
      <c r="CF87" s="931">
        <v>0</v>
      </c>
      <c r="CG87" s="931">
        <v>0</v>
      </c>
      <c r="CH87" s="931">
        <v>0</v>
      </c>
      <c r="CI87" s="931">
        <v>0</v>
      </c>
      <c r="CJ87" s="931">
        <v>0</v>
      </c>
      <c r="CK87" s="931">
        <v>0</v>
      </c>
      <c r="CL87" s="931">
        <v>0</v>
      </c>
      <c r="CM87" s="931">
        <v>0</v>
      </c>
      <c r="CN87" s="931">
        <v>0</v>
      </c>
      <c r="CO87" s="931">
        <v>0</v>
      </c>
      <c r="CP87" s="931">
        <v>0</v>
      </c>
      <c r="CQ87" s="931">
        <v>0</v>
      </c>
      <c r="CR87" s="931">
        <v>0</v>
      </c>
      <c r="CS87" s="931">
        <v>0</v>
      </c>
      <c r="CT87" s="931">
        <v>0</v>
      </c>
      <c r="CU87" s="931">
        <v>4.3802760000000003</v>
      </c>
      <c r="CV87" s="931">
        <v>0</v>
      </c>
      <c r="CW87" s="931">
        <v>0</v>
      </c>
      <c r="CX87" s="931">
        <v>0</v>
      </c>
      <c r="CY87" s="931">
        <v>0</v>
      </c>
      <c r="CZ87" s="931">
        <v>0</v>
      </c>
      <c r="DA87" s="931">
        <v>0</v>
      </c>
      <c r="DB87" s="931">
        <v>3.472197</v>
      </c>
      <c r="DC87" s="931">
        <v>0</v>
      </c>
      <c r="DD87" s="931">
        <v>0</v>
      </c>
      <c r="DE87" s="931">
        <v>0</v>
      </c>
      <c r="DF87" s="931">
        <v>0</v>
      </c>
      <c r="DG87" s="931">
        <v>0</v>
      </c>
      <c r="DH87" s="931">
        <v>0</v>
      </c>
      <c r="DJ87" s="931">
        <v>1.26964E-3</v>
      </c>
      <c r="DK87" s="931">
        <v>6.6583999999999992E-3</v>
      </c>
      <c r="DL87" s="931">
        <v>9.9821000000000003E-4</v>
      </c>
      <c r="DM87" s="931">
        <v>8.1086999999999999E-3</v>
      </c>
      <c r="DN87" s="931">
        <v>9.9982000000000001E-4</v>
      </c>
      <c r="DO87" s="931">
        <v>22.076223850000002</v>
      </c>
      <c r="DP87" s="931">
        <v>0</v>
      </c>
      <c r="DQ87" s="931">
        <v>0</v>
      </c>
      <c r="DR87" s="931">
        <v>0</v>
      </c>
      <c r="DS87" s="931">
        <v>0</v>
      </c>
      <c r="DT87" s="931">
        <v>0</v>
      </c>
      <c r="DU87" s="931">
        <v>0</v>
      </c>
      <c r="DW87" s="931"/>
      <c r="DX87" s="931"/>
      <c r="DY87" s="931"/>
      <c r="DZ87" s="931"/>
      <c r="EA87" s="931"/>
      <c r="EB87" s="931"/>
      <c r="EC87" s="931"/>
      <c r="ED87" s="931"/>
      <c r="EE87" s="931"/>
      <c r="EF87" s="931"/>
      <c r="EG87" s="931"/>
      <c r="EH87" s="931"/>
      <c r="EI87" s="931">
        <v>0</v>
      </c>
      <c r="EJ87" s="931">
        <v>0</v>
      </c>
      <c r="EK87" s="931">
        <v>0</v>
      </c>
      <c r="EL87" s="931">
        <v>0</v>
      </c>
      <c r="EM87" s="931">
        <v>0</v>
      </c>
      <c r="EN87" s="931">
        <v>0</v>
      </c>
      <c r="EO87" s="931">
        <v>0</v>
      </c>
      <c r="EP87" s="931">
        <v>0</v>
      </c>
      <c r="EQ87" s="931">
        <v>0</v>
      </c>
      <c r="ER87" s="931">
        <v>0</v>
      </c>
      <c r="ES87" s="931">
        <v>0</v>
      </c>
      <c r="ET87" s="931">
        <v>0</v>
      </c>
      <c r="EU87" s="931"/>
      <c r="EV87" s="931"/>
      <c r="EW87" s="931"/>
      <c r="EX87" s="931"/>
      <c r="EY87" s="931"/>
      <c r="EZ87" s="931"/>
      <c r="FA87" s="931"/>
      <c r="FB87" s="931"/>
      <c r="FC87" s="931"/>
      <c r="FD87" s="931"/>
      <c r="FE87" s="931"/>
      <c r="FF87" s="931"/>
      <c r="FG87" s="931">
        <v>0</v>
      </c>
      <c r="FH87" s="931">
        <v>0</v>
      </c>
      <c r="FI87" s="931">
        <v>0</v>
      </c>
      <c r="FJ87" s="931">
        <v>0</v>
      </c>
      <c r="FK87" s="931">
        <v>0</v>
      </c>
      <c r="FL87" s="931">
        <v>0</v>
      </c>
      <c r="FM87" s="931">
        <v>0</v>
      </c>
      <c r="FN87" s="931">
        <v>0</v>
      </c>
      <c r="FO87" s="931">
        <v>0</v>
      </c>
      <c r="FP87" s="931">
        <v>0</v>
      </c>
      <c r="FQ87" s="931">
        <v>0</v>
      </c>
      <c r="FR87" s="931">
        <v>0</v>
      </c>
      <c r="FS87" s="931">
        <v>0</v>
      </c>
      <c r="FT87" s="931">
        <v>0</v>
      </c>
      <c r="FU87" s="931">
        <v>0</v>
      </c>
      <c r="FV87" s="931">
        <v>0</v>
      </c>
      <c r="FW87" s="931">
        <v>0</v>
      </c>
      <c r="FX87" s="931">
        <v>0</v>
      </c>
      <c r="FY87" s="931">
        <v>0</v>
      </c>
      <c r="FZ87" s="931">
        <v>0</v>
      </c>
      <c r="GA87" s="931">
        <v>0</v>
      </c>
      <c r="GB87" s="931">
        <v>0</v>
      </c>
      <c r="GC87" s="931">
        <v>0</v>
      </c>
      <c r="GD87" s="931">
        <v>0</v>
      </c>
      <c r="GF87" s="931">
        <f t="shared" si="264"/>
        <v>0</v>
      </c>
      <c r="GG87" s="931">
        <f t="shared" si="264"/>
        <v>0</v>
      </c>
      <c r="GH87" s="931">
        <f t="shared" si="264"/>
        <v>0</v>
      </c>
      <c r="GI87" s="931">
        <f t="shared" si="264"/>
        <v>0.14483182999999999</v>
      </c>
      <c r="GJ87" s="931">
        <f t="shared" si="294"/>
        <v>0</v>
      </c>
      <c r="GK87" s="931">
        <f t="shared" si="265"/>
        <v>0</v>
      </c>
      <c r="GL87" s="931">
        <f t="shared" si="256"/>
        <v>0</v>
      </c>
      <c r="GM87" s="931">
        <f t="shared" si="257"/>
        <v>4.3802760000000003</v>
      </c>
      <c r="GN87" s="931">
        <f t="shared" si="258"/>
        <v>0</v>
      </c>
      <c r="GO87" s="931">
        <v>3.472197</v>
      </c>
      <c r="GQ87" s="966" t="str">
        <f t="shared" si="266"/>
        <v/>
      </c>
      <c r="GR87" s="966" t="str">
        <f t="shared" si="266"/>
        <v/>
      </c>
      <c r="GS87" s="966">
        <f t="shared" si="266"/>
        <v>-1</v>
      </c>
      <c r="GT87" s="966" t="str">
        <f t="shared" si="266"/>
        <v/>
      </c>
      <c r="GU87" s="966" t="str">
        <f t="shared" si="266"/>
        <v/>
      </c>
      <c r="GV87" s="966" t="str">
        <f t="shared" si="266"/>
        <v/>
      </c>
      <c r="GW87" s="966">
        <f t="shared" si="266"/>
        <v>-1</v>
      </c>
      <c r="GX87" s="934" t="str">
        <f t="shared" si="266"/>
        <v/>
      </c>
      <c r="GY87" s="934">
        <f t="shared" si="249"/>
        <v>-0.20731090917558626</v>
      </c>
      <c r="HA87" s="931">
        <f t="shared" si="267"/>
        <v>0</v>
      </c>
      <c r="HB87" s="931">
        <f t="shared" si="267"/>
        <v>0.14483182999999999</v>
      </c>
      <c r="HC87" s="931">
        <f t="shared" si="267"/>
        <v>-0.14483182999999999</v>
      </c>
      <c r="HD87" s="931">
        <f t="shared" si="267"/>
        <v>0</v>
      </c>
      <c r="HE87" s="931">
        <f t="shared" si="226"/>
        <v>0</v>
      </c>
      <c r="HF87" s="931">
        <f t="shared" si="226"/>
        <v>4.3802760000000003</v>
      </c>
      <c r="HG87" s="931">
        <f t="shared" si="226"/>
        <v>-4.3802760000000003</v>
      </c>
      <c r="HH87" s="931">
        <f t="shared" si="226"/>
        <v>3.472197</v>
      </c>
      <c r="HI87" s="931">
        <f t="shared" si="251"/>
        <v>-0.9080790000000003</v>
      </c>
      <c r="HK87" s="230">
        <f t="shared" si="268"/>
        <v>0</v>
      </c>
      <c r="HL87" s="230">
        <f t="shared" si="268"/>
        <v>0</v>
      </c>
      <c r="HM87" s="230">
        <f t="shared" si="268"/>
        <v>8.5939413025887456E-6</v>
      </c>
      <c r="HN87" s="230">
        <f t="shared" si="268"/>
        <v>0</v>
      </c>
      <c r="HO87" s="230">
        <f t="shared" si="268"/>
        <v>0</v>
      </c>
      <c r="HP87" s="230">
        <f t="shared" si="268"/>
        <v>0</v>
      </c>
      <c r="HQ87" s="230">
        <f t="shared" si="268"/>
        <v>2.0633113129158996E-4</v>
      </c>
      <c r="HR87" s="230">
        <f t="shared" si="268"/>
        <v>0</v>
      </c>
      <c r="HS87" s="230">
        <f t="shared" si="268"/>
        <v>2.7513692767011373E-4</v>
      </c>
      <c r="HU87" s="931">
        <f t="shared" si="269"/>
        <v>0</v>
      </c>
      <c r="HV87" s="931">
        <f t="shared" si="269"/>
        <v>0</v>
      </c>
      <c r="HW87" s="931">
        <f t="shared" si="269"/>
        <v>1.0000000000000001E-5</v>
      </c>
      <c r="HX87" s="931">
        <f t="shared" si="269"/>
        <v>0</v>
      </c>
      <c r="HY87" s="931">
        <f t="shared" si="269"/>
        <v>0</v>
      </c>
      <c r="HZ87" s="931">
        <f t="shared" si="269"/>
        <v>0</v>
      </c>
      <c r="IA87" s="931">
        <f t="shared" si="270"/>
        <v>0</v>
      </c>
      <c r="IB87" s="931">
        <f t="shared" si="271"/>
        <v>0</v>
      </c>
      <c r="IC87" s="931">
        <f t="shared" si="272"/>
        <v>3.472197</v>
      </c>
      <c r="ID87" s="931">
        <f t="shared" si="253"/>
        <v>0</v>
      </c>
      <c r="IE87" s="931">
        <f t="shared" si="273"/>
        <v>22.094258620000002</v>
      </c>
      <c r="IG87" s="931">
        <f t="shared" si="254"/>
        <v>3.472197</v>
      </c>
      <c r="IH87" s="931">
        <f t="shared" si="254"/>
        <v>0</v>
      </c>
      <c r="II87" s="145"/>
      <c r="IJ87" s="934" t="str">
        <f t="shared" si="274"/>
        <v/>
      </c>
      <c r="IK87" s="935">
        <f t="shared" si="275"/>
        <v>3.472197</v>
      </c>
      <c r="IM87" s="230">
        <f t="shared" si="276"/>
        <v>5.3397186194979859E-4</v>
      </c>
      <c r="IN87" s="934">
        <f t="shared" si="277"/>
        <v>0</v>
      </c>
      <c r="IP87" s="934" t="str">
        <f t="shared" si="295"/>
        <v/>
      </c>
      <c r="IQ87" s="934">
        <f t="shared" si="295"/>
        <v>-1</v>
      </c>
      <c r="IR87" s="934" t="str">
        <f t="shared" si="295"/>
        <v/>
      </c>
      <c r="IS87" s="934" t="str">
        <f t="shared" si="295"/>
        <v/>
      </c>
      <c r="IT87" s="934" t="str">
        <f t="shared" si="295"/>
        <v/>
      </c>
      <c r="IU87" s="934" t="str">
        <f t="shared" si="295"/>
        <v/>
      </c>
      <c r="IV87" s="934" t="str">
        <f t="shared" si="296"/>
        <v/>
      </c>
      <c r="IX87" s="931">
        <f t="shared" si="279"/>
        <v>1.0000000000000001E-5</v>
      </c>
      <c r="IY87" s="931">
        <f t="shared" si="279"/>
        <v>-1.0000000000000001E-5</v>
      </c>
      <c r="IZ87" s="931">
        <f t="shared" si="279"/>
        <v>0</v>
      </c>
      <c r="JA87" s="931">
        <f t="shared" si="279"/>
        <v>0</v>
      </c>
      <c r="JB87" s="931">
        <f t="shared" si="279"/>
        <v>0</v>
      </c>
      <c r="JC87" s="931">
        <f t="shared" si="279"/>
        <v>0</v>
      </c>
      <c r="JD87" s="931">
        <f t="shared" si="280"/>
        <v>22.094258620000002</v>
      </c>
      <c r="JF87" s="230">
        <f t="shared" si="281"/>
        <v>0</v>
      </c>
      <c r="JG87" s="230">
        <f t="shared" si="281"/>
        <v>0</v>
      </c>
      <c r="JH87" s="230">
        <f t="shared" si="281"/>
        <v>6.1518507992563246E-10</v>
      </c>
      <c r="JI87" s="230">
        <f t="shared" si="281"/>
        <v>0</v>
      </c>
      <c r="JJ87" s="230">
        <f t="shared" si="281"/>
        <v>0</v>
      </c>
      <c r="JK87" s="230">
        <f t="shared" si="281"/>
        <v>0</v>
      </c>
      <c r="JL87" s="230">
        <f t="shared" si="281"/>
        <v>0</v>
      </c>
      <c r="JM87" s="230">
        <f t="shared" si="282"/>
        <v>3.2402512508435915E-3</v>
      </c>
      <c r="JO87" s="931">
        <f t="shared" si="283"/>
        <v>0</v>
      </c>
      <c r="JP87" s="931">
        <f t="shared" si="283"/>
        <v>0</v>
      </c>
      <c r="JQ87" s="931">
        <f t="shared" si="283"/>
        <v>0</v>
      </c>
      <c r="JR87" s="931">
        <f t="shared" si="283"/>
        <v>0</v>
      </c>
      <c r="JS87" s="931">
        <f t="shared" si="283"/>
        <v>0</v>
      </c>
      <c r="JT87" s="931">
        <f t="shared" si="284"/>
        <v>0</v>
      </c>
      <c r="JU87" s="931">
        <f t="shared" si="285"/>
        <v>0</v>
      </c>
      <c r="JV87" s="931">
        <f t="shared" si="285"/>
        <v>0</v>
      </c>
      <c r="JW87" s="931">
        <f t="shared" si="286"/>
        <v>3.472197</v>
      </c>
      <c r="JX87" s="931">
        <f t="shared" si="287"/>
        <v>0</v>
      </c>
      <c r="JY87" s="931">
        <f t="shared" si="288"/>
        <v>22.076223850000002</v>
      </c>
      <c r="KB87" s="230" t="str">
        <f t="shared" si="289"/>
        <v xml:space="preserve"> </v>
      </c>
      <c r="KC87" s="230" t="str">
        <f t="shared" si="289"/>
        <v xml:space="preserve"> </v>
      </c>
      <c r="KD87" s="230" t="str">
        <f t="shared" si="289"/>
        <v xml:space="preserve"> </v>
      </c>
      <c r="KE87" s="230" t="str">
        <f t="shared" si="289"/>
        <v xml:space="preserve"> </v>
      </c>
      <c r="KF87" s="230" t="str">
        <f t="shared" si="289"/>
        <v xml:space="preserve"> </v>
      </c>
      <c r="KG87" s="230" t="str">
        <f t="shared" si="289"/>
        <v xml:space="preserve"> </v>
      </c>
      <c r="KH87" s="230" t="str">
        <f t="shared" si="290"/>
        <v xml:space="preserve"> </v>
      </c>
      <c r="KJ87" s="931">
        <f t="shared" si="291"/>
        <v>0</v>
      </c>
      <c r="KK87" s="931">
        <f t="shared" si="291"/>
        <v>0</v>
      </c>
      <c r="KL87" s="931">
        <f t="shared" si="291"/>
        <v>0</v>
      </c>
      <c r="KM87" s="931">
        <f t="shared" si="291"/>
        <v>0</v>
      </c>
      <c r="KN87" s="931">
        <f t="shared" si="291"/>
        <v>0</v>
      </c>
      <c r="KO87" s="931">
        <f t="shared" si="291"/>
        <v>0</v>
      </c>
      <c r="KP87" s="931">
        <f t="shared" si="292"/>
        <v>22.076223850000002</v>
      </c>
      <c r="KR87" s="230">
        <f t="shared" si="293"/>
        <v>0</v>
      </c>
      <c r="KS87" s="230">
        <f t="shared" si="293"/>
        <v>0</v>
      </c>
      <c r="KT87" s="230">
        <f t="shared" si="293"/>
        <v>0</v>
      </c>
      <c r="KU87" s="230">
        <f t="shared" si="293"/>
        <v>0</v>
      </c>
      <c r="KV87" s="230">
        <f t="shared" si="293"/>
        <v>0</v>
      </c>
      <c r="KW87" s="230">
        <f t="shared" si="293"/>
        <v>0</v>
      </c>
      <c r="KX87" s="230">
        <f t="shared" si="293"/>
        <v>0</v>
      </c>
      <c r="KY87" s="230">
        <f t="shared" si="293"/>
        <v>0</v>
      </c>
      <c r="KZ87" s="230">
        <f t="shared" si="306"/>
        <v>6.0237696541184618E-2</v>
      </c>
    </row>
    <row r="88" spans="1:312" outlineLevel="1">
      <c r="A88" s="967"/>
      <c r="B88" s="70"/>
      <c r="D88" s="31"/>
      <c r="E88" s="66"/>
      <c r="F88" s="66"/>
      <c r="G88" s="66"/>
      <c r="H88" s="66"/>
      <c r="I88" s="66"/>
      <c r="J88" s="66"/>
      <c r="K88" s="66"/>
      <c r="L88" s="66"/>
      <c r="M88" s="66"/>
      <c r="N88" s="66"/>
      <c r="O88" s="66"/>
      <c r="P88" s="66"/>
      <c r="Q88" s="102"/>
      <c r="R88" s="66"/>
      <c r="S88" s="66"/>
      <c r="T88" s="66"/>
      <c r="U88" s="66"/>
      <c r="V88" s="66"/>
      <c r="W88" s="66"/>
      <c r="X88" s="66"/>
      <c r="Y88" s="66"/>
      <c r="Z88" s="66"/>
      <c r="AA88" s="66"/>
      <c r="AB88" s="66"/>
      <c r="AC88" s="102"/>
      <c r="AD88" s="66"/>
      <c r="AE88" s="66"/>
      <c r="AF88" s="66"/>
      <c r="AG88" s="66"/>
      <c r="AH88" s="66"/>
      <c r="AI88" s="66"/>
      <c r="AJ88" s="66"/>
      <c r="AK88" s="66"/>
      <c r="AL88" s="66"/>
      <c r="AM88" s="66"/>
      <c r="AN88" s="66"/>
      <c r="AO88" s="66"/>
      <c r="AP88" s="88"/>
      <c r="AQ88" s="942"/>
      <c r="AR88" s="942"/>
      <c r="AS88" s="66"/>
      <c r="AT88" s="66"/>
      <c r="AU88" s="66"/>
      <c r="AV88" s="66"/>
      <c r="AW88" s="66"/>
      <c r="AX88" s="66"/>
      <c r="AY88" s="66"/>
      <c r="AZ88" s="66"/>
      <c r="BA88" s="66"/>
      <c r="BB88" s="66"/>
      <c r="BC88" s="66"/>
      <c r="BD88" s="66"/>
      <c r="BE88" s="66"/>
      <c r="BF88" s="66"/>
      <c r="BG88" s="66"/>
      <c r="BH88" s="66"/>
      <c r="BI88" s="66"/>
      <c r="BJ88" s="66"/>
      <c r="BK88" s="66"/>
      <c r="BL88" s="66"/>
      <c r="BM88" s="1522"/>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J88" s="66"/>
      <c r="DK88" s="66"/>
      <c r="DL88" s="66"/>
      <c r="DM88" s="66"/>
      <c r="DN88" s="66"/>
      <c r="DO88" s="66"/>
      <c r="DP88" s="66"/>
      <c r="DQ88" s="66"/>
      <c r="DR88" s="66"/>
      <c r="DS88" s="66"/>
      <c r="DT88" s="66"/>
      <c r="DU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F88" s="66"/>
      <c r="GG88" s="66"/>
      <c r="GH88" s="66"/>
      <c r="GI88" s="66"/>
      <c r="GJ88" s="66"/>
      <c r="GK88" s="66"/>
      <c r="GL88" s="66">
        <f t="shared" si="256"/>
        <v>0</v>
      </c>
      <c r="GM88" s="66">
        <f t="shared" si="257"/>
        <v>0</v>
      </c>
      <c r="GN88" s="66">
        <f t="shared" si="258"/>
        <v>0</v>
      </c>
      <c r="GO88" s="66">
        <v>0</v>
      </c>
      <c r="GQ88" s="32"/>
      <c r="GR88" s="32"/>
      <c r="GS88" s="32"/>
      <c r="GT88" s="929"/>
      <c r="GU88" s="929"/>
      <c r="GV88" s="929"/>
      <c r="GW88" s="929" t="str">
        <f t="shared" si="266"/>
        <v/>
      </c>
      <c r="GX88" s="32"/>
      <c r="GY88" s="929" t="str">
        <f t="shared" si="249"/>
        <v/>
      </c>
      <c r="HA88" s="66"/>
      <c r="HB88" s="66"/>
      <c r="HC88" s="66"/>
      <c r="HD88" s="66"/>
      <c r="HE88" s="66">
        <f t="shared" si="226"/>
        <v>0</v>
      </c>
      <c r="HF88" s="66">
        <f t="shared" si="226"/>
        <v>0</v>
      </c>
      <c r="HG88" s="66">
        <f t="shared" si="226"/>
        <v>0</v>
      </c>
      <c r="HH88" s="66"/>
      <c r="HI88" s="66">
        <f t="shared" si="251"/>
        <v>0</v>
      </c>
      <c r="HK88" s="32"/>
      <c r="HL88" s="32"/>
      <c r="HM88" s="32"/>
      <c r="HN88" s="32"/>
      <c r="HO88" s="32"/>
      <c r="HP88" s="32"/>
      <c r="HQ88" s="32"/>
      <c r="HR88" s="32"/>
      <c r="HS88" s="32"/>
      <c r="HU88" s="66"/>
      <c r="HV88" s="66"/>
      <c r="HW88" s="66"/>
      <c r="HX88" s="66"/>
      <c r="HY88" s="66"/>
      <c r="HZ88" s="66"/>
      <c r="IA88" s="66"/>
      <c r="IB88" s="66"/>
      <c r="IC88" s="66"/>
      <c r="ID88" s="66"/>
      <c r="IE88" s="66"/>
      <c r="IG88" s="66"/>
      <c r="IH88" s="66"/>
      <c r="II88" s="88"/>
      <c r="IJ88" s="922"/>
      <c r="IK88" s="964"/>
      <c r="IM88" s="32"/>
      <c r="IN88" s="32"/>
      <c r="IP88" s="32"/>
      <c r="IQ88" s="32"/>
      <c r="IR88" s="32"/>
      <c r="IS88" s="32"/>
      <c r="IT88" s="32"/>
      <c r="IU88" s="32"/>
      <c r="IV88" s="32"/>
      <c r="IX88" s="66"/>
      <c r="IY88" s="66"/>
      <c r="IZ88" s="66"/>
      <c r="JA88" s="66"/>
      <c r="JB88" s="66"/>
      <c r="JC88" s="66"/>
      <c r="JD88" s="66"/>
      <c r="JF88" s="32"/>
      <c r="JG88" s="32"/>
      <c r="JH88" s="32"/>
      <c r="JI88" s="32"/>
      <c r="JJ88" s="32"/>
      <c r="JK88" s="32"/>
      <c r="JL88" s="32"/>
      <c r="JM88" s="32"/>
      <c r="JO88" s="66"/>
      <c r="JP88" s="66"/>
      <c r="JQ88" s="66"/>
      <c r="JR88" s="66"/>
      <c r="JS88" s="66"/>
      <c r="JT88" s="66"/>
      <c r="JU88" s="66"/>
      <c r="JV88" s="66"/>
      <c r="JW88" s="66"/>
      <c r="JX88" s="66"/>
      <c r="JY88" s="66"/>
      <c r="KB88" s="32"/>
      <c r="KC88" s="32"/>
      <c r="KD88" s="32"/>
      <c r="KE88" s="32"/>
      <c r="KF88" s="32"/>
      <c r="KG88" s="32"/>
      <c r="KH88" s="32"/>
      <c r="KJ88" s="66"/>
      <c r="KK88" s="66"/>
      <c r="KL88" s="66"/>
      <c r="KM88" s="66"/>
      <c r="KN88" s="66"/>
      <c r="KO88" s="66"/>
      <c r="KP88" s="66"/>
      <c r="KR88" s="32"/>
      <c r="KS88" s="32"/>
      <c r="KT88" s="32"/>
      <c r="KU88" s="32"/>
      <c r="KV88" s="32"/>
      <c r="KW88" s="32"/>
      <c r="KX88" s="32"/>
      <c r="KY88" s="32"/>
      <c r="KZ88" s="32"/>
    </row>
    <row r="89" spans="1:312">
      <c r="A89" s="884"/>
      <c r="B89" s="70"/>
      <c r="C89" s="1431" t="s">
        <v>100</v>
      </c>
      <c r="D89" s="1531" t="s">
        <v>59</v>
      </c>
      <c r="E89" s="1534">
        <f t="shared" ref="E89:AN89" si="311">SUM(E90:E91)</f>
        <v>-48.240451459999996</v>
      </c>
      <c r="F89" s="1534">
        <f t="shared" si="311"/>
        <v>-12.519246779999998</v>
      </c>
      <c r="G89" s="1534">
        <f t="shared" si="311"/>
        <v>-21.112212500000005</v>
      </c>
      <c r="H89" s="1534">
        <f t="shared" si="311"/>
        <v>-22.534589979999986</v>
      </c>
      <c r="I89" s="1534">
        <f t="shared" si="311"/>
        <v>-14.12541703000001</v>
      </c>
      <c r="J89" s="1534">
        <f t="shared" si="311"/>
        <v>-8.632967290000007</v>
      </c>
      <c r="K89" s="1534">
        <f t="shared" si="311"/>
        <v>-16.958481420000005</v>
      </c>
      <c r="L89" s="1534">
        <f t="shared" si="311"/>
        <v>-21.354814619999985</v>
      </c>
      <c r="M89" s="1534">
        <f t="shared" si="311"/>
        <v>-18.112904699999994</v>
      </c>
      <c r="N89" s="1534">
        <f t="shared" si="311"/>
        <v>-280.48189061999994</v>
      </c>
      <c r="O89" s="1534">
        <f t="shared" si="311"/>
        <v>58.828371599999997</v>
      </c>
      <c r="P89" s="1534">
        <f t="shared" si="311"/>
        <v>-37.132709429999991</v>
      </c>
      <c r="Q89" s="1534">
        <f t="shared" si="311"/>
        <v>-27.02625136</v>
      </c>
      <c r="R89" s="1534">
        <f t="shared" si="311"/>
        <v>-28.753281679999997</v>
      </c>
      <c r="S89" s="1534">
        <f t="shared" si="311"/>
        <v>-43.969999250000001</v>
      </c>
      <c r="T89" s="1534">
        <f t="shared" si="311"/>
        <v>-54.060340119999999</v>
      </c>
      <c r="U89" s="1534">
        <f t="shared" si="311"/>
        <v>-39.904698559999986</v>
      </c>
      <c r="V89" s="1534">
        <f t="shared" si="311"/>
        <v>-39.468015950000009</v>
      </c>
      <c r="W89" s="1534">
        <f t="shared" si="311"/>
        <v>-43.259794670000005</v>
      </c>
      <c r="X89" s="1534">
        <f t="shared" si="311"/>
        <v>-22.047647050000023</v>
      </c>
      <c r="Y89" s="1534">
        <f t="shared" si="311"/>
        <v>-33.109791289999983</v>
      </c>
      <c r="Z89" s="1534">
        <f t="shared" si="311"/>
        <v>-57.676614170000008</v>
      </c>
      <c r="AA89" s="1534">
        <f t="shared" si="311"/>
        <v>-156.07891626999998</v>
      </c>
      <c r="AB89" s="1534">
        <f t="shared" si="311"/>
        <v>-137.67329856000003</v>
      </c>
      <c r="AC89" s="1534">
        <f t="shared" si="311"/>
        <v>-31.909175249999997</v>
      </c>
      <c r="AD89" s="1534">
        <f t="shared" si="311"/>
        <v>-19.047034350000001</v>
      </c>
      <c r="AE89" s="1534">
        <f t="shared" si="311"/>
        <v>-75.407203960000004</v>
      </c>
      <c r="AF89" s="1534">
        <f t="shared" si="311"/>
        <v>-146.3447601</v>
      </c>
      <c r="AG89" s="1534">
        <f t="shared" si="311"/>
        <v>-43.638278670000005</v>
      </c>
      <c r="AH89" s="1534">
        <f t="shared" si="311"/>
        <v>-45.069934520000004</v>
      </c>
      <c r="AI89" s="1534">
        <f t="shared" si="311"/>
        <v>-51.134652250000002</v>
      </c>
      <c r="AJ89" s="1534">
        <f t="shared" si="311"/>
        <v>-46.034893629999999</v>
      </c>
      <c r="AK89" s="1534">
        <f t="shared" si="311"/>
        <v>-42.835350479999995</v>
      </c>
      <c r="AL89" s="1534">
        <f t="shared" si="311"/>
        <v>-31.97137184</v>
      </c>
      <c r="AM89" s="1534">
        <f t="shared" si="311"/>
        <v>-253.03296523999998</v>
      </c>
      <c r="AN89" s="1534">
        <f t="shared" si="311"/>
        <v>-1288.6894677699997</v>
      </c>
      <c r="AO89" s="1534">
        <f>SUM(AO90:AO91)</f>
        <v>-56.095030489999999</v>
      </c>
      <c r="AP89" s="1534">
        <f t="shared" ref="AP89:DA89" si="312">SUM(AP90:AP91)</f>
        <v>-45.081688919999998</v>
      </c>
      <c r="AQ89" s="1534">
        <f t="shared" si="312"/>
        <v>-154.20411264999998</v>
      </c>
      <c r="AR89" s="1534">
        <f t="shared" si="312"/>
        <v>-384.55954459999998</v>
      </c>
      <c r="AS89" s="1534">
        <f t="shared" si="312"/>
        <v>-93.983980199999991</v>
      </c>
      <c r="AT89" s="1534">
        <f t="shared" si="312"/>
        <v>-3465.2192146399998</v>
      </c>
      <c r="AU89" s="1534">
        <f t="shared" si="312"/>
        <v>-6.5257346799999851</v>
      </c>
      <c r="AV89" s="1534">
        <f t="shared" si="312"/>
        <v>-72.973295509999986</v>
      </c>
      <c r="AW89" s="1534">
        <f t="shared" si="312"/>
        <v>-239.26250172000005</v>
      </c>
      <c r="AX89" s="1534">
        <f t="shared" si="312"/>
        <v>-123.28859322000002</v>
      </c>
      <c r="AY89" s="1534">
        <f t="shared" si="312"/>
        <v>-79.954163149999999</v>
      </c>
      <c r="AZ89" s="1534">
        <f t="shared" si="312"/>
        <v>-874.40795961999902</v>
      </c>
      <c r="BA89" s="1534">
        <f t="shared" si="312"/>
        <v>-77.774997189999993</v>
      </c>
      <c r="BB89" s="1534">
        <f t="shared" si="312"/>
        <v>-75.149609999999996</v>
      </c>
      <c r="BC89" s="1534">
        <f t="shared" si="312"/>
        <v>-200.44867207000001</v>
      </c>
      <c r="BD89" s="1534">
        <f t="shared" si="312"/>
        <v>-378.93175117999999</v>
      </c>
      <c r="BE89" s="1534">
        <f t="shared" si="312"/>
        <v>-133.59425508999993</v>
      </c>
      <c r="BF89" s="1534">
        <f t="shared" si="312"/>
        <v>-194.12179911999999</v>
      </c>
      <c r="BG89" s="1534">
        <f t="shared" si="312"/>
        <v>-241.1998433</v>
      </c>
      <c r="BH89" s="1534">
        <f t="shared" si="312"/>
        <v>-283.01216539000001</v>
      </c>
      <c r="BI89" s="1534">
        <f t="shared" si="312"/>
        <v>216.12454976000001</v>
      </c>
      <c r="BJ89" s="1534">
        <f t="shared" si="312"/>
        <v>-411.36454053</v>
      </c>
      <c r="BK89" s="1534">
        <f t="shared" si="312"/>
        <v>-357.12438026999996</v>
      </c>
      <c r="BL89" s="1534">
        <f t="shared" si="312"/>
        <v>-432.845777</v>
      </c>
      <c r="BM89" s="1534">
        <f t="shared" si="312"/>
        <v>-96.420243870000007</v>
      </c>
      <c r="BN89" s="1534">
        <f t="shared" si="312"/>
        <v>-88.957992399999995</v>
      </c>
      <c r="BO89" s="1534">
        <f t="shared" si="312"/>
        <v>-89.233657029999989</v>
      </c>
      <c r="BP89" s="1534">
        <f t="shared" si="312"/>
        <v>-140.94044732</v>
      </c>
      <c r="BQ89" s="1534">
        <f t="shared" si="312"/>
        <v>-94.451269050000008</v>
      </c>
      <c r="BR89" s="1534">
        <f t="shared" si="312"/>
        <v>-71.843363260000004</v>
      </c>
      <c r="BS89" s="1534">
        <f t="shared" si="312"/>
        <v>-85.279525390000003</v>
      </c>
      <c r="BT89" s="1534">
        <f t="shared" si="312"/>
        <v>-95.724560880000013</v>
      </c>
      <c r="BU89" s="1534">
        <f t="shared" si="312"/>
        <v>-86.975232270000006</v>
      </c>
      <c r="BV89" s="1534">
        <f t="shared" si="312"/>
        <v>-84.486351269999986</v>
      </c>
      <c r="BW89" s="1534">
        <f t="shared" si="312"/>
        <v>-173.52355833000001</v>
      </c>
      <c r="BX89" s="1534">
        <f t="shared" si="312"/>
        <v>-205.58704114999998</v>
      </c>
      <c r="BY89" s="1534">
        <f t="shared" si="312"/>
        <v>-198.42755538</v>
      </c>
      <c r="BZ89" s="1534">
        <f t="shared" si="312"/>
        <v>-106.18931878000001</v>
      </c>
      <c r="CA89" s="1534">
        <f t="shared" si="312"/>
        <v>-160.60763784</v>
      </c>
      <c r="CB89" s="1534">
        <f t="shared" si="312"/>
        <v>-115.59951405</v>
      </c>
      <c r="CC89" s="1534">
        <f t="shared" si="312"/>
        <v>-64.117255490000005</v>
      </c>
      <c r="CD89" s="1534">
        <f t="shared" si="312"/>
        <v>-69.416694120000002</v>
      </c>
      <c r="CE89" s="1534">
        <f t="shared" si="312"/>
        <v>-72.367526490000003</v>
      </c>
      <c r="CF89" s="1534">
        <f t="shared" si="312"/>
        <v>-92.408346100000003</v>
      </c>
      <c r="CG89" s="1534">
        <f t="shared" si="312"/>
        <v>-72.822282180000002</v>
      </c>
      <c r="CH89" s="1534">
        <f t="shared" si="312"/>
        <v>-64.121162100000006</v>
      </c>
      <c r="CI89" s="1534">
        <f t="shared" si="312"/>
        <v>-76.974648149999993</v>
      </c>
      <c r="CJ89" s="1534">
        <f t="shared" si="312"/>
        <v>-121.11537693</v>
      </c>
      <c r="CK89" s="1534">
        <f t="shared" si="312"/>
        <v>-68.137206370000001</v>
      </c>
      <c r="CL89" s="1534">
        <f t="shared" si="312"/>
        <v>-155.63266294000002</v>
      </c>
      <c r="CM89" s="1534">
        <f t="shared" si="312"/>
        <v>-95.637498069999978</v>
      </c>
      <c r="CN89" s="1534">
        <f t="shared" si="312"/>
        <v>-125.11572409999999</v>
      </c>
      <c r="CO89" s="1534">
        <f t="shared" si="312"/>
        <v>-161.22030814999999</v>
      </c>
      <c r="CP89" s="1534">
        <f t="shared" si="312"/>
        <v>-197.57181414999999</v>
      </c>
      <c r="CQ89" s="1534">
        <f t="shared" si="312"/>
        <v>-162.99498204000002</v>
      </c>
      <c r="CR89" s="1534">
        <f t="shared" si="312"/>
        <v>-150.12085390000001</v>
      </c>
      <c r="CS89" s="1534">
        <f t="shared" si="312"/>
        <v>-208.40900190000002</v>
      </c>
      <c r="CT89" s="1534">
        <f t="shared" si="312"/>
        <v>-122.12199683</v>
      </c>
      <c r="CU89" s="1534">
        <f t="shared" si="312"/>
        <v>-111.94497956999999</v>
      </c>
      <c r="CV89" s="1534">
        <f t="shared" si="312"/>
        <v>-327.15143988</v>
      </c>
      <c r="CW89" s="1534">
        <f t="shared" si="312"/>
        <v>-107.12014899</v>
      </c>
      <c r="CX89" s="1534">
        <f t="shared" si="312"/>
        <v>-74.387902499999996</v>
      </c>
      <c r="CY89" s="1534">
        <f t="shared" si="312"/>
        <v>-152.36975228</v>
      </c>
      <c r="CZ89" s="1534">
        <f t="shared" si="312"/>
        <v>-313.45291108000004</v>
      </c>
      <c r="DA89" s="1534">
        <f t="shared" si="312"/>
        <v>-522.55521762000001</v>
      </c>
      <c r="DB89" s="1534">
        <f t="shared" ref="DB89:DH89" si="313">SUM(DB90:DB91)</f>
        <v>-228.28995954999999</v>
      </c>
      <c r="DC89" s="1534">
        <f t="shared" si="313"/>
        <v>-222.25951518000002</v>
      </c>
      <c r="DD89" s="1534">
        <f t="shared" si="313"/>
        <v>-57.864262680000003</v>
      </c>
      <c r="DE89" s="1534">
        <f t="shared" si="313"/>
        <v>-98.417665840000012</v>
      </c>
      <c r="DF89" s="1534">
        <f t="shared" si="313"/>
        <v>-95.578925830000003</v>
      </c>
      <c r="DG89" s="1534">
        <f t="shared" si="313"/>
        <v>-180.06249830000002</v>
      </c>
      <c r="DH89" s="1534">
        <f t="shared" si="313"/>
        <v>-158.04638769999997</v>
      </c>
      <c r="DI89" s="949"/>
      <c r="DJ89" s="1534">
        <f t="shared" ref="DJ89:DU89" si="314">SUM(DJ90:DJ91)</f>
        <v>-85.063865350000015</v>
      </c>
      <c r="DK89" s="1534">
        <f t="shared" si="314"/>
        <v>-56.781657119999998</v>
      </c>
      <c r="DL89" s="1534">
        <f t="shared" si="314"/>
        <v>349.86762247999997</v>
      </c>
      <c r="DM89" s="1534">
        <f t="shared" si="314"/>
        <v>-205.76753106000004</v>
      </c>
      <c r="DN89" s="1534">
        <f t="shared" si="314"/>
        <v>-279.45592077999999</v>
      </c>
      <c r="DO89" s="1534">
        <f t="shared" si="314"/>
        <v>-6.3643339699999988</v>
      </c>
      <c r="DP89" s="1534">
        <f t="shared" si="314"/>
        <v>-122.21706182428746</v>
      </c>
      <c r="DQ89" s="1534">
        <f t="shared" si="314"/>
        <v>-29.762807055361627</v>
      </c>
      <c r="DR89" s="1534">
        <f t="shared" si="314"/>
        <v>21.331959352490017</v>
      </c>
      <c r="DS89" s="1534">
        <f t="shared" si="314"/>
        <v>-60.951135016435799</v>
      </c>
      <c r="DT89" s="1534">
        <f t="shared" si="314"/>
        <v>-46.100732386435809</v>
      </c>
      <c r="DU89" s="1534">
        <f t="shared" si="314"/>
        <v>-45.16531924750997</v>
      </c>
      <c r="DW89" s="1534">
        <v>-69.7</v>
      </c>
      <c r="DX89" s="1534">
        <v>-71.7</v>
      </c>
      <c r="DY89" s="1534">
        <v>-93.429091999999997</v>
      </c>
      <c r="DZ89" s="1534">
        <v>-92.845758666666669</v>
      </c>
      <c r="EA89" s="1534">
        <v>-90.262425333333326</v>
      </c>
      <c r="EB89" s="1534">
        <v>-89.679091999999997</v>
      </c>
      <c r="EC89" s="1534">
        <v>-89.095758666666669</v>
      </c>
      <c r="ED89" s="1534">
        <v>-88.512425333333326</v>
      </c>
      <c r="EE89" s="1534">
        <v>-87.929091999999997</v>
      </c>
      <c r="EF89" s="1534">
        <v>-87.345758666666654</v>
      </c>
      <c r="EG89" s="1534">
        <v>-86.762425333333326</v>
      </c>
      <c r="EH89" s="1534">
        <v>-86.179091999999983</v>
      </c>
      <c r="EI89" s="1534">
        <f>SUM(EI90:EI91)</f>
        <v>-127.51374301050244</v>
      </c>
      <c r="EJ89" s="1534">
        <f t="shared" ref="EJ89:GD89" si="315">SUM(EJ90:EJ91)</f>
        <v>-123.10583442291542</v>
      </c>
      <c r="EK89" s="1534">
        <f t="shared" si="315"/>
        <v>-857.07358702823637</v>
      </c>
      <c r="EL89" s="1534">
        <f t="shared" si="315"/>
        <v>-173.7624452897627</v>
      </c>
      <c r="EM89" s="1534">
        <f t="shared" si="315"/>
        <v>-117.09575988728652</v>
      </c>
      <c r="EN89" s="1534">
        <f t="shared" si="315"/>
        <v>-117.24568784053685</v>
      </c>
      <c r="EO89" s="1534">
        <f t="shared" si="315"/>
        <v>-114.49120512034094</v>
      </c>
      <c r="EP89" s="1534">
        <f t="shared" si="315"/>
        <v>-112.21287843207854</v>
      </c>
      <c r="EQ89" s="1534">
        <f t="shared" si="315"/>
        <v>-104.55420353235432</v>
      </c>
      <c r="ER89" s="1534">
        <f t="shared" si="315"/>
        <v>-123.28510807334547</v>
      </c>
      <c r="ES89" s="1534">
        <f t="shared" si="315"/>
        <v>-100.77085013274679</v>
      </c>
      <c r="ET89" s="1534">
        <f t="shared" si="315"/>
        <v>-95.700741465058542</v>
      </c>
      <c r="EU89" s="1534">
        <f t="shared" si="315"/>
        <v>-78.167286529999998</v>
      </c>
      <c r="EV89" s="1534">
        <f t="shared" si="315"/>
        <v>-78.167286529999998</v>
      </c>
      <c r="EW89" s="1534">
        <f t="shared" si="315"/>
        <v>-78.167286529999998</v>
      </c>
      <c r="EX89" s="1534">
        <f t="shared" si="315"/>
        <v>-78.167286529999998</v>
      </c>
      <c r="EY89" s="1534">
        <f t="shared" si="315"/>
        <v>-78.167286529999998</v>
      </c>
      <c r="EZ89" s="1534">
        <f t="shared" si="315"/>
        <v>-78.167286529999998</v>
      </c>
      <c r="FA89" s="1534">
        <f t="shared" si="315"/>
        <v>-78.167286529999998</v>
      </c>
      <c r="FB89" s="1534">
        <f t="shared" si="315"/>
        <v>-78.167286529999998</v>
      </c>
      <c r="FC89" s="1534">
        <f t="shared" si="315"/>
        <v>-78.167286529999998</v>
      </c>
      <c r="FD89" s="1534">
        <f t="shared" si="315"/>
        <v>-78.167286529999998</v>
      </c>
      <c r="FE89" s="1534">
        <f t="shared" si="315"/>
        <v>-78.167286529999998</v>
      </c>
      <c r="FF89" s="1534">
        <f t="shared" si="315"/>
        <v>-78.167286529999998</v>
      </c>
      <c r="FG89" s="1534">
        <f t="shared" si="315"/>
        <v>-72.836289318562137</v>
      </c>
      <c r="FH89" s="1534">
        <f t="shared" si="315"/>
        <v>-72.836289318562137</v>
      </c>
      <c r="FI89" s="1534">
        <f t="shared" si="315"/>
        <v>-71.386348542015284</v>
      </c>
      <c r="FJ89" s="1534">
        <f t="shared" si="315"/>
        <v>-64.386348542015284</v>
      </c>
      <c r="FK89" s="1534">
        <f t="shared" si="315"/>
        <v>-71.386348542015284</v>
      </c>
      <c r="FL89" s="1534">
        <f t="shared" si="315"/>
        <v>-62.936407765468445</v>
      </c>
      <c r="FM89" s="1534">
        <f t="shared" si="315"/>
        <v>-69.936407765468445</v>
      </c>
      <c r="FN89" s="1534">
        <f t="shared" si="315"/>
        <v>-62.936407765468445</v>
      </c>
      <c r="FO89" s="1534">
        <f t="shared" si="315"/>
        <v>-61.486466988921592</v>
      </c>
      <c r="FP89" s="1534">
        <f t="shared" si="315"/>
        <v>-68.486466988921592</v>
      </c>
      <c r="FQ89" s="1534">
        <f t="shared" si="315"/>
        <v>-68.486466988921592</v>
      </c>
      <c r="FR89" s="1534">
        <f t="shared" si="315"/>
        <v>-67.036526212374753</v>
      </c>
      <c r="FS89" s="1534">
        <f t="shared" si="315"/>
        <v>-72.836289318562137</v>
      </c>
      <c r="FT89" s="1534">
        <f t="shared" si="315"/>
        <v>-72.836289318562137</v>
      </c>
      <c r="FU89" s="1534">
        <f t="shared" si="315"/>
        <v>-71.386348542015284</v>
      </c>
      <c r="FV89" s="1534">
        <f t="shared" si="315"/>
        <v>-64.386348542015284</v>
      </c>
      <c r="FW89" s="1534">
        <f t="shared" si="315"/>
        <v>-71.386348542015284</v>
      </c>
      <c r="FX89" s="1534">
        <f t="shared" si="315"/>
        <v>-62.936407765468445</v>
      </c>
      <c r="FY89" s="1534">
        <f t="shared" si="315"/>
        <v>-69.936407765468445</v>
      </c>
      <c r="FZ89" s="1534">
        <f t="shared" si="315"/>
        <v>-62.936407765468445</v>
      </c>
      <c r="GA89" s="1534">
        <f t="shared" si="315"/>
        <v>-61.486466988921592</v>
      </c>
      <c r="GB89" s="1534">
        <f t="shared" si="315"/>
        <v>-68.486466988921592</v>
      </c>
      <c r="GC89" s="1534">
        <f t="shared" si="315"/>
        <v>-68.486466988921592</v>
      </c>
      <c r="GD89" s="1534">
        <f t="shared" si="315"/>
        <v>-67.036526212374753</v>
      </c>
      <c r="GF89" s="1534">
        <f t="shared" ref="GF89:GI95" si="316">+SUMIF($E$6:$AZ$6,GF$7,$E89:$AZ89)</f>
        <v>-442.37731422999991</v>
      </c>
      <c r="GG89" s="1534">
        <f t="shared" si="316"/>
        <v>-683.02864893000003</v>
      </c>
      <c r="GH89" s="1534">
        <f t="shared" si="316"/>
        <v>-2075.1150880599998</v>
      </c>
      <c r="GI89" s="1534">
        <f t="shared" si="316"/>
        <v>-5595.5558193999977</v>
      </c>
      <c r="GJ89" s="1534">
        <f>+SUMIF($E$6:$BL$6,GJ$7,$E89:$BL89)</f>
        <v>-2569.44324138</v>
      </c>
      <c r="GK89" s="1534">
        <f t="shared" si="265"/>
        <v>-1313.42324222</v>
      </c>
      <c r="GL89" s="1534">
        <f t="shared" si="256"/>
        <v>-1214.1673176100001</v>
      </c>
      <c r="GM89" s="1534">
        <f t="shared" si="257"/>
        <v>-1886.0584678999999</v>
      </c>
      <c r="GN89" s="1534">
        <f t="shared" si="258"/>
        <v>-814.13677473871508</v>
      </c>
      <c r="GO89" s="1534">
        <v>-2210.40514755</v>
      </c>
      <c r="GQ89" s="1536">
        <f t="shared" ref="GQ89:GX104" si="317">+IFERROR(GH89/GG89-1,"")</f>
        <v>2.0381084180155193</v>
      </c>
      <c r="GR89" s="1536">
        <f t="shared" si="317"/>
        <v>1.6965038477124734</v>
      </c>
      <c r="GS89" s="1536">
        <f t="shared" si="317"/>
        <v>-0.5408064320488688</v>
      </c>
      <c r="GT89" s="1536">
        <f t="shared" si="317"/>
        <v>-0.48882963395813916</v>
      </c>
      <c r="GU89" s="1536">
        <f t="shared" si="317"/>
        <v>-7.5570403674472542E-2</v>
      </c>
      <c r="GV89" s="1536">
        <f t="shared" si="317"/>
        <v>0.55337607967620861</v>
      </c>
      <c r="GW89" s="1536">
        <f t="shared" si="266"/>
        <v>-0.56833958830279419</v>
      </c>
      <c r="GX89" s="1536">
        <f t="shared" si="266"/>
        <v>1.7150292384954557</v>
      </c>
      <c r="GY89" s="1536">
        <f t="shared" si="249"/>
        <v>0.17197063885889952</v>
      </c>
      <c r="HA89" s="1534">
        <f t="shared" ref="HA89:HH104" si="318">+GH89-GG89</f>
        <v>-1392.0864391299997</v>
      </c>
      <c r="HB89" s="1534">
        <f t="shared" si="318"/>
        <v>-3520.4407313399979</v>
      </c>
      <c r="HC89" s="1534">
        <f t="shared" si="318"/>
        <v>3026.1125780199977</v>
      </c>
      <c r="HD89" s="1534">
        <f t="shared" si="267"/>
        <v>1256.01999916</v>
      </c>
      <c r="HE89" s="1534">
        <f t="shared" si="226"/>
        <v>99.255924609999965</v>
      </c>
      <c r="HF89" s="1534">
        <f t="shared" si="226"/>
        <v>-671.89115028999981</v>
      </c>
      <c r="HG89" s="1534">
        <f t="shared" si="226"/>
        <v>1071.9216931612848</v>
      </c>
      <c r="HH89" s="1534">
        <f t="shared" si="226"/>
        <v>-1396.268372811285</v>
      </c>
      <c r="HI89" s="1534">
        <f t="shared" si="251"/>
        <v>-324.34667965000017</v>
      </c>
      <c r="HK89" s="1537">
        <f t="shared" ref="HK89:HS103" si="319">+GG89/GG$11</f>
        <v>-1.858314359179554E-2</v>
      </c>
      <c r="HL89" s="1537">
        <f t="shared" si="319"/>
        <v>-5.2690655066767754E-2</v>
      </c>
      <c r="HM89" s="1537">
        <f t="shared" si="319"/>
        <v>-0.33202562079953318</v>
      </c>
      <c r="HN89" s="1537">
        <f t="shared" si="319"/>
        <v>-0.41765800530056219</v>
      </c>
      <c r="HO89" s="1537">
        <f t="shared" si="268"/>
        <v>-9.6371052511276672E-2</v>
      </c>
      <c r="HP89" s="1537">
        <f t="shared" si="268"/>
        <v>-8.5803640404672671E-2</v>
      </c>
      <c r="HQ89" s="1537">
        <f t="shared" si="268"/>
        <v>-8.8842022138305873E-2</v>
      </c>
      <c r="HR89" s="1537">
        <f t="shared" si="268"/>
        <v>-5.1749390765289602E-2</v>
      </c>
      <c r="HS89" s="1537">
        <f t="shared" si="268"/>
        <v>-0.17515252769445727</v>
      </c>
      <c r="HU89" s="1534">
        <f t="shared" ref="HU89:HZ95" si="320">+IFERROR(SUMIFS($E89:$BX89,$E$6:$BX$6,HU$7,$E$5:$BX$5,"&lt;="&amp;$HW$5),"NA")</f>
        <v>-127.16488504000002</v>
      </c>
      <c r="HV89" s="1534">
        <f t="shared" si="320"/>
        <v>-233.18258692000001</v>
      </c>
      <c r="HW89" s="1534">
        <f t="shared" si="320"/>
        <v>-361.41638685000004</v>
      </c>
      <c r="HX89" s="1534">
        <f t="shared" si="320"/>
        <v>-4199.1435714999998</v>
      </c>
      <c r="HY89" s="1534">
        <f t="shared" si="320"/>
        <v>-1060.0210846499999</v>
      </c>
      <c r="HZ89" s="1534">
        <f t="shared" si="320"/>
        <v>-581.84697292999999</v>
      </c>
      <c r="IA89" s="1534">
        <f t="shared" ref="IA89:IA95" si="321">+IFERROR(SUMIFS($E89:$CJ89,$E$6:$CJ$6,IA$7,$E$5:$CJ$5,"&lt;="&amp;$HW$5),"NA")</f>
        <v>-714.35797566000008</v>
      </c>
      <c r="IB89" s="1534">
        <f t="shared" ref="IB89:IB95" si="322">+IFERROR(SUMIFS($E89:$CV89,$E$6:$CV$6,IB$7,$E$5:$CV$5,"&lt;="&amp;$HW$5),"NA")</f>
        <v>-803.31521377999991</v>
      </c>
      <c r="IC89" s="1534">
        <f t="shared" ref="IC89:IC95" si="323">+SUMIF($CW$5:$DH$5,"&lt;="&amp;$HW$5,$CW89:$DH89)</f>
        <v>-1398.1758920200002</v>
      </c>
      <c r="ID89" s="1534">
        <f t="shared" si="253"/>
        <v>-415.76803202863863</v>
      </c>
      <c r="IE89" s="1534">
        <f t="shared" ref="IE89:IE95" si="324">+SUMIF($DJ$5:$DU$5,"&lt;="&amp;$HW$5,$DJ89:$DU89)</f>
        <v>-283.5656858000001</v>
      </c>
      <c r="IG89" s="1534">
        <f t="shared" si="254"/>
        <v>-1398.1758920200002</v>
      </c>
      <c r="IH89" s="1534">
        <f t="shared" si="254"/>
        <v>-415.76803202863863</v>
      </c>
      <c r="II89" s="939"/>
      <c r="IJ89" s="1536">
        <f t="shared" ref="IJ89:IJ95" si="325">+IFERROR(IG89/IH89,"")</f>
        <v>3.3628749309992454</v>
      </c>
      <c r="IK89" s="1538">
        <f t="shared" si="275"/>
        <v>-982.40785999136165</v>
      </c>
      <c r="IM89" s="1537">
        <f t="shared" ref="IM89:IM95" si="326">+IG89/IG$11</f>
        <v>-0.21501849820020005</v>
      </c>
      <c r="IN89" s="1536">
        <f t="shared" ref="IN89:IN95" si="327">+IFERROR(IH89/IH$11,"")</f>
        <v>-5.888284285856215E-2</v>
      </c>
      <c r="IP89" s="1537">
        <f t="shared" si="278"/>
        <v>0.54992871304748969</v>
      </c>
      <c r="IQ89" s="1537">
        <f t="shared" si="278"/>
        <v>10.618575483249424</v>
      </c>
      <c r="IR89" s="1537">
        <f t="shared" si="278"/>
        <v>-0.74756255255369997</v>
      </c>
      <c r="IS89" s="1537">
        <f t="shared" si="278"/>
        <v>-0.45109867968134287</v>
      </c>
      <c r="IT89" s="1537">
        <f t="shared" si="278"/>
        <v>0.22774201619150136</v>
      </c>
      <c r="IU89" s="1537">
        <f t="shared" si="278"/>
        <v>0.12452753542481498</v>
      </c>
      <c r="IV89" s="1537">
        <f>+IFERROR(IE89/IB89-1,"NA")</f>
        <v>-0.64700570717977357</v>
      </c>
      <c r="IX89" s="1534">
        <f t="shared" si="279"/>
        <v>-128.23379993000003</v>
      </c>
      <c r="IY89" s="1534">
        <f t="shared" si="279"/>
        <v>-3837.7271846499998</v>
      </c>
      <c r="IZ89" s="1534">
        <f t="shared" si="279"/>
        <v>3139.1224868499999</v>
      </c>
      <c r="JA89" s="1534">
        <f t="shared" si="279"/>
        <v>478.17411171999993</v>
      </c>
      <c r="JB89" s="1534">
        <f t="shared" si="279"/>
        <v>-132.51100273000009</v>
      </c>
      <c r="JC89" s="1534">
        <f t="shared" si="279"/>
        <v>-88.957238119999829</v>
      </c>
      <c r="JD89" s="1534">
        <f t="shared" ref="JD89:JD95" si="328">+IE89-IB89</f>
        <v>519.74952797999981</v>
      </c>
      <c r="JF89" s="1537">
        <f t="shared" ref="JF89:JL95" si="329">+HU89/HU$11</f>
        <v>-7.9504558694068889E-3</v>
      </c>
      <c r="JG89" s="1537">
        <f t="shared" si="329"/>
        <v>-1.3675331865478656E-2</v>
      </c>
      <c r="JH89" s="1537">
        <f t="shared" si="329"/>
        <v>-2.2233796883075058E-2</v>
      </c>
      <c r="JI89" s="1537">
        <f t="shared" si="329"/>
        <v>-0.4489106717706825</v>
      </c>
      <c r="JJ89" s="1537">
        <f t="shared" si="329"/>
        <v>-0.52826066767476632</v>
      </c>
      <c r="JK89" s="1537">
        <f t="shared" si="329"/>
        <v>-8.382374923561775E-2</v>
      </c>
      <c r="JL89" s="1537">
        <f t="shared" si="329"/>
        <v>-0.13505322950975074</v>
      </c>
      <c r="JM89" s="1537">
        <f>+IE89/IE$11</f>
        <v>-4.158655349847494E-2</v>
      </c>
      <c r="JO89" s="1534">
        <f t="shared" ref="JO89:JS95" si="330">+SUMIFS($E89:$BX89,$E$6:$BX$6,JO$7,$E$5:$BX$5,$JQ$5)</f>
        <v>-8.632967290000007</v>
      </c>
      <c r="JP89" s="1534">
        <f t="shared" si="330"/>
        <v>-39.468015950000009</v>
      </c>
      <c r="JQ89" s="1534">
        <f t="shared" si="330"/>
        <v>-45.069934520000004</v>
      </c>
      <c r="JR89" s="1534">
        <f t="shared" si="330"/>
        <v>-3465.2192146399998</v>
      </c>
      <c r="JS89" s="1534">
        <f t="shared" si="330"/>
        <v>-194.12179911999999</v>
      </c>
      <c r="JT89" s="1534">
        <f t="shared" ref="JT89:JT95" si="331">+SUMIFS($E89:$CJ89,$E$6:$CJ$6,JT$7,$E$5:$CJ$5,$JQ$5)</f>
        <v>-71.843363260000004</v>
      </c>
      <c r="JU89" s="1534">
        <f t="shared" ref="JU89:JV95" si="332">+SUMIFS($E89:$CV89,$E$6:$CV$6,JU$7,$E$5:$CV$5,$JQ$5)</f>
        <v>-69.416694120000002</v>
      </c>
      <c r="JV89" s="1534">
        <f t="shared" si="332"/>
        <v>-197.57181414999999</v>
      </c>
      <c r="JW89" s="1534">
        <f t="shared" ref="JW89:JW95" si="333">+SUMIFS($E89:$DH89,$E$6:$DH$6,JW$7,$E$5:$DH$5,$JQ$5)</f>
        <v>-228.28995954999999</v>
      </c>
      <c r="JX89" s="1534">
        <f t="shared" ref="JX89:JX95" si="334">+SUMIF($FS$5:$GD$5,$JQ$5,$FS89:$GD89)</f>
        <v>-62.936407765468445</v>
      </c>
      <c r="JY89" s="1534">
        <f t="shared" ref="JY89:JY95" si="335">+SUMIF($DJ$5:$DU$5,$JQ$5,$DJ89:$DU89)</f>
        <v>-6.3643339699999988</v>
      </c>
      <c r="KB89" s="1537">
        <f t="shared" ref="KB89:KG95" si="336">+IFERROR(JQ89/JP89-1," ")</f>
        <v>0.14193565182239665</v>
      </c>
      <c r="KC89" s="1537">
        <f t="shared" si="336"/>
        <v>75.885383827267191</v>
      </c>
      <c r="KD89" s="1537">
        <f t="shared" si="336"/>
        <v>-0.94397993688253079</v>
      </c>
      <c r="KE89" s="1537">
        <f t="shared" si="336"/>
        <v>-0.62990574172667391</v>
      </c>
      <c r="KF89" s="1537">
        <f t="shared" si="336"/>
        <v>-3.3777220746444181E-2</v>
      </c>
      <c r="KG89" s="1537">
        <f t="shared" si="336"/>
        <v>1.8461714671755964</v>
      </c>
      <c r="KH89" s="1537">
        <f t="shared" ref="KH89:KH95" si="337">+IFERROR(JY89/JV89-1," ")</f>
        <v>-0.96778723727683102</v>
      </c>
      <c r="KJ89" s="1534">
        <f t="shared" ref="KJ89:KO95" si="338">+JQ89-JP89</f>
        <v>-5.6019185699999952</v>
      </c>
      <c r="KK89" s="1534">
        <f t="shared" si="338"/>
        <v>-3420.1492801199997</v>
      </c>
      <c r="KL89" s="1534">
        <f t="shared" si="338"/>
        <v>3271.0974155199997</v>
      </c>
      <c r="KM89" s="1534">
        <f t="shared" si="338"/>
        <v>122.27843585999999</v>
      </c>
      <c r="KN89" s="1534">
        <f t="shared" si="338"/>
        <v>2.4266691400000013</v>
      </c>
      <c r="KO89" s="1534">
        <f t="shared" si="338"/>
        <v>-128.15512002999998</v>
      </c>
      <c r="KP89" s="1534">
        <f t="shared" ref="KP89:KP95" si="339">+JY89-JV89</f>
        <v>191.20748018</v>
      </c>
      <c r="KR89" s="1537">
        <f t="shared" ref="KR89:KY95" si="340">+JO89/JO$11</f>
        <v>-2.6929017722463924E-3</v>
      </c>
      <c r="KS89" s="1537">
        <f t="shared" si="340"/>
        <v>-1.1735097210635211E-2</v>
      </c>
      <c r="KT89" s="1537">
        <f t="shared" si="340"/>
        <v>-1.7963785583771638E-2</v>
      </c>
      <c r="KU89" s="1537">
        <f t="shared" si="340"/>
        <v>-3.8731943218876461</v>
      </c>
      <c r="KV89" s="1537">
        <f t="shared" si="340"/>
        <v>-0.62209755512160525</v>
      </c>
      <c r="KW89" s="1537">
        <f t="shared" si="340"/>
        <v>-7.0849955757320268E-2</v>
      </c>
      <c r="KX89" s="1537">
        <f t="shared" si="340"/>
        <v>-7.9139085511824622E-2</v>
      </c>
      <c r="KY89" s="1537">
        <f t="shared" si="340"/>
        <v>-0.12912221066204541</v>
      </c>
      <c r="KZ89" s="1537">
        <f t="shared" si="306"/>
        <v>-1.7365869316079283E-2</v>
      </c>
    </row>
    <row r="90" spans="1:312" outlineLevel="1">
      <c r="A90" s="884">
        <v>5305</v>
      </c>
      <c r="B90" s="70" t="s">
        <v>659</v>
      </c>
      <c r="C90" s="47" t="s">
        <v>101</v>
      </c>
      <c r="D90" s="923" t="s">
        <v>59</v>
      </c>
      <c r="E90" s="924">
        <v>-41.379463829999999</v>
      </c>
      <c r="F90" s="924">
        <v>-9.0213264699999982</v>
      </c>
      <c r="G90" s="924">
        <v>-13.671133280000006</v>
      </c>
      <c r="H90" s="924">
        <v>-19.607679299999987</v>
      </c>
      <c r="I90" s="924">
        <v>-10.66869641000001</v>
      </c>
      <c r="J90" s="924">
        <v>-13.215792500000006</v>
      </c>
      <c r="K90" s="924">
        <v>-14.084330750000007</v>
      </c>
      <c r="L90" s="924">
        <v>-12.100026999999983</v>
      </c>
      <c r="M90" s="924">
        <v>-15.420941099999993</v>
      </c>
      <c r="N90" s="924">
        <v>-6.0271620000000041</v>
      </c>
      <c r="O90" s="924">
        <v>-6.6974954400000115</v>
      </c>
      <c r="P90" s="924">
        <v>-25.82884654999998</v>
      </c>
      <c r="Q90" s="924">
        <v>-25.259784190000001</v>
      </c>
      <c r="R90" s="924">
        <v>-25.404925969999997</v>
      </c>
      <c r="S90" s="924">
        <v>-19.68674369</v>
      </c>
      <c r="T90" s="924">
        <v>-30.564012509999998</v>
      </c>
      <c r="U90" s="924">
        <v>-27.65067753999999</v>
      </c>
      <c r="V90" s="924">
        <v>-27.73775882000001</v>
      </c>
      <c r="W90" s="924">
        <v>-32.574938889999999</v>
      </c>
      <c r="X90" s="924">
        <v>-19.333642610000027</v>
      </c>
      <c r="Y90" s="924">
        <v>-26.819243899999975</v>
      </c>
      <c r="Z90" s="924">
        <v>-29.172202310000017</v>
      </c>
      <c r="AA90" s="924">
        <v>-18.502986439999972</v>
      </c>
      <c r="AB90" s="924">
        <v>-22.824886930000048</v>
      </c>
      <c r="AC90" s="924">
        <v>-30.718120469999999</v>
      </c>
      <c r="AD90" s="924">
        <v>-15.182569460000002</v>
      </c>
      <c r="AE90" s="924">
        <v>-56.099580610000004</v>
      </c>
      <c r="AF90" s="924">
        <v>-42.09828701</v>
      </c>
      <c r="AG90" s="924">
        <v>-43.164480780000005</v>
      </c>
      <c r="AH90" s="924">
        <v>-45.583921500000002</v>
      </c>
      <c r="AI90" s="924">
        <v>-46.398567290000003</v>
      </c>
      <c r="AJ90" s="924">
        <v>-37.525735179999998</v>
      </c>
      <c r="AK90" s="924">
        <v>-41.173643329999997</v>
      </c>
      <c r="AL90" s="924">
        <v>-31.360332060000001</v>
      </c>
      <c r="AM90" s="924">
        <v>-43.892560350000004</v>
      </c>
      <c r="AN90" s="102">
        <v>-16.292191779999996</v>
      </c>
      <c r="AO90" s="924">
        <v>-54.646502529999999</v>
      </c>
      <c r="AP90" s="925">
        <v>-29.42645332</v>
      </c>
      <c r="AQ90" s="143">
        <v>-84.578525619999994</v>
      </c>
      <c r="AR90" s="143">
        <v>-194.20135857</v>
      </c>
      <c r="AS90" s="924">
        <v>-53.637945299999998</v>
      </c>
      <c r="AT90" s="924">
        <v>-99.813044910000002</v>
      </c>
      <c r="AU90" s="924">
        <v>-38.747987619999989</v>
      </c>
      <c r="AV90" s="924">
        <v>-70.569078109999992</v>
      </c>
      <c r="AW90" s="924">
        <v>-70.687003060000009</v>
      </c>
      <c r="AX90" s="924">
        <v>-117.33829647000002</v>
      </c>
      <c r="AY90" s="924">
        <v>-79.309346939999998</v>
      </c>
      <c r="AZ90" s="924">
        <f>-187.8561238+1</f>
        <v>-186.85612380000001</v>
      </c>
      <c r="BA90" s="102">
        <v>-70.430505189999991</v>
      </c>
      <c r="BB90" s="102">
        <v>-67.54374</v>
      </c>
      <c r="BC90" s="102">
        <v>-194.91727122</v>
      </c>
      <c r="BD90" s="102">
        <v>-128.62674938000001</v>
      </c>
      <c r="BE90" s="66">
        <v>-90.988396449999996</v>
      </c>
      <c r="BF90" s="66">
        <v>-180.70420322999999</v>
      </c>
      <c r="BG90" s="66">
        <v>-79.774014199999996</v>
      </c>
      <c r="BH90" s="66">
        <v>-221.66827915000002</v>
      </c>
      <c r="BI90" s="66">
        <v>226.33111047</v>
      </c>
      <c r="BJ90" s="66">
        <v>-409.67137718999999</v>
      </c>
      <c r="BK90" s="102">
        <v>-92.379952629999991</v>
      </c>
      <c r="BL90" s="66">
        <v>-165</v>
      </c>
      <c r="BM90" s="102">
        <v>-96.083739370000004</v>
      </c>
      <c r="BN90" s="102">
        <v>-88.69836952</v>
      </c>
      <c r="BO90" s="102">
        <v>-88.208781779999995</v>
      </c>
      <c r="BP90" s="102">
        <v>-140.78648622</v>
      </c>
      <c r="BQ90" s="66">
        <v>-88.976365290000004</v>
      </c>
      <c r="BR90" s="66">
        <v>-69.132220619999998</v>
      </c>
      <c r="BS90" s="66">
        <v>-84.372775430000004</v>
      </c>
      <c r="BT90" s="66">
        <v>-92.412210510000008</v>
      </c>
      <c r="BU90" s="66">
        <v>-84.104169200000001</v>
      </c>
      <c r="BV90" s="66">
        <v>-83.981444709999991</v>
      </c>
      <c r="BW90" s="102">
        <v>-80.204048830000005</v>
      </c>
      <c r="BX90" s="102">
        <v>-74.637089619999983</v>
      </c>
      <c r="BY90" s="102">
        <v>-197.95048937000001</v>
      </c>
      <c r="BZ90" s="102">
        <v>-105.50010753000001</v>
      </c>
      <c r="CA90" s="102">
        <v>-157.26938597</v>
      </c>
      <c r="CB90" s="102">
        <v>-115.40275018999999</v>
      </c>
      <c r="CC90" s="102">
        <v>-61.105191349999998</v>
      </c>
      <c r="CD90" s="102">
        <v>-69.278432359999996</v>
      </c>
      <c r="CE90" s="102">
        <v>-72.027169720000003</v>
      </c>
      <c r="CF90" s="102">
        <v>-80.712745080000005</v>
      </c>
      <c r="CG90" s="102">
        <v>-71.332257089999999</v>
      </c>
      <c r="CH90" s="102">
        <v>-63.32037605</v>
      </c>
      <c r="CI90" s="102">
        <v>-78.686964069999988</v>
      </c>
      <c r="CJ90" s="102">
        <v>-115.27863357</v>
      </c>
      <c r="CK90" s="102">
        <v>-68.15021059</v>
      </c>
      <c r="CL90" s="102">
        <v>-154.27310643000001</v>
      </c>
      <c r="CM90" s="102">
        <v>-92.751558619999983</v>
      </c>
      <c r="CN90" s="102">
        <v>-97.435331189999999</v>
      </c>
      <c r="CO90" s="102">
        <v>-156.60680461999999</v>
      </c>
      <c r="CP90" s="102">
        <v>-196.14801193</v>
      </c>
      <c r="CQ90" s="102">
        <v>-151.87980372000001</v>
      </c>
      <c r="CR90" s="102">
        <v>-148.9439725</v>
      </c>
      <c r="CS90" s="102">
        <v>-131.04361051000001</v>
      </c>
      <c r="CT90" s="102">
        <v>-119.50252118</v>
      </c>
      <c r="CU90" s="102">
        <v>-106.79023635999999</v>
      </c>
      <c r="CV90" s="102">
        <v>-253.00396232</v>
      </c>
      <c r="CW90" s="102">
        <v>-104.67913781</v>
      </c>
      <c r="CX90" s="102">
        <v>-69.16278964</v>
      </c>
      <c r="CY90" s="102">
        <v>-88.438339330000005</v>
      </c>
      <c r="CZ90" s="102">
        <v>-310.39595378000001</v>
      </c>
      <c r="DA90" s="102">
        <v>-334.95218147000003</v>
      </c>
      <c r="DB90" s="102">
        <v>-159.84966846</v>
      </c>
      <c r="DC90" s="102">
        <v>-159.56657033000002</v>
      </c>
      <c r="DD90" s="102">
        <v>-62.892307430000002</v>
      </c>
      <c r="DE90" s="102">
        <v>-71.131158120000009</v>
      </c>
      <c r="DF90" s="102">
        <v>-95.070467129999997</v>
      </c>
      <c r="DG90" s="102">
        <v>-176.74216694</v>
      </c>
      <c r="DH90" s="102">
        <v>-154.45537987999998</v>
      </c>
      <c r="DJ90" s="66">
        <v>-58.750301299999997</v>
      </c>
      <c r="DK90" s="66">
        <v>-57.207939029999999</v>
      </c>
      <c r="DL90" s="66">
        <v>-29.3779243</v>
      </c>
      <c r="DM90" s="66">
        <v>-2.6659016800000002</v>
      </c>
      <c r="DN90" s="66">
        <v>-0.89504762000000004</v>
      </c>
      <c r="DO90" s="66">
        <v>-0.52565324999999996</v>
      </c>
      <c r="DP90" s="66">
        <v>-82.396380084287458</v>
      </c>
      <c r="DQ90" s="66">
        <v>-53.473966945361632</v>
      </c>
      <c r="DR90" s="66">
        <v>-51.603140667509976</v>
      </c>
      <c r="DS90" s="66">
        <v>-52.5385538064358</v>
      </c>
      <c r="DT90" s="66">
        <v>-52.5385538064358</v>
      </c>
      <c r="DU90" s="66">
        <v>-51.603140667509976</v>
      </c>
      <c r="DW90" s="66">
        <v>-44.5</v>
      </c>
      <c r="DX90" s="66">
        <v>-44.5</v>
      </c>
      <c r="DY90" s="66">
        <v>-66.229091999999994</v>
      </c>
      <c r="DZ90" s="66">
        <v>-65.645758666666666</v>
      </c>
      <c r="EA90" s="66">
        <v>-65.062425333333323</v>
      </c>
      <c r="EB90" s="66">
        <v>-64.479091999999994</v>
      </c>
      <c r="EC90" s="66">
        <v>-63.895758666666666</v>
      </c>
      <c r="ED90" s="66">
        <v>-63.31242533333333</v>
      </c>
      <c r="EE90" s="66">
        <v>-62.729092000000001</v>
      </c>
      <c r="EF90" s="66">
        <v>-62.145758666666659</v>
      </c>
      <c r="EG90" s="66">
        <v>-61.56242533333333</v>
      </c>
      <c r="EH90" s="66">
        <v>-60.979091999999987</v>
      </c>
      <c r="EI90" s="66">
        <v>-94.835148081502439</v>
      </c>
      <c r="EJ90" s="66">
        <v>-96.457536640715432</v>
      </c>
      <c r="EK90" s="66">
        <v>-95.249526963476484</v>
      </c>
      <c r="EL90" s="66">
        <v>-93.04584121895472</v>
      </c>
      <c r="EM90" s="66">
        <v>-102.21860213564013</v>
      </c>
      <c r="EN90" s="66">
        <v>-104.83853980021973</v>
      </c>
      <c r="EO90" s="66">
        <v>-104.06006484908728</v>
      </c>
      <c r="EP90" s="66">
        <v>-103.36254437607558</v>
      </c>
      <c r="EQ90" s="66">
        <v>-102.02709433735433</v>
      </c>
      <c r="ER90" s="66">
        <v>-100.52367932313599</v>
      </c>
      <c r="ES90" s="66">
        <v>-98.243740937746793</v>
      </c>
      <c r="ET90" s="66">
        <v>-93.173632270058548</v>
      </c>
      <c r="EU90" s="66">
        <v>-69.232563310000003</v>
      </c>
      <c r="EV90" s="66">
        <v>-69.232563310000003</v>
      </c>
      <c r="EW90" s="66">
        <v>-69.232563310000003</v>
      </c>
      <c r="EX90" s="66">
        <v>-69.232563310000003</v>
      </c>
      <c r="EY90" s="66">
        <v>-69.232563310000003</v>
      </c>
      <c r="EZ90" s="66">
        <v>-69.232563310000003</v>
      </c>
      <c r="FA90" s="66">
        <v>-69.232563310000003</v>
      </c>
      <c r="FB90" s="66">
        <v>-69.232563310000003</v>
      </c>
      <c r="FC90" s="66">
        <v>-69.232563310000003</v>
      </c>
      <c r="FD90" s="66">
        <v>-69.232563310000003</v>
      </c>
      <c r="FE90" s="66">
        <v>-69.232563310000003</v>
      </c>
      <c r="FF90" s="66">
        <v>-69.232563310000003</v>
      </c>
      <c r="FG90" s="66">
        <v>-45.386289318562135</v>
      </c>
      <c r="FH90" s="66">
        <v>-45.386289318562135</v>
      </c>
      <c r="FI90" s="66">
        <v>-43.936348542015288</v>
      </c>
      <c r="FJ90" s="66">
        <v>-43.936348542015288</v>
      </c>
      <c r="FK90" s="66">
        <v>-43.936348542015288</v>
      </c>
      <c r="FL90" s="66">
        <v>-42.486407765468449</v>
      </c>
      <c r="FM90" s="66">
        <v>-42.486407765468449</v>
      </c>
      <c r="FN90" s="66">
        <v>-42.486407765468449</v>
      </c>
      <c r="FO90" s="66">
        <v>-41.036466988921596</v>
      </c>
      <c r="FP90" s="66">
        <v>-41.036466988921596</v>
      </c>
      <c r="FQ90" s="66">
        <v>-41.036466988921596</v>
      </c>
      <c r="FR90" s="66">
        <v>-39.586526212374757</v>
      </c>
      <c r="FS90" s="66">
        <v>-45.386289318562135</v>
      </c>
      <c r="FT90" s="66">
        <v>-45.386289318562135</v>
      </c>
      <c r="FU90" s="66">
        <v>-43.936348542015288</v>
      </c>
      <c r="FV90" s="66">
        <v>-43.936348542015288</v>
      </c>
      <c r="FW90" s="66">
        <v>-43.936348542015288</v>
      </c>
      <c r="FX90" s="66">
        <v>-42.486407765468449</v>
      </c>
      <c r="FY90" s="66">
        <v>-42.486407765468449</v>
      </c>
      <c r="FZ90" s="66">
        <v>-42.486407765468449</v>
      </c>
      <c r="GA90" s="66">
        <v>-41.036466988921596</v>
      </c>
      <c r="GB90" s="66">
        <v>-41.036466988921596</v>
      </c>
      <c r="GC90" s="66">
        <v>-41.036466988921596</v>
      </c>
      <c r="GD90" s="66">
        <v>-39.586526212374757</v>
      </c>
      <c r="GF90" s="924">
        <f t="shared" si="316"/>
        <v>-187.72289462999998</v>
      </c>
      <c r="GG90" s="924">
        <f t="shared" si="316"/>
        <v>-305.53180380000003</v>
      </c>
      <c r="GH90" s="924">
        <f t="shared" si="316"/>
        <v>-449.48998982000001</v>
      </c>
      <c r="GI90" s="924">
        <f t="shared" si="316"/>
        <v>-1079.8116662500001</v>
      </c>
      <c r="GJ90" s="924">
        <f t="shared" ref="GJ90:GJ95" si="341">+SUMIF($E$6:$BL$6,GJ$7,$E90:$BL90)</f>
        <v>-1475.37337817</v>
      </c>
      <c r="GK90" s="924">
        <f t="shared" si="265"/>
        <v>-1071.5977011</v>
      </c>
      <c r="GL90" s="924">
        <f t="shared" si="256"/>
        <v>-1187.8645023500001</v>
      </c>
      <c r="GM90" s="924">
        <f t="shared" si="257"/>
        <v>-1676.5291299700002</v>
      </c>
      <c r="GN90" s="924">
        <f t="shared" si="258"/>
        <v>-512.73677473871498</v>
      </c>
      <c r="GO90" s="924">
        <v>-1787.3361203200004</v>
      </c>
      <c r="GQ90" s="929">
        <f t="shared" si="317"/>
        <v>0.47117250718106729</v>
      </c>
      <c r="GR90" s="929">
        <f t="shared" si="317"/>
        <v>1.4023041462667831</v>
      </c>
      <c r="GS90" s="929">
        <f t="shared" si="317"/>
        <v>0.36632472521223769</v>
      </c>
      <c r="GT90" s="929">
        <f t="shared" si="317"/>
        <v>-0.27367694377868523</v>
      </c>
      <c r="GU90" s="929">
        <f t="shared" si="317"/>
        <v>0.10849855419683307</v>
      </c>
      <c r="GV90" s="929">
        <f t="shared" si="317"/>
        <v>0.41138078177540893</v>
      </c>
      <c r="GW90" s="929">
        <f t="shared" si="266"/>
        <v>-0.69416769111080701</v>
      </c>
      <c r="GX90" s="929">
        <f t="shared" si="266"/>
        <v>2.4858746405127801</v>
      </c>
      <c r="GY90" s="929">
        <f t="shared" si="249"/>
        <v>6.6093089806309013E-2</v>
      </c>
      <c r="HA90" s="924">
        <f t="shared" si="318"/>
        <v>-143.95818601999997</v>
      </c>
      <c r="HB90" s="924">
        <f t="shared" si="318"/>
        <v>-630.32167643000014</v>
      </c>
      <c r="HC90" s="924">
        <f t="shared" si="318"/>
        <v>-395.56171191999988</v>
      </c>
      <c r="HD90" s="924">
        <f t="shared" si="267"/>
        <v>403.77567707000003</v>
      </c>
      <c r="HE90" s="924">
        <f t="shared" si="226"/>
        <v>-116.26680125000007</v>
      </c>
      <c r="HF90" s="924">
        <f t="shared" si="226"/>
        <v>-488.66462762000015</v>
      </c>
      <c r="HG90" s="924">
        <f t="shared" si="226"/>
        <v>1163.7923552312852</v>
      </c>
      <c r="HH90" s="924">
        <f t="shared" si="226"/>
        <v>-1274.5993455812854</v>
      </c>
      <c r="HI90" s="924">
        <f t="shared" si="251"/>
        <v>-110.80699035000021</v>
      </c>
      <c r="HK90" s="32">
        <f t="shared" si="319"/>
        <v>-8.3125962443452127E-3</v>
      </c>
      <c r="HL90" s="32">
        <f t="shared" si="319"/>
        <v>-1.1413305288870692E-2</v>
      </c>
      <c r="HM90" s="32">
        <f t="shared" si="319"/>
        <v>-6.4073194943425421E-2</v>
      </c>
      <c r="HN90" s="32">
        <f t="shared" si="319"/>
        <v>-0.23981907530640134</v>
      </c>
      <c r="HO90" s="32">
        <f t="shared" si="268"/>
        <v>-7.8627357126038619E-2</v>
      </c>
      <c r="HP90" s="32">
        <f t="shared" si="268"/>
        <v>-8.3944854330079532E-2</v>
      </c>
      <c r="HQ90" s="32">
        <f t="shared" si="268"/>
        <v>-7.8972227327687841E-2</v>
      </c>
      <c r="HR90" s="32">
        <f t="shared" si="268"/>
        <v>-3.259134894650062E-2</v>
      </c>
      <c r="HS90" s="32">
        <f t="shared" si="268"/>
        <v>-0.14162853342096249</v>
      </c>
      <c r="HU90" s="924">
        <f t="shared" si="320"/>
        <v>-107.56409179000001</v>
      </c>
      <c r="HV90" s="924">
        <f t="shared" si="320"/>
        <v>-156.30390272</v>
      </c>
      <c r="HW90" s="924">
        <f t="shared" si="320"/>
        <v>-232.84695983000003</v>
      </c>
      <c r="HX90" s="924">
        <f t="shared" si="320"/>
        <v>-516.30383025000003</v>
      </c>
      <c r="HY90" s="924">
        <f t="shared" si="320"/>
        <v>-733.21086546999993</v>
      </c>
      <c r="HZ90" s="924">
        <f t="shared" si="320"/>
        <v>-571.88596280000002</v>
      </c>
      <c r="IA90" s="924">
        <f t="shared" si="321"/>
        <v>-706.50635677000014</v>
      </c>
      <c r="IB90" s="924">
        <f t="shared" si="322"/>
        <v>-765.36502337999991</v>
      </c>
      <c r="IC90" s="924">
        <f t="shared" si="323"/>
        <v>-1067.4780704900002</v>
      </c>
      <c r="ID90" s="924">
        <f t="shared" si="253"/>
        <v>-265.06803202863858</v>
      </c>
      <c r="IE90" s="924">
        <f t="shared" si="324"/>
        <v>-149.42276717999999</v>
      </c>
      <c r="IG90" s="924">
        <f t="shared" si="254"/>
        <v>-1067.4780704900002</v>
      </c>
      <c r="IH90" s="924">
        <f t="shared" si="254"/>
        <v>-265.06803202863858</v>
      </c>
      <c r="II90" s="145"/>
      <c r="IJ90" s="927">
        <f t="shared" si="325"/>
        <v>4.0271852562540147</v>
      </c>
      <c r="IK90" s="928">
        <f t="shared" si="275"/>
        <v>-802.41003846136164</v>
      </c>
      <c r="IM90" s="32">
        <f t="shared" si="326"/>
        <v>-0.16416212930606291</v>
      </c>
      <c r="IN90" s="929">
        <f t="shared" si="327"/>
        <v>-3.7540065792493513E-2</v>
      </c>
      <c r="IP90" s="32">
        <f t="shared" si="278"/>
        <v>0.48970662778086793</v>
      </c>
      <c r="IQ90" s="32">
        <f t="shared" si="278"/>
        <v>1.2173526793175653</v>
      </c>
      <c r="IR90" s="32">
        <f t="shared" si="278"/>
        <v>0.42011509989180418</v>
      </c>
      <c r="IS90" s="32">
        <f t="shared" si="278"/>
        <v>-0.22002524821640235</v>
      </c>
      <c r="IT90" s="32">
        <f t="shared" si="278"/>
        <v>0.23539726925782145</v>
      </c>
      <c r="IU90" s="32">
        <f t="shared" si="278"/>
        <v>8.330946501187797E-2</v>
      </c>
      <c r="IV90" s="32">
        <f>+IFERROR(IE90/IB90-1,"NA")</f>
        <v>-0.80476927659939279</v>
      </c>
      <c r="IX90" s="924">
        <f t="shared" si="279"/>
        <v>-76.543057110000035</v>
      </c>
      <c r="IY90" s="924">
        <f t="shared" si="279"/>
        <v>-283.45687041999997</v>
      </c>
      <c r="IZ90" s="924">
        <f t="shared" si="279"/>
        <v>-216.9070352199999</v>
      </c>
      <c r="JA90" s="924">
        <f t="shared" si="279"/>
        <v>161.32490266999991</v>
      </c>
      <c r="JB90" s="924">
        <f t="shared" si="279"/>
        <v>-134.62039397000012</v>
      </c>
      <c r="JC90" s="924">
        <f t="shared" si="279"/>
        <v>-58.858666609999773</v>
      </c>
      <c r="JD90" s="924">
        <f t="shared" si="328"/>
        <v>615.94225619999997</v>
      </c>
      <c r="JF90" s="32">
        <f t="shared" si="329"/>
        <v>-6.724997743207387E-3</v>
      </c>
      <c r="JG90" s="32">
        <f t="shared" si="329"/>
        <v>-9.1666696463009283E-3</v>
      </c>
      <c r="JH90" s="32">
        <f t="shared" si="329"/>
        <v>-1.4324397559345911E-2</v>
      </c>
      <c r="JI90" s="32">
        <f t="shared" si="329"/>
        <v>-5.5195611992973737E-2</v>
      </c>
      <c r="JJ90" s="32">
        <f t="shared" si="329"/>
        <v>-0.36539505387995536</v>
      </c>
      <c r="JK90" s="32">
        <f t="shared" si="329"/>
        <v>-8.2388716909049267E-2</v>
      </c>
      <c r="JL90" s="32">
        <f t="shared" si="329"/>
        <v>-0.13356883859636509</v>
      </c>
      <c r="JM90" s="32">
        <f t="shared" ref="JM90:JM95" si="342">+IE90/IE$11</f>
        <v>-2.1913715983265962E-2</v>
      </c>
      <c r="JO90" s="924">
        <f t="shared" si="330"/>
        <v>-13.215792500000006</v>
      </c>
      <c r="JP90" s="924">
        <f t="shared" si="330"/>
        <v>-27.73775882000001</v>
      </c>
      <c r="JQ90" s="924">
        <f t="shared" si="330"/>
        <v>-45.583921500000002</v>
      </c>
      <c r="JR90" s="924">
        <f t="shared" si="330"/>
        <v>-99.813044910000002</v>
      </c>
      <c r="JS90" s="924">
        <f t="shared" si="330"/>
        <v>-180.70420322999999</v>
      </c>
      <c r="JT90" s="924">
        <f t="shared" si="331"/>
        <v>-69.132220619999998</v>
      </c>
      <c r="JU90" s="924">
        <f t="shared" si="332"/>
        <v>-69.278432359999996</v>
      </c>
      <c r="JV90" s="924">
        <f t="shared" si="332"/>
        <v>-196.14801193</v>
      </c>
      <c r="JW90" s="924">
        <f t="shared" si="333"/>
        <v>-159.84966846</v>
      </c>
      <c r="JX90" s="924">
        <f t="shared" si="334"/>
        <v>-42.486407765468449</v>
      </c>
      <c r="JY90" s="924">
        <f t="shared" si="335"/>
        <v>-0.52565324999999996</v>
      </c>
      <c r="KB90" s="32">
        <f t="shared" si="336"/>
        <v>0.6433887754165708</v>
      </c>
      <c r="KC90" s="32">
        <f t="shared" si="336"/>
        <v>1.1896546331583164</v>
      </c>
      <c r="KD90" s="32">
        <f t="shared" si="336"/>
        <v>0.81042671719852244</v>
      </c>
      <c r="KE90" s="32">
        <f t="shared" si="336"/>
        <v>-0.61742881801145133</v>
      </c>
      <c r="KF90" s="32">
        <f t="shared" si="336"/>
        <v>2.1149579557653286E-3</v>
      </c>
      <c r="KG90" s="32">
        <f t="shared" si="336"/>
        <v>1.8312998035338341</v>
      </c>
      <c r="KH90" s="32">
        <f t="shared" si="337"/>
        <v>-0.99732011940968546</v>
      </c>
      <c r="KJ90" s="924">
        <f t="shared" si="338"/>
        <v>-17.846162679999992</v>
      </c>
      <c r="KK90" s="924">
        <f t="shared" si="338"/>
        <v>-54.22912341</v>
      </c>
      <c r="KL90" s="924">
        <f t="shared" si="338"/>
        <v>-80.891158319999988</v>
      </c>
      <c r="KM90" s="924">
        <f t="shared" si="338"/>
        <v>111.57198260999999</v>
      </c>
      <c r="KN90" s="924">
        <f t="shared" si="338"/>
        <v>-0.14621173999999826</v>
      </c>
      <c r="KO90" s="924">
        <f t="shared" si="338"/>
        <v>-126.86957957</v>
      </c>
      <c r="KP90" s="924">
        <f t="shared" si="339"/>
        <v>195.62235867999999</v>
      </c>
      <c r="KR90" s="32">
        <f t="shared" si="340"/>
        <v>-4.1224332085811211E-3</v>
      </c>
      <c r="KS90" s="32">
        <f t="shared" si="340"/>
        <v>-8.2473184507227369E-3</v>
      </c>
      <c r="KT90" s="32">
        <f t="shared" si="340"/>
        <v>-1.8168648359808578E-2</v>
      </c>
      <c r="KU90" s="32">
        <f t="shared" si="340"/>
        <v>-0.11156446240469432</v>
      </c>
      <c r="KV90" s="32">
        <f t="shared" si="340"/>
        <v>-0.57909850176120026</v>
      </c>
      <c r="KW90" s="32">
        <f t="shared" si="340"/>
        <v>-6.8176301193006036E-2</v>
      </c>
      <c r="KX90" s="32">
        <f t="shared" si="340"/>
        <v>-7.8981459030379952E-2</v>
      </c>
      <c r="KY90" s="32">
        <f t="shared" si="340"/>
        <v>-0.12819169083570847</v>
      </c>
      <c r="KZ90" s="32">
        <f t="shared" si="306"/>
        <v>-1.4343096525263512E-3</v>
      </c>
    </row>
    <row r="91" spans="1:312" outlineLevel="1">
      <c r="A91" s="884"/>
      <c r="B91" s="70"/>
      <c r="C91" s="186" t="s">
        <v>99</v>
      </c>
      <c r="D91" s="307" t="s">
        <v>59</v>
      </c>
      <c r="E91" s="931">
        <v>-6.8609876299999994</v>
      </c>
      <c r="F91" s="931">
        <v>-3.4979203099999996</v>
      </c>
      <c r="G91" s="931">
        <v>-7.4410792200000007</v>
      </c>
      <c r="H91" s="931">
        <v>-2.9269106800000007</v>
      </c>
      <c r="I91" s="931">
        <v>-3.4567206200000009</v>
      </c>
      <c r="J91" s="931">
        <v>4.5828252100000002</v>
      </c>
      <c r="K91" s="931">
        <v>-2.8741506699999979</v>
      </c>
      <c r="L91" s="931">
        <v>-9.2547876200000019</v>
      </c>
      <c r="M91" s="931">
        <v>-2.6919636000000002</v>
      </c>
      <c r="N91" s="931">
        <v>-274.45472861999997</v>
      </c>
      <c r="O91" s="931">
        <v>65.525867040000009</v>
      </c>
      <c r="P91" s="931">
        <v>-11.303862880000015</v>
      </c>
      <c r="Q91" s="931">
        <v>-1.7664671699999999</v>
      </c>
      <c r="R91" s="931">
        <v>-3.3483557100000008</v>
      </c>
      <c r="S91" s="931">
        <v>-24.283255560000001</v>
      </c>
      <c r="T91" s="931">
        <v>-23.496327610000002</v>
      </c>
      <c r="U91" s="931">
        <v>-12.254021019999996</v>
      </c>
      <c r="V91" s="931">
        <v>-11.730257129999998</v>
      </c>
      <c r="W91" s="931">
        <v>-10.684855780000007</v>
      </c>
      <c r="X91" s="931">
        <v>-2.7140044399999965</v>
      </c>
      <c r="Y91" s="931">
        <v>-6.2905473900000075</v>
      </c>
      <c r="Z91" s="931">
        <v>-28.50441185999999</v>
      </c>
      <c r="AA91" s="931">
        <v>-137.57592983000001</v>
      </c>
      <c r="AB91" s="931">
        <v>-114.84841162999999</v>
      </c>
      <c r="AC91" s="931">
        <v>-1.1910547799999998</v>
      </c>
      <c r="AD91" s="931">
        <v>-3.8644648900000003</v>
      </c>
      <c r="AE91" s="931">
        <v>-19.307623349999997</v>
      </c>
      <c r="AF91" s="931">
        <v>-104.24647308999999</v>
      </c>
      <c r="AG91" s="931">
        <v>-0.47379789</v>
      </c>
      <c r="AH91" s="931">
        <v>0.51398697999999998</v>
      </c>
      <c r="AI91" s="931">
        <v>-4.7360849599999995</v>
      </c>
      <c r="AJ91" s="931">
        <v>-8.509158450000001</v>
      </c>
      <c r="AK91" s="931">
        <v>-1.66170715</v>
      </c>
      <c r="AL91" s="931">
        <v>-0.61103978000000003</v>
      </c>
      <c r="AM91" s="931">
        <v>-209.14040488999999</v>
      </c>
      <c r="AN91" s="931">
        <v>-1272.3972759899998</v>
      </c>
      <c r="AO91" s="931">
        <f t="shared" ref="AO91:AY91" si="343">SUM(AO92:AO95)</f>
        <v>-1.4485279599999998</v>
      </c>
      <c r="AP91" s="931">
        <f t="shared" si="343"/>
        <v>-15.655235599999999</v>
      </c>
      <c r="AQ91" s="931">
        <f t="shared" si="343"/>
        <v>-69.625587029999991</v>
      </c>
      <c r="AR91" s="931">
        <f t="shared" si="343"/>
        <v>-190.35818603000001</v>
      </c>
      <c r="AS91" s="931">
        <f t="shared" si="343"/>
        <v>-40.346034899999999</v>
      </c>
      <c r="AT91" s="931">
        <f t="shared" si="343"/>
        <v>-3365.4061697299999</v>
      </c>
      <c r="AU91" s="931">
        <f t="shared" si="343"/>
        <v>32.222252940000004</v>
      </c>
      <c r="AV91" s="931">
        <f t="shared" si="343"/>
        <v>-2.4042174000000003</v>
      </c>
      <c r="AW91" s="931">
        <f t="shared" si="343"/>
        <v>-168.57549866000002</v>
      </c>
      <c r="AX91" s="931">
        <f t="shared" si="343"/>
        <v>-5.9502967499999997</v>
      </c>
      <c r="AY91" s="931">
        <f t="shared" si="343"/>
        <v>-0.64481621</v>
      </c>
      <c r="AZ91" s="931">
        <f>SUM(AZ92:AZ95)</f>
        <v>-687.55183581999904</v>
      </c>
      <c r="BA91" s="933">
        <v>-7.3444919999999998</v>
      </c>
      <c r="BB91" s="933">
        <v>-7.6058700000000004</v>
      </c>
      <c r="BC91" s="933">
        <v>-5.5314008499999998</v>
      </c>
      <c r="BD91" s="933">
        <v>-250.30500180000001</v>
      </c>
      <c r="BE91" s="933">
        <v>-42.605858639999951</v>
      </c>
      <c r="BF91" s="933">
        <v>-13.417595889999999</v>
      </c>
      <c r="BG91" s="933">
        <v>-161.42582910000002</v>
      </c>
      <c r="BH91" s="933">
        <v>-61.343886239999996</v>
      </c>
      <c r="BI91" s="933">
        <v>-10.206560710000002</v>
      </c>
      <c r="BJ91" s="933">
        <v>-1.6931633400000001</v>
      </c>
      <c r="BK91" s="933">
        <v>-264.74442763999997</v>
      </c>
      <c r="BL91" s="933">
        <v>-267.845777</v>
      </c>
      <c r="BM91" s="931">
        <f t="shared" ref="BM91:DH91" si="344">SUM(BM92:BM95)</f>
        <v>-0.33650450000000004</v>
      </c>
      <c r="BN91" s="931">
        <f t="shared" si="344"/>
        <v>-0.25962288</v>
      </c>
      <c r="BO91" s="931">
        <f t="shared" si="344"/>
        <v>-1.02487525</v>
      </c>
      <c r="BP91" s="931">
        <f t="shared" si="344"/>
        <v>-0.15396109999999999</v>
      </c>
      <c r="BQ91" s="931">
        <f t="shared" si="344"/>
        <v>-5.4749037600000001</v>
      </c>
      <c r="BR91" s="931">
        <f t="shared" si="344"/>
        <v>-2.7111426400000003</v>
      </c>
      <c r="BS91" s="931">
        <f t="shared" si="344"/>
        <v>-0.90674996000000008</v>
      </c>
      <c r="BT91" s="931">
        <f t="shared" si="344"/>
        <v>-3.3123503699999999</v>
      </c>
      <c r="BU91" s="931">
        <f t="shared" si="344"/>
        <v>-2.8710630700000004</v>
      </c>
      <c r="BV91" s="931">
        <f t="shared" si="344"/>
        <v>-0.50490656</v>
      </c>
      <c r="BW91" s="931">
        <f t="shared" si="344"/>
        <v>-93.319509500000009</v>
      </c>
      <c r="BX91" s="931">
        <f t="shared" si="344"/>
        <v>-130.94995152999999</v>
      </c>
      <c r="BY91" s="931">
        <f t="shared" si="344"/>
        <v>-0.47706600999999998</v>
      </c>
      <c r="BZ91" s="931">
        <f t="shared" si="344"/>
        <v>-0.68921124999999994</v>
      </c>
      <c r="CA91" s="931">
        <f t="shared" si="344"/>
        <v>-3.3382518700000001</v>
      </c>
      <c r="CB91" s="931">
        <f t="shared" si="344"/>
        <v>-0.19676385999999998</v>
      </c>
      <c r="CC91" s="931">
        <f t="shared" si="344"/>
        <v>-3.0120641400000001</v>
      </c>
      <c r="CD91" s="931">
        <f t="shared" si="344"/>
        <v>-0.13826176000000001</v>
      </c>
      <c r="CE91" s="931">
        <f t="shared" si="344"/>
        <v>-0.34035676999999998</v>
      </c>
      <c r="CF91" s="931">
        <f t="shared" si="344"/>
        <v>-11.69560102</v>
      </c>
      <c r="CG91" s="931">
        <f t="shared" si="344"/>
        <v>-1.4900250899999998</v>
      </c>
      <c r="CH91" s="931">
        <f t="shared" si="344"/>
        <v>-0.80078604999999992</v>
      </c>
      <c r="CI91" s="931">
        <f t="shared" si="344"/>
        <v>1.71231592</v>
      </c>
      <c r="CJ91" s="931">
        <f t="shared" si="344"/>
        <v>-5.8367433599999998</v>
      </c>
      <c r="CK91" s="931">
        <f t="shared" si="344"/>
        <v>1.3004219999999999E-2</v>
      </c>
      <c r="CL91" s="931">
        <f t="shared" si="344"/>
        <v>-1.35955651</v>
      </c>
      <c r="CM91" s="931">
        <f t="shared" si="344"/>
        <v>-2.88593945</v>
      </c>
      <c r="CN91" s="931">
        <f t="shared" si="344"/>
        <v>-27.680392910000002</v>
      </c>
      <c r="CO91" s="931">
        <f t="shared" si="344"/>
        <v>-4.61350353</v>
      </c>
      <c r="CP91" s="931">
        <f t="shared" si="344"/>
        <v>-1.42380222</v>
      </c>
      <c r="CQ91" s="931">
        <f t="shared" si="344"/>
        <v>-11.11517832</v>
      </c>
      <c r="CR91" s="931">
        <f t="shared" si="344"/>
        <v>-1.1768814000000001</v>
      </c>
      <c r="CS91" s="931">
        <f t="shared" si="344"/>
        <v>-77.365391390000013</v>
      </c>
      <c r="CT91" s="931">
        <f t="shared" si="344"/>
        <v>-2.61947565</v>
      </c>
      <c r="CU91" s="931">
        <f t="shared" si="344"/>
        <v>-5.1547432099999995</v>
      </c>
      <c r="CV91" s="931">
        <f t="shared" si="344"/>
        <v>-74.147477559999999</v>
      </c>
      <c r="CW91" s="931">
        <f t="shared" si="344"/>
        <v>-2.4410111800000003</v>
      </c>
      <c r="CX91" s="931">
        <f t="shared" si="344"/>
        <v>-5.2251128600000003</v>
      </c>
      <c r="CY91" s="931">
        <f t="shared" si="344"/>
        <v>-63.931412950000002</v>
      </c>
      <c r="CZ91" s="931">
        <f t="shared" si="344"/>
        <v>-3.0569573000000001</v>
      </c>
      <c r="DA91" s="931">
        <f t="shared" si="344"/>
        <v>-187.60303615000001</v>
      </c>
      <c r="DB91" s="931">
        <f t="shared" si="344"/>
        <v>-68.440291090000002</v>
      </c>
      <c r="DC91" s="931">
        <f t="shared" si="344"/>
        <v>-62.692944850000003</v>
      </c>
      <c r="DD91" s="931">
        <f t="shared" si="344"/>
        <v>5.0280447499999994</v>
      </c>
      <c r="DE91" s="931">
        <f t="shared" si="344"/>
        <v>-27.286507720000003</v>
      </c>
      <c r="DF91" s="931">
        <f t="shared" si="344"/>
        <v>-0.50845870000000004</v>
      </c>
      <c r="DG91" s="931">
        <f t="shared" si="344"/>
        <v>-3.32033136</v>
      </c>
      <c r="DH91" s="931">
        <f t="shared" si="344"/>
        <v>-3.5910078200000002</v>
      </c>
      <c r="DJ91" s="931">
        <f t="shared" ref="DJ91:DU91" si="345">SUM(DJ92:DJ95)</f>
        <v>-26.313564050000011</v>
      </c>
      <c r="DK91" s="931">
        <f t="shared" si="345"/>
        <v>0.42628191000000015</v>
      </c>
      <c r="DL91" s="931">
        <f t="shared" si="345"/>
        <v>379.24554677999998</v>
      </c>
      <c r="DM91" s="931">
        <f>SUM(DM92:DM95)</f>
        <v>-203.10162938000005</v>
      </c>
      <c r="DN91" s="931">
        <f t="shared" si="345"/>
        <v>-278.56087315999997</v>
      </c>
      <c r="DO91" s="931">
        <f t="shared" si="345"/>
        <v>-5.8386807199999984</v>
      </c>
      <c r="DP91" s="931">
        <f t="shared" si="345"/>
        <v>-39.820681739999998</v>
      </c>
      <c r="DQ91" s="931">
        <f t="shared" si="345"/>
        <v>23.711159890000005</v>
      </c>
      <c r="DR91" s="931">
        <f t="shared" si="345"/>
        <v>72.935100019999993</v>
      </c>
      <c r="DS91" s="931">
        <f t="shared" si="345"/>
        <v>-8.4125812100000008</v>
      </c>
      <c r="DT91" s="931">
        <f t="shared" si="345"/>
        <v>6.4378214199999952</v>
      </c>
      <c r="DU91" s="931">
        <f t="shared" si="345"/>
        <v>6.4378214200000023</v>
      </c>
      <c r="DW91" s="931">
        <v>-25.2</v>
      </c>
      <c r="DX91" s="931">
        <v>-27.2</v>
      </c>
      <c r="DY91" s="931">
        <v>-27.2</v>
      </c>
      <c r="DZ91" s="931">
        <v>-27.2</v>
      </c>
      <c r="EA91" s="931">
        <v>-25.2</v>
      </c>
      <c r="EB91" s="931">
        <v>-25.2</v>
      </c>
      <c r="EC91" s="931">
        <v>-25.2</v>
      </c>
      <c r="ED91" s="931">
        <v>-25.2</v>
      </c>
      <c r="EE91" s="931">
        <v>-25.2</v>
      </c>
      <c r="EF91" s="931">
        <v>-25.2</v>
      </c>
      <c r="EG91" s="931">
        <v>-25.2</v>
      </c>
      <c r="EH91" s="931">
        <v>-25.2</v>
      </c>
      <c r="EI91" s="931">
        <f>SUM(EI92:EI95)</f>
        <v>-32.678594928999999</v>
      </c>
      <c r="EJ91" s="931">
        <f t="shared" ref="EJ91:GD91" si="346">SUM(EJ92:EJ95)</f>
        <v>-26.648297782199986</v>
      </c>
      <c r="EK91" s="931">
        <f t="shared" si="346"/>
        <v>-761.82406006475992</v>
      </c>
      <c r="EL91" s="931">
        <f t="shared" si="346"/>
        <v>-80.716604070807989</v>
      </c>
      <c r="EM91" s="931">
        <f t="shared" si="346"/>
        <v>-14.877157751646399</v>
      </c>
      <c r="EN91" s="931">
        <f t="shared" si="346"/>
        <v>-12.407148040317118</v>
      </c>
      <c r="EO91" s="931">
        <f t="shared" si="346"/>
        <v>-10.431140271253652</v>
      </c>
      <c r="EP91" s="931">
        <f t="shared" si="346"/>
        <v>-8.8503340560029589</v>
      </c>
      <c r="EQ91" s="931">
        <f t="shared" si="346"/>
        <v>-2.527109195</v>
      </c>
      <c r="ER91" s="931">
        <f t="shared" si="346"/>
        <v>-22.761428750209475</v>
      </c>
      <c r="ES91" s="931">
        <f t="shared" si="346"/>
        <v>-2.527109195</v>
      </c>
      <c r="ET91" s="931">
        <f t="shared" si="346"/>
        <v>-2.527109195</v>
      </c>
      <c r="EU91" s="931">
        <f t="shared" si="346"/>
        <v>-8.9347232200000004</v>
      </c>
      <c r="EV91" s="931">
        <f t="shared" si="346"/>
        <v>-8.9347232200000004</v>
      </c>
      <c r="EW91" s="931">
        <f t="shared" si="346"/>
        <v>-8.9347232200000004</v>
      </c>
      <c r="EX91" s="931">
        <f t="shared" si="346"/>
        <v>-8.9347232200000004</v>
      </c>
      <c r="EY91" s="931">
        <f t="shared" si="346"/>
        <v>-8.9347232200000004</v>
      </c>
      <c r="EZ91" s="931">
        <f t="shared" si="346"/>
        <v>-8.9347232200000004</v>
      </c>
      <c r="FA91" s="931">
        <f t="shared" si="346"/>
        <v>-8.9347232200000004</v>
      </c>
      <c r="FB91" s="931">
        <f t="shared" si="346"/>
        <v>-8.9347232200000004</v>
      </c>
      <c r="FC91" s="931">
        <f t="shared" si="346"/>
        <v>-8.9347232200000004</v>
      </c>
      <c r="FD91" s="931">
        <f t="shared" si="346"/>
        <v>-8.9347232200000004</v>
      </c>
      <c r="FE91" s="931">
        <f t="shared" si="346"/>
        <v>-8.9347232200000004</v>
      </c>
      <c r="FF91" s="931">
        <f t="shared" si="346"/>
        <v>-8.9347232200000004</v>
      </c>
      <c r="FG91" s="931">
        <f t="shared" si="346"/>
        <v>-27.45</v>
      </c>
      <c r="FH91" s="931">
        <f t="shared" si="346"/>
        <v>-27.45</v>
      </c>
      <c r="FI91" s="931">
        <f t="shared" si="346"/>
        <v>-27.449999999999992</v>
      </c>
      <c r="FJ91" s="931">
        <f t="shared" si="346"/>
        <v>-20.45</v>
      </c>
      <c r="FK91" s="931">
        <f t="shared" si="346"/>
        <v>-27.449999999999992</v>
      </c>
      <c r="FL91" s="931">
        <f t="shared" si="346"/>
        <v>-20.45</v>
      </c>
      <c r="FM91" s="931">
        <f t="shared" si="346"/>
        <v>-27.45</v>
      </c>
      <c r="FN91" s="931">
        <f t="shared" si="346"/>
        <v>-20.45</v>
      </c>
      <c r="FO91" s="931">
        <f t="shared" si="346"/>
        <v>-20.45</v>
      </c>
      <c r="FP91" s="931">
        <f t="shared" si="346"/>
        <v>-27.45</v>
      </c>
      <c r="FQ91" s="931">
        <f t="shared" si="346"/>
        <v>-27.45</v>
      </c>
      <c r="FR91" s="931">
        <f t="shared" si="346"/>
        <v>-27.45</v>
      </c>
      <c r="FS91" s="931">
        <f t="shared" si="346"/>
        <v>-27.45</v>
      </c>
      <c r="FT91" s="931">
        <f t="shared" si="346"/>
        <v>-27.45</v>
      </c>
      <c r="FU91" s="931">
        <f t="shared" si="346"/>
        <v>-27.449999999999992</v>
      </c>
      <c r="FV91" s="931">
        <f t="shared" si="346"/>
        <v>-20.45</v>
      </c>
      <c r="FW91" s="931">
        <f t="shared" si="346"/>
        <v>-27.449999999999992</v>
      </c>
      <c r="FX91" s="931">
        <f t="shared" si="346"/>
        <v>-20.45</v>
      </c>
      <c r="FY91" s="931">
        <f t="shared" si="346"/>
        <v>-27.45</v>
      </c>
      <c r="FZ91" s="931">
        <f t="shared" si="346"/>
        <v>-20.45</v>
      </c>
      <c r="GA91" s="931">
        <f t="shared" si="346"/>
        <v>-20.45</v>
      </c>
      <c r="GB91" s="931">
        <f t="shared" si="346"/>
        <v>-27.45</v>
      </c>
      <c r="GC91" s="931">
        <f t="shared" si="346"/>
        <v>-27.45</v>
      </c>
      <c r="GD91" s="931">
        <f t="shared" si="346"/>
        <v>-27.45</v>
      </c>
      <c r="GF91" s="931">
        <f t="shared" si="316"/>
        <v>-254.65441959999998</v>
      </c>
      <c r="GG91" s="931">
        <f t="shared" si="316"/>
        <v>-377.49684513</v>
      </c>
      <c r="GH91" s="931">
        <f t="shared" si="316"/>
        <v>-1625.6250982399997</v>
      </c>
      <c r="GI91" s="931">
        <f t="shared" si="316"/>
        <v>-4515.744153149999</v>
      </c>
      <c r="GJ91" s="931">
        <f>+SUMIF($E$6:$BL$6,GJ$7,$E91:$BL91)</f>
        <v>-1094.0698632099998</v>
      </c>
      <c r="GK91" s="931">
        <f t="shared" si="265"/>
        <v>-241.82554112</v>
      </c>
      <c r="GL91" s="931">
        <f t="shared" si="256"/>
        <v>-26.302815260000003</v>
      </c>
      <c r="GM91" s="931">
        <f t="shared" si="257"/>
        <v>-209.52933793</v>
      </c>
      <c r="GN91" s="931">
        <f t="shared" si="258"/>
        <v>-301.39999999999992</v>
      </c>
      <c r="GO91" s="931">
        <v>-423.06902723000007</v>
      </c>
      <c r="GQ91" s="934">
        <f t="shared" si="317"/>
        <v>3.3063276401162431</v>
      </c>
      <c r="GR91" s="934">
        <f t="shared" si="317"/>
        <v>1.7778509067305968</v>
      </c>
      <c r="GS91" s="934">
        <f t="shared" si="317"/>
        <v>-0.75772102534931673</v>
      </c>
      <c r="GT91" s="934">
        <f t="shared" si="317"/>
        <v>-0.7789670027008293</v>
      </c>
      <c r="GU91" s="934">
        <f t="shared" si="317"/>
        <v>-0.89123226960154767</v>
      </c>
      <c r="GV91" s="934">
        <f t="shared" si="317"/>
        <v>6.9660422604511716</v>
      </c>
      <c r="GW91" s="934">
        <f t="shared" si="266"/>
        <v>0.43846204535181732</v>
      </c>
      <c r="GX91" s="934">
        <f t="shared" si="266"/>
        <v>0.40367958603185206</v>
      </c>
      <c r="GY91" s="934">
        <f t="shared" si="249"/>
        <v>1.0191398083419703</v>
      </c>
      <c r="HA91" s="931">
        <f t="shared" si="318"/>
        <v>-1248.1282531099996</v>
      </c>
      <c r="HB91" s="931">
        <f t="shared" si="318"/>
        <v>-2890.1190549099992</v>
      </c>
      <c r="HC91" s="931">
        <f t="shared" si="318"/>
        <v>3421.6742899399992</v>
      </c>
      <c r="HD91" s="931">
        <f t="shared" si="267"/>
        <v>852.24432208999974</v>
      </c>
      <c r="HE91" s="931">
        <f t="shared" si="226"/>
        <v>215.52272585999998</v>
      </c>
      <c r="HF91" s="931">
        <f t="shared" si="226"/>
        <v>-183.22652267000001</v>
      </c>
      <c r="HG91" s="931">
        <f t="shared" si="226"/>
        <v>-91.870662069999923</v>
      </c>
      <c r="HH91" s="931">
        <f t="shared" si="226"/>
        <v>-121.66902723000015</v>
      </c>
      <c r="HI91" s="931">
        <f t="shared" si="251"/>
        <v>-213.53968930000008</v>
      </c>
      <c r="HK91" s="230">
        <f t="shared" si="319"/>
        <v>-1.0270547347450329E-2</v>
      </c>
      <c r="HL91" s="230">
        <f t="shared" si="319"/>
        <v>-4.1277349777897057E-2</v>
      </c>
      <c r="HM91" s="230">
        <f t="shared" si="319"/>
        <v>-0.26795242585610785</v>
      </c>
      <c r="HN91" s="230">
        <f t="shared" si="319"/>
        <v>-0.17783892999416079</v>
      </c>
      <c r="HO91" s="230">
        <f t="shared" si="268"/>
        <v>-1.7743695385238054E-2</v>
      </c>
      <c r="HP91" s="230">
        <f t="shared" si="268"/>
        <v>-1.8587860745931425E-3</v>
      </c>
      <c r="HQ91" s="230">
        <f t="shared" si="268"/>
        <v>-9.8697948106180409E-3</v>
      </c>
      <c r="HR91" s="230">
        <f t="shared" si="268"/>
        <v>-1.9158041818788975E-2</v>
      </c>
      <c r="HS91" s="230">
        <f t="shared" si="268"/>
        <v>-3.3523994273494825E-2</v>
      </c>
      <c r="HU91" s="931">
        <f t="shared" si="320"/>
        <v>-19.600793250000002</v>
      </c>
      <c r="HV91" s="931">
        <f t="shared" si="320"/>
        <v>-76.878684199999995</v>
      </c>
      <c r="HW91" s="931">
        <f t="shared" si="320"/>
        <v>-128.56942701999998</v>
      </c>
      <c r="HX91" s="931">
        <f t="shared" si="320"/>
        <v>-3682.8397412499999</v>
      </c>
      <c r="HY91" s="931">
        <f t="shared" si="320"/>
        <v>-326.81021917999993</v>
      </c>
      <c r="HZ91" s="931">
        <f t="shared" si="320"/>
        <v>-9.96101013</v>
      </c>
      <c r="IA91" s="931">
        <f t="shared" si="321"/>
        <v>-7.8516188900000001</v>
      </c>
      <c r="IB91" s="931">
        <f t="shared" si="322"/>
        <v>-37.950190400000004</v>
      </c>
      <c r="IC91" s="931">
        <f t="shared" si="323"/>
        <v>-330.69782153</v>
      </c>
      <c r="ID91" s="931">
        <f t="shared" si="253"/>
        <v>-150.69999999999999</v>
      </c>
      <c r="IE91" s="931">
        <f t="shared" si="324"/>
        <v>-134.14291862000005</v>
      </c>
      <c r="IG91" s="931">
        <f t="shared" si="254"/>
        <v>-330.69782153</v>
      </c>
      <c r="IH91" s="931">
        <f t="shared" si="254"/>
        <v>-150.69999999999999</v>
      </c>
      <c r="II91" s="145"/>
      <c r="IJ91" s="934">
        <f t="shared" si="325"/>
        <v>2.1944115562707367</v>
      </c>
      <c r="IK91" s="935">
        <f t="shared" si="275"/>
        <v>-179.99782153000001</v>
      </c>
      <c r="IM91" s="230">
        <f t="shared" si="326"/>
        <v>-5.0856368894137138E-2</v>
      </c>
      <c r="IN91" s="934">
        <f t="shared" si="327"/>
        <v>-2.1342777066068627E-2</v>
      </c>
      <c r="IP91" s="230">
        <f t="shared" si="278"/>
        <v>0.67236768368103772</v>
      </c>
      <c r="IQ91" s="230">
        <f t="shared" si="278"/>
        <v>27.644755029336061</v>
      </c>
      <c r="IR91" s="230">
        <f t="shared" si="278"/>
        <v>-0.91126135207037906</v>
      </c>
      <c r="IS91" s="230">
        <f t="shared" si="278"/>
        <v>-0.96952050595298644</v>
      </c>
      <c r="IT91" s="230">
        <f t="shared" si="278"/>
        <v>-0.21176479217173527</v>
      </c>
      <c r="IU91" s="230">
        <f t="shared" si="278"/>
        <v>3.8334223720835743</v>
      </c>
      <c r="IV91" s="230">
        <f>+IFERROR(IE91/IB91-1,"NA")</f>
        <v>2.5347100292809079</v>
      </c>
      <c r="IX91" s="931">
        <f t="shared" si="279"/>
        <v>-51.690742819999983</v>
      </c>
      <c r="IY91" s="931">
        <f t="shared" si="279"/>
        <v>-3554.2703142299997</v>
      </c>
      <c r="IZ91" s="931">
        <f t="shared" si="279"/>
        <v>3356.02952207</v>
      </c>
      <c r="JA91" s="931">
        <f t="shared" si="279"/>
        <v>316.84920904999996</v>
      </c>
      <c r="JB91" s="931">
        <f t="shared" si="279"/>
        <v>2.1093912399999999</v>
      </c>
      <c r="JC91" s="931">
        <f t="shared" si="279"/>
        <v>-30.098571510000003</v>
      </c>
      <c r="JD91" s="931">
        <f t="shared" si="328"/>
        <v>-96.192728220000049</v>
      </c>
      <c r="JF91" s="230">
        <f t="shared" si="329"/>
        <v>-1.2254581261995016E-3</v>
      </c>
      <c r="JG91" s="230">
        <f t="shared" si="329"/>
        <v>-4.5086622191777273E-3</v>
      </c>
      <c r="JH91" s="230">
        <f t="shared" si="329"/>
        <v>-7.9093993237291452E-3</v>
      </c>
      <c r="JI91" s="230">
        <f t="shared" si="329"/>
        <v>-0.39371505977770876</v>
      </c>
      <c r="JJ91" s="230">
        <f t="shared" si="329"/>
        <v>-0.16286561379481096</v>
      </c>
      <c r="JK91" s="230">
        <f t="shared" si="329"/>
        <v>-1.4350323265684849E-3</v>
      </c>
      <c r="JL91" s="230">
        <f t="shared" si="329"/>
        <v>-1.4843909133856401E-3</v>
      </c>
      <c r="JM91" s="230">
        <f t="shared" si="342"/>
        <v>-1.9672837515208975E-2</v>
      </c>
      <c r="JO91" s="931">
        <f t="shared" si="330"/>
        <v>4.5828252100000002</v>
      </c>
      <c r="JP91" s="931">
        <f t="shared" si="330"/>
        <v>-11.730257129999998</v>
      </c>
      <c r="JQ91" s="931">
        <f t="shared" si="330"/>
        <v>0.51398697999999998</v>
      </c>
      <c r="JR91" s="931">
        <f t="shared" si="330"/>
        <v>-3365.4061697299999</v>
      </c>
      <c r="JS91" s="931">
        <f t="shared" si="330"/>
        <v>-13.417595889999999</v>
      </c>
      <c r="JT91" s="931">
        <f t="shared" si="331"/>
        <v>-2.7111426400000003</v>
      </c>
      <c r="JU91" s="931">
        <f t="shared" si="332"/>
        <v>-0.13826176000000001</v>
      </c>
      <c r="JV91" s="931">
        <f t="shared" si="332"/>
        <v>-1.42380222</v>
      </c>
      <c r="JW91" s="931">
        <f t="shared" si="333"/>
        <v>-68.440291090000002</v>
      </c>
      <c r="JX91" s="931">
        <f t="shared" si="334"/>
        <v>-20.45</v>
      </c>
      <c r="JY91" s="931">
        <f t="shared" si="335"/>
        <v>-5.8386807199999984</v>
      </c>
      <c r="KB91" s="230">
        <f t="shared" si="336"/>
        <v>-1.0438171963584228</v>
      </c>
      <c r="KC91" s="230">
        <f t="shared" si="336"/>
        <v>-6548.648677268051</v>
      </c>
      <c r="KD91" s="230">
        <f t="shared" si="336"/>
        <v>-0.99601308275634481</v>
      </c>
      <c r="KE91" s="230">
        <f t="shared" si="336"/>
        <v>-0.79794125100901359</v>
      </c>
      <c r="KF91" s="230">
        <f t="shared" si="336"/>
        <v>-0.94900240291303894</v>
      </c>
      <c r="KG91" s="230">
        <f t="shared" si="336"/>
        <v>9.29787426400474</v>
      </c>
      <c r="KH91" s="230">
        <f t="shared" si="337"/>
        <v>3.1007666921603745</v>
      </c>
      <c r="KJ91" s="931">
        <f t="shared" si="338"/>
        <v>12.244244109999999</v>
      </c>
      <c r="KK91" s="931">
        <f t="shared" si="338"/>
        <v>-3365.9201567099999</v>
      </c>
      <c r="KL91" s="931">
        <f t="shared" si="338"/>
        <v>3351.9885738399998</v>
      </c>
      <c r="KM91" s="931">
        <f t="shared" si="338"/>
        <v>10.706453249999999</v>
      </c>
      <c r="KN91" s="931">
        <f t="shared" si="338"/>
        <v>2.5728808800000005</v>
      </c>
      <c r="KO91" s="931">
        <f t="shared" si="338"/>
        <v>-1.28554046</v>
      </c>
      <c r="KP91" s="931">
        <f t="shared" si="339"/>
        <v>-4.4148784999999986</v>
      </c>
      <c r="KR91" s="230">
        <f t="shared" si="340"/>
        <v>1.4295314363347294E-3</v>
      </c>
      <c r="KS91" s="230">
        <f t="shared" si="340"/>
        <v>-3.4877787599124736E-3</v>
      </c>
      <c r="KT91" s="230">
        <f t="shared" si="340"/>
        <v>2.0486277603694018E-4</v>
      </c>
      <c r="KU91" s="230">
        <f t="shared" si="340"/>
        <v>-3.761629859482952</v>
      </c>
      <c r="KV91" s="230">
        <f t="shared" si="340"/>
        <v>-4.2999053360404993E-2</v>
      </c>
      <c r="KW91" s="230">
        <f t="shared" si="340"/>
        <v>-2.6736545643142335E-3</v>
      </c>
      <c r="KX91" s="230">
        <f t="shared" si="340"/>
        <v>-1.5762648144465358E-4</v>
      </c>
      <c r="KY91" s="230">
        <f t="shared" si="340"/>
        <v>-9.3051982633691837E-4</v>
      </c>
      <c r="KZ91" s="230">
        <f t="shared" si="306"/>
        <v>-1.5931559663552929E-2</v>
      </c>
    </row>
    <row r="92" spans="1:312" outlineLevel="2">
      <c r="A92" s="884">
        <v>5310</v>
      </c>
      <c r="B92" s="70" t="s">
        <v>675</v>
      </c>
      <c r="C92" s="80" t="s">
        <v>676</v>
      </c>
      <c r="D92" s="923" t="s">
        <v>59</v>
      </c>
      <c r="E92" s="924">
        <v>0</v>
      </c>
      <c r="F92" s="924">
        <v>0</v>
      </c>
      <c r="G92" s="924">
        <v>0</v>
      </c>
      <c r="H92" s="924">
        <v>0</v>
      </c>
      <c r="I92" s="924">
        <v>0</v>
      </c>
      <c r="J92" s="924">
        <v>0</v>
      </c>
      <c r="K92" s="924">
        <v>0</v>
      </c>
      <c r="L92" s="924">
        <v>-6.9237500000000001</v>
      </c>
      <c r="M92" s="924">
        <v>0</v>
      </c>
      <c r="N92" s="924">
        <v>-18.949435000000001</v>
      </c>
      <c r="O92" s="924">
        <v>0</v>
      </c>
      <c r="P92" s="924">
        <v>-0.51216099999999898</v>
      </c>
      <c r="Q92" s="924">
        <v>0</v>
      </c>
      <c r="R92" s="924">
        <v>0</v>
      </c>
      <c r="S92" s="924">
        <v>0</v>
      </c>
      <c r="T92" s="924">
        <v>0</v>
      </c>
      <c r="U92" s="924">
        <v>0</v>
      </c>
      <c r="V92" s="924">
        <v>0</v>
      </c>
      <c r="W92" s="924">
        <v>0</v>
      </c>
      <c r="X92" s="924">
        <v>0</v>
      </c>
      <c r="Y92" s="924">
        <v>0</v>
      </c>
      <c r="Z92" s="924">
        <v>0</v>
      </c>
      <c r="AA92" s="924">
        <v>-111.92155916999999</v>
      </c>
      <c r="AB92" s="924">
        <v>-57.107515930000005</v>
      </c>
      <c r="AC92" s="924">
        <v>0</v>
      </c>
      <c r="AD92" s="924">
        <v>0</v>
      </c>
      <c r="AE92" s="924">
        <v>0</v>
      </c>
      <c r="AF92" s="924">
        <v>-52.046723999999998</v>
      </c>
      <c r="AG92" s="924">
        <v>0</v>
      </c>
      <c r="AH92" s="924">
        <v>0</v>
      </c>
      <c r="AI92" s="924">
        <v>0</v>
      </c>
      <c r="AJ92" s="924">
        <v>0</v>
      </c>
      <c r="AK92" s="924">
        <v>0</v>
      </c>
      <c r="AL92" s="924">
        <v>0</v>
      </c>
      <c r="AM92" s="924">
        <v>0</v>
      </c>
      <c r="AN92" s="102">
        <v>-971.78108161</v>
      </c>
      <c r="AO92" s="924">
        <v>0</v>
      </c>
      <c r="AP92" s="925">
        <v>0</v>
      </c>
      <c r="AQ92" s="926">
        <v>-13.050967</v>
      </c>
      <c r="AR92" s="926">
        <v>0</v>
      </c>
      <c r="AS92" s="924">
        <v>0</v>
      </c>
      <c r="AT92" s="924">
        <v>-3294.166667</v>
      </c>
      <c r="AU92" s="924">
        <v>0</v>
      </c>
      <c r="AV92" s="924">
        <v>0</v>
      </c>
      <c r="AW92" s="924">
        <v>0</v>
      </c>
      <c r="AX92" s="924">
        <v>0</v>
      </c>
      <c r="AY92" s="924">
        <v>0</v>
      </c>
      <c r="AZ92" s="924">
        <f>-366.314789029999-43</f>
        <v>-409.31478902999902</v>
      </c>
      <c r="BA92" s="102"/>
      <c r="BB92" s="102"/>
      <c r="BC92" s="102"/>
      <c r="BD92" s="102"/>
      <c r="BE92" s="924"/>
      <c r="BF92" s="924"/>
      <c r="BG92" s="924"/>
      <c r="BH92" s="924"/>
      <c r="BI92" s="924"/>
      <c r="BJ92" s="924"/>
      <c r="BK92" s="102"/>
      <c r="BL92" s="924"/>
      <c r="BM92" s="102">
        <v>0</v>
      </c>
      <c r="BN92" s="102">
        <v>0</v>
      </c>
      <c r="BO92" s="102">
        <v>0</v>
      </c>
      <c r="BP92" s="102">
        <v>0</v>
      </c>
      <c r="BQ92" s="924">
        <v>0</v>
      </c>
      <c r="BR92" s="924">
        <v>0</v>
      </c>
      <c r="BS92" s="924">
        <v>0</v>
      </c>
      <c r="BT92" s="924">
        <v>0</v>
      </c>
      <c r="BU92" s="924">
        <v>0</v>
      </c>
      <c r="BV92" s="924">
        <v>0</v>
      </c>
      <c r="BW92" s="102">
        <v>-73.713065</v>
      </c>
      <c r="BX92" s="102">
        <v>0</v>
      </c>
      <c r="BY92" s="102">
        <v>0</v>
      </c>
      <c r="BZ92" s="102">
        <v>0</v>
      </c>
      <c r="CA92" s="102">
        <v>0</v>
      </c>
      <c r="CB92" s="102">
        <v>0</v>
      </c>
      <c r="CC92" s="102">
        <v>0</v>
      </c>
      <c r="CD92" s="102">
        <v>0</v>
      </c>
      <c r="CE92" s="102">
        <v>0</v>
      </c>
      <c r="CF92" s="102">
        <v>0</v>
      </c>
      <c r="CG92" s="102">
        <v>0</v>
      </c>
      <c r="CH92" s="102">
        <v>0</v>
      </c>
      <c r="CI92" s="102">
        <v>0</v>
      </c>
      <c r="CJ92" s="102">
        <v>0</v>
      </c>
      <c r="CK92" s="102">
        <v>0</v>
      </c>
      <c r="CL92" s="102">
        <v>0</v>
      </c>
      <c r="CM92" s="102">
        <v>0</v>
      </c>
      <c r="CN92" s="102">
        <v>0</v>
      </c>
      <c r="CO92" s="102">
        <v>0</v>
      </c>
      <c r="CP92" s="102">
        <v>0</v>
      </c>
      <c r="CQ92" s="102">
        <v>0</v>
      </c>
      <c r="CR92" s="102">
        <v>0</v>
      </c>
      <c r="CS92" s="102">
        <v>-75.352752290000012</v>
      </c>
      <c r="CT92" s="102">
        <v>0</v>
      </c>
      <c r="CU92" s="102">
        <v>0</v>
      </c>
      <c r="CV92" s="102">
        <v>-62.751934509999998</v>
      </c>
      <c r="CW92" s="102">
        <v>0</v>
      </c>
      <c r="CX92" s="102">
        <v>0</v>
      </c>
      <c r="CY92" s="102">
        <v>0</v>
      </c>
      <c r="CZ92" s="102">
        <v>0</v>
      </c>
      <c r="DA92" s="102">
        <v>0</v>
      </c>
      <c r="DB92" s="102">
        <v>-67.333426040000006</v>
      </c>
      <c r="DC92" s="102">
        <v>-58.394632000000001</v>
      </c>
      <c r="DD92" s="102">
        <v>5.4344049500000002</v>
      </c>
      <c r="DE92" s="102">
        <v>-25.865577780000002</v>
      </c>
      <c r="DF92" s="102">
        <v>0</v>
      </c>
      <c r="DG92" s="102">
        <v>0</v>
      </c>
      <c r="DH92" s="102">
        <v>0</v>
      </c>
      <c r="DJ92" s="924"/>
      <c r="DK92" s="924"/>
      <c r="DL92" s="924"/>
      <c r="DM92" s="924"/>
      <c r="DN92" s="924"/>
      <c r="DO92" s="924"/>
      <c r="DP92" s="924"/>
      <c r="DQ92" s="924"/>
      <c r="DR92" s="924"/>
      <c r="DS92" s="924"/>
      <c r="DT92" s="924"/>
      <c r="DU92" s="924"/>
      <c r="DW92" s="924">
        <v>-9</v>
      </c>
      <c r="DX92" s="924">
        <v>-9</v>
      </c>
      <c r="DY92" s="924">
        <v>-9</v>
      </c>
      <c r="DZ92" s="924">
        <v>-9</v>
      </c>
      <c r="EA92" s="924">
        <v>-9</v>
      </c>
      <c r="EB92" s="924">
        <v>-9</v>
      </c>
      <c r="EC92" s="924">
        <v>-9</v>
      </c>
      <c r="ED92" s="924">
        <v>-9</v>
      </c>
      <c r="EE92" s="924">
        <v>-9</v>
      </c>
      <c r="EF92" s="924">
        <v>-9</v>
      </c>
      <c r="EG92" s="924">
        <v>-9</v>
      </c>
      <c r="EH92" s="924">
        <v>-9</v>
      </c>
      <c r="EI92" s="924">
        <v>-2</v>
      </c>
      <c r="EJ92" s="924">
        <v>-2</v>
      </c>
      <c r="EK92" s="924">
        <v>-742</v>
      </c>
      <c r="EL92" s="924">
        <v>-2</v>
      </c>
      <c r="EM92" s="924">
        <v>-2</v>
      </c>
      <c r="EN92" s="924">
        <v>-2</v>
      </c>
      <c r="EO92" s="924">
        <v>-2</v>
      </c>
      <c r="EP92" s="924">
        <v>-2</v>
      </c>
      <c r="EQ92" s="924">
        <v>-2</v>
      </c>
      <c r="ER92" s="924">
        <v>-2</v>
      </c>
      <c r="ES92" s="924">
        <v>-2</v>
      </c>
      <c r="ET92" s="924">
        <v>-2</v>
      </c>
      <c r="EU92" s="924"/>
      <c r="EV92" s="924"/>
      <c r="EW92" s="924"/>
      <c r="EX92" s="924"/>
      <c r="EY92" s="924"/>
      <c r="EZ92" s="924"/>
      <c r="FA92" s="924"/>
      <c r="FB92" s="924"/>
      <c r="FC92" s="924"/>
      <c r="FD92" s="924"/>
      <c r="FE92" s="924"/>
      <c r="FF92" s="924"/>
      <c r="FG92" s="924">
        <v>0</v>
      </c>
      <c r="FH92" s="924">
        <v>0</v>
      </c>
      <c r="FI92" s="924">
        <v>0</v>
      </c>
      <c r="FJ92" s="924">
        <v>0</v>
      </c>
      <c r="FK92" s="924">
        <v>0</v>
      </c>
      <c r="FL92" s="924">
        <v>0</v>
      </c>
      <c r="FM92" s="924">
        <v>0</v>
      </c>
      <c r="FN92" s="924">
        <v>0</v>
      </c>
      <c r="FO92" s="924">
        <v>0</v>
      </c>
      <c r="FP92" s="924">
        <v>0</v>
      </c>
      <c r="FQ92" s="924">
        <v>0</v>
      </c>
      <c r="FR92" s="924">
        <v>0</v>
      </c>
      <c r="FS92" s="924">
        <v>0</v>
      </c>
      <c r="FT92" s="924">
        <v>0</v>
      </c>
      <c r="FU92" s="924">
        <v>0</v>
      </c>
      <c r="FV92" s="924">
        <v>0</v>
      </c>
      <c r="FW92" s="924">
        <v>0</v>
      </c>
      <c r="FX92" s="924">
        <v>0</v>
      </c>
      <c r="FY92" s="924">
        <v>0</v>
      </c>
      <c r="FZ92" s="924">
        <v>0</v>
      </c>
      <c r="GA92" s="924">
        <v>0</v>
      </c>
      <c r="GB92" s="924">
        <v>0</v>
      </c>
      <c r="GC92" s="924">
        <v>0</v>
      </c>
      <c r="GD92" s="924">
        <v>0</v>
      </c>
      <c r="GF92" s="924">
        <f t="shared" si="316"/>
        <v>-26.385345999999998</v>
      </c>
      <c r="GG92" s="924">
        <f t="shared" si="316"/>
        <v>-169.0290751</v>
      </c>
      <c r="GH92" s="924">
        <f t="shared" si="316"/>
        <v>-1023.82780561</v>
      </c>
      <c r="GI92" s="924">
        <f t="shared" si="316"/>
        <v>-3716.5324230299993</v>
      </c>
      <c r="GJ92" s="924">
        <f t="shared" si="341"/>
        <v>0</v>
      </c>
      <c r="GK92" s="924">
        <f t="shared" si="265"/>
        <v>-73.713065</v>
      </c>
      <c r="GL92" s="924">
        <f t="shared" si="256"/>
        <v>0</v>
      </c>
      <c r="GM92" s="924">
        <f t="shared" si="257"/>
        <v>-138.10468680000002</v>
      </c>
      <c r="GN92" s="924">
        <f t="shared" si="258"/>
        <v>0</v>
      </c>
      <c r="GO92" s="924">
        <v>-146.15923087000002</v>
      </c>
      <c r="GQ92" s="927">
        <f t="shared" si="317"/>
        <v>5.0571106184204639</v>
      </c>
      <c r="GR92" s="927">
        <f t="shared" si="317"/>
        <v>2.6300366161824225</v>
      </c>
      <c r="GS92" s="927">
        <f t="shared" si="317"/>
        <v>-1</v>
      </c>
      <c r="GT92" s="927" t="str">
        <f t="shared" si="317"/>
        <v/>
      </c>
      <c r="GU92" s="927">
        <f t="shared" si="317"/>
        <v>-1</v>
      </c>
      <c r="GV92" s="927" t="str">
        <f t="shared" si="317"/>
        <v/>
      </c>
      <c r="GW92" s="927">
        <f t="shared" si="266"/>
        <v>-1</v>
      </c>
      <c r="GX92" s="927" t="str">
        <f t="shared" si="266"/>
        <v/>
      </c>
      <c r="GY92" s="927">
        <f t="shared" si="249"/>
        <v>5.8322018293733846E-2</v>
      </c>
      <c r="HA92" s="924">
        <f t="shared" si="318"/>
        <v>-854.79873051000004</v>
      </c>
      <c r="HB92" s="924">
        <f t="shared" si="318"/>
        <v>-2692.7046174199995</v>
      </c>
      <c r="HC92" s="924">
        <f t="shared" si="318"/>
        <v>3716.5324230299993</v>
      </c>
      <c r="HD92" s="924">
        <f t="shared" si="267"/>
        <v>-73.713065</v>
      </c>
      <c r="HE92" s="924">
        <f t="shared" si="226"/>
        <v>73.713065</v>
      </c>
      <c r="HF92" s="924">
        <f t="shared" si="226"/>
        <v>-138.10468680000002</v>
      </c>
      <c r="HG92" s="924">
        <f t="shared" si="226"/>
        <v>138.10468680000002</v>
      </c>
      <c r="HH92" s="924">
        <f t="shared" si="226"/>
        <v>-146.15923087000002</v>
      </c>
      <c r="HI92" s="924">
        <f t="shared" si="251"/>
        <v>-8.0545440699999915</v>
      </c>
      <c r="HK92" s="76">
        <f t="shared" si="319"/>
        <v>-4.5987698739904624E-3</v>
      </c>
      <c r="HL92" s="76">
        <f t="shared" si="319"/>
        <v>-2.5996706430194132E-2</v>
      </c>
      <c r="HM92" s="76">
        <f t="shared" si="319"/>
        <v>-0.22052929589226167</v>
      </c>
      <c r="HN92" s="76">
        <f t="shared" si="319"/>
        <v>0</v>
      </c>
      <c r="HO92" s="76">
        <f t="shared" si="268"/>
        <v>-5.4086188134412913E-3</v>
      </c>
      <c r="HP92" s="76">
        <f t="shared" si="268"/>
        <v>0</v>
      </c>
      <c r="HQ92" s="76">
        <f t="shared" si="268"/>
        <v>-6.5053654756263568E-3</v>
      </c>
      <c r="HR92" s="76">
        <f t="shared" si="268"/>
        <v>0</v>
      </c>
      <c r="HS92" s="76">
        <f t="shared" si="268"/>
        <v>-1.1581659028044391E-2</v>
      </c>
      <c r="HU92" s="924">
        <f t="shared" si="320"/>
        <v>0</v>
      </c>
      <c r="HV92" s="924">
        <f t="shared" si="320"/>
        <v>0</v>
      </c>
      <c r="HW92" s="924">
        <f t="shared" si="320"/>
        <v>-52.046723999999998</v>
      </c>
      <c r="HX92" s="924">
        <f t="shared" si="320"/>
        <v>-3307.2176340000001</v>
      </c>
      <c r="HY92" s="924">
        <f t="shared" si="320"/>
        <v>0</v>
      </c>
      <c r="HZ92" s="924">
        <f t="shared" si="320"/>
        <v>0</v>
      </c>
      <c r="IA92" s="924">
        <f t="shared" si="321"/>
        <v>0</v>
      </c>
      <c r="IB92" s="924">
        <f t="shared" si="322"/>
        <v>0</v>
      </c>
      <c r="IC92" s="924">
        <f t="shared" si="323"/>
        <v>-67.333426040000006</v>
      </c>
      <c r="ID92" s="924">
        <f t="shared" si="253"/>
        <v>0</v>
      </c>
      <c r="IE92" s="924">
        <f t="shared" si="324"/>
        <v>0</v>
      </c>
      <c r="IG92" s="924">
        <f t="shared" si="254"/>
        <v>-67.333426040000006</v>
      </c>
      <c r="IH92" s="924">
        <f t="shared" si="254"/>
        <v>0</v>
      </c>
      <c r="II92" s="145"/>
      <c r="IJ92" s="927" t="str">
        <f t="shared" si="325"/>
        <v/>
      </c>
      <c r="IK92" s="928">
        <f t="shared" si="275"/>
        <v>-67.333426040000006</v>
      </c>
      <c r="IM92" s="76">
        <f t="shared" si="326"/>
        <v>-1.0354871821511813E-2</v>
      </c>
      <c r="IN92" s="927">
        <f t="shared" si="327"/>
        <v>0</v>
      </c>
      <c r="IP92" s="927" t="str">
        <f t="shared" ref="IP92:IU95" si="347">+IFERROR(HW92/HV92-1,"")</f>
        <v/>
      </c>
      <c r="IQ92" s="927">
        <f t="shared" si="347"/>
        <v>62.543243067517565</v>
      </c>
      <c r="IR92" s="927">
        <f t="shared" si="347"/>
        <v>-1</v>
      </c>
      <c r="IS92" s="927" t="str">
        <f t="shared" si="347"/>
        <v/>
      </c>
      <c r="IT92" s="927" t="str">
        <f t="shared" si="347"/>
        <v/>
      </c>
      <c r="IU92" s="927" t="str">
        <f t="shared" si="347"/>
        <v/>
      </c>
      <c r="IV92" s="927" t="str">
        <f>+IFERROR(IE92/IB92-1,"")</f>
        <v/>
      </c>
      <c r="IX92" s="924">
        <f t="shared" si="279"/>
        <v>-52.046723999999998</v>
      </c>
      <c r="IY92" s="924">
        <f t="shared" si="279"/>
        <v>-3255.1709100000003</v>
      </c>
      <c r="IZ92" s="924">
        <f t="shared" si="279"/>
        <v>3307.2176340000001</v>
      </c>
      <c r="JA92" s="924">
        <f t="shared" si="279"/>
        <v>0</v>
      </c>
      <c r="JB92" s="924">
        <f t="shared" si="279"/>
        <v>0</v>
      </c>
      <c r="JC92" s="924">
        <f t="shared" si="279"/>
        <v>0</v>
      </c>
      <c r="JD92" s="924">
        <f t="shared" si="328"/>
        <v>0</v>
      </c>
      <c r="JF92" s="76">
        <f t="shared" si="329"/>
        <v>0</v>
      </c>
      <c r="JG92" s="76">
        <f t="shared" si="329"/>
        <v>0</v>
      </c>
      <c r="JH92" s="76">
        <f t="shared" si="329"/>
        <v>-3.201836806380733E-3</v>
      </c>
      <c r="JI92" s="76">
        <f t="shared" si="329"/>
        <v>-0.35355906853178842</v>
      </c>
      <c r="JJ92" s="76">
        <f t="shared" si="329"/>
        <v>0</v>
      </c>
      <c r="JK92" s="76">
        <f t="shared" si="329"/>
        <v>0</v>
      </c>
      <c r="JL92" s="76">
        <f t="shared" si="329"/>
        <v>0</v>
      </c>
      <c r="JM92" s="76">
        <f t="shared" si="342"/>
        <v>0</v>
      </c>
      <c r="JO92" s="924">
        <f t="shared" si="330"/>
        <v>0</v>
      </c>
      <c r="JP92" s="924">
        <f t="shared" si="330"/>
        <v>0</v>
      </c>
      <c r="JQ92" s="924">
        <f t="shared" si="330"/>
        <v>0</v>
      </c>
      <c r="JR92" s="924">
        <f t="shared" si="330"/>
        <v>-3294.166667</v>
      </c>
      <c r="JS92" s="924">
        <f t="shared" si="330"/>
        <v>0</v>
      </c>
      <c r="JT92" s="924">
        <f t="shared" si="331"/>
        <v>0</v>
      </c>
      <c r="JU92" s="924">
        <f t="shared" si="332"/>
        <v>0</v>
      </c>
      <c r="JV92" s="924">
        <f t="shared" si="332"/>
        <v>0</v>
      </c>
      <c r="JW92" s="924">
        <f t="shared" si="333"/>
        <v>-67.333426040000006</v>
      </c>
      <c r="JX92" s="924">
        <f t="shared" si="334"/>
        <v>0</v>
      </c>
      <c r="JY92" s="924">
        <f t="shared" si="335"/>
        <v>0</v>
      </c>
      <c r="KB92" s="76" t="str">
        <f t="shared" si="336"/>
        <v xml:space="preserve"> </v>
      </c>
      <c r="KC92" s="76" t="str">
        <f t="shared" si="336"/>
        <v xml:space="preserve"> </v>
      </c>
      <c r="KD92" s="76">
        <f t="shared" si="336"/>
        <v>-1</v>
      </c>
      <c r="KE92" s="76" t="str">
        <f t="shared" si="336"/>
        <v xml:space="preserve"> </v>
      </c>
      <c r="KF92" s="76" t="str">
        <f t="shared" si="336"/>
        <v xml:space="preserve"> </v>
      </c>
      <c r="KG92" s="76" t="str">
        <f t="shared" si="336"/>
        <v xml:space="preserve"> </v>
      </c>
      <c r="KH92" s="76" t="str">
        <f t="shared" si="337"/>
        <v xml:space="preserve"> </v>
      </c>
      <c r="KJ92" s="924">
        <f t="shared" si="338"/>
        <v>0</v>
      </c>
      <c r="KK92" s="924">
        <f t="shared" si="338"/>
        <v>-3294.166667</v>
      </c>
      <c r="KL92" s="924">
        <f t="shared" si="338"/>
        <v>3294.166667</v>
      </c>
      <c r="KM92" s="924">
        <f t="shared" si="338"/>
        <v>0</v>
      </c>
      <c r="KN92" s="924">
        <f t="shared" si="338"/>
        <v>0</v>
      </c>
      <c r="KO92" s="924">
        <f t="shared" si="338"/>
        <v>0</v>
      </c>
      <c r="KP92" s="924">
        <f t="shared" si="339"/>
        <v>0</v>
      </c>
      <c r="KR92" s="76">
        <f t="shared" si="340"/>
        <v>0</v>
      </c>
      <c r="KS92" s="76">
        <f t="shared" si="340"/>
        <v>0</v>
      </c>
      <c r="KT92" s="76">
        <f t="shared" si="340"/>
        <v>0</v>
      </c>
      <c r="KU92" s="76">
        <f t="shared" si="340"/>
        <v>-3.6820030248220457</v>
      </c>
      <c r="KV92" s="76">
        <f t="shared" si="340"/>
        <v>0</v>
      </c>
      <c r="KW92" s="76">
        <f t="shared" si="340"/>
        <v>0</v>
      </c>
      <c r="KX92" s="76">
        <f t="shared" si="340"/>
        <v>0</v>
      </c>
      <c r="KY92" s="76">
        <f t="shared" si="340"/>
        <v>0</v>
      </c>
      <c r="KZ92" s="76">
        <f t="shared" si="306"/>
        <v>0</v>
      </c>
    </row>
    <row r="93" spans="1:312" outlineLevel="2">
      <c r="A93" s="884">
        <v>5313</v>
      </c>
      <c r="B93" s="70" t="s">
        <v>677</v>
      </c>
      <c r="C93" s="29" t="s">
        <v>678</v>
      </c>
      <c r="D93" s="31" t="s">
        <v>59</v>
      </c>
      <c r="E93" s="102">
        <v>0</v>
      </c>
      <c r="F93" s="102">
        <v>0</v>
      </c>
      <c r="G93" s="102">
        <v>0</v>
      </c>
      <c r="H93" s="102">
        <v>0</v>
      </c>
      <c r="I93" s="102">
        <v>0</v>
      </c>
      <c r="J93" s="102">
        <v>-0.16084904</v>
      </c>
      <c r="K93" s="102">
        <v>0</v>
      </c>
      <c r="L93" s="102">
        <v>-0.17890200000000001</v>
      </c>
      <c r="M93" s="102">
        <v>-0.31851395999999998</v>
      </c>
      <c r="N93" s="102">
        <v>-0.18879840000000003</v>
      </c>
      <c r="O93" s="102">
        <v>-1.0979340000000004E-2</v>
      </c>
      <c r="P93" s="102">
        <v>-24.20284148</v>
      </c>
      <c r="Q93" s="102">
        <v>0</v>
      </c>
      <c r="R93" s="102">
        <v>0</v>
      </c>
      <c r="S93" s="102">
        <v>-7.6799024400000002</v>
      </c>
      <c r="T93" s="102">
        <v>-10.0449679</v>
      </c>
      <c r="U93" s="102">
        <v>-9.08621999</v>
      </c>
      <c r="V93" s="102">
        <v>-8.9995594499999996</v>
      </c>
      <c r="W93" s="102">
        <v>-10.766740000000006</v>
      </c>
      <c r="X93" s="102">
        <v>0</v>
      </c>
      <c r="Y93" s="102">
        <v>0</v>
      </c>
      <c r="Z93" s="102">
        <v>-25.355064999999996</v>
      </c>
      <c r="AA93" s="102">
        <v>-11.980523000000005</v>
      </c>
      <c r="AB93" s="102">
        <v>0</v>
      </c>
      <c r="AC93" s="102">
        <v>0</v>
      </c>
      <c r="AD93" s="102">
        <v>0</v>
      </c>
      <c r="AE93" s="102">
        <v>0</v>
      </c>
      <c r="AF93" s="102">
        <v>0</v>
      </c>
      <c r="AG93" s="102">
        <v>0</v>
      </c>
      <c r="AH93" s="102">
        <v>0</v>
      </c>
      <c r="AI93" s="102">
        <v>-4.90008</v>
      </c>
      <c r="AJ93" s="102">
        <v>-5.9893159999999996</v>
      </c>
      <c r="AK93" s="102">
        <v>0</v>
      </c>
      <c r="AL93" s="102">
        <v>0</v>
      </c>
      <c r="AM93" s="102">
        <v>0</v>
      </c>
      <c r="AN93" s="102">
        <v>-13.015955</v>
      </c>
      <c r="AO93" s="102">
        <v>0</v>
      </c>
      <c r="AP93" s="145">
        <v>0</v>
      </c>
      <c r="AQ93" s="143">
        <v>0</v>
      </c>
      <c r="AR93" s="143">
        <v>0</v>
      </c>
      <c r="AS93" s="102">
        <v>-18.012021000000001</v>
      </c>
      <c r="AT93" s="102">
        <v>0</v>
      </c>
      <c r="AU93" s="102">
        <v>0</v>
      </c>
      <c r="AV93" s="102">
        <v>0</v>
      </c>
      <c r="AW93" s="102">
        <v>-2.4301E-2</v>
      </c>
      <c r="AX93" s="102">
        <v>0</v>
      </c>
      <c r="AY93" s="102">
        <v>0</v>
      </c>
      <c r="AZ93" s="102">
        <v>-358.93172222000004</v>
      </c>
      <c r="BA93" s="102"/>
      <c r="BB93" s="102"/>
      <c r="BC93" s="102"/>
      <c r="BD93" s="102"/>
      <c r="BE93" s="102"/>
      <c r="BF93" s="102"/>
      <c r="BG93" s="102"/>
      <c r="BH93" s="102"/>
      <c r="BI93" s="102"/>
      <c r="BJ93" s="102"/>
      <c r="BK93" s="102"/>
      <c r="BL93" s="102"/>
      <c r="BM93" s="102">
        <v>0</v>
      </c>
      <c r="BN93" s="102">
        <v>0</v>
      </c>
      <c r="BO93" s="102">
        <v>0</v>
      </c>
      <c r="BP93" s="102">
        <v>0</v>
      </c>
      <c r="BQ93" s="102">
        <v>0</v>
      </c>
      <c r="BR93" s="102">
        <v>0</v>
      </c>
      <c r="BS93" s="102">
        <v>0</v>
      </c>
      <c r="BT93" s="102">
        <v>0</v>
      </c>
      <c r="BU93" s="102">
        <v>0</v>
      </c>
      <c r="BV93" s="102">
        <v>0</v>
      </c>
      <c r="BW93" s="102">
        <v>0</v>
      </c>
      <c r="BX93" s="102">
        <v>0</v>
      </c>
      <c r="BY93" s="102">
        <v>0</v>
      </c>
      <c r="BZ93" s="102">
        <v>0</v>
      </c>
      <c r="CA93" s="102">
        <v>0</v>
      </c>
      <c r="CB93" s="102">
        <v>0</v>
      </c>
      <c r="CC93" s="102">
        <v>0</v>
      </c>
      <c r="CD93" s="102">
        <v>0</v>
      </c>
      <c r="CE93" s="102">
        <v>0</v>
      </c>
      <c r="CF93" s="102">
        <v>0</v>
      </c>
      <c r="CG93" s="102">
        <v>0</v>
      </c>
      <c r="CH93" s="102">
        <v>0</v>
      </c>
      <c r="CI93" s="102">
        <v>0</v>
      </c>
      <c r="CJ93" s="102">
        <v>0</v>
      </c>
      <c r="CK93" s="102">
        <v>0</v>
      </c>
      <c r="CL93" s="102">
        <v>0</v>
      </c>
      <c r="CM93" s="102">
        <v>0</v>
      </c>
      <c r="CN93" s="102">
        <v>0</v>
      </c>
      <c r="CO93" s="102">
        <v>0</v>
      </c>
      <c r="CP93" s="102">
        <v>0</v>
      </c>
      <c r="CQ93" s="102">
        <v>0</v>
      </c>
      <c r="CR93" s="102">
        <v>0</v>
      </c>
      <c r="CS93" s="102">
        <v>0</v>
      </c>
      <c r="CT93" s="102">
        <v>0</v>
      </c>
      <c r="CU93" s="102">
        <v>0</v>
      </c>
      <c r="CV93" s="102">
        <v>0</v>
      </c>
      <c r="CW93" s="102">
        <v>0</v>
      </c>
      <c r="CX93" s="102">
        <v>0</v>
      </c>
      <c r="CY93" s="102">
        <v>0</v>
      </c>
      <c r="CZ93" s="102">
        <v>0</v>
      </c>
      <c r="DA93" s="102">
        <v>0</v>
      </c>
      <c r="DB93" s="102">
        <v>0</v>
      </c>
      <c r="DC93" s="102">
        <v>0</v>
      </c>
      <c r="DD93" s="102">
        <v>0</v>
      </c>
      <c r="DE93" s="102">
        <v>0</v>
      </c>
      <c r="DF93" s="102">
        <v>0</v>
      </c>
      <c r="DG93" s="102">
        <v>0</v>
      </c>
      <c r="DH93" s="102">
        <v>0</v>
      </c>
      <c r="DJ93" s="102">
        <v>-3.2827031900000012</v>
      </c>
      <c r="DK93" s="102">
        <v>11.09971487</v>
      </c>
      <c r="DL93" s="102">
        <v>390.60852113999999</v>
      </c>
      <c r="DM93" s="102">
        <v>-160.07241694000004</v>
      </c>
      <c r="DN93" s="102">
        <v>-246.30959644000001</v>
      </c>
      <c r="DO93" s="102">
        <v>-11.914238749999985</v>
      </c>
      <c r="DP93" s="102">
        <v>-32.786518409999999</v>
      </c>
      <c r="DQ93" s="102">
        <v>2.1278660700000005</v>
      </c>
      <c r="DR93" s="102">
        <v>53.393797560000003</v>
      </c>
      <c r="DS93" s="102">
        <v>-2.1219113200000002</v>
      </c>
      <c r="DT93" s="102">
        <v>-12</v>
      </c>
      <c r="DU93" s="102">
        <v>-12</v>
      </c>
      <c r="DW93" s="102">
        <v>-1</v>
      </c>
      <c r="DX93" s="102">
        <v>-1</v>
      </c>
      <c r="DY93" s="102">
        <v>-1</v>
      </c>
      <c r="DZ93" s="102">
        <v>-1</v>
      </c>
      <c r="EA93" s="102">
        <v>-1</v>
      </c>
      <c r="EB93" s="102">
        <v>-1</v>
      </c>
      <c r="EC93" s="102">
        <v>-1</v>
      </c>
      <c r="ED93" s="102">
        <v>-1</v>
      </c>
      <c r="EE93" s="102">
        <v>-1</v>
      </c>
      <c r="EF93" s="102">
        <v>-1</v>
      </c>
      <c r="EG93" s="102">
        <v>-1</v>
      </c>
      <c r="EH93" s="102">
        <v>-1</v>
      </c>
      <c r="EI93" s="102">
        <v>-30.151485733999998</v>
      </c>
      <c r="EJ93" s="102">
        <v>-24.121188587199985</v>
      </c>
      <c r="EK93" s="102">
        <v>-19.296950869759993</v>
      </c>
      <c r="EL93" s="102">
        <v>-78.189494875807995</v>
      </c>
      <c r="EM93" s="102">
        <v>-12.350048556646399</v>
      </c>
      <c r="EN93" s="102">
        <v>-9.8800388453171184</v>
      </c>
      <c r="EO93" s="102">
        <v>-7.904031076253653</v>
      </c>
      <c r="EP93" s="102">
        <v>-6.3232248610029593</v>
      </c>
      <c r="EQ93" s="102">
        <v>0</v>
      </c>
      <c r="ER93" s="102">
        <v>-20.234319555209474</v>
      </c>
      <c r="ES93" s="102">
        <v>0</v>
      </c>
      <c r="ET93" s="102">
        <v>0</v>
      </c>
      <c r="EU93" s="102"/>
      <c r="EV93" s="102"/>
      <c r="EW93" s="102"/>
      <c r="EX93" s="102"/>
      <c r="EY93" s="102"/>
      <c r="EZ93" s="102"/>
      <c r="FA93" s="102"/>
      <c r="FB93" s="102"/>
      <c r="FC93" s="102"/>
      <c r="FD93" s="102"/>
      <c r="FE93" s="102"/>
      <c r="FF93" s="102"/>
      <c r="FG93" s="102">
        <v>0</v>
      </c>
      <c r="FH93" s="102">
        <v>0</v>
      </c>
      <c r="FI93" s="102">
        <v>0</v>
      </c>
      <c r="FJ93" s="102">
        <v>0</v>
      </c>
      <c r="FK93" s="102">
        <v>0</v>
      </c>
      <c r="FL93" s="102">
        <v>0</v>
      </c>
      <c r="FM93" s="102">
        <v>0</v>
      </c>
      <c r="FN93" s="102">
        <v>0</v>
      </c>
      <c r="FO93" s="102">
        <v>0</v>
      </c>
      <c r="FP93" s="102">
        <v>0</v>
      </c>
      <c r="FQ93" s="102">
        <v>0</v>
      </c>
      <c r="FR93" s="102">
        <v>0</v>
      </c>
      <c r="FS93" s="102">
        <v>0</v>
      </c>
      <c r="FT93" s="102">
        <v>0</v>
      </c>
      <c r="FU93" s="102">
        <v>0</v>
      </c>
      <c r="FV93" s="102">
        <v>0</v>
      </c>
      <c r="FW93" s="102">
        <v>0</v>
      </c>
      <c r="FX93" s="102">
        <v>0</v>
      </c>
      <c r="FY93" s="102">
        <v>0</v>
      </c>
      <c r="FZ93" s="102">
        <v>0</v>
      </c>
      <c r="GA93" s="102">
        <v>0</v>
      </c>
      <c r="GB93" s="102">
        <v>0</v>
      </c>
      <c r="GC93" s="102">
        <v>0</v>
      </c>
      <c r="GD93" s="102">
        <v>0</v>
      </c>
      <c r="GF93" s="102">
        <f t="shared" si="316"/>
        <v>-25.060884219999998</v>
      </c>
      <c r="GG93" s="102">
        <f t="shared" si="316"/>
        <v>-83.912977780000006</v>
      </c>
      <c r="GH93" s="102">
        <f t="shared" si="316"/>
        <v>-23.905351</v>
      </c>
      <c r="GI93" s="102">
        <f t="shared" si="316"/>
        <v>-376.96804422000002</v>
      </c>
      <c r="GJ93" s="102">
        <f t="shared" si="341"/>
        <v>0</v>
      </c>
      <c r="GK93" s="102">
        <f t="shared" si="265"/>
        <v>0</v>
      </c>
      <c r="GL93" s="102">
        <f t="shared" si="256"/>
        <v>0</v>
      </c>
      <c r="GM93" s="102">
        <f t="shared" si="257"/>
        <v>0</v>
      </c>
      <c r="GN93" s="102">
        <f t="shared" si="258"/>
        <v>0</v>
      </c>
      <c r="GO93" s="102">
        <v>0</v>
      </c>
      <c r="GQ93" s="929">
        <f t="shared" si="317"/>
        <v>-0.71511735571255519</v>
      </c>
      <c r="GR93" s="929">
        <f t="shared" si="317"/>
        <v>14.769190932189201</v>
      </c>
      <c r="GS93" s="929">
        <f t="shared" si="317"/>
        <v>-1</v>
      </c>
      <c r="GT93" s="929" t="str">
        <f t="shared" si="317"/>
        <v/>
      </c>
      <c r="GU93" s="929" t="str">
        <f t="shared" si="317"/>
        <v/>
      </c>
      <c r="GV93" s="929" t="str">
        <f t="shared" si="317"/>
        <v/>
      </c>
      <c r="GW93" s="929" t="str">
        <f t="shared" si="317"/>
        <v/>
      </c>
      <c r="GX93" s="929" t="str">
        <f t="shared" si="317"/>
        <v/>
      </c>
      <c r="GY93" s="929" t="str">
        <f t="shared" si="249"/>
        <v/>
      </c>
      <c r="HA93" s="102">
        <f t="shared" si="318"/>
        <v>60.00762678000001</v>
      </c>
      <c r="HB93" s="102">
        <f t="shared" si="318"/>
        <v>-353.06269322000003</v>
      </c>
      <c r="HC93" s="102">
        <f t="shared" si="318"/>
        <v>376.96804422000002</v>
      </c>
      <c r="HD93" s="102">
        <f t="shared" si="318"/>
        <v>0</v>
      </c>
      <c r="HE93" s="102">
        <f t="shared" si="226"/>
        <v>0</v>
      </c>
      <c r="HF93" s="102">
        <f t="shared" si="226"/>
        <v>0</v>
      </c>
      <c r="HG93" s="102">
        <f t="shared" si="226"/>
        <v>0</v>
      </c>
      <c r="HH93" s="102">
        <f t="shared" si="226"/>
        <v>0</v>
      </c>
      <c r="HI93" s="102">
        <f t="shared" si="251"/>
        <v>0</v>
      </c>
      <c r="HK93" s="32">
        <f t="shared" si="319"/>
        <v>-2.2830183151815349E-3</v>
      </c>
      <c r="HL93" s="32">
        <f t="shared" si="319"/>
        <v>-6.0699698587252126E-4</v>
      </c>
      <c r="HM93" s="32">
        <f t="shared" si="319"/>
        <v>-2.2368296009091088E-2</v>
      </c>
      <c r="HN93" s="32">
        <f t="shared" si="319"/>
        <v>0</v>
      </c>
      <c r="HO93" s="32">
        <f t="shared" si="319"/>
        <v>0</v>
      </c>
      <c r="HP93" s="32">
        <f t="shared" si="319"/>
        <v>0</v>
      </c>
      <c r="HQ93" s="32">
        <f t="shared" si="319"/>
        <v>0</v>
      </c>
      <c r="HR93" s="32">
        <f t="shared" si="319"/>
        <v>0</v>
      </c>
      <c r="HS93" s="32">
        <f t="shared" si="319"/>
        <v>0</v>
      </c>
      <c r="HU93" s="102">
        <f t="shared" si="320"/>
        <v>-0.16084904</v>
      </c>
      <c r="HV93" s="102">
        <f t="shared" si="320"/>
        <v>-35.810649779999999</v>
      </c>
      <c r="HW93" s="102">
        <f t="shared" si="320"/>
        <v>0</v>
      </c>
      <c r="HX93" s="102">
        <f t="shared" si="320"/>
        <v>-18.012021000000001</v>
      </c>
      <c r="HY93" s="102">
        <f t="shared" si="320"/>
        <v>0</v>
      </c>
      <c r="HZ93" s="102">
        <f t="shared" si="320"/>
        <v>0</v>
      </c>
      <c r="IA93" s="102">
        <f t="shared" si="321"/>
        <v>0</v>
      </c>
      <c r="IB93" s="102">
        <f t="shared" si="322"/>
        <v>0</v>
      </c>
      <c r="IC93" s="102">
        <f t="shared" si="323"/>
        <v>0</v>
      </c>
      <c r="ID93" s="102">
        <f t="shared" si="253"/>
        <v>0</v>
      </c>
      <c r="IE93" s="102">
        <f t="shared" si="324"/>
        <v>-19.87071931000003</v>
      </c>
      <c r="IG93" s="102">
        <f t="shared" si="254"/>
        <v>0</v>
      </c>
      <c r="IH93" s="102">
        <f t="shared" si="254"/>
        <v>0</v>
      </c>
      <c r="II93" s="145"/>
      <c r="IJ93" s="929" t="str">
        <f t="shared" si="325"/>
        <v/>
      </c>
      <c r="IK93" s="930">
        <f t="shared" si="275"/>
        <v>0</v>
      </c>
      <c r="IM93" s="32">
        <f t="shared" si="326"/>
        <v>0</v>
      </c>
      <c r="IN93" s="929">
        <f t="shared" si="327"/>
        <v>0</v>
      </c>
      <c r="IP93" s="929">
        <f t="shared" si="347"/>
        <v>-1</v>
      </c>
      <c r="IQ93" s="929" t="str">
        <f t="shared" si="347"/>
        <v/>
      </c>
      <c r="IR93" s="929">
        <f t="shared" si="347"/>
        <v>-1</v>
      </c>
      <c r="IS93" s="929" t="str">
        <f t="shared" si="347"/>
        <v/>
      </c>
      <c r="IT93" s="929" t="str">
        <f t="shared" si="347"/>
        <v/>
      </c>
      <c r="IU93" s="929" t="str">
        <f t="shared" si="347"/>
        <v/>
      </c>
      <c r="IV93" s="929" t="str">
        <f>+IFERROR(IE93/IB93-1,"")</f>
        <v/>
      </c>
      <c r="IX93" s="102">
        <f t="shared" si="279"/>
        <v>35.810649779999999</v>
      </c>
      <c r="IY93" s="102">
        <f t="shared" si="279"/>
        <v>-18.012021000000001</v>
      </c>
      <c r="IZ93" s="102">
        <f t="shared" si="279"/>
        <v>18.012021000000001</v>
      </c>
      <c r="JA93" s="102">
        <f t="shared" si="279"/>
        <v>0</v>
      </c>
      <c r="JB93" s="102">
        <f t="shared" si="279"/>
        <v>0</v>
      </c>
      <c r="JC93" s="102">
        <f t="shared" si="279"/>
        <v>0</v>
      </c>
      <c r="JD93" s="102">
        <f t="shared" si="328"/>
        <v>-19.87071931000003</v>
      </c>
      <c r="JF93" s="32">
        <f t="shared" si="329"/>
        <v>-1.0056417648269855E-5</v>
      </c>
      <c r="JG93" s="32">
        <f t="shared" si="329"/>
        <v>-2.1001676262728127E-3</v>
      </c>
      <c r="JH93" s="32">
        <f t="shared" si="329"/>
        <v>0</v>
      </c>
      <c r="JI93" s="32">
        <f t="shared" si="329"/>
        <v>-1.9255803735639529E-3</v>
      </c>
      <c r="JJ93" s="32">
        <f t="shared" si="329"/>
        <v>0</v>
      </c>
      <c r="JK93" s="32">
        <f t="shared" si="329"/>
        <v>0</v>
      </c>
      <c r="JL93" s="32">
        <f t="shared" si="329"/>
        <v>0</v>
      </c>
      <c r="JM93" s="32">
        <f t="shared" si="342"/>
        <v>-2.9141563067025195E-3</v>
      </c>
      <c r="JO93" s="102">
        <f t="shared" si="330"/>
        <v>-0.16084904</v>
      </c>
      <c r="JP93" s="102">
        <f t="shared" si="330"/>
        <v>-8.9995594499999996</v>
      </c>
      <c r="JQ93" s="102">
        <f t="shared" si="330"/>
        <v>0</v>
      </c>
      <c r="JR93" s="102">
        <f t="shared" si="330"/>
        <v>0</v>
      </c>
      <c r="JS93" s="102">
        <f t="shared" si="330"/>
        <v>0</v>
      </c>
      <c r="JT93" s="102">
        <f t="shared" si="331"/>
        <v>0</v>
      </c>
      <c r="JU93" s="102">
        <f t="shared" si="332"/>
        <v>0</v>
      </c>
      <c r="JV93" s="102">
        <f t="shared" si="332"/>
        <v>0</v>
      </c>
      <c r="JW93" s="102">
        <f t="shared" si="333"/>
        <v>0</v>
      </c>
      <c r="JX93" s="102">
        <f t="shared" si="334"/>
        <v>0</v>
      </c>
      <c r="JY93" s="102">
        <f t="shared" si="335"/>
        <v>-11.914238749999985</v>
      </c>
      <c r="KB93" s="32">
        <f t="shared" si="336"/>
        <v>-1</v>
      </c>
      <c r="KC93" s="32" t="str">
        <f t="shared" si="336"/>
        <v xml:space="preserve"> </v>
      </c>
      <c r="KD93" s="32" t="str">
        <f t="shared" si="336"/>
        <v xml:space="preserve"> </v>
      </c>
      <c r="KE93" s="32" t="str">
        <f t="shared" si="336"/>
        <v xml:space="preserve"> </v>
      </c>
      <c r="KF93" s="32" t="str">
        <f t="shared" si="336"/>
        <v xml:space="preserve"> </v>
      </c>
      <c r="KG93" s="32" t="str">
        <f t="shared" si="336"/>
        <v xml:space="preserve"> </v>
      </c>
      <c r="KH93" s="32" t="str">
        <f t="shared" si="337"/>
        <v xml:space="preserve"> </v>
      </c>
      <c r="KJ93" s="102">
        <f t="shared" si="338"/>
        <v>8.9995594499999996</v>
      </c>
      <c r="KK93" s="102">
        <f t="shared" si="338"/>
        <v>0</v>
      </c>
      <c r="KL93" s="102">
        <f t="shared" si="338"/>
        <v>0</v>
      </c>
      <c r="KM93" s="102">
        <f t="shared" si="338"/>
        <v>0</v>
      </c>
      <c r="KN93" s="102">
        <f t="shared" si="338"/>
        <v>0</v>
      </c>
      <c r="KO93" s="102">
        <f t="shared" si="338"/>
        <v>0</v>
      </c>
      <c r="KP93" s="102">
        <f t="shared" si="339"/>
        <v>-11.914238749999985</v>
      </c>
      <c r="KR93" s="32">
        <f t="shared" si="340"/>
        <v>-5.0174019005246403E-5</v>
      </c>
      <c r="KS93" s="32">
        <f t="shared" si="340"/>
        <v>-2.6758554352575891E-3</v>
      </c>
      <c r="KT93" s="32">
        <f t="shared" si="340"/>
        <v>0</v>
      </c>
      <c r="KU93" s="32">
        <f t="shared" si="340"/>
        <v>0</v>
      </c>
      <c r="KV93" s="32">
        <f t="shared" si="340"/>
        <v>0</v>
      </c>
      <c r="KW93" s="32">
        <f t="shared" si="340"/>
        <v>0</v>
      </c>
      <c r="KX93" s="32">
        <f t="shared" si="340"/>
        <v>0</v>
      </c>
      <c r="KY93" s="32">
        <f t="shared" si="340"/>
        <v>0</v>
      </c>
      <c r="KZ93" s="32">
        <f t="shared" si="306"/>
        <v>-3.2509468250464482E-2</v>
      </c>
    </row>
    <row r="94" spans="1:312" outlineLevel="2">
      <c r="A94" s="884">
        <v>5315</v>
      </c>
      <c r="B94" s="70" t="s">
        <v>679</v>
      </c>
      <c r="C94" s="29" t="s">
        <v>679</v>
      </c>
      <c r="D94" s="31" t="s">
        <v>59</v>
      </c>
      <c r="E94" s="102">
        <v>-6.0319876299999997</v>
      </c>
      <c r="F94" s="102">
        <v>-3.4979203099999996</v>
      </c>
      <c r="G94" s="102">
        <v>-7.3510792200000008</v>
      </c>
      <c r="H94" s="102">
        <v>-2.8369086800000005</v>
      </c>
      <c r="I94" s="102">
        <v>-3.1631206200000008</v>
      </c>
      <c r="J94" s="102">
        <v>5.3139082500000008</v>
      </c>
      <c r="K94" s="102">
        <v>-2.8241506699999981</v>
      </c>
      <c r="L94" s="102">
        <v>-2.0821356200000025</v>
      </c>
      <c r="M94" s="102">
        <v>-2.3734496400000005</v>
      </c>
      <c r="N94" s="102">
        <v>-232.42549521999999</v>
      </c>
      <c r="O94" s="102">
        <v>65.91375038000001</v>
      </c>
      <c r="P94" s="102">
        <v>13.411139599999984</v>
      </c>
      <c r="Q94" s="102">
        <v>-1.4584671699999998</v>
      </c>
      <c r="R94" s="102">
        <v>-2.3613557100000007</v>
      </c>
      <c r="S94" s="102">
        <v>-2.8043531200000009</v>
      </c>
      <c r="T94" s="102">
        <v>-10.861359710000002</v>
      </c>
      <c r="U94" s="102">
        <v>-3.316801029999997</v>
      </c>
      <c r="V94" s="102">
        <v>-2.462697679999998</v>
      </c>
      <c r="W94" s="102">
        <v>-0.18611578000000151</v>
      </c>
      <c r="X94" s="102">
        <v>-2.7140044399999965</v>
      </c>
      <c r="Y94" s="102">
        <v>-5.9405473900000061</v>
      </c>
      <c r="Z94" s="102">
        <v>-2.8493468599999972</v>
      </c>
      <c r="AA94" s="102">
        <v>-13.67384766</v>
      </c>
      <c r="AB94" s="102">
        <v>-57.740895699999989</v>
      </c>
      <c r="AC94" s="102">
        <v>-1.1910547799999998</v>
      </c>
      <c r="AD94" s="102">
        <v>-3.4644648900000004</v>
      </c>
      <c r="AE94" s="102">
        <v>-19.284623349999997</v>
      </c>
      <c r="AF94" s="102">
        <v>-8.0467490900000005</v>
      </c>
      <c r="AG94" s="102">
        <v>-0.47379789</v>
      </c>
      <c r="AH94" s="102">
        <v>0.78198698</v>
      </c>
      <c r="AI94" s="102">
        <v>0.28799504000000004</v>
      </c>
      <c r="AJ94" s="102">
        <v>-0.14984245000000002</v>
      </c>
      <c r="AK94" s="102">
        <v>-3.6007150000000002E-2</v>
      </c>
      <c r="AL94" s="102">
        <v>-0.31103977999999999</v>
      </c>
      <c r="AM94" s="102">
        <v>-202.11240488999999</v>
      </c>
      <c r="AN94" s="102">
        <v>-9.3070317099999844</v>
      </c>
      <c r="AO94" s="102">
        <v>-0.36152795999999998</v>
      </c>
      <c r="AP94" s="145">
        <v>-0.14223560000000002</v>
      </c>
      <c r="AQ94" s="143">
        <v>-3.9158200299999999</v>
      </c>
      <c r="AR94" s="143">
        <v>-18.151290030000002</v>
      </c>
      <c r="AS94" s="102">
        <v>-1.6790663100000001</v>
      </c>
      <c r="AT94" s="102">
        <v>-25.67900783</v>
      </c>
      <c r="AU94" s="102">
        <v>41.028410790000002</v>
      </c>
      <c r="AV94" s="102">
        <v>-0.81421740000000009</v>
      </c>
      <c r="AW94" s="102">
        <v>-135.8196082</v>
      </c>
      <c r="AX94" s="102">
        <v>-1.1147143700000002</v>
      </c>
      <c r="AY94" s="102">
        <v>-6.4810039999999999E-2</v>
      </c>
      <c r="AZ94" s="102">
        <f>-49.03325757+15</f>
        <v>-34.033257570000004</v>
      </c>
      <c r="BA94" s="102"/>
      <c r="BB94" s="102"/>
      <c r="BC94" s="102"/>
      <c r="BD94" s="102"/>
      <c r="BE94" s="102"/>
      <c r="BF94" s="102"/>
      <c r="BG94" s="102"/>
      <c r="BH94" s="102"/>
      <c r="BI94" s="102"/>
      <c r="BJ94" s="102"/>
      <c r="BK94" s="102"/>
      <c r="BL94" s="102"/>
      <c r="BM94" s="102">
        <v>-6.8034999999999997E-3</v>
      </c>
      <c r="BN94" s="102">
        <v>-2.462288E-2</v>
      </c>
      <c r="BO94" s="102">
        <v>-4.5882299999999996E-3</v>
      </c>
      <c r="BP94" s="102">
        <v>-3.0181000000000001E-3</v>
      </c>
      <c r="BQ94" s="102">
        <v>-4.0033600000000001E-3</v>
      </c>
      <c r="BR94" s="102">
        <v>-2.4156399999999997E-3</v>
      </c>
      <c r="BS94" s="102">
        <v>-1.6875959999999999E-2</v>
      </c>
      <c r="BT94" s="102">
        <v>-1.120837E-2</v>
      </c>
      <c r="BU94" s="102">
        <v>-1.7930699999999999E-3</v>
      </c>
      <c r="BV94" s="102">
        <v>-7.1825000000000003E-4</v>
      </c>
      <c r="BW94" s="102">
        <v>-2.3175000000000001E-3</v>
      </c>
      <c r="BX94" s="102">
        <v>-1.02498924</v>
      </c>
      <c r="BY94" s="102">
        <v>-5.3600999999999996E-4</v>
      </c>
      <c r="BZ94" s="102">
        <v>9.9979100000000005E-3</v>
      </c>
      <c r="CA94" s="102">
        <v>-3.8518699999999999E-3</v>
      </c>
      <c r="CB94" s="102">
        <v>-5.8186000000000002E-4</v>
      </c>
      <c r="CC94" s="102">
        <v>-1.65814E-3</v>
      </c>
      <c r="CD94" s="102">
        <v>-4.4107600000000005E-3</v>
      </c>
      <c r="CE94" s="102">
        <v>-3.6807699999999999E-3</v>
      </c>
      <c r="CF94" s="102">
        <v>-7.8651499999999996E-3</v>
      </c>
      <c r="CG94" s="102">
        <v>-2.4800900000000003E-3</v>
      </c>
      <c r="CH94" s="102">
        <v>-4.9050500000000002E-3</v>
      </c>
      <c r="CI94" s="102">
        <v>-4.2512600000000006E-3</v>
      </c>
      <c r="CJ94" s="102">
        <v>-9.3623600000000001E-3</v>
      </c>
      <c r="CK94" s="102">
        <v>-9.2378000000000002E-4</v>
      </c>
      <c r="CL94" s="102">
        <v>-2.8635100000000001E-3</v>
      </c>
      <c r="CM94" s="102">
        <v>-1.9604499999999999E-3</v>
      </c>
      <c r="CN94" s="102">
        <v>-3.7165200000000001E-3</v>
      </c>
      <c r="CO94" s="102">
        <v>-9.0992530000000002E-2</v>
      </c>
      <c r="CP94" s="102">
        <v>-6.3022199999999999E-3</v>
      </c>
      <c r="CQ94" s="102">
        <v>-3.9262319999999996E-2</v>
      </c>
      <c r="CR94" s="102">
        <v>-3.0874000000000006E-3</v>
      </c>
      <c r="CS94" s="102">
        <v>-3.5980999999999999E-3</v>
      </c>
      <c r="CT94" s="102">
        <v>-0.14303264999999998</v>
      </c>
      <c r="CU94" s="102">
        <v>-9.5842099999999993E-3</v>
      </c>
      <c r="CV94" s="102">
        <v>-3.4263050000000003E-2</v>
      </c>
      <c r="CW94" s="102">
        <v>-4.3991799999999999E-3</v>
      </c>
      <c r="CX94" s="102">
        <v>-5.7468599999999995E-3</v>
      </c>
      <c r="CY94" s="102">
        <v>-61.63929495</v>
      </c>
      <c r="CZ94" s="102">
        <v>-7.1857299999999999E-2</v>
      </c>
      <c r="DA94" s="102">
        <v>-186.97003615</v>
      </c>
      <c r="DB94" s="102">
        <v>0.53663494999999994</v>
      </c>
      <c r="DC94" s="102">
        <v>-1.007885E-2</v>
      </c>
      <c r="DD94" s="102">
        <v>-1.9052000000000001E-3</v>
      </c>
      <c r="DE94" s="102">
        <v>-1.1129940000000001E-2</v>
      </c>
      <c r="DF94" s="102">
        <v>-1.5587000000000001E-3</v>
      </c>
      <c r="DG94" s="102">
        <v>-1.3600000000000001E-6</v>
      </c>
      <c r="DH94" s="102">
        <v>-0.66959378000000003</v>
      </c>
      <c r="DJ94" s="102">
        <v>-23.030860860000011</v>
      </c>
      <c r="DK94" s="102">
        <v>-10.67343296</v>
      </c>
      <c r="DL94" s="102">
        <v>-11.362974359999999</v>
      </c>
      <c r="DM94" s="102">
        <v>-43.029212440000009</v>
      </c>
      <c r="DN94" s="102">
        <v>-32.25127671999995</v>
      </c>
      <c r="DO94" s="102">
        <v>6.0755580299999865</v>
      </c>
      <c r="DP94" s="102">
        <v>-7.0341633300000019</v>
      </c>
      <c r="DQ94" s="102">
        <v>21.583293820000005</v>
      </c>
      <c r="DR94" s="102">
        <v>19.541302459999997</v>
      </c>
      <c r="DS94" s="102">
        <v>-6.2906698900000002</v>
      </c>
      <c r="DT94" s="102">
        <v>18.437821419999995</v>
      </c>
      <c r="DU94" s="102">
        <v>18.437821420000002</v>
      </c>
      <c r="DW94" s="102">
        <v>-15.2</v>
      </c>
      <c r="DX94" s="102">
        <v>-15.2</v>
      </c>
      <c r="DY94" s="102">
        <v>-15.2</v>
      </c>
      <c r="DZ94" s="102">
        <v>-15.2</v>
      </c>
      <c r="EA94" s="102">
        <v>-15.2</v>
      </c>
      <c r="EB94" s="102">
        <v>-15.2</v>
      </c>
      <c r="EC94" s="102">
        <v>-15.2</v>
      </c>
      <c r="ED94" s="102">
        <v>-15.2</v>
      </c>
      <c r="EE94" s="102">
        <v>-15.2</v>
      </c>
      <c r="EF94" s="102">
        <v>-15.2</v>
      </c>
      <c r="EG94" s="102">
        <v>-15.2</v>
      </c>
      <c r="EH94" s="102">
        <v>-15.2</v>
      </c>
      <c r="EI94" s="102">
        <v>-2.7109195000000003E-2</v>
      </c>
      <c r="EJ94" s="102">
        <v>-2.7109195000000003E-2</v>
      </c>
      <c r="EK94" s="102">
        <v>-2.7109195000000003E-2</v>
      </c>
      <c r="EL94" s="102">
        <v>-2.7109195000000003E-2</v>
      </c>
      <c r="EM94" s="102">
        <v>-2.7109195000000003E-2</v>
      </c>
      <c r="EN94" s="102">
        <v>-2.7109195000000003E-2</v>
      </c>
      <c r="EO94" s="102">
        <v>-2.7109195000000003E-2</v>
      </c>
      <c r="EP94" s="102">
        <v>-2.7109195000000003E-2</v>
      </c>
      <c r="EQ94" s="102">
        <v>-2.7109195000000003E-2</v>
      </c>
      <c r="ER94" s="102">
        <v>-2.7109195000000003E-2</v>
      </c>
      <c r="ES94" s="102">
        <v>-2.7109195000000003E-2</v>
      </c>
      <c r="ET94" s="102">
        <v>-2.7109195000000003E-2</v>
      </c>
      <c r="EU94" s="102">
        <v>-8.9347232200000004</v>
      </c>
      <c r="EV94" s="102">
        <v>-8.9347232200000004</v>
      </c>
      <c r="EW94" s="102">
        <v>-8.9347232200000004</v>
      </c>
      <c r="EX94" s="102">
        <v>-8.9347232200000004</v>
      </c>
      <c r="EY94" s="102">
        <v>-8.9347232200000004</v>
      </c>
      <c r="EZ94" s="102">
        <v>-8.9347232200000004</v>
      </c>
      <c r="FA94" s="102">
        <v>-8.9347232200000004</v>
      </c>
      <c r="FB94" s="102">
        <v>-8.9347232200000004</v>
      </c>
      <c r="FC94" s="102">
        <v>-8.9347232200000004</v>
      </c>
      <c r="FD94" s="102">
        <v>-8.9347232200000004</v>
      </c>
      <c r="FE94" s="102">
        <v>-8.9347232200000004</v>
      </c>
      <c r="FF94" s="102">
        <v>-8.9347232200000004</v>
      </c>
      <c r="FG94" s="102">
        <v>-27.45</v>
      </c>
      <c r="FH94" s="102">
        <v>-27.45</v>
      </c>
      <c r="FI94" s="102">
        <v>-27.449999999999992</v>
      </c>
      <c r="FJ94" s="102">
        <v>-20.45</v>
      </c>
      <c r="FK94" s="102">
        <v>-27.449999999999992</v>
      </c>
      <c r="FL94" s="102">
        <v>-20.45</v>
      </c>
      <c r="FM94" s="102">
        <v>-27.45</v>
      </c>
      <c r="FN94" s="102">
        <v>-20.45</v>
      </c>
      <c r="FO94" s="102">
        <v>-20.45</v>
      </c>
      <c r="FP94" s="102">
        <v>-27.45</v>
      </c>
      <c r="FQ94" s="102">
        <v>-27.45</v>
      </c>
      <c r="FR94" s="102">
        <v>-27.45</v>
      </c>
      <c r="FS94" s="102">
        <v>-27.45</v>
      </c>
      <c r="FT94" s="102">
        <v>-27.45</v>
      </c>
      <c r="FU94" s="102">
        <v>-27.449999999999992</v>
      </c>
      <c r="FV94" s="102">
        <v>-20.45</v>
      </c>
      <c r="FW94" s="102">
        <v>-27.449999999999992</v>
      </c>
      <c r="FX94" s="102">
        <v>-20.45</v>
      </c>
      <c r="FY94" s="102">
        <v>-27.45</v>
      </c>
      <c r="FZ94" s="102">
        <v>-20.45</v>
      </c>
      <c r="GA94" s="102">
        <v>-20.45</v>
      </c>
      <c r="GB94" s="102">
        <v>-27.45</v>
      </c>
      <c r="GC94" s="102">
        <v>-27.45</v>
      </c>
      <c r="GD94" s="102">
        <v>-27.45</v>
      </c>
      <c r="GF94" s="102">
        <f t="shared" si="316"/>
        <v>-177.94744937999999</v>
      </c>
      <c r="GG94" s="102">
        <f t="shared" si="316"/>
        <v>-106.36979224999999</v>
      </c>
      <c r="GH94" s="102">
        <f t="shared" si="316"/>
        <v>-243.30703395999998</v>
      </c>
      <c r="GI94" s="102">
        <f t="shared" si="316"/>
        <v>-180.74714455000003</v>
      </c>
      <c r="GJ94" s="102">
        <f t="shared" si="341"/>
        <v>0</v>
      </c>
      <c r="GK94" s="102">
        <f t="shared" si="265"/>
        <v>-1.1033541</v>
      </c>
      <c r="GL94" s="102">
        <f t="shared" si="256"/>
        <v>-3.3585409999999996E-2</v>
      </c>
      <c r="GM94" s="102">
        <f t="shared" si="257"/>
        <v>-0.33958673999999994</v>
      </c>
      <c r="GN94" s="102">
        <f t="shared" si="258"/>
        <v>-301.39999999999992</v>
      </c>
      <c r="GO94" s="102">
        <v>-248.84896732000001</v>
      </c>
      <c r="GQ94" s="929">
        <f t="shared" si="317"/>
        <v>1.2873696452105272</v>
      </c>
      <c r="GR94" s="929">
        <f t="shared" si="317"/>
        <v>-0.2571232257111189</v>
      </c>
      <c r="GS94" s="929">
        <f t="shared" si="317"/>
        <v>-1</v>
      </c>
      <c r="GT94" s="929" t="str">
        <f t="shared" si="317"/>
        <v/>
      </c>
      <c r="GU94" s="929">
        <f t="shared" si="317"/>
        <v>-0.96956062428190548</v>
      </c>
      <c r="GV94" s="929">
        <f t="shared" si="317"/>
        <v>9.1111387355402229</v>
      </c>
      <c r="GW94" s="929">
        <f t="shared" si="317"/>
        <v>886.5493784003462</v>
      </c>
      <c r="GX94" s="929">
        <f t="shared" si="317"/>
        <v>-0.17435644552090224</v>
      </c>
      <c r="GY94" s="929">
        <f t="shared" si="249"/>
        <v>731.79942355817559</v>
      </c>
      <c r="HA94" s="102">
        <f t="shared" si="318"/>
        <v>-136.93724171</v>
      </c>
      <c r="HB94" s="102">
        <f t="shared" si="318"/>
        <v>62.559889409999954</v>
      </c>
      <c r="HC94" s="102">
        <f t="shared" si="318"/>
        <v>180.74714455000003</v>
      </c>
      <c r="HD94" s="102">
        <f t="shared" si="318"/>
        <v>-1.1033541</v>
      </c>
      <c r="HE94" s="102">
        <f t="shared" si="226"/>
        <v>1.0697686900000001</v>
      </c>
      <c r="HF94" s="102">
        <f t="shared" si="226"/>
        <v>-0.30600132999999996</v>
      </c>
      <c r="HG94" s="102">
        <f t="shared" si="226"/>
        <v>-301.0604132599999</v>
      </c>
      <c r="HH94" s="102">
        <f t="shared" si="226"/>
        <v>52.551032679999906</v>
      </c>
      <c r="HI94" s="102">
        <f t="shared" si="251"/>
        <v>-248.50938058000003</v>
      </c>
      <c r="HK94" s="32">
        <f t="shared" si="319"/>
        <v>-2.8940003121505817E-3</v>
      </c>
      <c r="HL94" s="32">
        <f t="shared" si="319"/>
        <v>-6.1779739714051124E-3</v>
      </c>
      <c r="HM94" s="32">
        <f t="shared" si="319"/>
        <v>-1.0725061962368517E-2</v>
      </c>
      <c r="HN94" s="32">
        <f t="shared" si="319"/>
        <v>0</v>
      </c>
      <c r="HO94" s="32">
        <f t="shared" si="319"/>
        <v>-8.0957449580309603E-5</v>
      </c>
      <c r="HP94" s="32">
        <f t="shared" si="319"/>
        <v>-2.3734376643871566E-6</v>
      </c>
      <c r="HQ94" s="32">
        <f t="shared" si="319"/>
        <v>-1.5996096190245321E-5</v>
      </c>
      <c r="HR94" s="32">
        <f t="shared" si="319"/>
        <v>-1.9158041818788975E-2</v>
      </c>
      <c r="HS94" s="32">
        <f t="shared" si="319"/>
        <v>-1.971879485014973E-2</v>
      </c>
      <c r="HU94" s="102">
        <f t="shared" si="320"/>
        <v>-17.567108210000001</v>
      </c>
      <c r="HV94" s="102">
        <f t="shared" si="320"/>
        <v>-23.265034419999999</v>
      </c>
      <c r="HW94" s="102">
        <f t="shared" si="320"/>
        <v>-31.67870302</v>
      </c>
      <c r="HX94" s="102">
        <f t="shared" si="320"/>
        <v>-49.92894776</v>
      </c>
      <c r="HY94" s="102">
        <f t="shared" si="320"/>
        <v>0</v>
      </c>
      <c r="HZ94" s="102">
        <f t="shared" si="320"/>
        <v>-4.5451709999999992E-2</v>
      </c>
      <c r="IA94" s="102">
        <f t="shared" si="321"/>
        <v>-1.0407300000000001E-3</v>
      </c>
      <c r="IB94" s="102">
        <f t="shared" si="322"/>
        <v>-0.10675901</v>
      </c>
      <c r="IC94" s="102">
        <f t="shared" si="323"/>
        <v>-248.15469948999998</v>
      </c>
      <c r="ID94" s="102">
        <f t="shared" si="253"/>
        <v>-150.69999999999999</v>
      </c>
      <c r="IE94" s="102">
        <f t="shared" si="324"/>
        <v>-114.27219930999999</v>
      </c>
      <c r="IG94" s="102">
        <f t="shared" si="254"/>
        <v>-248.15469948999998</v>
      </c>
      <c r="IH94" s="102">
        <f t="shared" si="254"/>
        <v>-150.69999999999999</v>
      </c>
      <c r="II94" s="145"/>
      <c r="IJ94" s="929">
        <f t="shared" si="325"/>
        <v>1.6466801558725945</v>
      </c>
      <c r="IK94" s="930">
        <f t="shared" si="275"/>
        <v>-97.454699489999996</v>
      </c>
      <c r="IM94" s="32">
        <f t="shared" si="326"/>
        <v>-3.8162473770430659E-2</v>
      </c>
      <c r="IN94" s="929">
        <f t="shared" si="327"/>
        <v>-2.1342777066068627E-2</v>
      </c>
      <c r="IP94" s="929">
        <f t="shared" si="347"/>
        <v>0.36164436502045816</v>
      </c>
      <c r="IQ94" s="929">
        <f t="shared" si="347"/>
        <v>0.57610454343657658</v>
      </c>
      <c r="IR94" s="929">
        <f t="shared" si="347"/>
        <v>-1</v>
      </c>
      <c r="IS94" s="929" t="str">
        <f t="shared" si="347"/>
        <v/>
      </c>
      <c r="IT94" s="929">
        <f t="shared" si="347"/>
        <v>-0.97710251165467699</v>
      </c>
      <c r="IU94" s="929">
        <f t="shared" si="347"/>
        <v>101.58089033659066</v>
      </c>
      <c r="IV94" s="929">
        <f>+IFERROR(IE94/IB94-1,"")</f>
        <v>1069.3752246297524</v>
      </c>
      <c r="IX94" s="102">
        <f t="shared" si="279"/>
        <v>-8.4136686000000012</v>
      </c>
      <c r="IY94" s="102">
        <f t="shared" si="279"/>
        <v>-18.250244739999999</v>
      </c>
      <c r="IZ94" s="102">
        <f t="shared" si="279"/>
        <v>49.92894776</v>
      </c>
      <c r="JA94" s="102">
        <f t="shared" si="279"/>
        <v>-4.5451709999999992E-2</v>
      </c>
      <c r="JB94" s="102">
        <f t="shared" si="279"/>
        <v>4.4410979999999989E-2</v>
      </c>
      <c r="JC94" s="102">
        <f t="shared" si="279"/>
        <v>-0.10571828</v>
      </c>
      <c r="JD94" s="102">
        <f t="shared" si="328"/>
        <v>-114.16544029999999</v>
      </c>
      <c r="JF94" s="32">
        <f t="shared" si="329"/>
        <v>-1.0983104221953099E-3</v>
      </c>
      <c r="JG94" s="32">
        <f t="shared" si="329"/>
        <v>-1.3644117717264911E-3</v>
      </c>
      <c r="JH94" s="32">
        <f t="shared" si="329"/>
        <v>-1.9488265449299075E-3</v>
      </c>
      <c r="JI94" s="32">
        <f t="shared" si="329"/>
        <v>-5.337668764618689E-3</v>
      </c>
      <c r="JJ94" s="32">
        <f t="shared" si="329"/>
        <v>0</v>
      </c>
      <c r="JK94" s="32">
        <f t="shared" si="329"/>
        <v>-6.5479978733658869E-6</v>
      </c>
      <c r="JL94" s="32">
        <f t="shared" si="329"/>
        <v>-1.9675562160249442E-7</v>
      </c>
      <c r="JM94" s="32">
        <f t="shared" si="342"/>
        <v>-1.6758681208506449E-2</v>
      </c>
      <c r="JO94" s="102">
        <f t="shared" si="330"/>
        <v>5.3139082500000008</v>
      </c>
      <c r="JP94" s="102">
        <f t="shared" si="330"/>
        <v>-2.462697679999998</v>
      </c>
      <c r="JQ94" s="102">
        <f t="shared" si="330"/>
        <v>0.78198698</v>
      </c>
      <c r="JR94" s="102">
        <f t="shared" si="330"/>
        <v>-25.67900783</v>
      </c>
      <c r="JS94" s="102">
        <f t="shared" si="330"/>
        <v>0</v>
      </c>
      <c r="JT94" s="102">
        <f t="shared" si="331"/>
        <v>-2.4156399999999997E-3</v>
      </c>
      <c r="JU94" s="102">
        <f t="shared" si="332"/>
        <v>-4.4107600000000005E-3</v>
      </c>
      <c r="JV94" s="102">
        <f t="shared" si="332"/>
        <v>-6.3022199999999999E-3</v>
      </c>
      <c r="JW94" s="102">
        <f t="shared" si="333"/>
        <v>0.53663494999999994</v>
      </c>
      <c r="JX94" s="102">
        <f t="shared" si="334"/>
        <v>-20.45</v>
      </c>
      <c r="JY94" s="102">
        <f t="shared" si="335"/>
        <v>6.0755580299999865</v>
      </c>
      <c r="KB94" s="32">
        <f t="shared" si="336"/>
        <v>-1.3175326741689222</v>
      </c>
      <c r="KC94" s="32">
        <f t="shared" si="336"/>
        <v>-33.838152663360198</v>
      </c>
      <c r="KD94" s="32">
        <f t="shared" si="336"/>
        <v>-1</v>
      </c>
      <c r="KE94" s="32" t="str">
        <f t="shared" si="336"/>
        <v xml:space="preserve"> </v>
      </c>
      <c r="KF94" s="32">
        <f t="shared" si="336"/>
        <v>0.82591776920402094</v>
      </c>
      <c r="KG94" s="32">
        <f t="shared" si="336"/>
        <v>0.4288285918979946</v>
      </c>
      <c r="KH94" s="32">
        <f t="shared" si="337"/>
        <v>-965.03458305168442</v>
      </c>
      <c r="KJ94" s="102">
        <f t="shared" si="338"/>
        <v>3.2446846599999981</v>
      </c>
      <c r="KK94" s="102">
        <f t="shared" si="338"/>
        <v>-26.460994809999999</v>
      </c>
      <c r="KL94" s="102">
        <f t="shared" si="338"/>
        <v>25.67900783</v>
      </c>
      <c r="KM94" s="102">
        <f t="shared" si="338"/>
        <v>-2.4156399999999997E-3</v>
      </c>
      <c r="KN94" s="102">
        <f t="shared" si="338"/>
        <v>-1.9951200000000008E-3</v>
      </c>
      <c r="KO94" s="102">
        <f t="shared" si="338"/>
        <v>-1.8914599999999993E-3</v>
      </c>
      <c r="KP94" s="102">
        <f t="shared" si="339"/>
        <v>6.0818602499999868</v>
      </c>
      <c r="KR94" s="32">
        <f t="shared" si="340"/>
        <v>1.6575798868780048E-3</v>
      </c>
      <c r="KS94" s="32">
        <f t="shared" si="340"/>
        <v>-7.3223839556104601E-4</v>
      </c>
      <c r="KT94" s="32">
        <f t="shared" si="340"/>
        <v>3.116810926758169E-4</v>
      </c>
      <c r="KU94" s="32">
        <f t="shared" si="340"/>
        <v>-2.8702307461144921E-2</v>
      </c>
      <c r="KV94" s="32">
        <f t="shared" si="340"/>
        <v>0</v>
      </c>
      <c r="KW94" s="32">
        <f t="shared" si="340"/>
        <v>-2.3822379599105244E-6</v>
      </c>
      <c r="KX94" s="32">
        <f t="shared" si="340"/>
        <v>-5.0285240061808867E-6</v>
      </c>
      <c r="KY94" s="32">
        <f t="shared" si="340"/>
        <v>-4.1187888160035698E-6</v>
      </c>
      <c r="KZ94" s="32">
        <f t="shared" si="306"/>
        <v>1.6577908586911553E-2</v>
      </c>
    </row>
    <row r="95" spans="1:312" outlineLevel="2">
      <c r="A95" s="884">
        <v>5395</v>
      </c>
      <c r="B95" s="70" t="s">
        <v>680</v>
      </c>
      <c r="C95" s="399" t="s">
        <v>643</v>
      </c>
      <c r="D95" s="307" t="s">
        <v>59</v>
      </c>
      <c r="E95" s="931">
        <v>-0.82899999999999996</v>
      </c>
      <c r="F95" s="931">
        <v>0</v>
      </c>
      <c r="G95" s="931">
        <v>-9.000000000000008E-2</v>
      </c>
      <c r="H95" s="931">
        <v>-9.0001999999999915E-2</v>
      </c>
      <c r="I95" s="931">
        <v>-0.29360000000000008</v>
      </c>
      <c r="J95" s="931">
        <v>-0.57023399999999991</v>
      </c>
      <c r="K95" s="931">
        <v>-5.0000000000000044E-2</v>
      </c>
      <c r="L95" s="931">
        <v>-7.0000000000000062E-2</v>
      </c>
      <c r="M95" s="931">
        <v>0</v>
      </c>
      <c r="N95" s="931">
        <v>-22.890999999999998</v>
      </c>
      <c r="O95" s="931">
        <v>-0.37690399999999968</v>
      </c>
      <c r="P95" s="931">
        <v>0</v>
      </c>
      <c r="Q95" s="931">
        <v>-0.308</v>
      </c>
      <c r="R95" s="931">
        <v>-0.98699999999999988</v>
      </c>
      <c r="S95" s="931">
        <v>-13.798999999999999</v>
      </c>
      <c r="T95" s="931">
        <v>-2.5900000000000016</v>
      </c>
      <c r="U95" s="931">
        <v>0.14900000000000091</v>
      </c>
      <c r="V95" s="931">
        <v>-0.26800000000000068</v>
      </c>
      <c r="W95" s="931">
        <v>0.26800000000000068</v>
      </c>
      <c r="X95" s="931">
        <v>0</v>
      </c>
      <c r="Y95" s="931">
        <v>-0.35000000000000142</v>
      </c>
      <c r="Z95" s="931">
        <v>-0.29999999999999716</v>
      </c>
      <c r="AA95" s="931">
        <v>0</v>
      </c>
      <c r="AB95" s="931">
        <v>0</v>
      </c>
      <c r="AC95" s="931">
        <v>0</v>
      </c>
      <c r="AD95" s="931">
        <v>-0.4</v>
      </c>
      <c r="AE95" s="931">
        <v>-2.3E-2</v>
      </c>
      <c r="AF95" s="931">
        <v>-44.152999999999999</v>
      </c>
      <c r="AG95" s="931">
        <v>0</v>
      </c>
      <c r="AH95" s="931">
        <v>-0.26800000000000002</v>
      </c>
      <c r="AI95" s="931">
        <v>-0.124</v>
      </c>
      <c r="AJ95" s="931">
        <v>-2.37</v>
      </c>
      <c r="AK95" s="931">
        <v>-1.6256999999999999</v>
      </c>
      <c r="AL95" s="931">
        <v>-0.3</v>
      </c>
      <c r="AM95" s="931">
        <v>-7.0279999999999996</v>
      </c>
      <c r="AN95" s="931">
        <v>-278.29320767000002</v>
      </c>
      <c r="AO95" s="931">
        <v>-1.0869999999999997</v>
      </c>
      <c r="AP95" s="932">
        <v>-15.513</v>
      </c>
      <c r="AQ95" s="936">
        <v>-52.658799999999999</v>
      </c>
      <c r="AR95" s="936">
        <v>-172.206896</v>
      </c>
      <c r="AS95" s="931">
        <v>-20.654947589999999</v>
      </c>
      <c r="AT95" s="931">
        <v>-45.560494900000002</v>
      </c>
      <c r="AU95" s="931">
        <v>-8.80615785</v>
      </c>
      <c r="AV95" s="931">
        <v>-1.59</v>
      </c>
      <c r="AW95" s="931">
        <v>-32.731589460000002</v>
      </c>
      <c r="AX95" s="931">
        <v>-4.83558238</v>
      </c>
      <c r="AY95" s="931">
        <v>-0.58000616999999999</v>
      </c>
      <c r="AZ95" s="931">
        <f>-1.272067+116</f>
        <v>114.72793299999999</v>
      </c>
      <c r="BA95" s="931"/>
      <c r="BB95" s="931"/>
      <c r="BC95" s="931"/>
      <c r="BD95" s="931"/>
      <c r="BE95" s="931"/>
      <c r="BF95" s="931"/>
      <c r="BG95" s="931"/>
      <c r="BH95" s="931"/>
      <c r="BI95" s="931"/>
      <c r="BJ95" s="931"/>
      <c r="BK95" s="931"/>
      <c r="BL95" s="931"/>
      <c r="BM95" s="102">
        <v>-0.32970100000000002</v>
      </c>
      <c r="BN95" s="931">
        <v>-0.23499999999999999</v>
      </c>
      <c r="BO95" s="931">
        <v>-1.02028702</v>
      </c>
      <c r="BP95" s="931">
        <v>-0.15094299999999999</v>
      </c>
      <c r="BQ95" s="931">
        <v>-5.4709004000000006</v>
      </c>
      <c r="BR95" s="931">
        <v>-2.7087270000000001</v>
      </c>
      <c r="BS95" s="931">
        <v>-0.88987400000000005</v>
      </c>
      <c r="BT95" s="931">
        <v>-3.301142</v>
      </c>
      <c r="BU95" s="931">
        <v>-2.8692700000000002</v>
      </c>
      <c r="BV95" s="931">
        <v>-0.50418830999999997</v>
      </c>
      <c r="BW95" s="931">
        <v>-19.604126999999998</v>
      </c>
      <c r="BX95" s="931">
        <v>-129.92496229</v>
      </c>
      <c r="BY95" s="931">
        <v>-0.47653000000000001</v>
      </c>
      <c r="BZ95" s="931">
        <v>-0.69920916</v>
      </c>
      <c r="CA95" s="931">
        <v>-3.3344</v>
      </c>
      <c r="CB95" s="931">
        <v>-0.196182</v>
      </c>
      <c r="CC95" s="931">
        <v>-3.0104060000000001</v>
      </c>
      <c r="CD95" s="931">
        <v>-0.133851</v>
      </c>
      <c r="CE95" s="931">
        <v>-0.33667599999999998</v>
      </c>
      <c r="CF95" s="931">
        <v>-11.687735869999999</v>
      </c>
      <c r="CG95" s="931">
        <v>-1.4875449999999999</v>
      </c>
      <c r="CH95" s="931">
        <v>-0.79588099999999995</v>
      </c>
      <c r="CI95" s="931">
        <v>1.71656718</v>
      </c>
      <c r="CJ95" s="931">
        <v>-5.8273809999999999</v>
      </c>
      <c r="CK95" s="931">
        <v>1.3927999999999999E-2</v>
      </c>
      <c r="CL95" s="931">
        <v>-1.3566929999999999</v>
      </c>
      <c r="CM95" s="931">
        <v>-2.8839790000000001</v>
      </c>
      <c r="CN95" s="931">
        <v>-27.676676390000001</v>
      </c>
      <c r="CO95" s="931">
        <v>-4.5225109999999997</v>
      </c>
      <c r="CP95" s="931">
        <v>-1.4175</v>
      </c>
      <c r="CQ95" s="931">
        <v>-11.075915999999999</v>
      </c>
      <c r="CR95" s="931">
        <v>-1.173794</v>
      </c>
      <c r="CS95" s="931">
        <v>-2.0090409999999999</v>
      </c>
      <c r="CT95" s="931">
        <v>-2.4764430000000002</v>
      </c>
      <c r="CU95" s="931">
        <v>-5.1451589999999996</v>
      </c>
      <c r="CV95" s="931">
        <v>-11.361280000000001</v>
      </c>
      <c r="CW95" s="931">
        <v>-2.4366120000000002</v>
      </c>
      <c r="CX95" s="931">
        <v>-5.2193659999999999</v>
      </c>
      <c r="CY95" s="931">
        <v>-2.2921179999999999</v>
      </c>
      <c r="CZ95" s="931">
        <v>-2.9851000000000001</v>
      </c>
      <c r="DA95" s="931">
        <v>-0.63300000000000001</v>
      </c>
      <c r="DB95" s="931">
        <v>-1.6435</v>
      </c>
      <c r="DC95" s="931">
        <v>-4.2882340000000001</v>
      </c>
      <c r="DD95" s="931">
        <v>-0.40445500000000001</v>
      </c>
      <c r="DE95" s="931">
        <v>-1.4097999999999999</v>
      </c>
      <c r="DF95" s="931">
        <v>-0.50690000000000002</v>
      </c>
      <c r="DG95" s="931">
        <v>-3.3203299999999998</v>
      </c>
      <c r="DH95" s="931">
        <v>-2.9214140400000002</v>
      </c>
      <c r="DJ95" s="931"/>
      <c r="DK95" s="931"/>
      <c r="DL95" s="931"/>
      <c r="DM95" s="931"/>
      <c r="DN95" s="931"/>
      <c r="DO95" s="931"/>
      <c r="DP95" s="931"/>
      <c r="DQ95" s="931"/>
      <c r="DR95" s="931"/>
      <c r="DS95" s="931"/>
      <c r="DT95" s="931"/>
      <c r="DU95" s="931"/>
      <c r="DW95" s="931">
        <v>0</v>
      </c>
      <c r="DX95" s="931">
        <v>-2</v>
      </c>
      <c r="DY95" s="931">
        <v>-2</v>
      </c>
      <c r="DZ95" s="931">
        <v>-2</v>
      </c>
      <c r="EA95" s="931">
        <v>0</v>
      </c>
      <c r="EB95" s="931">
        <v>0</v>
      </c>
      <c r="EC95" s="931">
        <v>0</v>
      </c>
      <c r="ED95" s="931">
        <v>0</v>
      </c>
      <c r="EE95" s="931">
        <v>0</v>
      </c>
      <c r="EF95" s="931">
        <v>0</v>
      </c>
      <c r="EG95" s="931">
        <v>0</v>
      </c>
      <c r="EH95" s="931">
        <v>0</v>
      </c>
      <c r="EI95" s="931">
        <v>-0.5</v>
      </c>
      <c r="EJ95" s="931">
        <v>-0.5</v>
      </c>
      <c r="EK95" s="931">
        <v>-0.5</v>
      </c>
      <c r="EL95" s="931">
        <v>-0.5</v>
      </c>
      <c r="EM95" s="931">
        <v>-0.5</v>
      </c>
      <c r="EN95" s="931">
        <v>-0.5</v>
      </c>
      <c r="EO95" s="931">
        <v>-0.5</v>
      </c>
      <c r="EP95" s="931">
        <v>-0.5</v>
      </c>
      <c r="EQ95" s="931">
        <v>-0.5</v>
      </c>
      <c r="ER95" s="931">
        <v>-0.5</v>
      </c>
      <c r="ES95" s="931">
        <v>-0.5</v>
      </c>
      <c r="ET95" s="931">
        <v>-0.5</v>
      </c>
      <c r="EU95" s="931"/>
      <c r="EV95" s="931"/>
      <c r="EW95" s="931"/>
      <c r="EX95" s="931"/>
      <c r="EY95" s="931"/>
      <c r="EZ95" s="931"/>
      <c r="FA95" s="931"/>
      <c r="FB95" s="931"/>
      <c r="FC95" s="931"/>
      <c r="FD95" s="931"/>
      <c r="FE95" s="931"/>
      <c r="FF95" s="931"/>
      <c r="FG95" s="932"/>
      <c r="FH95" s="932"/>
      <c r="FI95" s="932"/>
      <c r="FJ95" s="932"/>
      <c r="FK95" s="932"/>
      <c r="FL95" s="932"/>
      <c r="FM95" s="932"/>
      <c r="FN95" s="932"/>
      <c r="FO95" s="932"/>
      <c r="FP95" s="932"/>
      <c r="FQ95" s="932"/>
      <c r="FR95" s="932"/>
      <c r="FS95" s="932"/>
      <c r="FT95" s="932"/>
      <c r="FU95" s="932"/>
      <c r="FV95" s="932"/>
      <c r="FW95" s="932"/>
      <c r="FX95" s="932"/>
      <c r="FY95" s="932"/>
      <c r="FZ95" s="932"/>
      <c r="GA95" s="932"/>
      <c r="GB95" s="932"/>
      <c r="GC95" s="932"/>
      <c r="GD95" s="932"/>
      <c r="GF95" s="931">
        <f t="shared" si="316"/>
        <v>-25.260739999999998</v>
      </c>
      <c r="GG95" s="931">
        <f t="shared" si="316"/>
        <v>-18.184999999999999</v>
      </c>
      <c r="GH95" s="931">
        <f t="shared" si="316"/>
        <v>-334.58490767000001</v>
      </c>
      <c r="GI95" s="931">
        <f t="shared" si="316"/>
        <v>-241.49654134999992</v>
      </c>
      <c r="GJ95" s="931">
        <f t="shared" si="341"/>
        <v>0</v>
      </c>
      <c r="GK95" s="931">
        <f t="shared" si="265"/>
        <v>-167.00912202000001</v>
      </c>
      <c r="GL95" s="931">
        <f t="shared" si="256"/>
        <v>-26.269229850000002</v>
      </c>
      <c r="GM95" s="931">
        <f t="shared" si="257"/>
        <v>-71.085064389999999</v>
      </c>
      <c r="GN95" s="931">
        <f t="shared" si="258"/>
        <v>0</v>
      </c>
      <c r="GO95" s="931">
        <v>-28.060829039999994</v>
      </c>
      <c r="GQ95" s="934">
        <f t="shared" si="317"/>
        <v>17.398950105581523</v>
      </c>
      <c r="GR95" s="934">
        <f t="shared" si="317"/>
        <v>-0.27822045820372998</v>
      </c>
      <c r="GS95" s="934">
        <f t="shared" si="317"/>
        <v>-1</v>
      </c>
      <c r="GT95" s="934" t="str">
        <f t="shared" si="317"/>
        <v/>
      </c>
      <c r="GU95" s="934">
        <f t="shared" si="317"/>
        <v>-0.84270781420637519</v>
      </c>
      <c r="GV95" s="934">
        <f t="shared" si="317"/>
        <v>1.706020115393676</v>
      </c>
      <c r="GW95" s="934">
        <f t="shared" si="317"/>
        <v>-1</v>
      </c>
      <c r="GX95" s="934" t="str">
        <f t="shared" si="317"/>
        <v/>
      </c>
      <c r="GY95" s="934">
        <f t="shared" si="249"/>
        <v>-0.60525000179999133</v>
      </c>
      <c r="HA95" s="931">
        <f t="shared" si="318"/>
        <v>-316.39990767</v>
      </c>
      <c r="HB95" s="931">
        <f t="shared" si="318"/>
        <v>93.088366320000091</v>
      </c>
      <c r="HC95" s="931">
        <f t="shared" si="318"/>
        <v>241.49654134999992</v>
      </c>
      <c r="HD95" s="931">
        <f t="shared" si="318"/>
        <v>-167.00912202000001</v>
      </c>
      <c r="HE95" s="931">
        <f t="shared" si="226"/>
        <v>140.73989217000002</v>
      </c>
      <c r="HF95" s="931">
        <f t="shared" si="226"/>
        <v>-44.815834539999997</v>
      </c>
      <c r="HG95" s="931">
        <f t="shared" si="226"/>
        <v>71.085064389999999</v>
      </c>
      <c r="HH95" s="931">
        <f t="shared" si="226"/>
        <v>-28.060829039999994</v>
      </c>
      <c r="HI95" s="931">
        <f t="shared" si="251"/>
        <v>43.024235350000005</v>
      </c>
      <c r="HK95" s="230">
        <f t="shared" si="319"/>
        <v>-4.9475884612774858E-4</v>
      </c>
      <c r="HL95" s="230">
        <f t="shared" si="319"/>
        <v>-8.4956723904253007E-3</v>
      </c>
      <c r="HM95" s="230">
        <f t="shared" si="319"/>
        <v>-1.4329771992386584E-2</v>
      </c>
      <c r="HN95" s="230">
        <f t="shared" si="319"/>
        <v>0</v>
      </c>
      <c r="HO95" s="230">
        <f t="shared" si="319"/>
        <v>-1.2254119122216453E-2</v>
      </c>
      <c r="HP95" s="230">
        <f t="shared" si="319"/>
        <v>-1.8564126369287552E-3</v>
      </c>
      <c r="HQ95" s="230">
        <f t="shared" si="319"/>
        <v>-3.3484332388014396E-3</v>
      </c>
      <c r="HR95" s="230">
        <f t="shared" si="319"/>
        <v>0</v>
      </c>
      <c r="HS95" s="230">
        <f t="shared" si="319"/>
        <v>-2.2235403953007001E-3</v>
      </c>
      <c r="HU95" s="931">
        <f t="shared" si="320"/>
        <v>-1.8728359999999999</v>
      </c>
      <c r="HV95" s="931">
        <f t="shared" si="320"/>
        <v>-17.803000000000001</v>
      </c>
      <c r="HW95" s="931">
        <f t="shared" si="320"/>
        <v>-44.844000000000001</v>
      </c>
      <c r="HX95" s="931">
        <f t="shared" si="320"/>
        <v>-307.68113848999997</v>
      </c>
      <c r="HY95" s="931">
        <f t="shared" si="320"/>
        <v>0</v>
      </c>
      <c r="HZ95" s="931">
        <f t="shared" si="320"/>
        <v>-9.91555842</v>
      </c>
      <c r="IA95" s="931">
        <f t="shared" si="321"/>
        <v>-7.8505781599999995</v>
      </c>
      <c r="IB95" s="931">
        <f t="shared" si="322"/>
        <v>-37.843431389999999</v>
      </c>
      <c r="IC95" s="931">
        <f t="shared" si="323"/>
        <v>-15.209695999999997</v>
      </c>
      <c r="ID95" s="931">
        <f t="shared" si="253"/>
        <v>0</v>
      </c>
      <c r="IE95" s="931">
        <f t="shared" si="324"/>
        <v>0</v>
      </c>
      <c r="IG95" s="931">
        <f t="shared" si="254"/>
        <v>-15.209695999999997</v>
      </c>
      <c r="IH95" s="931">
        <f t="shared" si="254"/>
        <v>0</v>
      </c>
      <c r="II95" s="145"/>
      <c r="IJ95" s="934" t="str">
        <f t="shared" si="325"/>
        <v/>
      </c>
      <c r="IK95" s="935">
        <f t="shared" si="275"/>
        <v>-15.209695999999997</v>
      </c>
      <c r="IM95" s="230">
        <f t="shared" si="326"/>
        <v>-2.3390233021946629E-3</v>
      </c>
      <c r="IN95" s="934">
        <f t="shared" si="327"/>
        <v>0</v>
      </c>
      <c r="IP95" s="934">
        <f t="shared" si="347"/>
        <v>1.5189013087681853</v>
      </c>
      <c r="IQ95" s="934">
        <f t="shared" si="347"/>
        <v>5.8611439320756391</v>
      </c>
      <c r="IR95" s="934">
        <f t="shared" si="347"/>
        <v>-1</v>
      </c>
      <c r="IS95" s="934" t="str">
        <f t="shared" si="347"/>
        <v/>
      </c>
      <c r="IT95" s="934">
        <f t="shared" si="347"/>
        <v>-0.20825657744448045</v>
      </c>
      <c r="IU95" s="934">
        <f t="shared" si="347"/>
        <v>3.8204642535525055</v>
      </c>
      <c r="IV95" s="934">
        <f>+IFERROR(IE95/IB95-1,"")</f>
        <v>-1</v>
      </c>
      <c r="IX95" s="931">
        <f t="shared" si="279"/>
        <v>-27.041</v>
      </c>
      <c r="IY95" s="931">
        <f t="shared" si="279"/>
        <v>-262.83713848999997</v>
      </c>
      <c r="IZ95" s="931">
        <f t="shared" si="279"/>
        <v>307.68113848999997</v>
      </c>
      <c r="JA95" s="931">
        <f t="shared" si="279"/>
        <v>-9.91555842</v>
      </c>
      <c r="JB95" s="931">
        <f t="shared" si="279"/>
        <v>2.0649802600000005</v>
      </c>
      <c r="JC95" s="931">
        <f t="shared" si="279"/>
        <v>-29.992853230000001</v>
      </c>
      <c r="JD95" s="931">
        <f t="shared" si="328"/>
        <v>37.843431389999999</v>
      </c>
      <c r="JF95" s="230">
        <f t="shared" si="329"/>
        <v>-1.1709128635592181E-4</v>
      </c>
      <c r="JG95" s="230">
        <f t="shared" si="329"/>
        <v>-1.0440828211784234E-3</v>
      </c>
      <c r="JH95" s="230">
        <f t="shared" si="329"/>
        <v>-2.7587359724185064E-3</v>
      </c>
      <c r="JI95" s="230">
        <f t="shared" si="329"/>
        <v>-3.2892742107737738E-2</v>
      </c>
      <c r="JJ95" s="230">
        <f t="shared" si="329"/>
        <v>0</v>
      </c>
      <c r="JK95" s="230">
        <f t="shared" si="329"/>
        <v>-1.4284843286951189E-3</v>
      </c>
      <c r="JL95" s="230">
        <f t="shared" si="329"/>
        <v>-1.4841941577640374E-3</v>
      </c>
      <c r="JM95" s="230">
        <f t="shared" si="342"/>
        <v>0</v>
      </c>
      <c r="JO95" s="931">
        <f t="shared" si="330"/>
        <v>-0.57023399999999991</v>
      </c>
      <c r="JP95" s="931">
        <f t="shared" si="330"/>
        <v>-0.26800000000000068</v>
      </c>
      <c r="JQ95" s="931">
        <f t="shared" si="330"/>
        <v>-0.26800000000000002</v>
      </c>
      <c r="JR95" s="931">
        <f t="shared" si="330"/>
        <v>-45.560494900000002</v>
      </c>
      <c r="JS95" s="931">
        <f t="shared" si="330"/>
        <v>0</v>
      </c>
      <c r="JT95" s="931">
        <f t="shared" si="331"/>
        <v>-2.7087270000000001</v>
      </c>
      <c r="JU95" s="931">
        <f t="shared" si="332"/>
        <v>-0.133851</v>
      </c>
      <c r="JV95" s="931">
        <f t="shared" si="332"/>
        <v>-1.4175</v>
      </c>
      <c r="JW95" s="931">
        <f t="shared" si="333"/>
        <v>-1.6435</v>
      </c>
      <c r="JX95" s="931">
        <f t="shared" si="334"/>
        <v>0</v>
      </c>
      <c r="JY95" s="931">
        <f t="shared" si="335"/>
        <v>0</v>
      </c>
      <c r="KB95" s="230">
        <f t="shared" si="336"/>
        <v>-2.4424906541753444E-15</v>
      </c>
      <c r="KC95" s="230">
        <f t="shared" si="336"/>
        <v>169.00184664179105</v>
      </c>
      <c r="KD95" s="230">
        <f t="shared" si="336"/>
        <v>-1</v>
      </c>
      <c r="KE95" s="230" t="str">
        <f t="shared" si="336"/>
        <v xml:space="preserve"> </v>
      </c>
      <c r="KF95" s="230">
        <f t="shared" si="336"/>
        <v>-0.95058527492803813</v>
      </c>
      <c r="KG95" s="230">
        <f t="shared" si="336"/>
        <v>9.5901338055001464</v>
      </c>
      <c r="KH95" s="230">
        <f t="shared" si="337"/>
        <v>-1</v>
      </c>
      <c r="KJ95" s="931">
        <f t="shared" si="338"/>
        <v>6.6613381477509392E-16</v>
      </c>
      <c r="KK95" s="931">
        <f t="shared" si="338"/>
        <v>-45.292494900000001</v>
      </c>
      <c r="KL95" s="931">
        <f t="shared" si="338"/>
        <v>45.560494900000002</v>
      </c>
      <c r="KM95" s="931">
        <f t="shared" si="338"/>
        <v>-2.7087270000000001</v>
      </c>
      <c r="KN95" s="931">
        <f t="shared" si="338"/>
        <v>2.5748760000000002</v>
      </c>
      <c r="KO95" s="931">
        <f t="shared" si="338"/>
        <v>-1.283649</v>
      </c>
      <c r="KP95" s="931">
        <f t="shared" si="339"/>
        <v>1.4175</v>
      </c>
      <c r="KR95" s="230">
        <f t="shared" si="340"/>
        <v>-1.778744315380289E-4</v>
      </c>
      <c r="KS95" s="230">
        <f t="shared" si="340"/>
        <v>-7.9684929093838666E-5</v>
      </c>
      <c r="KT95" s="230">
        <f t="shared" si="340"/>
        <v>-1.0681831663887669E-4</v>
      </c>
      <c r="KU95" s="230">
        <f t="shared" si="340"/>
        <v>-5.0924527199761566E-2</v>
      </c>
      <c r="KV95" s="230">
        <f t="shared" si="340"/>
        <v>0</v>
      </c>
      <c r="KW95" s="230">
        <f t="shared" si="340"/>
        <v>-2.6712723263543226E-3</v>
      </c>
      <c r="KX95" s="230">
        <f t="shared" si="340"/>
        <v>-1.5259795743847266E-4</v>
      </c>
      <c r="KY95" s="230">
        <f t="shared" si="340"/>
        <v>-9.2640103752091485E-4</v>
      </c>
      <c r="KZ95" s="230">
        <f t="shared" si="306"/>
        <v>0</v>
      </c>
    </row>
    <row r="96" spans="1:312" outlineLevel="1">
      <c r="A96" s="867"/>
      <c r="B96" s="71"/>
      <c r="E96" s="66"/>
      <c r="F96" s="66"/>
      <c r="G96" s="66"/>
      <c r="H96" s="66"/>
      <c r="I96" s="66"/>
      <c r="J96" s="66"/>
      <c r="K96" s="66"/>
      <c r="L96" s="66"/>
      <c r="M96" s="66"/>
      <c r="N96" s="66"/>
      <c r="O96" s="66"/>
      <c r="P96" s="66"/>
      <c r="Q96" s="102"/>
      <c r="R96" s="66"/>
      <c r="S96" s="66"/>
      <c r="T96" s="66"/>
      <c r="U96" s="66"/>
      <c r="V96" s="66"/>
      <c r="W96" s="66"/>
      <c r="X96" s="66"/>
      <c r="Y96" s="66"/>
      <c r="Z96" s="66"/>
      <c r="AA96" s="66"/>
      <c r="AB96" s="66"/>
      <c r="AC96" s="102"/>
      <c r="AD96" s="66"/>
      <c r="AE96" s="66"/>
      <c r="AF96" s="66"/>
      <c r="AG96" s="66"/>
      <c r="AH96" s="66"/>
      <c r="AI96" s="66"/>
      <c r="AJ96" s="66"/>
      <c r="AK96" s="66"/>
      <c r="AL96" s="66"/>
      <c r="AM96" s="66"/>
      <c r="AN96" s="66"/>
      <c r="AO96" s="66"/>
      <c r="AP96" s="88"/>
      <c r="AQ96" s="942"/>
      <c r="AR96" s="942"/>
      <c r="AS96" s="66"/>
      <c r="AT96" s="66"/>
      <c r="AU96" s="66"/>
      <c r="AV96" s="66"/>
      <c r="AW96" s="66"/>
      <c r="AX96" s="66"/>
      <c r="AY96" s="66"/>
      <c r="AZ96" s="66"/>
      <c r="BA96" s="66"/>
      <c r="BB96" s="66"/>
      <c r="BC96" s="66"/>
      <c r="BD96" s="66"/>
      <c r="BE96" s="66"/>
      <c r="BF96" s="66"/>
      <c r="BG96" s="66"/>
      <c r="BH96" s="66"/>
      <c r="BI96" s="66"/>
      <c r="BJ96" s="66"/>
      <c r="BK96" s="66"/>
      <c r="BL96" s="66"/>
      <c r="BM96" s="1540"/>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J96" s="66"/>
      <c r="DK96" s="66"/>
      <c r="DL96" s="66"/>
      <c r="DM96" s="66"/>
      <c r="DN96" s="66"/>
      <c r="DO96" s="66"/>
      <c r="DP96" s="66"/>
      <c r="DQ96" s="66"/>
      <c r="DR96" s="66"/>
      <c r="DS96" s="66"/>
      <c r="DT96" s="66"/>
      <c r="DU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F96" s="66"/>
      <c r="GG96" s="66"/>
      <c r="GH96" s="66"/>
      <c r="GI96" s="66"/>
      <c r="GJ96" s="66"/>
      <c r="GK96" s="66"/>
      <c r="GL96" s="66">
        <f t="shared" si="256"/>
        <v>0</v>
      </c>
      <c r="GM96" s="66">
        <f t="shared" si="257"/>
        <v>0</v>
      </c>
      <c r="GN96" s="66">
        <f t="shared" si="258"/>
        <v>0</v>
      </c>
      <c r="GO96" s="66">
        <v>0</v>
      </c>
      <c r="GQ96" s="50"/>
      <c r="GR96" s="50"/>
      <c r="GS96" s="50"/>
      <c r="GT96" s="922"/>
      <c r="GU96" s="922"/>
      <c r="GV96" s="922"/>
      <c r="GW96" s="922" t="str">
        <f t="shared" si="317"/>
        <v/>
      </c>
      <c r="GX96" s="50"/>
      <c r="GY96" s="922" t="str">
        <f t="shared" si="249"/>
        <v/>
      </c>
      <c r="HA96" s="66"/>
      <c r="HB96" s="66"/>
      <c r="HC96" s="66"/>
      <c r="HD96" s="66"/>
      <c r="HE96" s="66">
        <f t="shared" si="226"/>
        <v>0</v>
      </c>
      <c r="HF96" s="66">
        <f t="shared" si="226"/>
        <v>0</v>
      </c>
      <c r="HG96" s="66">
        <f t="shared" si="226"/>
        <v>0</v>
      </c>
      <c r="HH96" s="66"/>
      <c r="HI96" s="66">
        <f t="shared" si="251"/>
        <v>0</v>
      </c>
      <c r="HK96" s="50"/>
      <c r="HL96" s="50"/>
      <c r="HM96" s="50"/>
      <c r="HN96" s="50"/>
      <c r="HO96" s="50"/>
      <c r="HP96" s="50"/>
      <c r="HQ96" s="50"/>
      <c r="HR96" s="50"/>
      <c r="HS96" s="50"/>
      <c r="HU96" s="66"/>
      <c r="HV96" s="66"/>
      <c r="HW96" s="66"/>
      <c r="HX96" s="66"/>
      <c r="HY96" s="66"/>
      <c r="HZ96" s="66"/>
      <c r="IA96" s="66"/>
      <c r="IB96" s="66"/>
      <c r="IC96" s="66"/>
      <c r="ID96" s="66"/>
      <c r="IE96" s="66"/>
      <c r="IG96" s="66"/>
      <c r="IH96" s="66"/>
      <c r="II96" s="88"/>
      <c r="IJ96" s="50"/>
      <c r="IK96" s="66"/>
      <c r="IM96" s="50"/>
      <c r="IN96" s="50"/>
      <c r="IP96" s="50"/>
      <c r="IQ96" s="50"/>
      <c r="IR96" s="50"/>
      <c r="IS96" s="50"/>
      <c r="IT96" s="50"/>
      <c r="IU96" s="50"/>
      <c r="IV96" s="50"/>
      <c r="IX96" s="66"/>
      <c r="IY96" s="66"/>
      <c r="IZ96" s="66"/>
      <c r="JA96" s="66"/>
      <c r="JB96" s="66"/>
      <c r="JC96" s="66"/>
      <c r="JD96" s="66"/>
      <c r="JF96" s="50"/>
      <c r="JG96" s="50"/>
      <c r="JH96" s="50"/>
      <c r="JI96" s="50"/>
      <c r="JJ96" s="50"/>
      <c r="JK96" s="50"/>
      <c r="JL96" s="50"/>
      <c r="JM96" s="50"/>
      <c r="JO96" s="66"/>
      <c r="JP96" s="66"/>
      <c r="JQ96" s="66"/>
      <c r="JR96" s="66"/>
      <c r="JS96" s="66"/>
      <c r="JT96" s="66"/>
      <c r="JU96" s="66"/>
      <c r="JV96" s="66"/>
      <c r="JW96" s="66"/>
      <c r="JX96" s="66"/>
      <c r="JY96" s="66"/>
      <c r="KB96" s="50"/>
      <c r="KC96" s="50"/>
      <c r="KD96" s="50"/>
      <c r="KE96" s="50"/>
      <c r="KF96" s="50"/>
      <c r="KG96" s="50"/>
      <c r="KH96" s="50"/>
      <c r="KJ96" s="66"/>
      <c r="KK96" s="66"/>
      <c r="KL96" s="66"/>
      <c r="KM96" s="66"/>
      <c r="KN96" s="66"/>
      <c r="KO96" s="66"/>
      <c r="KP96" s="66"/>
      <c r="KR96" s="50"/>
      <c r="KS96" s="50"/>
      <c r="KT96" s="50"/>
      <c r="KU96" s="50"/>
      <c r="KV96" s="50"/>
      <c r="KW96" s="50"/>
      <c r="KX96" s="50"/>
      <c r="KY96" s="50"/>
      <c r="KZ96" s="50"/>
    </row>
    <row r="97" spans="1:312">
      <c r="A97" s="867"/>
      <c r="B97" s="71"/>
      <c r="C97" s="1524" t="s">
        <v>681</v>
      </c>
      <c r="D97" s="1525" t="s">
        <v>59</v>
      </c>
      <c r="E97" s="1526">
        <f t="shared" ref="E97:BP97" si="348">+E74+E77+E89</f>
        <v>-1349.5466311599998</v>
      </c>
      <c r="F97" s="1526">
        <f t="shared" si="348"/>
        <v>1058.5812629300003</v>
      </c>
      <c r="G97" s="1526">
        <f t="shared" si="348"/>
        <v>326.51559054000023</v>
      </c>
      <c r="H97" s="1526">
        <f t="shared" si="348"/>
        <v>577.82595246000062</v>
      </c>
      <c r="I97" s="1526">
        <f t="shared" si="348"/>
        <v>1442.3388058399985</v>
      </c>
      <c r="J97" s="1526">
        <f t="shared" si="348"/>
        <v>527.27448700999946</v>
      </c>
      <c r="K97" s="1526">
        <f t="shared" si="348"/>
        <v>763.0058817799985</v>
      </c>
      <c r="L97" s="1526">
        <f t="shared" si="348"/>
        <v>1489.1323805100014</v>
      </c>
      <c r="M97" s="1526">
        <f t="shared" si="348"/>
        <v>1493.0908242800015</v>
      </c>
      <c r="N97" s="1526">
        <f t="shared" si="348"/>
        <v>805.28608410999811</v>
      </c>
      <c r="O97" s="1526">
        <f t="shared" si="348"/>
        <v>1748.1848320700026</v>
      </c>
      <c r="P97" s="1526">
        <f t="shared" si="348"/>
        <v>49.867575789998256</v>
      </c>
      <c r="Q97" s="1526">
        <f t="shared" si="348"/>
        <v>-393.33825008999969</v>
      </c>
      <c r="R97" s="1526">
        <f t="shared" si="348"/>
        <v>1281.5565615599996</v>
      </c>
      <c r="S97" s="1526">
        <f t="shared" si="348"/>
        <v>-180.28245496000005</v>
      </c>
      <c r="T97" s="1526">
        <f t="shared" si="348"/>
        <v>-696.98788189999766</v>
      </c>
      <c r="U97" s="1526">
        <f t="shared" si="348"/>
        <v>1490.9964150200005</v>
      </c>
      <c r="V97" s="1526">
        <f t="shared" si="348"/>
        <v>1159.9416965399967</v>
      </c>
      <c r="W97" s="1526">
        <f t="shared" si="348"/>
        <v>537.35885423999889</v>
      </c>
      <c r="X97" s="1526">
        <f t="shared" si="348"/>
        <v>951.31155894000165</v>
      </c>
      <c r="Y97" s="1526">
        <f t="shared" si="348"/>
        <v>-656.5596341799984</v>
      </c>
      <c r="Z97" s="1526">
        <f t="shared" si="348"/>
        <v>32.65835464999644</v>
      </c>
      <c r="AA97" s="1526">
        <f t="shared" si="348"/>
        <v>2395.9791566300009</v>
      </c>
      <c r="AB97" s="1526">
        <f t="shared" si="348"/>
        <v>3058.3552988100078</v>
      </c>
      <c r="AC97" s="1526">
        <f t="shared" si="348"/>
        <v>-452.51189486000027</v>
      </c>
      <c r="AD97" s="1526">
        <f t="shared" si="348"/>
        <v>1711.4499305100003</v>
      </c>
      <c r="AE97" s="1526">
        <f t="shared" si="348"/>
        <v>392.04112929999974</v>
      </c>
      <c r="AF97" s="1526">
        <f t="shared" si="348"/>
        <v>747.07470670000055</v>
      </c>
      <c r="AG97" s="1526">
        <f t="shared" si="348"/>
        <v>649.09522317000039</v>
      </c>
      <c r="AH97" s="1526">
        <f t="shared" si="348"/>
        <v>423.74657507000046</v>
      </c>
      <c r="AI97" s="1526">
        <f t="shared" si="348"/>
        <v>262.30463010000005</v>
      </c>
      <c r="AJ97" s="1526">
        <f t="shared" si="348"/>
        <v>688.97249007000005</v>
      </c>
      <c r="AK97" s="1526">
        <f t="shared" si="348"/>
        <v>838.61599968999963</v>
      </c>
      <c r="AL97" s="1526">
        <f t="shared" si="348"/>
        <v>1176.9785385799996</v>
      </c>
      <c r="AM97" s="1526">
        <f t="shared" si="348"/>
        <v>3171.6571382200004</v>
      </c>
      <c r="AN97" s="1526">
        <f t="shared" si="348"/>
        <v>794.34297645999823</v>
      </c>
      <c r="AO97" s="1526">
        <f t="shared" si="348"/>
        <v>1107.4096440600003</v>
      </c>
      <c r="AP97" s="1526">
        <f t="shared" si="348"/>
        <v>-577.05567869999993</v>
      </c>
      <c r="AQ97" s="1526">
        <f t="shared" si="348"/>
        <v>-178.0077530300002</v>
      </c>
      <c r="AR97" s="1526">
        <f t="shared" si="348"/>
        <v>-709.02246402000026</v>
      </c>
      <c r="AS97" s="1526">
        <f t="shared" si="348"/>
        <v>-1281.7712199100004</v>
      </c>
      <c r="AT97" s="1526">
        <f t="shared" si="348"/>
        <v>-1112.9781586899999</v>
      </c>
      <c r="AU97" s="1526">
        <f t="shared" si="348"/>
        <v>123.74791900000044</v>
      </c>
      <c r="AV97" s="1526">
        <f t="shared" si="348"/>
        <v>-13.298573899999973</v>
      </c>
      <c r="AW97" s="1526">
        <f t="shared" si="348"/>
        <v>-268.05422885000047</v>
      </c>
      <c r="AX97" s="1526">
        <f t="shared" si="348"/>
        <v>-43.555994940000005</v>
      </c>
      <c r="AY97" s="1526">
        <f t="shared" si="348"/>
        <v>-582.75377264000008</v>
      </c>
      <c r="AZ97" s="1526">
        <f t="shared" si="348"/>
        <v>-1093.004841019999</v>
      </c>
      <c r="BA97" s="1526">
        <f t="shared" si="348"/>
        <v>24.359584859999998</v>
      </c>
      <c r="BB97" s="1526">
        <f t="shared" si="348"/>
        <v>-650.36709494000024</v>
      </c>
      <c r="BC97" s="1526">
        <f t="shared" si="348"/>
        <v>-915.36285868000004</v>
      </c>
      <c r="BD97" s="1526">
        <f t="shared" si="348"/>
        <v>-701.97909128000003</v>
      </c>
      <c r="BE97" s="1526">
        <f t="shared" si="348"/>
        <v>-454.51312524999997</v>
      </c>
      <c r="BF97" s="1526">
        <f t="shared" si="348"/>
        <v>-908.89802556999985</v>
      </c>
      <c r="BG97" s="1526">
        <f t="shared" si="348"/>
        <v>-508.96334026000005</v>
      </c>
      <c r="BH97" s="1526">
        <f t="shared" si="348"/>
        <v>-414.09438539000013</v>
      </c>
      <c r="BI97" s="1526">
        <f t="shared" si="348"/>
        <v>-133.82858430000007</v>
      </c>
      <c r="BJ97" s="1526">
        <f t="shared" si="348"/>
        <v>-237.76028342999996</v>
      </c>
      <c r="BK97" s="1526">
        <f t="shared" si="348"/>
        <v>-71.151688029999832</v>
      </c>
      <c r="BL97" s="1526">
        <f t="shared" si="348"/>
        <v>-408.89573148999972</v>
      </c>
      <c r="BM97" s="1526">
        <f t="shared" si="348"/>
        <v>123.44698306999993</v>
      </c>
      <c r="BN97" s="1526">
        <f t="shared" si="348"/>
        <v>140.34818187999997</v>
      </c>
      <c r="BO97" s="1526">
        <f t="shared" si="348"/>
        <v>91.924748239999929</v>
      </c>
      <c r="BP97" s="1526">
        <f t="shared" si="348"/>
        <v>295.60863498000037</v>
      </c>
      <c r="BQ97" s="1526">
        <f t="shared" ref="BQ97:DH97" si="349">+BQ74+BQ77+BQ89</f>
        <v>-11.4822601300001</v>
      </c>
      <c r="BR97" s="1526">
        <f t="shared" si="349"/>
        <v>90.135582020000058</v>
      </c>
      <c r="BS97" s="1526">
        <f t="shared" si="349"/>
        <v>61.057128020000079</v>
      </c>
      <c r="BT97" s="1526">
        <f t="shared" si="349"/>
        <v>44.022168460000159</v>
      </c>
      <c r="BU97" s="1526">
        <f t="shared" si="349"/>
        <v>-43.153211829999861</v>
      </c>
      <c r="BV97" s="1526">
        <f t="shared" si="349"/>
        <v>261.98080613999974</v>
      </c>
      <c r="BW97" s="1526">
        <f t="shared" si="349"/>
        <v>188.85485309000035</v>
      </c>
      <c r="BX97" s="1526">
        <f t="shared" si="349"/>
        <v>-64.510605569999711</v>
      </c>
      <c r="BY97" s="1526">
        <f t="shared" si="349"/>
        <v>-155.39655519999991</v>
      </c>
      <c r="BZ97" s="1526">
        <f t="shared" si="349"/>
        <v>22.075449460000158</v>
      </c>
      <c r="CA97" s="1526">
        <f t="shared" si="349"/>
        <v>-61.512769169999871</v>
      </c>
      <c r="CB97" s="1526">
        <f t="shared" si="349"/>
        <v>-90.353418339999919</v>
      </c>
      <c r="CC97" s="1526">
        <f t="shared" si="349"/>
        <v>-137.22758993999992</v>
      </c>
      <c r="CD97" s="1526">
        <f t="shared" si="349"/>
        <v>-18.083400690000197</v>
      </c>
      <c r="CE97" s="1526">
        <f t="shared" si="349"/>
        <v>-160.47541692000007</v>
      </c>
      <c r="CF97" s="1526">
        <f t="shared" si="349"/>
        <v>489.31329980000021</v>
      </c>
      <c r="CG97" s="1526">
        <f t="shared" si="349"/>
        <v>-43.808465060000017</v>
      </c>
      <c r="CH97" s="1526">
        <f t="shared" si="349"/>
        <v>156.53165334000016</v>
      </c>
      <c r="CI97" s="1526">
        <f t="shared" si="349"/>
        <v>530.51425845000006</v>
      </c>
      <c r="CJ97" s="1526">
        <f t="shared" si="349"/>
        <v>229.48729348999981</v>
      </c>
      <c r="CK97" s="1526">
        <f t="shared" si="349"/>
        <v>114.61153242999967</v>
      </c>
      <c r="CL97" s="1526">
        <f t="shared" si="349"/>
        <v>-167.1875687900002</v>
      </c>
      <c r="CM97" s="1526">
        <f t="shared" si="349"/>
        <v>406.87187320999999</v>
      </c>
      <c r="CN97" s="1526">
        <f t="shared" si="349"/>
        <v>132.04099503999996</v>
      </c>
      <c r="CO97" s="1526">
        <f t="shared" si="349"/>
        <v>429.96789341999983</v>
      </c>
      <c r="CP97" s="1526">
        <f t="shared" si="349"/>
        <v>-48.026834360000208</v>
      </c>
      <c r="CQ97" s="1526">
        <f t="shared" si="349"/>
        <v>59.81053393000002</v>
      </c>
      <c r="CR97" s="1526">
        <f t="shared" si="349"/>
        <v>295.62067388000003</v>
      </c>
      <c r="CS97" s="1526">
        <f t="shared" si="349"/>
        <v>226.86529959999979</v>
      </c>
      <c r="CT97" s="1526">
        <f t="shared" si="349"/>
        <v>667.62432546000014</v>
      </c>
      <c r="CU97" s="1526">
        <f t="shared" si="349"/>
        <v>314.66271745000012</v>
      </c>
      <c r="CV97" s="1526">
        <f t="shared" si="349"/>
        <v>-166.90003843000034</v>
      </c>
      <c r="CW97" s="1526">
        <f t="shared" si="349"/>
        <v>311.65705161000005</v>
      </c>
      <c r="CX97" s="1526">
        <f t="shared" si="349"/>
        <v>130.4019356899995</v>
      </c>
      <c r="CY97" s="1526">
        <f t="shared" si="349"/>
        <v>902.39308659000039</v>
      </c>
      <c r="CZ97" s="1526">
        <f t="shared" si="349"/>
        <v>-345.67212746999991</v>
      </c>
      <c r="DA97" s="1526">
        <f t="shared" si="349"/>
        <v>-502.23518869999992</v>
      </c>
      <c r="DB97" s="1526">
        <f t="shared" si="349"/>
        <v>-343.46025253000005</v>
      </c>
      <c r="DC97" s="1526">
        <f t="shared" si="349"/>
        <v>-475.61307777000002</v>
      </c>
      <c r="DD97" s="1526">
        <f t="shared" si="349"/>
        <v>238.34541048000008</v>
      </c>
      <c r="DE97" s="1526">
        <f t="shared" si="349"/>
        <v>176.83278269999985</v>
      </c>
      <c r="DF97" s="1526">
        <f t="shared" si="349"/>
        <v>261.81495387000007</v>
      </c>
      <c r="DG97" s="1526">
        <f t="shared" si="349"/>
        <v>-281.60718725000027</v>
      </c>
      <c r="DH97" s="1526">
        <f t="shared" si="349"/>
        <v>62.099123049999889</v>
      </c>
      <c r="DI97" s="949"/>
      <c r="DJ97" s="1526">
        <f t="shared" ref="DJ97:DU97" si="350">+DJ74+DJ77+DJ89</f>
        <v>427.12788225999998</v>
      </c>
      <c r="DK97" s="1526">
        <f t="shared" si="350"/>
        <v>150.36818954999956</v>
      </c>
      <c r="DL97" s="1526">
        <f t="shared" si="350"/>
        <v>1093.3469584599995</v>
      </c>
      <c r="DM97" s="1526">
        <f t="shared" si="350"/>
        <v>-329.80676136</v>
      </c>
      <c r="DN97" s="1526">
        <f t="shared" si="350"/>
        <v>-275.42427940999994</v>
      </c>
      <c r="DO97" s="1526">
        <f t="shared" si="350"/>
        <v>-279.59201330000002</v>
      </c>
      <c r="DP97" s="1526">
        <f t="shared" si="350"/>
        <v>-279.68744202780385</v>
      </c>
      <c r="DQ97" s="1526">
        <f t="shared" si="350"/>
        <v>386.14578757947174</v>
      </c>
      <c r="DR97" s="1526">
        <f t="shared" si="350"/>
        <v>332.09350121997369</v>
      </c>
      <c r="DS97" s="1526">
        <f t="shared" si="350"/>
        <v>514.75749613839764</v>
      </c>
      <c r="DT97" s="1526">
        <f t="shared" si="350"/>
        <v>2.6050499108474412</v>
      </c>
      <c r="DU97" s="1526">
        <f t="shared" si="350"/>
        <v>-0.98283544997670447</v>
      </c>
      <c r="DW97" s="1526">
        <v>525.94830104875734</v>
      </c>
      <c r="DX97" s="1526">
        <v>-365.85247704603682</v>
      </c>
      <c r="DY97" s="1526">
        <v>-276.30764389944272</v>
      </c>
      <c r="DZ97" s="1526">
        <v>530.53407214958213</v>
      </c>
      <c r="EA97" s="1526">
        <v>209.46513121992473</v>
      </c>
      <c r="EB97" s="1526">
        <v>415.96461533372644</v>
      </c>
      <c r="EC97" s="1526">
        <v>1259.400709875511</v>
      </c>
      <c r="ED97" s="1526">
        <v>2083.4263988256171</v>
      </c>
      <c r="EE97" s="1526">
        <v>1270.4307948699484</v>
      </c>
      <c r="EF97" s="1526">
        <v>1510.4310466143179</v>
      </c>
      <c r="EG97" s="1526">
        <v>1343.049084825717</v>
      </c>
      <c r="EH97" s="1526">
        <v>942.91751057935778</v>
      </c>
      <c r="EI97" s="1526">
        <f>+EI74+EI77+EI89</f>
        <v>-385.87622524927866</v>
      </c>
      <c r="EJ97" s="1526">
        <f t="shared" ref="EJ97:GD97" si="351">+EJ74+EJ77+EJ89</f>
        <v>-238.62395522082295</v>
      </c>
      <c r="EK97" s="1526">
        <f t="shared" si="351"/>
        <v>299.8092619376024</v>
      </c>
      <c r="EL97" s="1526">
        <f t="shared" si="351"/>
        <v>-329.59431640424719</v>
      </c>
      <c r="EM97" s="1526">
        <f t="shared" si="351"/>
        <v>-59.836140963655623</v>
      </c>
      <c r="EN97" s="1526">
        <f t="shared" si="351"/>
        <v>158.58982735142439</v>
      </c>
      <c r="EO97" s="1526">
        <f t="shared" si="351"/>
        <v>229.60987415122318</v>
      </c>
      <c r="EP97" s="1526">
        <f t="shared" si="351"/>
        <v>307.22733514538675</v>
      </c>
      <c r="EQ97" s="1526">
        <f t="shared" si="351"/>
        <v>290.73069423268532</v>
      </c>
      <c r="ER97" s="1526">
        <f t="shared" si="351"/>
        <v>330.78855411196628</v>
      </c>
      <c r="ES97" s="1526">
        <f t="shared" si="351"/>
        <v>248.77762755559081</v>
      </c>
      <c r="ET97" s="1526">
        <f t="shared" si="351"/>
        <v>57.085976731483868</v>
      </c>
      <c r="EU97" s="1526">
        <f>+EU74+EU77+EU89</f>
        <v>-28.379050554977297</v>
      </c>
      <c r="EV97" s="1526">
        <f t="shared" si="351"/>
        <v>183.8032907577429</v>
      </c>
      <c r="EW97" s="1526">
        <f t="shared" si="351"/>
        <v>162.42729941304651</v>
      </c>
      <c r="EX97" s="1526">
        <f t="shared" si="351"/>
        <v>144.62979130004669</v>
      </c>
      <c r="EY97" s="1526">
        <f t="shared" si="351"/>
        <v>133.70275300562287</v>
      </c>
      <c r="EZ97" s="1526">
        <f t="shared" si="351"/>
        <v>137.99535995633477</v>
      </c>
      <c r="FA97" s="1526">
        <f t="shared" si="351"/>
        <v>154.5711894274545</v>
      </c>
      <c r="FB97" s="1526">
        <f t="shared" si="351"/>
        <v>-92.374004685289364</v>
      </c>
      <c r="FC97" s="1526">
        <f t="shared" si="351"/>
        <v>-150.70449155583344</v>
      </c>
      <c r="FD97" s="1526">
        <f t="shared" si="351"/>
        <v>-210.33233780583333</v>
      </c>
      <c r="FE97" s="1526">
        <f t="shared" si="351"/>
        <v>-152.80129480583349</v>
      </c>
      <c r="FF97" s="1526">
        <f t="shared" si="351"/>
        <v>-208.7206547158334</v>
      </c>
      <c r="FG97" s="1526">
        <f t="shared" si="351"/>
        <v>74.208906078453396</v>
      </c>
      <c r="FH97" s="1526">
        <f t="shared" si="351"/>
        <v>-34.018674242401985</v>
      </c>
      <c r="FI97" s="1526">
        <f t="shared" si="351"/>
        <v>-83.921393626282963</v>
      </c>
      <c r="FJ97" s="1526">
        <f t="shared" si="351"/>
        <v>-157.16722261023995</v>
      </c>
      <c r="FK97" s="1526">
        <f t="shared" si="351"/>
        <v>-47.612519626282818</v>
      </c>
      <c r="FL97" s="1526">
        <f t="shared" si="351"/>
        <v>-37.027208849736297</v>
      </c>
      <c r="FM97" s="1526">
        <f t="shared" si="351"/>
        <v>12.171830310691774</v>
      </c>
      <c r="FN97" s="1526">
        <f t="shared" si="351"/>
        <v>39.289479310691377</v>
      </c>
      <c r="FO97" s="1526">
        <f t="shared" si="351"/>
        <v>65.107283087238912</v>
      </c>
      <c r="FP97" s="1526">
        <f t="shared" si="351"/>
        <v>184.48651356852181</v>
      </c>
      <c r="FQ97" s="1526">
        <f t="shared" si="351"/>
        <v>252.01055388937763</v>
      </c>
      <c r="FR97" s="1526">
        <f t="shared" si="351"/>
        <v>179.56282934506899</v>
      </c>
      <c r="FS97" s="1526">
        <f t="shared" si="351"/>
        <v>74.208906078453396</v>
      </c>
      <c r="FT97" s="1526">
        <f t="shared" si="351"/>
        <v>-34.018674242401985</v>
      </c>
      <c r="FU97" s="1526">
        <f t="shared" si="351"/>
        <v>-83.921393626282963</v>
      </c>
      <c r="FV97" s="1526">
        <f t="shared" si="351"/>
        <v>-157.16722261023995</v>
      </c>
      <c r="FW97" s="1526">
        <f t="shared" si="351"/>
        <v>-47.612519626282818</v>
      </c>
      <c r="FX97" s="1526">
        <f t="shared" si="351"/>
        <v>-37.027208849736297</v>
      </c>
      <c r="FY97" s="1526">
        <f t="shared" si="351"/>
        <v>12.171830310691774</v>
      </c>
      <c r="FZ97" s="1526">
        <f t="shared" si="351"/>
        <v>39.289479310691377</v>
      </c>
      <c r="GA97" s="1526">
        <f t="shared" si="351"/>
        <v>65.107283087238912</v>
      </c>
      <c r="GB97" s="1526">
        <f t="shared" si="351"/>
        <v>184.48651356852181</v>
      </c>
      <c r="GC97" s="1526">
        <f t="shared" si="351"/>
        <v>252.01055388937763</v>
      </c>
      <c r="GD97" s="1526">
        <f t="shared" si="351"/>
        <v>179.56282934506899</v>
      </c>
      <c r="GF97" s="1526">
        <f>+SUMIF($E$6:$AZ$6,GF$7,$E97:$AZ97)</f>
        <v>8931.55704616</v>
      </c>
      <c r="GG97" s="1526">
        <f>+SUMIF($E$6:$AZ$6,GG$7,$E97:$AZ97)</f>
        <v>8980.9896752600071</v>
      </c>
      <c r="GH97" s="1526">
        <f>+SUMIF($E$6:$AZ$6,GH$7,$E97:$AZ97)</f>
        <v>10403.76744301</v>
      </c>
      <c r="GI97" s="1526">
        <f>+SUMIF($E$6:$AZ$6,GI$7,$E97:$AZ97)</f>
        <v>-4628.3451226399993</v>
      </c>
      <c r="GJ97" s="1526">
        <f>+SUMIF($E$6:$BL$6,GJ$7,$E97:$BL97)</f>
        <v>-5381.4546237599998</v>
      </c>
      <c r="GK97" s="1526">
        <f t="shared" si="265"/>
        <v>1178.2330083700008</v>
      </c>
      <c r="GL97" s="1526">
        <f t="shared" si="256"/>
        <v>761.06433922000053</v>
      </c>
      <c r="GM97" s="1526">
        <f t="shared" si="257"/>
        <v>2265.9614028399988</v>
      </c>
      <c r="GN97" s="1526">
        <f t="shared" si="258"/>
        <v>447.0903766350998</v>
      </c>
      <c r="GO97" s="1526">
        <v>134.95651026999985</v>
      </c>
      <c r="GQ97" s="1528">
        <f t="shared" ref="GQ97:GV98" si="352">+IFERROR(GH97/GG97-1,"")</f>
        <v>0.15842104480637897</v>
      </c>
      <c r="GR97" s="1528">
        <f t="shared" si="352"/>
        <v>-1.4448720281372356</v>
      </c>
      <c r="GS97" s="1528">
        <f t="shared" si="352"/>
        <v>0.16271679858878541</v>
      </c>
      <c r="GT97" s="1528">
        <f t="shared" si="352"/>
        <v>-1.2189432208845374</v>
      </c>
      <c r="GU97" s="1528">
        <f t="shared" si="352"/>
        <v>-0.35406296223793854</v>
      </c>
      <c r="GV97" s="1528">
        <f t="shared" si="352"/>
        <v>1.9773585307680253</v>
      </c>
      <c r="GW97" s="1528">
        <f t="shared" si="317"/>
        <v>-0.8026928543113101</v>
      </c>
      <c r="GX97" s="1528">
        <f t="shared" si="317"/>
        <v>-0.69814490017496655</v>
      </c>
      <c r="GY97" s="1528">
        <f t="shared" si="249"/>
        <v>-0.94044183184194807</v>
      </c>
      <c r="HA97" s="1526">
        <f>+GH97-GG97</f>
        <v>1422.7777677499926</v>
      </c>
      <c r="HB97" s="1526">
        <f>+GI97-GH97</f>
        <v>-15032.112565649999</v>
      </c>
      <c r="HC97" s="1526">
        <f>+GJ97-GI97</f>
        <v>-753.10950112000046</v>
      </c>
      <c r="HD97" s="1526">
        <f t="shared" si="318"/>
        <v>6559.6876321300006</v>
      </c>
      <c r="HE97" s="1526">
        <f t="shared" si="226"/>
        <v>-417.16866915000026</v>
      </c>
      <c r="HF97" s="1526">
        <f t="shared" si="226"/>
        <v>1504.8970636199983</v>
      </c>
      <c r="HG97" s="1526">
        <f t="shared" si="226"/>
        <v>-1818.871026204899</v>
      </c>
      <c r="HH97" s="1526">
        <f t="shared" si="226"/>
        <v>-312.13386636509995</v>
      </c>
      <c r="HI97" s="1526">
        <f t="shared" si="251"/>
        <v>-2131.0048925699989</v>
      </c>
      <c r="HK97" s="1529">
        <f>+GG97/GG$11</f>
        <v>0.24434556441115562</v>
      </c>
      <c r="HL97" s="1529">
        <f>+GH97/GH$11</f>
        <v>0.26416911760156703</v>
      </c>
      <c r="HM97" s="1529">
        <f>+GI97/GI$11</f>
        <v>-0.27463387234761216</v>
      </c>
      <c r="HN97" s="1529">
        <f>+GJ97/GJ$11</f>
        <v>-0.87474499050149901</v>
      </c>
      <c r="HO97" s="1529">
        <f t="shared" si="319"/>
        <v>8.6451610927961234E-2</v>
      </c>
      <c r="HP97" s="1529">
        <f t="shared" si="319"/>
        <v>5.3783436549581287E-2</v>
      </c>
      <c r="HQ97" s="1529">
        <f t="shared" si="319"/>
        <v>0.10673719640293332</v>
      </c>
      <c r="HR97" s="1529">
        <f t="shared" si="319"/>
        <v>2.8418633484914919E-2</v>
      </c>
      <c r="HS97" s="1529">
        <f t="shared" si="319"/>
        <v>1.0693955327064655E-2</v>
      </c>
      <c r="HU97" s="1526">
        <f t="shared" ref="HU97:HZ97" si="353">+IFERROR(SUMIFS($E97:$BX97,$E$6:$BX$6,HU$7,$E$5:$BX$5,"&lt;="&amp;$HW$5),"NA")</f>
        <v>2582.9894676199992</v>
      </c>
      <c r="HV97" s="1526">
        <f t="shared" si="353"/>
        <v>2661.8860861699995</v>
      </c>
      <c r="HW97" s="1526">
        <f t="shared" si="353"/>
        <v>3470.895669890001</v>
      </c>
      <c r="HX97" s="1526">
        <f t="shared" si="353"/>
        <v>-2751.4256302900003</v>
      </c>
      <c r="HY97" s="1526">
        <f t="shared" si="353"/>
        <v>-3606.7606108600003</v>
      </c>
      <c r="HZ97" s="1526">
        <f t="shared" si="353"/>
        <v>729.98187006000012</v>
      </c>
      <c r="IA97" s="1526">
        <f>+IFERROR(SUMIFS($E97:$CJ97,$E$6:$CJ$6,IA$7,$E$5:$CJ$5,"&lt;="&amp;$HW$5),"NA")</f>
        <v>-440.49828387999963</v>
      </c>
      <c r="IB97" s="1526">
        <f>+IFERROR(SUMIFS($E97:$CV97,$E$6:$CV$6,IB$7,$E$5:$CV$5,"&lt;="&amp;$HW$5),"NA")</f>
        <v>868.277890949999</v>
      </c>
      <c r="IC97" s="1526">
        <f>+SUMIF($CW$5:$DH$5,"&lt;="&amp;$HW$5,$CW97:$DH97)</f>
        <v>153.08450519000024</v>
      </c>
      <c r="ID97" s="1526">
        <f t="shared" si="253"/>
        <v>-285.53811287649063</v>
      </c>
      <c r="IE97" s="1526">
        <f>+SUMIF($DJ$5:$DU$5,"&lt;="&amp;$HW$5,$DJ97:$DU97)</f>
        <v>786.01997619999884</v>
      </c>
      <c r="IG97" s="1526">
        <f t="shared" si="254"/>
        <v>153.08450519000024</v>
      </c>
      <c r="IH97" s="1526">
        <f>+ID97</f>
        <v>-285.53811287649063</v>
      </c>
      <c r="II97" s="939"/>
      <c r="IJ97" s="1528">
        <f>+IFERROR(IG97/IH97,"")</f>
        <v>-0.5361263463144651</v>
      </c>
      <c r="IK97" s="1530">
        <f>+IFERROR(IG97-IH97,"NA")</f>
        <v>438.62261806649087</v>
      </c>
      <c r="IM97" s="1529">
        <f>+IG97/IG$11</f>
        <v>2.3542102672160604E-2</v>
      </c>
      <c r="IN97" s="1528">
        <f>+IFERROR(IH97/IH$11,"")</f>
        <v>-4.0439125991963365E-2</v>
      </c>
      <c r="IP97" s="1529">
        <f t="shared" si="278"/>
        <v>0.30392344282622119</v>
      </c>
      <c r="IQ97" s="1529">
        <f t="shared" si="278"/>
        <v>-1.7927134353701843</v>
      </c>
      <c r="IR97" s="1529">
        <f t="shared" si="278"/>
        <v>0.31086974372621801</v>
      </c>
      <c r="IS97" s="1529">
        <f>+IFERROR(HZ97/HY97-1,"NA")</f>
        <v>-1.2023926589033982</v>
      </c>
      <c r="IT97" s="1529">
        <f>+IFERROR(IA97/HZ97-1,"NA")</f>
        <v>-1.6034372933724961</v>
      </c>
      <c r="IU97" s="1529">
        <f>+IFERROR(IB97/IA97-1,"NA")</f>
        <v>-2.9711266143922934</v>
      </c>
      <c r="IV97" s="1529">
        <f>+IFERROR(IE97/IB97-1,"NA")</f>
        <v>-9.4736852806421523E-2</v>
      </c>
      <c r="IX97" s="1526">
        <f t="shared" si="279"/>
        <v>809.0095837200015</v>
      </c>
      <c r="IY97" s="1526">
        <f t="shared" si="279"/>
        <v>-6222.3213001800013</v>
      </c>
      <c r="IZ97" s="1526">
        <f>+HY97-HX97</f>
        <v>-855.33498056999997</v>
      </c>
      <c r="JA97" s="1526">
        <f>+HZ97-HY97</f>
        <v>4336.7424809200002</v>
      </c>
      <c r="JB97" s="1526">
        <f>+IA97-HZ97</f>
        <v>-1170.4801539399998</v>
      </c>
      <c r="JC97" s="1526">
        <f>+IB97-IA97</f>
        <v>1308.7761748299986</v>
      </c>
      <c r="JD97" s="1526">
        <f>+IE97-IB97</f>
        <v>-82.257914750000168</v>
      </c>
      <c r="JF97" s="1529">
        <f t="shared" ref="JF97:JL97" si="354">+HU97/HU$11</f>
        <v>0.16149068012758372</v>
      </c>
      <c r="JG97" s="1529">
        <f t="shared" si="354"/>
        <v>0.15611017999797588</v>
      </c>
      <c r="JH97" s="1529">
        <f t="shared" si="354"/>
        <v>0.21352432300948118</v>
      </c>
      <c r="JI97" s="1529">
        <f t="shared" si="354"/>
        <v>-0.29414196180468882</v>
      </c>
      <c r="JJ97" s="1529">
        <f t="shared" si="354"/>
        <v>-1.7974262927657247</v>
      </c>
      <c r="JK97" s="1529">
        <f t="shared" si="354"/>
        <v>0.10516479430033622</v>
      </c>
      <c r="JL97" s="1529">
        <f t="shared" si="354"/>
        <v>-8.327857720988284E-2</v>
      </c>
      <c r="JM97" s="1529">
        <f>+IE97/IE$11</f>
        <v>0.11527439118344565</v>
      </c>
      <c r="JO97" s="1526">
        <f>+SUMIFS($E97:$BX97,$E$6:$BX$6,JO$7,$E$5:$BX$5,$JQ$5)</f>
        <v>527.27448700999946</v>
      </c>
      <c r="JP97" s="1526">
        <f>+SUMIFS($E97:$BX97,$E$6:$BX$6,JP$7,$E$5:$BX$5,$JQ$5)</f>
        <v>1159.9416965399967</v>
      </c>
      <c r="JQ97" s="1526">
        <f>+SUMIFS($E97:$BX97,$E$6:$BX$6,JQ$7,$E$5:$BX$5,$JQ$5)</f>
        <v>423.74657507000046</v>
      </c>
      <c r="JR97" s="1526">
        <f>+SUMIFS($E97:$BX97,$E$6:$BX$6,JR$7,$E$5:$BX$5,$JQ$5)</f>
        <v>-1112.9781586899999</v>
      </c>
      <c r="JS97" s="1526">
        <f>+SUMIFS($E97:$BX97,$E$6:$BX$6,JS$7,$E$5:$BX$5,$JQ$5)</f>
        <v>-908.89802556999985</v>
      </c>
      <c r="JT97" s="1526">
        <f>+SUMIFS($E97:$CJ97,$E$6:$CJ$6,JT$7,$E$5:$CJ$5,$JQ$5)</f>
        <v>90.135582020000058</v>
      </c>
      <c r="JU97" s="1526">
        <f>+SUMIFS($E97:$CV97,$E$6:$CV$6,JU$7,$E$5:$CV$5,$JQ$5)</f>
        <v>-18.083400690000197</v>
      </c>
      <c r="JV97" s="1526">
        <f>+SUMIFS($E97:$CV97,$E$6:$CV$6,JV$7,$E$5:$CV$5,$JQ$5)</f>
        <v>-48.026834360000208</v>
      </c>
      <c r="JW97" s="1526">
        <f>+SUMIFS($E97:$DH97,$E$6:$DH$6,JW$7,$E$5:$DH$5,$JQ$5)</f>
        <v>-343.46025253000005</v>
      </c>
      <c r="JX97" s="1526">
        <f>+SUMIF($FS$5:$GD$5,$JQ$5,$FS97:$GD97)</f>
        <v>-37.027208849736297</v>
      </c>
      <c r="JY97" s="1526">
        <f>+SUMIF($DJ$5:$DU$5,$JQ$5,$DJ97:$DU97)</f>
        <v>-279.59201330000002</v>
      </c>
      <c r="KB97" s="1529">
        <f t="shared" ref="KB97:KG97" si="355">+IFERROR(JQ97/JP97-1," ")</f>
        <v>-0.63468286696305598</v>
      </c>
      <c r="KC97" s="1529">
        <f t="shared" si="355"/>
        <v>-3.6265183583044709</v>
      </c>
      <c r="KD97" s="1529">
        <f t="shared" si="355"/>
        <v>-0.18336400541786635</v>
      </c>
      <c r="KE97" s="1529">
        <f t="shared" si="355"/>
        <v>-1.0991701813451218</v>
      </c>
      <c r="KF97" s="1529">
        <f t="shared" si="355"/>
        <v>-1.2006244402569863</v>
      </c>
      <c r="KG97" s="1529">
        <f t="shared" si="355"/>
        <v>1.6558519154286175</v>
      </c>
      <c r="KH97" s="1529">
        <f>+IFERROR(JY97/JV97-1," ")</f>
        <v>4.8215790614936296</v>
      </c>
      <c r="KJ97" s="1526">
        <f t="shared" ref="KJ97:KO97" si="356">+JQ97-JP97</f>
        <v>-736.19512146999614</v>
      </c>
      <c r="KK97" s="1526">
        <f t="shared" si="356"/>
        <v>-1536.7247337600004</v>
      </c>
      <c r="KL97" s="1526">
        <f t="shared" si="356"/>
        <v>204.08013312000003</v>
      </c>
      <c r="KM97" s="1526">
        <f t="shared" si="356"/>
        <v>999.03360758999986</v>
      </c>
      <c r="KN97" s="1526">
        <f t="shared" si="356"/>
        <v>-108.21898271000026</v>
      </c>
      <c r="KO97" s="1526">
        <f t="shared" si="356"/>
        <v>-29.943433670000012</v>
      </c>
      <c r="KP97" s="1526">
        <f>+JY97-JV97</f>
        <v>-231.56517893999981</v>
      </c>
      <c r="KR97" s="1529">
        <f t="shared" ref="KR97:KY97" si="357">+JO97/JO$11</f>
        <v>0.16447396970613726</v>
      </c>
      <c r="KS97" s="1529">
        <f t="shared" si="357"/>
        <v>0.34488758149916543</v>
      </c>
      <c r="KT97" s="1529">
        <f t="shared" si="357"/>
        <v>0.16889513369577178</v>
      </c>
      <c r="KU97" s="1529">
        <f t="shared" si="357"/>
        <v>-1.2440138466307449</v>
      </c>
      <c r="KV97" s="1529">
        <f t="shared" si="357"/>
        <v>-2.9127240841839939</v>
      </c>
      <c r="KW97" s="1529">
        <f t="shared" si="357"/>
        <v>8.8889240543571349E-2</v>
      </c>
      <c r="KX97" s="1529">
        <f t="shared" si="357"/>
        <v>-2.0616132930164864E-2</v>
      </c>
      <c r="KY97" s="1529">
        <f t="shared" si="357"/>
        <v>-3.1387731343879587E-2</v>
      </c>
      <c r="KZ97" s="1529">
        <f t="shared" si="306"/>
        <v>-0.76290125371709594</v>
      </c>
    </row>
    <row r="98" spans="1:312">
      <c r="A98" s="867"/>
      <c r="B98" s="71"/>
      <c r="C98" s="943" t="s">
        <v>104</v>
      </c>
      <c r="D98" s="944" t="s">
        <v>35</v>
      </c>
      <c r="E98" s="945">
        <f t="shared" ref="E98:AN98" si="358">IFERROR(+E97/E$11,0)</f>
        <v>-1.6143413205548109</v>
      </c>
      <c r="F98" s="945">
        <f t="shared" si="358"/>
        <v>0.35091046361366635</v>
      </c>
      <c r="G98" s="945">
        <f t="shared" si="358"/>
        <v>0.12610033649792066</v>
      </c>
      <c r="H98" s="945">
        <f t="shared" si="358"/>
        <v>0.20320863728405139</v>
      </c>
      <c r="I98" s="945">
        <f t="shared" si="358"/>
        <v>0.41170203588403337</v>
      </c>
      <c r="J98" s="945">
        <f t="shared" si="358"/>
        <v>0.16447396970613726</v>
      </c>
      <c r="K98" s="945">
        <f t="shared" si="358"/>
        <v>0.23037897129255444</v>
      </c>
      <c r="L98" s="945">
        <f t="shared" si="358"/>
        <v>0.41860826566977577</v>
      </c>
      <c r="M98" s="945">
        <f t="shared" si="358"/>
        <v>0.4304475001770518</v>
      </c>
      <c r="N98" s="945">
        <f t="shared" si="358"/>
        <v>0.27907979413557493</v>
      </c>
      <c r="O98" s="945">
        <f t="shared" si="358"/>
        <v>0.43017872890295045</v>
      </c>
      <c r="P98" s="945">
        <f t="shared" si="358"/>
        <v>1.6626159493791239E-2</v>
      </c>
      <c r="Q98" s="945">
        <f t="shared" si="358"/>
        <v>-0.17776753340643597</v>
      </c>
      <c r="R98" s="945">
        <f t="shared" si="358"/>
        <v>0.37280408559115652</v>
      </c>
      <c r="S98" s="945">
        <f t="shared" si="358"/>
        <v>-9.0615014916048425E-2</v>
      </c>
      <c r="T98" s="945">
        <f t="shared" si="358"/>
        <v>-0.35184013434197287</v>
      </c>
      <c r="U98" s="945">
        <f t="shared" si="358"/>
        <v>0.36658204066382827</v>
      </c>
      <c r="V98" s="945">
        <f t="shared" si="358"/>
        <v>0.34488758149916543</v>
      </c>
      <c r="W98" s="945">
        <f t="shared" si="358"/>
        <v>0.20530886085257144</v>
      </c>
      <c r="X98" s="945">
        <f t="shared" si="358"/>
        <v>0.30461384163963451</v>
      </c>
      <c r="Y98" s="945">
        <f t="shared" si="358"/>
        <v>-0.50289033277719863</v>
      </c>
      <c r="Z98" s="945">
        <f t="shared" si="358"/>
        <v>1.4077673344491361E-2</v>
      </c>
      <c r="AA98" s="945">
        <f t="shared" si="358"/>
        <v>0.49662557733376128</v>
      </c>
      <c r="AB98" s="945">
        <f t="shared" si="358"/>
        <v>0.55468655650364829</v>
      </c>
      <c r="AC98" s="945">
        <f t="shared" si="358"/>
        <v>-0.30134485456876203</v>
      </c>
      <c r="AD98" s="945">
        <f t="shared" si="358"/>
        <v>0.45118841636870027</v>
      </c>
      <c r="AE98" s="945">
        <f t="shared" si="358"/>
        <v>0.14878312651767245</v>
      </c>
      <c r="AF98" s="945">
        <f t="shared" si="358"/>
        <v>0.25422265319358173</v>
      </c>
      <c r="AG98" s="945">
        <f t="shared" si="358"/>
        <v>0.22554905428584041</v>
      </c>
      <c r="AH98" s="945">
        <f t="shared" si="358"/>
        <v>0.16889513369577178</v>
      </c>
      <c r="AI98" s="945">
        <f t="shared" si="358"/>
        <v>0.10712698210926212</v>
      </c>
      <c r="AJ98" s="945">
        <f t="shared" si="358"/>
        <v>0.21780439884984645</v>
      </c>
      <c r="AK98" s="945">
        <f t="shared" si="358"/>
        <v>0.28791001282421358</v>
      </c>
      <c r="AL98" s="945">
        <f t="shared" si="358"/>
        <v>0.32596637732595068</v>
      </c>
      <c r="AM98" s="945">
        <f t="shared" si="358"/>
        <v>0.54066139872439467</v>
      </c>
      <c r="AN98" s="945">
        <f t="shared" si="358"/>
        <v>0.15495905500758872</v>
      </c>
      <c r="AO98" s="945">
        <f>IFERROR(+AO97/AO$11,0)</f>
        <v>0.39165028489809611</v>
      </c>
      <c r="AP98" s="945">
        <f t="shared" ref="AP98:AZ98" si="359">IFERROR(+AP97/AP$11,0)</f>
        <v>-0.38557384359628011</v>
      </c>
      <c r="AQ98" s="945">
        <f t="shared" si="359"/>
        <v>-0.11069322055882855</v>
      </c>
      <c r="AR98" s="945">
        <f t="shared" si="359"/>
        <v>-0.53244280711490433</v>
      </c>
      <c r="AS98" s="945">
        <f t="shared" si="359"/>
        <v>-1.0721759160825672</v>
      </c>
      <c r="AT98" s="945">
        <f t="shared" si="359"/>
        <v>-1.2440138466307449</v>
      </c>
      <c r="AU98" s="945">
        <f t="shared" si="359"/>
        <v>8.2374956595611198E-2</v>
      </c>
      <c r="AV98" s="945">
        <f t="shared" si="359"/>
        <v>-9.350220620240917E-3</v>
      </c>
      <c r="AW98" s="945">
        <f t="shared" si="359"/>
        <v>-0.17778098493594344</v>
      </c>
      <c r="AX98" s="945">
        <f t="shared" si="359"/>
        <v>-2.8276328419917264E-2</v>
      </c>
      <c r="AY98" s="945">
        <f t="shared" si="359"/>
        <v>-0.61682421225302697</v>
      </c>
      <c r="AZ98" s="945">
        <f t="shared" si="359"/>
        <v>-1.8803680201741702</v>
      </c>
      <c r="BA98" s="945">
        <v>-0.34709403882467099</v>
      </c>
      <c r="BB98" s="945">
        <v>-1.7700230670908725</v>
      </c>
      <c r="BC98" s="945">
        <v>-3.8893570086565536</v>
      </c>
      <c r="BD98" s="945">
        <v>-6.7616439832499022</v>
      </c>
      <c r="BE98" s="945">
        <v>-0.91827311369968401</v>
      </c>
      <c r="BF98" s="945">
        <v>-2.8514345813840816</v>
      </c>
      <c r="BG98" s="945">
        <v>-1.3477573610762315</v>
      </c>
      <c r="BH98" s="945">
        <v>-0.93758965492287993</v>
      </c>
      <c r="BI98" s="945">
        <v>-0.48238218146368611</v>
      </c>
      <c r="BJ98" s="945">
        <v>-0.3823952774529899</v>
      </c>
      <c r="BK98" s="945">
        <v>-5.3119969086414968E-2</v>
      </c>
      <c r="BL98" s="945">
        <v>-7.4822873237136406E-2</v>
      </c>
      <c r="BM98" s="945">
        <f t="shared" ref="BM98:DH98" si="360">IFERROR(+BM97/BM$11,0)</f>
        <v>0.10383315839461715</v>
      </c>
      <c r="BN98" s="945">
        <f t="shared" si="360"/>
        <v>0.11942659886874961</v>
      </c>
      <c r="BO98" s="945">
        <f t="shared" si="360"/>
        <v>8.2270409243560175E-2</v>
      </c>
      <c r="BP98" s="945">
        <f t="shared" si="360"/>
        <v>0.20293754855573604</v>
      </c>
      <c r="BQ98" s="945">
        <f t="shared" si="360"/>
        <v>-1.1607451860024629E-2</v>
      </c>
      <c r="BR98" s="945">
        <f t="shared" si="360"/>
        <v>8.8889240543571349E-2</v>
      </c>
      <c r="BS98" s="945">
        <f t="shared" si="360"/>
        <v>5.570380602430184E-2</v>
      </c>
      <c r="BT98" s="945">
        <f t="shared" si="360"/>
        <v>3.816001897816447E-2</v>
      </c>
      <c r="BU98" s="945">
        <f t="shared" si="360"/>
        <v>-4.9582730531920964E-2</v>
      </c>
      <c r="BV98" s="945">
        <f t="shared" si="360"/>
        <v>0.21462335585608833</v>
      </c>
      <c r="BW98" s="945">
        <f t="shared" si="360"/>
        <v>0.14327672268857741</v>
      </c>
      <c r="BX98" s="945">
        <f t="shared" si="360"/>
        <v>-6.2711811084041974E-2</v>
      </c>
      <c r="BY98" s="945">
        <f t="shared" si="360"/>
        <v>-0.15906320893013939</v>
      </c>
      <c r="BZ98" s="945">
        <f t="shared" si="360"/>
        <v>2.1453840498341849E-2</v>
      </c>
      <c r="CA98" s="945">
        <f t="shared" si="360"/>
        <v>-6.4218514755915418E-2</v>
      </c>
      <c r="CB98" s="945">
        <f t="shared" si="360"/>
        <v>-0.11233473136896863</v>
      </c>
      <c r="CC98" s="945">
        <f t="shared" si="360"/>
        <v>-0.21302196637912035</v>
      </c>
      <c r="CD98" s="945">
        <f t="shared" si="360"/>
        <v>-2.0616132930164864E-2</v>
      </c>
      <c r="CE98" s="945">
        <f t="shared" si="360"/>
        <v>-0.14363572189470841</v>
      </c>
      <c r="CF98" s="945">
        <f t="shared" si="360"/>
        <v>0.28975051230451132</v>
      </c>
      <c r="CG98" s="945">
        <f t="shared" si="360"/>
        <v>-3.6678834899741351E-2</v>
      </c>
      <c r="CH98" s="945">
        <f t="shared" si="360"/>
        <v>0.10833658379488366</v>
      </c>
      <c r="CI98" s="945">
        <f t="shared" si="360"/>
        <v>0.28509349561288894</v>
      </c>
      <c r="CJ98" s="945">
        <f t="shared" si="360"/>
        <v>0.1475790520461096</v>
      </c>
      <c r="CK98" s="945">
        <f t="shared" si="360"/>
        <v>7.2916996346217955E-2</v>
      </c>
      <c r="CL98" s="945">
        <f t="shared" si="360"/>
        <v>-0.13163005363540542</v>
      </c>
      <c r="CM98" s="945">
        <f t="shared" si="360"/>
        <v>0.2240280159639067</v>
      </c>
      <c r="CN98" s="945">
        <f t="shared" si="360"/>
        <v>8.6799682597530278E-2</v>
      </c>
      <c r="CO98" s="945">
        <f t="shared" si="360"/>
        <v>0.24249015842366298</v>
      </c>
      <c r="CP98" s="945">
        <f t="shared" si="360"/>
        <v>-3.1387731343879587E-2</v>
      </c>
      <c r="CQ98" s="945">
        <f t="shared" si="360"/>
        <v>3.4267564427709271E-2</v>
      </c>
      <c r="CR98" s="945">
        <f t="shared" si="360"/>
        <v>0.15472580133518557</v>
      </c>
      <c r="CS98" s="945">
        <f t="shared" si="360"/>
        <v>0.1237622715864993</v>
      </c>
      <c r="CT98" s="945">
        <f t="shared" si="360"/>
        <v>0.28638020612552428</v>
      </c>
      <c r="CU98" s="945">
        <f t="shared" si="360"/>
        <v>0.15391058889885534</v>
      </c>
      <c r="CV98" s="945">
        <f t="shared" si="360"/>
        <v>-8.8682471183264042E-2</v>
      </c>
      <c r="CW98" s="945">
        <f t="shared" si="360"/>
        <v>0.15979142349008343</v>
      </c>
      <c r="CX98" s="945">
        <f t="shared" si="360"/>
        <v>8.2209263343924158E-2</v>
      </c>
      <c r="CY98" s="945">
        <f t="shared" si="360"/>
        <v>0.48675767083660976</v>
      </c>
      <c r="CZ98" s="945">
        <f t="shared" si="360"/>
        <v>-0.96342415481086952</v>
      </c>
      <c r="DA98" s="945">
        <f t="shared" si="360"/>
        <v>-1.313227192278563</v>
      </c>
      <c r="DB98" s="945">
        <f t="shared" si="360"/>
        <v>-0.92616569572864571</v>
      </c>
      <c r="DC98" s="945">
        <f t="shared" si="360"/>
        <v>-0.88535911027589176</v>
      </c>
      <c r="DD98" s="945">
        <f t="shared" si="360"/>
        <v>0.20257655050631601</v>
      </c>
      <c r="DE98" s="945">
        <f t="shared" si="360"/>
        <v>0.16260607699590349</v>
      </c>
      <c r="DF98" s="945">
        <f t="shared" si="360"/>
        <v>0.20479017231013918</v>
      </c>
      <c r="DG98" s="945">
        <f t="shared" si="360"/>
        <v>-0.33256606797907762</v>
      </c>
      <c r="DH98" s="945">
        <f t="shared" si="360"/>
        <v>5.2148276774868822E-2</v>
      </c>
      <c r="DJ98" s="945">
        <f t="shared" ref="DJ98:DU98" si="361">IFERROR(+DJ97/DJ$11,0)</f>
        <v>0.20675448728894635</v>
      </c>
      <c r="DK98" s="945">
        <f t="shared" si="361"/>
        <v>9.3618517181936145E-2</v>
      </c>
      <c r="DL98" s="945">
        <f t="shared" si="361"/>
        <v>0.55130347204629926</v>
      </c>
      <c r="DM98" s="945">
        <f t="shared" si="361"/>
        <v>-0.880281087165662</v>
      </c>
      <c r="DN98" s="945">
        <f t="shared" si="361"/>
        <v>-0.65221980659347023</v>
      </c>
      <c r="DO98" s="945">
        <f t="shared" si="361"/>
        <v>-0.76290125371709594</v>
      </c>
      <c r="DP98" s="945">
        <f t="shared" si="361"/>
        <v>-0.49480353403717281</v>
      </c>
      <c r="DQ98" s="945">
        <f t="shared" si="361"/>
        <v>0.31388110884306608</v>
      </c>
      <c r="DR98" s="945">
        <f t="shared" si="361"/>
        <v>0.29461148907865442</v>
      </c>
      <c r="DS98" s="945">
        <f t="shared" si="361"/>
        <v>0.39142678002788645</v>
      </c>
      <c r="DT98" s="945">
        <f t="shared" si="361"/>
        <v>3.5058351830372452E-3</v>
      </c>
      <c r="DU98" s="945">
        <f t="shared" si="361"/>
        <v>-1.2724298193730213E-3</v>
      </c>
      <c r="DW98" s="945">
        <v>0.18537554188478222</v>
      </c>
      <c r="DX98" s="945">
        <v>-0.26262586436578461</v>
      </c>
      <c r="DY98" s="945">
        <v>-0.15373251651516945</v>
      </c>
      <c r="DZ98" s="945">
        <v>0.20415196194907534</v>
      </c>
      <c r="EA98" s="945">
        <v>0.10156322583855555</v>
      </c>
      <c r="EB98" s="945">
        <v>0.17587530374802465</v>
      </c>
      <c r="EC98" s="945">
        <v>0.34488260306014767</v>
      </c>
      <c r="ED98" s="945">
        <v>0.45749095197022982</v>
      </c>
      <c r="EE98" s="945">
        <v>0.35440001854144609</v>
      </c>
      <c r="EF98" s="945">
        <v>0.38387058634555382</v>
      </c>
      <c r="EG98" s="945">
        <v>0.36740158014769803</v>
      </c>
      <c r="EH98" s="945">
        <v>0.23529480289129578</v>
      </c>
      <c r="EI98" s="945">
        <f>IFERROR(+EI97/EI$11,0)</f>
        <v>-0.73268516308079512</v>
      </c>
      <c r="EJ98" s="945">
        <f t="shared" ref="EJ98:GD98" si="362">IFERROR(+EJ97/EJ$11,0)</f>
        <v>-0.23602762037418062</v>
      </c>
      <c r="EK98" s="945">
        <f t="shared" si="362"/>
        <v>0.28412314976434949</v>
      </c>
      <c r="EL98" s="945">
        <f t="shared" si="362"/>
        <v>-0.32900136824089493</v>
      </c>
      <c r="EM98" s="945">
        <f t="shared" si="362"/>
        <v>-5.3303426469009332E-2</v>
      </c>
      <c r="EN98" s="945">
        <f t="shared" si="362"/>
        <v>0.10284318556957688</v>
      </c>
      <c r="EO98" s="945">
        <f t="shared" si="362"/>
        <v>0.14100554726875777</v>
      </c>
      <c r="EP98" s="945">
        <f t="shared" si="362"/>
        <v>0.17834768843826457</v>
      </c>
      <c r="EQ98" s="945">
        <f t="shared" si="362"/>
        <v>0.16572027047509152</v>
      </c>
      <c r="ER98" s="945">
        <f t="shared" si="362"/>
        <v>0.18692912817715729</v>
      </c>
      <c r="ES98" s="945">
        <f t="shared" si="362"/>
        <v>0.15561199649093974</v>
      </c>
      <c r="ET98" s="945">
        <f t="shared" si="362"/>
        <v>4.9456352787849225E-2</v>
      </c>
      <c r="EU98" s="945">
        <f t="shared" si="362"/>
        <v>-2.9660370554637595E-2</v>
      </c>
      <c r="EV98" s="945">
        <f t="shared" si="362"/>
        <v>0.16367727156275236</v>
      </c>
      <c r="EW98" s="945">
        <f t="shared" si="362"/>
        <v>0.14142666202821633</v>
      </c>
      <c r="EX98" s="945">
        <f t="shared" si="362"/>
        <v>0.13873895350886326</v>
      </c>
      <c r="EY98" s="945">
        <f t="shared" si="362"/>
        <v>0.12028395930567326</v>
      </c>
      <c r="EZ98" s="945">
        <f t="shared" si="362"/>
        <v>0.14398065748508851</v>
      </c>
      <c r="FA98" s="945">
        <f t="shared" si="362"/>
        <v>0.14316114045109701</v>
      </c>
      <c r="FB98" s="945">
        <f t="shared" si="362"/>
        <v>-0.12649630782266988</v>
      </c>
      <c r="FC98" s="945">
        <f t="shared" si="362"/>
        <v>-0.27364744937279672</v>
      </c>
      <c r="FD98" s="945">
        <f t="shared" si="362"/>
        <v>-0.46942371710763692</v>
      </c>
      <c r="FE98" s="945">
        <f t="shared" si="362"/>
        <v>-0.29212007946408181</v>
      </c>
      <c r="FF98" s="945">
        <f t="shared" si="362"/>
        <v>-0.43839943271189152</v>
      </c>
      <c r="FG98" s="945">
        <f t="shared" si="362"/>
        <v>5.0668481553938313E-2</v>
      </c>
      <c r="FH98" s="947">
        <f t="shared" si="362"/>
        <v>-2.8200910921938785E-2</v>
      </c>
      <c r="FI98" s="947">
        <f t="shared" si="362"/>
        <v>-7.5813654023994884E-2</v>
      </c>
      <c r="FJ98" s="947">
        <f t="shared" si="362"/>
        <v>-0.16231940277367929</v>
      </c>
      <c r="FK98" s="947">
        <f t="shared" si="362"/>
        <v>-4.1394437621234091E-2</v>
      </c>
      <c r="FL98" s="947">
        <f t="shared" si="362"/>
        <v>-3.1793234845930975E-2</v>
      </c>
      <c r="FM98" s="947">
        <f t="shared" si="362"/>
        <v>9.560022581424122E-3</v>
      </c>
      <c r="FN98" s="947">
        <f t="shared" si="362"/>
        <v>3.0378024938834423E-2</v>
      </c>
      <c r="FO98" s="947">
        <f t="shared" si="362"/>
        <v>4.9596026581744994E-2</v>
      </c>
      <c r="FP98" s="947">
        <f t="shared" si="362"/>
        <v>0.11896185047789523</v>
      </c>
      <c r="FQ98" s="947">
        <f t="shared" si="362"/>
        <v>0.14892550838756927</v>
      </c>
      <c r="FR98" s="947">
        <f t="shared" si="362"/>
        <v>0.11591735972940281</v>
      </c>
      <c r="FS98" s="945">
        <f t="shared" si="362"/>
        <v>5.0668481553938313E-2</v>
      </c>
      <c r="FT98" s="947">
        <f t="shared" si="362"/>
        <v>-2.8200910921938785E-2</v>
      </c>
      <c r="FU98" s="947">
        <f t="shared" si="362"/>
        <v>-7.5813654023994884E-2</v>
      </c>
      <c r="FV98" s="947">
        <f t="shared" si="362"/>
        <v>-0.16231940277367929</v>
      </c>
      <c r="FW98" s="947">
        <f t="shared" si="362"/>
        <v>-4.1394437621234091E-2</v>
      </c>
      <c r="FX98" s="947">
        <f t="shared" si="362"/>
        <v>-3.1793234845930975E-2</v>
      </c>
      <c r="FY98" s="947">
        <f t="shared" si="362"/>
        <v>9.560022581424122E-3</v>
      </c>
      <c r="FZ98" s="947">
        <f t="shared" si="362"/>
        <v>3.0378024938834423E-2</v>
      </c>
      <c r="GA98" s="947">
        <f t="shared" si="362"/>
        <v>4.9596026581744994E-2</v>
      </c>
      <c r="GB98" s="947">
        <f t="shared" si="362"/>
        <v>0.11896185047789523</v>
      </c>
      <c r="GC98" s="947">
        <f t="shared" si="362"/>
        <v>0.14892550838756927</v>
      </c>
      <c r="GD98" s="947">
        <f t="shared" si="362"/>
        <v>0.11591735972940281</v>
      </c>
      <c r="GF98" s="947">
        <f t="shared" ref="GF98:GN98" si="363">+IFERROR(GF97/GF$11,"")</f>
        <v>0.24617476574052094</v>
      </c>
      <c r="GG98" s="947">
        <f t="shared" si="363"/>
        <v>0.24434556441115562</v>
      </c>
      <c r="GH98" s="947">
        <f t="shared" si="363"/>
        <v>0.26416911760156703</v>
      </c>
      <c r="GI98" s="947">
        <f t="shared" si="363"/>
        <v>-0.27463387234761216</v>
      </c>
      <c r="GJ98" s="947">
        <f t="shared" si="363"/>
        <v>-0.87474499050149901</v>
      </c>
      <c r="GK98" s="947">
        <f t="shared" si="363"/>
        <v>8.6451610927961234E-2</v>
      </c>
      <c r="GL98" s="947">
        <f t="shared" si="363"/>
        <v>5.3783436549581287E-2</v>
      </c>
      <c r="GM98" s="947">
        <f t="shared" si="363"/>
        <v>0.10673719640293332</v>
      </c>
      <c r="GN98" s="947">
        <f t="shared" si="363"/>
        <v>2.8418633484914919E-2</v>
      </c>
      <c r="GO98" s="947">
        <v>1.0693955327064655E-2</v>
      </c>
      <c r="GQ98" s="947">
        <f t="shared" si="352"/>
        <v>8.1129171459215499E-2</v>
      </c>
      <c r="GR98" s="947">
        <f t="shared" si="352"/>
        <v>-2.0396138460129491</v>
      </c>
      <c r="GS98" s="947">
        <f t="shared" si="352"/>
        <v>2.1851314734924925</v>
      </c>
      <c r="GT98" s="947">
        <f t="shared" si="352"/>
        <v>-1.0988306442068307</v>
      </c>
      <c r="GU98" s="947">
        <f t="shared" si="352"/>
        <v>-0.37787814510017426</v>
      </c>
      <c r="GV98" s="947">
        <f t="shared" si="352"/>
        <v>0.98457375077800391</v>
      </c>
      <c r="GW98" s="947">
        <f t="shared" si="317"/>
        <v>-0.73375135901420463</v>
      </c>
      <c r="GX98" s="947">
        <f t="shared" si="317"/>
        <v>-0.62369917143478482</v>
      </c>
      <c r="GY98" s="947">
        <f t="shared" si="249"/>
        <v>-0.89981041579268273</v>
      </c>
      <c r="HA98" s="947">
        <f>+IFERROR(GH98-GG98,"")</f>
        <v>1.9823553190411403E-2</v>
      </c>
      <c r="HB98" s="947">
        <f>+IFERROR(GI98-GH98,"")</f>
        <v>-0.53880298994917919</v>
      </c>
      <c r="HC98" s="947">
        <f>+IFERROR(GJ98-GI98,"")</f>
        <v>-0.60011111815388685</v>
      </c>
      <c r="HD98" s="947">
        <f>+IFERROR(GK98-GJ98,"")</f>
        <v>0.96119660142946028</v>
      </c>
      <c r="HE98" s="947">
        <f t="shared" si="226"/>
        <v>-3.2668174378379947E-2</v>
      </c>
      <c r="HF98" s="947">
        <f t="shared" si="226"/>
        <v>5.2953759853352031E-2</v>
      </c>
      <c r="HG98" s="947">
        <f t="shared" si="226"/>
        <v>-7.8318562918018392E-2</v>
      </c>
      <c r="HH98" s="947">
        <f t="shared" ref="HH98" si="364">+IFERROR(GO98-GN98,"")</f>
        <v>-1.7724678157850265E-2</v>
      </c>
      <c r="HI98" s="947">
        <f t="shared" si="251"/>
        <v>-9.604324107586866E-2</v>
      </c>
      <c r="HK98" s="945"/>
      <c r="HL98" s="945"/>
      <c r="HM98" s="945"/>
      <c r="HN98" s="945"/>
      <c r="HO98" s="945"/>
      <c r="HP98" s="945"/>
      <c r="HQ98" s="945"/>
      <c r="HR98" s="945"/>
      <c r="HS98" s="945"/>
      <c r="HU98" s="945">
        <f t="shared" ref="HU98:IE98" si="365">IFERROR(+HU97/HU$11,0)</f>
        <v>0.16149068012758372</v>
      </c>
      <c r="HV98" s="945">
        <f t="shared" si="365"/>
        <v>0.15611017999797588</v>
      </c>
      <c r="HW98" s="945">
        <f t="shared" si="365"/>
        <v>0.21352432300948118</v>
      </c>
      <c r="HX98" s="945">
        <f t="shared" si="365"/>
        <v>-0.29414196180468882</v>
      </c>
      <c r="HY98" s="945">
        <f t="shared" si="365"/>
        <v>-1.7974262927657247</v>
      </c>
      <c r="HZ98" s="945">
        <f>+IFERROR(SUMIFS($E98:$BX98,$E$6:$BX$6,HZ$7,$E$5:$BX$5,"&lt;="&amp;$HW$5),"NA")</f>
        <v>0.58574950374620971</v>
      </c>
      <c r="IA98" s="945">
        <f>+IFERROR(SUMIFS($E98:$CJ98,$E$6:$CJ$6,IA$7,$E$5:$CJ$5,"&lt;="&amp;$HW$5),"NA")</f>
        <v>-0.54780071386596685</v>
      </c>
      <c r="IB98" s="945">
        <f>+IFERROR(SUMIFS($E98:$CV98,$E$6:$CV$6,IB$7,$E$5:$CV$5,"&lt;="&amp;$HW$5),"NA")</f>
        <v>0.46321706835203297</v>
      </c>
      <c r="IC98" s="945">
        <f>+SUMIF($CW$5:$DH$5,"&lt;="&amp;$HW$5,$CW98:$DH98)</f>
        <v>-2.4740586851474609</v>
      </c>
      <c r="ID98" s="945">
        <f t="shared" si="253"/>
        <v>-0.28885315863283972</v>
      </c>
      <c r="IE98" s="945">
        <f t="shared" si="365"/>
        <v>0.11527439118344565</v>
      </c>
      <c r="IG98" s="945">
        <f t="shared" si="254"/>
        <v>-2.4740586851474609</v>
      </c>
      <c r="IH98" s="945">
        <f>IFERROR(+IH97/IH$11,0)</f>
        <v>-4.0439125991963365E-2</v>
      </c>
      <c r="II98" s="946"/>
      <c r="IJ98" s="947">
        <f>+IFERROR(IG98/IH98,"")</f>
        <v>61.179825835977283</v>
      </c>
      <c r="IK98" s="945">
        <f>+IFERROR(IG98-IH98,"NA")</f>
        <v>-2.4336195591554977</v>
      </c>
      <c r="IM98" s="945"/>
      <c r="IN98" s="945"/>
      <c r="IP98" s="945"/>
      <c r="IQ98" s="945"/>
      <c r="IR98" s="945"/>
      <c r="IS98" s="945"/>
      <c r="IT98" s="945"/>
      <c r="IU98" s="945"/>
      <c r="IV98" s="945"/>
      <c r="IX98" s="945"/>
      <c r="IY98" s="945"/>
      <c r="IZ98" s="945"/>
      <c r="JA98" s="945"/>
      <c r="JB98" s="945"/>
      <c r="JC98" s="945"/>
      <c r="JD98" s="945"/>
      <c r="JF98" s="945"/>
      <c r="JG98" s="945"/>
      <c r="JH98" s="945"/>
      <c r="JI98" s="945"/>
      <c r="JJ98" s="945"/>
      <c r="JK98" s="945"/>
      <c r="JL98" s="945"/>
      <c r="JM98" s="945"/>
      <c r="JO98" s="945">
        <f t="shared" ref="JO98:JY98" si="366">JO97/JO$11</f>
        <v>0.16447396970613726</v>
      </c>
      <c r="JP98" s="945">
        <f t="shared" si="366"/>
        <v>0.34488758149916543</v>
      </c>
      <c r="JQ98" s="945">
        <f t="shared" si="366"/>
        <v>0.16889513369577178</v>
      </c>
      <c r="JR98" s="945">
        <f t="shared" si="366"/>
        <v>-1.2440138466307449</v>
      </c>
      <c r="JS98" s="945">
        <f t="shared" si="366"/>
        <v>-2.9127240841839939</v>
      </c>
      <c r="JT98" s="945">
        <f>+SUMIFS($E98:$CJ98,$E$6:$CJ$6,JT$7,$E$5:$CJ$5,$JQ$5)</f>
        <v>8.8889240543571349E-2</v>
      </c>
      <c r="JU98" s="945">
        <f>+SUMIFS($E98:$CV98,$E$6:$CV$6,JU$7,$E$5:$CV$5,$JQ$5)</f>
        <v>-2.0616132930164864E-2</v>
      </c>
      <c r="JV98" s="945">
        <f>+SUMIFS($E98:$CV98,$E$6:$CV$6,JV$7,$E$5:$CV$5,$JQ$5)</f>
        <v>-3.1387731343879587E-2</v>
      </c>
      <c r="JW98" s="945">
        <f>+SUMIFS($E98:$DH98,$E$6:$DH$6,JW$7,$E$5:$DH$5,$JQ$5)</f>
        <v>-0.92616569572864571</v>
      </c>
      <c r="JX98" s="945">
        <f>+SUMIF($FS$5:$GD$5,$JQ$5,$FS98:$GD98)</f>
        <v>-3.1793234845930975E-2</v>
      </c>
      <c r="JY98" s="945">
        <f t="shared" si="366"/>
        <v>-0.76290125371709594</v>
      </c>
      <c r="KB98" s="945"/>
      <c r="KC98" s="945"/>
      <c r="KD98" s="945"/>
      <c r="KE98" s="945"/>
      <c r="KF98" s="945"/>
      <c r="KG98" s="945"/>
      <c r="KH98" s="945">
        <f>+IFERROR(JY98/JV98-1," ")</f>
        <v>23.305715037472975</v>
      </c>
      <c r="KJ98" s="945"/>
      <c r="KK98" s="945"/>
      <c r="KL98" s="945"/>
      <c r="KM98" s="945"/>
      <c r="KN98" s="945"/>
      <c r="KO98" s="945"/>
      <c r="KP98" s="945">
        <f>+JY98-JV98</f>
        <v>-0.73151352237321632</v>
      </c>
      <c r="KR98" s="945"/>
      <c r="KS98" s="945"/>
      <c r="KT98" s="945"/>
      <c r="KU98" s="945"/>
      <c r="KV98" s="945"/>
      <c r="KW98" s="945"/>
      <c r="KX98" s="945"/>
      <c r="KY98" s="945"/>
      <c r="KZ98" s="945"/>
    </row>
    <row r="99" spans="1:312">
      <c r="A99" s="867"/>
      <c r="B99" s="71"/>
      <c r="D99" s="31"/>
      <c r="E99" s="66"/>
      <c r="F99" s="66"/>
      <c r="G99" s="66"/>
      <c r="H99" s="66"/>
      <c r="I99" s="66"/>
      <c r="J99" s="66"/>
      <c r="K99" s="66"/>
      <c r="L99" s="66"/>
      <c r="M99" s="66"/>
      <c r="N99" s="66"/>
      <c r="O99" s="66"/>
      <c r="P99" s="66"/>
      <c r="Q99" s="102"/>
      <c r="R99" s="66"/>
      <c r="S99" s="66"/>
      <c r="T99" s="66"/>
      <c r="U99" s="66"/>
      <c r="V99" s="66"/>
      <c r="W99" s="66"/>
      <c r="X99" s="66"/>
      <c r="Y99" s="66"/>
      <c r="Z99" s="66"/>
      <c r="AA99" s="66"/>
      <c r="AB99" s="66"/>
      <c r="AC99" s="102"/>
      <c r="AD99" s="66"/>
      <c r="AE99" s="66"/>
      <c r="AF99" s="66"/>
      <c r="AG99" s="66"/>
      <c r="AH99" s="66"/>
      <c r="AI99" s="66"/>
      <c r="AJ99" s="66"/>
      <c r="AK99" s="66"/>
      <c r="AL99" s="66"/>
      <c r="AM99" s="66"/>
      <c r="AN99" s="66"/>
      <c r="AO99" s="66"/>
      <c r="AP99" s="88"/>
      <c r="AQ99" s="942"/>
      <c r="AR99" s="942"/>
      <c r="AS99" s="88"/>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J99" s="66"/>
      <c r="DK99" s="66"/>
      <c r="DL99" s="66"/>
      <c r="DM99" s="66"/>
      <c r="DN99" s="66"/>
      <c r="DO99" s="66"/>
      <c r="DP99" s="66"/>
      <c r="DQ99" s="66"/>
      <c r="DR99" s="66"/>
      <c r="DS99" s="66"/>
      <c r="DT99" s="66"/>
      <c r="DU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F99" s="66"/>
      <c r="GG99" s="66"/>
      <c r="GH99" s="66"/>
      <c r="GI99" s="66"/>
      <c r="GJ99" s="66"/>
      <c r="GK99" s="66"/>
      <c r="GL99" s="66">
        <f t="shared" si="256"/>
        <v>0</v>
      </c>
      <c r="GM99" s="66">
        <f>+SUMIF($E$6:$CV$6,GM$7,$E99:$CV99)</f>
        <v>0</v>
      </c>
      <c r="GN99" s="66">
        <f t="shared" si="258"/>
        <v>0</v>
      </c>
      <c r="GO99" s="66">
        <v>0</v>
      </c>
      <c r="GQ99" s="50"/>
      <c r="GR99" s="50"/>
      <c r="GS99" s="50"/>
      <c r="GT99" s="922"/>
      <c r="GU99" s="922"/>
      <c r="GV99" s="922"/>
      <c r="GW99" s="922" t="str">
        <f t="shared" si="317"/>
        <v/>
      </c>
      <c r="GX99" s="50"/>
      <c r="GY99" s="922" t="str">
        <f t="shared" si="249"/>
        <v/>
      </c>
      <c r="HA99" s="66"/>
      <c r="HB99" s="66"/>
      <c r="HC99" s="66"/>
      <c r="HD99" s="66"/>
      <c r="HE99" s="66">
        <f t="shared" si="226"/>
        <v>0</v>
      </c>
      <c r="HF99" s="66">
        <f t="shared" si="226"/>
        <v>0</v>
      </c>
      <c r="HG99" s="66">
        <f t="shared" si="226"/>
        <v>0</v>
      </c>
      <c r="HH99" s="66"/>
      <c r="HI99" s="66">
        <f t="shared" si="251"/>
        <v>0</v>
      </c>
      <c r="HK99" s="50"/>
      <c r="HL99" s="50"/>
      <c r="HM99" s="50"/>
      <c r="HN99" s="50"/>
      <c r="HO99" s="50"/>
      <c r="HP99" s="50"/>
      <c r="HQ99" s="50"/>
      <c r="HR99" s="50"/>
      <c r="HS99" s="50"/>
      <c r="HU99" s="66"/>
      <c r="HV99" s="66"/>
      <c r="HW99" s="66"/>
      <c r="HX99" s="66"/>
      <c r="HY99" s="66"/>
      <c r="HZ99" s="66"/>
      <c r="IA99" s="66"/>
      <c r="IB99" s="66"/>
      <c r="IC99" s="66"/>
      <c r="ID99" s="66"/>
      <c r="IE99" s="66"/>
      <c r="IG99" s="66"/>
      <c r="IH99" s="66"/>
      <c r="II99" s="88"/>
      <c r="IJ99" s="50"/>
      <c r="IK99" s="66"/>
      <c r="IM99" s="50"/>
      <c r="IN99" s="50"/>
      <c r="IP99" s="50"/>
      <c r="IQ99" s="50"/>
      <c r="IR99" s="50"/>
      <c r="IS99" s="50"/>
      <c r="IT99" s="50"/>
      <c r="IU99" s="50"/>
      <c r="IV99" s="50"/>
      <c r="IX99" s="66"/>
      <c r="IY99" s="66"/>
      <c r="IZ99" s="66"/>
      <c r="JA99" s="66"/>
      <c r="JB99" s="66"/>
      <c r="JC99" s="66"/>
      <c r="JD99" s="66"/>
      <c r="JF99" s="50"/>
      <c r="JG99" s="50"/>
      <c r="JH99" s="50"/>
      <c r="JI99" s="50"/>
      <c r="JJ99" s="50"/>
      <c r="JK99" s="50"/>
      <c r="JL99" s="50"/>
      <c r="JM99" s="50"/>
      <c r="JO99" s="66"/>
      <c r="JP99" s="66"/>
      <c r="JQ99" s="66"/>
      <c r="JR99" s="66"/>
      <c r="JS99" s="66"/>
      <c r="JT99" s="66"/>
      <c r="JU99" s="66"/>
      <c r="JV99" s="66"/>
      <c r="JW99" s="66"/>
      <c r="JX99" s="66"/>
      <c r="JY99" s="66"/>
      <c r="KB99" s="50"/>
      <c r="KC99" s="50"/>
      <c r="KD99" s="50"/>
      <c r="KE99" s="50"/>
      <c r="KF99" s="50"/>
      <c r="KG99" s="50"/>
      <c r="KH99" s="50"/>
      <c r="KJ99" s="66"/>
      <c r="KK99" s="66"/>
      <c r="KL99" s="66"/>
      <c r="KM99" s="66"/>
      <c r="KN99" s="66"/>
      <c r="KO99" s="66"/>
      <c r="KP99" s="66"/>
      <c r="KR99" s="50"/>
      <c r="KS99" s="50"/>
      <c r="KT99" s="50"/>
      <c r="KU99" s="50"/>
      <c r="KV99" s="50"/>
      <c r="KW99" s="50"/>
      <c r="KX99" s="50"/>
      <c r="KY99" s="50"/>
      <c r="KZ99" s="50"/>
    </row>
    <row r="100" spans="1:312">
      <c r="A100" s="884">
        <v>54</v>
      </c>
      <c r="B100" s="70" t="s">
        <v>682</v>
      </c>
      <c r="C100" s="1431" t="s">
        <v>105</v>
      </c>
      <c r="D100" s="1531" t="s">
        <v>59</v>
      </c>
      <c r="E100" s="1532">
        <v>445.35038828280005</v>
      </c>
      <c r="F100" s="1532">
        <v>-349.33181676690003</v>
      </c>
      <c r="G100" s="1532">
        <v>-107.75014487819992</v>
      </c>
      <c r="H100" s="1532">
        <v>-190.68256431180009</v>
      </c>
      <c r="I100" s="1532">
        <v>-475.97180592720036</v>
      </c>
      <c r="J100" s="1532">
        <v>-174.00058071330002</v>
      </c>
      <c r="K100" s="1532">
        <v>-251.79194098739941</v>
      </c>
      <c r="L100" s="1532">
        <v>-491.41368556830128</v>
      </c>
      <c r="M100" s="1532">
        <v>-492.71997201240021</v>
      </c>
      <c r="N100" s="1532">
        <v>-265.74440775630063</v>
      </c>
      <c r="O100" s="1532">
        <v>-576.90099458309703</v>
      </c>
      <c r="P100" s="1532">
        <v>89.467525222099084</v>
      </c>
      <c r="Q100" s="1532">
        <v>129.80162252969993</v>
      </c>
      <c r="R100" s="1532">
        <v>-422.91366531480014</v>
      </c>
      <c r="S100" s="1532">
        <v>59.493210136799703</v>
      </c>
      <c r="T100" s="1532">
        <v>230.00600102699957</v>
      </c>
      <c r="U100" s="1532">
        <v>-492.02881695660011</v>
      </c>
      <c r="V100" s="1532">
        <v>-382.78075985819777</v>
      </c>
      <c r="W100" s="1532">
        <v>-182.70201044159978</v>
      </c>
      <c r="X100" s="1532">
        <v>-323.44593003960233</v>
      </c>
      <c r="Y100" s="1532">
        <v>223.23027562119913</v>
      </c>
      <c r="Z100" s="1532">
        <v>-11.103840580998487</v>
      </c>
      <c r="AA100" s="1532">
        <v>-814.63291325420005</v>
      </c>
      <c r="AB100" s="1532">
        <v>-943.73817286869962</v>
      </c>
      <c r="AC100" s="1532">
        <v>0</v>
      </c>
      <c r="AD100" s="1532">
        <v>-428.03893212100002</v>
      </c>
      <c r="AE100" s="1532">
        <v>-133.29398396199991</v>
      </c>
      <c r="AF100" s="1532">
        <v>-254.00540027800039</v>
      </c>
      <c r="AG100" s="1532">
        <v>-220.6923758778002</v>
      </c>
      <c r="AH100" s="1532">
        <v>-144.07383552380011</v>
      </c>
      <c r="AI100" s="1532">
        <v>-89.183574233999906</v>
      </c>
      <c r="AJ100" s="1532">
        <v>-234.25064662379995</v>
      </c>
      <c r="AK100" s="1532">
        <v>-285.1294398945999</v>
      </c>
      <c r="AL100" s="1532">
        <v>-400.17270311719977</v>
      </c>
      <c r="AM100" s="1532">
        <v>-710.50126691380001</v>
      </c>
      <c r="AN100" s="1532">
        <v>-744.91838744400002</v>
      </c>
      <c r="AO100" s="1532">
        <v>-342.59574300000003</v>
      </c>
      <c r="AP100" s="1532">
        <v>227.055959</v>
      </c>
      <c r="AQ100" s="1532">
        <v>154.76459399999999</v>
      </c>
      <c r="AR100" s="1532">
        <v>-173.50996699999999</v>
      </c>
      <c r="AS100" s="1532">
        <v>836.84692299999995</v>
      </c>
      <c r="AT100" s="1532">
        <v>449.49954535000006</v>
      </c>
      <c r="AU100" s="1532">
        <v>-34.353543250000001</v>
      </c>
      <c r="AV100" s="1532">
        <v>19.073401</v>
      </c>
      <c r="AW100" s="1532">
        <v>82.199792340000002</v>
      </c>
      <c r="AX100" s="1532">
        <v>-1218.98096145</v>
      </c>
      <c r="AY100" s="1532">
        <v>0</v>
      </c>
      <c r="AZ100" s="1532">
        <v>1573.723</v>
      </c>
      <c r="BA100" s="1532"/>
      <c r="BB100" s="1532"/>
      <c r="BC100" s="1532"/>
      <c r="BD100" s="1532"/>
      <c r="BE100" s="1532"/>
      <c r="BF100" s="1532"/>
      <c r="BG100" s="1532"/>
      <c r="BH100" s="1532"/>
      <c r="BI100" s="1532"/>
      <c r="BJ100" s="1532"/>
      <c r="BK100" s="1532"/>
      <c r="BL100" s="1532">
        <f>-128+779</f>
        <v>651</v>
      </c>
      <c r="BM100" s="1532">
        <v>0</v>
      </c>
      <c r="BN100" s="1532">
        <v>0</v>
      </c>
      <c r="BO100" s="1532">
        <v>0</v>
      </c>
      <c r="BP100" s="1532">
        <v>60.463429759999997</v>
      </c>
      <c r="BQ100" s="1532">
        <v>0</v>
      </c>
      <c r="BR100" s="1532">
        <v>0</v>
      </c>
      <c r="BS100" s="1532">
        <v>0</v>
      </c>
      <c r="BT100" s="1532">
        <v>0</v>
      </c>
      <c r="BU100" s="1532">
        <v>0</v>
      </c>
      <c r="BV100" s="1532">
        <v>0</v>
      </c>
      <c r="BW100" s="1532">
        <v>0</v>
      </c>
      <c r="BX100" s="1532">
        <v>23.250530999999999</v>
      </c>
      <c r="BY100" s="1532">
        <v>0</v>
      </c>
      <c r="BZ100" s="1532">
        <v>0</v>
      </c>
      <c r="CA100" s="1532">
        <v>0</v>
      </c>
      <c r="CB100" s="1532">
        <v>0</v>
      </c>
      <c r="CC100" s="1532">
        <v>0</v>
      </c>
      <c r="CD100" s="1532">
        <v>0</v>
      </c>
      <c r="CE100" s="1532">
        <v>0</v>
      </c>
      <c r="CF100" s="1532">
        <v>0</v>
      </c>
      <c r="CG100" s="1532">
        <v>0</v>
      </c>
      <c r="CH100" s="1532">
        <v>0</v>
      </c>
      <c r="CI100" s="1532">
        <v>0</v>
      </c>
      <c r="CJ100" s="1532">
        <v>-453.28872899999999</v>
      </c>
      <c r="CK100" s="1532">
        <v>0</v>
      </c>
      <c r="CL100" s="1532">
        <v>0</v>
      </c>
      <c r="CM100" s="1532">
        <v>0</v>
      </c>
      <c r="CN100" s="1532">
        <v>0</v>
      </c>
      <c r="CO100" s="1532">
        <v>0</v>
      </c>
      <c r="CP100" s="1532">
        <v>0</v>
      </c>
      <c r="CQ100" s="1532">
        <v>0</v>
      </c>
      <c r="CR100" s="1532">
        <v>0</v>
      </c>
      <c r="CS100" s="1532">
        <v>0</v>
      </c>
      <c r="CT100" s="1532">
        <v>0</v>
      </c>
      <c r="CU100" s="1532">
        <v>0</v>
      </c>
      <c r="CV100" s="1532">
        <v>-725.85913900000003</v>
      </c>
      <c r="CW100" s="1532">
        <v>0</v>
      </c>
      <c r="CX100" s="1532">
        <v>0</v>
      </c>
      <c r="CY100" s="1532">
        <v>0</v>
      </c>
      <c r="CZ100" s="1532">
        <v>0</v>
      </c>
      <c r="DA100" s="1532">
        <v>0</v>
      </c>
      <c r="DB100" s="1532">
        <v>0</v>
      </c>
      <c r="DC100" s="1532">
        <v>0</v>
      </c>
      <c r="DD100" s="1532">
        <v>0</v>
      </c>
      <c r="DE100" s="1532">
        <v>0</v>
      </c>
      <c r="DF100" s="1532">
        <v>0</v>
      </c>
      <c r="DG100" s="1532">
        <v>0</v>
      </c>
      <c r="DH100" s="1532">
        <v>-335.46991600000001</v>
      </c>
      <c r="DJ100" s="1532">
        <v>0</v>
      </c>
      <c r="DK100" s="1532">
        <v>0</v>
      </c>
      <c r="DL100" s="1532">
        <v>0</v>
      </c>
      <c r="DM100" s="1532">
        <v>0</v>
      </c>
      <c r="DN100" s="1532">
        <v>0</v>
      </c>
      <c r="DO100" s="1532">
        <v>0</v>
      </c>
      <c r="DP100" s="1532">
        <v>0</v>
      </c>
      <c r="DQ100" s="1532">
        <v>0</v>
      </c>
      <c r="DR100" s="1532">
        <v>0</v>
      </c>
      <c r="DS100" s="1532">
        <v>0</v>
      </c>
      <c r="DT100" s="1532">
        <v>0</v>
      </c>
      <c r="DU100" s="1532">
        <v>0</v>
      </c>
      <c r="DW100" s="1532">
        <v>-205.11983740901564</v>
      </c>
      <c r="DX100" s="1532">
        <v>142.68246604795445</v>
      </c>
      <c r="DY100" s="1532">
        <v>107.7599811207825</v>
      </c>
      <c r="DZ100" s="1532">
        <v>-206.90828813833704</v>
      </c>
      <c r="EA100" s="1532">
        <v>-81.691401175770551</v>
      </c>
      <c r="EB100" s="1532">
        <v>-162.22619998015315</v>
      </c>
      <c r="EC100" s="1532">
        <v>-491.16627685144937</v>
      </c>
      <c r="ED100" s="1532">
        <v>-812.53629554199074</v>
      </c>
      <c r="EE100" s="1532">
        <v>-495.46800999927979</v>
      </c>
      <c r="EF100" s="1532">
        <v>-589.06810817958376</v>
      </c>
      <c r="EG100" s="1532">
        <v>-523.78914308202968</v>
      </c>
      <c r="EH100" s="1532">
        <v>-367.7378291259497</v>
      </c>
      <c r="EI100" s="1532">
        <v>0</v>
      </c>
      <c r="EJ100" s="1532">
        <v>0</v>
      </c>
      <c r="EK100" s="1532">
        <v>0</v>
      </c>
      <c r="EL100" s="1532">
        <v>0</v>
      </c>
      <c r="EM100" s="1532">
        <v>0</v>
      </c>
      <c r="EN100" s="1532">
        <v>0</v>
      </c>
      <c r="EO100" s="1532">
        <v>0</v>
      </c>
      <c r="EP100" s="1532">
        <v>0</v>
      </c>
      <c r="EQ100" s="1532">
        <v>-106.09417844232408</v>
      </c>
      <c r="ER100" s="1532">
        <v>-129.00753610366687</v>
      </c>
      <c r="ES100" s="1532">
        <v>-97.023274746680443</v>
      </c>
      <c r="ET100" s="1532">
        <v>-22.263530925278662</v>
      </c>
      <c r="EU100" s="1532"/>
      <c r="EV100" s="1532"/>
      <c r="EW100" s="1532"/>
      <c r="EX100" s="1532"/>
      <c r="EY100" s="1532"/>
      <c r="EZ100" s="1532"/>
      <c r="FA100" s="1532"/>
      <c r="FB100" s="1532"/>
      <c r="FC100" s="1532"/>
      <c r="FD100" s="1532"/>
      <c r="FE100" s="1532"/>
      <c r="FF100" s="1532"/>
      <c r="FG100" s="1532">
        <v>0</v>
      </c>
      <c r="FH100" s="1532">
        <v>0</v>
      </c>
      <c r="FI100" s="1532">
        <v>0</v>
      </c>
      <c r="FJ100" s="1532">
        <v>0</v>
      </c>
      <c r="FK100" s="1532">
        <v>0</v>
      </c>
      <c r="FL100" s="1532">
        <v>0</v>
      </c>
      <c r="FM100" s="1532">
        <v>0</v>
      </c>
      <c r="FN100" s="1532">
        <v>0</v>
      </c>
      <c r="FO100" s="1532">
        <v>0</v>
      </c>
      <c r="FP100" s="1532">
        <v>0</v>
      </c>
      <c r="FQ100" s="1532">
        <v>0</v>
      </c>
      <c r="FR100" s="1532">
        <v>0</v>
      </c>
      <c r="FS100" s="1532">
        <v>0</v>
      </c>
      <c r="FT100" s="1532">
        <v>0</v>
      </c>
      <c r="FU100" s="1532">
        <v>0</v>
      </c>
      <c r="FV100" s="1532">
        <v>0</v>
      </c>
      <c r="FW100" s="1532">
        <v>0</v>
      </c>
      <c r="FX100" s="1532">
        <v>0</v>
      </c>
      <c r="FY100" s="1532">
        <v>0</v>
      </c>
      <c r="FZ100" s="1532">
        <v>0</v>
      </c>
      <c r="GA100" s="1532">
        <v>0</v>
      </c>
      <c r="GB100" s="1532">
        <v>0</v>
      </c>
      <c r="GC100" s="1532">
        <v>0</v>
      </c>
      <c r="GD100" s="1532">
        <v>0</v>
      </c>
      <c r="GF100" s="1532">
        <f>+SUMIF($E$6:$AZ$6,GF$7,$E100:$AZ100)</f>
        <v>-2841.49</v>
      </c>
      <c r="GG100" s="1532">
        <f>+SUMIF($E$6:$AZ$6,GG$7,$E100:$AZ100)</f>
        <v>-2930.8150000000001</v>
      </c>
      <c r="GH100" s="1532">
        <f>+SUMIF($E$6:$AZ$6,GH$7,$E100:$AZ100)</f>
        <v>-3644.2605459900001</v>
      </c>
      <c r="GI100" s="1532">
        <f>+SUMIF($E$6:$AZ$6,GI$7,$E100:$AZ100)</f>
        <v>1573.7229999899998</v>
      </c>
      <c r="GJ100" s="1532">
        <f>+SUMIF($E$6:$BL$6,GJ$7,$E100:$BL100)</f>
        <v>651</v>
      </c>
      <c r="GK100" s="1532">
        <f t="shared" si="265"/>
        <v>83.713960759999992</v>
      </c>
      <c r="GL100" s="1532">
        <f t="shared" si="256"/>
        <v>-453.28872899999999</v>
      </c>
      <c r="GM100" s="1532">
        <f>+SUMIF($E$6:$CV$6,GM$7,$E100:$CV100)</f>
        <v>-725.85913900000003</v>
      </c>
      <c r="GN100" s="1532">
        <f t="shared" si="258"/>
        <v>0</v>
      </c>
      <c r="GO100" s="1532">
        <v>-335.46991600000001</v>
      </c>
      <c r="GQ100" s="1543">
        <f t="shared" ref="GQ100:GV101" si="367">+IFERROR(GH100/GG100-1,"")</f>
        <v>0.24342906187869251</v>
      </c>
      <c r="GR100" s="1543">
        <f t="shared" si="367"/>
        <v>-1.4318360282229716</v>
      </c>
      <c r="GS100" s="1543">
        <f t="shared" si="367"/>
        <v>-0.58633126668153368</v>
      </c>
      <c r="GT100" s="1543">
        <f t="shared" si="367"/>
        <v>-0.87140712632872508</v>
      </c>
      <c r="GU100" s="1543">
        <f t="shared" si="367"/>
        <v>-6.4147327982668969</v>
      </c>
      <c r="GV100" s="1543">
        <f t="shared" si="367"/>
        <v>0.60131742212368144</v>
      </c>
      <c r="GW100" s="1543">
        <f t="shared" si="317"/>
        <v>-1</v>
      </c>
      <c r="GX100" s="1543" t="str">
        <f t="shared" si="317"/>
        <v/>
      </c>
      <c r="GY100" s="1543">
        <f t="shared" si="249"/>
        <v>-0.53783055420068215</v>
      </c>
      <c r="HA100" s="1532">
        <f t="shared" ref="HA100:HC101" si="368">+GH100-GG100</f>
        <v>-713.44554599000003</v>
      </c>
      <c r="HB100" s="1532">
        <f t="shared" si="368"/>
        <v>5217.9835459799997</v>
      </c>
      <c r="HC100" s="1532">
        <f t="shared" si="368"/>
        <v>-922.72299998999983</v>
      </c>
      <c r="HD100" s="1532">
        <f t="shared" si="318"/>
        <v>-567.28603924000004</v>
      </c>
      <c r="HE100" s="1532">
        <f t="shared" si="226"/>
        <v>-537.00268975999995</v>
      </c>
      <c r="HF100" s="1532">
        <f t="shared" si="226"/>
        <v>-272.57041000000004</v>
      </c>
      <c r="HG100" s="1532">
        <f t="shared" si="226"/>
        <v>725.85913900000003</v>
      </c>
      <c r="HH100" s="1532">
        <f t="shared" si="226"/>
        <v>-335.46991600000001</v>
      </c>
      <c r="HI100" s="1532">
        <f t="shared" si="251"/>
        <v>390.38922300000002</v>
      </c>
      <c r="HK100" s="1544">
        <f t="shared" ref="HK100:HN101" si="369">+GG100/GG$11</f>
        <v>-7.9738611361776054E-2</v>
      </c>
      <c r="HL100" s="1544">
        <f t="shared" si="369"/>
        <v>-9.2533891978832647E-2</v>
      </c>
      <c r="HM100" s="1544">
        <f t="shared" si="369"/>
        <v>9.3380599336816555E-2</v>
      </c>
      <c r="HN100" s="1544">
        <f t="shared" si="369"/>
        <v>0.10581878481372332</v>
      </c>
      <c r="HO100" s="1544">
        <f t="shared" si="319"/>
        <v>6.1424240480872968E-3</v>
      </c>
      <c r="HP100" s="1544">
        <f t="shared" si="319"/>
        <v>-3.2033330611440584E-2</v>
      </c>
      <c r="HQ100" s="1544">
        <f t="shared" si="319"/>
        <v>-3.4191301486072898E-2</v>
      </c>
      <c r="HR100" s="1544">
        <f t="shared" si="319"/>
        <v>0</v>
      </c>
      <c r="HS100" s="1544">
        <f t="shared" si="319"/>
        <v>-2.6582639756324637E-2</v>
      </c>
      <c r="HU100" s="1532">
        <f t="shared" ref="HU100:HZ101" si="370">+IFERROR(SUMIFS($E100:$BX100,$E$6:$BX$6,HU$7,$E$5:$BX$5,"&lt;="&amp;$HW$5),"NA")</f>
        <v>-852.38652431460036</v>
      </c>
      <c r="HV100" s="1532">
        <f t="shared" si="370"/>
        <v>-878.42240843609886</v>
      </c>
      <c r="HW100" s="1532">
        <f t="shared" si="370"/>
        <v>-1180.1045277626006</v>
      </c>
      <c r="HX100" s="1532">
        <f t="shared" si="370"/>
        <v>1152.0613113499999</v>
      </c>
      <c r="HY100" s="1532">
        <f t="shared" si="370"/>
        <v>0</v>
      </c>
      <c r="HZ100" s="1532">
        <f t="shared" si="370"/>
        <v>60.463429759999997</v>
      </c>
      <c r="IA100" s="1532">
        <f>+IFERROR(SUMIFS($E100:$CJ100,$E$6:$CJ$6,IA$7,$E$5:$CJ$5,"&lt;="&amp;$HW$5),"NA")</f>
        <v>0</v>
      </c>
      <c r="IB100" s="1532">
        <f>+IFERROR(SUMIFS($E100:$CV100,$E$6:$CV$6,IB$7,$E$5:$CV$5,"&lt;="&amp;$HW$5),"NA")</f>
        <v>0</v>
      </c>
      <c r="IC100" s="1532">
        <f>+SUMIF($CW$5:$DH$5,"&lt;="&amp;$HW$5,$CW100:$DH100)</f>
        <v>0</v>
      </c>
      <c r="ID100" s="1532">
        <f t="shared" si="253"/>
        <v>0</v>
      </c>
      <c r="IE100" s="1532">
        <f>+SUMIF($DJ$5:$DU$5,"&lt;="&amp;$HW$5,$DJ100:$DU100)</f>
        <v>0</v>
      </c>
      <c r="IG100" s="1532">
        <f t="shared" si="254"/>
        <v>0</v>
      </c>
      <c r="IH100" s="1532">
        <f>+ID100</f>
        <v>0</v>
      </c>
      <c r="II100" s="939"/>
      <c r="IJ100" s="1543" t="str">
        <f>+IFERROR(IG100/IH100,"")</f>
        <v/>
      </c>
      <c r="IK100" s="1545">
        <f>+IFERROR(IG100-IH100,"NA")</f>
        <v>0</v>
      </c>
      <c r="IM100" s="1544">
        <f>+IG100/IG$11</f>
        <v>0</v>
      </c>
      <c r="IN100" s="1543">
        <f>+IFERROR(IH100/IH$11,"")</f>
        <v>0</v>
      </c>
      <c r="IP100" s="1544">
        <f t="shared" si="278"/>
        <v>0.34343627442701763</v>
      </c>
      <c r="IQ100" s="1544">
        <f t="shared" si="278"/>
        <v>-1.9762366673859231</v>
      </c>
      <c r="IR100" s="1544">
        <f t="shared" si="278"/>
        <v>-1</v>
      </c>
      <c r="IS100" s="1544" t="str">
        <f t="shared" si="278"/>
        <v>NA</v>
      </c>
      <c r="IT100" s="1544">
        <f t="shared" si="278"/>
        <v>-1</v>
      </c>
      <c r="IU100" s="1544" t="str">
        <f t="shared" si="278"/>
        <v>NA</v>
      </c>
      <c r="IV100" s="1544" t="str">
        <f>+IFERROR(IE100/IB100-1,"NA")</f>
        <v>NA</v>
      </c>
      <c r="IX100" s="1532">
        <f t="shared" si="279"/>
        <v>-301.68211932650172</v>
      </c>
      <c r="IY100" s="1532">
        <f t="shared" si="279"/>
        <v>2332.1658391126002</v>
      </c>
      <c r="IZ100" s="1532">
        <f>+HY100-HX100</f>
        <v>-1152.0613113499999</v>
      </c>
      <c r="JA100" s="1532">
        <f>+HZ100-HY100</f>
        <v>60.463429759999997</v>
      </c>
      <c r="JB100" s="1532">
        <f>+IA100-HZ100</f>
        <v>-60.463429759999997</v>
      </c>
      <c r="JC100" s="1532">
        <f>+IB100-IA100</f>
        <v>0</v>
      </c>
      <c r="JD100" s="1532">
        <f>+IE100-IB100</f>
        <v>0</v>
      </c>
      <c r="JF100" s="1544">
        <f t="shared" ref="JF100:JL100" si="371">+HU100/HU$11</f>
        <v>-5.3291924442102664E-2</v>
      </c>
      <c r="JG100" s="1544">
        <f t="shared" si="371"/>
        <v>-5.1516359399331989E-2</v>
      </c>
      <c r="JH100" s="1544">
        <f t="shared" si="371"/>
        <v>-7.2598269823223621E-2</v>
      </c>
      <c r="JI100" s="1544">
        <f t="shared" si="371"/>
        <v>0.12316145147054348</v>
      </c>
      <c r="JJ100" s="1544">
        <f t="shared" si="371"/>
        <v>0</v>
      </c>
      <c r="JK100" s="1544">
        <f t="shared" si="371"/>
        <v>8.7106603796620139E-3</v>
      </c>
      <c r="JL100" s="1544">
        <f t="shared" si="371"/>
        <v>0</v>
      </c>
      <c r="JM100" s="1544">
        <f>+IE100/IE$11</f>
        <v>0</v>
      </c>
      <c r="JO100" s="1532">
        <f>+SUMIFS($E100:$BX100,$E$6:$BX$6,JO$7,$E$5:$BX$5,$JQ$5)</f>
        <v>-174.00058071330002</v>
      </c>
      <c r="JP100" s="1532">
        <f>+SUMIFS($E100:$BX100,$E$6:$BX$6,JP$7,$E$5:$BX$5,$JQ$5)</f>
        <v>-382.78075985819777</v>
      </c>
      <c r="JQ100" s="1532">
        <f>+SUMIFS($E100:$BX100,$E$6:$BX$6,JQ$7,$E$5:$BX$5,$JQ$5)</f>
        <v>-144.07383552380011</v>
      </c>
      <c r="JR100" s="1532">
        <f>+SUMIFS($E100:$BX100,$E$6:$BX$6,JR$7,$E$5:$BX$5,$JQ$5)</f>
        <v>449.49954535000006</v>
      </c>
      <c r="JS100" s="1532">
        <f>+SUMIFS($E100:$BX100,$E$6:$BX$6,JS$7,$E$5:$BX$5,$JQ$5)</f>
        <v>0</v>
      </c>
      <c r="JT100" s="1532">
        <f>+SUMIFS($E100:$CJ100,$E$6:$CJ$6,JT$7,$E$5:$CJ$5,$JQ$5)</f>
        <v>0</v>
      </c>
      <c r="JU100" s="1532">
        <f>+SUMIFS($E100:$CV100,$E$6:$CV$6,JU$7,$E$5:$CV$5,$JQ$5)</f>
        <v>0</v>
      </c>
      <c r="JV100" s="1532">
        <f>+SUMIFS($E100:$CV100,$E$6:$CV$6,JV$7,$E$5:$CV$5,$JQ$5)</f>
        <v>0</v>
      </c>
      <c r="JW100" s="1532">
        <f>+SUMIFS($E100:$DH100,$E$6:$DH$6,JW$7,$E$5:$DH$5,$JQ$5)</f>
        <v>0</v>
      </c>
      <c r="JX100" s="1532">
        <f>+SUMIF($FS$5:$GD$5,$JQ$5,$FS100:$GD100)</f>
        <v>0</v>
      </c>
      <c r="JY100" s="1532">
        <f>+SUMIF($DJ$5:$DU$5,$JQ$5,$DJ100:$DU100)</f>
        <v>0</v>
      </c>
      <c r="KB100" s="1544">
        <f t="shared" ref="KB100:KG100" si="372">+IFERROR(JQ100/JP100-1," ")</f>
        <v>-0.62361265081042028</v>
      </c>
      <c r="KC100" s="1544">
        <f t="shared" si="372"/>
        <v>-4.1199248893165308</v>
      </c>
      <c r="KD100" s="1544">
        <f t="shared" si="372"/>
        <v>-1</v>
      </c>
      <c r="KE100" s="1544" t="str">
        <f t="shared" si="372"/>
        <v xml:space="preserve"> </v>
      </c>
      <c r="KF100" s="1544" t="str">
        <f t="shared" si="372"/>
        <v xml:space="preserve"> </v>
      </c>
      <c r="KG100" s="1544" t="str">
        <f t="shared" si="372"/>
        <v xml:space="preserve"> </v>
      </c>
      <c r="KH100" s="1544" t="str">
        <f>+IFERROR(JY100/JV100-1," ")</f>
        <v xml:space="preserve"> </v>
      </c>
      <c r="KJ100" s="1532">
        <f t="shared" ref="KJ100:KO100" si="373">+JQ100-JP100</f>
        <v>238.70692433439766</v>
      </c>
      <c r="KK100" s="1532">
        <f t="shared" si="373"/>
        <v>593.57338087380015</v>
      </c>
      <c r="KL100" s="1532">
        <f t="shared" si="373"/>
        <v>-449.49954535000006</v>
      </c>
      <c r="KM100" s="1532">
        <f t="shared" si="373"/>
        <v>0</v>
      </c>
      <c r="KN100" s="1532">
        <f t="shared" si="373"/>
        <v>0</v>
      </c>
      <c r="KO100" s="1532">
        <f t="shared" si="373"/>
        <v>0</v>
      </c>
      <c r="KP100" s="1532">
        <f>+JY100-JV100</f>
        <v>0</v>
      </c>
      <c r="KR100" s="1544">
        <f t="shared" ref="KR100:KY101" si="374">+JO100/JO$11</f>
        <v>-5.4276410003025355E-2</v>
      </c>
      <c r="KS100" s="1544">
        <f t="shared" si="374"/>
        <v>-0.11381290189472425</v>
      </c>
      <c r="KT100" s="1544">
        <f t="shared" si="374"/>
        <v>-5.7424345456562387E-2</v>
      </c>
      <c r="KU100" s="1544">
        <f t="shared" si="374"/>
        <v>0.50242105301311235</v>
      </c>
      <c r="KV100" s="1544">
        <f t="shared" si="374"/>
        <v>0</v>
      </c>
      <c r="KW100" s="1544">
        <f t="shared" si="374"/>
        <v>0</v>
      </c>
      <c r="KX100" s="1544">
        <f t="shared" si="374"/>
        <v>0</v>
      </c>
      <c r="KY100" s="1544">
        <f t="shared" si="374"/>
        <v>0</v>
      </c>
      <c r="KZ100" s="1544">
        <f t="shared" si="306"/>
        <v>0</v>
      </c>
    </row>
    <row r="101" spans="1:312" outlineLevel="1">
      <c r="A101" s="867"/>
      <c r="B101" s="71"/>
      <c r="C101" s="968" t="s">
        <v>106</v>
      </c>
      <c r="D101" s="969" t="s">
        <v>35</v>
      </c>
      <c r="E101" s="69">
        <v>-0.33000000000000007</v>
      </c>
      <c r="F101" s="69">
        <v>-0.3299999999999999</v>
      </c>
      <c r="G101" s="69">
        <v>-0.32999999999999952</v>
      </c>
      <c r="H101" s="69">
        <v>-0.32999999999999979</v>
      </c>
      <c r="I101" s="69">
        <v>-0.33000000000000063</v>
      </c>
      <c r="J101" s="69">
        <v>-0.3300000000000004</v>
      </c>
      <c r="K101" s="69">
        <v>-0.3299999999999999</v>
      </c>
      <c r="L101" s="69">
        <v>-0.33000000000000052</v>
      </c>
      <c r="M101" s="69">
        <v>-0.32999999999999979</v>
      </c>
      <c r="N101" s="69">
        <v>-0.33000000000000157</v>
      </c>
      <c r="O101" s="69">
        <v>-0.3299999999999978</v>
      </c>
      <c r="P101" s="69">
        <v>1.7941021556544812</v>
      </c>
      <c r="Q101" s="69">
        <v>-0.33000000000000007</v>
      </c>
      <c r="R101" s="69">
        <v>-0.33000000000000018</v>
      </c>
      <c r="S101" s="69">
        <v>-0.32999999999999824</v>
      </c>
      <c r="T101" s="69">
        <v>-0.33000000000000052</v>
      </c>
      <c r="U101" s="69">
        <v>-0.32999999999999996</v>
      </c>
      <c r="V101" s="69">
        <v>-0.32999999999999902</v>
      </c>
      <c r="W101" s="69">
        <v>-0.3400000000000003</v>
      </c>
      <c r="X101" s="69">
        <v>-0.34000000000000186</v>
      </c>
      <c r="Y101" s="69">
        <v>-0.33999999999999952</v>
      </c>
      <c r="Z101" s="69">
        <v>-0.3399999999999907</v>
      </c>
      <c r="AA101" s="69">
        <v>-0.33999999999999991</v>
      </c>
      <c r="AB101" s="69">
        <v>-0.30857702283181548</v>
      </c>
      <c r="AC101" s="69">
        <v>0</v>
      </c>
      <c r="AD101" s="69">
        <v>-0.25010309941900982</v>
      </c>
      <c r="AE101" s="69">
        <v>-0.34</v>
      </c>
      <c r="AF101" s="69">
        <v>-0.3400000000000003</v>
      </c>
      <c r="AG101" s="69">
        <v>-0.34000000000000008</v>
      </c>
      <c r="AH101" s="69">
        <v>-0.33999999999999991</v>
      </c>
      <c r="AI101" s="69">
        <v>-0.33999999999999958</v>
      </c>
      <c r="AJ101" s="69">
        <v>-0.33999999999999991</v>
      </c>
      <c r="AK101" s="69">
        <v>-0.34</v>
      </c>
      <c r="AL101" s="69">
        <v>-0.33999999999999991</v>
      </c>
      <c r="AM101" s="69">
        <v>-0.22401578605452543</v>
      </c>
      <c r="AN101" s="69">
        <v>-0.93777928365872931</v>
      </c>
      <c r="AO101" s="69">
        <f>IFERROR(+AO100/AO97,0)</f>
        <v>-0.30936676851031464</v>
      </c>
      <c r="AP101" s="69">
        <f t="shared" ref="AP101:DA101" si="375">IFERROR(+AP100/AP97,0)</f>
        <v>-0.39347322516869643</v>
      </c>
      <c r="AQ101" s="69">
        <f t="shared" si="375"/>
        <v>-0.86942614220807013</v>
      </c>
      <c r="AR101" s="69">
        <f t="shared" si="375"/>
        <v>0.24471716455390838</v>
      </c>
      <c r="AS101" s="69">
        <f t="shared" si="375"/>
        <v>-0.65288322128090781</v>
      </c>
      <c r="AT101" s="69">
        <f t="shared" si="375"/>
        <v>-0.4038709491649603</v>
      </c>
      <c r="AU101" s="69">
        <f t="shared" si="375"/>
        <v>-0.27760905821777804</v>
      </c>
      <c r="AV101" s="69">
        <f t="shared" si="375"/>
        <v>-1.4342440883830438</v>
      </c>
      <c r="AW101" s="69">
        <f t="shared" si="375"/>
        <v>-0.30665359279221777</v>
      </c>
      <c r="AX101" s="69">
        <f t="shared" si="375"/>
        <v>27.986525462894175</v>
      </c>
      <c r="AY101" s="69">
        <f t="shared" si="375"/>
        <v>0</v>
      </c>
      <c r="AZ101" s="69">
        <f t="shared" si="375"/>
        <v>-1.4398133850270889</v>
      </c>
      <c r="BA101" s="69">
        <f t="shared" si="375"/>
        <v>0</v>
      </c>
      <c r="BB101" s="69">
        <f t="shared" si="375"/>
        <v>0</v>
      </c>
      <c r="BC101" s="69">
        <f t="shared" si="375"/>
        <v>0</v>
      </c>
      <c r="BD101" s="69">
        <f t="shared" si="375"/>
        <v>0</v>
      </c>
      <c r="BE101" s="69">
        <f t="shared" si="375"/>
        <v>0</v>
      </c>
      <c r="BF101" s="69">
        <f t="shared" si="375"/>
        <v>0</v>
      </c>
      <c r="BG101" s="69">
        <f t="shared" si="375"/>
        <v>0</v>
      </c>
      <c r="BH101" s="69">
        <f t="shared" si="375"/>
        <v>0</v>
      </c>
      <c r="BI101" s="69">
        <f t="shared" si="375"/>
        <v>0</v>
      </c>
      <c r="BJ101" s="69">
        <f t="shared" si="375"/>
        <v>0</v>
      </c>
      <c r="BK101" s="69">
        <f t="shared" si="375"/>
        <v>0</v>
      </c>
      <c r="BL101" s="69">
        <f t="shared" si="375"/>
        <v>-1.5920929221437015</v>
      </c>
      <c r="BM101" s="69">
        <f t="shared" si="375"/>
        <v>0</v>
      </c>
      <c r="BN101" s="69">
        <f t="shared" si="375"/>
        <v>0</v>
      </c>
      <c r="BO101" s="69">
        <f t="shared" si="375"/>
        <v>0</v>
      </c>
      <c r="BP101" s="69">
        <f t="shared" si="375"/>
        <v>0.20453878068917269</v>
      </c>
      <c r="BQ101" s="69">
        <f t="shared" si="375"/>
        <v>0</v>
      </c>
      <c r="BR101" s="69">
        <f t="shared" si="375"/>
        <v>0</v>
      </c>
      <c r="BS101" s="69">
        <f t="shared" si="375"/>
        <v>0</v>
      </c>
      <c r="BT101" s="69">
        <f t="shared" si="375"/>
        <v>0</v>
      </c>
      <c r="BU101" s="69">
        <f t="shared" si="375"/>
        <v>0</v>
      </c>
      <c r="BV101" s="69">
        <f t="shared" si="375"/>
        <v>0</v>
      </c>
      <c r="BW101" s="69">
        <f t="shared" si="375"/>
        <v>0</v>
      </c>
      <c r="BX101" s="69">
        <f t="shared" si="375"/>
        <v>-0.36041408687089621</v>
      </c>
      <c r="BY101" s="69">
        <f t="shared" si="375"/>
        <v>0</v>
      </c>
      <c r="BZ101" s="69">
        <f t="shared" si="375"/>
        <v>0</v>
      </c>
      <c r="CA101" s="69">
        <f t="shared" si="375"/>
        <v>0</v>
      </c>
      <c r="CB101" s="69">
        <f t="shared" si="375"/>
        <v>0</v>
      </c>
      <c r="CC101" s="69">
        <f t="shared" si="375"/>
        <v>0</v>
      </c>
      <c r="CD101" s="69">
        <f t="shared" si="375"/>
        <v>0</v>
      </c>
      <c r="CE101" s="69">
        <f t="shared" si="375"/>
        <v>0</v>
      </c>
      <c r="CF101" s="69">
        <f t="shared" si="375"/>
        <v>0</v>
      </c>
      <c r="CG101" s="69">
        <f t="shared" si="375"/>
        <v>0</v>
      </c>
      <c r="CH101" s="69">
        <f t="shared" si="375"/>
        <v>0</v>
      </c>
      <c r="CI101" s="69">
        <f t="shared" si="375"/>
        <v>0</v>
      </c>
      <c r="CJ101" s="69">
        <f t="shared" si="375"/>
        <v>-1.9752236479260783</v>
      </c>
      <c r="CK101" s="69">
        <f t="shared" si="375"/>
        <v>0</v>
      </c>
      <c r="CL101" s="69">
        <f t="shared" si="375"/>
        <v>0</v>
      </c>
      <c r="CM101" s="69">
        <f t="shared" si="375"/>
        <v>0</v>
      </c>
      <c r="CN101" s="69">
        <f t="shared" si="375"/>
        <v>0</v>
      </c>
      <c r="CO101" s="69">
        <f t="shared" si="375"/>
        <v>0</v>
      </c>
      <c r="CP101" s="69">
        <f t="shared" si="375"/>
        <v>0</v>
      </c>
      <c r="CQ101" s="69">
        <f t="shared" si="375"/>
        <v>0</v>
      </c>
      <c r="CR101" s="69">
        <f t="shared" si="375"/>
        <v>0</v>
      </c>
      <c r="CS101" s="69">
        <f t="shared" si="375"/>
        <v>0</v>
      </c>
      <c r="CT101" s="69">
        <f t="shared" si="375"/>
        <v>0</v>
      </c>
      <c r="CU101" s="69">
        <f t="shared" si="375"/>
        <v>0</v>
      </c>
      <c r="CV101" s="69">
        <f t="shared" si="375"/>
        <v>4.3490651399965561</v>
      </c>
      <c r="CW101" s="69">
        <f t="shared" si="375"/>
        <v>0</v>
      </c>
      <c r="CX101" s="69">
        <f t="shared" si="375"/>
        <v>0</v>
      </c>
      <c r="CY101" s="69">
        <f t="shared" si="375"/>
        <v>0</v>
      </c>
      <c r="CZ101" s="69">
        <f t="shared" si="375"/>
        <v>0</v>
      </c>
      <c r="DA101" s="69">
        <f t="shared" si="375"/>
        <v>0</v>
      </c>
      <c r="DB101" s="69">
        <f t="shared" ref="DB101:DH101" si="376">IFERROR(+DB100/DB97,0)</f>
        <v>0</v>
      </c>
      <c r="DC101" s="69">
        <f t="shared" si="376"/>
        <v>0</v>
      </c>
      <c r="DD101" s="69">
        <f t="shared" si="376"/>
        <v>0</v>
      </c>
      <c r="DE101" s="69">
        <f t="shared" si="376"/>
        <v>0</v>
      </c>
      <c r="DF101" s="69">
        <f t="shared" si="376"/>
        <v>0</v>
      </c>
      <c r="DG101" s="69">
        <f t="shared" si="376"/>
        <v>0</v>
      </c>
      <c r="DH101" s="69">
        <f t="shared" si="376"/>
        <v>-5.4021683322305885</v>
      </c>
      <c r="DJ101" s="69">
        <f t="shared" ref="DJ101:DU101" si="377">IFERROR(+DJ100/DJ97,0)</f>
        <v>0</v>
      </c>
      <c r="DK101" s="69">
        <f t="shared" si="377"/>
        <v>0</v>
      </c>
      <c r="DL101" s="69">
        <f t="shared" si="377"/>
        <v>0</v>
      </c>
      <c r="DM101" s="69">
        <f t="shared" si="377"/>
        <v>0</v>
      </c>
      <c r="DN101" s="69">
        <f t="shared" si="377"/>
        <v>0</v>
      </c>
      <c r="DO101" s="69">
        <f t="shared" si="377"/>
        <v>0</v>
      </c>
      <c r="DP101" s="69">
        <f t="shared" si="377"/>
        <v>0</v>
      </c>
      <c r="DQ101" s="69">
        <f t="shared" si="377"/>
        <v>0</v>
      </c>
      <c r="DR101" s="69">
        <f t="shared" si="377"/>
        <v>0</v>
      </c>
      <c r="DS101" s="69">
        <f t="shared" si="377"/>
        <v>0</v>
      </c>
      <c r="DT101" s="69">
        <f t="shared" si="377"/>
        <v>0</v>
      </c>
      <c r="DU101" s="69">
        <f t="shared" si="377"/>
        <v>0</v>
      </c>
      <c r="DW101" s="69">
        <v>-0.39000000000000051</v>
      </c>
      <c r="DX101" s="69">
        <v>-0.39000000000000024</v>
      </c>
      <c r="DY101" s="69">
        <v>-0.3899999999999994</v>
      </c>
      <c r="DZ101" s="69">
        <v>-0.39</v>
      </c>
      <c r="EA101" s="69">
        <v>-0.38999999999999957</v>
      </c>
      <c r="EB101" s="69">
        <v>-0.38999999999999962</v>
      </c>
      <c r="EC101" s="69">
        <v>-0.39000000000000007</v>
      </c>
      <c r="ED101" s="69">
        <v>-0.39</v>
      </c>
      <c r="EE101" s="69">
        <v>-0.38999999999999996</v>
      </c>
      <c r="EF101" s="69">
        <v>-0.38999999999999985</v>
      </c>
      <c r="EG101" s="69">
        <v>-0.39</v>
      </c>
      <c r="EH101" s="69">
        <v>-0.39000000000000018</v>
      </c>
      <c r="EI101" s="69">
        <f>+EI100/EI97</f>
        <v>0</v>
      </c>
      <c r="EJ101" s="69">
        <f t="shared" ref="EJ101:GD101" si="378">+EJ100/EJ97</f>
        <v>0</v>
      </c>
      <c r="EK101" s="69">
        <f t="shared" si="378"/>
        <v>0</v>
      </c>
      <c r="EL101" s="69">
        <f t="shared" si="378"/>
        <v>0</v>
      </c>
      <c r="EM101" s="69">
        <f t="shared" si="378"/>
        <v>0</v>
      </c>
      <c r="EN101" s="69">
        <f t="shared" si="378"/>
        <v>0</v>
      </c>
      <c r="EO101" s="69">
        <f t="shared" si="378"/>
        <v>0</v>
      </c>
      <c r="EP101" s="69">
        <f t="shared" si="378"/>
        <v>0</v>
      </c>
      <c r="EQ101" s="69">
        <f t="shared" si="378"/>
        <v>-0.36492252296350919</v>
      </c>
      <c r="ER101" s="69">
        <f t="shared" si="378"/>
        <v>-0.39000000000000007</v>
      </c>
      <c r="ES101" s="69">
        <f t="shared" si="378"/>
        <v>-0.39000000000000012</v>
      </c>
      <c r="ET101" s="69">
        <f t="shared" si="378"/>
        <v>-0.38999999999999918</v>
      </c>
      <c r="EU101" s="69">
        <f t="shared" si="378"/>
        <v>0</v>
      </c>
      <c r="EV101" s="69">
        <f t="shared" si="378"/>
        <v>0</v>
      </c>
      <c r="EW101" s="69">
        <f t="shared" si="378"/>
        <v>0</v>
      </c>
      <c r="EX101" s="69">
        <f t="shared" si="378"/>
        <v>0</v>
      </c>
      <c r="EY101" s="69">
        <f t="shared" si="378"/>
        <v>0</v>
      </c>
      <c r="EZ101" s="69">
        <f t="shared" si="378"/>
        <v>0</v>
      </c>
      <c r="FA101" s="69">
        <f t="shared" si="378"/>
        <v>0</v>
      </c>
      <c r="FB101" s="69">
        <f t="shared" si="378"/>
        <v>0</v>
      </c>
      <c r="FC101" s="69">
        <f t="shared" si="378"/>
        <v>0</v>
      </c>
      <c r="FD101" s="69">
        <f t="shared" si="378"/>
        <v>0</v>
      </c>
      <c r="FE101" s="69">
        <f t="shared" si="378"/>
        <v>0</v>
      </c>
      <c r="FF101" s="69">
        <f t="shared" si="378"/>
        <v>0</v>
      </c>
      <c r="FG101" s="69">
        <f t="shared" si="378"/>
        <v>0</v>
      </c>
      <c r="FH101" s="69">
        <f t="shared" si="378"/>
        <v>0</v>
      </c>
      <c r="FI101" s="69">
        <f t="shared" si="378"/>
        <v>0</v>
      </c>
      <c r="FJ101" s="69">
        <f t="shared" si="378"/>
        <v>0</v>
      </c>
      <c r="FK101" s="69">
        <f t="shared" si="378"/>
        <v>0</v>
      </c>
      <c r="FL101" s="69">
        <f t="shared" si="378"/>
        <v>0</v>
      </c>
      <c r="FM101" s="69">
        <f t="shared" si="378"/>
        <v>0</v>
      </c>
      <c r="FN101" s="69">
        <f t="shared" si="378"/>
        <v>0</v>
      </c>
      <c r="FO101" s="69">
        <f t="shared" si="378"/>
        <v>0</v>
      </c>
      <c r="FP101" s="69">
        <f t="shared" si="378"/>
        <v>0</v>
      </c>
      <c r="FQ101" s="69">
        <f t="shared" si="378"/>
        <v>0</v>
      </c>
      <c r="FR101" s="69">
        <f t="shared" si="378"/>
        <v>0</v>
      </c>
      <c r="FS101" s="69">
        <f t="shared" si="378"/>
        <v>0</v>
      </c>
      <c r="FT101" s="69">
        <f t="shared" si="378"/>
        <v>0</v>
      </c>
      <c r="FU101" s="69">
        <f t="shared" si="378"/>
        <v>0</v>
      </c>
      <c r="FV101" s="69">
        <f t="shared" si="378"/>
        <v>0</v>
      </c>
      <c r="FW101" s="69">
        <f t="shared" si="378"/>
        <v>0</v>
      </c>
      <c r="FX101" s="69">
        <f t="shared" si="378"/>
        <v>0</v>
      </c>
      <c r="FY101" s="69">
        <f t="shared" si="378"/>
        <v>0</v>
      </c>
      <c r="FZ101" s="69">
        <f t="shared" si="378"/>
        <v>0</v>
      </c>
      <c r="GA101" s="69">
        <f t="shared" si="378"/>
        <v>0</v>
      </c>
      <c r="GB101" s="69">
        <f t="shared" si="378"/>
        <v>0</v>
      </c>
      <c r="GC101" s="69">
        <f t="shared" si="378"/>
        <v>0</v>
      </c>
      <c r="GD101" s="69">
        <f t="shared" si="378"/>
        <v>0</v>
      </c>
      <c r="GF101" s="69">
        <f>IFERROR(GF100/GF97,0)</f>
        <v>-0.3181404972632022</v>
      </c>
      <c r="GG101" s="69">
        <f>IFERROR(GG100/GG97,0)</f>
        <v>-0.32633541580317543</v>
      </c>
      <c r="GH101" s="69">
        <f>IFERROR(GH100/GH97,0)</f>
        <v>-0.35028277649924566</v>
      </c>
      <c r="GI101" s="69">
        <f>IFERROR(GI100/GI97,0)</f>
        <v>-0.34001850732608097</v>
      </c>
      <c r="GJ101" s="69">
        <f>IFERROR(GJ100/GJ97,0)</f>
        <v>-0.12097100979458766</v>
      </c>
      <c r="GK101" s="69">
        <f t="shared" si="265"/>
        <v>-0.15587530618172352</v>
      </c>
      <c r="GL101" s="69">
        <f t="shared" si="256"/>
        <v>-1.9752236479260783</v>
      </c>
      <c r="GM101" s="69">
        <f>+SUMIF($E$6:$CV$6,GM$7,$E101:$CV101)</f>
        <v>4.3490651399965561</v>
      </c>
      <c r="GN101" s="69">
        <f t="shared" si="258"/>
        <v>0</v>
      </c>
      <c r="GO101" s="69">
        <v>-5.4021683322305885</v>
      </c>
      <c r="GQ101" s="970">
        <f t="shared" si="367"/>
        <v>7.3382659485888402E-2</v>
      </c>
      <c r="GR101" s="970">
        <f t="shared" si="367"/>
        <v>-2.9302808650047307E-2</v>
      </c>
      <c r="GS101" s="970">
        <f t="shared" si="367"/>
        <v>-0.64422227852857628</v>
      </c>
      <c r="GT101" s="970">
        <f t="shared" si="367"/>
        <v>0.28853438891189209</v>
      </c>
      <c r="GU101" s="970">
        <f t="shared" si="367"/>
        <v>11.671818880813044</v>
      </c>
      <c r="GV101" s="970">
        <f t="shared" si="367"/>
        <v>-3.2018089670822518</v>
      </c>
      <c r="GW101" s="970">
        <f t="shared" si="317"/>
        <v>-1</v>
      </c>
      <c r="GX101" s="970" t="str">
        <f t="shared" si="317"/>
        <v/>
      </c>
      <c r="GY101" s="970">
        <f t="shared" si="249"/>
        <v>-2.2421447272769215</v>
      </c>
      <c r="HA101" s="69">
        <f t="shared" si="368"/>
        <v>-2.394736069607023E-2</v>
      </c>
      <c r="HB101" s="69">
        <f t="shared" si="368"/>
        <v>1.0264269173164697E-2</v>
      </c>
      <c r="HC101" s="69">
        <f t="shared" si="368"/>
        <v>0.2190474975314933</v>
      </c>
      <c r="HD101" s="69">
        <f t="shared" si="318"/>
        <v>-3.4904296387135852E-2</v>
      </c>
      <c r="HE101" s="69">
        <f t="shared" si="226"/>
        <v>-1.8193483417443548</v>
      </c>
      <c r="HF101" s="69">
        <f t="shared" si="226"/>
        <v>6.3242887879226348</v>
      </c>
      <c r="HG101" s="69">
        <f t="shared" si="226"/>
        <v>-4.3490651399965561</v>
      </c>
      <c r="HH101" s="69">
        <f t="shared" si="226"/>
        <v>-5.4021683322305885</v>
      </c>
      <c r="HI101" s="69">
        <f t="shared" si="251"/>
        <v>-9.7512334722271454</v>
      </c>
      <c r="HK101" s="69">
        <f t="shared" si="369"/>
        <v>-8.8785996026064409E-6</v>
      </c>
      <c r="HL101" s="69">
        <f t="shared" si="369"/>
        <v>-8.8942676281180802E-6</v>
      </c>
      <c r="HM101" s="69">
        <f t="shared" si="369"/>
        <v>-2.0175807305301472E-5</v>
      </c>
      <c r="HN101" s="69">
        <f t="shared" si="369"/>
        <v>-1.9663602540940534E-5</v>
      </c>
      <c r="HO101" s="69">
        <f t="shared" si="319"/>
        <v>-1.143718706535119E-5</v>
      </c>
      <c r="HP101" s="69">
        <f t="shared" si="319"/>
        <v>-1.3958651097532979E-4</v>
      </c>
      <c r="HQ101" s="69">
        <f t="shared" si="319"/>
        <v>2.0486095634072063E-4</v>
      </c>
      <c r="HR101" s="69">
        <f t="shared" si="319"/>
        <v>0</v>
      </c>
      <c r="HS101" s="69">
        <f t="shared" si="319"/>
        <v>-4.2806787681882866E-4</v>
      </c>
      <c r="HU101" s="69">
        <f t="shared" si="370"/>
        <v>-1.9800000000000004</v>
      </c>
      <c r="HV101" s="69">
        <f t="shared" si="370"/>
        <v>-1.979999999999998</v>
      </c>
      <c r="HW101" s="69">
        <f t="shared" si="370"/>
        <v>-1.61010309941901</v>
      </c>
      <c r="HX101" s="69">
        <f t="shared" si="370"/>
        <v>-2.384303141779041</v>
      </c>
      <c r="HY101" s="69">
        <f t="shared" si="370"/>
        <v>0</v>
      </c>
      <c r="HZ101" s="69">
        <f t="shared" si="370"/>
        <v>0.20453878068917269</v>
      </c>
      <c r="IA101" s="69">
        <f>+IFERROR(SUMIFS($E101:$CJ101,$E$6:$CJ$6,IA$7,$E$5:$CJ$5,"&lt;="&amp;$HW$5),"NA")</f>
        <v>0</v>
      </c>
      <c r="IB101" s="69">
        <f>+IFERROR(SUMIFS($E101:$CV101,$E$6:$CV$6,IB$7,$E$5:$CV$5,"&lt;="&amp;$HW$5),"NA")</f>
        <v>0</v>
      </c>
      <c r="IC101" s="69">
        <f>+SUMIF($CW$5:$DH$5,"&lt;="&amp;$HW$5,$CW101:$DH101)</f>
        <v>0</v>
      </c>
      <c r="ID101" s="69">
        <f t="shared" si="253"/>
        <v>0</v>
      </c>
      <c r="IE101" s="69">
        <f>+SUMIF($DJ$5:$DU$5,"&lt;="&amp;$HW$5,$DJ101:$DU101)</f>
        <v>0</v>
      </c>
      <c r="IG101" s="69">
        <f t="shared" si="254"/>
        <v>0</v>
      </c>
      <c r="IH101" s="69">
        <v>-1.0199999999999951</v>
      </c>
      <c r="II101" s="85"/>
      <c r="IJ101" s="69">
        <v>0.57853245041079671</v>
      </c>
      <c r="IK101" s="69">
        <v>-0.42989690058098529</v>
      </c>
      <c r="IM101" s="69">
        <v>-7.4415608510606268E-5</v>
      </c>
      <c r="IN101" s="69">
        <v>-1.0958787164581035E-4</v>
      </c>
      <c r="IP101" s="69"/>
      <c r="IQ101" s="69"/>
      <c r="IR101" s="69"/>
      <c r="IS101" s="69" t="str">
        <f t="shared" si="278"/>
        <v>NA</v>
      </c>
      <c r="IT101" s="69">
        <f t="shared" si="278"/>
        <v>-1</v>
      </c>
      <c r="IU101" s="69" t="str">
        <f t="shared" si="278"/>
        <v>NA</v>
      </c>
      <c r="IV101" s="69" t="str">
        <f>+IFERROR(IE101/IB101-1,"NA")</f>
        <v>NA</v>
      </c>
      <c r="IX101" s="69"/>
      <c r="IY101" s="69"/>
      <c r="IZ101" s="69"/>
      <c r="JA101" s="69"/>
      <c r="JB101" s="69"/>
      <c r="JC101" s="69"/>
      <c r="JD101" s="69">
        <f>+IE101-IB101</f>
        <v>0</v>
      </c>
      <c r="JF101" s="69">
        <f>+HU101/HU$11</f>
        <v>-1.2379127002296264E-4</v>
      </c>
      <c r="JG101" s="69">
        <f>+HV101/HV$11</f>
        <v>-1.1611997898855677E-4</v>
      </c>
      <c r="JH101" s="69">
        <f>+HW101/HW$11</f>
        <v>-9.9051140390459224E-5</v>
      </c>
      <c r="JI101" s="69">
        <f>+IC101/IC$11</f>
        <v>0</v>
      </c>
      <c r="JJ101" s="69">
        <f>+ID101/ID$11</f>
        <v>0</v>
      </c>
      <c r="JK101" s="69">
        <f>+IE101/IE$11</f>
        <v>0</v>
      </c>
      <c r="JL101" s="69">
        <f>+IF101/IF$11</f>
        <v>0</v>
      </c>
      <c r="JM101" s="69">
        <f>+IE101/IE$11</f>
        <v>0</v>
      </c>
      <c r="JO101" s="69"/>
      <c r="JP101" s="69"/>
      <c r="JQ101" s="69"/>
      <c r="JR101" s="69"/>
      <c r="JS101" s="69"/>
      <c r="JT101" s="69">
        <f>+SUMIFS($E101:$CJ101,$E$6:$CJ$6,JT$7,$E$5:$CJ$5,$JQ$5)</f>
        <v>0</v>
      </c>
      <c r="JU101" s="69">
        <f>+SUMIFS($E101:$CV101,$E$6:$CV$6,JU$7,$E$5:$CV$5,$JQ$5)</f>
        <v>0</v>
      </c>
      <c r="JV101" s="69">
        <f>+SUMIFS($E101:$CV101,$E$6:$CV$6,JV$7,$E$5:$CV$5,$JQ$5)</f>
        <v>0</v>
      </c>
      <c r="JW101" s="69">
        <f>+SUMIFS($E101:$DH101,$E$6:$DH$6,JW$7,$E$5:$DH$5,$JQ$5)</f>
        <v>0</v>
      </c>
      <c r="JX101" s="69">
        <f>+SUMIF($FS$5:$GD$5,$JQ$5,$FS101:$GD101)</f>
        <v>0</v>
      </c>
      <c r="JY101" s="69"/>
      <c r="KB101" s="69"/>
      <c r="KC101" s="69"/>
      <c r="KD101" s="69"/>
      <c r="KE101" s="69"/>
      <c r="KF101" s="69"/>
      <c r="KG101" s="69"/>
      <c r="KH101" s="69" t="str">
        <f>+IFERROR(JY101/JV101-1," ")</f>
        <v xml:space="preserve"> </v>
      </c>
      <c r="KJ101" s="69"/>
      <c r="KK101" s="69"/>
      <c r="KL101" s="69"/>
      <c r="KM101" s="69"/>
      <c r="KN101" s="69"/>
      <c r="KO101" s="69"/>
      <c r="KP101" s="69">
        <f>+JY101-JV101</f>
        <v>0</v>
      </c>
      <c r="KR101" s="69">
        <f t="shared" si="374"/>
        <v>0</v>
      </c>
      <c r="KS101" s="69">
        <f t="shared" si="374"/>
        <v>0</v>
      </c>
      <c r="KT101" s="69">
        <f t="shared" si="374"/>
        <v>0</v>
      </c>
      <c r="KU101" s="69">
        <f t="shared" si="374"/>
        <v>0</v>
      </c>
      <c r="KV101" s="69">
        <f t="shared" si="374"/>
        <v>0</v>
      </c>
      <c r="KW101" s="69">
        <f t="shared" si="374"/>
        <v>0</v>
      </c>
      <c r="KX101" s="69">
        <f t="shared" si="374"/>
        <v>0</v>
      </c>
      <c r="KY101" s="69">
        <f t="shared" si="374"/>
        <v>0</v>
      </c>
      <c r="KZ101" s="69">
        <f t="shared" si="306"/>
        <v>0</v>
      </c>
    </row>
    <row r="102" spans="1:312">
      <c r="A102" s="867"/>
      <c r="B102" s="71"/>
      <c r="D102" s="31"/>
      <c r="E102" s="66"/>
      <c r="F102" s="66"/>
      <c r="G102" s="66"/>
      <c r="H102" s="66"/>
      <c r="I102" s="66"/>
      <c r="J102" s="66"/>
      <c r="K102" s="66"/>
      <c r="L102" s="66"/>
      <c r="M102" s="66"/>
      <c r="N102" s="66"/>
      <c r="O102" s="66"/>
      <c r="P102" s="66"/>
      <c r="Q102" s="102"/>
      <c r="R102" s="66"/>
      <c r="S102" s="66"/>
      <c r="T102" s="66"/>
      <c r="U102" s="66"/>
      <c r="V102" s="66"/>
      <c r="W102" s="66"/>
      <c r="X102" s="66"/>
      <c r="Y102" s="66"/>
      <c r="Z102" s="66"/>
      <c r="AA102" s="66"/>
      <c r="AB102" s="66"/>
      <c r="AC102" s="102"/>
      <c r="AD102" s="66"/>
      <c r="AE102" s="66"/>
      <c r="AF102" s="66"/>
      <c r="AG102" s="66"/>
      <c r="AH102" s="66"/>
      <c r="AI102" s="66"/>
      <c r="AJ102" s="66"/>
      <c r="AK102" s="66"/>
      <c r="AL102" s="66"/>
      <c r="AM102" s="66"/>
      <c r="AN102" s="66"/>
      <c r="AO102" s="66"/>
      <c r="AP102" s="88"/>
      <c r="AQ102" s="942"/>
      <c r="AR102" s="942"/>
      <c r="AS102" s="88"/>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J102" s="66"/>
      <c r="DK102" s="66"/>
      <c r="DL102" s="66"/>
      <c r="DM102" s="66"/>
      <c r="DN102" s="66"/>
      <c r="DO102" s="66"/>
      <c r="DP102" s="66"/>
      <c r="DQ102" s="66"/>
      <c r="DR102" s="66"/>
      <c r="DS102" s="66"/>
      <c r="DT102" s="66"/>
      <c r="DU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F102" s="66"/>
      <c r="GG102" s="66"/>
      <c r="GH102" s="66"/>
      <c r="GI102" s="66"/>
      <c r="GJ102" s="66"/>
      <c r="GK102" s="66"/>
      <c r="GL102" s="66">
        <f t="shared" si="256"/>
        <v>0</v>
      </c>
      <c r="GM102" s="66">
        <f>+SUMIF($E$6:$CV$6,GM$7,$E102:$CV102)</f>
        <v>0</v>
      </c>
      <c r="GN102" s="66">
        <f t="shared" si="258"/>
        <v>0</v>
      </c>
      <c r="GO102" s="66">
        <v>0</v>
      </c>
      <c r="GQ102" s="50"/>
      <c r="GR102" s="50"/>
      <c r="GS102" s="50"/>
      <c r="GT102" s="922"/>
      <c r="GU102" s="922"/>
      <c r="GV102" s="922"/>
      <c r="GW102" s="922" t="str">
        <f t="shared" si="317"/>
        <v/>
      </c>
      <c r="GX102" s="50"/>
      <c r="GY102" s="922" t="str">
        <f t="shared" si="249"/>
        <v/>
      </c>
      <c r="HA102" s="66"/>
      <c r="HB102" s="66"/>
      <c r="HC102" s="66"/>
      <c r="HD102" s="66"/>
      <c r="HE102" s="66">
        <f t="shared" si="226"/>
        <v>0</v>
      </c>
      <c r="HF102" s="66">
        <f t="shared" si="226"/>
        <v>0</v>
      </c>
      <c r="HG102" s="66">
        <f t="shared" si="226"/>
        <v>0</v>
      </c>
      <c r="HH102" s="66"/>
      <c r="HI102" s="66">
        <f t="shared" si="251"/>
        <v>0</v>
      </c>
      <c r="HK102" s="50"/>
      <c r="HL102" s="50"/>
      <c r="HM102" s="50"/>
      <c r="HN102" s="50"/>
      <c r="HO102" s="50"/>
      <c r="HP102" s="50"/>
      <c r="HQ102" s="50"/>
      <c r="HR102" s="50"/>
      <c r="HS102" s="50"/>
      <c r="HU102" s="66"/>
      <c r="HV102" s="66"/>
      <c r="HW102" s="66"/>
      <c r="HX102" s="66"/>
      <c r="HY102" s="66"/>
      <c r="HZ102" s="66"/>
      <c r="IA102" s="66"/>
      <c r="IB102" s="66"/>
      <c r="IC102" s="66"/>
      <c r="ID102" s="66"/>
      <c r="IE102" s="66"/>
      <c r="IG102" s="66"/>
      <c r="IH102" s="66"/>
      <c r="II102" s="88"/>
      <c r="IJ102" s="50"/>
      <c r="IK102" s="66"/>
      <c r="IM102" s="50"/>
      <c r="IN102" s="50"/>
      <c r="IP102" s="50"/>
      <c r="IQ102" s="50"/>
      <c r="IR102" s="50"/>
      <c r="IS102" s="50"/>
      <c r="IT102" s="50"/>
      <c r="IU102" s="50"/>
      <c r="IV102" s="50"/>
      <c r="IX102" s="66"/>
      <c r="IY102" s="66"/>
      <c r="IZ102" s="66"/>
      <c r="JA102" s="66"/>
      <c r="JB102" s="66"/>
      <c r="JC102" s="66"/>
      <c r="JD102" s="66"/>
      <c r="JF102" s="50"/>
      <c r="JG102" s="50"/>
      <c r="JH102" s="50"/>
      <c r="JI102" s="50"/>
      <c r="JJ102" s="50"/>
      <c r="JK102" s="50"/>
      <c r="JL102" s="50"/>
      <c r="JM102" s="50"/>
      <c r="JO102" s="66"/>
      <c r="JP102" s="66"/>
      <c r="JQ102" s="66"/>
      <c r="JR102" s="66"/>
      <c r="JS102" s="66"/>
      <c r="JT102" s="66"/>
      <c r="JU102" s="66"/>
      <c r="JV102" s="66"/>
      <c r="JW102" s="66"/>
      <c r="JX102" s="66"/>
      <c r="JY102" s="66"/>
      <c r="KB102" s="50"/>
      <c r="KC102" s="50"/>
      <c r="KD102" s="50"/>
      <c r="KE102" s="50"/>
      <c r="KF102" s="50"/>
      <c r="KG102" s="50"/>
      <c r="KH102" s="50" t="str">
        <f>+IFERROR(JY102/JV102-1," ")</f>
        <v xml:space="preserve"> </v>
      </c>
      <c r="KJ102" s="66"/>
      <c r="KK102" s="66"/>
      <c r="KL102" s="66"/>
      <c r="KM102" s="66"/>
      <c r="KN102" s="66"/>
      <c r="KO102" s="66"/>
      <c r="KP102" s="66">
        <f>+JY102-JV102</f>
        <v>0</v>
      </c>
      <c r="KR102" s="50"/>
      <c r="KS102" s="50"/>
      <c r="KT102" s="50"/>
      <c r="KU102" s="50"/>
      <c r="KV102" s="50"/>
      <c r="KW102" s="50"/>
      <c r="KX102" s="50"/>
      <c r="KY102" s="50"/>
      <c r="KZ102" s="50"/>
    </row>
    <row r="103" spans="1:312">
      <c r="A103" s="867"/>
      <c r="B103" s="71"/>
      <c r="C103" s="1524" t="s">
        <v>107</v>
      </c>
      <c r="D103" s="1525" t="s">
        <v>59</v>
      </c>
      <c r="E103" s="1526">
        <f t="shared" ref="E103:BK103" si="379">+E97+E100</f>
        <v>-904.19624287719978</v>
      </c>
      <c r="F103" s="1526">
        <f t="shared" si="379"/>
        <v>709.24944616310029</v>
      </c>
      <c r="G103" s="1526">
        <f t="shared" si="379"/>
        <v>218.7654456618003</v>
      </c>
      <c r="H103" s="1526">
        <f t="shared" si="379"/>
        <v>387.14338814820053</v>
      </c>
      <c r="I103" s="1526">
        <f t="shared" si="379"/>
        <v>966.36699991279806</v>
      </c>
      <c r="J103" s="1526">
        <f t="shared" si="379"/>
        <v>353.27390629669947</v>
      </c>
      <c r="K103" s="1526">
        <f t="shared" si="379"/>
        <v>511.21394079259909</v>
      </c>
      <c r="L103" s="1526">
        <f t="shared" si="379"/>
        <v>997.71869494170016</v>
      </c>
      <c r="M103" s="1526">
        <f t="shared" si="379"/>
        <v>1000.3708522676013</v>
      </c>
      <c r="N103" s="1526">
        <f t="shared" si="379"/>
        <v>539.54167635369754</v>
      </c>
      <c r="O103" s="1526">
        <f t="shared" si="379"/>
        <v>1171.2838374869057</v>
      </c>
      <c r="P103" s="1526">
        <f t="shared" si="379"/>
        <v>139.33510101209734</v>
      </c>
      <c r="Q103" s="1526">
        <f t="shared" si="379"/>
        <v>-263.53662756029973</v>
      </c>
      <c r="R103" s="1526">
        <f t="shared" si="379"/>
        <v>858.64289624519949</v>
      </c>
      <c r="S103" s="1526">
        <f t="shared" si="379"/>
        <v>-120.78924482320035</v>
      </c>
      <c r="T103" s="1526">
        <f t="shared" si="379"/>
        <v>-466.98188087299809</v>
      </c>
      <c r="U103" s="1526">
        <f t="shared" si="379"/>
        <v>998.96759806340037</v>
      </c>
      <c r="V103" s="1526">
        <f t="shared" si="379"/>
        <v>777.16093668179883</v>
      </c>
      <c r="W103" s="1526">
        <f t="shared" si="379"/>
        <v>354.65684379839911</v>
      </c>
      <c r="X103" s="1526">
        <f t="shared" si="379"/>
        <v>627.86562890039932</v>
      </c>
      <c r="Y103" s="1526">
        <f t="shared" si="379"/>
        <v>-433.3293585587993</v>
      </c>
      <c r="Z103" s="1526">
        <f t="shared" si="379"/>
        <v>21.554514068997953</v>
      </c>
      <c r="AA103" s="1526">
        <f t="shared" si="379"/>
        <v>1581.3462433758009</v>
      </c>
      <c r="AB103" s="1526">
        <f t="shared" si="379"/>
        <v>2114.6171259413081</v>
      </c>
      <c r="AC103" s="1526">
        <f t="shared" si="379"/>
        <v>-452.51189486000027</v>
      </c>
      <c r="AD103" s="1526">
        <f t="shared" si="379"/>
        <v>1283.4109983890003</v>
      </c>
      <c r="AE103" s="1526">
        <f t="shared" si="379"/>
        <v>258.74714533799983</v>
      </c>
      <c r="AF103" s="1526">
        <f t="shared" si="379"/>
        <v>493.06930642200018</v>
      </c>
      <c r="AG103" s="1526">
        <f t="shared" si="379"/>
        <v>428.40284729220019</v>
      </c>
      <c r="AH103" s="1526">
        <f t="shared" si="379"/>
        <v>279.67273954620032</v>
      </c>
      <c r="AI103" s="1526">
        <f t="shared" si="379"/>
        <v>173.12105586600015</v>
      </c>
      <c r="AJ103" s="1526">
        <f t="shared" si="379"/>
        <v>454.72184344620007</v>
      </c>
      <c r="AK103" s="1526">
        <f t="shared" si="379"/>
        <v>553.48655979539967</v>
      </c>
      <c r="AL103" s="1526">
        <f t="shared" si="379"/>
        <v>776.80583546279991</v>
      </c>
      <c r="AM103" s="1526">
        <f t="shared" si="379"/>
        <v>2461.1558713062004</v>
      </c>
      <c r="AN103" s="1526">
        <f t="shared" si="379"/>
        <v>49.424589015998208</v>
      </c>
      <c r="AO103" s="1526">
        <f t="shared" si="379"/>
        <v>764.81390106000026</v>
      </c>
      <c r="AP103" s="1526">
        <f t="shared" si="379"/>
        <v>-349.9997196999999</v>
      </c>
      <c r="AQ103" s="1526">
        <f t="shared" si="379"/>
        <v>-23.243159030000214</v>
      </c>
      <c r="AR103" s="1526">
        <f t="shared" si="379"/>
        <v>-882.53243102000022</v>
      </c>
      <c r="AS103" s="1526">
        <f t="shared" si="379"/>
        <v>-444.92429691000041</v>
      </c>
      <c r="AT103" s="1526">
        <f t="shared" si="379"/>
        <v>-663.47861333999981</v>
      </c>
      <c r="AU103" s="1526">
        <f t="shared" si="379"/>
        <v>89.394375750000435</v>
      </c>
      <c r="AV103" s="1526">
        <f t="shared" si="379"/>
        <v>5.774827100000028</v>
      </c>
      <c r="AW103" s="1526">
        <f t="shared" si="379"/>
        <v>-185.85443651000048</v>
      </c>
      <c r="AX103" s="1526">
        <f t="shared" si="379"/>
        <v>-1262.5369563899999</v>
      </c>
      <c r="AY103" s="1526">
        <f t="shared" si="379"/>
        <v>-582.75377264000008</v>
      </c>
      <c r="AZ103" s="1526">
        <f t="shared" si="379"/>
        <v>480.71815898000091</v>
      </c>
      <c r="BA103" s="1526">
        <f t="shared" si="379"/>
        <v>24.359584859999998</v>
      </c>
      <c r="BB103" s="1526">
        <f t="shared" si="379"/>
        <v>-650.36709494000024</v>
      </c>
      <c r="BC103" s="1526">
        <f t="shared" si="379"/>
        <v>-915.36285868000004</v>
      </c>
      <c r="BD103" s="1526">
        <f t="shared" si="379"/>
        <v>-701.97909128000003</v>
      </c>
      <c r="BE103" s="1526">
        <f t="shared" si="379"/>
        <v>-454.51312524999997</v>
      </c>
      <c r="BF103" s="1526">
        <f t="shared" si="379"/>
        <v>-908.89802556999985</v>
      </c>
      <c r="BG103" s="1526">
        <f t="shared" si="379"/>
        <v>-508.96334026000005</v>
      </c>
      <c r="BH103" s="1526">
        <f t="shared" si="379"/>
        <v>-414.09438539000013</v>
      </c>
      <c r="BI103" s="1526">
        <f>+BI97+BI100</f>
        <v>-133.82858430000007</v>
      </c>
      <c r="BJ103" s="1526">
        <f t="shared" si="379"/>
        <v>-237.76028342999996</v>
      </c>
      <c r="BK103" s="1526">
        <f t="shared" si="379"/>
        <v>-71.151688029999832</v>
      </c>
      <c r="BL103" s="1526">
        <f>+BL97+BL100</f>
        <v>242.10426851000028</v>
      </c>
      <c r="BM103" s="1526">
        <f t="shared" ref="BM103:DG103" si="380">+BM97+BM100</f>
        <v>123.44698306999993</v>
      </c>
      <c r="BN103" s="1526">
        <f t="shared" si="380"/>
        <v>140.34818187999997</v>
      </c>
      <c r="BO103" s="1526">
        <f t="shared" si="380"/>
        <v>91.924748239999929</v>
      </c>
      <c r="BP103" s="1526">
        <f t="shared" si="380"/>
        <v>356.07206474000037</v>
      </c>
      <c r="BQ103" s="1526">
        <f t="shared" si="380"/>
        <v>-11.4822601300001</v>
      </c>
      <c r="BR103" s="1526">
        <f t="shared" si="380"/>
        <v>90.135582020000058</v>
      </c>
      <c r="BS103" s="1526">
        <f t="shared" si="380"/>
        <v>61.057128020000079</v>
      </c>
      <c r="BT103" s="1526">
        <f t="shared" si="380"/>
        <v>44.022168460000159</v>
      </c>
      <c r="BU103" s="1526">
        <f t="shared" si="380"/>
        <v>-43.153211829999861</v>
      </c>
      <c r="BV103" s="1526">
        <f t="shared" si="380"/>
        <v>261.98080613999974</v>
      </c>
      <c r="BW103" s="1526">
        <f t="shared" si="380"/>
        <v>188.85485309000035</v>
      </c>
      <c r="BX103" s="1526">
        <f t="shared" si="380"/>
        <v>-41.260074569999716</v>
      </c>
      <c r="BY103" s="1526">
        <f t="shared" si="380"/>
        <v>-155.39655519999991</v>
      </c>
      <c r="BZ103" s="1526">
        <f t="shared" si="380"/>
        <v>22.075449460000158</v>
      </c>
      <c r="CA103" s="1526">
        <f t="shared" si="380"/>
        <v>-61.512769169999871</v>
      </c>
      <c r="CB103" s="1526">
        <f t="shared" si="380"/>
        <v>-90.353418339999919</v>
      </c>
      <c r="CC103" s="1526">
        <f t="shared" si="380"/>
        <v>-137.22758993999992</v>
      </c>
      <c r="CD103" s="1526">
        <f t="shared" si="380"/>
        <v>-18.083400690000197</v>
      </c>
      <c r="CE103" s="1526">
        <f t="shared" si="380"/>
        <v>-160.47541692000007</v>
      </c>
      <c r="CF103" s="1526">
        <f t="shared" si="380"/>
        <v>489.31329980000021</v>
      </c>
      <c r="CG103" s="1526">
        <f t="shared" si="380"/>
        <v>-43.808465060000017</v>
      </c>
      <c r="CH103" s="1526">
        <f t="shared" si="380"/>
        <v>156.53165334000016</v>
      </c>
      <c r="CI103" s="1526">
        <f t="shared" si="380"/>
        <v>530.51425845000006</v>
      </c>
      <c r="CJ103" s="1526">
        <f t="shared" si="380"/>
        <v>-223.80143551000018</v>
      </c>
      <c r="CK103" s="1526">
        <f t="shared" si="380"/>
        <v>114.61153242999967</v>
      </c>
      <c r="CL103" s="1526">
        <f t="shared" si="380"/>
        <v>-167.1875687900002</v>
      </c>
      <c r="CM103" s="1526">
        <f t="shared" si="380"/>
        <v>406.87187320999999</v>
      </c>
      <c r="CN103" s="1526">
        <f t="shared" si="380"/>
        <v>132.04099503999996</v>
      </c>
      <c r="CO103" s="1526">
        <f t="shared" si="380"/>
        <v>429.96789341999983</v>
      </c>
      <c r="CP103" s="1526">
        <f t="shared" si="380"/>
        <v>-48.026834360000208</v>
      </c>
      <c r="CQ103" s="1526">
        <f t="shared" si="380"/>
        <v>59.81053393000002</v>
      </c>
      <c r="CR103" s="1526">
        <f t="shared" si="380"/>
        <v>295.62067388000003</v>
      </c>
      <c r="CS103" s="1526">
        <f t="shared" si="380"/>
        <v>226.86529959999979</v>
      </c>
      <c r="CT103" s="1526">
        <f t="shared" si="380"/>
        <v>667.62432546000014</v>
      </c>
      <c r="CU103" s="1526">
        <f t="shared" si="380"/>
        <v>314.66271745000012</v>
      </c>
      <c r="CV103" s="1526">
        <f t="shared" si="380"/>
        <v>-892.75917743000036</v>
      </c>
      <c r="CW103" s="1526">
        <f t="shared" si="380"/>
        <v>311.65705161000005</v>
      </c>
      <c r="CX103" s="1526">
        <f t="shared" si="380"/>
        <v>130.4019356899995</v>
      </c>
      <c r="CY103" s="1526">
        <f t="shared" si="380"/>
        <v>902.39308659000039</v>
      </c>
      <c r="CZ103" s="1526">
        <f t="shared" si="380"/>
        <v>-345.67212746999991</v>
      </c>
      <c r="DA103" s="1526">
        <f t="shared" si="380"/>
        <v>-502.23518869999992</v>
      </c>
      <c r="DB103" s="1526">
        <f t="shared" si="380"/>
        <v>-343.46025253000005</v>
      </c>
      <c r="DC103" s="1526">
        <f t="shared" si="380"/>
        <v>-475.61307777000002</v>
      </c>
      <c r="DD103" s="1526">
        <f t="shared" si="380"/>
        <v>238.34541048000008</v>
      </c>
      <c r="DE103" s="1526">
        <f t="shared" si="380"/>
        <v>176.83278269999985</v>
      </c>
      <c r="DF103" s="1526">
        <f t="shared" si="380"/>
        <v>261.81495387000007</v>
      </c>
      <c r="DG103" s="1526">
        <f t="shared" si="380"/>
        <v>-281.60718725000027</v>
      </c>
      <c r="DH103" s="1526">
        <f>+DH97+DH100</f>
        <v>-273.37079295000012</v>
      </c>
      <c r="DI103" s="949"/>
      <c r="DJ103" s="1526">
        <f t="shared" ref="DJ103:DU103" si="381">+DJ97+DJ100</f>
        <v>427.12788225999998</v>
      </c>
      <c r="DK103" s="1526">
        <f t="shared" si="381"/>
        <v>150.36818954999956</v>
      </c>
      <c r="DL103" s="1526">
        <f t="shared" si="381"/>
        <v>1093.3469584599995</v>
      </c>
      <c r="DM103" s="1526">
        <f t="shared" si="381"/>
        <v>-329.80676136</v>
      </c>
      <c r="DN103" s="1526">
        <f t="shared" si="381"/>
        <v>-275.42427940999994</v>
      </c>
      <c r="DO103" s="1526">
        <f t="shared" si="381"/>
        <v>-279.59201330000002</v>
      </c>
      <c r="DP103" s="1526">
        <f t="shared" si="381"/>
        <v>-279.68744202780385</v>
      </c>
      <c r="DQ103" s="1526">
        <f t="shared" si="381"/>
        <v>386.14578757947174</v>
      </c>
      <c r="DR103" s="1526">
        <f t="shared" si="381"/>
        <v>332.09350121997369</v>
      </c>
      <c r="DS103" s="1526">
        <f t="shared" si="381"/>
        <v>514.75749613839764</v>
      </c>
      <c r="DT103" s="1526">
        <f t="shared" si="381"/>
        <v>2.6050499108474412</v>
      </c>
      <c r="DU103" s="1526">
        <f t="shared" si="381"/>
        <v>-0.98283544997670447</v>
      </c>
      <c r="DW103" s="1526">
        <v>320.8284636397417</v>
      </c>
      <c r="DX103" s="1526">
        <v>-223.17001099808238</v>
      </c>
      <c r="DY103" s="1526">
        <v>-168.54766277866023</v>
      </c>
      <c r="DZ103" s="1526">
        <v>323.62578401124506</v>
      </c>
      <c r="EA103" s="1526">
        <v>127.77373004415418</v>
      </c>
      <c r="EB103" s="1526">
        <v>253.73841535357329</v>
      </c>
      <c r="EC103" s="1526">
        <v>768.23443302406167</v>
      </c>
      <c r="ED103" s="1526">
        <v>1270.8901032836263</v>
      </c>
      <c r="EE103" s="1526">
        <v>774.96278487066866</v>
      </c>
      <c r="EF103" s="1526">
        <v>921.36293843473413</v>
      </c>
      <c r="EG103" s="1526">
        <v>819.25994174368736</v>
      </c>
      <c r="EH103" s="1526">
        <v>575.17968145340808</v>
      </c>
      <c r="EI103" s="1526">
        <f>+EI97+EI100</f>
        <v>-385.87622524927866</v>
      </c>
      <c r="EJ103" s="1526">
        <f t="shared" ref="EJ103:GD103" si="382">+EJ97+EJ100</f>
        <v>-238.62395522082295</v>
      </c>
      <c r="EK103" s="1526">
        <f t="shared" si="382"/>
        <v>299.8092619376024</v>
      </c>
      <c r="EL103" s="1526">
        <f t="shared" si="382"/>
        <v>-329.59431640424719</v>
      </c>
      <c r="EM103" s="1526">
        <f t="shared" si="382"/>
        <v>-59.836140963655623</v>
      </c>
      <c r="EN103" s="1526">
        <f t="shared" si="382"/>
        <v>158.58982735142439</v>
      </c>
      <c r="EO103" s="1526">
        <f t="shared" si="382"/>
        <v>229.60987415122318</v>
      </c>
      <c r="EP103" s="1526">
        <f t="shared" si="382"/>
        <v>307.22733514538675</v>
      </c>
      <c r="EQ103" s="1526">
        <f t="shared" si="382"/>
        <v>184.63651579036124</v>
      </c>
      <c r="ER103" s="1526">
        <f t="shared" si="382"/>
        <v>201.78101800829941</v>
      </c>
      <c r="ES103" s="1526">
        <f t="shared" si="382"/>
        <v>151.75435280891037</v>
      </c>
      <c r="ET103" s="1526">
        <f t="shared" si="382"/>
        <v>34.822445806205209</v>
      </c>
      <c r="EU103" s="1526">
        <f t="shared" si="382"/>
        <v>-28.379050554977297</v>
      </c>
      <c r="EV103" s="1526">
        <f t="shared" si="382"/>
        <v>183.8032907577429</v>
      </c>
      <c r="EW103" s="1526">
        <f t="shared" si="382"/>
        <v>162.42729941304651</v>
      </c>
      <c r="EX103" s="1526">
        <f t="shared" si="382"/>
        <v>144.62979130004669</v>
      </c>
      <c r="EY103" s="1526">
        <f t="shared" si="382"/>
        <v>133.70275300562287</v>
      </c>
      <c r="EZ103" s="1526">
        <f t="shared" si="382"/>
        <v>137.99535995633477</v>
      </c>
      <c r="FA103" s="1526">
        <f t="shared" si="382"/>
        <v>154.5711894274545</v>
      </c>
      <c r="FB103" s="1526">
        <f t="shared" si="382"/>
        <v>-92.374004685289364</v>
      </c>
      <c r="FC103" s="1526">
        <f t="shared" si="382"/>
        <v>-150.70449155583344</v>
      </c>
      <c r="FD103" s="1526">
        <f t="shared" si="382"/>
        <v>-210.33233780583333</v>
      </c>
      <c r="FE103" s="1526">
        <f t="shared" si="382"/>
        <v>-152.80129480583349</v>
      </c>
      <c r="FF103" s="1526">
        <f t="shared" si="382"/>
        <v>-208.7206547158334</v>
      </c>
      <c r="FG103" s="1526">
        <f t="shared" si="382"/>
        <v>74.208906078453396</v>
      </c>
      <c r="FH103" s="1526">
        <f t="shared" si="382"/>
        <v>-34.018674242401985</v>
      </c>
      <c r="FI103" s="1526">
        <f t="shared" si="382"/>
        <v>-83.921393626282963</v>
      </c>
      <c r="FJ103" s="1526">
        <f t="shared" si="382"/>
        <v>-157.16722261023995</v>
      </c>
      <c r="FK103" s="1526">
        <f t="shared" si="382"/>
        <v>-47.612519626282818</v>
      </c>
      <c r="FL103" s="1526">
        <f t="shared" si="382"/>
        <v>-37.027208849736297</v>
      </c>
      <c r="FM103" s="1526">
        <f t="shared" si="382"/>
        <v>12.171830310691774</v>
      </c>
      <c r="FN103" s="1526">
        <f t="shared" si="382"/>
        <v>39.289479310691377</v>
      </c>
      <c r="FO103" s="1526">
        <f t="shared" si="382"/>
        <v>65.107283087238912</v>
      </c>
      <c r="FP103" s="1526">
        <f t="shared" si="382"/>
        <v>184.48651356852181</v>
      </c>
      <c r="FQ103" s="1526">
        <f t="shared" si="382"/>
        <v>252.01055388937763</v>
      </c>
      <c r="FR103" s="1526">
        <f t="shared" si="382"/>
        <v>179.56282934506899</v>
      </c>
      <c r="FS103" s="1526">
        <f t="shared" si="382"/>
        <v>74.208906078453396</v>
      </c>
      <c r="FT103" s="1526">
        <f t="shared" si="382"/>
        <v>-34.018674242401985</v>
      </c>
      <c r="FU103" s="1526">
        <f t="shared" si="382"/>
        <v>-83.921393626282963</v>
      </c>
      <c r="FV103" s="1526">
        <f t="shared" si="382"/>
        <v>-157.16722261023995</v>
      </c>
      <c r="FW103" s="1526">
        <f t="shared" si="382"/>
        <v>-47.612519626282818</v>
      </c>
      <c r="FX103" s="1526">
        <f t="shared" si="382"/>
        <v>-37.027208849736297</v>
      </c>
      <c r="FY103" s="1526">
        <f t="shared" si="382"/>
        <v>12.171830310691774</v>
      </c>
      <c r="FZ103" s="1526">
        <f t="shared" si="382"/>
        <v>39.289479310691377</v>
      </c>
      <c r="GA103" s="1526">
        <f t="shared" si="382"/>
        <v>65.107283087238912</v>
      </c>
      <c r="GB103" s="1526">
        <f t="shared" si="382"/>
        <v>184.48651356852181</v>
      </c>
      <c r="GC103" s="1526">
        <f t="shared" si="382"/>
        <v>252.01055388937763</v>
      </c>
      <c r="GD103" s="1526">
        <f t="shared" si="382"/>
        <v>179.56282934506899</v>
      </c>
      <c r="GE103" s="77"/>
      <c r="GF103" s="1526">
        <f>+SUMIF($E$6:$AZ$6,GF$7,$E103:$AZ103)</f>
        <v>6090.0670461600012</v>
      </c>
      <c r="GG103" s="1526">
        <f>+SUMIF($E$6:$AZ$6,GG$7,$E103:$AZ103)</f>
        <v>6050.1746752600066</v>
      </c>
      <c r="GH103" s="1526">
        <f>+SUMIF($E$6:$AZ$6,GH$7,$E103:$AZ103)</f>
        <v>6759.5068970199991</v>
      </c>
      <c r="GI103" s="1526">
        <f>+SUMIF($E$6:$AZ$6,GI$7,$E103:$AZ103)</f>
        <v>-3054.6221226499993</v>
      </c>
      <c r="GJ103" s="1526">
        <f>+SUMIF($E$6:$BL$6,GJ$7,$E103:$BL103)</f>
        <v>-4730.4546237599998</v>
      </c>
      <c r="GK103" s="1526">
        <f t="shared" si="265"/>
        <v>1261.946969130001</v>
      </c>
      <c r="GL103" s="1526">
        <f t="shared" si="256"/>
        <v>307.77561022000054</v>
      </c>
      <c r="GM103" s="1526">
        <f>+SUMIF($E$6:$CV$6,GM$7,$E103:$CV103)</f>
        <v>1540.1022638399986</v>
      </c>
      <c r="GN103" s="1526">
        <f t="shared" si="258"/>
        <v>447.0903766350998</v>
      </c>
      <c r="GO103" s="1526">
        <v>-200.51340573000016</v>
      </c>
      <c r="GQ103" s="1528">
        <f t="shared" ref="GQ103:GV104" si="383">+IFERROR(GH103/GG103-1,"")</f>
        <v>0.11724161033904501</v>
      </c>
      <c r="GR103" s="1528">
        <f t="shared" si="383"/>
        <v>-1.4519001414136676</v>
      </c>
      <c r="GS103" s="1528">
        <f t="shared" si="383"/>
        <v>0.54862187001256735</v>
      </c>
      <c r="GT103" s="1528">
        <f t="shared" si="383"/>
        <v>-1.2667707587324752</v>
      </c>
      <c r="GU103" s="1528">
        <f t="shared" si="383"/>
        <v>-0.75611050404742119</v>
      </c>
      <c r="GV103" s="1528">
        <f t="shared" si="383"/>
        <v>4.0039776145326158</v>
      </c>
      <c r="GW103" s="1528">
        <f t="shared" si="317"/>
        <v>-0.7097008509549545</v>
      </c>
      <c r="GX103" s="1528">
        <f t="shared" si="317"/>
        <v>-1.4484851748299929</v>
      </c>
      <c r="GY103" s="1528">
        <f t="shared" si="249"/>
        <v>-1.1301948646124655</v>
      </c>
      <c r="HA103" s="1526">
        <f>+GH103-GG103</f>
        <v>709.33222175999254</v>
      </c>
      <c r="HB103" s="1526">
        <f>+GI103-GH103</f>
        <v>-9814.1290196699993</v>
      </c>
      <c r="HC103" s="1526">
        <f>+GJ103-GI103</f>
        <v>-1675.8325011100005</v>
      </c>
      <c r="HD103" s="1526">
        <f t="shared" si="318"/>
        <v>5992.4015928900008</v>
      </c>
      <c r="HE103" s="1526">
        <f t="shared" si="318"/>
        <v>-954.17135891000044</v>
      </c>
      <c r="HF103" s="1526">
        <f t="shared" si="318"/>
        <v>1232.3266536199981</v>
      </c>
      <c r="HG103" s="1526">
        <f t="shared" si="318"/>
        <v>-1093.0118872048988</v>
      </c>
      <c r="HH103" s="1526">
        <f t="shared" si="318"/>
        <v>-647.60378236509996</v>
      </c>
      <c r="HI103" s="1526">
        <f t="shared" si="251"/>
        <v>-1740.6156695699988</v>
      </c>
      <c r="HK103" s="1529">
        <f>+GG103/GG$11</f>
        <v>0.16460695304937956</v>
      </c>
      <c r="HL103" s="1529">
        <f>+GH103/GH$11</f>
        <v>0.17163522562273437</v>
      </c>
      <c r="HM103" s="1529">
        <f>+GI103/GI$11</f>
        <v>-0.18125327301079558</v>
      </c>
      <c r="HN103" s="1529">
        <f>+GJ103/GJ$11</f>
        <v>-0.7689262056877757</v>
      </c>
      <c r="HO103" s="1529">
        <f t="shared" si="319"/>
        <v>9.2594034976048553E-2</v>
      </c>
      <c r="HP103" s="1529">
        <f t="shared" si="319"/>
        <v>2.1750105938140699E-2</v>
      </c>
      <c r="HQ103" s="1529">
        <f t="shared" si="319"/>
        <v>7.2545894916860421E-2</v>
      </c>
      <c r="HR103" s="1529">
        <f t="shared" si="319"/>
        <v>2.8418633484914919E-2</v>
      </c>
      <c r="HS103" s="1529">
        <f t="shared" si="319"/>
        <v>-1.5888684429259982E-2</v>
      </c>
      <c r="HU103" s="1526">
        <f t="shared" ref="HU103:HZ103" si="384">+IFERROR(SUMIFS($E103:$BX103,$E$6:$BX$6,HU$7,$E$5:$BX$5,"&lt;="&amp;$HW$5),"NA")</f>
        <v>1730.6029433053986</v>
      </c>
      <c r="HV103" s="1526">
        <f t="shared" si="384"/>
        <v>1783.4636777339006</v>
      </c>
      <c r="HW103" s="1526">
        <f t="shared" si="384"/>
        <v>2290.7911421274007</v>
      </c>
      <c r="HX103" s="1526">
        <f t="shared" si="384"/>
        <v>-1599.3643189400004</v>
      </c>
      <c r="HY103" s="1526">
        <f t="shared" si="384"/>
        <v>-3606.7606108600003</v>
      </c>
      <c r="HZ103" s="1526">
        <f t="shared" si="384"/>
        <v>790.44529982000017</v>
      </c>
      <c r="IA103" s="1526">
        <f>+IFERROR(SUMIFS($E103:$CJ103,$E$6:$CJ$6,IA$7,$E$5:$CJ$5,"&lt;="&amp;$HW$5),"NA")</f>
        <v>-440.49828387999963</v>
      </c>
      <c r="IB103" s="1526">
        <f>+IFERROR(SUMIFS($E103:$CV103,$E$6:$CV$6,IB$7,$E$5:$CV$5,"&lt;="&amp;$HW$5),"NA")</f>
        <v>868.277890949999</v>
      </c>
      <c r="IC103" s="1526">
        <f>+SUMIF($CW$5:$DH$5,"&lt;="&amp;$HW$5,$CW103:$DH103)</f>
        <v>153.08450519000024</v>
      </c>
      <c r="ID103" s="1526">
        <f t="shared" si="253"/>
        <v>-285.53811287649063</v>
      </c>
      <c r="IE103" s="1526">
        <f>+SUMIF($DJ$5:$DU$5,"&lt;="&amp;$HW$5,$DJ103:$DU103)</f>
        <v>786.01997619999884</v>
      </c>
      <c r="IG103" s="1526">
        <f t="shared" si="254"/>
        <v>153.08450519000024</v>
      </c>
      <c r="IH103" s="1526">
        <f>+ID103</f>
        <v>-285.53811287649063</v>
      </c>
      <c r="II103" s="939"/>
      <c r="IJ103" s="1528">
        <f>+IFERROR(IG103/IH103,"")</f>
        <v>-0.5361263463144651</v>
      </c>
      <c r="IK103" s="1530">
        <f>+IFERROR(IG103-IH103,"NA")</f>
        <v>438.62261806649087</v>
      </c>
      <c r="IM103" s="1529">
        <f>+IG103/IG$11</f>
        <v>2.3542102672160604E-2</v>
      </c>
      <c r="IN103" s="1528">
        <f>+IFERROR(IH103/IH$11,"")</f>
        <v>-4.0439125991963365E-2</v>
      </c>
      <c r="IP103" s="1529">
        <f t="shared" si="278"/>
        <v>0.28446189890344109</v>
      </c>
      <c r="IQ103" s="1529">
        <f t="shared" si="278"/>
        <v>-1.6981711643317734</v>
      </c>
      <c r="IR103" s="1529">
        <f t="shared" si="278"/>
        <v>1.2551213429910879</v>
      </c>
      <c r="IS103" s="1529">
        <f>+IFERROR(HZ103/HY103-1,"NA")</f>
        <v>-1.219156574306584</v>
      </c>
      <c r="IT103" s="1529">
        <f>+IFERROR(IA103/HZ103-1,"NA")</f>
        <v>-1.5572786427856675</v>
      </c>
      <c r="IU103" s="1529">
        <f>+IFERROR(IB103/IA103-1,"NA")</f>
        <v>-2.9711266143922934</v>
      </c>
      <c r="IV103" s="1529">
        <f>+IFERROR(IE103/IB103-1,"NA")</f>
        <v>-9.4736852806421523E-2</v>
      </c>
      <c r="IX103" s="1526">
        <f t="shared" si="279"/>
        <v>507.32746439350012</v>
      </c>
      <c r="IY103" s="1526">
        <f t="shared" si="279"/>
        <v>-3890.1554610674011</v>
      </c>
      <c r="IZ103" s="1526">
        <f>+HY103-HX103</f>
        <v>-2007.3962919199998</v>
      </c>
      <c r="JA103" s="1526">
        <f>+HZ103-HY103</f>
        <v>4397.2059106800007</v>
      </c>
      <c r="JB103" s="1526">
        <f>+IA103-HZ103</f>
        <v>-1230.9435836999999</v>
      </c>
      <c r="JC103" s="1526">
        <f>+IB103-IA103</f>
        <v>1308.7761748299986</v>
      </c>
      <c r="JD103" s="1526">
        <f>+IE103-IB103</f>
        <v>-82.257914750000168</v>
      </c>
      <c r="JF103" s="1529">
        <f t="shared" ref="JF103:JL103" si="385">+HU103/HU$11</f>
        <v>0.10819875568548104</v>
      </c>
      <c r="JG103" s="1529">
        <f t="shared" si="385"/>
        <v>0.1045938205986439</v>
      </c>
      <c r="JH103" s="1529">
        <f t="shared" si="385"/>
        <v>0.14092605318625759</v>
      </c>
      <c r="JI103" s="1529">
        <f t="shared" si="385"/>
        <v>-0.17098051033414535</v>
      </c>
      <c r="JJ103" s="1529">
        <f t="shared" si="385"/>
        <v>-1.7974262927657247</v>
      </c>
      <c r="JK103" s="1529">
        <f t="shared" si="385"/>
        <v>0.11387545467999824</v>
      </c>
      <c r="JL103" s="1529">
        <f t="shared" si="385"/>
        <v>-8.327857720988284E-2</v>
      </c>
      <c r="JM103" s="1529">
        <f>+IE103/IE$11</f>
        <v>0.11527439118344565</v>
      </c>
      <c r="JO103" s="1526">
        <f>+SUMIFS($E103:$BX103,$E$6:$BX$6,JO$7,$E$5:$BX$5,$JQ$5)</f>
        <v>353.27390629669947</v>
      </c>
      <c r="JP103" s="1526">
        <f>+SUMIFS($E103:$BX103,$E$6:$BX$6,JP$7,$E$5:$BX$5,$JQ$5)</f>
        <v>777.16093668179883</v>
      </c>
      <c r="JQ103" s="1526">
        <f>+SUMIFS($E103:$BX103,$E$6:$BX$6,JQ$7,$E$5:$BX$5,$JQ$5)</f>
        <v>279.67273954620032</v>
      </c>
      <c r="JR103" s="1526">
        <f>+SUMIFS($E103:$BX103,$E$6:$BX$6,JR$7,$E$5:$BX$5,$JQ$5)</f>
        <v>-663.47861333999981</v>
      </c>
      <c r="JS103" s="1526">
        <f>+SUMIFS($E103:$BX103,$E$6:$BX$6,JS$7,$E$5:$BX$5,$JQ$5)</f>
        <v>-908.89802556999985</v>
      </c>
      <c r="JT103" s="1526">
        <f>+SUMIFS($E103:$CJ103,$E$6:$CJ$6,JT$7,$E$5:$CJ$5,$JQ$5)</f>
        <v>90.135582020000058</v>
      </c>
      <c r="JU103" s="1526">
        <f>+SUMIFS($E103:$CV103,$E$6:$CV$6,JU$7,$E$5:$CV$5,$JQ$5)</f>
        <v>-18.083400690000197</v>
      </c>
      <c r="JV103" s="1526">
        <f>+SUMIFS($E103:$CV103,$E$6:$CV$6,JV$7,$E$5:$CV$5,$JQ$5)</f>
        <v>-48.026834360000208</v>
      </c>
      <c r="JW103" s="1526">
        <f>+SUMIFS($E103:$DH103,$E$6:$DH$6,JW$7,$E$5:$DH$5,$JQ$5)</f>
        <v>-343.46025253000005</v>
      </c>
      <c r="JX103" s="1526">
        <f>+SUMIF($FS$5:$GD$5,$JQ$5,$FS103:$GD103)</f>
        <v>-37.027208849736297</v>
      </c>
      <c r="JY103" s="1526">
        <f>+SUMIF($DJ$5:$DU$5,$JQ$5,$DJ103:$DU103)</f>
        <v>-279.59201330000002</v>
      </c>
      <c r="KB103" s="1529">
        <f t="shared" ref="KB103:KG103" si="386">+IFERROR(JQ103/JP103-1," ")</f>
        <v>-0.64013536148599592</v>
      </c>
      <c r="KC103" s="1529">
        <f t="shared" si="386"/>
        <v>-3.3723392362679561</v>
      </c>
      <c r="KD103" s="1529">
        <f t="shared" si="386"/>
        <v>0.36989800016995389</v>
      </c>
      <c r="KE103" s="1529">
        <f t="shared" si="386"/>
        <v>-1.0991701813451218</v>
      </c>
      <c r="KF103" s="1529">
        <f t="shared" si="386"/>
        <v>-1.2006244402569863</v>
      </c>
      <c r="KG103" s="1529">
        <f t="shared" si="386"/>
        <v>1.6558519154286175</v>
      </c>
      <c r="KH103" s="1529">
        <f>+IFERROR(JY103/JV103-1," ")</f>
        <v>4.8215790614936296</v>
      </c>
      <c r="KJ103" s="1526">
        <f t="shared" ref="KJ103:KO103" si="387">+JQ103-JP103</f>
        <v>-497.48819713559851</v>
      </c>
      <c r="KK103" s="1526">
        <f t="shared" si="387"/>
        <v>-943.15135288620013</v>
      </c>
      <c r="KL103" s="1526">
        <f t="shared" si="387"/>
        <v>-245.41941223000003</v>
      </c>
      <c r="KM103" s="1526">
        <f t="shared" si="387"/>
        <v>999.03360758999986</v>
      </c>
      <c r="KN103" s="1526">
        <f t="shared" si="387"/>
        <v>-108.21898271000026</v>
      </c>
      <c r="KO103" s="1526">
        <f t="shared" si="387"/>
        <v>-29.943433670000012</v>
      </c>
      <c r="KP103" s="1526">
        <f>+JY103-JV103</f>
        <v>-231.56517893999981</v>
      </c>
      <c r="KR103" s="1529">
        <f t="shared" ref="KR103:KY103" si="388">+JO103/JO$11</f>
        <v>0.1101975597031119</v>
      </c>
      <c r="KS103" s="1529">
        <f t="shared" si="388"/>
        <v>0.23107467960444114</v>
      </c>
      <c r="KT103" s="1529">
        <f t="shared" si="388"/>
        <v>0.11147078823920938</v>
      </c>
      <c r="KU103" s="1529">
        <f t="shared" si="388"/>
        <v>-0.74159279361763264</v>
      </c>
      <c r="KV103" s="1529">
        <f t="shared" si="388"/>
        <v>-2.9127240841839939</v>
      </c>
      <c r="KW103" s="1529">
        <f t="shared" si="388"/>
        <v>8.8889240543571349E-2</v>
      </c>
      <c r="KX103" s="1529">
        <f t="shared" si="388"/>
        <v>-2.0616132930164864E-2</v>
      </c>
      <c r="KY103" s="1529">
        <f t="shared" si="388"/>
        <v>-3.1387731343879587E-2</v>
      </c>
      <c r="KZ103" s="1529">
        <f t="shared" si="306"/>
        <v>-0.76290125371709594</v>
      </c>
    </row>
    <row r="104" spans="1:312">
      <c r="A104" s="867"/>
      <c r="B104" s="71"/>
      <c r="C104" s="943" t="s">
        <v>108</v>
      </c>
      <c r="D104" s="944" t="s">
        <v>35</v>
      </c>
      <c r="E104" s="945">
        <f t="shared" ref="E104:AN104" si="389">IFERROR(+E103/E$11,0)</f>
        <v>-1.0816086847717232</v>
      </c>
      <c r="F104" s="945">
        <f t="shared" si="389"/>
        <v>0.2351100106211565</v>
      </c>
      <c r="G104" s="945">
        <f t="shared" si="389"/>
        <v>8.4487225453606887E-2</v>
      </c>
      <c r="H104" s="945">
        <f t="shared" si="389"/>
        <v>0.13614978698031446</v>
      </c>
      <c r="I104" s="945">
        <f t="shared" si="389"/>
        <v>0.27584036404230206</v>
      </c>
      <c r="J104" s="945">
        <f t="shared" si="389"/>
        <v>0.1101975597031119</v>
      </c>
      <c r="K104" s="945">
        <f t="shared" si="389"/>
        <v>0.15435391076601152</v>
      </c>
      <c r="L104" s="945">
        <f t="shared" si="389"/>
        <v>0.28046753799874952</v>
      </c>
      <c r="M104" s="945">
        <f t="shared" si="389"/>
        <v>0.28839982511862483</v>
      </c>
      <c r="N104" s="945">
        <f t="shared" si="389"/>
        <v>0.1869834620708348</v>
      </c>
      <c r="O104" s="945">
        <f t="shared" si="389"/>
        <v>0.28821974836497777</v>
      </c>
      <c r="P104" s="945">
        <f t="shared" si="389"/>
        <v>4.6455188081857321E-2</v>
      </c>
      <c r="Q104" s="945">
        <f t="shared" si="389"/>
        <v>-0.11910424738231207</v>
      </c>
      <c r="R104" s="945">
        <f t="shared" si="389"/>
        <v>0.24977873734607478</v>
      </c>
      <c r="S104" s="945">
        <f t="shared" si="389"/>
        <v>-6.07120599937526E-2</v>
      </c>
      <c r="T104" s="945">
        <f t="shared" si="389"/>
        <v>-0.23573289000912165</v>
      </c>
      <c r="U104" s="945">
        <f t="shared" si="389"/>
        <v>0.24560996724476494</v>
      </c>
      <c r="V104" s="945">
        <f t="shared" si="389"/>
        <v>0.23107467960444114</v>
      </c>
      <c r="W104" s="945">
        <f t="shared" si="389"/>
        <v>0.13550384816269709</v>
      </c>
      <c r="X104" s="945">
        <f t="shared" si="389"/>
        <v>0.20104513548215819</v>
      </c>
      <c r="Y104" s="945">
        <f t="shared" si="389"/>
        <v>-0.33190761963295135</v>
      </c>
      <c r="Z104" s="945">
        <f t="shared" si="389"/>
        <v>9.2912644073644291E-3</v>
      </c>
      <c r="AA104" s="945">
        <f t="shared" si="389"/>
        <v>0.32777288104028252</v>
      </c>
      <c r="AB104" s="945">
        <f t="shared" si="389"/>
        <v>0.3835230302929209</v>
      </c>
      <c r="AC104" s="945">
        <f t="shared" si="389"/>
        <v>-0.30134485456876203</v>
      </c>
      <c r="AD104" s="945">
        <f t="shared" si="389"/>
        <v>0.33834479501293363</v>
      </c>
      <c r="AE104" s="945">
        <f t="shared" si="389"/>
        <v>9.8196863501663817E-2</v>
      </c>
      <c r="AF104" s="945">
        <f t="shared" si="389"/>
        <v>0.16778695110776387</v>
      </c>
      <c r="AG104" s="945">
        <f t="shared" si="389"/>
        <v>0.14886237582865466</v>
      </c>
      <c r="AH104" s="945">
        <f t="shared" si="389"/>
        <v>0.11147078823920938</v>
      </c>
      <c r="AI104" s="945">
        <f t="shared" si="389"/>
        <v>7.0703808192113055E-2</v>
      </c>
      <c r="AJ104" s="945">
        <f t="shared" si="389"/>
        <v>0.14375090324089868</v>
      </c>
      <c r="AK104" s="945">
        <f t="shared" si="389"/>
        <v>0.19002060846398092</v>
      </c>
      <c r="AL104" s="945">
        <f t="shared" si="389"/>
        <v>0.2151378090351275</v>
      </c>
      <c r="AM104" s="945">
        <f t="shared" si="389"/>
        <v>0.41954471049981018</v>
      </c>
      <c r="AN104" s="945">
        <f t="shared" si="389"/>
        <v>9.6416634061385394E-3</v>
      </c>
      <c r="AO104" s="945">
        <f>IFERROR(+AO103/AO$11,0)</f>
        <v>0.27048670187302803</v>
      </c>
      <c r="AP104" s="945">
        <f t="shared" ref="AP104:DA104" si="390">IFERROR(+AP103/AP$11,0)</f>
        <v>-0.23386085981576124</v>
      </c>
      <c r="AQ104" s="945">
        <f t="shared" si="390"/>
        <v>-1.4453640839779205E-2</v>
      </c>
      <c r="AR104" s="945">
        <f t="shared" si="390"/>
        <v>-0.66274070115918726</v>
      </c>
      <c r="AS104" s="945">
        <f t="shared" si="390"/>
        <v>-0.37217025021077238</v>
      </c>
      <c r="AT104" s="945">
        <f t="shared" si="390"/>
        <v>-0.74159279361763264</v>
      </c>
      <c r="AU104" s="945">
        <f t="shared" si="390"/>
        <v>5.9506922474373232E-2</v>
      </c>
      <c r="AV104" s="945">
        <f t="shared" si="390"/>
        <v>4.0602780294168557E-3</v>
      </c>
      <c r="AW104" s="945">
        <f t="shared" si="390"/>
        <v>-0.12326380717519723</v>
      </c>
      <c r="AX104" s="945">
        <f t="shared" si="390"/>
        <v>-0.81963251374108992</v>
      </c>
      <c r="AY104" s="945">
        <f t="shared" si="390"/>
        <v>-0.61682421225302697</v>
      </c>
      <c r="AZ104" s="945">
        <f t="shared" si="390"/>
        <v>0.82701102404948712</v>
      </c>
      <c r="BA104" s="945">
        <f t="shared" si="390"/>
        <v>4.5871476822340218E-2</v>
      </c>
      <c r="BB104" s="945">
        <f t="shared" si="390"/>
        <v>-1.8202520480518716</v>
      </c>
      <c r="BC104" s="945">
        <f t="shared" si="390"/>
        <v>-3.9666230112428518</v>
      </c>
      <c r="BD104" s="945">
        <f t="shared" si="390"/>
        <v>-6.9796913027007541</v>
      </c>
      <c r="BE104" s="945">
        <f t="shared" si="390"/>
        <v>-0.95706060583886732</v>
      </c>
      <c r="BF104" s="945">
        <f>IFERROR(+BF103/BF$11,0)</f>
        <v>-2.9127240841839939</v>
      </c>
      <c r="BG104" s="945">
        <f t="shared" si="390"/>
        <v>-1.4057944962124809</v>
      </c>
      <c r="BH104" s="945">
        <f t="shared" si="390"/>
        <v>-0.98487370034734001</v>
      </c>
      <c r="BI104" s="945">
        <f t="shared" si="390"/>
        <v>-0.55174060706771977</v>
      </c>
      <c r="BJ104" s="945">
        <f t="shared" si="390"/>
        <v>-0.40943730423309277</v>
      </c>
      <c r="BK104" s="945">
        <f t="shared" si="390"/>
        <v>-6.8866411961163526E-2</v>
      </c>
      <c r="BL104" s="945">
        <f t="shared" si="390"/>
        <v>0.16071078890886328</v>
      </c>
      <c r="BM104" s="945">
        <f t="shared" si="390"/>
        <v>0.10383315839461715</v>
      </c>
      <c r="BN104" s="945">
        <f t="shared" si="390"/>
        <v>0.11942659886874961</v>
      </c>
      <c r="BO104" s="945">
        <f t="shared" si="390"/>
        <v>8.2270409243560175E-2</v>
      </c>
      <c r="BP104" s="945">
        <f t="shared" si="390"/>
        <v>0.24444614729337608</v>
      </c>
      <c r="BQ104" s="945">
        <f t="shared" si="390"/>
        <v>-1.1607451860024629E-2</v>
      </c>
      <c r="BR104" s="945">
        <f t="shared" si="390"/>
        <v>8.8889240543571349E-2</v>
      </c>
      <c r="BS104" s="945">
        <f t="shared" si="390"/>
        <v>5.570380602430184E-2</v>
      </c>
      <c r="BT104" s="945">
        <f t="shared" si="390"/>
        <v>3.816001897816447E-2</v>
      </c>
      <c r="BU104" s="945">
        <f t="shared" si="390"/>
        <v>-4.9582730531920964E-2</v>
      </c>
      <c r="BV104" s="945">
        <f t="shared" si="390"/>
        <v>0.21462335585608833</v>
      </c>
      <c r="BW104" s="945">
        <f t="shared" si="390"/>
        <v>0.14327672268857741</v>
      </c>
      <c r="BX104" s="945">
        <f t="shared" si="390"/>
        <v>-4.0109590956166841E-2</v>
      </c>
      <c r="BY104" s="945">
        <f t="shared" si="390"/>
        <v>-0.15906320893013939</v>
      </c>
      <c r="BZ104" s="945">
        <f t="shared" si="390"/>
        <v>2.1453840498341849E-2</v>
      </c>
      <c r="CA104" s="945">
        <f t="shared" si="390"/>
        <v>-6.4218514755915418E-2</v>
      </c>
      <c r="CB104" s="945">
        <f t="shared" si="390"/>
        <v>-0.11233473136896863</v>
      </c>
      <c r="CC104" s="945">
        <f t="shared" si="390"/>
        <v>-0.21302196637912035</v>
      </c>
      <c r="CD104" s="945">
        <f t="shared" si="390"/>
        <v>-2.0616132930164864E-2</v>
      </c>
      <c r="CE104" s="945">
        <f t="shared" si="390"/>
        <v>-0.14363572189470841</v>
      </c>
      <c r="CF104" s="945">
        <f t="shared" si="390"/>
        <v>0.28975051230451132</v>
      </c>
      <c r="CG104" s="945">
        <f t="shared" si="390"/>
        <v>-3.6678834899741351E-2</v>
      </c>
      <c r="CH104" s="945">
        <f t="shared" si="390"/>
        <v>0.10833658379488366</v>
      </c>
      <c r="CI104" s="945">
        <f t="shared" si="390"/>
        <v>0.28509349561288894</v>
      </c>
      <c r="CJ104" s="945">
        <f t="shared" si="390"/>
        <v>-0.14392258149387957</v>
      </c>
      <c r="CK104" s="945">
        <f t="shared" si="390"/>
        <v>7.2916996346217955E-2</v>
      </c>
      <c r="CL104" s="945">
        <f t="shared" si="390"/>
        <v>-0.13163005363540542</v>
      </c>
      <c r="CM104" s="945">
        <f t="shared" si="390"/>
        <v>0.2240280159639067</v>
      </c>
      <c r="CN104" s="945">
        <f t="shared" si="390"/>
        <v>8.6799682597530278E-2</v>
      </c>
      <c r="CO104" s="945">
        <f t="shared" si="390"/>
        <v>0.24249015842366298</v>
      </c>
      <c r="CP104" s="945">
        <f t="shared" si="390"/>
        <v>-3.1387731343879587E-2</v>
      </c>
      <c r="CQ104" s="945">
        <f t="shared" si="390"/>
        <v>3.4267564427709271E-2</v>
      </c>
      <c r="CR104" s="945">
        <f t="shared" si="390"/>
        <v>0.15472580133518557</v>
      </c>
      <c r="CS104" s="945">
        <f t="shared" si="390"/>
        <v>0.1237622715864993</v>
      </c>
      <c r="CT104" s="945">
        <f t="shared" si="390"/>
        <v>0.28638020612552428</v>
      </c>
      <c r="CU104" s="945">
        <f t="shared" si="390"/>
        <v>0.15391058889885534</v>
      </c>
      <c r="CV104" s="945">
        <f t="shared" si="390"/>
        <v>-0.47436831513514682</v>
      </c>
      <c r="CW104" s="945">
        <f t="shared" si="390"/>
        <v>0.15979142349008343</v>
      </c>
      <c r="CX104" s="945">
        <f t="shared" si="390"/>
        <v>8.2209263343924158E-2</v>
      </c>
      <c r="CY104" s="945">
        <f t="shared" si="390"/>
        <v>0.48675767083660976</v>
      </c>
      <c r="CZ104" s="945">
        <f t="shared" si="390"/>
        <v>-0.96342415481086952</v>
      </c>
      <c r="DA104" s="945">
        <f t="shared" si="390"/>
        <v>-1.313227192278563</v>
      </c>
      <c r="DB104" s="945">
        <f t="shared" ref="DB104:DH104" si="391">IFERROR(+DB103/DB$11,0)</f>
        <v>-0.92616569572864571</v>
      </c>
      <c r="DC104" s="945">
        <f t="shared" si="391"/>
        <v>-0.88535911027589176</v>
      </c>
      <c r="DD104" s="945">
        <f t="shared" si="391"/>
        <v>0.20257655050631601</v>
      </c>
      <c r="DE104" s="945">
        <f t="shared" si="391"/>
        <v>0.16260607699590349</v>
      </c>
      <c r="DF104" s="945">
        <f t="shared" si="391"/>
        <v>0.20479017231013918</v>
      </c>
      <c r="DG104" s="945">
        <f t="shared" si="391"/>
        <v>-0.33256606797907762</v>
      </c>
      <c r="DH104" s="945">
        <f t="shared" si="391"/>
        <v>-0.22956549259872341</v>
      </c>
      <c r="DJ104" s="945">
        <f t="shared" ref="DJ104:DU104" si="392">IFERROR(+DJ103/DJ$11,0)</f>
        <v>0.20675448728894635</v>
      </c>
      <c r="DK104" s="945">
        <f t="shared" si="392"/>
        <v>9.3618517181936145E-2</v>
      </c>
      <c r="DL104" s="945">
        <f t="shared" si="392"/>
        <v>0.55130347204629926</v>
      </c>
      <c r="DM104" s="945">
        <f t="shared" si="392"/>
        <v>-0.880281087165662</v>
      </c>
      <c r="DN104" s="945">
        <f t="shared" si="392"/>
        <v>-0.65221980659347023</v>
      </c>
      <c r="DO104" s="945">
        <f t="shared" si="392"/>
        <v>-0.76290125371709594</v>
      </c>
      <c r="DP104" s="945">
        <f t="shared" si="392"/>
        <v>-0.49480353403717281</v>
      </c>
      <c r="DQ104" s="945">
        <f t="shared" si="392"/>
        <v>0.31388110884306608</v>
      </c>
      <c r="DR104" s="945">
        <f t="shared" si="392"/>
        <v>0.29461148907865442</v>
      </c>
      <c r="DS104" s="945">
        <f t="shared" si="392"/>
        <v>0.39142678002788645</v>
      </c>
      <c r="DT104" s="945">
        <f t="shared" si="392"/>
        <v>3.5058351830372452E-3</v>
      </c>
      <c r="DU104" s="945">
        <f t="shared" si="392"/>
        <v>-1.2724298193730213E-3</v>
      </c>
      <c r="DW104" s="945">
        <v>0.11307908054971705</v>
      </c>
      <c r="DX104" s="945">
        <v>-0.16020177726312854</v>
      </c>
      <c r="DY104" s="945">
        <v>-9.3776835074253453E-2</v>
      </c>
      <c r="DZ104" s="945">
        <v>0.12453269678893596</v>
      </c>
      <c r="EA104" s="945">
        <v>6.1953567761518932E-2</v>
      </c>
      <c r="EB104" s="945">
        <v>0.10728393528629511</v>
      </c>
      <c r="EC104" s="945">
        <v>0.21037838786669008</v>
      </c>
      <c r="ED104" s="945">
        <v>0.27906948070184018</v>
      </c>
      <c r="EE104" s="945">
        <v>0.21618401131028214</v>
      </c>
      <c r="EF104" s="945">
        <v>0.23416105767078788</v>
      </c>
      <c r="EG104" s="945">
        <v>0.2241149638900958</v>
      </c>
      <c r="EH104" s="945">
        <v>0.14352982976369039</v>
      </c>
      <c r="EI104" s="945">
        <f>IFERROR(+EI103/EI$11,0)</f>
        <v>-0.73268516308079512</v>
      </c>
      <c r="EJ104" s="945">
        <f t="shared" ref="EJ104:FE104" si="393">IFERROR(+EJ103/EJ$11,0)</f>
        <v>-0.23602762037418062</v>
      </c>
      <c r="EK104" s="945">
        <f t="shared" si="393"/>
        <v>0.28412314976434949</v>
      </c>
      <c r="EL104" s="945">
        <f t="shared" si="393"/>
        <v>-0.32900136824089493</v>
      </c>
      <c r="EM104" s="945">
        <f t="shared" si="393"/>
        <v>-5.3303426469009332E-2</v>
      </c>
      <c r="EN104" s="945">
        <f t="shared" si="393"/>
        <v>0.10284318556957688</v>
      </c>
      <c r="EO104" s="945">
        <f t="shared" si="393"/>
        <v>0.14100554726875777</v>
      </c>
      <c r="EP104" s="945">
        <f t="shared" si="393"/>
        <v>0.17834768843826457</v>
      </c>
      <c r="EQ104" s="945">
        <f t="shared" si="393"/>
        <v>0.10524521126712598</v>
      </c>
      <c r="ER104" s="945">
        <f t="shared" si="393"/>
        <v>0.11402676818806594</v>
      </c>
      <c r="ES104" s="945">
        <f t="shared" si="393"/>
        <v>9.4923317859473222E-2</v>
      </c>
      <c r="ET104" s="945">
        <f t="shared" si="393"/>
        <v>3.0168375200588071E-2</v>
      </c>
      <c r="EU104" s="945">
        <f t="shared" si="393"/>
        <v>-2.9660370554637595E-2</v>
      </c>
      <c r="EV104" s="945">
        <f t="shared" si="393"/>
        <v>0.16367727156275236</v>
      </c>
      <c r="EW104" s="945">
        <f t="shared" si="393"/>
        <v>0.14142666202821633</v>
      </c>
      <c r="EX104" s="945">
        <f t="shared" si="393"/>
        <v>0.13873895350886326</v>
      </c>
      <c r="EY104" s="945">
        <f t="shared" si="393"/>
        <v>0.12028395930567326</v>
      </c>
      <c r="EZ104" s="945">
        <f t="shared" si="393"/>
        <v>0.14398065748508851</v>
      </c>
      <c r="FA104" s="945">
        <f t="shared" si="393"/>
        <v>0.14316114045109701</v>
      </c>
      <c r="FB104" s="945">
        <f t="shared" si="393"/>
        <v>-0.12649630782266988</v>
      </c>
      <c r="FC104" s="945">
        <f t="shared" si="393"/>
        <v>-0.27364744937279672</v>
      </c>
      <c r="FD104" s="945">
        <f t="shared" si="393"/>
        <v>-0.46942371710763692</v>
      </c>
      <c r="FE104" s="945">
        <f t="shared" si="393"/>
        <v>-0.29212007946408181</v>
      </c>
      <c r="FF104" s="947">
        <f t="shared" ref="FF104:GD104" si="394">+IFERROR(FF103/FF$11,"")</f>
        <v>-0.43839943271189152</v>
      </c>
      <c r="FG104" s="947">
        <f t="shared" si="394"/>
        <v>5.0668481553938313E-2</v>
      </c>
      <c r="FH104" s="947">
        <f t="shared" si="394"/>
        <v>-2.8200910921938785E-2</v>
      </c>
      <c r="FI104" s="947">
        <f t="shared" si="394"/>
        <v>-7.5813654023994884E-2</v>
      </c>
      <c r="FJ104" s="947">
        <f t="shared" si="394"/>
        <v>-0.16231940277367929</v>
      </c>
      <c r="FK104" s="947">
        <f t="shared" si="394"/>
        <v>-4.1394437621234091E-2</v>
      </c>
      <c r="FL104" s="947">
        <f t="shared" si="394"/>
        <v>-3.1793234845930975E-2</v>
      </c>
      <c r="FM104" s="947">
        <f t="shared" si="394"/>
        <v>9.560022581424122E-3</v>
      </c>
      <c r="FN104" s="947">
        <f t="shared" si="394"/>
        <v>3.0378024938834423E-2</v>
      </c>
      <c r="FO104" s="947">
        <f t="shared" si="394"/>
        <v>4.9596026581744994E-2</v>
      </c>
      <c r="FP104" s="947">
        <f t="shared" si="394"/>
        <v>0.11896185047789523</v>
      </c>
      <c r="FQ104" s="947">
        <f t="shared" si="394"/>
        <v>0.14892550838756927</v>
      </c>
      <c r="FR104" s="947">
        <f t="shared" si="394"/>
        <v>0.11591735972940281</v>
      </c>
      <c r="FS104" s="947">
        <f t="shared" si="394"/>
        <v>5.0668481553938313E-2</v>
      </c>
      <c r="FT104" s="947">
        <f t="shared" si="394"/>
        <v>-2.8200910921938785E-2</v>
      </c>
      <c r="FU104" s="947">
        <f t="shared" si="394"/>
        <v>-7.5813654023994884E-2</v>
      </c>
      <c r="FV104" s="947">
        <f t="shared" si="394"/>
        <v>-0.16231940277367929</v>
      </c>
      <c r="FW104" s="947">
        <f t="shared" si="394"/>
        <v>-4.1394437621234091E-2</v>
      </c>
      <c r="FX104" s="947">
        <f t="shared" si="394"/>
        <v>-3.1793234845930975E-2</v>
      </c>
      <c r="FY104" s="947">
        <f t="shared" si="394"/>
        <v>9.560022581424122E-3</v>
      </c>
      <c r="FZ104" s="947">
        <f t="shared" si="394"/>
        <v>3.0378024938834423E-2</v>
      </c>
      <c r="GA104" s="947">
        <f t="shared" si="394"/>
        <v>4.9596026581744994E-2</v>
      </c>
      <c r="GB104" s="947">
        <f t="shared" si="394"/>
        <v>0.11896185047789523</v>
      </c>
      <c r="GC104" s="947">
        <f t="shared" si="394"/>
        <v>0.14892550838756927</v>
      </c>
      <c r="GD104" s="947">
        <f t="shared" si="394"/>
        <v>0.11591735972940281</v>
      </c>
      <c r="GE104" s="77"/>
      <c r="GF104" s="947">
        <f t="shared" ref="GF104:GN104" si="395">+IFERROR(GF103/GF$11,"")</f>
        <v>0.16785660335417932</v>
      </c>
      <c r="GG104" s="947">
        <f t="shared" si="395"/>
        <v>0.16460695304937956</v>
      </c>
      <c r="GH104" s="947">
        <f t="shared" si="395"/>
        <v>0.17163522562273437</v>
      </c>
      <c r="GI104" s="947">
        <f t="shared" si="395"/>
        <v>-0.18125327301079558</v>
      </c>
      <c r="GJ104" s="947">
        <f t="shared" si="395"/>
        <v>-0.7689262056877757</v>
      </c>
      <c r="GK104" s="947">
        <f t="shared" si="395"/>
        <v>9.2594034976048553E-2</v>
      </c>
      <c r="GL104" s="947">
        <f t="shared" si="395"/>
        <v>2.1750105938140699E-2</v>
      </c>
      <c r="GM104" s="947">
        <f t="shared" si="395"/>
        <v>7.2545894916860421E-2</v>
      </c>
      <c r="GN104" s="947">
        <f t="shared" si="395"/>
        <v>2.8418633484914919E-2</v>
      </c>
      <c r="GO104" s="947">
        <v>-1.5888684429259982E-2</v>
      </c>
      <c r="GQ104" s="947">
        <f t="shared" si="383"/>
        <v>4.2697300710295316E-2</v>
      </c>
      <c r="GR104" s="947">
        <f t="shared" si="383"/>
        <v>-2.0560377239180632</v>
      </c>
      <c r="GS104" s="947">
        <f t="shared" si="383"/>
        <v>3.2422748726969353</v>
      </c>
      <c r="GT104" s="947">
        <f t="shared" si="383"/>
        <v>-1.1204199236430323</v>
      </c>
      <c r="GU104" s="947">
        <f t="shared" si="383"/>
        <v>-0.76510251504033888</v>
      </c>
      <c r="GV104" s="947">
        <f t="shared" si="383"/>
        <v>2.3354271985243482</v>
      </c>
      <c r="GW104" s="947">
        <f t="shared" si="317"/>
        <v>-0.60826682864022219</v>
      </c>
      <c r="GX104" s="947">
        <f>+IFERROR(GO104/GN104-1,"")</f>
        <v>-1.5590938930154385</v>
      </c>
      <c r="GY104" s="947">
        <f t="shared" si="249"/>
        <v>-1.2190156237988221</v>
      </c>
      <c r="HA104" s="947">
        <f>+IFERROR(GH104-GG104,"")</f>
        <v>7.0282725733548101E-3</v>
      </c>
      <c r="HB104" s="947">
        <f>+IFERROR(GI104-GH104,"")</f>
        <v>-0.35288849863352995</v>
      </c>
      <c r="HC104" s="947">
        <f>+IFERROR(GJ104-GI104,"")</f>
        <v>-0.58767293267698006</v>
      </c>
      <c r="HD104" s="947">
        <f>+IFERROR(GK104-GJ104,"")</f>
        <v>0.86152024066382427</v>
      </c>
      <c r="HE104" s="947">
        <f t="shared" si="318"/>
        <v>-7.0843929037907857E-2</v>
      </c>
      <c r="HF104" s="947">
        <f t="shared" si="318"/>
        <v>5.0795788978719725E-2</v>
      </c>
      <c r="HG104" s="947">
        <f t="shared" si="318"/>
        <v>-4.4127261431945501E-2</v>
      </c>
      <c r="HH104" s="947">
        <f t="shared" ref="HH104" si="396">+IFERROR(GO104-GN104,"")</f>
        <v>-4.4307317914174901E-2</v>
      </c>
      <c r="HI104" s="947">
        <f t="shared" si="251"/>
        <v>-8.8434579346120396E-2</v>
      </c>
      <c r="HK104" s="945"/>
      <c r="HL104" s="945"/>
      <c r="HM104" s="945"/>
      <c r="HN104" s="945"/>
      <c r="HO104" s="945"/>
      <c r="HP104" s="945"/>
      <c r="HQ104" s="945"/>
      <c r="HR104" s="945"/>
      <c r="HS104" s="945"/>
      <c r="HU104" s="945">
        <f>IFERROR(+HU103/HU$11,0)</f>
        <v>0.10819875568548104</v>
      </c>
      <c r="HV104" s="945">
        <f t="shared" ref="HV104:IE104" si="397">IFERROR(+HV103/HV$11,0)</f>
        <v>0.1045938205986439</v>
      </c>
      <c r="HW104" s="945">
        <f t="shared" si="397"/>
        <v>0.14092605318625759</v>
      </c>
      <c r="HX104" s="945">
        <f t="shared" si="397"/>
        <v>-0.17098051033414535</v>
      </c>
      <c r="HY104" s="945">
        <f t="shared" si="397"/>
        <v>-1.7974262927657247</v>
      </c>
      <c r="HZ104" s="945">
        <f>+IFERROR(SUMIFS($E104:$BX104,$E$6:$BX$6,HZ$7,$E$5:$BX$5,"&lt;="&amp;$HW$5),"NA")</f>
        <v>0.62725810248384972</v>
      </c>
      <c r="IA104" s="945">
        <f>+IFERROR(SUMIFS($E104:$CJ104,$E$6:$CJ$6,IA$7,$E$5:$CJ$5,"&lt;="&amp;$HW$5),"NA")</f>
        <v>-0.54780071386596685</v>
      </c>
      <c r="IB104" s="945">
        <f>+IFERROR(SUMIFS($E104:$CV104,$E$6:$CV$6,IB$7,$E$5:$CV$5,"&lt;="&amp;$HW$5),"NA")</f>
        <v>0.46321706835203297</v>
      </c>
      <c r="IC104" s="945">
        <f>+SUMIF($CW$5:$DH$5,"&lt;="&amp;$HW$5,$CW104:$DH104)</f>
        <v>-2.4740586851474609</v>
      </c>
      <c r="ID104" s="945">
        <f t="shared" si="253"/>
        <v>-0.28885315863283972</v>
      </c>
      <c r="IE104" s="945">
        <f t="shared" si="397"/>
        <v>0.11527439118344565</v>
      </c>
      <c r="IG104" s="945">
        <f t="shared" si="254"/>
        <v>-2.4740586851474609</v>
      </c>
      <c r="IH104" s="945">
        <f>IFERROR(+IH103/IH$11,0)</f>
        <v>-4.0439125991963365E-2</v>
      </c>
      <c r="II104" s="946"/>
      <c r="IJ104" s="947">
        <f>+IFERROR(IG104/IH104,"")</f>
        <v>61.179825835977283</v>
      </c>
      <c r="IK104" s="945">
        <f>+IFERROR(IG104-IH104,"NA")</f>
        <v>-2.4336195591554977</v>
      </c>
      <c r="IM104" s="945"/>
      <c r="IN104" s="945"/>
      <c r="IP104" s="945"/>
      <c r="IQ104" s="945"/>
      <c r="IR104" s="945"/>
      <c r="IS104" s="945"/>
      <c r="IT104" s="945"/>
      <c r="IU104" s="945"/>
      <c r="IV104" s="945"/>
      <c r="IX104" s="945"/>
      <c r="IY104" s="945"/>
      <c r="IZ104" s="945"/>
      <c r="JA104" s="945"/>
      <c r="JB104" s="945"/>
      <c r="JC104" s="945"/>
      <c r="JD104" s="945"/>
      <c r="JF104" s="945"/>
      <c r="JG104" s="945"/>
      <c r="JH104" s="945"/>
      <c r="JI104" s="945"/>
      <c r="JJ104" s="945"/>
      <c r="JK104" s="945"/>
      <c r="JL104" s="945"/>
      <c r="JM104" s="945"/>
      <c r="JO104" s="945">
        <f t="shared" ref="JO104:JY104" si="398">JO103/JO$11</f>
        <v>0.1101975597031119</v>
      </c>
      <c r="JP104" s="945">
        <f t="shared" si="398"/>
        <v>0.23107467960444114</v>
      </c>
      <c r="JQ104" s="945">
        <f t="shared" si="398"/>
        <v>0.11147078823920938</v>
      </c>
      <c r="JR104" s="945">
        <f t="shared" si="398"/>
        <v>-0.74159279361763264</v>
      </c>
      <c r="JS104" s="945">
        <f t="shared" si="398"/>
        <v>-2.9127240841839939</v>
      </c>
      <c r="JT104" s="945">
        <f>+SUMIFS($E104:$CJ104,$E$6:$CJ$6,JT$7,$E$5:$CJ$5,$JQ$5)</f>
        <v>8.8889240543571349E-2</v>
      </c>
      <c r="JU104" s="945">
        <f>+SUMIFS($E104:$CV104,$E$6:$CV$6,JU$7,$E$5:$CV$5,$JQ$5)</f>
        <v>-2.0616132930164864E-2</v>
      </c>
      <c r="JV104" s="945">
        <f>+SUMIFS($E104:$CV104,$E$6:$CV$6,JV$7,$E$5:$CV$5,$JQ$5)</f>
        <v>-3.1387731343879587E-2</v>
      </c>
      <c r="JW104" s="945">
        <f>+SUMIFS($E104:$DH104,$E$6:$DH$6,JW$7,$E$5:$DH$5,$JQ$5)</f>
        <v>-0.92616569572864571</v>
      </c>
      <c r="JX104" s="945">
        <f>+SUMIF($FS$5:$GD$5,$JQ$5,$FS104:$GD104)</f>
        <v>-3.1793234845930975E-2</v>
      </c>
      <c r="JY104" s="945">
        <f t="shared" si="398"/>
        <v>-0.76290125371709594</v>
      </c>
      <c r="KB104" s="945"/>
      <c r="KC104" s="945"/>
      <c r="KD104" s="945"/>
      <c r="KE104" s="945"/>
      <c r="KF104" s="945"/>
      <c r="KG104" s="945"/>
      <c r="KH104" s="945">
        <f>+IFERROR(JY104/JV104-1," ")</f>
        <v>23.305715037472975</v>
      </c>
      <c r="KJ104" s="945"/>
      <c r="KK104" s="945"/>
      <c r="KL104" s="945"/>
      <c r="KM104" s="945"/>
      <c r="KN104" s="945"/>
      <c r="KO104" s="945"/>
      <c r="KP104" s="945">
        <f>+JY104-JV104</f>
        <v>-0.73151352237321632</v>
      </c>
      <c r="KR104" s="945"/>
      <c r="KS104" s="945"/>
      <c r="KT104" s="945"/>
      <c r="KU104" s="945"/>
      <c r="KV104" s="945"/>
      <c r="KW104" s="945"/>
      <c r="KX104" s="945"/>
      <c r="KY104" s="945"/>
      <c r="KZ104" s="945"/>
    </row>
    <row r="105" spans="1:312">
      <c r="A105" s="867">
        <v>59</v>
      </c>
      <c r="B105" s="71" t="s">
        <v>683</v>
      </c>
      <c r="E105" s="66">
        <v>0</v>
      </c>
      <c r="F105" s="66">
        <v>0</v>
      </c>
      <c r="G105" s="66">
        <v>0</v>
      </c>
      <c r="H105" s="66">
        <v>0</v>
      </c>
      <c r="I105" s="66">
        <v>0</v>
      </c>
      <c r="J105" s="66">
        <v>0</v>
      </c>
      <c r="K105" s="66">
        <v>0</v>
      </c>
      <c r="L105" s="66">
        <v>0</v>
      </c>
      <c r="M105" s="66">
        <v>0</v>
      </c>
      <c r="N105" s="66">
        <v>0</v>
      </c>
      <c r="O105" s="66">
        <v>0</v>
      </c>
      <c r="P105" s="66">
        <v>0</v>
      </c>
      <c r="Q105" s="102">
        <v>0</v>
      </c>
      <c r="R105" s="66">
        <v>0</v>
      </c>
      <c r="S105" s="66">
        <v>0</v>
      </c>
      <c r="T105" s="66">
        <v>0</v>
      </c>
      <c r="U105" s="66">
        <v>0</v>
      </c>
      <c r="V105" s="66">
        <v>0</v>
      </c>
      <c r="W105" s="66">
        <v>0</v>
      </c>
      <c r="X105" s="66">
        <v>0</v>
      </c>
      <c r="Y105" s="66">
        <v>0</v>
      </c>
      <c r="Z105" s="66">
        <v>0</v>
      </c>
      <c r="AA105" s="66">
        <v>0</v>
      </c>
      <c r="AB105" s="66">
        <v>0</v>
      </c>
      <c r="AC105" s="102">
        <v>-6050.1746752600002</v>
      </c>
      <c r="AD105" s="66">
        <v>0</v>
      </c>
      <c r="AE105" s="66">
        <v>0</v>
      </c>
      <c r="AF105" s="66">
        <v>0</v>
      </c>
      <c r="AG105" s="66">
        <v>0</v>
      </c>
      <c r="AH105" s="66">
        <v>0</v>
      </c>
      <c r="AI105" s="66">
        <v>0</v>
      </c>
      <c r="AJ105" s="66">
        <v>0</v>
      </c>
      <c r="AK105" s="66">
        <v>0</v>
      </c>
      <c r="AL105" s="66">
        <v>0</v>
      </c>
      <c r="AM105" s="66"/>
      <c r="AN105" s="66"/>
      <c r="AO105" s="66"/>
      <c r="AP105" s="88"/>
      <c r="AQ105" s="942"/>
      <c r="AR105" s="942"/>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J105" s="66"/>
      <c r="DK105" s="66"/>
      <c r="DL105" s="66"/>
      <c r="DM105" s="66"/>
      <c r="DN105" s="66"/>
      <c r="DO105" s="66"/>
      <c r="DP105" s="66"/>
      <c r="DQ105" s="66"/>
      <c r="DR105" s="66"/>
      <c r="DS105" s="66"/>
      <c r="DT105" s="66"/>
      <c r="DU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77"/>
      <c r="GF105" s="66"/>
      <c r="GG105" s="66"/>
      <c r="GH105" s="66"/>
      <c r="GI105" s="66"/>
      <c r="GJ105" s="66"/>
      <c r="GK105" s="66"/>
      <c r="GL105" s="66"/>
      <c r="GM105" s="66"/>
      <c r="GN105" s="66"/>
      <c r="GO105" s="66"/>
      <c r="GQ105" s="50"/>
      <c r="GR105" s="50"/>
      <c r="GS105" s="50"/>
      <c r="GT105" s="50"/>
      <c r="GU105" s="50"/>
      <c r="GV105" s="50"/>
      <c r="GW105" s="50" t="str">
        <f t="shared" ref="GW105:GX136" si="399">+IFERROR(GN105/GM105-1,"")</f>
        <v/>
      </c>
      <c r="GX105" s="50"/>
      <c r="GY105" s="50" t="str">
        <f t="shared" si="249"/>
        <v/>
      </c>
      <c r="HA105" s="66"/>
      <c r="HB105" s="66"/>
      <c r="HC105" s="66"/>
      <c r="HD105" s="66"/>
      <c r="HE105" s="66">
        <f t="shared" ref="HE105:HH136" si="400">+GL105-GK105</f>
        <v>0</v>
      </c>
      <c r="HF105" s="66">
        <f t="shared" si="400"/>
        <v>0</v>
      </c>
      <c r="HG105" s="66">
        <f t="shared" si="400"/>
        <v>0</v>
      </c>
      <c r="HH105" s="66"/>
      <c r="HI105" s="66">
        <f t="shared" si="251"/>
        <v>0</v>
      </c>
      <c r="HU105" s="97"/>
      <c r="HV105" s="97"/>
      <c r="HW105" s="77"/>
      <c r="HX105" s="77"/>
      <c r="HY105" s="77"/>
      <c r="HZ105" s="77"/>
      <c r="IA105" s="77"/>
      <c r="IB105" s="77"/>
      <c r="IC105" s="77"/>
      <c r="JD105" s="77"/>
      <c r="JO105" s="97"/>
      <c r="JP105" s="97"/>
      <c r="JQ105" s="97"/>
      <c r="JR105" s="97"/>
      <c r="JS105" s="97"/>
      <c r="JT105" s="97"/>
      <c r="JU105" s="97"/>
      <c r="JV105" s="97"/>
      <c r="JW105" s="97"/>
      <c r="JX105" s="97"/>
      <c r="JY105" s="97"/>
      <c r="KP105" s="77"/>
    </row>
    <row r="106" spans="1:312">
      <c r="A106" s="867"/>
      <c r="E106" s="66"/>
      <c r="F106" s="66"/>
      <c r="G106" s="66"/>
      <c r="H106" s="66"/>
      <c r="I106" s="66"/>
      <c r="J106" s="66"/>
      <c r="K106" s="66"/>
      <c r="L106" s="66"/>
      <c r="M106" s="66"/>
      <c r="N106" s="66"/>
      <c r="O106" s="66"/>
      <c r="P106" s="66"/>
      <c r="Q106" s="102"/>
      <c r="R106" s="66"/>
      <c r="S106" s="66"/>
      <c r="T106" s="66"/>
      <c r="U106" s="66"/>
      <c r="V106" s="66"/>
      <c r="W106" s="66"/>
      <c r="X106" s="66"/>
      <c r="Y106" s="66"/>
      <c r="Z106" s="66"/>
      <c r="AA106" s="66"/>
      <c r="AB106" s="66"/>
      <c r="AC106" s="102"/>
      <c r="AD106" s="66"/>
      <c r="AE106" s="66"/>
      <c r="AF106" s="66"/>
      <c r="AG106" s="66"/>
      <c r="AH106" s="66"/>
      <c r="AI106" s="66"/>
      <c r="AJ106" s="66"/>
      <c r="AK106" s="145"/>
      <c r="AL106" s="88"/>
      <c r="AM106" s="88"/>
      <c r="AN106" s="88"/>
      <c r="AO106" s="88"/>
      <c r="AP106" s="88"/>
      <c r="AQ106" s="472"/>
      <c r="AR106" s="472"/>
      <c r="AS106" s="88"/>
      <c r="AT106" s="88"/>
      <c r="AU106" s="88"/>
      <c r="AV106" s="88"/>
      <c r="AW106" s="88"/>
      <c r="AX106" s="88"/>
      <c r="AY106" s="88"/>
      <c r="AZ106" s="971"/>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J106" s="88"/>
      <c r="DK106" s="88"/>
      <c r="DL106" s="88"/>
      <c r="DM106" s="88"/>
      <c r="DN106" s="88"/>
      <c r="DO106" s="88"/>
      <c r="DP106" s="88"/>
      <c r="DQ106" s="88"/>
      <c r="DR106" s="88"/>
      <c r="DS106" s="88"/>
      <c r="DT106" s="88"/>
      <c r="DU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F106" s="66"/>
      <c r="GG106" s="66"/>
      <c r="GH106" s="66"/>
      <c r="GI106" s="66"/>
      <c r="GJ106" s="66"/>
      <c r="GK106" s="66"/>
      <c r="GL106" s="66"/>
      <c r="GM106" s="66"/>
      <c r="GN106" s="66"/>
      <c r="GO106" s="66"/>
      <c r="GQ106" s="50"/>
      <c r="GR106" s="50"/>
      <c r="GS106" s="50"/>
      <c r="GT106" s="50"/>
      <c r="GU106" s="50"/>
      <c r="GV106" s="50"/>
      <c r="GW106" s="50" t="str">
        <f t="shared" si="399"/>
        <v/>
      </c>
      <c r="GX106" s="50"/>
      <c r="GY106" s="50" t="str">
        <f t="shared" si="249"/>
        <v/>
      </c>
      <c r="HA106" s="66"/>
      <c r="HB106" s="66"/>
      <c r="HC106" s="66"/>
      <c r="HD106" s="66"/>
      <c r="HE106" s="66">
        <f t="shared" si="400"/>
        <v>0</v>
      </c>
      <c r="HF106" s="66">
        <f t="shared" si="400"/>
        <v>0</v>
      </c>
      <c r="HG106" s="66">
        <f t="shared" si="400"/>
        <v>0</v>
      </c>
      <c r="HH106" s="66"/>
      <c r="HI106" s="66">
        <f t="shared" si="251"/>
        <v>0</v>
      </c>
      <c r="JD106" s="77"/>
      <c r="KP106" s="77"/>
    </row>
    <row r="107" spans="1:312">
      <c r="A107" s="867"/>
      <c r="B107" s="918" t="s">
        <v>684</v>
      </c>
      <c r="E107" s="66"/>
      <c r="F107" s="66"/>
      <c r="G107" s="66"/>
      <c r="H107" s="66"/>
      <c r="I107" s="66"/>
      <c r="J107" s="66"/>
      <c r="K107" s="66"/>
      <c r="L107" s="66"/>
      <c r="M107" s="66"/>
      <c r="N107" s="66"/>
      <c r="O107" s="66"/>
      <c r="P107" s="66"/>
      <c r="Q107" s="102"/>
      <c r="R107" s="66"/>
      <c r="S107" s="66"/>
      <c r="T107" s="66"/>
      <c r="U107" s="66"/>
      <c r="V107" s="66"/>
      <c r="W107" s="66"/>
      <c r="X107" s="66"/>
      <c r="Y107" s="66"/>
      <c r="Z107" s="66"/>
      <c r="AA107" s="66"/>
      <c r="AB107" s="66"/>
      <c r="AC107" s="102"/>
      <c r="AD107" s="66"/>
      <c r="AE107" s="66"/>
      <c r="AF107" s="66"/>
      <c r="AG107" s="66"/>
      <c r="AH107" s="66"/>
      <c r="AI107" s="66"/>
      <c r="AJ107" s="66"/>
      <c r="AK107" s="66"/>
      <c r="AL107" s="66"/>
      <c r="AM107" s="66"/>
      <c r="AN107" s="66"/>
      <c r="AO107" s="66"/>
      <c r="AP107" s="88"/>
      <c r="AQ107" s="942"/>
      <c r="AR107" s="942"/>
      <c r="AS107" s="66"/>
      <c r="AT107" s="66"/>
      <c r="AU107" s="66"/>
      <c r="AV107" s="66"/>
      <c r="AW107" s="66"/>
      <c r="AX107" s="66"/>
      <c r="AY107" s="66"/>
      <c r="AZ107" s="971"/>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J107" s="66"/>
      <c r="DK107" s="66"/>
      <c r="DL107" s="972"/>
      <c r="DM107" s="66"/>
      <c r="DN107" s="66"/>
      <c r="DO107" s="66"/>
      <c r="DP107" s="66"/>
      <c r="DQ107" s="66"/>
      <c r="DR107" s="66"/>
      <c r="DS107" s="66"/>
      <c r="DT107" s="66"/>
      <c r="DU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971"/>
      <c r="EU107" s="66"/>
      <c r="EV107" s="66"/>
      <c r="EW107" s="66"/>
      <c r="EX107" s="66"/>
      <c r="EY107" s="66"/>
      <c r="EZ107" s="66"/>
      <c r="FA107" s="66"/>
      <c r="FB107" s="66"/>
      <c r="FC107" s="66"/>
      <c r="FD107" s="66"/>
      <c r="FE107" s="66"/>
      <c r="FF107" s="971"/>
      <c r="FG107" s="66"/>
      <c r="FH107" s="971"/>
      <c r="FI107" s="971"/>
      <c r="FJ107" s="971"/>
      <c r="FK107" s="971"/>
      <c r="FL107" s="971"/>
      <c r="FM107" s="971"/>
      <c r="FN107" s="971"/>
      <c r="FO107" s="971"/>
      <c r="FP107" s="971"/>
      <c r="FQ107" s="971"/>
      <c r="FR107" s="971"/>
      <c r="FS107" s="66"/>
      <c r="FT107" s="971"/>
      <c r="FU107" s="971"/>
      <c r="FV107" s="971"/>
      <c r="FW107" s="971"/>
      <c r="FX107" s="971"/>
      <c r="FY107" s="971"/>
      <c r="FZ107" s="971"/>
      <c r="GA107" s="971"/>
      <c r="GB107" s="971"/>
      <c r="GC107" s="971"/>
      <c r="GD107" s="971"/>
      <c r="GF107" s="66"/>
      <c r="GG107" s="66"/>
      <c r="GH107" s="66"/>
      <c r="GI107" s="66"/>
      <c r="GJ107" s="66"/>
      <c r="GK107" s="66"/>
      <c r="GL107" s="66"/>
      <c r="GM107" s="66"/>
      <c r="GN107" s="66"/>
      <c r="GO107" s="66"/>
      <c r="GQ107" s="50"/>
      <c r="GR107" s="50"/>
      <c r="GS107" s="50"/>
      <c r="GT107" s="50"/>
      <c r="GU107" s="50"/>
      <c r="GV107" s="50"/>
      <c r="GW107" s="50" t="str">
        <f t="shared" si="399"/>
        <v/>
      </c>
      <c r="GX107" s="50"/>
      <c r="GY107" s="50" t="str">
        <f t="shared" si="249"/>
        <v/>
      </c>
      <c r="HA107" s="66"/>
      <c r="HB107" s="66"/>
      <c r="HC107" s="66"/>
      <c r="HD107" s="66"/>
      <c r="HE107" s="66">
        <f t="shared" si="400"/>
        <v>0</v>
      </c>
      <c r="HF107" s="66">
        <f t="shared" si="400"/>
        <v>0</v>
      </c>
      <c r="HG107" s="66">
        <f t="shared" si="400"/>
        <v>0</v>
      </c>
      <c r="HH107" s="66"/>
      <c r="HI107" s="66">
        <f t="shared" si="251"/>
        <v>0</v>
      </c>
      <c r="HW107" s="77"/>
      <c r="HX107" s="77"/>
      <c r="HY107" s="77"/>
      <c r="HZ107" s="77"/>
      <c r="IA107" s="77"/>
      <c r="IB107" s="77"/>
      <c r="IC107" s="77"/>
      <c r="JD107" s="77"/>
      <c r="KP107" s="77"/>
    </row>
    <row r="108" spans="1:312">
      <c r="A108" s="867"/>
      <c r="C108" s="918">
        <v>13050504</v>
      </c>
      <c r="F108" s="77"/>
      <c r="AC108" s="145"/>
      <c r="AD108" s="88"/>
      <c r="AE108" s="88"/>
      <c r="AF108" s="88"/>
      <c r="AG108" s="88"/>
      <c r="AH108" s="88"/>
      <c r="AI108" s="88"/>
      <c r="AJ108" s="88"/>
      <c r="AK108" s="88"/>
      <c r="AL108" s="88"/>
      <c r="AM108" s="88"/>
      <c r="AN108" s="88"/>
      <c r="AO108" s="88"/>
      <c r="AP108" s="88"/>
      <c r="AQ108" s="938"/>
      <c r="AR108" s="93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J108" s="88"/>
      <c r="DK108" s="88"/>
      <c r="DL108" s="88"/>
      <c r="DM108" s="88"/>
      <c r="DN108" s="88"/>
      <c r="DO108" s="88"/>
      <c r="DP108" s="88"/>
      <c r="DQ108" s="88"/>
      <c r="DR108" s="88"/>
      <c r="DS108" s="88"/>
      <c r="DT108" s="88"/>
      <c r="DU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F108" s="88"/>
      <c r="GG108" s="88"/>
      <c r="GH108" s="88"/>
      <c r="GI108" s="88"/>
      <c r="GJ108" s="88"/>
      <c r="GK108" s="88"/>
      <c r="GL108" s="88"/>
      <c r="GM108" s="88"/>
      <c r="GN108" s="88"/>
      <c r="GO108" s="88"/>
      <c r="GQ108" s="95"/>
      <c r="GR108" s="95"/>
      <c r="GS108" s="95"/>
      <c r="GT108" s="95"/>
      <c r="GU108" s="95"/>
      <c r="GV108" s="95"/>
      <c r="GW108" s="95" t="str">
        <f t="shared" si="399"/>
        <v/>
      </c>
      <c r="GX108" s="95"/>
      <c r="GY108" s="95" t="str">
        <f t="shared" si="249"/>
        <v/>
      </c>
      <c r="HA108" s="88"/>
      <c r="HB108" s="88"/>
      <c r="HC108" s="88"/>
      <c r="HD108" s="88"/>
      <c r="HE108" s="88">
        <f t="shared" si="400"/>
        <v>0</v>
      </c>
      <c r="HF108" s="88">
        <f t="shared" si="400"/>
        <v>0</v>
      </c>
      <c r="HG108" s="88">
        <f t="shared" si="400"/>
        <v>0</v>
      </c>
      <c r="HH108" s="88"/>
      <c r="HI108" s="88">
        <f t="shared" si="251"/>
        <v>0</v>
      </c>
      <c r="HU108" s="77"/>
      <c r="HV108" s="77"/>
      <c r="HW108" s="77"/>
      <c r="HX108" s="77"/>
      <c r="HY108" s="77"/>
      <c r="HZ108" s="77"/>
      <c r="IA108" s="77"/>
      <c r="IB108" s="77"/>
      <c r="IC108" s="77"/>
      <c r="JD108" s="77"/>
      <c r="JO108" s="77"/>
      <c r="JP108" s="77"/>
      <c r="JQ108" s="77"/>
      <c r="JR108" s="77"/>
      <c r="JS108" s="77"/>
      <c r="JT108" s="77"/>
      <c r="JU108" s="77"/>
      <c r="JV108" s="77"/>
      <c r="JW108" s="77"/>
      <c r="JX108" s="77"/>
      <c r="JY108" s="77"/>
      <c r="KP108" s="77"/>
    </row>
    <row r="109" spans="1:312">
      <c r="A109" s="867"/>
      <c r="C109" s="1513" t="s">
        <v>111</v>
      </c>
      <c r="D109" s="1512" t="s">
        <v>59</v>
      </c>
      <c r="E109" s="1515">
        <f t="shared" ref="E109:AZ109" si="401">SUM(E110:E116,E126:E127)</f>
        <v>6668.4311843299993</v>
      </c>
      <c r="F109" s="1515">
        <f t="shared" si="401"/>
        <v>6620.8616750200008</v>
      </c>
      <c r="G109" s="1515">
        <f t="shared" si="401"/>
        <v>7089.9838968200011</v>
      </c>
      <c r="H109" s="1515">
        <f t="shared" si="401"/>
        <v>7310.7791476000002</v>
      </c>
      <c r="I109" s="1515">
        <f t="shared" si="401"/>
        <v>8997.9433301600002</v>
      </c>
      <c r="J109" s="1515">
        <f t="shared" si="401"/>
        <v>9002.952776109998</v>
      </c>
      <c r="K109" s="1515">
        <f t="shared" si="401"/>
        <v>10014.937721090002</v>
      </c>
      <c r="L109" s="1515">
        <f t="shared" si="401"/>
        <v>11249.907422869999</v>
      </c>
      <c r="M109" s="1515">
        <f t="shared" si="401"/>
        <v>12321.66761036</v>
      </c>
      <c r="N109" s="1515">
        <f t="shared" si="401"/>
        <v>11972.180973830002</v>
      </c>
      <c r="O109" s="1515">
        <f t="shared" si="401"/>
        <v>13443.255964050002</v>
      </c>
      <c r="P109" s="1515">
        <f t="shared" si="401"/>
        <v>13229.053844349999</v>
      </c>
      <c r="Q109" s="1515">
        <f t="shared" si="401"/>
        <v>12524.143382800001</v>
      </c>
      <c r="R109" s="1515">
        <f t="shared" si="401"/>
        <v>13168.910792070001</v>
      </c>
      <c r="S109" s="1515">
        <f t="shared" si="401"/>
        <v>12466.230381179999</v>
      </c>
      <c r="T109" s="1515">
        <f t="shared" si="401"/>
        <v>8098.5910486199991</v>
      </c>
      <c r="U109" s="1515">
        <f t="shared" si="401"/>
        <v>9794.0932809099995</v>
      </c>
      <c r="V109" s="1515">
        <f t="shared" si="401"/>
        <v>10718.161552149999</v>
      </c>
      <c r="W109" s="1515">
        <f t="shared" si="401"/>
        <v>10285.77090748</v>
      </c>
      <c r="X109" s="1515">
        <f t="shared" si="401"/>
        <v>11379.194695239998</v>
      </c>
      <c r="Y109" s="1515">
        <f t="shared" si="401"/>
        <v>10186.09868098</v>
      </c>
      <c r="Z109" s="1515">
        <f t="shared" si="401"/>
        <v>10458.133346340001</v>
      </c>
      <c r="AA109" s="1515">
        <f t="shared" si="401"/>
        <v>13569.80071666</v>
      </c>
      <c r="AB109" s="1515">
        <f t="shared" si="401"/>
        <v>17218.367465679999</v>
      </c>
      <c r="AC109" s="1515">
        <f t="shared" si="401"/>
        <v>15639.320228570001</v>
      </c>
      <c r="AD109" s="1515">
        <f t="shared" si="401"/>
        <v>17187.996028720001</v>
      </c>
      <c r="AE109" s="1515">
        <f t="shared" si="401"/>
        <v>17359.50147286</v>
      </c>
      <c r="AF109" s="1515">
        <f t="shared" si="401"/>
        <v>14782.59141823</v>
      </c>
      <c r="AG109" s="1515">
        <f t="shared" si="401"/>
        <v>15660.955008129999</v>
      </c>
      <c r="AH109" s="1515">
        <f t="shared" si="401"/>
        <v>15718.162039089999</v>
      </c>
      <c r="AI109" s="1515">
        <f t="shared" si="401"/>
        <v>15581.667608870001</v>
      </c>
      <c r="AJ109" s="1515">
        <f t="shared" si="401"/>
        <v>17008.306768410002</v>
      </c>
      <c r="AK109" s="1515">
        <f t="shared" si="401"/>
        <v>17556.316440330003</v>
      </c>
      <c r="AL109" s="1515">
        <f t="shared" si="401"/>
        <v>19450.443832329998</v>
      </c>
      <c r="AM109" s="1515">
        <f t="shared" si="401"/>
        <v>26002.323497439997</v>
      </c>
      <c r="AN109" s="1515">
        <f t="shared" si="401"/>
        <v>24914.331813289995</v>
      </c>
      <c r="AO109" s="1515">
        <f t="shared" si="401"/>
        <v>23353.266460829993</v>
      </c>
      <c r="AP109" s="1515">
        <f t="shared" si="401"/>
        <v>23042.505368629998</v>
      </c>
      <c r="AQ109" s="1515">
        <f t="shared" si="401"/>
        <v>20227.406829879994</v>
      </c>
      <c r="AR109" s="1515">
        <f t="shared" si="401"/>
        <v>15767.284108389993</v>
      </c>
      <c r="AS109" s="1515">
        <f t="shared" si="401"/>
        <v>15335.001756689995</v>
      </c>
      <c r="AT109" s="1515">
        <f t="shared" si="401"/>
        <v>14556.297706639996</v>
      </c>
      <c r="AU109" s="1515">
        <f t="shared" si="401"/>
        <v>14384.324706619995</v>
      </c>
      <c r="AV109" s="1515">
        <f t="shared" si="401"/>
        <v>14404.919650579994</v>
      </c>
      <c r="AW109" s="1515">
        <f t="shared" si="401"/>
        <v>14305.413221549996</v>
      </c>
      <c r="AX109" s="1515">
        <f t="shared" si="401"/>
        <v>15481.950758299992</v>
      </c>
      <c r="AY109" s="1515">
        <f t="shared" si="401"/>
        <v>14590.800965449997</v>
      </c>
      <c r="AZ109" s="1515">
        <f t="shared" si="401"/>
        <v>11614.117605769999</v>
      </c>
      <c r="BA109" s="1515">
        <f>SUM(BA110:BA116,BA126:BA127)</f>
        <v>10497.961743410002</v>
      </c>
      <c r="BB109" s="1515">
        <f t="shared" ref="BB109:DG109" si="402">SUM(BB110:BB116,BB126:BB127)</f>
        <v>9878.5939022899984</v>
      </c>
      <c r="BC109" s="1515">
        <f t="shared" si="402"/>
        <v>8655.7827626300004</v>
      </c>
      <c r="BD109" s="1515">
        <f t="shared" si="402"/>
        <v>8492.42440222</v>
      </c>
      <c r="BE109" s="1515">
        <f t="shared" si="402"/>
        <v>7481.8965199299992</v>
      </c>
      <c r="BF109" s="1515">
        <f t="shared" si="402"/>
        <v>7220.5304285600005</v>
      </c>
      <c r="BG109" s="1515">
        <f t="shared" si="402"/>
        <v>7458.1730402699995</v>
      </c>
      <c r="BH109" s="1515">
        <f t="shared" si="402"/>
        <v>6372.1945685499995</v>
      </c>
      <c r="BI109" s="1515">
        <f t="shared" si="402"/>
        <v>6245.5401377200005</v>
      </c>
      <c r="BJ109" s="1515">
        <f t="shared" si="402"/>
        <v>6317.4566868299989</v>
      </c>
      <c r="BK109" s="1515">
        <f t="shared" si="402"/>
        <v>6421.1822657699995</v>
      </c>
      <c r="BL109" s="1515">
        <f t="shared" si="402"/>
        <v>7585.6421850299994</v>
      </c>
      <c r="BM109" s="1515">
        <f t="shared" si="402"/>
        <v>8068.5483332700005</v>
      </c>
      <c r="BN109" s="1515">
        <f t="shared" si="402"/>
        <v>8076.1712226499994</v>
      </c>
      <c r="BO109" s="1515">
        <f t="shared" si="402"/>
        <v>8238.9545704100001</v>
      </c>
      <c r="BP109" s="1515">
        <f t="shared" si="402"/>
        <v>8683.4572004500005</v>
      </c>
      <c r="BQ109" s="1515">
        <f t="shared" si="402"/>
        <v>8290.4597859700007</v>
      </c>
      <c r="BR109" s="1515">
        <f t="shared" si="402"/>
        <v>8262.7132810200001</v>
      </c>
      <c r="BS109" s="1515">
        <f t="shared" si="402"/>
        <v>8390.4299348000004</v>
      </c>
      <c r="BT109" s="1515">
        <f t="shared" si="402"/>
        <v>8409.0809882299982</v>
      </c>
      <c r="BU109" s="1515">
        <f t="shared" si="402"/>
        <v>8151.6304142600002</v>
      </c>
      <c r="BV109" s="1515">
        <f t="shared" si="402"/>
        <v>8604.7544453800001</v>
      </c>
      <c r="BW109" s="1515">
        <f t="shared" si="402"/>
        <v>8562.1158541399982</v>
      </c>
      <c r="BX109" s="1515">
        <f t="shared" si="402"/>
        <v>8475.1825465900001</v>
      </c>
      <c r="BY109" s="1515">
        <f t="shared" si="402"/>
        <v>8241.2975203100013</v>
      </c>
      <c r="BZ109" s="1515">
        <f t="shared" si="402"/>
        <v>7987.66228675</v>
      </c>
      <c r="CA109" s="1515">
        <f t="shared" si="402"/>
        <v>7836.2695846600009</v>
      </c>
      <c r="CB109" s="1515">
        <f t="shared" si="402"/>
        <v>7400.975298790001</v>
      </c>
      <c r="CC109" s="1515">
        <f t="shared" si="402"/>
        <v>6781.2066245599999</v>
      </c>
      <c r="CD109" s="1515">
        <f t="shared" si="402"/>
        <v>6849.71931485</v>
      </c>
      <c r="CE109" s="1515">
        <f t="shared" si="402"/>
        <v>6861.2679511900005</v>
      </c>
      <c r="CF109" s="1515">
        <f t="shared" si="402"/>
        <v>7021.155139200001</v>
      </c>
      <c r="CG109" s="1515">
        <f t="shared" si="402"/>
        <v>7134.7801095699997</v>
      </c>
      <c r="CH109" s="1515">
        <f t="shared" si="402"/>
        <v>7675.6089293100013</v>
      </c>
      <c r="CI109" s="1515">
        <f t="shared" si="402"/>
        <v>8215.6772989500005</v>
      </c>
      <c r="CJ109" s="1515">
        <f t="shared" si="402"/>
        <v>8217.1698319200004</v>
      </c>
      <c r="CK109" s="1515">
        <f t="shared" si="402"/>
        <v>8608.63435751</v>
      </c>
      <c r="CL109" s="1515">
        <f t="shared" si="402"/>
        <v>8379.8143821400008</v>
      </c>
      <c r="CM109" s="1515">
        <f t="shared" si="402"/>
        <v>8824.9023814900011</v>
      </c>
      <c r="CN109" s="1515">
        <f t="shared" si="402"/>
        <v>9144.987439139999</v>
      </c>
      <c r="CO109" s="1515">
        <f t="shared" si="402"/>
        <v>9248.9338642999992</v>
      </c>
      <c r="CP109" s="1515">
        <f t="shared" si="402"/>
        <v>9098.4187832299995</v>
      </c>
      <c r="CQ109" s="1515">
        <f t="shared" si="402"/>
        <v>8878.0748783499985</v>
      </c>
      <c r="CR109" s="1515">
        <f t="shared" si="402"/>
        <v>9550.5355420300002</v>
      </c>
      <c r="CS109" s="1515">
        <f t="shared" si="402"/>
        <v>9723.1180463000001</v>
      </c>
      <c r="CT109" s="1515">
        <f t="shared" si="402"/>
        <v>10974.33766605</v>
      </c>
      <c r="CU109" s="1515">
        <f t="shared" si="402"/>
        <v>10976.41718174</v>
      </c>
      <c r="CV109" s="1515">
        <f t="shared" si="402"/>
        <v>11038.144556390002</v>
      </c>
      <c r="CW109" s="1515">
        <f t="shared" si="402"/>
        <v>11045.4334242</v>
      </c>
      <c r="CX109" s="1515">
        <f t="shared" si="402"/>
        <v>11171.68014287</v>
      </c>
      <c r="CY109" s="1515">
        <f t="shared" si="402"/>
        <v>12583.43334258</v>
      </c>
      <c r="CZ109" s="1515">
        <f t="shared" si="402"/>
        <v>11373.136988709999</v>
      </c>
      <c r="DA109" s="1515">
        <f t="shared" si="402"/>
        <v>9570.1648219500003</v>
      </c>
      <c r="DB109" s="1515">
        <f t="shared" si="402"/>
        <v>6205.3922719000002</v>
      </c>
      <c r="DC109" s="1515">
        <f t="shared" si="402"/>
        <v>5730.0003255700003</v>
      </c>
      <c r="DD109" s="1515">
        <f t="shared" si="402"/>
        <v>6228.2921528800007</v>
      </c>
      <c r="DE109" s="1515">
        <f t="shared" si="402"/>
        <v>6861.1085392399991</v>
      </c>
      <c r="DF109" s="1515">
        <f t="shared" si="402"/>
        <v>7293.1638406299999</v>
      </c>
      <c r="DG109" s="1515">
        <f t="shared" si="402"/>
        <v>7460.2092206899988</v>
      </c>
      <c r="DH109" s="1515">
        <f t="shared" ref="DH109" si="403">SUM(DH110:DH116,DH126:DH127)</f>
        <v>8141.5347523600003</v>
      </c>
      <c r="DI109" s="77"/>
      <c r="DJ109" s="1515" t="e">
        <f>+SUM(DJ110:DJ116,DJ126:DJ127)</f>
        <v>#VALUE!</v>
      </c>
      <c r="DK109" s="1515" t="e">
        <f t="shared" ref="DK109:DU109" si="404">+SUM(DK110:DK116,DK126:DK127)</f>
        <v>#VALUE!</v>
      </c>
      <c r="DL109" s="1515" t="e">
        <f t="shared" si="404"/>
        <v>#VALUE!</v>
      </c>
      <c r="DM109" s="1515" t="e">
        <f t="shared" si="404"/>
        <v>#VALUE!</v>
      </c>
      <c r="DN109" s="1515" t="e">
        <f t="shared" si="404"/>
        <v>#VALUE!</v>
      </c>
      <c r="DO109" s="1515" t="e">
        <f t="shared" si="404"/>
        <v>#VALUE!</v>
      </c>
      <c r="DP109" s="1515" t="e">
        <f t="shared" si="404"/>
        <v>#VALUE!</v>
      </c>
      <c r="DQ109" s="1515" t="e">
        <f t="shared" si="404"/>
        <v>#VALUE!</v>
      </c>
      <c r="DR109" s="1515" t="e">
        <f t="shared" si="404"/>
        <v>#VALUE!</v>
      </c>
      <c r="DS109" s="1515" t="e">
        <f t="shared" si="404"/>
        <v>#VALUE!</v>
      </c>
      <c r="DT109" s="1515" t="e">
        <f t="shared" si="404"/>
        <v>#VALUE!</v>
      </c>
      <c r="DU109" s="1515" t="e">
        <f t="shared" si="404"/>
        <v>#VALUE!</v>
      </c>
      <c r="DW109" s="1515">
        <f t="shared" ref="DW109:GD109" si="405">+SUM(DW110:DW116,DW126:DW127)</f>
        <v>22847.525300907302</v>
      </c>
      <c r="DX109" s="1515">
        <f t="shared" si="405"/>
        <v>19797.337076166452</v>
      </c>
      <c r="DY109" s="1515">
        <f t="shared" si="405"/>
        <v>18681.795893436811</v>
      </c>
      <c r="DZ109" s="1515">
        <f t="shared" si="405"/>
        <v>14698.928075633779</v>
      </c>
      <c r="EA109" s="1515">
        <f t="shared" si="405"/>
        <v>14176.784454808223</v>
      </c>
      <c r="EB109" s="1515">
        <f t="shared" si="405"/>
        <v>15862.03949635406</v>
      </c>
      <c r="EC109" s="1515">
        <f t="shared" si="405"/>
        <v>14201.469244211163</v>
      </c>
      <c r="ED109" s="1515">
        <f t="shared" si="405"/>
        <v>16748.830657493039</v>
      </c>
      <c r="EE109" s="1515">
        <f t="shared" si="405"/>
        <v>17675.675427630598</v>
      </c>
      <c r="EF109" s="1515">
        <f t="shared" si="405"/>
        <v>19626.533160207506</v>
      </c>
      <c r="EG109" s="1515">
        <f t="shared" si="405"/>
        <v>17711.777602298433</v>
      </c>
      <c r="EH109" s="1515">
        <f t="shared" si="405"/>
        <v>19745.104099745655</v>
      </c>
      <c r="EI109" s="1515">
        <f t="shared" si="405"/>
        <v>11991.339463049037</v>
      </c>
      <c r="EJ109" s="1515">
        <f t="shared" si="405"/>
        <v>11338.33982103274</v>
      </c>
      <c r="EK109" s="1515">
        <f t="shared" si="405"/>
        <v>11868.618967514329</v>
      </c>
      <c r="EL109" s="1515">
        <f t="shared" si="405"/>
        <v>13321.676992084525</v>
      </c>
      <c r="EM109" s="1515">
        <f t="shared" si="405"/>
        <v>13045.496467034414</v>
      </c>
      <c r="EN109" s="1515">
        <f t="shared" si="405"/>
        <v>13171.218974425592</v>
      </c>
      <c r="EO109" s="1515">
        <f t="shared" si="405"/>
        <v>13194.649616536497</v>
      </c>
      <c r="EP109" s="1515">
        <f t="shared" si="405"/>
        <v>13682.918225386074</v>
      </c>
      <c r="EQ109" s="1515">
        <f t="shared" si="405"/>
        <v>14102.592674171297</v>
      </c>
      <c r="ER109" s="1515">
        <f t="shared" si="405"/>
        <v>14556.062787223927</v>
      </c>
      <c r="ES109" s="1515">
        <f t="shared" si="405"/>
        <v>14695.228977407889</v>
      </c>
      <c r="ET109" s="1515">
        <f t="shared" si="405"/>
        <v>14454.659642471834</v>
      </c>
      <c r="EU109" s="1515">
        <f t="shared" si="405"/>
        <v>6877.6875657123628</v>
      </c>
      <c r="EV109" s="1515">
        <f t="shared" si="405"/>
        <v>7181.5987592584152</v>
      </c>
      <c r="EW109" s="1515">
        <f t="shared" si="405"/>
        <v>7604.502182039515</v>
      </c>
      <c r="EX109" s="1515">
        <f t="shared" si="405"/>
        <v>7784.8271137563361</v>
      </c>
      <c r="EY109" s="1515">
        <f t="shared" si="405"/>
        <v>8180.372130021402</v>
      </c>
      <c r="EZ109" s="1515">
        <f t="shared" si="405"/>
        <v>8469.1592733754624</v>
      </c>
      <c r="FA109" s="1515">
        <f t="shared" si="405"/>
        <v>8884.1455941189015</v>
      </c>
      <c r="FB109" s="1515">
        <f t="shared" si="405"/>
        <v>8785.87936683306</v>
      </c>
      <c r="FC109" s="1515">
        <f t="shared" si="405"/>
        <v>8552.534042942656</v>
      </c>
      <c r="FD109" s="1515">
        <f t="shared" si="405"/>
        <v>8286.2177756976344</v>
      </c>
      <c r="FE109" s="1515">
        <f t="shared" si="405"/>
        <v>8158.7969349891282</v>
      </c>
      <c r="FF109" s="1515">
        <f t="shared" si="405"/>
        <v>7964.9929327082664</v>
      </c>
      <c r="FG109" s="1515" t="e">
        <f t="shared" si="405"/>
        <v>#VALUE!</v>
      </c>
      <c r="FH109" s="1515" t="e">
        <f t="shared" si="405"/>
        <v>#VALUE!</v>
      </c>
      <c r="FI109" s="1515" t="e">
        <f t="shared" si="405"/>
        <v>#VALUE!</v>
      </c>
      <c r="FJ109" s="1515" t="e">
        <f t="shared" si="405"/>
        <v>#VALUE!</v>
      </c>
      <c r="FK109" s="1515" t="e">
        <f t="shared" si="405"/>
        <v>#VALUE!</v>
      </c>
      <c r="FL109" s="1515" t="e">
        <f t="shared" si="405"/>
        <v>#VALUE!</v>
      </c>
      <c r="FM109" s="1515" t="e">
        <f t="shared" si="405"/>
        <v>#VALUE!</v>
      </c>
      <c r="FN109" s="1515" t="e">
        <f t="shared" si="405"/>
        <v>#VALUE!</v>
      </c>
      <c r="FO109" s="1515" t="e">
        <f t="shared" si="405"/>
        <v>#VALUE!</v>
      </c>
      <c r="FP109" s="1515" t="e">
        <f t="shared" si="405"/>
        <v>#VALUE!</v>
      </c>
      <c r="FQ109" s="1515" t="e">
        <f t="shared" si="405"/>
        <v>#VALUE!</v>
      </c>
      <c r="FR109" s="1515" t="e">
        <f t="shared" si="405"/>
        <v>#VALUE!</v>
      </c>
      <c r="FS109" s="1515" t="e">
        <f t="shared" si="405"/>
        <v>#VALUE!</v>
      </c>
      <c r="FT109" s="1515" t="e">
        <f t="shared" si="405"/>
        <v>#VALUE!</v>
      </c>
      <c r="FU109" s="1515" t="e">
        <f t="shared" si="405"/>
        <v>#VALUE!</v>
      </c>
      <c r="FV109" s="1515" t="e">
        <f t="shared" si="405"/>
        <v>#VALUE!</v>
      </c>
      <c r="FW109" s="1515" t="e">
        <f t="shared" si="405"/>
        <v>#VALUE!</v>
      </c>
      <c r="FX109" s="1515" t="e">
        <f t="shared" si="405"/>
        <v>#VALUE!</v>
      </c>
      <c r="FY109" s="1515" t="e">
        <f t="shared" si="405"/>
        <v>#VALUE!</v>
      </c>
      <c r="FZ109" s="1515" t="e">
        <f t="shared" si="405"/>
        <v>#VALUE!</v>
      </c>
      <c r="GA109" s="1515" t="e">
        <f t="shared" si="405"/>
        <v>#VALUE!</v>
      </c>
      <c r="GB109" s="1515" t="e">
        <f t="shared" si="405"/>
        <v>#VALUE!</v>
      </c>
      <c r="GC109" s="1515" t="e">
        <f t="shared" si="405"/>
        <v>#VALUE!</v>
      </c>
      <c r="GD109" s="1515" t="e">
        <f t="shared" si="405"/>
        <v>#VALUE!</v>
      </c>
      <c r="GF109" s="1517">
        <f t="shared" ref="GF109:GI127" si="406">+SUMIFS($E109:$AZ109,$E$6:$AZ$6,GF$7,$E$5:$AZ$5,12)</f>
        <v>13229.053844349999</v>
      </c>
      <c r="GG109" s="1517">
        <f t="shared" si="406"/>
        <v>17218.367465679999</v>
      </c>
      <c r="GH109" s="1517">
        <f t="shared" si="406"/>
        <v>24914.331813289995</v>
      </c>
      <c r="GI109" s="1517">
        <f t="shared" si="406"/>
        <v>11614.117605769999</v>
      </c>
      <c r="GJ109" s="1517">
        <f>+SUMIFS($E109:$BL109,$E$6:$BL$6,GJ$7,$E$5:$BL$5,12)</f>
        <v>7585.6421850299994</v>
      </c>
      <c r="GK109" s="1517">
        <f t="shared" ref="GK109:GK172" si="407">+SUMIFS($E109:$BX109,$E$6:$BX$6,GK$7,$E$5:$BX$5,12)</f>
        <v>8475.1825465900001</v>
      </c>
      <c r="GL109" s="1517">
        <f>+SUMIFS($E109:$CJ109,$E$6:$CJ$6,GL$7,$E$5:$CJ$5,12)</f>
        <v>8217.1698319200004</v>
      </c>
      <c r="GM109" s="1517">
        <f t="shared" ref="GM109:GM172" si="408">+SUMIFS($E109:$CV109,$E$6:$CV$6,GM$7,$E$5:$CV$5,12)</f>
        <v>11038.144556390002</v>
      </c>
      <c r="GN109" s="1517" t="e">
        <f t="shared" ref="GN109:GN172" si="409">+FR109</f>
        <v>#VALUE!</v>
      </c>
      <c r="GO109" s="1517">
        <v>8141.5347523600003</v>
      </c>
      <c r="GQ109" s="1519">
        <f t="shared" ref="GQ109:GV124" si="410">+IFERROR(GH109/GG109-1,"")</f>
        <v>0.44696248717828491</v>
      </c>
      <c r="GR109" s="1519">
        <f t="shared" si="410"/>
        <v>-0.53383788524584441</v>
      </c>
      <c r="GS109" s="1519">
        <f t="shared" si="410"/>
        <v>-0.34686022283247908</v>
      </c>
      <c r="GT109" s="1519">
        <f t="shared" si="410"/>
        <v>0.11726632233134815</v>
      </c>
      <c r="GU109" s="1519">
        <f t="shared" si="410"/>
        <v>-3.0443322400626194E-2</v>
      </c>
      <c r="GV109" s="1519">
        <f t="shared" si="410"/>
        <v>0.34330247301349259</v>
      </c>
      <c r="GW109" s="1519" t="str">
        <f t="shared" si="399"/>
        <v/>
      </c>
      <c r="GX109" s="1519" t="str">
        <f t="shared" si="399"/>
        <v/>
      </c>
      <c r="GY109" s="1519">
        <f t="shared" si="249"/>
        <v>-0.26241817990625504</v>
      </c>
      <c r="HA109" s="1517">
        <f t="shared" ref="HA109:HD124" si="411">+GH109-GG109</f>
        <v>7695.9643476099955</v>
      </c>
      <c r="HB109" s="1517">
        <f t="shared" si="411"/>
        <v>-13300.214207519995</v>
      </c>
      <c r="HC109" s="1517">
        <f t="shared" si="411"/>
        <v>-4028.4754207400001</v>
      </c>
      <c r="HD109" s="1517">
        <f t="shared" si="411"/>
        <v>889.54036156000075</v>
      </c>
      <c r="HE109" s="1517">
        <f t="shared" si="400"/>
        <v>-258.0127146699997</v>
      </c>
      <c r="HF109" s="1517">
        <f t="shared" si="400"/>
        <v>2820.9747244700011</v>
      </c>
      <c r="HG109" s="1517" t="e">
        <f t="shared" si="400"/>
        <v>#VALUE!</v>
      </c>
      <c r="HH109" s="1517" t="e">
        <f t="shared" si="400"/>
        <v>#VALUE!</v>
      </c>
      <c r="HI109" s="1517">
        <f t="shared" si="251"/>
        <v>-2896.6098040300012</v>
      </c>
      <c r="HK109" s="1548"/>
      <c r="HL109" s="1548"/>
      <c r="HM109" s="1548"/>
      <c r="HN109" s="1548"/>
      <c r="HO109" s="1548"/>
      <c r="HP109" s="1548"/>
      <c r="HQ109" s="1548"/>
      <c r="HR109" s="1548"/>
      <c r="HS109" s="1548"/>
      <c r="HU109" s="1517">
        <f t="shared" ref="HU109:HX111" si="412">+IFERROR(SUMIFS($E109:$AZ109,$E$6:$AZ$6,HU$7,$E$5:$AZ$5,$HW$5),"NA")</f>
        <v>9002.952776109998</v>
      </c>
      <c r="HV109" s="1517">
        <f t="shared" si="412"/>
        <v>10718.161552149999</v>
      </c>
      <c r="HW109" s="1517">
        <f t="shared" si="412"/>
        <v>15718.162039089999</v>
      </c>
      <c r="HX109" s="1517">
        <f t="shared" si="412"/>
        <v>14556.297706639996</v>
      </c>
      <c r="HY109" s="1517">
        <f t="shared" ref="HY109:HZ127" si="413">+IFERROR(SUMIFS($E109:$BX109,$E$6:$BX$6,HY$7,$E$5:$BX$5,$HW$5),"NA")</f>
        <v>7220.5304285600005</v>
      </c>
      <c r="HZ109" s="1517">
        <f t="shared" si="413"/>
        <v>8262.7132810200001</v>
      </c>
      <c r="IA109" s="1517">
        <f t="shared" ref="IA109:IA156" si="414">+IFERROR(SUMIFS($E109:$CJ109,$E$6:$CJ$6,IA$7,$E$5:$CJ$5,$HW$5),"NA")</f>
        <v>6849.71931485</v>
      </c>
      <c r="IB109" s="1517">
        <f t="shared" ref="IB109:IB156" si="415">+IFERROR(SUMIFS($E109:$CV109,$E$6:$CV$6,IB$7,$E$5:$CV$5,$HW$5),"NA")</f>
        <v>9098.4187832299995</v>
      </c>
      <c r="IC109" s="1517">
        <f t="shared" ref="IC109:IC156" si="416">+IFERROR(SUMIFS($E109:$DH109,$E$6:$DH$6,IC$7,$E$5:$DH$5,$HW$5),"NA")</f>
        <v>6205.3922719000002</v>
      </c>
      <c r="ID109" s="1517" t="e">
        <f t="shared" ref="ID109:ID172" si="417">+SUMIF($FG$5:$FR$5,"="&amp;$HW$5,$FG109:$FR109)</f>
        <v>#VALUE!</v>
      </c>
      <c r="IE109" s="1517" t="e">
        <f t="shared" ref="IE109:IE127" si="418">+SUMIF($DJ$5:$DU$5,"="&amp;$HW$5,$DJ109:$DU109)</f>
        <v>#VALUE!</v>
      </c>
      <c r="IG109" s="1517" t="e">
        <f>+IE109</f>
        <v>#VALUE!</v>
      </c>
      <c r="IH109" s="1517" t="e">
        <f>+ID109</f>
        <v>#VALUE!</v>
      </c>
      <c r="II109" s="97"/>
      <c r="IJ109" s="1519" t="str">
        <f t="shared" ref="IJ109:IJ127" si="419">+IFERROR(IG109/IH109,"NA")</f>
        <v>NA</v>
      </c>
      <c r="IK109" s="1521" t="str">
        <f t="shared" ref="IK109:IK127" si="420">+IFERROR(IG109-IH109,"NA")</f>
        <v>NA</v>
      </c>
      <c r="IM109" s="973"/>
      <c r="IN109" s="973"/>
      <c r="IP109" s="1520">
        <f t="shared" ref="IP109:IR109" si="421">+IFERROR(HW109/HV109-1,"NA")</f>
        <v>0.4664979588721565</v>
      </c>
      <c r="IQ109" s="1520">
        <f t="shared" si="421"/>
        <v>-7.3918587272514769E-2</v>
      </c>
      <c r="IR109" s="1520">
        <f t="shared" si="421"/>
        <v>-0.50395831590705331</v>
      </c>
      <c r="IS109" s="1520">
        <f>+IFERROR(HZ109/HY109-1,"NA")</f>
        <v>0.14433605159224339</v>
      </c>
      <c r="IT109" s="1520">
        <f>+IFERROR(IA109/HZ109-1,"NA")</f>
        <v>-0.17100847120227936</v>
      </c>
      <c r="IU109" s="1520">
        <f>+IFERROR(IB109/IA109-1,"NA")</f>
        <v>0.32829074667408364</v>
      </c>
      <c r="IV109" s="1520" t="str">
        <f>+IFERROR(IE109/IB109-1,"NA")</f>
        <v>NA</v>
      </c>
      <c r="IX109" s="1517">
        <f t="shared" ref="IX109:JC152" si="422">+HW109-HV109</f>
        <v>5000.00048694</v>
      </c>
      <c r="IY109" s="1517">
        <f t="shared" si="422"/>
        <v>-1161.8643324500026</v>
      </c>
      <c r="IZ109" s="1517">
        <f t="shared" si="422"/>
        <v>-7335.7672780799958</v>
      </c>
      <c r="JA109" s="1517">
        <f t="shared" si="422"/>
        <v>1042.1828524599996</v>
      </c>
      <c r="JB109" s="1517">
        <f t="shared" si="422"/>
        <v>-1412.99396617</v>
      </c>
      <c r="JC109" s="1517">
        <f t="shared" si="422"/>
        <v>2248.6994683799994</v>
      </c>
      <c r="JD109" s="1517" t="e">
        <f t="shared" ref="JD109:JD156" si="423">+IE109-IB109</f>
        <v>#VALUE!</v>
      </c>
      <c r="JF109" s="1548"/>
      <c r="JG109" s="1548"/>
      <c r="JH109" s="1548"/>
      <c r="JI109" s="1548"/>
      <c r="JJ109" s="1548"/>
      <c r="JK109" s="1548"/>
      <c r="JL109" s="1548"/>
      <c r="JM109" s="1548"/>
      <c r="JO109" s="1517">
        <f t="shared" ref="JO109:JS118" si="424">+SUMIFS($E109:$BX109,$E$6:$BX$6,JO$7,$E$5:$BX$5,$JQ$5)</f>
        <v>9002.952776109998</v>
      </c>
      <c r="JP109" s="1517">
        <f t="shared" si="424"/>
        <v>10718.161552149999</v>
      </c>
      <c r="JQ109" s="1517">
        <f t="shared" si="424"/>
        <v>15718.162039089999</v>
      </c>
      <c r="JR109" s="1517">
        <f t="shared" si="424"/>
        <v>14556.297706639996</v>
      </c>
      <c r="JS109" s="1517">
        <f t="shared" si="424"/>
        <v>7220.5304285600005</v>
      </c>
      <c r="JT109" s="1517">
        <f t="shared" ref="JT109:JT156" si="425">+SUMIFS($E109:$CJ109,$E$6:$CJ$6,JT$7,$E$5:$CJ$5,$JQ$5)</f>
        <v>8262.7132810200001</v>
      </c>
      <c r="JU109" s="1517">
        <f t="shared" ref="JU109:JU156" si="426">+SUMIFS($E109:$CV109,$E$6:$CV$6,JU$7,$E$5:$CV$5,$JQ$5)</f>
        <v>6849.71931485</v>
      </c>
      <c r="JV109" s="1517">
        <f t="shared" ref="JV109:JW128" si="427">+SUMIFS($E109:$DH109,$E$6:$DH$6,JV$7,$E$5:$DH$5,$JQ$5)</f>
        <v>9098.4187832299995</v>
      </c>
      <c r="JW109" s="1517">
        <f t="shared" si="427"/>
        <v>6205.3922719000002</v>
      </c>
      <c r="JX109" s="1517" t="e">
        <f t="shared" ref="JX109:JX156" si="428">+SUMIF($FS$5:$GD$5,$JQ$5,$FS109:$GD109)</f>
        <v>#VALUE!</v>
      </c>
      <c r="JY109" s="1517" t="e">
        <f t="shared" ref="JY109:JY127" si="429">+SUMIF($DJ$5:$DU$5,$JQ$5,$DJ109:$DU109)</f>
        <v>#VALUE!</v>
      </c>
      <c r="KB109" s="1520">
        <f t="shared" ref="KB109:KG127" si="430">+IFERROR(JQ109/JP109-1," ")</f>
        <v>0.4664979588721565</v>
      </c>
      <c r="KC109" s="1520">
        <f t="shared" si="430"/>
        <v>-7.3918587272514769E-2</v>
      </c>
      <c r="KD109" s="1520">
        <f t="shared" si="430"/>
        <v>-0.50395831590705331</v>
      </c>
      <c r="KE109" s="1520">
        <f t="shared" si="430"/>
        <v>0.14433605159224339</v>
      </c>
      <c r="KF109" s="1520">
        <f t="shared" si="430"/>
        <v>-0.17100847120227936</v>
      </c>
      <c r="KG109" s="1520">
        <f t="shared" si="430"/>
        <v>0.32829074667408364</v>
      </c>
      <c r="KH109" s="1520" t="str">
        <f t="shared" ref="KH109:KH172" si="431">+IFERROR(JY109/JV109-1," ")</f>
        <v xml:space="preserve"> </v>
      </c>
      <c r="KJ109" s="1517">
        <f t="shared" ref="KJ109:KO127" si="432">+JQ109-JP109</f>
        <v>5000.00048694</v>
      </c>
      <c r="KK109" s="1517">
        <f t="shared" si="432"/>
        <v>-1161.8643324500026</v>
      </c>
      <c r="KL109" s="1517">
        <f t="shared" si="432"/>
        <v>-7335.7672780799958</v>
      </c>
      <c r="KM109" s="1517">
        <f t="shared" si="432"/>
        <v>1042.1828524599996</v>
      </c>
      <c r="KN109" s="1517">
        <f t="shared" si="432"/>
        <v>-1412.99396617</v>
      </c>
      <c r="KO109" s="1517">
        <f t="shared" si="432"/>
        <v>2248.6994683799994</v>
      </c>
      <c r="KP109" s="1517" t="e">
        <f t="shared" ref="KP109:KP172" si="433">+JY109-JV109</f>
        <v>#VALUE!</v>
      </c>
      <c r="KR109" s="1548"/>
      <c r="KS109" s="1548"/>
      <c r="KT109" s="1548"/>
      <c r="KU109" s="1548"/>
      <c r="KV109" s="1548"/>
      <c r="KW109" s="1548"/>
      <c r="KX109" s="1548"/>
      <c r="KY109" s="1548"/>
      <c r="KZ109" s="1548"/>
    </row>
    <row r="110" spans="1:312" outlineLevel="1">
      <c r="A110" s="884">
        <v>11</v>
      </c>
      <c r="B110" s="70" t="s">
        <v>685</v>
      </c>
      <c r="C110" s="47" t="s">
        <v>112</v>
      </c>
      <c r="D110" s="923" t="s">
        <v>59</v>
      </c>
      <c r="E110" s="924">
        <v>2833.53048769</v>
      </c>
      <c r="F110" s="924">
        <v>989.98054859000013</v>
      </c>
      <c r="G110" s="924">
        <v>1376.7725896900001</v>
      </c>
      <c r="H110" s="924">
        <v>883.44318787999998</v>
      </c>
      <c r="I110" s="924">
        <v>792.26501574000008</v>
      </c>
      <c r="J110" s="924">
        <v>992.55316646999995</v>
      </c>
      <c r="K110" s="924">
        <v>2085.6105559000002</v>
      </c>
      <c r="L110" s="924">
        <v>2068.1988861999998</v>
      </c>
      <c r="M110" s="924">
        <v>2981.9645602000001</v>
      </c>
      <c r="N110" s="924">
        <v>3343.1993686900005</v>
      </c>
      <c r="O110" s="924">
        <v>3313.8520722500002</v>
      </c>
      <c r="P110" s="924">
        <v>3835.39230219</v>
      </c>
      <c r="Q110" s="924">
        <v>3408.3630763400001</v>
      </c>
      <c r="R110" s="924">
        <v>1676.9818873000002</v>
      </c>
      <c r="S110" s="924">
        <v>2927.1778309900001</v>
      </c>
      <c r="T110" s="924">
        <v>1825.96876445</v>
      </c>
      <c r="U110" s="924">
        <v>1110.98890538</v>
      </c>
      <c r="V110" s="924">
        <v>2203.86719214</v>
      </c>
      <c r="W110" s="924">
        <v>2503.5673522799998</v>
      </c>
      <c r="X110" s="924">
        <v>2394.0553328400001</v>
      </c>
      <c r="Y110" s="924">
        <v>1901.3337901700002</v>
      </c>
      <c r="Z110" s="924">
        <v>1827.2665967100002</v>
      </c>
      <c r="AA110" s="924">
        <v>2185.9939137199999</v>
      </c>
      <c r="AB110" s="924">
        <v>4645.1392445599995</v>
      </c>
      <c r="AC110" s="924">
        <v>3562.5048154300002</v>
      </c>
      <c r="AD110" s="924">
        <v>2349.28435227</v>
      </c>
      <c r="AE110" s="924">
        <v>2052.4095861899996</v>
      </c>
      <c r="AF110" s="924">
        <v>1650.8414450499999</v>
      </c>
      <c r="AG110" s="924">
        <v>1960.6726644299997</v>
      </c>
      <c r="AH110" s="924">
        <v>948.96439588999999</v>
      </c>
      <c r="AI110" s="924">
        <v>1052.82880471</v>
      </c>
      <c r="AJ110" s="924">
        <v>403.34569581999995</v>
      </c>
      <c r="AK110" s="924">
        <v>1795.48133411</v>
      </c>
      <c r="AL110" s="924">
        <v>994.53884521000009</v>
      </c>
      <c r="AM110" s="924">
        <v>3997.4894930199998</v>
      </c>
      <c r="AN110" s="145">
        <v>3701.5536533199993</v>
      </c>
      <c r="AO110" s="924">
        <v>2918.1053276600001</v>
      </c>
      <c r="AP110" s="925">
        <v>4709.4908429500001</v>
      </c>
      <c r="AQ110" s="220">
        <v>1855.7536376300002</v>
      </c>
      <c r="AR110" s="220">
        <v>883.52120755999999</v>
      </c>
      <c r="AS110" s="924">
        <v>1641.92703153</v>
      </c>
      <c r="AT110" s="924">
        <v>1316.65168462</v>
      </c>
      <c r="AU110" s="924">
        <v>806.49205954000001</v>
      </c>
      <c r="AV110" s="924">
        <v>649.95922852000001</v>
      </c>
      <c r="AW110" s="924">
        <v>102.71997603</v>
      </c>
      <c r="AX110" s="924">
        <v>1520.7559849000002</v>
      </c>
      <c r="AY110" s="924">
        <v>1317.08179378</v>
      </c>
      <c r="AZ110" s="924">
        <f>1523.74484645+31.05</f>
        <v>1554.79484645</v>
      </c>
      <c r="BA110" s="924">
        <v>639.71991041000001</v>
      </c>
      <c r="BB110" s="924">
        <v>816.52032979000001</v>
      </c>
      <c r="BC110" s="924">
        <v>452.61249125000001</v>
      </c>
      <c r="BD110" s="924">
        <v>1506.3966861600002</v>
      </c>
      <c r="BE110" s="924">
        <v>499.77373542000004</v>
      </c>
      <c r="BF110" s="924">
        <v>161.23459261000002</v>
      </c>
      <c r="BG110" s="924">
        <v>267.75896308</v>
      </c>
      <c r="BH110" s="924">
        <v>15.51668682</v>
      </c>
      <c r="BI110" s="924">
        <v>255.01679605999999</v>
      </c>
      <c r="BJ110" s="924">
        <v>188.56719293999998</v>
      </c>
      <c r="BK110" s="924">
        <v>1201.4780900399999</v>
      </c>
      <c r="BL110" s="925">
        <v>994.77457359000005</v>
      </c>
      <c r="BM110" s="974">
        <v>718.85212844</v>
      </c>
      <c r="BN110" s="924">
        <v>109.49317959999999</v>
      </c>
      <c r="BO110" s="924">
        <v>532.60934043999998</v>
      </c>
      <c r="BP110" s="924">
        <v>273.69954139999999</v>
      </c>
      <c r="BQ110" s="924">
        <v>809.50538270000004</v>
      </c>
      <c r="BR110" s="924">
        <v>760.83605007000006</v>
      </c>
      <c r="BS110" s="924">
        <v>476.58964413999996</v>
      </c>
      <c r="BT110" s="924">
        <v>581.39037716999997</v>
      </c>
      <c r="BU110" s="924">
        <v>220.19216511000002</v>
      </c>
      <c r="BV110" s="924">
        <v>1055.3493798500001</v>
      </c>
      <c r="BW110" s="924">
        <v>882.44866953999997</v>
      </c>
      <c r="BX110" s="924">
        <v>1388.09621137</v>
      </c>
      <c r="BY110" s="924">
        <v>667.90073370000005</v>
      </c>
      <c r="BZ110" s="924">
        <v>702.00959488000001</v>
      </c>
      <c r="CA110" s="924">
        <v>510.77248453999999</v>
      </c>
      <c r="CB110" s="924">
        <v>671.07141213</v>
      </c>
      <c r="CC110" s="924">
        <v>738.70474507000006</v>
      </c>
      <c r="CD110" s="924">
        <v>629.21219284000006</v>
      </c>
      <c r="CE110" s="924">
        <v>1715.98444193</v>
      </c>
      <c r="CF110" s="924">
        <v>1509.72160919</v>
      </c>
      <c r="CG110" s="924">
        <v>782.64187455999991</v>
      </c>
      <c r="CH110" s="924">
        <v>427.26837176999999</v>
      </c>
      <c r="CI110" s="924">
        <v>407.80054681000001</v>
      </c>
      <c r="CJ110" s="924">
        <v>571.73365359000002</v>
      </c>
      <c r="CK110" s="924">
        <v>155.42977234</v>
      </c>
      <c r="CL110" s="924">
        <v>477.99723272000006</v>
      </c>
      <c r="CM110" s="924">
        <v>520.68249633999994</v>
      </c>
      <c r="CN110" s="924">
        <v>462.44139431999997</v>
      </c>
      <c r="CO110" s="924">
        <v>539.25651461000007</v>
      </c>
      <c r="CP110" s="924">
        <v>749.59060105999993</v>
      </c>
      <c r="CQ110" s="924">
        <v>1199.6205524000002</v>
      </c>
      <c r="CR110" s="924">
        <v>1980.7564374600001</v>
      </c>
      <c r="CS110" s="924">
        <v>1907.68393758</v>
      </c>
      <c r="CT110" s="924">
        <v>1463.4634760199999</v>
      </c>
      <c r="CU110" s="924">
        <v>1025.66350713</v>
      </c>
      <c r="CV110" s="924">
        <v>1771.27937219</v>
      </c>
      <c r="CW110" s="924">
        <v>1439.87897802</v>
      </c>
      <c r="CX110" s="924">
        <v>693.67248210000002</v>
      </c>
      <c r="CY110" s="924">
        <v>300.89807716000001</v>
      </c>
      <c r="CZ110" s="924">
        <v>1616.4487882999999</v>
      </c>
      <c r="DA110" s="924">
        <v>1255.9867732600001</v>
      </c>
      <c r="DB110" s="924">
        <v>1741.70615357</v>
      </c>
      <c r="DC110" s="924">
        <v>1403.95910942</v>
      </c>
      <c r="DD110" s="924">
        <v>909.46979744000009</v>
      </c>
      <c r="DE110" s="924">
        <v>370.59758851999999</v>
      </c>
      <c r="DF110" s="924">
        <v>487.45576002999996</v>
      </c>
      <c r="DG110" s="924">
        <v>489.28558096</v>
      </c>
      <c r="DH110" s="924">
        <v>1512.67682281</v>
      </c>
      <c r="DJ110" s="1082">
        <v>1439.87897802</v>
      </c>
      <c r="DK110" s="1082">
        <v>693.67248210000002</v>
      </c>
      <c r="DL110" s="1082">
        <v>300.89807716000001</v>
      </c>
      <c r="DM110" s="1082">
        <v>1616.4487882999999</v>
      </c>
      <c r="DN110" s="1082">
        <v>1255.9867732600001</v>
      </c>
      <c r="DO110" s="1082">
        <v>1741.70615357</v>
      </c>
      <c r="DP110" s="1082">
        <v>1403.95910942</v>
      </c>
      <c r="DQ110" s="1082">
        <v>909.46979744000009</v>
      </c>
      <c r="DR110" s="1082">
        <v>370.59758851999999</v>
      </c>
      <c r="DS110" s="1082">
        <v>487.45576002999996</v>
      </c>
      <c r="DT110" s="1082">
        <v>569.45539051670312</v>
      </c>
      <c r="DU110" s="1082">
        <v>574.74501262516765</v>
      </c>
      <c r="DW110" s="924">
        <v>3928.35665204</v>
      </c>
      <c r="DX110" s="924">
        <v>3232.140397144005</v>
      </c>
      <c r="DY110" s="924">
        <v>3639.2465994710005</v>
      </c>
      <c r="DZ110" s="924">
        <v>4631.8798533065683</v>
      </c>
      <c r="EA110" s="924">
        <v>3407.8092718110047</v>
      </c>
      <c r="EB110" s="924">
        <v>3938.8117753251076</v>
      </c>
      <c r="EC110" s="924">
        <v>2291.6335389619485</v>
      </c>
      <c r="ED110" s="924">
        <v>1879.5390079576912</v>
      </c>
      <c r="EE110" s="924">
        <v>2579.2631533035737</v>
      </c>
      <c r="EF110" s="924">
        <v>3849.7183009673499</v>
      </c>
      <c r="EG110" s="924">
        <v>2182.8578586569365</v>
      </c>
      <c r="EH110" s="924">
        <v>2407.9802576594466</v>
      </c>
      <c r="EI110" s="924">
        <v>579.10075066427999</v>
      </c>
      <c r="EJ110" s="924">
        <v>764.50876282839204</v>
      </c>
      <c r="EK110" s="924">
        <v>1569.4985465081329</v>
      </c>
      <c r="EL110" s="924">
        <v>2765.6848334375536</v>
      </c>
      <c r="EM110" s="924">
        <v>2367.0689825936356</v>
      </c>
      <c r="EN110" s="924">
        <v>1831.3981090852737</v>
      </c>
      <c r="EO110" s="924">
        <v>1281.0330150990983</v>
      </c>
      <c r="EP110" s="924">
        <v>1259.4850519153633</v>
      </c>
      <c r="EQ110" s="924">
        <v>680.87507599768071</v>
      </c>
      <c r="ER110" s="924">
        <v>151.36983185087968</v>
      </c>
      <c r="ES110" s="924">
        <v>56.963869027229308</v>
      </c>
      <c r="ET110" s="924">
        <v>62.304407838443758</v>
      </c>
      <c r="EU110" s="924">
        <v>42.932505125984193</v>
      </c>
      <c r="EV110" s="924">
        <v>304.94828986504746</v>
      </c>
      <c r="EW110" s="924">
        <v>402.68095057301713</v>
      </c>
      <c r="EX110" s="924">
        <v>1456.2511845389672</v>
      </c>
      <c r="EY110" s="924">
        <v>1679.255327970501</v>
      </c>
      <c r="EZ110" s="924">
        <v>2073.6700105415612</v>
      </c>
      <c r="FA110" s="924">
        <v>2397.2187234806902</v>
      </c>
      <c r="FB110" s="924">
        <v>2421.6515739011688</v>
      </c>
      <c r="FC110" s="924">
        <v>2596.2358153541641</v>
      </c>
      <c r="FD110" s="924">
        <v>2505.1659671091425</v>
      </c>
      <c r="FE110" s="924">
        <v>2287.7237631606367</v>
      </c>
      <c r="FF110" s="924">
        <v>2008.5072588877754</v>
      </c>
      <c r="FG110" s="924" t="e">
        <v>#VALUE!</v>
      </c>
      <c r="FH110" s="924" t="e">
        <v>#VALUE!</v>
      </c>
      <c r="FI110" s="924" t="e">
        <v>#VALUE!</v>
      </c>
      <c r="FJ110" s="924" t="e">
        <v>#VALUE!</v>
      </c>
      <c r="FK110" s="924" t="e">
        <v>#VALUE!</v>
      </c>
      <c r="FL110" s="924" t="e">
        <v>#VALUE!</v>
      </c>
      <c r="FM110" s="924" t="e">
        <v>#VALUE!</v>
      </c>
      <c r="FN110" s="924" t="e">
        <v>#VALUE!</v>
      </c>
      <c r="FO110" s="924" t="e">
        <v>#VALUE!</v>
      </c>
      <c r="FP110" s="924" t="e">
        <v>#VALUE!</v>
      </c>
      <c r="FQ110" s="924" t="e">
        <v>#VALUE!</v>
      </c>
      <c r="FR110" s="924" t="e">
        <v>#VALUE!</v>
      </c>
      <c r="FS110" s="924" t="e">
        <v>#VALUE!</v>
      </c>
      <c r="FT110" s="924" t="e">
        <v>#VALUE!</v>
      </c>
      <c r="FU110" s="924" t="e">
        <v>#VALUE!</v>
      </c>
      <c r="FV110" s="924" t="e">
        <v>#VALUE!</v>
      </c>
      <c r="FW110" s="924" t="e">
        <v>#VALUE!</v>
      </c>
      <c r="FX110" s="924" t="e">
        <v>#VALUE!</v>
      </c>
      <c r="FY110" s="924" t="e">
        <v>#VALUE!</v>
      </c>
      <c r="FZ110" s="924" t="e">
        <v>#VALUE!</v>
      </c>
      <c r="GA110" s="924" t="e">
        <v>#VALUE!</v>
      </c>
      <c r="GB110" s="924" t="e">
        <v>#VALUE!</v>
      </c>
      <c r="GC110" s="924" t="e">
        <v>#VALUE!</v>
      </c>
      <c r="GD110" s="924" t="e">
        <v>#VALUE!</v>
      </c>
      <c r="GF110" s="924">
        <f t="shared" si="406"/>
        <v>3835.39230219</v>
      </c>
      <c r="GG110" s="924">
        <f t="shared" si="406"/>
        <v>4645.1392445599995</v>
      </c>
      <c r="GH110" s="924">
        <f t="shared" si="406"/>
        <v>3701.5536533199993</v>
      </c>
      <c r="GI110" s="924">
        <f t="shared" si="406"/>
        <v>1554.79484645</v>
      </c>
      <c r="GJ110" s="924">
        <f t="shared" ref="GJ110:GJ174" si="434">+SUMIFS($E110:$BL110,$E$6:$BL$6,GJ$7,$E$5:$BL$5,12)</f>
        <v>994.77457359000005</v>
      </c>
      <c r="GK110" s="924">
        <f t="shared" si="407"/>
        <v>1388.09621137</v>
      </c>
      <c r="GL110" s="924">
        <f t="shared" ref="GL110:GL173" si="435">+SUMIFS($E110:$CJ110,$E$6:$CJ$6,GL$7,$E$5:$CJ$5,12)</f>
        <v>571.73365359000002</v>
      </c>
      <c r="GM110" s="924">
        <f t="shared" si="408"/>
        <v>1771.27937219</v>
      </c>
      <c r="GN110" s="924" t="e">
        <f>+FR110</f>
        <v>#VALUE!</v>
      </c>
      <c r="GO110" s="924">
        <v>1512.67682281</v>
      </c>
      <c r="GQ110" s="927">
        <f t="shared" si="410"/>
        <v>-0.20313397329155403</v>
      </c>
      <c r="GR110" s="927">
        <f t="shared" si="410"/>
        <v>-0.57996155342622879</v>
      </c>
      <c r="GS110" s="927">
        <f t="shared" si="410"/>
        <v>-0.36018917488610891</v>
      </c>
      <c r="GT110" s="927">
        <f t="shared" si="410"/>
        <v>0.39538770714711591</v>
      </c>
      <c r="GU110" s="927">
        <f t="shared" si="410"/>
        <v>-0.58811669615773976</v>
      </c>
      <c r="GV110" s="927">
        <f t="shared" si="410"/>
        <v>2.0980848530917768</v>
      </c>
      <c r="GW110" s="927" t="str">
        <f t="shared" si="399"/>
        <v/>
      </c>
      <c r="GX110" s="927" t="str">
        <f t="shared" si="399"/>
        <v/>
      </c>
      <c r="GY110" s="927">
        <f t="shared" si="249"/>
        <v>-0.14599760683729146</v>
      </c>
      <c r="HA110" s="924">
        <f t="shared" si="411"/>
        <v>-943.58559124000021</v>
      </c>
      <c r="HB110" s="924">
        <f t="shared" si="411"/>
        <v>-2146.7588068699993</v>
      </c>
      <c r="HC110" s="924">
        <f t="shared" si="411"/>
        <v>-560.02027285999998</v>
      </c>
      <c r="HD110" s="924">
        <f t="shared" si="411"/>
        <v>393.32163777999995</v>
      </c>
      <c r="HE110" s="924">
        <f t="shared" si="400"/>
        <v>-816.36255777999997</v>
      </c>
      <c r="HF110" s="924">
        <f t="shared" si="400"/>
        <v>1199.5457185999999</v>
      </c>
      <c r="HG110" s="924" t="e">
        <f t="shared" si="400"/>
        <v>#VALUE!</v>
      </c>
      <c r="HH110" s="924" t="e">
        <f t="shared" si="400"/>
        <v>#VALUE!</v>
      </c>
      <c r="HI110" s="924">
        <f t="shared" si="251"/>
        <v>-258.60254938000003</v>
      </c>
      <c r="HK110" s="973"/>
      <c r="HL110" s="973"/>
      <c r="HM110" s="973"/>
      <c r="HN110" s="973"/>
      <c r="HO110" s="973"/>
      <c r="HP110" s="973"/>
      <c r="HQ110" s="973"/>
      <c r="HR110" s="973"/>
      <c r="HS110" s="973"/>
      <c r="HU110" s="924">
        <f t="shared" si="412"/>
        <v>992.55316646999995</v>
      </c>
      <c r="HV110" s="924">
        <f t="shared" si="412"/>
        <v>2203.86719214</v>
      </c>
      <c r="HW110" s="924">
        <f t="shared" si="412"/>
        <v>948.96439588999999</v>
      </c>
      <c r="HX110" s="924">
        <f t="shared" si="412"/>
        <v>1316.65168462</v>
      </c>
      <c r="HY110" s="924">
        <f t="shared" si="413"/>
        <v>161.23459261000002</v>
      </c>
      <c r="HZ110" s="924">
        <f t="shared" si="413"/>
        <v>760.83605007000006</v>
      </c>
      <c r="IA110" s="924">
        <f t="shared" si="414"/>
        <v>629.21219284000006</v>
      </c>
      <c r="IB110" s="924">
        <f t="shared" si="415"/>
        <v>749.59060105999993</v>
      </c>
      <c r="IC110" s="924">
        <f t="shared" si="416"/>
        <v>1741.70615357</v>
      </c>
      <c r="ID110" s="924" t="e">
        <f t="shared" si="417"/>
        <v>#VALUE!</v>
      </c>
      <c r="IE110" s="924">
        <f t="shared" si="418"/>
        <v>1741.70615357</v>
      </c>
      <c r="IG110" s="924">
        <f t="shared" ref="IG110:IG127" si="436">+IE110</f>
        <v>1741.70615357</v>
      </c>
      <c r="IH110" s="924" t="e">
        <f t="shared" ref="IH110:IH127" si="437">+ID110</f>
        <v>#VALUE!</v>
      </c>
      <c r="II110" s="145"/>
      <c r="IJ110" s="927" t="str">
        <f t="shared" si="419"/>
        <v>NA</v>
      </c>
      <c r="IK110" s="928" t="str">
        <f t="shared" si="420"/>
        <v>NA</v>
      </c>
      <c r="IM110" s="973"/>
      <c r="IN110" s="973"/>
      <c r="IP110" s="927">
        <f t="shared" ref="IP110:IU127" si="438">+IFERROR(HW110/HV110-1,"")</f>
        <v>-0.56940944568963059</v>
      </c>
      <c r="IQ110" s="927">
        <f t="shared" si="438"/>
        <v>0.38746162692980612</v>
      </c>
      <c r="IR110" s="927">
        <f t="shared" si="438"/>
        <v>-0.87754195396291612</v>
      </c>
      <c r="IS110" s="927">
        <f t="shared" si="438"/>
        <v>3.7188139824952913</v>
      </c>
      <c r="IT110" s="927">
        <f t="shared" si="438"/>
        <v>-0.1729989755583875</v>
      </c>
      <c r="IU110" s="927">
        <f t="shared" si="438"/>
        <v>0.19131607681768248</v>
      </c>
      <c r="IV110" s="927">
        <f t="shared" ref="IV110:IV127" si="439">+IFERROR(IE110/IB110-1,"")</f>
        <v>1.3235432129312246</v>
      </c>
      <c r="IX110" s="924">
        <f t="shared" si="422"/>
        <v>-1254.9027962499999</v>
      </c>
      <c r="IY110" s="924">
        <f t="shared" si="422"/>
        <v>367.68728872999998</v>
      </c>
      <c r="IZ110" s="924">
        <f t="shared" si="422"/>
        <v>-1155.41709201</v>
      </c>
      <c r="JA110" s="924">
        <f t="shared" si="422"/>
        <v>599.60145746000001</v>
      </c>
      <c r="JB110" s="924">
        <f t="shared" si="422"/>
        <v>-131.62385723</v>
      </c>
      <c r="JC110" s="924">
        <f t="shared" si="422"/>
        <v>120.37840821999987</v>
      </c>
      <c r="JD110" s="924">
        <f t="shared" si="423"/>
        <v>992.11555251000004</v>
      </c>
      <c r="JF110" s="973"/>
      <c r="JG110" s="973"/>
      <c r="JH110" s="973"/>
      <c r="JI110" s="973"/>
      <c r="JJ110" s="973"/>
      <c r="JK110" s="973"/>
      <c r="JL110" s="973"/>
      <c r="JM110" s="973"/>
      <c r="JO110" s="924">
        <f t="shared" si="424"/>
        <v>992.55316646999995</v>
      </c>
      <c r="JP110" s="924">
        <f t="shared" si="424"/>
        <v>2203.86719214</v>
      </c>
      <c r="JQ110" s="924">
        <f t="shared" si="424"/>
        <v>948.96439588999999</v>
      </c>
      <c r="JR110" s="924">
        <f t="shared" si="424"/>
        <v>1316.65168462</v>
      </c>
      <c r="JS110" s="924">
        <f t="shared" si="424"/>
        <v>161.23459261000002</v>
      </c>
      <c r="JT110" s="924">
        <f t="shared" si="425"/>
        <v>760.83605007000006</v>
      </c>
      <c r="JU110" s="924">
        <f t="shared" si="426"/>
        <v>629.21219284000006</v>
      </c>
      <c r="JV110" s="924">
        <f t="shared" si="427"/>
        <v>749.59060105999993</v>
      </c>
      <c r="JW110" s="924">
        <f t="shared" si="427"/>
        <v>1741.70615357</v>
      </c>
      <c r="JX110" s="924" t="e">
        <f t="shared" si="428"/>
        <v>#VALUE!</v>
      </c>
      <c r="JY110" s="924">
        <f t="shared" si="429"/>
        <v>1741.70615357</v>
      </c>
      <c r="KB110" s="76">
        <f t="shared" si="430"/>
        <v>-0.56940944568963059</v>
      </c>
      <c r="KC110" s="76">
        <f t="shared" si="430"/>
        <v>0.38746162692980612</v>
      </c>
      <c r="KD110" s="76">
        <f t="shared" si="430"/>
        <v>-0.87754195396291612</v>
      </c>
      <c r="KE110" s="76">
        <f t="shared" si="430"/>
        <v>3.7188139824952913</v>
      </c>
      <c r="KF110" s="76">
        <f t="shared" si="430"/>
        <v>-0.1729989755583875</v>
      </c>
      <c r="KG110" s="76">
        <f t="shared" si="430"/>
        <v>0.19131607681768248</v>
      </c>
      <c r="KH110" s="76">
        <f t="shared" si="431"/>
        <v>1.3235432129312246</v>
      </c>
      <c r="KJ110" s="924">
        <f t="shared" si="432"/>
        <v>-1254.9027962499999</v>
      </c>
      <c r="KK110" s="924">
        <f t="shared" si="432"/>
        <v>367.68728872999998</v>
      </c>
      <c r="KL110" s="924">
        <f t="shared" si="432"/>
        <v>-1155.41709201</v>
      </c>
      <c r="KM110" s="924">
        <f t="shared" si="432"/>
        <v>599.60145746000001</v>
      </c>
      <c r="KN110" s="924">
        <f t="shared" si="432"/>
        <v>-131.62385723</v>
      </c>
      <c r="KO110" s="924">
        <f t="shared" si="432"/>
        <v>120.37840821999987</v>
      </c>
      <c r="KP110" s="924">
        <f t="shared" si="433"/>
        <v>992.11555251000004</v>
      </c>
      <c r="KR110" s="973"/>
      <c r="KS110" s="973"/>
      <c r="KT110" s="973"/>
      <c r="KU110" s="973"/>
      <c r="KV110" s="973"/>
      <c r="KW110" s="973"/>
      <c r="KX110" s="973"/>
      <c r="KY110" s="973"/>
      <c r="KZ110" s="973"/>
    </row>
    <row r="111" spans="1:312" outlineLevel="1">
      <c r="A111" s="884">
        <v>1245</v>
      </c>
      <c r="B111" s="657"/>
      <c r="C111" s="17" t="s">
        <v>113</v>
      </c>
      <c r="D111" s="31" t="s">
        <v>59</v>
      </c>
      <c r="E111" s="102">
        <v>0</v>
      </c>
      <c r="F111" s="102">
        <v>0</v>
      </c>
      <c r="G111" s="102">
        <v>0</v>
      </c>
      <c r="H111" s="102">
        <v>0</v>
      </c>
      <c r="I111" s="102">
        <v>0</v>
      </c>
      <c r="J111" s="102">
        <v>0</v>
      </c>
      <c r="K111" s="102">
        <v>0</v>
      </c>
      <c r="L111" s="102">
        <v>0</v>
      </c>
      <c r="M111" s="102">
        <v>0</v>
      </c>
      <c r="N111" s="102">
        <v>0</v>
      </c>
      <c r="O111" s="102">
        <v>0</v>
      </c>
      <c r="P111" s="102">
        <v>71.150999999999996</v>
      </c>
      <c r="Q111" s="102">
        <v>0</v>
      </c>
      <c r="R111" s="102">
        <v>0</v>
      </c>
      <c r="S111" s="102">
        <v>0</v>
      </c>
      <c r="T111" s="102">
        <v>0</v>
      </c>
      <c r="U111" s="102">
        <v>0</v>
      </c>
      <c r="V111" s="102">
        <v>0</v>
      </c>
      <c r="W111" s="102">
        <v>0</v>
      </c>
      <c r="X111" s="102">
        <v>0</v>
      </c>
      <c r="Y111" s="102">
        <v>0</v>
      </c>
      <c r="Z111" s="102">
        <v>0</v>
      </c>
      <c r="AA111" s="102">
        <v>0</v>
      </c>
      <c r="AB111" s="102">
        <v>0</v>
      </c>
      <c r="AC111" s="102">
        <v>0</v>
      </c>
      <c r="AD111" s="102">
        <v>0</v>
      </c>
      <c r="AE111" s="102">
        <v>0</v>
      </c>
      <c r="AF111" s="102">
        <v>0</v>
      </c>
      <c r="AG111" s="102">
        <v>0</v>
      </c>
      <c r="AH111" s="102">
        <v>0</v>
      </c>
      <c r="AI111" s="102">
        <v>2.2028688700000001</v>
      </c>
      <c r="AJ111" s="102">
        <v>1392.5215736700002</v>
      </c>
      <c r="AK111" s="102">
        <v>2.3802204900000001</v>
      </c>
      <c r="AL111" s="102">
        <v>748.88708738000003</v>
      </c>
      <c r="AM111" s="102">
        <v>2993.4487582399997</v>
      </c>
      <c r="AN111" s="145">
        <v>2999.9969603899999</v>
      </c>
      <c r="AO111" s="102">
        <v>1009.5687171799999</v>
      </c>
      <c r="AP111" s="145">
        <v>311.02149921</v>
      </c>
      <c r="AQ111" s="220">
        <v>1563.5328297999999</v>
      </c>
      <c r="AR111" s="220">
        <v>1467.2495228399998</v>
      </c>
      <c r="AS111" s="102">
        <v>8.3469703699999993</v>
      </c>
      <c r="AT111" s="102">
        <v>159.50019937000002</v>
      </c>
      <c r="AU111" s="102">
        <v>610.37951859000009</v>
      </c>
      <c r="AV111" s="102">
        <v>130.90642849</v>
      </c>
      <c r="AW111" s="102">
        <v>32.112053629999998</v>
      </c>
      <c r="AX111" s="102">
        <v>22.222173999999999</v>
      </c>
      <c r="AY111" s="102">
        <v>25.258574079999999</v>
      </c>
      <c r="AZ111" s="102">
        <v>0</v>
      </c>
      <c r="BA111" s="102">
        <v>0</v>
      </c>
      <c r="BB111" s="102">
        <v>0</v>
      </c>
      <c r="BC111" s="102">
        <v>0</v>
      </c>
      <c r="BD111" s="102">
        <v>0</v>
      </c>
      <c r="BE111" s="102">
        <v>0</v>
      </c>
      <c r="BF111" s="102">
        <v>0</v>
      </c>
      <c r="BG111" s="102">
        <v>0</v>
      </c>
      <c r="BH111" s="102">
        <v>0</v>
      </c>
      <c r="BI111" s="102">
        <v>0</v>
      </c>
      <c r="BJ111" s="102">
        <v>0.12143141</v>
      </c>
      <c r="BK111" s="102">
        <v>0</v>
      </c>
      <c r="BL111" s="145">
        <v>0</v>
      </c>
      <c r="BM111" s="974">
        <v>0</v>
      </c>
      <c r="BN111" s="102">
        <v>0</v>
      </c>
      <c r="BO111" s="102">
        <v>0</v>
      </c>
      <c r="BP111" s="102">
        <v>0</v>
      </c>
      <c r="BQ111" s="102">
        <v>0</v>
      </c>
      <c r="BR111" s="102">
        <v>0</v>
      </c>
      <c r="BS111" s="102">
        <v>0</v>
      </c>
      <c r="BT111" s="102">
        <v>0</v>
      </c>
      <c r="BU111" s="102">
        <v>0</v>
      </c>
      <c r="BV111" s="102">
        <v>0</v>
      </c>
      <c r="BW111" s="102">
        <v>0</v>
      </c>
      <c r="BX111" s="102">
        <v>0</v>
      </c>
      <c r="BY111" s="102">
        <v>0</v>
      </c>
      <c r="BZ111" s="102">
        <v>0</v>
      </c>
      <c r="CA111" s="102">
        <v>0</v>
      </c>
      <c r="CB111" s="102">
        <v>0</v>
      </c>
      <c r="CC111" s="102">
        <v>0</v>
      </c>
      <c r="CD111" s="102">
        <v>0</v>
      </c>
      <c r="CE111" s="102">
        <v>0</v>
      </c>
      <c r="CF111" s="102">
        <v>0</v>
      </c>
      <c r="CG111" s="102">
        <v>0</v>
      </c>
      <c r="CH111" s="102">
        <v>0</v>
      </c>
      <c r="CI111" s="102">
        <v>0</v>
      </c>
      <c r="CJ111" s="102">
        <v>0</v>
      </c>
      <c r="CK111" s="102">
        <v>0</v>
      </c>
      <c r="CL111" s="102">
        <v>0</v>
      </c>
      <c r="CM111" s="102">
        <v>0</v>
      </c>
      <c r="CN111" s="102">
        <v>0</v>
      </c>
      <c r="CO111" s="102">
        <v>0</v>
      </c>
      <c r="CP111" s="102">
        <v>0</v>
      </c>
      <c r="CQ111" s="102">
        <v>0</v>
      </c>
      <c r="CR111" s="102">
        <v>0</v>
      </c>
      <c r="CS111" s="102">
        <v>0</v>
      </c>
      <c r="CT111" s="102">
        <v>0</v>
      </c>
      <c r="CU111" s="102">
        <v>0</v>
      </c>
      <c r="CV111" s="102">
        <v>0</v>
      </c>
      <c r="CW111" s="102">
        <v>0</v>
      </c>
      <c r="CX111" s="102">
        <v>0</v>
      </c>
      <c r="CY111" s="102">
        <v>0</v>
      </c>
      <c r="CZ111" s="102">
        <v>0</v>
      </c>
      <c r="DA111" s="102">
        <v>0</v>
      </c>
      <c r="DB111" s="102">
        <v>0</v>
      </c>
      <c r="DC111" s="102">
        <v>0</v>
      </c>
      <c r="DD111" s="102">
        <v>0</v>
      </c>
      <c r="DE111" s="102">
        <v>0</v>
      </c>
      <c r="DF111" s="102">
        <v>0</v>
      </c>
      <c r="DG111" s="102">
        <v>0</v>
      </c>
      <c r="DH111" s="102">
        <v>0</v>
      </c>
      <c r="DJ111" s="102" t="e">
        <v>#VALUE!</v>
      </c>
      <c r="DK111" s="102" t="e">
        <v>#VALUE!</v>
      </c>
      <c r="DL111" s="102" t="e">
        <v>#VALUE!</v>
      </c>
      <c r="DM111" s="102" t="e">
        <v>#VALUE!</v>
      </c>
      <c r="DN111" s="102" t="e">
        <v>#VALUE!</v>
      </c>
      <c r="DO111" s="102" t="e">
        <v>#VALUE!</v>
      </c>
      <c r="DP111" s="102" t="e">
        <v>#VALUE!</v>
      </c>
      <c r="DQ111" s="102" t="e">
        <v>#VALUE!</v>
      </c>
      <c r="DR111" s="102" t="e">
        <v>#VALUE!</v>
      </c>
      <c r="DS111" s="102" t="e">
        <v>#VALUE!</v>
      </c>
      <c r="DT111" s="102" t="e">
        <v>#VALUE!</v>
      </c>
      <c r="DU111" s="102" t="e">
        <v>#VALUE!</v>
      </c>
      <c r="DW111" s="102">
        <v>0</v>
      </c>
      <c r="DX111" s="102">
        <v>0</v>
      </c>
      <c r="DY111" s="102">
        <v>0</v>
      </c>
      <c r="DZ111" s="102">
        <v>0</v>
      </c>
      <c r="EA111" s="102">
        <v>0</v>
      </c>
      <c r="EB111" s="102">
        <v>0</v>
      </c>
      <c r="EC111" s="102">
        <v>0</v>
      </c>
      <c r="ED111" s="102">
        <v>0</v>
      </c>
      <c r="EE111" s="102">
        <v>0</v>
      </c>
      <c r="EF111" s="102">
        <v>0</v>
      </c>
      <c r="EG111" s="102">
        <v>0</v>
      </c>
      <c r="EH111" s="102">
        <v>0</v>
      </c>
      <c r="EI111" s="102">
        <v>0</v>
      </c>
      <c r="EJ111" s="102">
        <v>0</v>
      </c>
      <c r="EK111" s="102">
        <v>0</v>
      </c>
      <c r="EL111" s="102">
        <v>0</v>
      </c>
      <c r="EM111" s="102">
        <v>0</v>
      </c>
      <c r="EN111" s="102">
        <v>0</v>
      </c>
      <c r="EO111" s="102">
        <v>0</v>
      </c>
      <c r="EP111" s="102">
        <v>0</v>
      </c>
      <c r="EQ111" s="102">
        <v>0</v>
      </c>
      <c r="ER111" s="102">
        <v>0</v>
      </c>
      <c r="ES111" s="102">
        <v>0</v>
      </c>
      <c r="ET111" s="102">
        <v>0</v>
      </c>
      <c r="EU111" s="102"/>
      <c r="EV111" s="102"/>
      <c r="EW111" s="102"/>
      <c r="EX111" s="102"/>
      <c r="EY111" s="102"/>
      <c r="EZ111" s="102"/>
      <c r="FA111" s="102"/>
      <c r="FB111" s="102"/>
      <c r="FC111" s="102"/>
      <c r="FD111" s="102"/>
      <c r="FE111" s="102"/>
      <c r="FF111" s="102"/>
      <c r="FG111" s="102" t="e">
        <v>#VALUE!</v>
      </c>
      <c r="FH111" s="102" t="e">
        <v>#VALUE!</v>
      </c>
      <c r="FI111" s="102" t="e">
        <v>#VALUE!</v>
      </c>
      <c r="FJ111" s="102" t="e">
        <v>#VALUE!</v>
      </c>
      <c r="FK111" s="102" t="e">
        <v>#VALUE!</v>
      </c>
      <c r="FL111" s="102" t="e">
        <v>#VALUE!</v>
      </c>
      <c r="FM111" s="102" t="e">
        <v>#VALUE!</v>
      </c>
      <c r="FN111" s="102" t="e">
        <v>#VALUE!</v>
      </c>
      <c r="FO111" s="102" t="e">
        <v>#VALUE!</v>
      </c>
      <c r="FP111" s="102" t="e">
        <v>#VALUE!</v>
      </c>
      <c r="FQ111" s="102" t="e">
        <v>#VALUE!</v>
      </c>
      <c r="FR111" s="102" t="e">
        <v>#VALUE!</v>
      </c>
      <c r="FS111" s="102" t="e">
        <v>#VALUE!</v>
      </c>
      <c r="FT111" s="102" t="e">
        <v>#VALUE!</v>
      </c>
      <c r="FU111" s="102" t="e">
        <v>#VALUE!</v>
      </c>
      <c r="FV111" s="102" t="e">
        <v>#VALUE!</v>
      </c>
      <c r="FW111" s="102" t="e">
        <v>#VALUE!</v>
      </c>
      <c r="FX111" s="102" t="e">
        <v>#VALUE!</v>
      </c>
      <c r="FY111" s="102" t="e">
        <v>#VALUE!</v>
      </c>
      <c r="FZ111" s="102" t="e">
        <v>#VALUE!</v>
      </c>
      <c r="GA111" s="102" t="e">
        <v>#VALUE!</v>
      </c>
      <c r="GB111" s="102" t="e">
        <v>#VALUE!</v>
      </c>
      <c r="GC111" s="102" t="e">
        <v>#VALUE!</v>
      </c>
      <c r="GD111" s="102" t="e">
        <v>#VALUE!</v>
      </c>
      <c r="GF111" s="102">
        <f t="shared" si="406"/>
        <v>71.150999999999996</v>
      </c>
      <c r="GG111" s="102">
        <f t="shared" si="406"/>
        <v>0</v>
      </c>
      <c r="GH111" s="102">
        <f t="shared" si="406"/>
        <v>2999.9969603899999</v>
      </c>
      <c r="GI111" s="102">
        <f t="shared" si="406"/>
        <v>0</v>
      </c>
      <c r="GJ111" s="102">
        <f t="shared" si="434"/>
        <v>0</v>
      </c>
      <c r="GK111" s="102">
        <f t="shared" si="407"/>
        <v>0</v>
      </c>
      <c r="GL111" s="102">
        <f t="shared" si="435"/>
        <v>0</v>
      </c>
      <c r="GM111" s="102">
        <f t="shared" si="408"/>
        <v>0</v>
      </c>
      <c r="GN111" s="102" t="e">
        <f>+FR111</f>
        <v>#VALUE!</v>
      </c>
      <c r="GO111" s="102">
        <v>0</v>
      </c>
      <c r="GQ111" s="929" t="str">
        <f t="shared" si="410"/>
        <v/>
      </c>
      <c r="GR111" s="929">
        <f t="shared" si="410"/>
        <v>-1</v>
      </c>
      <c r="GS111" s="929" t="str">
        <f t="shared" si="410"/>
        <v/>
      </c>
      <c r="GT111" s="929" t="str">
        <f t="shared" si="410"/>
        <v/>
      </c>
      <c r="GU111" s="929" t="str">
        <f t="shared" si="410"/>
        <v/>
      </c>
      <c r="GV111" s="929" t="str">
        <f t="shared" si="410"/>
        <v/>
      </c>
      <c r="GW111" s="929" t="str">
        <f t="shared" si="399"/>
        <v/>
      </c>
      <c r="GX111" s="929" t="str">
        <f t="shared" si="399"/>
        <v/>
      </c>
      <c r="GY111" s="929" t="str">
        <f t="shared" si="249"/>
        <v/>
      </c>
      <c r="HA111" s="102">
        <f t="shared" si="411"/>
        <v>2999.9969603899999</v>
      </c>
      <c r="HB111" s="102">
        <f t="shared" si="411"/>
        <v>-2999.9969603899999</v>
      </c>
      <c r="HC111" s="102">
        <f t="shared" si="411"/>
        <v>0</v>
      </c>
      <c r="HD111" s="102">
        <f t="shared" si="411"/>
        <v>0</v>
      </c>
      <c r="HE111" s="102">
        <f t="shared" si="400"/>
        <v>0</v>
      </c>
      <c r="HF111" s="102">
        <f t="shared" si="400"/>
        <v>0</v>
      </c>
      <c r="HG111" s="102" t="e">
        <f t="shared" si="400"/>
        <v>#VALUE!</v>
      </c>
      <c r="HH111" s="102" t="e">
        <f t="shared" si="400"/>
        <v>#VALUE!</v>
      </c>
      <c r="HI111" s="102">
        <f t="shared" si="251"/>
        <v>0</v>
      </c>
      <c r="HK111" s="973"/>
      <c r="HL111" s="973"/>
      <c r="HM111" s="973"/>
      <c r="HN111" s="973"/>
      <c r="HO111" s="973"/>
      <c r="HP111" s="973"/>
      <c r="HQ111" s="973"/>
      <c r="HR111" s="973"/>
      <c r="HS111" s="973"/>
      <c r="HU111" s="102">
        <f t="shared" si="412"/>
        <v>0</v>
      </c>
      <c r="HV111" s="102">
        <f t="shared" si="412"/>
        <v>0</v>
      </c>
      <c r="HW111" s="102">
        <f t="shared" si="412"/>
        <v>0</v>
      </c>
      <c r="HX111" s="102">
        <f t="shared" si="412"/>
        <v>159.50019937000002</v>
      </c>
      <c r="HY111" s="102">
        <f t="shared" si="413"/>
        <v>0</v>
      </c>
      <c r="HZ111" s="102">
        <f t="shared" si="413"/>
        <v>0</v>
      </c>
      <c r="IA111" s="102">
        <f t="shared" si="414"/>
        <v>0</v>
      </c>
      <c r="IB111" s="102">
        <f t="shared" si="415"/>
        <v>0</v>
      </c>
      <c r="IC111" s="102">
        <f t="shared" si="416"/>
        <v>0</v>
      </c>
      <c r="ID111" s="102" t="e">
        <f t="shared" si="417"/>
        <v>#VALUE!</v>
      </c>
      <c r="IE111" s="32" t="e">
        <f t="shared" si="418"/>
        <v>#VALUE!</v>
      </c>
      <c r="IG111" s="102" t="e">
        <f t="shared" si="436"/>
        <v>#VALUE!</v>
      </c>
      <c r="IH111" s="102" t="e">
        <f t="shared" si="437"/>
        <v>#VALUE!</v>
      </c>
      <c r="II111" s="145"/>
      <c r="IJ111" s="929" t="str">
        <f t="shared" si="419"/>
        <v>NA</v>
      </c>
      <c r="IK111" s="930" t="str">
        <f t="shared" si="420"/>
        <v>NA</v>
      </c>
      <c r="IM111" s="973"/>
      <c r="IN111" s="973"/>
      <c r="IP111" s="929" t="str">
        <f t="shared" si="438"/>
        <v/>
      </c>
      <c r="IQ111" s="929" t="str">
        <f t="shared" si="438"/>
        <v/>
      </c>
      <c r="IR111" s="929">
        <f t="shared" si="438"/>
        <v>-1</v>
      </c>
      <c r="IS111" s="929" t="str">
        <f t="shared" si="438"/>
        <v/>
      </c>
      <c r="IT111" s="929" t="str">
        <f t="shared" si="438"/>
        <v/>
      </c>
      <c r="IU111" s="929" t="str">
        <f t="shared" si="438"/>
        <v/>
      </c>
      <c r="IV111" s="929" t="str">
        <f t="shared" si="439"/>
        <v/>
      </c>
      <c r="IX111" s="102">
        <f t="shared" si="422"/>
        <v>0</v>
      </c>
      <c r="IY111" s="102">
        <f t="shared" si="422"/>
        <v>159.50019937000002</v>
      </c>
      <c r="IZ111" s="102">
        <f t="shared" si="422"/>
        <v>-159.50019937000002</v>
      </c>
      <c r="JA111" s="102">
        <f t="shared" si="422"/>
        <v>0</v>
      </c>
      <c r="JB111" s="102">
        <f t="shared" si="422"/>
        <v>0</v>
      </c>
      <c r="JC111" s="102">
        <f t="shared" si="422"/>
        <v>0</v>
      </c>
      <c r="JD111" s="102" t="e">
        <f t="shared" si="423"/>
        <v>#VALUE!</v>
      </c>
      <c r="JF111" s="973"/>
      <c r="JG111" s="973"/>
      <c r="JH111" s="973"/>
      <c r="JI111" s="973"/>
      <c r="JJ111" s="973"/>
      <c r="JK111" s="973"/>
      <c r="JL111" s="973"/>
      <c r="JM111" s="973"/>
      <c r="JO111" s="102">
        <f t="shared" si="424"/>
        <v>0</v>
      </c>
      <c r="JP111" s="102">
        <f t="shared" si="424"/>
        <v>0</v>
      </c>
      <c r="JQ111" s="102">
        <f t="shared" si="424"/>
        <v>0</v>
      </c>
      <c r="JR111" s="102">
        <f t="shared" si="424"/>
        <v>159.50019937000002</v>
      </c>
      <c r="JS111" s="102">
        <f t="shared" si="424"/>
        <v>0</v>
      </c>
      <c r="JT111" s="102">
        <f t="shared" si="425"/>
        <v>0</v>
      </c>
      <c r="JU111" s="102">
        <f t="shared" si="426"/>
        <v>0</v>
      </c>
      <c r="JV111" s="102">
        <f t="shared" si="427"/>
        <v>0</v>
      </c>
      <c r="JW111" s="102">
        <f t="shared" si="427"/>
        <v>0</v>
      </c>
      <c r="JX111" s="102" t="e">
        <f t="shared" si="428"/>
        <v>#VALUE!</v>
      </c>
      <c r="JY111" s="102" t="e">
        <f t="shared" si="429"/>
        <v>#VALUE!</v>
      </c>
      <c r="KB111" s="32" t="str">
        <f t="shared" si="430"/>
        <v xml:space="preserve"> </v>
      </c>
      <c r="KC111" s="32" t="str">
        <f t="shared" si="430"/>
        <v xml:space="preserve"> </v>
      </c>
      <c r="KD111" s="32">
        <f t="shared" si="430"/>
        <v>-1</v>
      </c>
      <c r="KE111" s="32" t="str">
        <f t="shared" si="430"/>
        <v xml:space="preserve"> </v>
      </c>
      <c r="KF111" s="32" t="str">
        <f t="shared" si="430"/>
        <v xml:space="preserve"> </v>
      </c>
      <c r="KG111" s="32" t="str">
        <f t="shared" si="430"/>
        <v xml:space="preserve"> </v>
      </c>
      <c r="KH111" s="32" t="str">
        <f t="shared" si="431"/>
        <v xml:space="preserve"> </v>
      </c>
      <c r="KJ111" s="102">
        <f t="shared" si="432"/>
        <v>0</v>
      </c>
      <c r="KK111" s="102">
        <f t="shared" si="432"/>
        <v>159.50019937000002</v>
      </c>
      <c r="KL111" s="102">
        <f t="shared" si="432"/>
        <v>-159.50019937000002</v>
      </c>
      <c r="KM111" s="102">
        <f t="shared" si="432"/>
        <v>0</v>
      </c>
      <c r="KN111" s="102">
        <f t="shared" si="432"/>
        <v>0</v>
      </c>
      <c r="KO111" s="102">
        <f t="shared" si="432"/>
        <v>0</v>
      </c>
      <c r="KP111" s="102" t="e">
        <f t="shared" si="433"/>
        <v>#VALUE!</v>
      </c>
      <c r="KR111" s="973"/>
      <c r="KS111" s="973"/>
      <c r="KT111" s="973"/>
      <c r="KU111" s="973"/>
      <c r="KV111" s="973"/>
      <c r="KW111" s="973"/>
      <c r="KX111" s="973"/>
      <c r="KY111" s="973"/>
      <c r="KZ111" s="973"/>
    </row>
    <row r="112" spans="1:312" outlineLevel="1">
      <c r="A112" s="884">
        <v>1296</v>
      </c>
      <c r="B112" s="657"/>
      <c r="C112" s="17" t="s">
        <v>686</v>
      </c>
      <c r="D112" s="31" t="s">
        <v>59</v>
      </c>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45"/>
      <c r="AO112" s="102"/>
      <c r="AP112" s="145"/>
      <c r="AQ112" s="220"/>
      <c r="AR112" s="220"/>
      <c r="AS112" s="102"/>
      <c r="AT112" s="102"/>
      <c r="AU112" s="102"/>
      <c r="AV112" s="102"/>
      <c r="AW112" s="102"/>
      <c r="AX112" s="102"/>
      <c r="AY112" s="102"/>
      <c r="AZ112" s="102">
        <v>0</v>
      </c>
      <c r="BA112" s="102"/>
      <c r="BB112" s="102"/>
      <c r="BC112" s="102"/>
      <c r="BD112" s="102"/>
      <c r="BE112" s="102"/>
      <c r="BF112" s="102"/>
      <c r="BG112" s="102"/>
      <c r="BH112" s="102"/>
      <c r="BI112" s="102"/>
      <c r="BJ112" s="102"/>
      <c r="BK112" s="102"/>
      <c r="BL112" s="145"/>
      <c r="BM112" s="974"/>
      <c r="BN112" s="102"/>
      <c r="BO112" s="102"/>
      <c r="BP112" s="102"/>
      <c r="BQ112" s="102"/>
      <c r="BR112" s="102"/>
      <c r="BS112" s="102"/>
      <c r="BT112" s="102">
        <v>0</v>
      </c>
      <c r="BU112" s="102">
        <v>0</v>
      </c>
      <c r="BV112" s="102">
        <v>0</v>
      </c>
      <c r="BW112" s="102">
        <v>0</v>
      </c>
      <c r="BX112" s="102">
        <v>0</v>
      </c>
      <c r="BY112" s="102">
        <v>0</v>
      </c>
      <c r="BZ112" s="102">
        <v>0</v>
      </c>
      <c r="CA112" s="102">
        <v>0</v>
      </c>
      <c r="CB112" s="102">
        <v>0</v>
      </c>
      <c r="CC112" s="102">
        <v>0</v>
      </c>
      <c r="CD112" s="102">
        <v>0</v>
      </c>
      <c r="CE112" s="102">
        <v>0</v>
      </c>
      <c r="CF112" s="102">
        <v>0</v>
      </c>
      <c r="CG112" s="102">
        <v>0</v>
      </c>
      <c r="CH112" s="102">
        <v>0</v>
      </c>
      <c r="CI112" s="102">
        <v>0</v>
      </c>
      <c r="CJ112" s="102">
        <v>0</v>
      </c>
      <c r="CK112" s="102">
        <v>0</v>
      </c>
      <c r="CL112" s="102">
        <v>0</v>
      </c>
      <c r="CM112" s="102">
        <v>0</v>
      </c>
      <c r="CN112" s="102">
        <v>0</v>
      </c>
      <c r="CO112" s="102">
        <v>0</v>
      </c>
      <c r="CP112" s="102">
        <v>0</v>
      </c>
      <c r="CQ112" s="102">
        <v>0</v>
      </c>
      <c r="CR112" s="102">
        <v>0</v>
      </c>
      <c r="CS112" s="102">
        <v>0</v>
      </c>
      <c r="CT112" s="102">
        <v>0</v>
      </c>
      <c r="CU112" s="102">
        <v>0</v>
      </c>
      <c r="CV112" s="102">
        <v>0</v>
      </c>
      <c r="CW112" s="102">
        <v>0</v>
      </c>
      <c r="CX112" s="102">
        <v>0</v>
      </c>
      <c r="CY112" s="102">
        <v>0</v>
      </c>
      <c r="CZ112" s="102">
        <v>0</v>
      </c>
      <c r="DA112" s="102">
        <v>0</v>
      </c>
      <c r="DB112" s="102">
        <v>0</v>
      </c>
      <c r="DC112" s="102">
        <v>0</v>
      </c>
      <c r="DD112" s="102">
        <v>0</v>
      </c>
      <c r="DE112" s="102">
        <v>0</v>
      </c>
      <c r="DF112" s="102">
        <v>0</v>
      </c>
      <c r="DG112" s="102">
        <v>0</v>
      </c>
      <c r="DH112" s="102">
        <v>0</v>
      </c>
      <c r="DJ112" s="102"/>
      <c r="DK112" s="102"/>
      <c r="DL112" s="102"/>
      <c r="DM112" s="102"/>
      <c r="DN112" s="102"/>
      <c r="DO112" s="102"/>
      <c r="DP112" s="102"/>
      <c r="DQ112" s="102"/>
      <c r="DR112" s="102"/>
      <c r="DS112" s="102"/>
      <c r="DT112" s="102"/>
      <c r="DU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c r="FH112" s="102"/>
      <c r="FI112" s="102"/>
      <c r="FJ112" s="102"/>
      <c r="FK112" s="102"/>
      <c r="FL112" s="102"/>
      <c r="FM112" s="102"/>
      <c r="FN112" s="102"/>
      <c r="FO112" s="102"/>
      <c r="FP112" s="102"/>
      <c r="FQ112" s="102"/>
      <c r="FR112" s="102"/>
      <c r="FS112" s="102"/>
      <c r="FT112" s="102"/>
      <c r="FU112" s="102"/>
      <c r="FV112" s="102"/>
      <c r="FW112" s="102"/>
      <c r="FX112" s="102"/>
      <c r="FY112" s="102"/>
      <c r="FZ112" s="102"/>
      <c r="GA112" s="102"/>
      <c r="GB112" s="102"/>
      <c r="GC112" s="102"/>
      <c r="GD112" s="102"/>
      <c r="GF112" s="102"/>
      <c r="GG112" s="102"/>
      <c r="GH112" s="102"/>
      <c r="GI112" s="102"/>
      <c r="GJ112" s="102"/>
      <c r="GK112" s="102">
        <f t="shared" si="407"/>
        <v>0</v>
      </c>
      <c r="GL112" s="102">
        <f t="shared" si="435"/>
        <v>0</v>
      </c>
      <c r="GM112" s="102">
        <f t="shared" si="408"/>
        <v>0</v>
      </c>
      <c r="GN112" s="102">
        <f>+FR112</f>
        <v>0</v>
      </c>
      <c r="GO112" s="102">
        <v>0</v>
      </c>
      <c r="GQ112" s="32"/>
      <c r="GR112" s="32"/>
      <c r="GS112" s="32"/>
      <c r="GT112" s="929" t="str">
        <f t="shared" si="410"/>
        <v/>
      </c>
      <c r="GU112" s="929" t="str">
        <f t="shared" si="410"/>
        <v/>
      </c>
      <c r="GV112" s="929" t="str">
        <f t="shared" si="410"/>
        <v/>
      </c>
      <c r="GW112" s="929" t="str">
        <f t="shared" si="399"/>
        <v/>
      </c>
      <c r="GX112" s="32"/>
      <c r="GY112" s="929" t="str">
        <f t="shared" si="249"/>
        <v/>
      </c>
      <c r="HA112" s="102"/>
      <c r="HB112" s="102"/>
      <c r="HC112" s="102"/>
      <c r="HD112" s="102">
        <f t="shared" si="411"/>
        <v>0</v>
      </c>
      <c r="HE112" s="102">
        <f t="shared" si="400"/>
        <v>0</v>
      </c>
      <c r="HF112" s="102">
        <f t="shared" si="400"/>
        <v>0</v>
      </c>
      <c r="HG112" s="102">
        <f t="shared" si="400"/>
        <v>0</v>
      </c>
      <c r="HH112" s="102"/>
      <c r="HI112" s="102">
        <f t="shared" si="251"/>
        <v>0</v>
      </c>
      <c r="HK112" s="973"/>
      <c r="HL112" s="973"/>
      <c r="HM112" s="973"/>
      <c r="HN112" s="973"/>
      <c r="HO112" s="973"/>
      <c r="HP112" s="973"/>
      <c r="HQ112" s="973"/>
      <c r="HR112" s="973"/>
      <c r="HS112" s="973"/>
      <c r="HU112" s="102"/>
      <c r="HV112" s="102"/>
      <c r="HW112" s="102"/>
      <c r="HX112" s="102"/>
      <c r="HY112" s="102">
        <f t="shared" si="413"/>
        <v>0</v>
      </c>
      <c r="HZ112" s="102">
        <f t="shared" si="413"/>
        <v>0</v>
      </c>
      <c r="IA112" s="102">
        <f t="shared" si="414"/>
        <v>0</v>
      </c>
      <c r="IB112" s="102">
        <f t="shared" si="415"/>
        <v>0</v>
      </c>
      <c r="IC112" s="102">
        <f t="shared" si="416"/>
        <v>0</v>
      </c>
      <c r="ID112" s="102">
        <f t="shared" si="417"/>
        <v>0</v>
      </c>
      <c r="IE112" s="32">
        <f t="shared" si="418"/>
        <v>0</v>
      </c>
      <c r="IG112" s="102">
        <f t="shared" si="436"/>
        <v>0</v>
      </c>
      <c r="IH112" s="102">
        <f t="shared" si="437"/>
        <v>0</v>
      </c>
      <c r="II112" s="145"/>
      <c r="IJ112" s="929"/>
      <c r="IK112" s="930"/>
      <c r="IM112" s="973"/>
      <c r="IN112" s="973"/>
      <c r="IP112" s="929" t="str">
        <f t="shared" si="438"/>
        <v/>
      </c>
      <c r="IQ112" s="929" t="str">
        <f t="shared" si="438"/>
        <v/>
      </c>
      <c r="IR112" s="929" t="str">
        <f t="shared" si="438"/>
        <v/>
      </c>
      <c r="IS112" s="929" t="str">
        <f t="shared" si="438"/>
        <v/>
      </c>
      <c r="IT112" s="929" t="str">
        <f t="shared" si="438"/>
        <v/>
      </c>
      <c r="IU112" s="929" t="str">
        <f t="shared" si="438"/>
        <v/>
      </c>
      <c r="IV112" s="929" t="str">
        <f t="shared" si="439"/>
        <v/>
      </c>
      <c r="IX112" s="102">
        <f t="shared" si="422"/>
        <v>0</v>
      </c>
      <c r="IY112" s="102">
        <f t="shared" si="422"/>
        <v>0</v>
      </c>
      <c r="IZ112" s="102">
        <f t="shared" si="422"/>
        <v>0</v>
      </c>
      <c r="JA112" s="102">
        <f t="shared" si="422"/>
        <v>0</v>
      </c>
      <c r="JB112" s="102">
        <f t="shared" si="422"/>
        <v>0</v>
      </c>
      <c r="JC112" s="102">
        <f t="shared" si="422"/>
        <v>0</v>
      </c>
      <c r="JD112" s="102">
        <f t="shared" si="423"/>
        <v>0</v>
      </c>
      <c r="JF112" s="973"/>
      <c r="JG112" s="973"/>
      <c r="JH112" s="973"/>
      <c r="JI112" s="973"/>
      <c r="JJ112" s="973"/>
      <c r="JK112" s="973"/>
      <c r="JL112" s="973"/>
      <c r="JM112" s="973"/>
      <c r="JO112" s="102">
        <f t="shared" si="424"/>
        <v>0</v>
      </c>
      <c r="JP112" s="102">
        <f t="shared" si="424"/>
        <v>0</v>
      </c>
      <c r="JQ112" s="102">
        <f t="shared" si="424"/>
        <v>0</v>
      </c>
      <c r="JR112" s="102">
        <f t="shared" si="424"/>
        <v>0</v>
      </c>
      <c r="JS112" s="102">
        <f t="shared" si="424"/>
        <v>0</v>
      </c>
      <c r="JT112" s="102">
        <f t="shared" si="425"/>
        <v>0</v>
      </c>
      <c r="JU112" s="102">
        <f t="shared" si="426"/>
        <v>0</v>
      </c>
      <c r="JV112" s="102">
        <f t="shared" si="427"/>
        <v>0</v>
      </c>
      <c r="JW112" s="102">
        <f t="shared" si="427"/>
        <v>0</v>
      </c>
      <c r="JX112" s="102">
        <f t="shared" si="428"/>
        <v>0</v>
      </c>
      <c r="JY112" s="102">
        <f t="shared" si="429"/>
        <v>0</v>
      </c>
      <c r="KB112" s="32" t="str">
        <f t="shared" si="430"/>
        <v xml:space="preserve"> </v>
      </c>
      <c r="KC112" s="32" t="str">
        <f t="shared" si="430"/>
        <v xml:space="preserve"> </v>
      </c>
      <c r="KD112" s="32" t="str">
        <f t="shared" si="430"/>
        <v xml:space="preserve"> </v>
      </c>
      <c r="KE112" s="32" t="str">
        <f t="shared" si="430"/>
        <v xml:space="preserve"> </v>
      </c>
      <c r="KF112" s="32" t="str">
        <f t="shared" si="430"/>
        <v xml:space="preserve"> </v>
      </c>
      <c r="KG112" s="32" t="str">
        <f t="shared" si="430"/>
        <v xml:space="preserve"> </v>
      </c>
      <c r="KH112" s="32" t="str">
        <f t="shared" si="431"/>
        <v xml:space="preserve"> </v>
      </c>
      <c r="KJ112" s="102">
        <f t="shared" si="432"/>
        <v>0</v>
      </c>
      <c r="KK112" s="102">
        <f t="shared" si="432"/>
        <v>0</v>
      </c>
      <c r="KL112" s="102">
        <f t="shared" si="432"/>
        <v>0</v>
      </c>
      <c r="KM112" s="102">
        <f t="shared" si="432"/>
        <v>0</v>
      </c>
      <c r="KN112" s="102">
        <f t="shared" si="432"/>
        <v>0</v>
      </c>
      <c r="KO112" s="102">
        <f t="shared" si="432"/>
        <v>0</v>
      </c>
      <c r="KP112" s="102">
        <f t="shared" si="433"/>
        <v>0</v>
      </c>
      <c r="KR112" s="973"/>
      <c r="KS112" s="973"/>
      <c r="KT112" s="973"/>
      <c r="KU112" s="973"/>
      <c r="KV112" s="973"/>
      <c r="KW112" s="973"/>
      <c r="KX112" s="973"/>
      <c r="KY112" s="973"/>
      <c r="KZ112" s="973"/>
    </row>
    <row r="113" spans="1:312" outlineLevel="1">
      <c r="A113" s="884">
        <v>1305</v>
      </c>
      <c r="B113" s="918"/>
      <c r="C113" s="17" t="s">
        <v>114</v>
      </c>
      <c r="D113" s="31" t="s">
        <v>59</v>
      </c>
      <c r="E113" s="102">
        <v>2126.90729225</v>
      </c>
      <c r="F113" s="102">
        <v>3679.1958006499999</v>
      </c>
      <c r="G113" s="102">
        <v>3419.73328395</v>
      </c>
      <c r="H113" s="102">
        <v>3956.3459315199998</v>
      </c>
      <c r="I113" s="102">
        <v>5118.9544956700001</v>
      </c>
      <c r="J113" s="102">
        <v>4887.0481801000005</v>
      </c>
      <c r="K113" s="102">
        <v>4313.2440801800003</v>
      </c>
      <c r="L113" s="102">
        <v>5333.8155421499996</v>
      </c>
      <c r="M113" s="102">
        <v>4976.4924432700009</v>
      </c>
      <c r="N113" s="102">
        <v>4815.7211407900004</v>
      </c>
      <c r="O113" s="102">
        <v>5562.8832414399994</v>
      </c>
      <c r="P113" s="102">
        <v>4800.9107446899998</v>
      </c>
      <c r="Q113" s="102">
        <v>3862.0324780799997</v>
      </c>
      <c r="R113" s="102">
        <v>5938.8817922999997</v>
      </c>
      <c r="S113" s="102">
        <v>3848.2706140199998</v>
      </c>
      <c r="T113" s="102">
        <v>3292.8814960100003</v>
      </c>
      <c r="U113" s="102">
        <v>5177.6232665799998</v>
      </c>
      <c r="V113" s="102">
        <v>4499.2362169399994</v>
      </c>
      <c r="W113" s="102">
        <v>3260.4084304899998</v>
      </c>
      <c r="X113" s="102">
        <v>4062.6786280900001</v>
      </c>
      <c r="Y113" s="102">
        <v>3147.9968576699998</v>
      </c>
      <c r="Z113" s="102">
        <v>3239.5161952899998</v>
      </c>
      <c r="AA113" s="102">
        <v>5601.0114890599998</v>
      </c>
      <c r="AB113" s="102">
        <v>6206.8621487499995</v>
      </c>
      <c r="AC113" s="102">
        <v>5563.0343929800001</v>
      </c>
      <c r="AD113" s="102">
        <v>8040.7051193899997</v>
      </c>
      <c r="AE113" s="102">
        <v>8214.1276128299996</v>
      </c>
      <c r="AF113" s="102">
        <v>8967.803961919999</v>
      </c>
      <c r="AG113" s="102">
        <v>9365.6960775999996</v>
      </c>
      <c r="AH113" s="102">
        <v>10172.10853014</v>
      </c>
      <c r="AI113" s="102">
        <v>9238.2209437999991</v>
      </c>
      <c r="AJ113" s="102">
        <v>9618.2737528100006</v>
      </c>
      <c r="AK113" s="102">
        <v>9797.9620982600009</v>
      </c>
      <c r="AL113" s="102">
        <v>11261.438907220001</v>
      </c>
      <c r="AM113" s="102">
        <v>11468.079880879999</v>
      </c>
      <c r="AN113" s="145">
        <v>10590.56282719</v>
      </c>
      <c r="AO113" s="102">
        <v>10003.964494199996</v>
      </c>
      <c r="AP113" s="145">
        <v>10238.805029649995</v>
      </c>
      <c r="AQ113" s="220">
        <v>8765.4291857499957</v>
      </c>
      <c r="AR113" s="220">
        <v>9008.417232189995</v>
      </c>
      <c r="AS113" s="102">
        <v>9094.191274189996</v>
      </c>
      <c r="AT113" s="102">
        <v>8145.3826104699965</v>
      </c>
      <c r="AU113" s="102">
        <v>7388.4260260299961</v>
      </c>
      <c r="AV113" s="102">
        <v>7856.3505714199946</v>
      </c>
      <c r="AW113" s="102">
        <v>8418.114131149996</v>
      </c>
      <c r="AX113" s="102">
        <v>7868.2770665699954</v>
      </c>
      <c r="AY113" s="102">
        <v>7281.1650898099961</v>
      </c>
      <c r="AZ113" s="102">
        <v>5721.5446691199995</v>
      </c>
      <c r="BA113" s="102">
        <v>5487.9988496000005</v>
      </c>
      <c r="BB113" s="102">
        <v>4536.2517270200005</v>
      </c>
      <c r="BC113" s="102">
        <v>3565.9019378000003</v>
      </c>
      <c r="BD113" s="102">
        <v>2291.3572047899997</v>
      </c>
      <c r="BE113" s="102">
        <v>2708.6055580700004</v>
      </c>
      <c r="BF113" s="102">
        <v>2821.0402659599999</v>
      </c>
      <c r="BG113" s="102">
        <v>3042.87539539</v>
      </c>
      <c r="BH113" s="102">
        <v>3164.8790985800001</v>
      </c>
      <c r="BI113" s="102">
        <v>3044.4457773600002</v>
      </c>
      <c r="BJ113" s="102">
        <v>3217.32775821</v>
      </c>
      <c r="BK113" s="102">
        <v>4084.0245523000003</v>
      </c>
      <c r="BL113" s="145">
        <f>4518003804/1000000</f>
        <v>4518.0038039999999</v>
      </c>
      <c r="BM113" s="974">
        <v>5076.9742614699999</v>
      </c>
      <c r="BN113" s="102">
        <v>4986.79372478</v>
      </c>
      <c r="BO113" s="102">
        <v>5697.2037338800001</v>
      </c>
      <c r="BP113" s="102">
        <v>6229.4049512900001</v>
      </c>
      <c r="BQ113" s="102">
        <v>5160.25775247</v>
      </c>
      <c r="BR113" s="102">
        <v>5073.2950695899999</v>
      </c>
      <c r="BS113" s="102">
        <v>5419.2737052600005</v>
      </c>
      <c r="BT113" s="102">
        <v>5720.36802343</v>
      </c>
      <c r="BU113" s="102">
        <v>5717.1379273599996</v>
      </c>
      <c r="BV113" s="102">
        <v>5148.0485945500004</v>
      </c>
      <c r="BW113" s="102">
        <v>5280.34707875</v>
      </c>
      <c r="BX113" s="102">
        <v>3946.1515562899999</v>
      </c>
      <c r="BY113" s="102">
        <v>4248.3964593800001</v>
      </c>
      <c r="BZ113" s="102">
        <v>3726.6941283299998</v>
      </c>
      <c r="CA113" s="102">
        <v>3655.58108494</v>
      </c>
      <c r="CB113" s="102">
        <v>3057.4324677300001</v>
      </c>
      <c r="CC113" s="102">
        <v>2265.4083443699997</v>
      </c>
      <c r="CD113" s="102">
        <v>2580.43229393</v>
      </c>
      <c r="CE113" s="102">
        <v>2811.6788261500001</v>
      </c>
      <c r="CF113" s="102">
        <v>2759.1834644999999</v>
      </c>
      <c r="CG113" s="102">
        <v>3323.56790533</v>
      </c>
      <c r="CH113" s="102">
        <v>4284.3490730900003</v>
      </c>
      <c r="CI113" s="102">
        <v>4802.0423079600005</v>
      </c>
      <c r="CJ113" s="102">
        <v>4555.0173417400001</v>
      </c>
      <c r="CK113" s="102">
        <v>5317.7827622200002</v>
      </c>
      <c r="CL113" s="102">
        <v>4391.0410438500003</v>
      </c>
      <c r="CM113" s="102">
        <v>4589.7167035299999</v>
      </c>
      <c r="CN113" s="102">
        <v>4853.7180665799997</v>
      </c>
      <c r="CO113" s="102">
        <v>4472.9924034799997</v>
      </c>
      <c r="CP113" s="102">
        <v>4012.5795244899996</v>
      </c>
      <c r="CQ113" s="102">
        <v>4448.9908751599996</v>
      </c>
      <c r="CR113" s="102">
        <v>3909.8291210000002</v>
      </c>
      <c r="CS113" s="102">
        <v>3962.79654033</v>
      </c>
      <c r="CT113" s="102">
        <v>5224.5948767700002</v>
      </c>
      <c r="CU113" s="102">
        <v>5293.5366442900004</v>
      </c>
      <c r="CV113" s="102">
        <v>4497.4228453100004</v>
      </c>
      <c r="CW113" s="102">
        <v>4541.1355704200005</v>
      </c>
      <c r="CX113" s="102">
        <v>5227.9952890499999</v>
      </c>
      <c r="CY113" s="102">
        <v>6756.4350556600002</v>
      </c>
      <c r="CZ113" s="102">
        <v>4090.7031060599998</v>
      </c>
      <c r="DA113" s="102">
        <v>2476.4105308799999</v>
      </c>
      <c r="DB113" s="102">
        <v>1247.5072238</v>
      </c>
      <c r="DC113" s="102">
        <v>1067.40177296</v>
      </c>
      <c r="DD113" s="102">
        <v>2064.59586674</v>
      </c>
      <c r="DE113" s="102">
        <v>2886.3800116799998</v>
      </c>
      <c r="DF113" s="102">
        <v>3168.24797678</v>
      </c>
      <c r="DG113" s="102">
        <v>3112.22843448</v>
      </c>
      <c r="DH113" s="102">
        <v>2589.6019576599997</v>
      </c>
      <c r="DJ113" s="1083">
        <v>4541.1355704200005</v>
      </c>
      <c r="DK113" s="1083">
        <v>5227.9952890499999</v>
      </c>
      <c r="DL113" s="1083">
        <v>6756.4350556600002</v>
      </c>
      <c r="DM113" s="1083">
        <v>4090.7031060599993</v>
      </c>
      <c r="DN113" s="1083">
        <v>2476.4105308799999</v>
      </c>
      <c r="DO113" s="1083">
        <v>1247.5072238</v>
      </c>
      <c r="DP113" s="1083">
        <v>1067.40177296</v>
      </c>
      <c r="DQ113" s="1083">
        <v>2064.59586674</v>
      </c>
      <c r="DR113" s="1083">
        <v>2886.3800116799994</v>
      </c>
      <c r="DS113" s="1083">
        <v>3168.2479767800005</v>
      </c>
      <c r="DT113" s="1083">
        <v>2863.8969973611897</v>
      </c>
      <c r="DU113" s="1083">
        <v>2811.6161748313202</v>
      </c>
      <c r="DW113" s="102">
        <v>9719.0058211423984</v>
      </c>
      <c r="DX113" s="102">
        <v>9612.4566687287443</v>
      </c>
      <c r="DY113" s="102">
        <v>8160.5050137726839</v>
      </c>
      <c r="DZ113" s="102">
        <v>6710.5175940379559</v>
      </c>
      <c r="EA113" s="102">
        <v>7390.7593677254008</v>
      </c>
      <c r="EB113" s="102">
        <v>8344.471954871</v>
      </c>
      <c r="EC113" s="102">
        <v>9551.3768010810018</v>
      </c>
      <c r="ED113" s="102">
        <v>12145.042882611</v>
      </c>
      <c r="EE113" s="102">
        <v>12060.0112849202</v>
      </c>
      <c r="EF113" s="102">
        <v>12328.179426040198</v>
      </c>
      <c r="EG113" s="102">
        <v>11848.397350880199</v>
      </c>
      <c r="EH113" s="102">
        <v>12728.40772667278</v>
      </c>
      <c r="EI113" s="102">
        <v>5302.2601491297119</v>
      </c>
      <c r="EJ113" s="102">
        <v>4575.4799651540125</v>
      </c>
      <c r="EK113" s="102">
        <v>4170.3362857746151</v>
      </c>
      <c r="EL113" s="102">
        <v>4327.3854464137685</v>
      </c>
      <c r="EM113" s="102">
        <v>4303.3246688174295</v>
      </c>
      <c r="EN113" s="102">
        <v>4837.0921614264334</v>
      </c>
      <c r="EO113" s="102">
        <v>5326.0112420348896</v>
      </c>
      <c r="EP113" s="102">
        <v>5711.4736604836153</v>
      </c>
      <c r="EQ113" s="102">
        <v>6508.2723503216093</v>
      </c>
      <c r="ER113" s="102">
        <v>7303.9142311864744</v>
      </c>
      <c r="ES113" s="102">
        <v>7362.7234950689817</v>
      </c>
      <c r="ET113" s="102">
        <v>6881.3559004024037</v>
      </c>
      <c r="EU113" s="102">
        <v>4516.6799609995205</v>
      </c>
      <c r="EV113" s="102">
        <v>4337.0576565995198</v>
      </c>
      <c r="EW113" s="102">
        <v>4462.0603984480704</v>
      </c>
      <c r="EX113" s="102">
        <v>3383.9712598465699</v>
      </c>
      <c r="EY113" s="102">
        <v>3378.03110349297</v>
      </c>
      <c r="EZ113" s="102">
        <v>3081.1341109520704</v>
      </c>
      <c r="FA113" s="102">
        <v>2975.5084961647703</v>
      </c>
      <c r="FB113" s="102">
        <v>2766.0861023071698</v>
      </c>
      <c r="FC113" s="102">
        <v>2259.5173503861697</v>
      </c>
      <c r="FD113" s="102">
        <v>1989.1095267861699</v>
      </c>
      <c r="FE113" s="102">
        <v>1968.40308878617</v>
      </c>
      <c r="FF113" s="102">
        <v>1950.1623307861701</v>
      </c>
      <c r="FG113" s="102" t="e">
        <v>#VALUE!</v>
      </c>
      <c r="FH113" s="102" t="e">
        <v>#VALUE!</v>
      </c>
      <c r="FI113" s="102" t="e">
        <v>#VALUE!</v>
      </c>
      <c r="FJ113" s="102" t="e">
        <v>#VALUE!</v>
      </c>
      <c r="FK113" s="102" t="e">
        <v>#VALUE!</v>
      </c>
      <c r="FL113" s="102" t="e">
        <v>#VALUE!</v>
      </c>
      <c r="FM113" s="102" t="e">
        <v>#VALUE!</v>
      </c>
      <c r="FN113" s="102" t="e">
        <v>#VALUE!</v>
      </c>
      <c r="FO113" s="102" t="e">
        <v>#VALUE!</v>
      </c>
      <c r="FP113" s="102" t="e">
        <v>#VALUE!</v>
      </c>
      <c r="FQ113" s="102" t="e">
        <v>#VALUE!</v>
      </c>
      <c r="FR113" s="102" t="e">
        <v>#VALUE!</v>
      </c>
      <c r="FS113" s="102" t="e">
        <v>#VALUE!</v>
      </c>
      <c r="FT113" s="102" t="e">
        <v>#VALUE!</v>
      </c>
      <c r="FU113" s="102" t="e">
        <v>#VALUE!</v>
      </c>
      <c r="FV113" s="102" t="e">
        <v>#VALUE!</v>
      </c>
      <c r="FW113" s="102" t="e">
        <v>#VALUE!</v>
      </c>
      <c r="FX113" s="102" t="e">
        <v>#VALUE!</v>
      </c>
      <c r="FY113" s="102" t="e">
        <v>#VALUE!</v>
      </c>
      <c r="FZ113" s="102" t="e">
        <v>#VALUE!</v>
      </c>
      <c r="GA113" s="102" t="e">
        <v>#VALUE!</v>
      </c>
      <c r="GB113" s="102" t="e">
        <v>#VALUE!</v>
      </c>
      <c r="GC113" s="102" t="e">
        <v>#VALUE!</v>
      </c>
      <c r="GD113" s="102" t="e">
        <v>#VALUE!</v>
      </c>
      <c r="GF113" s="102">
        <f t="shared" si="406"/>
        <v>4800.9107446899998</v>
      </c>
      <c r="GG113" s="102">
        <f t="shared" si="406"/>
        <v>6206.8621487499995</v>
      </c>
      <c r="GH113" s="102">
        <f t="shared" si="406"/>
        <v>10590.56282719</v>
      </c>
      <c r="GI113" s="102">
        <f t="shared" si="406"/>
        <v>5721.5446691199995</v>
      </c>
      <c r="GJ113" s="102">
        <f t="shared" si="434"/>
        <v>4518.0038039999999</v>
      </c>
      <c r="GK113" s="102">
        <f t="shared" si="407"/>
        <v>3946.1515562899999</v>
      </c>
      <c r="GL113" s="102">
        <f t="shared" si="435"/>
        <v>4555.0173417400001</v>
      </c>
      <c r="GM113" s="102">
        <f t="shared" si="408"/>
        <v>4497.4228453100004</v>
      </c>
      <c r="GN113" s="102" t="e">
        <f t="shared" si="409"/>
        <v>#VALUE!</v>
      </c>
      <c r="GO113" s="102">
        <v>2589.6019576599997</v>
      </c>
      <c r="GQ113" s="929">
        <f t="shared" ref="GQ113:GV128" si="440">+IFERROR(GH113/GG113-1,"")</f>
        <v>0.70626680170798295</v>
      </c>
      <c r="GR113" s="929">
        <f t="shared" si="440"/>
        <v>-0.45975065136003734</v>
      </c>
      <c r="GS113" s="929">
        <f t="shared" si="440"/>
        <v>-0.21035243709896789</v>
      </c>
      <c r="GT113" s="929">
        <f t="shared" si="410"/>
        <v>-0.12657188274248743</v>
      </c>
      <c r="GU113" s="929">
        <f t="shared" si="410"/>
        <v>0.15429356342877742</v>
      </c>
      <c r="GV113" s="929">
        <f t="shared" si="410"/>
        <v>-1.2644188179533611E-2</v>
      </c>
      <c r="GW113" s="929" t="str">
        <f t="shared" si="399"/>
        <v/>
      </c>
      <c r="GX113" s="929" t="str">
        <f t="shared" si="399"/>
        <v/>
      </c>
      <c r="GY113" s="929">
        <f t="shared" si="249"/>
        <v>-0.4242031388352806</v>
      </c>
      <c r="HA113" s="102">
        <f t="shared" ref="HA113:HD128" si="441">+GH113-GG113</f>
        <v>4383.700678440001</v>
      </c>
      <c r="HB113" s="102">
        <f t="shared" si="441"/>
        <v>-4869.0181580700009</v>
      </c>
      <c r="HC113" s="102">
        <f t="shared" si="441"/>
        <v>-1203.5408651199996</v>
      </c>
      <c r="HD113" s="102">
        <f t="shared" si="411"/>
        <v>-571.85224771000003</v>
      </c>
      <c r="HE113" s="102">
        <f t="shared" si="400"/>
        <v>608.8657854500002</v>
      </c>
      <c r="HF113" s="102">
        <f t="shared" si="400"/>
        <v>-57.594496429999708</v>
      </c>
      <c r="HG113" s="102" t="e">
        <f t="shared" si="400"/>
        <v>#VALUE!</v>
      </c>
      <c r="HH113" s="102" t="e">
        <f t="shared" si="400"/>
        <v>#VALUE!</v>
      </c>
      <c r="HI113" s="102">
        <f t="shared" si="251"/>
        <v>-1907.8208876500007</v>
      </c>
      <c r="HK113" s="973"/>
      <c r="HL113" s="973"/>
      <c r="HM113" s="973"/>
      <c r="HN113" s="973"/>
      <c r="HO113" s="973"/>
      <c r="HP113" s="973"/>
      <c r="HQ113" s="973"/>
      <c r="HR113" s="973"/>
      <c r="HS113" s="973"/>
      <c r="HU113" s="102">
        <f t="shared" ref="HU113:HX127" si="442">+IFERROR(SUMIFS($E113:$AZ113,$E$6:$AZ$6,HU$7,$E$5:$AZ$5,$HW$5),"NA")</f>
        <v>4887.0481801000005</v>
      </c>
      <c r="HV113" s="102">
        <f t="shared" si="442"/>
        <v>4499.2362169399994</v>
      </c>
      <c r="HW113" s="102">
        <f t="shared" si="442"/>
        <v>10172.10853014</v>
      </c>
      <c r="HX113" s="102">
        <f t="shared" si="442"/>
        <v>8145.3826104699965</v>
      </c>
      <c r="HY113" s="102">
        <f t="shared" si="413"/>
        <v>2821.0402659599999</v>
      </c>
      <c r="HZ113" s="102">
        <f t="shared" si="413"/>
        <v>5073.2950695899999</v>
      </c>
      <c r="IA113" s="102">
        <f t="shared" si="414"/>
        <v>2580.43229393</v>
      </c>
      <c r="IB113" s="102">
        <f t="shared" si="415"/>
        <v>4012.5795244899996</v>
      </c>
      <c r="IC113" s="102">
        <f t="shared" si="416"/>
        <v>1247.5072238</v>
      </c>
      <c r="ID113" s="102" t="e">
        <f t="shared" si="417"/>
        <v>#VALUE!</v>
      </c>
      <c r="IE113" s="102">
        <f t="shared" si="418"/>
        <v>1247.5072238</v>
      </c>
      <c r="IG113" s="102">
        <f t="shared" si="436"/>
        <v>1247.5072238</v>
      </c>
      <c r="IH113" s="102" t="e">
        <f t="shared" si="437"/>
        <v>#VALUE!</v>
      </c>
      <c r="II113" s="145"/>
      <c r="IJ113" s="929" t="str">
        <f t="shared" si="419"/>
        <v>NA</v>
      </c>
      <c r="IK113" s="930" t="str">
        <f t="shared" si="420"/>
        <v>NA</v>
      </c>
      <c r="IM113" s="973"/>
      <c r="IN113" s="973"/>
      <c r="IP113" s="929">
        <f t="shared" si="438"/>
        <v>1.2608522957388106</v>
      </c>
      <c r="IQ113" s="929">
        <f t="shared" si="438"/>
        <v>-0.19924344236642832</v>
      </c>
      <c r="IR113" s="929">
        <f t="shared" si="438"/>
        <v>-0.6536638730347839</v>
      </c>
      <c r="IS113" s="929">
        <f t="shared" si="438"/>
        <v>0.79837740382750533</v>
      </c>
      <c r="IT113" s="929">
        <f t="shared" si="438"/>
        <v>-0.49136956188543979</v>
      </c>
      <c r="IU113" s="929">
        <f t="shared" si="438"/>
        <v>0.5550028318622684</v>
      </c>
      <c r="IV113" s="929">
        <f t="shared" si="439"/>
        <v>-0.68910093465161704</v>
      </c>
      <c r="IX113" s="102">
        <f t="shared" si="422"/>
        <v>5672.8723132000005</v>
      </c>
      <c r="IY113" s="102">
        <f t="shared" si="422"/>
        <v>-2026.7259196700033</v>
      </c>
      <c r="IZ113" s="102">
        <f t="shared" si="422"/>
        <v>-5324.3423445099961</v>
      </c>
      <c r="JA113" s="102">
        <f t="shared" si="422"/>
        <v>2252.25480363</v>
      </c>
      <c r="JB113" s="102">
        <f t="shared" si="422"/>
        <v>-2492.8627756599999</v>
      </c>
      <c r="JC113" s="102">
        <f t="shared" si="422"/>
        <v>1432.1472305599996</v>
      </c>
      <c r="JD113" s="102">
        <f t="shared" si="423"/>
        <v>-2765.0723006899998</v>
      </c>
      <c r="JF113" s="973"/>
      <c r="JG113" s="973"/>
      <c r="JH113" s="973"/>
      <c r="JI113" s="973"/>
      <c r="JJ113" s="973"/>
      <c r="JK113" s="973"/>
      <c r="JL113" s="973"/>
      <c r="JM113" s="973"/>
      <c r="JO113" s="102">
        <f t="shared" si="424"/>
        <v>4887.0481801000005</v>
      </c>
      <c r="JP113" s="102">
        <f t="shared" si="424"/>
        <v>4499.2362169399994</v>
      </c>
      <c r="JQ113" s="102">
        <f t="shared" si="424"/>
        <v>10172.10853014</v>
      </c>
      <c r="JR113" s="102">
        <f t="shared" si="424"/>
        <v>8145.3826104699965</v>
      </c>
      <c r="JS113" s="102">
        <f t="shared" si="424"/>
        <v>2821.0402659599999</v>
      </c>
      <c r="JT113" s="102">
        <f t="shared" si="425"/>
        <v>5073.2950695899999</v>
      </c>
      <c r="JU113" s="102">
        <f t="shared" si="426"/>
        <v>2580.43229393</v>
      </c>
      <c r="JV113" s="102">
        <f t="shared" si="427"/>
        <v>4012.5795244899996</v>
      </c>
      <c r="JW113" s="102">
        <f t="shared" si="427"/>
        <v>1247.5072238</v>
      </c>
      <c r="JX113" s="102" t="e">
        <f t="shared" si="428"/>
        <v>#VALUE!</v>
      </c>
      <c r="JY113" s="102">
        <f t="shared" si="429"/>
        <v>1247.5072238</v>
      </c>
      <c r="KB113" s="32">
        <f t="shared" si="430"/>
        <v>1.2608522957388106</v>
      </c>
      <c r="KC113" s="32">
        <f t="shared" si="430"/>
        <v>-0.19924344236642832</v>
      </c>
      <c r="KD113" s="32">
        <f t="shared" si="430"/>
        <v>-0.6536638730347839</v>
      </c>
      <c r="KE113" s="32">
        <f t="shared" si="430"/>
        <v>0.79837740382750533</v>
      </c>
      <c r="KF113" s="32">
        <f t="shared" si="430"/>
        <v>-0.49136956188543979</v>
      </c>
      <c r="KG113" s="32">
        <f t="shared" si="430"/>
        <v>0.5550028318622684</v>
      </c>
      <c r="KH113" s="32">
        <f t="shared" si="431"/>
        <v>-0.68910093465161704</v>
      </c>
      <c r="KJ113" s="102">
        <f t="shared" si="432"/>
        <v>5672.8723132000005</v>
      </c>
      <c r="KK113" s="102">
        <f t="shared" si="432"/>
        <v>-2026.7259196700033</v>
      </c>
      <c r="KL113" s="102">
        <f t="shared" si="432"/>
        <v>-5324.3423445099961</v>
      </c>
      <c r="KM113" s="102">
        <f t="shared" si="432"/>
        <v>2252.25480363</v>
      </c>
      <c r="KN113" s="102">
        <f t="shared" si="432"/>
        <v>-2492.8627756599999</v>
      </c>
      <c r="KO113" s="102">
        <f t="shared" si="432"/>
        <v>1432.1472305599996</v>
      </c>
      <c r="KP113" s="102">
        <f t="shared" si="433"/>
        <v>-2765.0723006899998</v>
      </c>
      <c r="KR113" s="973"/>
      <c r="KS113" s="973"/>
      <c r="KT113" s="973"/>
      <c r="KU113" s="973"/>
      <c r="KV113" s="973"/>
      <c r="KW113" s="973"/>
      <c r="KX113" s="973"/>
      <c r="KY113" s="973"/>
      <c r="KZ113" s="973"/>
    </row>
    <row r="114" spans="1:312" outlineLevel="1">
      <c r="A114" s="884">
        <v>1355</v>
      </c>
      <c r="B114" s="70" t="s">
        <v>687</v>
      </c>
      <c r="C114" s="17" t="s">
        <v>68</v>
      </c>
      <c r="D114" s="31" t="s">
        <v>59</v>
      </c>
      <c r="E114" s="102">
        <v>1393.6941153399998</v>
      </c>
      <c r="F114" s="102">
        <v>1622.02863744</v>
      </c>
      <c r="G114" s="102">
        <v>2039.6693314700001</v>
      </c>
      <c r="H114" s="102">
        <v>2139.0714290199999</v>
      </c>
      <c r="I114" s="102">
        <v>2677.1744742699998</v>
      </c>
      <c r="J114" s="102">
        <v>2735.3793700799997</v>
      </c>
      <c r="K114" s="102">
        <v>3241.0112218099998</v>
      </c>
      <c r="L114" s="102">
        <v>3450.8815873000003</v>
      </c>
      <c r="M114" s="102">
        <v>4017.2190828100001</v>
      </c>
      <c r="N114" s="102">
        <v>2848.3930006300002</v>
      </c>
      <c r="O114" s="102">
        <v>3496.9049360900003</v>
      </c>
      <c r="P114" s="102">
        <v>3463.3354494200003</v>
      </c>
      <c r="Q114" s="102">
        <v>3743.3620481299999</v>
      </c>
      <c r="R114" s="102">
        <v>4071.15157838</v>
      </c>
      <c r="S114" s="102">
        <v>4329.1201257600005</v>
      </c>
      <c r="T114" s="102">
        <v>1655.6230355199998</v>
      </c>
      <c r="U114" s="102">
        <v>2152.7592133799999</v>
      </c>
      <c r="V114" s="102">
        <v>2520.5635277000001</v>
      </c>
      <c r="W114" s="102">
        <v>2901.0007309900002</v>
      </c>
      <c r="X114" s="102">
        <v>3283.5746485099999</v>
      </c>
      <c r="Y114" s="102">
        <v>3432.1488891300005</v>
      </c>
      <c r="Z114" s="102">
        <v>3640.2294846600003</v>
      </c>
      <c r="AA114" s="102">
        <v>4376.9061982100002</v>
      </c>
      <c r="AB114" s="102">
        <v>4657.64484705</v>
      </c>
      <c r="AC114" s="102">
        <v>4874.1045209599988</v>
      </c>
      <c r="AD114" s="102">
        <v>5117.6895237900007</v>
      </c>
      <c r="AE114" s="102">
        <v>5360.9241598399994</v>
      </c>
      <c r="AF114" s="102">
        <v>2452.3202737000001</v>
      </c>
      <c r="AG114" s="102">
        <v>2783.6199949000002</v>
      </c>
      <c r="AH114" s="102">
        <v>3074.1638925100001</v>
      </c>
      <c r="AI114" s="102">
        <v>3495.0235343500003</v>
      </c>
      <c r="AJ114" s="102">
        <v>3849.7287700300003</v>
      </c>
      <c r="AK114" s="102">
        <v>4169.60555527</v>
      </c>
      <c r="AL114" s="102">
        <v>4620.8181851800009</v>
      </c>
      <c r="AM114" s="102">
        <v>5503.9397839700005</v>
      </c>
      <c r="AN114" s="145">
        <v>5112.3382132200004</v>
      </c>
      <c r="AO114" s="102">
        <v>5462.2077361299998</v>
      </c>
      <c r="AP114" s="145">
        <v>5525.4478799099998</v>
      </c>
      <c r="AQ114" s="220">
        <v>5622.9918753800002</v>
      </c>
      <c r="AR114" s="220">
        <v>1875.2280516199999</v>
      </c>
      <c r="AS114" s="102">
        <v>2112.5590946800003</v>
      </c>
      <c r="AT114" s="102">
        <v>2345.4523824399998</v>
      </c>
      <c r="AU114" s="102">
        <v>2633.1506781599996</v>
      </c>
      <c r="AV114" s="102">
        <v>2757.99602026</v>
      </c>
      <c r="AW114" s="102">
        <v>3070.6446376700001</v>
      </c>
      <c r="AX114" s="102">
        <v>3236.7197628399999</v>
      </c>
      <c r="AY114" s="102">
        <v>3406.4254587300002</v>
      </c>
      <c r="AZ114" s="102">
        <v>3277.0963567700001</v>
      </c>
      <c r="BA114" s="102">
        <v>3380.0259697600004</v>
      </c>
      <c r="BB114" s="102">
        <v>3493.9336214299997</v>
      </c>
      <c r="BC114" s="102">
        <v>3591.50431622</v>
      </c>
      <c r="BD114" s="102">
        <v>3366.9279758400003</v>
      </c>
      <c r="BE114" s="102">
        <v>2966.8272175900001</v>
      </c>
      <c r="BF114" s="102">
        <v>3010.68039636</v>
      </c>
      <c r="BG114" s="102">
        <v>3051.7151743200002</v>
      </c>
      <c r="BH114" s="102">
        <v>3111.9645305599997</v>
      </c>
      <c r="BI114" s="102">
        <v>3125.1007016799999</v>
      </c>
      <c r="BJ114" s="102">
        <v>3187.0953802399999</v>
      </c>
      <c r="BK114" s="102">
        <v>1547.1972502399999</v>
      </c>
      <c r="BL114" s="145">
        <v>1528</v>
      </c>
      <c r="BM114" s="974">
        <v>1686.7131156600001</v>
      </c>
      <c r="BN114" s="102">
        <v>1875.3934862200001</v>
      </c>
      <c r="BO114" s="102">
        <v>1201.10572742</v>
      </c>
      <c r="BP114" s="102">
        <v>1304.3772022999999</v>
      </c>
      <c r="BQ114" s="102">
        <v>1469.3492173499999</v>
      </c>
      <c r="BR114" s="102">
        <v>1521.60070531</v>
      </c>
      <c r="BS114" s="102">
        <v>1658.6807122600001</v>
      </c>
      <c r="BT114" s="102">
        <v>1141.71254561</v>
      </c>
      <c r="BU114" s="102">
        <v>1370.42826519</v>
      </c>
      <c r="BV114" s="102">
        <v>1529.87463458</v>
      </c>
      <c r="BW114" s="102">
        <v>1616.0804916900001</v>
      </c>
      <c r="BX114" s="102">
        <v>1657.90942002</v>
      </c>
      <c r="BY114" s="102">
        <v>1814.36986944</v>
      </c>
      <c r="BZ114" s="102">
        <v>1878.1835793800001</v>
      </c>
      <c r="CA114" s="102">
        <v>2064.0804014800001</v>
      </c>
      <c r="CB114" s="102">
        <v>2129.4623014500003</v>
      </c>
      <c r="CC114" s="102">
        <v>2181.5014277499999</v>
      </c>
      <c r="CD114" s="102">
        <v>2297.3449309499997</v>
      </c>
      <c r="CE114" s="102">
        <v>873.40519460999997</v>
      </c>
      <c r="CF114" s="102">
        <v>1000.44439698</v>
      </c>
      <c r="CG114" s="102">
        <v>1085.80006314</v>
      </c>
      <c r="CH114" s="102">
        <v>1253.4194646300002</v>
      </c>
      <c r="CI114" s="102">
        <v>1393.0190930699998</v>
      </c>
      <c r="CJ114" s="102">
        <v>1594.9852257299999</v>
      </c>
      <c r="CK114" s="102">
        <v>1716.2967687600001</v>
      </c>
      <c r="CL114" s="102">
        <v>2010.9983860299999</v>
      </c>
      <c r="CM114" s="102">
        <v>2202.3030680799998</v>
      </c>
      <c r="CN114" s="102">
        <v>2321.04801731</v>
      </c>
      <c r="CO114" s="102">
        <v>2639.28874455</v>
      </c>
      <c r="CP114" s="102">
        <v>2721.40378629</v>
      </c>
      <c r="CQ114" s="102">
        <v>1546.4220563800002</v>
      </c>
      <c r="CR114" s="102">
        <v>1887.79227302</v>
      </c>
      <c r="CS114" s="102">
        <v>2047.8943629400001</v>
      </c>
      <c r="CT114" s="102">
        <v>2407.8592032500001</v>
      </c>
      <c r="CU114" s="102">
        <v>2778.7185142800004</v>
      </c>
      <c r="CV114" s="102">
        <v>2910.1309270500001</v>
      </c>
      <c r="CW114" s="102">
        <v>3135.7478959200002</v>
      </c>
      <c r="CX114" s="102">
        <v>3244.4692848300001</v>
      </c>
      <c r="CY114" s="102">
        <v>3495.3666040100002</v>
      </c>
      <c r="CZ114" s="102">
        <v>3631.20294401</v>
      </c>
      <c r="DA114" s="102">
        <v>3802.8034295700004</v>
      </c>
      <c r="DB114" s="102">
        <v>1184.6300422899999</v>
      </c>
      <c r="DC114" s="102">
        <v>1190.3229706500001</v>
      </c>
      <c r="DD114" s="102">
        <v>1238.1917171600001</v>
      </c>
      <c r="DE114" s="102">
        <v>1411.5205631199999</v>
      </c>
      <c r="DF114" s="102">
        <v>1504.19977191</v>
      </c>
      <c r="DG114" s="102">
        <v>1761.3485905699999</v>
      </c>
      <c r="DH114" s="102">
        <v>1870.0387588699998</v>
      </c>
      <c r="DJ114" s="1083" t="e">
        <v>#VALUE!</v>
      </c>
      <c r="DK114" s="1083" t="e">
        <v>#VALUE!</v>
      </c>
      <c r="DL114" s="1083" t="e">
        <v>#VALUE!</v>
      </c>
      <c r="DM114" s="1083" t="e">
        <v>#VALUE!</v>
      </c>
      <c r="DN114" s="1083" t="e">
        <v>#VALUE!</v>
      </c>
      <c r="DO114" s="1083" t="e">
        <v>#VALUE!</v>
      </c>
      <c r="DP114" s="1083" t="e">
        <v>#VALUE!</v>
      </c>
      <c r="DQ114" s="1083" t="e">
        <v>#VALUE!</v>
      </c>
      <c r="DR114" s="1083" t="e">
        <v>#VALUE!</v>
      </c>
      <c r="DS114" s="1083" t="e">
        <v>#VALUE!</v>
      </c>
      <c r="DT114" s="1083" t="e">
        <v>#VALUE!</v>
      </c>
      <c r="DU114" s="1083" t="e">
        <v>#VALUE!</v>
      </c>
      <c r="DW114" s="102">
        <v>5432.2364198534005</v>
      </c>
      <c r="DX114" s="102">
        <v>4982.6985832037008</v>
      </c>
      <c r="DY114" s="102">
        <v>4920.8835433942477</v>
      </c>
      <c r="DZ114" s="102">
        <v>1410.692471037496</v>
      </c>
      <c r="EA114" s="102">
        <v>1564.7342914771687</v>
      </c>
      <c r="EB114" s="102">
        <v>1759.4141337804174</v>
      </c>
      <c r="EC114" s="102">
        <v>1887.8943011566671</v>
      </c>
      <c r="ED114" s="102">
        <v>2200.8558334599161</v>
      </c>
      <c r="EE114" s="102">
        <v>2475.3849220794659</v>
      </c>
      <c r="EF114" s="102">
        <v>2827.6727689160143</v>
      </c>
      <c r="EG114" s="102">
        <v>3007.9717504307646</v>
      </c>
      <c r="EH114" s="102">
        <v>3810.8845711231384</v>
      </c>
      <c r="EI114" s="102">
        <v>3625.5529963892382</v>
      </c>
      <c r="EJ114" s="102">
        <v>3678.9099347194606</v>
      </c>
      <c r="EK114" s="102">
        <v>3784.8954321991278</v>
      </c>
      <c r="EL114" s="102">
        <v>3919.3985822461791</v>
      </c>
      <c r="EM114" s="102">
        <v>4084.6997211961984</v>
      </c>
      <c r="EN114" s="102">
        <v>4229.4612865741901</v>
      </c>
      <c r="EO114" s="102">
        <v>4330.2309900021219</v>
      </c>
      <c r="EP114" s="102">
        <v>4469.4755789384362</v>
      </c>
      <c r="EQ114" s="102">
        <v>4660.2428281211332</v>
      </c>
      <c r="ER114" s="102">
        <v>4833.4448819074878</v>
      </c>
      <c r="ES114" s="102">
        <v>5027.9477039724952</v>
      </c>
      <c r="ET114" s="102">
        <v>5220.2037087832059</v>
      </c>
      <c r="EU114" s="102">
        <v>1784.1071315426498</v>
      </c>
      <c r="EV114" s="102">
        <v>1999.5179701860636</v>
      </c>
      <c r="EW114" s="102">
        <v>2222.3373232817635</v>
      </c>
      <c r="EX114" s="102">
        <v>2426.618994528254</v>
      </c>
      <c r="EY114" s="102">
        <v>2641.6461319039304</v>
      </c>
      <c r="EZ114" s="102">
        <v>2830.4700864656625</v>
      </c>
      <c r="FA114" s="102">
        <v>3038.5492908239848</v>
      </c>
      <c r="FB114" s="102">
        <v>3186.0134278547207</v>
      </c>
      <c r="FC114" s="102">
        <v>3295.9525562723206</v>
      </c>
      <c r="FD114" s="102">
        <v>3384.6977108723208</v>
      </c>
      <c r="FE114" s="102">
        <v>3485.258662112321</v>
      </c>
      <c r="FF114" s="102">
        <v>3578.5275721043204</v>
      </c>
      <c r="FG114" s="102" t="e">
        <v>#VALUE!</v>
      </c>
      <c r="FH114" s="102" t="e">
        <v>#VALUE!</v>
      </c>
      <c r="FI114" s="102" t="e">
        <v>#VALUE!</v>
      </c>
      <c r="FJ114" s="102" t="e">
        <v>#VALUE!</v>
      </c>
      <c r="FK114" s="102" t="e">
        <v>#VALUE!</v>
      </c>
      <c r="FL114" s="102" t="e">
        <v>#VALUE!</v>
      </c>
      <c r="FM114" s="102" t="e">
        <v>#VALUE!</v>
      </c>
      <c r="FN114" s="102" t="e">
        <v>#VALUE!</v>
      </c>
      <c r="FO114" s="102" t="e">
        <v>#VALUE!</v>
      </c>
      <c r="FP114" s="102" t="e">
        <v>#VALUE!</v>
      </c>
      <c r="FQ114" s="102" t="e">
        <v>#VALUE!</v>
      </c>
      <c r="FR114" s="102" t="e">
        <v>#VALUE!</v>
      </c>
      <c r="FS114" s="102" t="e">
        <v>#VALUE!</v>
      </c>
      <c r="FT114" s="102" t="e">
        <v>#VALUE!</v>
      </c>
      <c r="FU114" s="102" t="e">
        <v>#VALUE!</v>
      </c>
      <c r="FV114" s="102" t="e">
        <v>#VALUE!</v>
      </c>
      <c r="FW114" s="102" t="e">
        <v>#VALUE!</v>
      </c>
      <c r="FX114" s="102" t="e">
        <v>#VALUE!</v>
      </c>
      <c r="FY114" s="102" t="e">
        <v>#VALUE!</v>
      </c>
      <c r="FZ114" s="102" t="e">
        <v>#VALUE!</v>
      </c>
      <c r="GA114" s="102" t="e">
        <v>#VALUE!</v>
      </c>
      <c r="GB114" s="102" t="e">
        <v>#VALUE!</v>
      </c>
      <c r="GC114" s="102" t="e">
        <v>#VALUE!</v>
      </c>
      <c r="GD114" s="102" t="e">
        <v>#VALUE!</v>
      </c>
      <c r="GF114" s="102">
        <f t="shared" si="406"/>
        <v>3463.3354494200003</v>
      </c>
      <c r="GG114" s="102">
        <f t="shared" si="406"/>
        <v>4657.64484705</v>
      </c>
      <c r="GH114" s="102">
        <f t="shared" si="406"/>
        <v>5112.3382132200004</v>
      </c>
      <c r="GI114" s="102">
        <f t="shared" si="406"/>
        <v>3277.0963567700001</v>
      </c>
      <c r="GJ114" s="102">
        <f t="shared" si="434"/>
        <v>1528</v>
      </c>
      <c r="GK114" s="102">
        <f t="shared" si="407"/>
        <v>1657.90942002</v>
      </c>
      <c r="GL114" s="102">
        <f t="shared" si="435"/>
        <v>1594.9852257299999</v>
      </c>
      <c r="GM114" s="102">
        <f t="shared" si="408"/>
        <v>2910.1309270500001</v>
      </c>
      <c r="GN114" s="102" t="e">
        <f t="shared" si="409"/>
        <v>#VALUE!</v>
      </c>
      <c r="GO114" s="102">
        <v>1870.0387588699998</v>
      </c>
      <c r="GQ114" s="929">
        <f t="shared" si="440"/>
        <v>9.7623022171385188E-2</v>
      </c>
      <c r="GR114" s="929">
        <f t="shared" si="440"/>
        <v>-0.35898287239765292</v>
      </c>
      <c r="GS114" s="929">
        <f t="shared" si="440"/>
        <v>-0.53373357580915304</v>
      </c>
      <c r="GT114" s="929">
        <f t="shared" si="410"/>
        <v>8.5019253939790485E-2</v>
      </c>
      <c r="GU114" s="929">
        <f t="shared" si="410"/>
        <v>-3.7953939781125712E-2</v>
      </c>
      <c r="GV114" s="929">
        <f t="shared" si="410"/>
        <v>0.82455039714745859</v>
      </c>
      <c r="GW114" s="929" t="str">
        <f t="shared" si="399"/>
        <v/>
      </c>
      <c r="GX114" s="929" t="str">
        <f t="shared" si="399"/>
        <v/>
      </c>
      <c r="GY114" s="929">
        <f t="shared" si="249"/>
        <v>-0.35740390870810124</v>
      </c>
      <c r="HA114" s="102">
        <f t="shared" si="441"/>
        <v>454.69336617000044</v>
      </c>
      <c r="HB114" s="102">
        <f t="shared" si="441"/>
        <v>-1835.2418564500003</v>
      </c>
      <c r="HC114" s="102">
        <f t="shared" si="441"/>
        <v>-1749.0963567700001</v>
      </c>
      <c r="HD114" s="102">
        <f t="shared" si="411"/>
        <v>129.90942001999997</v>
      </c>
      <c r="HE114" s="102">
        <f t="shared" si="400"/>
        <v>-62.924194290000059</v>
      </c>
      <c r="HF114" s="102">
        <f t="shared" si="400"/>
        <v>1315.1457013200002</v>
      </c>
      <c r="HG114" s="102" t="e">
        <f t="shared" si="400"/>
        <v>#VALUE!</v>
      </c>
      <c r="HH114" s="102" t="e">
        <f t="shared" si="400"/>
        <v>#VALUE!</v>
      </c>
      <c r="HI114" s="102">
        <f t="shared" si="251"/>
        <v>-1040.0921681800003</v>
      </c>
      <c r="HK114" s="973"/>
      <c r="HL114" s="973"/>
      <c r="HM114" s="973"/>
      <c r="HN114" s="973"/>
      <c r="HO114" s="973"/>
      <c r="HP114" s="973"/>
      <c r="HQ114" s="973"/>
      <c r="HR114" s="973"/>
      <c r="HS114" s="973"/>
      <c r="HU114" s="102">
        <f t="shared" si="442"/>
        <v>2735.3793700799997</v>
      </c>
      <c r="HV114" s="102">
        <f t="shared" si="442"/>
        <v>2520.5635277000001</v>
      </c>
      <c r="HW114" s="102">
        <f t="shared" si="442"/>
        <v>3074.1638925100001</v>
      </c>
      <c r="HX114" s="102">
        <f t="shared" si="442"/>
        <v>2345.4523824399998</v>
      </c>
      <c r="HY114" s="102">
        <f t="shared" si="413"/>
        <v>3010.68039636</v>
      </c>
      <c r="HZ114" s="102">
        <f t="shared" si="413"/>
        <v>1521.60070531</v>
      </c>
      <c r="IA114" s="102">
        <f t="shared" si="414"/>
        <v>2297.3449309499997</v>
      </c>
      <c r="IB114" s="102">
        <f t="shared" si="415"/>
        <v>2721.40378629</v>
      </c>
      <c r="IC114" s="102">
        <f t="shared" si="416"/>
        <v>1184.6300422899999</v>
      </c>
      <c r="ID114" s="102" t="e">
        <f t="shared" si="417"/>
        <v>#VALUE!</v>
      </c>
      <c r="IE114" s="102" t="e">
        <f t="shared" si="418"/>
        <v>#VALUE!</v>
      </c>
      <c r="IG114" s="102" t="e">
        <f t="shared" si="436"/>
        <v>#VALUE!</v>
      </c>
      <c r="IH114" s="102" t="e">
        <f t="shared" si="437"/>
        <v>#VALUE!</v>
      </c>
      <c r="II114" s="145"/>
      <c r="IJ114" s="929" t="str">
        <f t="shared" si="419"/>
        <v>NA</v>
      </c>
      <c r="IK114" s="930" t="str">
        <f t="shared" si="420"/>
        <v>NA</v>
      </c>
      <c r="IM114" s="973"/>
      <c r="IN114" s="973"/>
      <c r="IP114" s="929">
        <f t="shared" si="438"/>
        <v>0.21963356952766722</v>
      </c>
      <c r="IQ114" s="929">
        <f t="shared" si="438"/>
        <v>-0.23704380623474841</v>
      </c>
      <c r="IR114" s="929">
        <f t="shared" si="438"/>
        <v>0.2836246085831664</v>
      </c>
      <c r="IS114" s="929">
        <f t="shared" si="438"/>
        <v>-0.49459905902012735</v>
      </c>
      <c r="IT114" s="929">
        <f t="shared" si="438"/>
        <v>0.50982115277210993</v>
      </c>
      <c r="IU114" s="929">
        <f t="shared" si="438"/>
        <v>0.18458649792943516</v>
      </c>
      <c r="IV114" s="929" t="str">
        <f t="shared" si="439"/>
        <v/>
      </c>
      <c r="IX114" s="102">
        <f t="shared" si="422"/>
        <v>553.60036480999997</v>
      </c>
      <c r="IY114" s="102">
        <f t="shared" si="422"/>
        <v>-728.71151007000026</v>
      </c>
      <c r="IZ114" s="102">
        <f t="shared" si="422"/>
        <v>665.22801392000019</v>
      </c>
      <c r="JA114" s="102">
        <f t="shared" si="422"/>
        <v>-1489.0796910500001</v>
      </c>
      <c r="JB114" s="102">
        <f t="shared" si="422"/>
        <v>775.74422563999974</v>
      </c>
      <c r="JC114" s="102">
        <f t="shared" si="422"/>
        <v>424.05885534000026</v>
      </c>
      <c r="JD114" s="102" t="e">
        <f t="shared" si="423"/>
        <v>#VALUE!</v>
      </c>
      <c r="JF114" s="973"/>
      <c r="JG114" s="973"/>
      <c r="JH114" s="973"/>
      <c r="JI114" s="973"/>
      <c r="JJ114" s="973"/>
      <c r="JK114" s="973"/>
      <c r="JL114" s="973"/>
      <c r="JM114" s="973"/>
      <c r="JO114" s="102">
        <f t="shared" si="424"/>
        <v>2735.3793700799997</v>
      </c>
      <c r="JP114" s="102">
        <f t="shared" si="424"/>
        <v>2520.5635277000001</v>
      </c>
      <c r="JQ114" s="102">
        <f t="shared" si="424"/>
        <v>3074.1638925100001</v>
      </c>
      <c r="JR114" s="102">
        <f t="shared" si="424"/>
        <v>2345.4523824399998</v>
      </c>
      <c r="JS114" s="102">
        <f t="shared" si="424"/>
        <v>3010.68039636</v>
      </c>
      <c r="JT114" s="102">
        <f t="shared" si="425"/>
        <v>1521.60070531</v>
      </c>
      <c r="JU114" s="102">
        <f t="shared" si="426"/>
        <v>2297.3449309499997</v>
      </c>
      <c r="JV114" s="102">
        <f t="shared" si="427"/>
        <v>2721.40378629</v>
      </c>
      <c r="JW114" s="102">
        <f t="shared" si="427"/>
        <v>1184.6300422899999</v>
      </c>
      <c r="JX114" s="102" t="e">
        <f t="shared" si="428"/>
        <v>#VALUE!</v>
      </c>
      <c r="JY114" s="102" t="e">
        <f t="shared" si="429"/>
        <v>#VALUE!</v>
      </c>
      <c r="KB114" s="32">
        <f t="shared" si="430"/>
        <v>0.21963356952766722</v>
      </c>
      <c r="KC114" s="32">
        <f t="shared" si="430"/>
        <v>-0.23704380623474841</v>
      </c>
      <c r="KD114" s="32">
        <f t="shared" si="430"/>
        <v>0.2836246085831664</v>
      </c>
      <c r="KE114" s="32">
        <f t="shared" si="430"/>
        <v>-0.49459905902012735</v>
      </c>
      <c r="KF114" s="32">
        <f t="shared" si="430"/>
        <v>0.50982115277210993</v>
      </c>
      <c r="KG114" s="32">
        <f t="shared" si="430"/>
        <v>0.18458649792943516</v>
      </c>
      <c r="KH114" s="32" t="str">
        <f t="shared" si="431"/>
        <v xml:space="preserve"> </v>
      </c>
      <c r="KJ114" s="102">
        <f t="shared" si="432"/>
        <v>553.60036480999997</v>
      </c>
      <c r="KK114" s="102">
        <f t="shared" si="432"/>
        <v>-728.71151007000026</v>
      </c>
      <c r="KL114" s="102">
        <f t="shared" si="432"/>
        <v>665.22801392000019</v>
      </c>
      <c r="KM114" s="102">
        <f t="shared" si="432"/>
        <v>-1489.0796910500001</v>
      </c>
      <c r="KN114" s="102">
        <f t="shared" si="432"/>
        <v>775.74422563999974</v>
      </c>
      <c r="KO114" s="102">
        <f t="shared" si="432"/>
        <v>424.05885534000026</v>
      </c>
      <c r="KP114" s="102" t="e">
        <f t="shared" si="433"/>
        <v>#VALUE!</v>
      </c>
      <c r="KR114" s="973"/>
      <c r="KS114" s="973"/>
      <c r="KT114" s="973"/>
      <c r="KU114" s="973"/>
      <c r="KV114" s="973"/>
      <c r="KW114" s="973"/>
      <c r="KX114" s="973"/>
      <c r="KY114" s="973"/>
      <c r="KZ114" s="973"/>
    </row>
    <row r="115" spans="1:312" outlineLevel="1">
      <c r="A115" s="884">
        <v>14</v>
      </c>
      <c r="B115" s="70" t="s">
        <v>688</v>
      </c>
      <c r="C115" s="17" t="s">
        <v>115</v>
      </c>
      <c r="D115" s="31" t="s">
        <v>59</v>
      </c>
      <c r="E115" s="102">
        <v>0</v>
      </c>
      <c r="F115" s="102">
        <v>0</v>
      </c>
      <c r="G115" s="102">
        <v>0</v>
      </c>
      <c r="H115" s="102">
        <v>0</v>
      </c>
      <c r="I115" s="102">
        <v>0</v>
      </c>
      <c r="J115" s="102">
        <v>0</v>
      </c>
      <c r="K115" s="102">
        <v>0</v>
      </c>
      <c r="L115" s="102">
        <v>0</v>
      </c>
      <c r="M115" s="102">
        <v>0</v>
      </c>
      <c r="N115" s="102">
        <v>487.94608324000001</v>
      </c>
      <c r="O115" s="102">
        <v>486.60923295999999</v>
      </c>
      <c r="P115" s="102">
        <v>548.95273213999997</v>
      </c>
      <c r="Q115" s="102">
        <v>760.07285590000004</v>
      </c>
      <c r="R115" s="102">
        <v>791.97802522999996</v>
      </c>
      <c r="S115" s="102">
        <v>532.42285036999999</v>
      </c>
      <c r="T115" s="102">
        <v>553.85198849000005</v>
      </c>
      <c r="U115" s="102">
        <v>495.01385831000005</v>
      </c>
      <c r="V115" s="102">
        <v>488.89970628000003</v>
      </c>
      <c r="W115" s="102">
        <v>503.34802568999999</v>
      </c>
      <c r="X115" s="102">
        <v>500.54201756999998</v>
      </c>
      <c r="Y115" s="102">
        <v>518.44331277999993</v>
      </c>
      <c r="Z115" s="102">
        <v>521.29766328000005</v>
      </c>
      <c r="AA115" s="102">
        <v>506.95406381999993</v>
      </c>
      <c r="AB115" s="102">
        <v>404.07414027000004</v>
      </c>
      <c r="AC115" s="102">
        <v>396.81334751000003</v>
      </c>
      <c r="AD115" s="102">
        <v>387.77895488000001</v>
      </c>
      <c r="AE115" s="102">
        <v>371.50540468000003</v>
      </c>
      <c r="AF115" s="102">
        <v>377.38166436000006</v>
      </c>
      <c r="AG115" s="102">
        <v>384.64692274999993</v>
      </c>
      <c r="AH115" s="102">
        <v>369.79821493999998</v>
      </c>
      <c r="AI115" s="102">
        <v>364.01100280000003</v>
      </c>
      <c r="AJ115" s="102">
        <v>334.02532107000002</v>
      </c>
      <c r="AK115" s="102">
        <v>361.92356613999999</v>
      </c>
      <c r="AL115" s="102">
        <v>348.60241199000001</v>
      </c>
      <c r="AM115" s="102">
        <v>367.98729913</v>
      </c>
      <c r="AN115" s="145">
        <v>308.08695413999999</v>
      </c>
      <c r="AO115" s="102">
        <v>333.04852416</v>
      </c>
      <c r="AP115" s="145">
        <v>275.12343793000002</v>
      </c>
      <c r="AQ115" s="220">
        <v>292.11846942</v>
      </c>
      <c r="AR115" s="220">
        <v>296.17134817000004</v>
      </c>
      <c r="AS115" s="102">
        <v>308.95450019999998</v>
      </c>
      <c r="AT115" s="102">
        <v>351.73687254999999</v>
      </c>
      <c r="AU115" s="102">
        <v>373.07492975999997</v>
      </c>
      <c r="AV115" s="102">
        <v>354.56105581999998</v>
      </c>
      <c r="AW115" s="102">
        <v>333.59656856999999</v>
      </c>
      <c r="AX115" s="102">
        <v>347.39427312999999</v>
      </c>
      <c r="AY115" s="102">
        <v>329.07778945000001</v>
      </c>
      <c r="AZ115" s="102">
        <f>392.14959927-6.49</f>
        <v>385.65959927</v>
      </c>
      <c r="BA115" s="102">
        <v>365.07953086999999</v>
      </c>
      <c r="BB115" s="102">
        <v>371.20675683999997</v>
      </c>
      <c r="BC115" s="102">
        <v>368.79314436000004</v>
      </c>
      <c r="BD115" s="102">
        <v>368.43246696</v>
      </c>
      <c r="BE115" s="102">
        <v>364.20507743000002</v>
      </c>
      <c r="BF115" s="102">
        <v>353.83322880999998</v>
      </c>
      <c r="BG115" s="102">
        <v>349.92336118000003</v>
      </c>
      <c r="BH115" s="102">
        <v>344.38770943000003</v>
      </c>
      <c r="BI115" s="102">
        <v>375.48792610999999</v>
      </c>
      <c r="BJ115" s="102">
        <v>361.65159611000001</v>
      </c>
      <c r="BK115" s="102">
        <v>337.21908267999999</v>
      </c>
      <c r="BL115" s="145">
        <v>348.22277494000002</v>
      </c>
      <c r="BM115" s="974">
        <v>379.8373249</v>
      </c>
      <c r="BN115" s="102">
        <v>374.19862716</v>
      </c>
      <c r="BO115" s="102">
        <v>350.63426877000001</v>
      </c>
      <c r="BP115" s="102">
        <v>382.83040231000001</v>
      </c>
      <c r="BQ115" s="102">
        <v>428.90712888999997</v>
      </c>
      <c r="BR115" s="102">
        <v>460.66345108999997</v>
      </c>
      <c r="BS115" s="102">
        <v>413.11595762000002</v>
      </c>
      <c r="BT115" s="102">
        <v>430.48169127</v>
      </c>
      <c r="BU115" s="102">
        <v>478.70084055000001</v>
      </c>
      <c r="BV115" s="102">
        <v>513.47037743999999</v>
      </c>
      <c r="BW115" s="102">
        <v>548.95937744000003</v>
      </c>
      <c r="BX115" s="102">
        <v>584.44420807000006</v>
      </c>
      <c r="BY115" s="102">
        <v>550.07096779999995</v>
      </c>
      <c r="BZ115" s="102">
        <v>568.7834005499999</v>
      </c>
      <c r="CA115" s="102">
        <v>535.81916844</v>
      </c>
      <c r="CB115" s="102">
        <v>535.21874089999994</v>
      </c>
      <c r="CC115" s="102">
        <v>521.64548737999996</v>
      </c>
      <c r="CD115" s="102">
        <v>516.78568199999995</v>
      </c>
      <c r="CE115" s="102">
        <v>539.54502174000004</v>
      </c>
      <c r="CF115" s="102">
        <v>555.18561277000003</v>
      </c>
      <c r="CG115" s="102">
        <v>607.84201255999994</v>
      </c>
      <c r="CH115" s="102">
        <v>643.41665016999991</v>
      </c>
      <c r="CI115" s="102">
        <v>625.02742459000001</v>
      </c>
      <c r="CJ115" s="102">
        <v>664.91499580999994</v>
      </c>
      <c r="CK115" s="102">
        <v>691.55315328999995</v>
      </c>
      <c r="CL115" s="102">
        <v>711.75095544999999</v>
      </c>
      <c r="CM115" s="102">
        <v>720.25226729999997</v>
      </c>
      <c r="CN115" s="102">
        <v>694.89777312000001</v>
      </c>
      <c r="CO115" s="102">
        <v>747.76567334000003</v>
      </c>
      <c r="CP115" s="102">
        <v>745.77197363999994</v>
      </c>
      <c r="CQ115" s="102">
        <v>822.63156101999994</v>
      </c>
      <c r="CR115" s="102">
        <v>873.75509170000009</v>
      </c>
      <c r="CS115" s="102">
        <v>885.30963287999998</v>
      </c>
      <c r="CT115" s="102">
        <v>913.25467628999991</v>
      </c>
      <c r="CU115" s="102">
        <v>871.61433838999994</v>
      </c>
      <c r="CV115" s="102">
        <v>913.49819362000005</v>
      </c>
      <c r="CW115" s="102">
        <v>940.59801626000001</v>
      </c>
      <c r="CX115" s="102">
        <v>950.43614941999999</v>
      </c>
      <c r="CY115" s="102">
        <v>990.07806254999991</v>
      </c>
      <c r="CZ115" s="102">
        <v>990.07806254999991</v>
      </c>
      <c r="DA115" s="102">
        <v>982.30606254999998</v>
      </c>
      <c r="DB115" s="102">
        <v>973.5210625499999</v>
      </c>
      <c r="DC115" s="102">
        <v>994.83678254999995</v>
      </c>
      <c r="DD115" s="102">
        <v>984.83678254999995</v>
      </c>
      <c r="DE115" s="102">
        <v>1112.9367885499998</v>
      </c>
      <c r="DF115" s="102">
        <v>1018.08313255</v>
      </c>
      <c r="DG115" s="102">
        <v>992.52659754999991</v>
      </c>
      <c r="DH115" s="102">
        <v>1152.97058655</v>
      </c>
      <c r="DJ115" s="1083">
        <v>940.59801626000001</v>
      </c>
      <c r="DK115" s="1083">
        <v>950.43614941999999</v>
      </c>
      <c r="DL115" s="1083">
        <v>990.07806254999991</v>
      </c>
      <c r="DM115" s="1083">
        <v>990.07806254999991</v>
      </c>
      <c r="DN115" s="1083">
        <v>982.30606254999998</v>
      </c>
      <c r="DO115" s="1083">
        <v>973.5210625499999</v>
      </c>
      <c r="DP115" s="1083">
        <v>994.83678254999995</v>
      </c>
      <c r="DQ115" s="1083">
        <v>984.83678254999995</v>
      </c>
      <c r="DR115" s="1083">
        <v>1112.9367885499998</v>
      </c>
      <c r="DS115" s="1083">
        <v>1018.08313255</v>
      </c>
      <c r="DT115" s="1083">
        <v>959.92503554999996</v>
      </c>
      <c r="DU115" s="1083">
        <v>841.76693854999996</v>
      </c>
      <c r="DW115" s="102">
        <v>267.30653996000001</v>
      </c>
      <c r="DX115" s="102">
        <v>267.30653996000001</v>
      </c>
      <c r="DY115" s="102">
        <v>267.30653996000001</v>
      </c>
      <c r="DZ115" s="102">
        <v>267.30653996000001</v>
      </c>
      <c r="EA115" s="102">
        <v>267.30653996000001</v>
      </c>
      <c r="EB115" s="102">
        <v>267.30653996000001</v>
      </c>
      <c r="EC115" s="102">
        <v>267.30653996000001</v>
      </c>
      <c r="ED115" s="102">
        <v>267.30653996000001</v>
      </c>
      <c r="EE115" s="102">
        <v>267.30653996000001</v>
      </c>
      <c r="EF115" s="102">
        <v>267.30653996000001</v>
      </c>
      <c r="EG115" s="102">
        <v>267.30653996000001</v>
      </c>
      <c r="EH115" s="102">
        <v>267.30653996000001</v>
      </c>
      <c r="EI115" s="102">
        <v>391.56955643000003</v>
      </c>
      <c r="EJ115" s="102">
        <v>391.56955643000003</v>
      </c>
      <c r="EK115" s="102">
        <v>391.56955643000003</v>
      </c>
      <c r="EL115" s="102">
        <v>391.56955643000003</v>
      </c>
      <c r="EM115" s="102">
        <v>391.56955643000003</v>
      </c>
      <c r="EN115" s="102">
        <v>391.56955643000003</v>
      </c>
      <c r="EO115" s="102">
        <v>391.56955643000003</v>
      </c>
      <c r="EP115" s="102">
        <v>391.56955643000003</v>
      </c>
      <c r="EQ115" s="102">
        <v>391.56955643000003</v>
      </c>
      <c r="ER115" s="102">
        <v>391.56955643000003</v>
      </c>
      <c r="ES115" s="102">
        <v>391.56955643000003</v>
      </c>
      <c r="ET115" s="102">
        <v>391.56955643000003</v>
      </c>
      <c r="EU115" s="102">
        <v>348.50292524000002</v>
      </c>
      <c r="EV115" s="102">
        <v>348.50292524000002</v>
      </c>
      <c r="EW115" s="102">
        <v>348.50292524000002</v>
      </c>
      <c r="EX115" s="102">
        <v>348.50292524000002</v>
      </c>
      <c r="EY115" s="102">
        <v>348.50292524000002</v>
      </c>
      <c r="EZ115" s="102">
        <v>348.50292524000002</v>
      </c>
      <c r="FA115" s="102">
        <v>348.50292524000002</v>
      </c>
      <c r="FB115" s="102">
        <v>348.50292524000002</v>
      </c>
      <c r="FC115" s="102">
        <v>348.50292524000002</v>
      </c>
      <c r="FD115" s="102">
        <v>348.50292524000002</v>
      </c>
      <c r="FE115" s="102">
        <v>348.50292524000002</v>
      </c>
      <c r="FF115" s="102">
        <v>348.50292524000002</v>
      </c>
      <c r="FG115" s="102" t="e">
        <v>#VALUE!</v>
      </c>
      <c r="FH115" s="102" t="e">
        <v>#VALUE!</v>
      </c>
      <c r="FI115" s="102" t="e">
        <v>#VALUE!</v>
      </c>
      <c r="FJ115" s="102" t="e">
        <v>#VALUE!</v>
      </c>
      <c r="FK115" s="102" t="e">
        <v>#VALUE!</v>
      </c>
      <c r="FL115" s="102" t="e">
        <v>#VALUE!</v>
      </c>
      <c r="FM115" s="102" t="e">
        <v>#VALUE!</v>
      </c>
      <c r="FN115" s="102" t="e">
        <v>#VALUE!</v>
      </c>
      <c r="FO115" s="102" t="e">
        <v>#VALUE!</v>
      </c>
      <c r="FP115" s="102" t="e">
        <v>#VALUE!</v>
      </c>
      <c r="FQ115" s="102" t="e">
        <v>#VALUE!</v>
      </c>
      <c r="FR115" s="102" t="e">
        <v>#VALUE!</v>
      </c>
      <c r="FS115" s="102" t="e">
        <v>#VALUE!</v>
      </c>
      <c r="FT115" s="102" t="e">
        <v>#VALUE!</v>
      </c>
      <c r="FU115" s="102" t="e">
        <v>#VALUE!</v>
      </c>
      <c r="FV115" s="102" t="e">
        <v>#VALUE!</v>
      </c>
      <c r="FW115" s="102" t="e">
        <v>#VALUE!</v>
      </c>
      <c r="FX115" s="102" t="e">
        <v>#VALUE!</v>
      </c>
      <c r="FY115" s="102" t="e">
        <v>#VALUE!</v>
      </c>
      <c r="FZ115" s="102" t="e">
        <v>#VALUE!</v>
      </c>
      <c r="GA115" s="102" t="e">
        <v>#VALUE!</v>
      </c>
      <c r="GB115" s="102" t="e">
        <v>#VALUE!</v>
      </c>
      <c r="GC115" s="102" t="e">
        <v>#VALUE!</v>
      </c>
      <c r="GD115" s="102" t="e">
        <v>#VALUE!</v>
      </c>
      <c r="GF115" s="102">
        <f t="shared" si="406"/>
        <v>548.95273213999997</v>
      </c>
      <c r="GG115" s="102">
        <f t="shared" si="406"/>
        <v>404.07414027000004</v>
      </c>
      <c r="GH115" s="102">
        <f t="shared" si="406"/>
        <v>308.08695413999999</v>
      </c>
      <c r="GI115" s="102">
        <f t="shared" si="406"/>
        <v>385.65959927</v>
      </c>
      <c r="GJ115" s="102">
        <f t="shared" si="434"/>
        <v>348.22277494000002</v>
      </c>
      <c r="GK115" s="102">
        <f t="shared" si="407"/>
        <v>584.44420807000006</v>
      </c>
      <c r="GL115" s="102">
        <f t="shared" si="435"/>
        <v>664.91499580999994</v>
      </c>
      <c r="GM115" s="102">
        <f t="shared" si="408"/>
        <v>913.49819362000005</v>
      </c>
      <c r="GN115" s="102" t="e">
        <f t="shared" si="409"/>
        <v>#VALUE!</v>
      </c>
      <c r="GO115" s="102">
        <v>1152.97058655</v>
      </c>
      <c r="GQ115" s="929">
        <f t="shared" si="440"/>
        <v>-0.23754845104876532</v>
      </c>
      <c r="GR115" s="929">
        <f t="shared" si="440"/>
        <v>0.25178815294707246</v>
      </c>
      <c r="GS115" s="929">
        <f t="shared" si="440"/>
        <v>-9.7072196312143366E-2</v>
      </c>
      <c r="GT115" s="929">
        <f t="shared" si="410"/>
        <v>0.67836296224651527</v>
      </c>
      <c r="GU115" s="929">
        <f t="shared" si="410"/>
        <v>0.1376877153180065</v>
      </c>
      <c r="GV115" s="929">
        <f t="shared" si="410"/>
        <v>0.37385710861758481</v>
      </c>
      <c r="GW115" s="929" t="str">
        <f t="shared" si="399"/>
        <v/>
      </c>
      <c r="GX115" s="929" t="str">
        <f t="shared" si="399"/>
        <v/>
      </c>
      <c r="GY115" s="929">
        <f t="shared" si="249"/>
        <v>0.26214873176817299</v>
      </c>
      <c r="HA115" s="102">
        <f t="shared" si="441"/>
        <v>-95.987186130000055</v>
      </c>
      <c r="HB115" s="102">
        <f t="shared" si="441"/>
        <v>77.572645130000012</v>
      </c>
      <c r="HC115" s="102">
        <f t="shared" si="441"/>
        <v>-37.436824329999979</v>
      </c>
      <c r="HD115" s="102">
        <f t="shared" si="411"/>
        <v>236.22143313000004</v>
      </c>
      <c r="HE115" s="102">
        <f t="shared" si="400"/>
        <v>80.470787739999878</v>
      </c>
      <c r="HF115" s="102">
        <f t="shared" si="400"/>
        <v>248.58319781000012</v>
      </c>
      <c r="HG115" s="102" t="e">
        <f t="shared" si="400"/>
        <v>#VALUE!</v>
      </c>
      <c r="HH115" s="102" t="e">
        <f t="shared" si="400"/>
        <v>#VALUE!</v>
      </c>
      <c r="HI115" s="102">
        <f t="shared" si="251"/>
        <v>239.47239292999996</v>
      </c>
      <c r="HK115" s="973"/>
      <c r="HL115" s="973"/>
      <c r="HM115" s="973"/>
      <c r="HN115" s="973"/>
      <c r="HO115" s="973"/>
      <c r="HP115" s="973"/>
      <c r="HQ115" s="973"/>
      <c r="HR115" s="973"/>
      <c r="HS115" s="973"/>
      <c r="HU115" s="102">
        <f t="shared" si="442"/>
        <v>0</v>
      </c>
      <c r="HV115" s="102">
        <f t="shared" si="442"/>
        <v>488.89970628000003</v>
      </c>
      <c r="HW115" s="102">
        <f t="shared" si="442"/>
        <v>369.79821493999998</v>
      </c>
      <c r="HX115" s="102">
        <f t="shared" si="442"/>
        <v>351.73687254999999</v>
      </c>
      <c r="HY115" s="102">
        <f t="shared" si="413"/>
        <v>353.83322880999998</v>
      </c>
      <c r="HZ115" s="102">
        <f t="shared" si="413"/>
        <v>460.66345108999997</v>
      </c>
      <c r="IA115" s="102">
        <f t="shared" si="414"/>
        <v>516.78568199999995</v>
      </c>
      <c r="IB115" s="102">
        <f t="shared" si="415"/>
        <v>745.77197363999994</v>
      </c>
      <c r="IC115" s="102">
        <f t="shared" si="416"/>
        <v>973.5210625499999</v>
      </c>
      <c r="ID115" s="102" t="e">
        <f t="shared" si="417"/>
        <v>#VALUE!</v>
      </c>
      <c r="IE115" s="102">
        <f t="shared" si="418"/>
        <v>973.5210625499999</v>
      </c>
      <c r="IG115" s="102">
        <f t="shared" si="436"/>
        <v>973.5210625499999</v>
      </c>
      <c r="IH115" s="102" t="e">
        <f t="shared" si="437"/>
        <v>#VALUE!</v>
      </c>
      <c r="II115" s="145"/>
      <c r="IJ115" s="929" t="str">
        <f t="shared" si="419"/>
        <v>NA</v>
      </c>
      <c r="IK115" s="930" t="str">
        <f t="shared" si="420"/>
        <v>NA</v>
      </c>
      <c r="IM115" s="973"/>
      <c r="IN115" s="973"/>
      <c r="IP115" s="929">
        <f t="shared" si="438"/>
        <v>-0.24361129657089398</v>
      </c>
      <c r="IQ115" s="929">
        <f t="shared" si="438"/>
        <v>-4.8841075106137111E-2</v>
      </c>
      <c r="IR115" s="929">
        <f t="shared" si="438"/>
        <v>5.9600127925227842E-3</v>
      </c>
      <c r="IS115" s="929">
        <f t="shared" si="438"/>
        <v>0.3019225261552958</v>
      </c>
      <c r="IT115" s="929">
        <f t="shared" si="438"/>
        <v>0.12182913746946111</v>
      </c>
      <c r="IU115" s="929">
        <f t="shared" si="438"/>
        <v>0.44309720570006039</v>
      </c>
      <c r="IV115" s="929">
        <f t="shared" si="439"/>
        <v>0.30538703110334264</v>
      </c>
      <c r="IX115" s="102">
        <f t="shared" si="422"/>
        <v>-119.10149134000005</v>
      </c>
      <c r="IY115" s="102">
        <f t="shared" si="422"/>
        <v>-18.061342389999993</v>
      </c>
      <c r="IZ115" s="102">
        <f t="shared" si="422"/>
        <v>2.0963562599999932</v>
      </c>
      <c r="JA115" s="102">
        <f t="shared" si="422"/>
        <v>106.83022227999999</v>
      </c>
      <c r="JB115" s="102">
        <f t="shared" si="422"/>
        <v>56.122230909999985</v>
      </c>
      <c r="JC115" s="102">
        <f t="shared" si="422"/>
        <v>228.98629163999999</v>
      </c>
      <c r="JD115" s="102">
        <f t="shared" si="423"/>
        <v>227.74908890999995</v>
      </c>
      <c r="JF115" s="973"/>
      <c r="JG115" s="973"/>
      <c r="JH115" s="973"/>
      <c r="JI115" s="973"/>
      <c r="JJ115" s="973"/>
      <c r="JK115" s="973"/>
      <c r="JL115" s="973"/>
      <c r="JM115" s="973"/>
      <c r="JO115" s="102">
        <f t="shared" si="424"/>
        <v>0</v>
      </c>
      <c r="JP115" s="102">
        <f t="shared" si="424"/>
        <v>488.89970628000003</v>
      </c>
      <c r="JQ115" s="102">
        <f t="shared" si="424"/>
        <v>369.79821493999998</v>
      </c>
      <c r="JR115" s="102">
        <f t="shared" si="424"/>
        <v>351.73687254999999</v>
      </c>
      <c r="JS115" s="102">
        <f t="shared" si="424"/>
        <v>353.83322880999998</v>
      </c>
      <c r="JT115" s="102">
        <f t="shared" si="425"/>
        <v>460.66345108999997</v>
      </c>
      <c r="JU115" s="102">
        <f t="shared" si="426"/>
        <v>516.78568199999995</v>
      </c>
      <c r="JV115" s="102">
        <f t="shared" si="427"/>
        <v>745.77197363999994</v>
      </c>
      <c r="JW115" s="102">
        <f t="shared" si="427"/>
        <v>973.5210625499999</v>
      </c>
      <c r="JX115" s="102" t="e">
        <f t="shared" si="428"/>
        <v>#VALUE!</v>
      </c>
      <c r="JY115" s="102">
        <f t="shared" si="429"/>
        <v>973.5210625499999</v>
      </c>
      <c r="KB115" s="32">
        <f t="shared" si="430"/>
        <v>-0.24361129657089398</v>
      </c>
      <c r="KC115" s="32">
        <f t="shared" si="430"/>
        <v>-4.8841075106137111E-2</v>
      </c>
      <c r="KD115" s="32">
        <f t="shared" si="430"/>
        <v>5.9600127925227842E-3</v>
      </c>
      <c r="KE115" s="32">
        <f t="shared" si="430"/>
        <v>0.3019225261552958</v>
      </c>
      <c r="KF115" s="32">
        <f t="shared" si="430"/>
        <v>0.12182913746946111</v>
      </c>
      <c r="KG115" s="32">
        <f t="shared" si="430"/>
        <v>0.44309720570006039</v>
      </c>
      <c r="KH115" s="32">
        <f t="shared" si="431"/>
        <v>0.30538703110334264</v>
      </c>
      <c r="KJ115" s="102">
        <f t="shared" si="432"/>
        <v>-119.10149134000005</v>
      </c>
      <c r="KK115" s="102">
        <f t="shared" si="432"/>
        <v>-18.061342389999993</v>
      </c>
      <c r="KL115" s="102">
        <f t="shared" si="432"/>
        <v>2.0963562599999932</v>
      </c>
      <c r="KM115" s="102">
        <f t="shared" si="432"/>
        <v>106.83022227999999</v>
      </c>
      <c r="KN115" s="102">
        <f t="shared" si="432"/>
        <v>56.122230909999985</v>
      </c>
      <c r="KO115" s="102">
        <f t="shared" si="432"/>
        <v>228.98629163999999</v>
      </c>
      <c r="KP115" s="102">
        <f t="shared" si="433"/>
        <v>227.74908890999995</v>
      </c>
      <c r="KR115" s="973"/>
      <c r="KS115" s="973"/>
      <c r="KT115" s="973"/>
      <c r="KU115" s="973"/>
      <c r="KV115" s="973"/>
      <c r="KW115" s="973"/>
      <c r="KX115" s="973"/>
      <c r="KY115" s="973"/>
      <c r="KZ115" s="973"/>
    </row>
    <row r="116" spans="1:312" outlineLevel="1">
      <c r="A116" s="884"/>
      <c r="B116" s="70"/>
      <c r="C116" s="17" t="s">
        <v>116</v>
      </c>
      <c r="D116" s="31" t="s">
        <v>59</v>
      </c>
      <c r="E116" s="102">
        <v>154.00426576000001</v>
      </c>
      <c r="F116" s="102">
        <v>156.57463952000001</v>
      </c>
      <c r="G116" s="102">
        <v>134.7297374</v>
      </c>
      <c r="H116" s="102">
        <v>189.93315557000003</v>
      </c>
      <c r="I116" s="102">
        <v>283.63037587000002</v>
      </c>
      <c r="J116" s="102">
        <v>229.60471624000002</v>
      </c>
      <c r="K116" s="102">
        <v>202.04296312</v>
      </c>
      <c r="L116" s="102">
        <v>204.06037214</v>
      </c>
      <c r="M116" s="102">
        <v>148.01083817999998</v>
      </c>
      <c r="N116" s="102">
        <v>259.74001757999997</v>
      </c>
      <c r="O116" s="102">
        <v>356.42666441</v>
      </c>
      <c r="P116" s="102">
        <v>303.26433100999998</v>
      </c>
      <c r="Q116" s="102">
        <v>489.31343468999995</v>
      </c>
      <c r="R116" s="102">
        <v>411.79869819999999</v>
      </c>
      <c r="S116" s="102">
        <v>453.53441457000002</v>
      </c>
      <c r="T116" s="102">
        <v>377.77203868999999</v>
      </c>
      <c r="U116" s="102">
        <v>373.57856774000004</v>
      </c>
      <c r="V116" s="102">
        <v>438.61094516000009</v>
      </c>
      <c r="W116" s="102">
        <v>453.70087165000007</v>
      </c>
      <c r="X116" s="102">
        <v>436.19086530999999</v>
      </c>
      <c r="Y116" s="102">
        <v>430.24012096000001</v>
      </c>
      <c r="Z116" s="102">
        <v>402.96533173</v>
      </c>
      <c r="AA116" s="102">
        <v>279.76984636000003</v>
      </c>
      <c r="AB116" s="102">
        <v>616.57358817999989</v>
      </c>
      <c r="AC116" s="102">
        <v>503.91668283000001</v>
      </c>
      <c r="AD116" s="102">
        <v>481.88388479000002</v>
      </c>
      <c r="AE116" s="102">
        <v>482.82555216999992</v>
      </c>
      <c r="AF116" s="102">
        <v>494.21227497999996</v>
      </c>
      <c r="AG116" s="102">
        <v>417.34189848999995</v>
      </c>
      <c r="AH116" s="102">
        <v>412.07629508999997</v>
      </c>
      <c r="AI116" s="102">
        <v>556.45974027</v>
      </c>
      <c r="AJ116" s="102">
        <v>477.11517072000004</v>
      </c>
      <c r="AK116" s="102">
        <v>399.68623186000002</v>
      </c>
      <c r="AL116" s="102">
        <v>451.96003449999989</v>
      </c>
      <c r="AM116" s="102">
        <v>586.67329484999993</v>
      </c>
      <c r="AN116" s="220">
        <v>1005.4924514600001</v>
      </c>
      <c r="AO116" s="975">
        <v>2282.43854612</v>
      </c>
      <c r="AP116" s="976">
        <v>698.83289895999997</v>
      </c>
      <c r="AQ116" s="975">
        <v>844.66636844000004</v>
      </c>
      <c r="AR116" s="975">
        <v>872.56133520000003</v>
      </c>
      <c r="AS116" s="975">
        <v>746.85921020000001</v>
      </c>
      <c r="AT116" s="975">
        <v>800.30930795999996</v>
      </c>
      <c r="AU116" s="975">
        <v>1070.3898786899999</v>
      </c>
      <c r="AV116" s="975">
        <v>1144.25487071</v>
      </c>
      <c r="AW116" s="975">
        <v>913.19503637000003</v>
      </c>
      <c r="AX116" s="975">
        <v>1043.0095067100001</v>
      </c>
      <c r="AY116" s="975">
        <v>747.14278360999992</v>
      </c>
      <c r="AZ116" s="102">
        <f>SUM(AZ117,AZ122:AZ125)</f>
        <v>324.80004122000003</v>
      </c>
      <c r="BA116" s="146">
        <v>303.69287141000001</v>
      </c>
      <c r="BB116" s="146">
        <v>320.02072078000003</v>
      </c>
      <c r="BC116" s="146">
        <v>342.13478610000004</v>
      </c>
      <c r="BD116" s="146">
        <v>425.13910057999999</v>
      </c>
      <c r="BE116" s="146">
        <v>436.31499768000003</v>
      </c>
      <c r="BF116" s="146">
        <v>442.99209926000003</v>
      </c>
      <c r="BG116" s="146">
        <v>451.02617409999993</v>
      </c>
      <c r="BH116" s="146">
        <v>322.51067608</v>
      </c>
      <c r="BI116" s="146">
        <v>307.64920852</v>
      </c>
      <c r="BJ116" s="146">
        <v>314.17791462999998</v>
      </c>
      <c r="BK116" s="146">
        <v>315.66974722999998</v>
      </c>
      <c r="BL116" s="939">
        <f>SUM(BL117,BL122:BL125)</f>
        <v>543.70467169000005</v>
      </c>
      <c r="BM116" s="974">
        <f t="shared" ref="BM116:DG116" si="443">SUM(BM117,BM122:BM125)</f>
        <v>548.24929269000006</v>
      </c>
      <c r="BN116" s="102">
        <f t="shared" si="443"/>
        <v>994.78589084000009</v>
      </c>
      <c r="BO116" s="102">
        <f t="shared" si="443"/>
        <v>1013.16242141</v>
      </c>
      <c r="BP116" s="102">
        <f t="shared" si="443"/>
        <v>1032.2830625300001</v>
      </c>
      <c r="BQ116" s="102">
        <f t="shared" si="443"/>
        <v>1005.96527618</v>
      </c>
      <c r="BR116" s="102">
        <f t="shared" si="443"/>
        <v>1072.48205398</v>
      </c>
      <c r="BS116" s="102">
        <f t="shared" si="443"/>
        <v>1040.0459120600001</v>
      </c>
      <c r="BT116" s="102">
        <f t="shared" si="443"/>
        <v>1206.3876264800001</v>
      </c>
      <c r="BU116" s="102">
        <f t="shared" si="443"/>
        <v>987.54597358000001</v>
      </c>
      <c r="BV116" s="102">
        <f t="shared" si="443"/>
        <v>939.29021182000008</v>
      </c>
      <c r="BW116" s="102">
        <f t="shared" si="443"/>
        <v>790.78087072999995</v>
      </c>
      <c r="BX116" s="102">
        <f t="shared" si="443"/>
        <v>741.32012697999994</v>
      </c>
      <c r="BY116" s="102">
        <f t="shared" si="443"/>
        <v>768.51713208000001</v>
      </c>
      <c r="BZ116" s="102">
        <f t="shared" si="443"/>
        <v>867.93115633000002</v>
      </c>
      <c r="CA116" s="102">
        <f t="shared" si="443"/>
        <v>746.96328203000007</v>
      </c>
      <c r="CB116" s="102">
        <f t="shared" si="443"/>
        <v>698.62965260999999</v>
      </c>
      <c r="CC116" s="102">
        <f t="shared" si="443"/>
        <v>701.50175839999997</v>
      </c>
      <c r="CD116" s="102">
        <f t="shared" si="443"/>
        <v>648.90701071000001</v>
      </c>
      <c r="CE116" s="102">
        <f t="shared" si="443"/>
        <v>697.09967071000005</v>
      </c>
      <c r="CF116" s="102">
        <f t="shared" si="443"/>
        <v>814.55298627999991</v>
      </c>
      <c r="CG116" s="102">
        <f t="shared" si="443"/>
        <v>940.27718127000003</v>
      </c>
      <c r="CH116" s="102">
        <f t="shared" si="443"/>
        <v>637.38276139999994</v>
      </c>
      <c r="CI116" s="102">
        <f t="shared" si="443"/>
        <v>543.40161269999999</v>
      </c>
      <c r="CJ116" s="102">
        <f t="shared" si="443"/>
        <v>428.14857602999996</v>
      </c>
      <c r="CK116" s="102">
        <f t="shared" si="443"/>
        <v>411.53272562999996</v>
      </c>
      <c r="CL116" s="102">
        <f t="shared" si="443"/>
        <v>433.28673962999994</v>
      </c>
      <c r="CM116" s="102">
        <f t="shared" si="443"/>
        <v>417.67084002999997</v>
      </c>
      <c r="CN116" s="102">
        <f t="shared" si="443"/>
        <v>408.33138033</v>
      </c>
      <c r="CO116" s="102">
        <f t="shared" si="443"/>
        <v>417.09034149999997</v>
      </c>
      <c r="CP116" s="102">
        <f t="shared" si="443"/>
        <v>422.21918526999997</v>
      </c>
      <c r="CQ116" s="102">
        <f t="shared" si="443"/>
        <v>415.34517886999998</v>
      </c>
      <c r="CR116" s="102">
        <f t="shared" si="443"/>
        <v>422.29265677000001</v>
      </c>
      <c r="CS116" s="102">
        <f t="shared" si="443"/>
        <v>429.72119766999998</v>
      </c>
      <c r="CT116" s="102">
        <f t="shared" si="443"/>
        <v>431.50645882999999</v>
      </c>
      <c r="CU116" s="102">
        <f t="shared" si="443"/>
        <v>434.86480225999998</v>
      </c>
      <c r="CV116" s="102">
        <f t="shared" si="443"/>
        <v>352.76158563999996</v>
      </c>
      <c r="CW116" s="102">
        <f t="shared" si="443"/>
        <v>359.94054224999996</v>
      </c>
      <c r="CX116" s="102">
        <f t="shared" si="443"/>
        <v>418.24686828999995</v>
      </c>
      <c r="CY116" s="102">
        <f t="shared" si="443"/>
        <v>391.24113823999994</v>
      </c>
      <c r="CZ116" s="102">
        <f t="shared" si="443"/>
        <v>390.59399096999994</v>
      </c>
      <c r="DA116" s="102">
        <f t="shared" si="443"/>
        <v>387.60155293999998</v>
      </c>
      <c r="DB116" s="102">
        <f t="shared" si="443"/>
        <v>393.86197993999997</v>
      </c>
      <c r="DC116" s="102">
        <f t="shared" si="443"/>
        <v>387.15544686999999</v>
      </c>
      <c r="DD116" s="102">
        <f t="shared" si="443"/>
        <v>349.63238486999995</v>
      </c>
      <c r="DE116" s="102">
        <f t="shared" si="443"/>
        <v>364.63577225999995</v>
      </c>
      <c r="DF116" s="102">
        <f t="shared" si="443"/>
        <v>359.42383964999999</v>
      </c>
      <c r="DG116" s="102">
        <f t="shared" si="443"/>
        <v>359.81532800999997</v>
      </c>
      <c r="DH116" s="102">
        <f>SUM(DH117,DH122:DH125)</f>
        <v>452.98577540999997</v>
      </c>
      <c r="DJ116" s="102" t="e">
        <f t="shared" ref="DJ116" si="444">+SUM(DJ117:DJ123)</f>
        <v>#VALUE!</v>
      </c>
      <c r="DK116" s="102" t="e">
        <f t="shared" ref="DK116" si="445">+SUM(DK117:DK123)</f>
        <v>#VALUE!</v>
      </c>
      <c r="DL116" s="102" t="e">
        <f t="shared" ref="DL116:DU116" si="446">+SUM(DL117:DL123)</f>
        <v>#VALUE!</v>
      </c>
      <c r="DM116" s="102" t="e">
        <f t="shared" si="446"/>
        <v>#VALUE!</v>
      </c>
      <c r="DN116" s="102" t="e">
        <f t="shared" si="446"/>
        <v>#VALUE!</v>
      </c>
      <c r="DO116" s="102" t="e">
        <f t="shared" si="446"/>
        <v>#VALUE!</v>
      </c>
      <c r="DP116" s="102" t="e">
        <f t="shared" si="446"/>
        <v>#VALUE!</v>
      </c>
      <c r="DQ116" s="102" t="e">
        <f t="shared" si="446"/>
        <v>#VALUE!</v>
      </c>
      <c r="DR116" s="102" t="e">
        <f t="shared" si="446"/>
        <v>#VALUE!</v>
      </c>
      <c r="DS116" s="102" t="e">
        <f t="shared" si="446"/>
        <v>#VALUE!</v>
      </c>
      <c r="DT116" s="102" t="e">
        <f t="shared" si="446"/>
        <v>#VALUE!</v>
      </c>
      <c r="DU116" s="102" t="e">
        <f t="shared" si="446"/>
        <v>#VALUE!</v>
      </c>
      <c r="DW116" s="102">
        <v>2283.4126546100001</v>
      </c>
      <c r="DX116" s="102">
        <v>409.39781805000001</v>
      </c>
      <c r="DY116" s="102">
        <v>354.39781805000001</v>
      </c>
      <c r="DZ116" s="102">
        <v>299.39781805000001</v>
      </c>
      <c r="EA116" s="102">
        <v>114.39781805000001</v>
      </c>
      <c r="EB116" s="102">
        <v>66.197646179999992</v>
      </c>
      <c r="EC116" s="102">
        <v>66.197646179999992</v>
      </c>
      <c r="ED116" s="102">
        <v>66.197646179999992</v>
      </c>
      <c r="EE116" s="102">
        <v>66.197646179999992</v>
      </c>
      <c r="EF116" s="102">
        <v>66.197646179999992</v>
      </c>
      <c r="EG116" s="102">
        <v>66.197646179999992</v>
      </c>
      <c r="EH116" s="102">
        <v>66.197646179999992</v>
      </c>
      <c r="EI116" s="102">
        <f>+SUM(EI117,EI122:EI125)</f>
        <v>488.72594187599998</v>
      </c>
      <c r="EJ116" s="102">
        <f t="shared" ref="EJ116:FF116" si="447">+SUM(EJ117,EJ122:EJ125)</f>
        <v>330.6047532888</v>
      </c>
      <c r="EK116" s="102">
        <f t="shared" si="447"/>
        <v>361.30780241903994</v>
      </c>
      <c r="EL116" s="102">
        <f t="shared" si="447"/>
        <v>333.11830754323199</v>
      </c>
      <c r="EM116" s="102">
        <f t="shared" si="447"/>
        <v>320.76825898658558</v>
      </c>
      <c r="EN116" s="102">
        <f t="shared" si="447"/>
        <v>310.88822014126845</v>
      </c>
      <c r="EO116" s="102">
        <f t="shared" si="447"/>
        <v>302.98418906501479</v>
      </c>
      <c r="EP116" s="102">
        <f t="shared" si="447"/>
        <v>296.6609642040118</v>
      </c>
      <c r="EQ116" s="102">
        <f t="shared" si="447"/>
        <v>291.60238431520946</v>
      </c>
      <c r="ER116" s="102">
        <f t="shared" si="447"/>
        <v>281.36806475999998</v>
      </c>
      <c r="ES116" s="102">
        <f t="shared" si="447"/>
        <v>231.36806475999998</v>
      </c>
      <c r="ET116" s="102">
        <f t="shared" si="447"/>
        <v>241.36806475999998</v>
      </c>
      <c r="EU116" s="102">
        <f t="shared" si="447"/>
        <v>542.44467169000006</v>
      </c>
      <c r="EV116" s="102">
        <f t="shared" si="447"/>
        <v>542.44467169000006</v>
      </c>
      <c r="EW116" s="102">
        <f t="shared" si="447"/>
        <v>542.44467169000006</v>
      </c>
      <c r="EX116" s="102">
        <f t="shared" si="447"/>
        <v>542.44467169000006</v>
      </c>
      <c r="EY116" s="102">
        <f t="shared" si="447"/>
        <v>542.44467169000006</v>
      </c>
      <c r="EZ116" s="102">
        <f t="shared" si="447"/>
        <v>542.44467169000006</v>
      </c>
      <c r="FA116" s="102">
        <f t="shared" si="447"/>
        <v>542.44467169000006</v>
      </c>
      <c r="FB116" s="102">
        <f t="shared" si="447"/>
        <v>542.44467169000006</v>
      </c>
      <c r="FC116" s="102">
        <f t="shared" si="447"/>
        <v>542.44467169000006</v>
      </c>
      <c r="FD116" s="102">
        <f t="shared" si="447"/>
        <v>542.44467169000006</v>
      </c>
      <c r="FE116" s="102">
        <f t="shared" si="447"/>
        <v>542.44467169000006</v>
      </c>
      <c r="FF116" s="102">
        <f t="shared" si="447"/>
        <v>542.44467169000006</v>
      </c>
      <c r="FG116" s="102" t="e">
        <f>+SUM(FG117,FG122:FG125)</f>
        <v>#VALUE!</v>
      </c>
      <c r="FH116" s="102" t="e">
        <f t="shared" ref="FH116:GD116" si="448">+SUM(FH117,FH122:FH125)</f>
        <v>#VALUE!</v>
      </c>
      <c r="FI116" s="102" t="e">
        <f t="shared" si="448"/>
        <v>#VALUE!</v>
      </c>
      <c r="FJ116" s="102" t="e">
        <f t="shared" si="448"/>
        <v>#VALUE!</v>
      </c>
      <c r="FK116" s="102" t="e">
        <f t="shared" si="448"/>
        <v>#VALUE!</v>
      </c>
      <c r="FL116" s="102" t="e">
        <f t="shared" si="448"/>
        <v>#VALUE!</v>
      </c>
      <c r="FM116" s="102" t="e">
        <f t="shared" si="448"/>
        <v>#VALUE!</v>
      </c>
      <c r="FN116" s="102" t="e">
        <f t="shared" si="448"/>
        <v>#VALUE!</v>
      </c>
      <c r="FO116" s="102" t="e">
        <f t="shared" si="448"/>
        <v>#VALUE!</v>
      </c>
      <c r="FP116" s="102" t="e">
        <f t="shared" si="448"/>
        <v>#VALUE!</v>
      </c>
      <c r="FQ116" s="102" t="e">
        <f t="shared" si="448"/>
        <v>#VALUE!</v>
      </c>
      <c r="FR116" s="102" t="e">
        <f t="shared" si="448"/>
        <v>#VALUE!</v>
      </c>
      <c r="FS116" s="102" t="e">
        <f t="shared" si="448"/>
        <v>#VALUE!</v>
      </c>
      <c r="FT116" s="102" t="e">
        <f t="shared" si="448"/>
        <v>#VALUE!</v>
      </c>
      <c r="FU116" s="102" t="e">
        <f t="shared" si="448"/>
        <v>#VALUE!</v>
      </c>
      <c r="FV116" s="102" t="e">
        <f t="shared" si="448"/>
        <v>#VALUE!</v>
      </c>
      <c r="FW116" s="102" t="e">
        <f t="shared" si="448"/>
        <v>#VALUE!</v>
      </c>
      <c r="FX116" s="102" t="e">
        <f t="shared" si="448"/>
        <v>#VALUE!</v>
      </c>
      <c r="FY116" s="102" t="e">
        <f t="shared" si="448"/>
        <v>#VALUE!</v>
      </c>
      <c r="FZ116" s="102" t="e">
        <f t="shared" si="448"/>
        <v>#VALUE!</v>
      </c>
      <c r="GA116" s="102" t="e">
        <f t="shared" si="448"/>
        <v>#VALUE!</v>
      </c>
      <c r="GB116" s="102" t="e">
        <f t="shared" si="448"/>
        <v>#VALUE!</v>
      </c>
      <c r="GC116" s="102" t="e">
        <f t="shared" si="448"/>
        <v>#VALUE!</v>
      </c>
      <c r="GD116" s="102" t="e">
        <f t="shared" si="448"/>
        <v>#VALUE!</v>
      </c>
      <c r="GF116" s="102">
        <f t="shared" si="406"/>
        <v>303.26433100999998</v>
      </c>
      <c r="GG116" s="102">
        <f t="shared" si="406"/>
        <v>616.57358817999989</v>
      </c>
      <c r="GH116" s="102">
        <f t="shared" si="406"/>
        <v>1005.4924514600001</v>
      </c>
      <c r="GI116" s="102">
        <f t="shared" si="406"/>
        <v>324.80004122000003</v>
      </c>
      <c r="GJ116" s="102">
        <f t="shared" si="434"/>
        <v>543.70467169000005</v>
      </c>
      <c r="GK116" s="102">
        <f t="shared" si="407"/>
        <v>741.32012697999994</v>
      </c>
      <c r="GL116" s="102">
        <f t="shared" si="435"/>
        <v>428.14857602999996</v>
      </c>
      <c r="GM116" s="102">
        <f t="shared" si="408"/>
        <v>352.76158563999996</v>
      </c>
      <c r="GN116" s="102" t="e">
        <f t="shared" si="409"/>
        <v>#VALUE!</v>
      </c>
      <c r="GO116" s="102">
        <v>452.98577540999997</v>
      </c>
      <c r="GQ116" s="929">
        <f t="shared" si="440"/>
        <v>0.63077444563918106</v>
      </c>
      <c r="GR116" s="929">
        <f t="shared" si="440"/>
        <v>-0.67697416251272469</v>
      </c>
      <c r="GS116" s="929">
        <f t="shared" si="440"/>
        <v>0.67396737281116037</v>
      </c>
      <c r="GT116" s="929">
        <f t="shared" si="410"/>
        <v>0.36346102135880254</v>
      </c>
      <c r="GU116" s="929">
        <f t="shared" si="410"/>
        <v>-0.4224511645539728</v>
      </c>
      <c r="GV116" s="929">
        <f t="shared" si="410"/>
        <v>-0.17607670470149528</v>
      </c>
      <c r="GW116" s="929" t="str">
        <f t="shared" si="399"/>
        <v/>
      </c>
      <c r="GX116" s="929" t="str">
        <f t="shared" si="399"/>
        <v/>
      </c>
      <c r="GY116" s="929">
        <f t="shared" si="249"/>
        <v>0.28411310598960937</v>
      </c>
      <c r="HA116" s="102">
        <f t="shared" si="441"/>
        <v>388.91886328000021</v>
      </c>
      <c r="HB116" s="102">
        <f t="shared" si="441"/>
        <v>-680.69241024000007</v>
      </c>
      <c r="HC116" s="102">
        <f t="shared" si="441"/>
        <v>218.90463047000003</v>
      </c>
      <c r="HD116" s="102">
        <f t="shared" si="411"/>
        <v>197.61545528999989</v>
      </c>
      <c r="HE116" s="102">
        <f t="shared" si="400"/>
        <v>-313.17155094999998</v>
      </c>
      <c r="HF116" s="102">
        <f t="shared" si="400"/>
        <v>-75.386990389999994</v>
      </c>
      <c r="HG116" s="102" t="e">
        <f t="shared" si="400"/>
        <v>#VALUE!</v>
      </c>
      <c r="HH116" s="102" t="e">
        <f t="shared" si="400"/>
        <v>#VALUE!</v>
      </c>
      <c r="HI116" s="102">
        <f t="shared" si="251"/>
        <v>100.22418977000001</v>
      </c>
      <c r="HK116" s="973"/>
      <c r="HL116" s="973"/>
      <c r="HM116" s="973"/>
      <c r="HN116" s="973"/>
      <c r="HO116" s="973"/>
      <c r="HP116" s="973"/>
      <c r="HQ116" s="973"/>
      <c r="HR116" s="973"/>
      <c r="HS116" s="973"/>
      <c r="HU116" s="102">
        <f t="shared" si="442"/>
        <v>229.60471624000002</v>
      </c>
      <c r="HV116" s="102">
        <f t="shared" si="442"/>
        <v>438.61094516000009</v>
      </c>
      <c r="HW116" s="102">
        <f t="shared" si="442"/>
        <v>412.07629508999997</v>
      </c>
      <c r="HX116" s="102">
        <f t="shared" si="442"/>
        <v>800.30930795999996</v>
      </c>
      <c r="HY116" s="102">
        <f t="shared" si="413"/>
        <v>442.99209926000003</v>
      </c>
      <c r="HZ116" s="102">
        <f t="shared" si="413"/>
        <v>1072.48205398</v>
      </c>
      <c r="IA116" s="102">
        <f t="shared" si="414"/>
        <v>648.90701071000001</v>
      </c>
      <c r="IB116" s="102">
        <f t="shared" si="415"/>
        <v>422.21918526999997</v>
      </c>
      <c r="IC116" s="102">
        <f t="shared" si="416"/>
        <v>393.86197993999997</v>
      </c>
      <c r="ID116" s="102" t="e">
        <f t="shared" si="417"/>
        <v>#VALUE!</v>
      </c>
      <c r="IE116" s="102" t="e">
        <f t="shared" si="418"/>
        <v>#VALUE!</v>
      </c>
      <c r="IG116" s="102" t="e">
        <f t="shared" si="436"/>
        <v>#VALUE!</v>
      </c>
      <c r="IH116" s="102" t="e">
        <f t="shared" si="437"/>
        <v>#VALUE!</v>
      </c>
      <c r="II116" s="145"/>
      <c r="IJ116" s="929" t="str">
        <f t="shared" si="419"/>
        <v>NA</v>
      </c>
      <c r="IK116" s="930" t="str">
        <f t="shared" si="420"/>
        <v>NA</v>
      </c>
      <c r="IM116" s="973"/>
      <c r="IN116" s="973"/>
      <c r="IP116" s="929">
        <f t="shared" si="438"/>
        <v>-6.049700848281514E-2</v>
      </c>
      <c r="IQ116" s="929">
        <f t="shared" si="438"/>
        <v>0.94213867066827395</v>
      </c>
      <c r="IR116" s="929">
        <f t="shared" si="438"/>
        <v>-0.44647388846545677</v>
      </c>
      <c r="IS116" s="929">
        <f t="shared" si="438"/>
        <v>1.4209958953478785</v>
      </c>
      <c r="IT116" s="929">
        <f t="shared" si="438"/>
        <v>-0.39494837391274329</v>
      </c>
      <c r="IU116" s="929">
        <f t="shared" si="438"/>
        <v>-0.34933792006957998</v>
      </c>
      <c r="IV116" s="929" t="str">
        <f t="shared" si="439"/>
        <v/>
      </c>
      <c r="IX116" s="102">
        <f t="shared" si="422"/>
        <v>-26.534650070000112</v>
      </c>
      <c r="IY116" s="102">
        <f t="shared" si="422"/>
        <v>388.23301286999998</v>
      </c>
      <c r="IZ116" s="102">
        <f t="shared" si="422"/>
        <v>-357.31720869999992</v>
      </c>
      <c r="JA116" s="102">
        <f t="shared" si="422"/>
        <v>629.48995472000001</v>
      </c>
      <c r="JB116" s="102">
        <f t="shared" si="422"/>
        <v>-423.57504327000004</v>
      </c>
      <c r="JC116" s="102">
        <f t="shared" si="422"/>
        <v>-226.68782544000004</v>
      </c>
      <c r="JD116" s="102" t="e">
        <f t="shared" si="423"/>
        <v>#VALUE!</v>
      </c>
      <c r="JF116" s="973"/>
      <c r="JG116" s="973"/>
      <c r="JH116" s="973"/>
      <c r="JI116" s="973"/>
      <c r="JJ116" s="973"/>
      <c r="JK116" s="973"/>
      <c r="JL116" s="973"/>
      <c r="JM116" s="973"/>
      <c r="JO116" s="102">
        <f t="shared" si="424"/>
        <v>229.60471624000002</v>
      </c>
      <c r="JP116" s="102">
        <f t="shared" si="424"/>
        <v>438.61094516000009</v>
      </c>
      <c r="JQ116" s="102">
        <f t="shared" si="424"/>
        <v>412.07629508999997</v>
      </c>
      <c r="JR116" s="102">
        <f t="shared" si="424"/>
        <v>800.30930795999996</v>
      </c>
      <c r="JS116" s="102">
        <f t="shared" si="424"/>
        <v>442.99209926000003</v>
      </c>
      <c r="JT116" s="102">
        <f t="shared" si="425"/>
        <v>1072.48205398</v>
      </c>
      <c r="JU116" s="102">
        <f t="shared" si="426"/>
        <v>648.90701071000001</v>
      </c>
      <c r="JV116" s="102">
        <f t="shared" si="427"/>
        <v>422.21918526999997</v>
      </c>
      <c r="JW116" s="102">
        <f t="shared" si="427"/>
        <v>393.86197993999997</v>
      </c>
      <c r="JX116" s="102" t="e">
        <f t="shared" si="428"/>
        <v>#VALUE!</v>
      </c>
      <c r="JY116" s="102" t="e">
        <f t="shared" si="429"/>
        <v>#VALUE!</v>
      </c>
      <c r="KB116" s="32">
        <f t="shared" si="430"/>
        <v>-6.049700848281514E-2</v>
      </c>
      <c r="KC116" s="32">
        <f t="shared" si="430"/>
        <v>0.94213867066827395</v>
      </c>
      <c r="KD116" s="32">
        <f t="shared" si="430"/>
        <v>-0.44647388846545677</v>
      </c>
      <c r="KE116" s="32">
        <f t="shared" si="430"/>
        <v>1.4209958953478785</v>
      </c>
      <c r="KF116" s="32">
        <f t="shared" si="430"/>
        <v>-0.39494837391274329</v>
      </c>
      <c r="KG116" s="32">
        <f t="shared" si="430"/>
        <v>-0.34933792006957998</v>
      </c>
      <c r="KH116" s="32" t="str">
        <f t="shared" si="431"/>
        <v xml:space="preserve"> </v>
      </c>
      <c r="KJ116" s="102">
        <f t="shared" si="432"/>
        <v>-26.534650070000112</v>
      </c>
      <c r="KK116" s="102">
        <f t="shared" si="432"/>
        <v>388.23301286999998</v>
      </c>
      <c r="KL116" s="102">
        <f t="shared" si="432"/>
        <v>-357.31720869999992</v>
      </c>
      <c r="KM116" s="102">
        <f t="shared" si="432"/>
        <v>629.48995472000001</v>
      </c>
      <c r="KN116" s="102">
        <f t="shared" si="432"/>
        <v>-423.57504327000004</v>
      </c>
      <c r="KO116" s="102">
        <f t="shared" si="432"/>
        <v>-226.68782544000004</v>
      </c>
      <c r="KP116" s="102" t="e">
        <f t="shared" si="433"/>
        <v>#VALUE!</v>
      </c>
      <c r="KR116" s="973"/>
      <c r="KS116" s="973"/>
      <c r="KT116" s="973"/>
      <c r="KU116" s="973"/>
      <c r="KV116" s="973"/>
      <c r="KW116" s="973"/>
      <c r="KX116" s="973"/>
      <c r="KY116" s="973"/>
      <c r="KZ116" s="973"/>
    </row>
    <row r="117" spans="1:312" outlineLevel="2">
      <c r="A117" s="884"/>
      <c r="B117" s="70"/>
      <c r="C117" s="29" t="s">
        <v>265</v>
      </c>
      <c r="D117" s="31" t="s">
        <v>59</v>
      </c>
      <c r="E117" s="102">
        <v>49.824469280000002</v>
      </c>
      <c r="F117" s="102">
        <v>45.203743010000004</v>
      </c>
      <c r="G117" s="102">
        <v>43.50099384</v>
      </c>
      <c r="H117" s="102">
        <v>71.141521010000005</v>
      </c>
      <c r="I117" s="102">
        <v>106.34959344000001</v>
      </c>
      <c r="J117" s="102">
        <v>117.88453885</v>
      </c>
      <c r="K117" s="102">
        <v>103.85475443</v>
      </c>
      <c r="L117" s="102">
        <v>92.617714430000007</v>
      </c>
      <c r="M117" s="102">
        <v>39.189177430000001</v>
      </c>
      <c r="N117" s="102">
        <v>4.6242782299999945</v>
      </c>
      <c r="O117" s="102">
        <v>23.391938230000001</v>
      </c>
      <c r="P117" s="102">
        <v>45.683813000000001</v>
      </c>
      <c r="Q117" s="102">
        <v>13.716889500000001</v>
      </c>
      <c r="R117" s="102">
        <v>12.096480699999999</v>
      </c>
      <c r="S117" s="102">
        <v>8.5949247</v>
      </c>
      <c r="T117" s="102">
        <v>-8.3211913000000042</v>
      </c>
      <c r="U117" s="102">
        <v>11.584243259999994</v>
      </c>
      <c r="V117" s="102">
        <v>47.437652140000004</v>
      </c>
      <c r="W117" s="102">
        <v>74.353507899999997</v>
      </c>
      <c r="X117" s="102">
        <v>53.527625399999998</v>
      </c>
      <c r="Y117" s="102">
        <v>64.112806399999982</v>
      </c>
      <c r="Z117" s="102">
        <v>82.05139392000001</v>
      </c>
      <c r="AA117" s="102">
        <v>79.417924280000008</v>
      </c>
      <c r="AB117" s="102">
        <v>151.64571827999998</v>
      </c>
      <c r="AC117" s="102">
        <v>187.2438631</v>
      </c>
      <c r="AD117" s="102">
        <v>162.76928896999999</v>
      </c>
      <c r="AE117" s="102">
        <v>127.53124169</v>
      </c>
      <c r="AF117" s="102">
        <v>131.77173058</v>
      </c>
      <c r="AG117" s="102">
        <v>133.58298574999998</v>
      </c>
      <c r="AH117" s="102">
        <v>108.63143907999999</v>
      </c>
      <c r="AI117" s="102">
        <v>107.60204241</v>
      </c>
      <c r="AJ117" s="102">
        <v>82.023335729999999</v>
      </c>
      <c r="AK117" s="102">
        <v>60.394557570000003</v>
      </c>
      <c r="AL117" s="102">
        <v>47.578074040000004</v>
      </c>
      <c r="AM117" s="102">
        <v>74.291846559999982</v>
      </c>
      <c r="AN117" s="220">
        <v>217.41029005000001</v>
      </c>
      <c r="AO117" s="220">
        <v>191.66486455</v>
      </c>
      <c r="AP117" s="220">
        <v>187.55746994</v>
      </c>
      <c r="AQ117" s="220">
        <v>181.79738536000002</v>
      </c>
      <c r="AR117" s="220">
        <v>242.09916036000001</v>
      </c>
      <c r="AS117" s="220">
        <v>322.52737418999999</v>
      </c>
      <c r="AT117" s="220">
        <v>310.23780348999998</v>
      </c>
      <c r="AU117" s="220">
        <v>300.10000036000002</v>
      </c>
      <c r="AV117" s="220">
        <v>300.10000036000002</v>
      </c>
      <c r="AW117" s="220">
        <v>300</v>
      </c>
      <c r="AX117" s="220">
        <v>300</v>
      </c>
      <c r="AY117" s="220">
        <v>300</v>
      </c>
      <c r="AZ117" s="102">
        <f>SUM(AZ118:AZ121)</f>
        <v>12.34993755</v>
      </c>
      <c r="BA117" s="102">
        <v>12.34993755</v>
      </c>
      <c r="BB117" s="102">
        <v>12.34993755</v>
      </c>
      <c r="BC117" s="102">
        <v>12.34993755</v>
      </c>
      <c r="BD117" s="102">
        <v>0</v>
      </c>
      <c r="BE117" s="102">
        <v>0</v>
      </c>
      <c r="BF117" s="102">
        <v>0.96388799999999997</v>
      </c>
      <c r="BG117" s="102">
        <v>0</v>
      </c>
      <c r="BH117" s="102">
        <v>0.38850460999999997</v>
      </c>
      <c r="BI117" s="102">
        <v>8.3902500000000005E-2</v>
      </c>
      <c r="BJ117" s="102">
        <v>1.2544999999999999</v>
      </c>
      <c r="BK117" s="102">
        <v>5.7013999999999996</v>
      </c>
      <c r="BL117" s="102">
        <v>2.6406670000000001</v>
      </c>
      <c r="BM117" s="974">
        <f t="shared" ref="BM117:DG117" si="449">SUM(BM118:BM121)</f>
        <v>2.6406670000000001</v>
      </c>
      <c r="BN117" s="102">
        <f t="shared" si="449"/>
        <v>2.6406670000000001</v>
      </c>
      <c r="BO117" s="102">
        <f t="shared" si="449"/>
        <v>2.6406670000000001</v>
      </c>
      <c r="BP117" s="102">
        <f t="shared" si="449"/>
        <v>2.6406670000000001</v>
      </c>
      <c r="BQ117" s="102">
        <f t="shared" si="449"/>
        <v>2.6406670000000001</v>
      </c>
      <c r="BR117" s="102">
        <f t="shared" si="449"/>
        <v>2.6406670000000001</v>
      </c>
      <c r="BS117" s="102">
        <f t="shared" si="449"/>
        <v>2.6406670000000001</v>
      </c>
      <c r="BT117" s="102">
        <f t="shared" si="449"/>
        <v>2.6406670000000001</v>
      </c>
      <c r="BU117" s="102">
        <f t="shared" si="449"/>
        <v>2.770667</v>
      </c>
      <c r="BV117" s="102">
        <f t="shared" si="449"/>
        <v>2.6406670000000001</v>
      </c>
      <c r="BW117" s="102">
        <f t="shared" si="449"/>
        <v>2.6406670000000001</v>
      </c>
      <c r="BX117" s="102">
        <f t="shared" si="449"/>
        <v>5.3220590000000003</v>
      </c>
      <c r="BY117" s="102">
        <f t="shared" si="449"/>
        <v>31.201367000000001</v>
      </c>
      <c r="BZ117" s="102">
        <f t="shared" si="449"/>
        <v>42.024366999999998</v>
      </c>
      <c r="CA117" s="102">
        <f t="shared" si="449"/>
        <v>46.424926999999997</v>
      </c>
      <c r="CB117" s="102">
        <f t="shared" si="449"/>
        <v>33.314926999999997</v>
      </c>
      <c r="CC117" s="102">
        <f t="shared" si="449"/>
        <v>32.252927</v>
      </c>
      <c r="CD117" s="102">
        <f t="shared" si="449"/>
        <v>2.6406670000000001</v>
      </c>
      <c r="CE117" s="102">
        <f t="shared" si="449"/>
        <v>2.6406670000000001</v>
      </c>
      <c r="CF117" s="102">
        <f t="shared" si="449"/>
        <v>2.6406670000000001</v>
      </c>
      <c r="CG117" s="102">
        <f t="shared" si="449"/>
        <v>34.133541000000001</v>
      </c>
      <c r="CH117" s="102">
        <f t="shared" si="449"/>
        <v>28.940381000000002</v>
      </c>
      <c r="CI117" s="102">
        <f t="shared" si="449"/>
        <v>34.133541000000001</v>
      </c>
      <c r="CJ117" s="102">
        <f t="shared" si="449"/>
        <v>51.467167000000003</v>
      </c>
      <c r="CK117" s="102">
        <f t="shared" si="449"/>
        <v>32.640667000000001</v>
      </c>
      <c r="CL117" s="102">
        <f t="shared" si="449"/>
        <v>32.640667000000001</v>
      </c>
      <c r="CM117" s="102">
        <f t="shared" si="449"/>
        <v>32.640667000000001</v>
      </c>
      <c r="CN117" s="102">
        <f t="shared" si="449"/>
        <v>24.887117</v>
      </c>
      <c r="CO117" s="102">
        <f t="shared" si="449"/>
        <v>32.640667000000001</v>
      </c>
      <c r="CP117" s="102">
        <f t="shared" si="449"/>
        <v>32.640667000000001</v>
      </c>
      <c r="CQ117" s="102">
        <f t="shared" si="449"/>
        <v>32.640667000000001</v>
      </c>
      <c r="CR117" s="102">
        <f t="shared" si="449"/>
        <v>32.640667000000001</v>
      </c>
      <c r="CS117" s="102">
        <f t="shared" si="449"/>
        <v>32.640667000000001</v>
      </c>
      <c r="CT117" s="102">
        <f t="shared" si="449"/>
        <v>32.640667000000001</v>
      </c>
      <c r="CU117" s="102">
        <f t="shared" si="449"/>
        <v>32.640667000000001</v>
      </c>
      <c r="CV117" s="102">
        <f t="shared" si="449"/>
        <v>32.640667000000001</v>
      </c>
      <c r="CW117" s="102">
        <f t="shared" si="449"/>
        <v>32.640667000000001</v>
      </c>
      <c r="CX117" s="102">
        <f t="shared" si="449"/>
        <v>32.640667000000001</v>
      </c>
      <c r="CY117" s="102">
        <f t="shared" si="449"/>
        <v>32.640667000000001</v>
      </c>
      <c r="CZ117" s="102">
        <f t="shared" si="449"/>
        <v>32.640667000000001</v>
      </c>
      <c r="DA117" s="102">
        <f t="shared" si="449"/>
        <v>32.640667000000001</v>
      </c>
      <c r="DB117" s="102">
        <f t="shared" si="449"/>
        <v>32.640667000000001</v>
      </c>
      <c r="DC117" s="102">
        <f t="shared" si="449"/>
        <v>32.640667000000001</v>
      </c>
      <c r="DD117" s="102">
        <f t="shared" si="449"/>
        <v>32.640667000000001</v>
      </c>
      <c r="DE117" s="102">
        <f t="shared" si="449"/>
        <v>32.640667000000001</v>
      </c>
      <c r="DF117" s="102">
        <f t="shared" si="449"/>
        <v>32.640667000000001</v>
      </c>
      <c r="DG117" s="102">
        <f t="shared" si="449"/>
        <v>32.640667000000001</v>
      </c>
      <c r="DH117" s="102">
        <f>SUM(DH118:DH121)</f>
        <v>130.80366700000002</v>
      </c>
      <c r="DJ117" s="102" t="e">
        <v>#VALUE!</v>
      </c>
      <c r="DK117" s="102" t="e">
        <v>#VALUE!</v>
      </c>
      <c r="DL117" s="102" t="e">
        <v>#VALUE!</v>
      </c>
      <c r="DM117" s="102" t="e">
        <v>#VALUE!</v>
      </c>
      <c r="DN117" s="102" t="e">
        <v>#VALUE!</v>
      </c>
      <c r="DO117" s="102" t="e">
        <v>#VALUE!</v>
      </c>
      <c r="DP117" s="102" t="e">
        <v>#VALUE!</v>
      </c>
      <c r="DQ117" s="102" t="e">
        <v>#VALUE!</v>
      </c>
      <c r="DR117" s="102" t="e">
        <v>#VALUE!</v>
      </c>
      <c r="DS117" s="102" t="e">
        <v>#VALUE!</v>
      </c>
      <c r="DT117" s="102" t="e">
        <v>#VALUE!</v>
      </c>
      <c r="DU117" s="102" t="e">
        <v>#VALUE!</v>
      </c>
      <c r="DW117" s="102">
        <v>251.95618683999999</v>
      </c>
      <c r="DX117" s="102">
        <v>243.20017187000002</v>
      </c>
      <c r="DY117" s="102">
        <v>238.20017187000002</v>
      </c>
      <c r="DZ117" s="102">
        <v>233.20017187000002</v>
      </c>
      <c r="EA117" s="102">
        <v>48.200171870000005</v>
      </c>
      <c r="EB117" s="102">
        <v>0</v>
      </c>
      <c r="EC117" s="102">
        <v>0</v>
      </c>
      <c r="ED117" s="102">
        <v>0</v>
      </c>
      <c r="EE117" s="102">
        <v>0</v>
      </c>
      <c r="EF117" s="102">
        <v>0</v>
      </c>
      <c r="EG117" s="102">
        <v>0</v>
      </c>
      <c r="EH117" s="102">
        <v>0</v>
      </c>
      <c r="EI117" s="102">
        <f>+SUM(EI118:EI121)</f>
        <v>60</v>
      </c>
      <c r="EJ117" s="102">
        <f t="shared" ref="EJ117:FG117" si="450">+SUM(EJ118:EJ121)</f>
        <v>60</v>
      </c>
      <c r="EK117" s="102">
        <f t="shared" si="450"/>
        <v>60</v>
      </c>
      <c r="EL117" s="102">
        <f t="shared" si="450"/>
        <v>60</v>
      </c>
      <c r="EM117" s="102">
        <f t="shared" si="450"/>
        <v>60</v>
      </c>
      <c r="EN117" s="102">
        <f t="shared" si="450"/>
        <v>60</v>
      </c>
      <c r="EO117" s="102">
        <f t="shared" si="450"/>
        <v>60</v>
      </c>
      <c r="EP117" s="102">
        <f t="shared" si="450"/>
        <v>60</v>
      </c>
      <c r="EQ117" s="102">
        <f t="shared" si="450"/>
        <v>60</v>
      </c>
      <c r="ER117" s="102">
        <f t="shared" si="450"/>
        <v>120</v>
      </c>
      <c r="ES117" s="102">
        <f t="shared" si="450"/>
        <v>120</v>
      </c>
      <c r="ET117" s="102">
        <f t="shared" si="450"/>
        <v>180</v>
      </c>
      <c r="EU117" s="102">
        <f t="shared" si="450"/>
        <v>2.6406670000000001</v>
      </c>
      <c r="EV117" s="102">
        <f t="shared" si="450"/>
        <v>2.6406670000000001</v>
      </c>
      <c r="EW117" s="102">
        <f t="shared" si="450"/>
        <v>2.6406670000000001</v>
      </c>
      <c r="EX117" s="102">
        <f t="shared" si="450"/>
        <v>2.6406670000000001</v>
      </c>
      <c r="EY117" s="102">
        <f t="shared" si="450"/>
        <v>2.6406670000000001</v>
      </c>
      <c r="EZ117" s="102">
        <f t="shared" si="450"/>
        <v>2.6406670000000001</v>
      </c>
      <c r="FA117" s="102">
        <f t="shared" si="450"/>
        <v>2.6406670000000001</v>
      </c>
      <c r="FB117" s="102">
        <f t="shared" si="450"/>
        <v>2.6406670000000001</v>
      </c>
      <c r="FC117" s="102">
        <f t="shared" si="450"/>
        <v>2.6406670000000001</v>
      </c>
      <c r="FD117" s="102">
        <f t="shared" si="450"/>
        <v>2.6406670000000001</v>
      </c>
      <c r="FE117" s="102">
        <f t="shared" si="450"/>
        <v>2.6406670000000001</v>
      </c>
      <c r="FF117" s="102">
        <f t="shared" si="450"/>
        <v>2.6406670000000001</v>
      </c>
      <c r="FG117" s="102" t="e">
        <f t="shared" si="450"/>
        <v>#VALUE!</v>
      </c>
      <c r="FH117" s="102" t="e">
        <f t="shared" ref="FH117:GD117" si="451">+SUM(FH118:FH121)</f>
        <v>#VALUE!</v>
      </c>
      <c r="FI117" s="102" t="e">
        <f t="shared" si="451"/>
        <v>#VALUE!</v>
      </c>
      <c r="FJ117" s="102" t="e">
        <f t="shared" si="451"/>
        <v>#VALUE!</v>
      </c>
      <c r="FK117" s="102" t="e">
        <f t="shared" si="451"/>
        <v>#VALUE!</v>
      </c>
      <c r="FL117" s="102" t="e">
        <f t="shared" si="451"/>
        <v>#VALUE!</v>
      </c>
      <c r="FM117" s="102" t="e">
        <f t="shared" si="451"/>
        <v>#VALUE!</v>
      </c>
      <c r="FN117" s="102" t="e">
        <f t="shared" si="451"/>
        <v>#VALUE!</v>
      </c>
      <c r="FO117" s="102" t="e">
        <f t="shared" si="451"/>
        <v>#VALUE!</v>
      </c>
      <c r="FP117" s="102" t="e">
        <f t="shared" si="451"/>
        <v>#VALUE!</v>
      </c>
      <c r="FQ117" s="102" t="e">
        <f t="shared" si="451"/>
        <v>#VALUE!</v>
      </c>
      <c r="FR117" s="102" t="e">
        <f t="shared" si="451"/>
        <v>#VALUE!</v>
      </c>
      <c r="FS117" s="102" t="e">
        <f t="shared" si="451"/>
        <v>#VALUE!</v>
      </c>
      <c r="FT117" s="102" t="e">
        <f t="shared" si="451"/>
        <v>#VALUE!</v>
      </c>
      <c r="FU117" s="102" t="e">
        <f t="shared" si="451"/>
        <v>#VALUE!</v>
      </c>
      <c r="FV117" s="102" t="e">
        <f t="shared" si="451"/>
        <v>#VALUE!</v>
      </c>
      <c r="FW117" s="102" t="e">
        <f t="shared" si="451"/>
        <v>#VALUE!</v>
      </c>
      <c r="FX117" s="102" t="e">
        <f t="shared" si="451"/>
        <v>#VALUE!</v>
      </c>
      <c r="FY117" s="102" t="e">
        <f t="shared" si="451"/>
        <v>#VALUE!</v>
      </c>
      <c r="FZ117" s="102" t="e">
        <f t="shared" si="451"/>
        <v>#VALUE!</v>
      </c>
      <c r="GA117" s="102" t="e">
        <f t="shared" si="451"/>
        <v>#VALUE!</v>
      </c>
      <c r="GB117" s="102" t="e">
        <f t="shared" si="451"/>
        <v>#VALUE!</v>
      </c>
      <c r="GC117" s="102" t="e">
        <f t="shared" si="451"/>
        <v>#VALUE!</v>
      </c>
      <c r="GD117" s="102" t="e">
        <f t="shared" si="451"/>
        <v>#VALUE!</v>
      </c>
      <c r="GF117" s="102">
        <f t="shared" si="406"/>
        <v>45.683813000000001</v>
      </c>
      <c r="GG117" s="102">
        <f t="shared" si="406"/>
        <v>151.64571827999998</v>
      </c>
      <c r="GH117" s="102">
        <f t="shared" si="406"/>
        <v>217.41029005000001</v>
      </c>
      <c r="GI117" s="102">
        <f t="shared" si="406"/>
        <v>12.34993755</v>
      </c>
      <c r="GJ117" s="102">
        <f t="shared" si="434"/>
        <v>2.6406670000000001</v>
      </c>
      <c r="GK117" s="102">
        <f t="shared" si="407"/>
        <v>5.3220590000000003</v>
      </c>
      <c r="GL117" s="102">
        <f t="shared" si="435"/>
        <v>51.467167000000003</v>
      </c>
      <c r="GM117" s="102">
        <f t="shared" si="408"/>
        <v>32.640667000000001</v>
      </c>
      <c r="GN117" s="102" t="e">
        <f t="shared" si="409"/>
        <v>#VALUE!</v>
      </c>
      <c r="GO117" s="102">
        <v>130.80366700000002</v>
      </c>
      <c r="GQ117" s="929">
        <f t="shared" si="440"/>
        <v>0.43367246049487362</v>
      </c>
      <c r="GR117" s="929">
        <f t="shared" si="440"/>
        <v>-0.94319524826925272</v>
      </c>
      <c r="GS117" s="929">
        <f t="shared" si="440"/>
        <v>-0.78617972849587403</v>
      </c>
      <c r="GT117" s="929">
        <f t="shared" si="410"/>
        <v>1.0154222399113557</v>
      </c>
      <c r="GU117" s="929">
        <f t="shared" si="410"/>
        <v>8.6705367227232912</v>
      </c>
      <c r="GV117" s="929">
        <f t="shared" si="410"/>
        <v>-0.3657963143765034</v>
      </c>
      <c r="GW117" s="929" t="str">
        <f t="shared" si="399"/>
        <v/>
      </c>
      <c r="GX117" s="929" t="str">
        <f t="shared" si="399"/>
        <v/>
      </c>
      <c r="GY117" s="929">
        <f t="shared" si="249"/>
        <v>3.0073833969140402</v>
      </c>
      <c r="HA117" s="102">
        <f t="shared" si="441"/>
        <v>65.764571770000032</v>
      </c>
      <c r="HB117" s="102">
        <f t="shared" si="441"/>
        <v>-205.06035250000002</v>
      </c>
      <c r="HC117" s="102">
        <f t="shared" si="441"/>
        <v>-9.7092705499999994</v>
      </c>
      <c r="HD117" s="102">
        <f t="shared" si="411"/>
        <v>2.6813920000000002</v>
      </c>
      <c r="HE117" s="102">
        <f t="shared" si="400"/>
        <v>46.145108</v>
      </c>
      <c r="HF117" s="102">
        <f t="shared" si="400"/>
        <v>-18.826500000000003</v>
      </c>
      <c r="HG117" s="102" t="e">
        <f t="shared" si="400"/>
        <v>#VALUE!</v>
      </c>
      <c r="HH117" s="102" t="e">
        <f t="shared" si="400"/>
        <v>#VALUE!</v>
      </c>
      <c r="HI117" s="102">
        <f t="shared" si="251"/>
        <v>98.163000000000011</v>
      </c>
      <c r="HK117" s="973"/>
      <c r="HL117" s="973"/>
      <c r="HM117" s="973"/>
      <c r="HN117" s="973"/>
      <c r="HO117" s="973"/>
      <c r="HP117" s="973"/>
      <c r="HQ117" s="973"/>
      <c r="HR117" s="973"/>
      <c r="HS117" s="973"/>
      <c r="HU117" s="102">
        <f t="shared" si="442"/>
        <v>117.88453885</v>
      </c>
      <c r="HV117" s="102">
        <f t="shared" si="442"/>
        <v>47.437652140000004</v>
      </c>
      <c r="HW117" s="102">
        <f t="shared" si="442"/>
        <v>108.63143907999999</v>
      </c>
      <c r="HX117" s="102">
        <f t="shared" si="442"/>
        <v>310.23780348999998</v>
      </c>
      <c r="HY117" s="102">
        <f t="shared" si="413"/>
        <v>0.96388799999999997</v>
      </c>
      <c r="HZ117" s="102">
        <f t="shared" si="413"/>
        <v>2.6406670000000001</v>
      </c>
      <c r="IA117" s="102">
        <f t="shared" si="414"/>
        <v>2.6406670000000001</v>
      </c>
      <c r="IB117" s="102">
        <f t="shared" si="415"/>
        <v>32.640667000000001</v>
      </c>
      <c r="IC117" s="102">
        <f t="shared" si="416"/>
        <v>32.640667000000001</v>
      </c>
      <c r="ID117" s="102" t="e">
        <f t="shared" si="417"/>
        <v>#VALUE!</v>
      </c>
      <c r="IE117" s="102" t="e">
        <f t="shared" si="418"/>
        <v>#VALUE!</v>
      </c>
      <c r="IG117" s="102" t="e">
        <f t="shared" si="436"/>
        <v>#VALUE!</v>
      </c>
      <c r="IH117" s="102" t="e">
        <f t="shared" si="437"/>
        <v>#VALUE!</v>
      </c>
      <c r="II117" s="145"/>
      <c r="IJ117" s="929" t="str">
        <f t="shared" si="419"/>
        <v>NA</v>
      </c>
      <c r="IK117" s="930" t="str">
        <f t="shared" si="420"/>
        <v>NA</v>
      </c>
      <c r="IM117" s="973"/>
      <c r="IN117" s="973"/>
      <c r="IP117" s="929">
        <f t="shared" si="438"/>
        <v>1.2899834662854373</v>
      </c>
      <c r="IQ117" s="929">
        <f t="shared" si="438"/>
        <v>1.855874930106836</v>
      </c>
      <c r="IR117" s="929">
        <f t="shared" si="438"/>
        <v>-0.99689306722405591</v>
      </c>
      <c r="IS117" s="929">
        <f t="shared" si="438"/>
        <v>1.7395994140398057</v>
      </c>
      <c r="IT117" s="929">
        <f t="shared" si="438"/>
        <v>0</v>
      </c>
      <c r="IU117" s="929">
        <f t="shared" si="438"/>
        <v>11.360766048880832</v>
      </c>
      <c r="IV117" s="929" t="str">
        <f t="shared" si="439"/>
        <v/>
      </c>
      <c r="IX117" s="102">
        <f t="shared" si="422"/>
        <v>61.193786939999988</v>
      </c>
      <c r="IY117" s="102">
        <f t="shared" si="422"/>
        <v>201.60636440999997</v>
      </c>
      <c r="IZ117" s="102">
        <f t="shared" si="422"/>
        <v>-309.27391548999998</v>
      </c>
      <c r="JA117" s="102">
        <f t="shared" si="422"/>
        <v>1.6767790000000002</v>
      </c>
      <c r="JB117" s="102">
        <f t="shared" si="422"/>
        <v>0</v>
      </c>
      <c r="JC117" s="102">
        <f t="shared" si="422"/>
        <v>30</v>
      </c>
      <c r="JD117" s="102" t="e">
        <f t="shared" si="423"/>
        <v>#VALUE!</v>
      </c>
      <c r="JF117" s="973"/>
      <c r="JG117" s="973"/>
      <c r="JH117" s="973"/>
      <c r="JI117" s="973"/>
      <c r="JJ117" s="973"/>
      <c r="JK117" s="973"/>
      <c r="JL117" s="973"/>
      <c r="JM117" s="973"/>
      <c r="JO117" s="102">
        <f t="shared" si="424"/>
        <v>117.88453885</v>
      </c>
      <c r="JP117" s="102">
        <f t="shared" si="424"/>
        <v>47.437652140000004</v>
      </c>
      <c r="JQ117" s="102">
        <f t="shared" si="424"/>
        <v>108.63143907999999</v>
      </c>
      <c r="JR117" s="102">
        <f t="shared" si="424"/>
        <v>310.23780348999998</v>
      </c>
      <c r="JS117" s="102">
        <f t="shared" si="424"/>
        <v>0.96388799999999997</v>
      </c>
      <c r="JT117" s="102">
        <f t="shared" si="425"/>
        <v>2.6406670000000001</v>
      </c>
      <c r="JU117" s="102">
        <f t="shared" si="426"/>
        <v>2.6406670000000001</v>
      </c>
      <c r="JV117" s="102">
        <f t="shared" si="427"/>
        <v>32.640667000000001</v>
      </c>
      <c r="JW117" s="102">
        <f t="shared" si="427"/>
        <v>32.640667000000001</v>
      </c>
      <c r="JX117" s="102" t="e">
        <f t="shared" si="428"/>
        <v>#VALUE!</v>
      </c>
      <c r="JY117" s="102" t="e">
        <f t="shared" si="429"/>
        <v>#VALUE!</v>
      </c>
      <c r="KB117" s="32">
        <f t="shared" si="430"/>
        <v>1.2899834662854373</v>
      </c>
      <c r="KC117" s="32">
        <f t="shared" si="430"/>
        <v>1.855874930106836</v>
      </c>
      <c r="KD117" s="32">
        <f t="shared" si="430"/>
        <v>-0.99689306722405591</v>
      </c>
      <c r="KE117" s="32">
        <f t="shared" si="430"/>
        <v>1.7395994140398057</v>
      </c>
      <c r="KF117" s="32">
        <f t="shared" si="430"/>
        <v>0</v>
      </c>
      <c r="KG117" s="32">
        <f t="shared" si="430"/>
        <v>11.360766048880832</v>
      </c>
      <c r="KH117" s="32" t="str">
        <f t="shared" si="431"/>
        <v xml:space="preserve"> </v>
      </c>
      <c r="KJ117" s="102">
        <f t="shared" si="432"/>
        <v>61.193786939999988</v>
      </c>
      <c r="KK117" s="102">
        <f t="shared" si="432"/>
        <v>201.60636440999997</v>
      </c>
      <c r="KL117" s="102">
        <f t="shared" si="432"/>
        <v>-309.27391548999998</v>
      </c>
      <c r="KM117" s="102">
        <f t="shared" si="432"/>
        <v>1.6767790000000002</v>
      </c>
      <c r="KN117" s="102">
        <f t="shared" si="432"/>
        <v>0</v>
      </c>
      <c r="KO117" s="102">
        <f t="shared" si="432"/>
        <v>30</v>
      </c>
      <c r="KP117" s="102" t="e">
        <f t="shared" si="433"/>
        <v>#VALUE!</v>
      </c>
      <c r="KR117" s="973"/>
      <c r="KS117" s="973"/>
      <c r="KT117" s="973"/>
      <c r="KU117" s="973"/>
      <c r="KV117" s="973"/>
      <c r="KW117" s="973"/>
      <c r="KX117" s="973"/>
      <c r="KY117" s="973"/>
      <c r="KZ117" s="973"/>
    </row>
    <row r="118" spans="1:312" outlineLevel="3">
      <c r="A118" s="884">
        <v>1370</v>
      </c>
      <c r="B118" s="70" t="s">
        <v>689</v>
      </c>
      <c r="C118" s="40" t="s">
        <v>690</v>
      </c>
      <c r="D118" s="31" t="s">
        <v>59</v>
      </c>
      <c r="E118" s="102">
        <v>0</v>
      </c>
      <c r="F118" s="102">
        <v>0</v>
      </c>
      <c r="G118" s="102">
        <v>0</v>
      </c>
      <c r="H118" s="102">
        <v>0</v>
      </c>
      <c r="I118" s="102">
        <v>0</v>
      </c>
      <c r="J118" s="102">
        <v>0</v>
      </c>
      <c r="K118" s="102">
        <v>0</v>
      </c>
      <c r="L118" s="102">
        <v>0</v>
      </c>
      <c r="M118" s="102">
        <v>0</v>
      </c>
      <c r="N118" s="102">
        <v>0</v>
      </c>
      <c r="O118" s="102">
        <v>0</v>
      </c>
      <c r="P118" s="102">
        <v>0</v>
      </c>
      <c r="Q118" s="102">
        <v>0</v>
      </c>
      <c r="R118" s="102">
        <v>0</v>
      </c>
      <c r="S118" s="102">
        <v>0</v>
      </c>
      <c r="T118" s="102">
        <v>0</v>
      </c>
      <c r="U118" s="102">
        <v>0</v>
      </c>
      <c r="V118" s="102">
        <v>0</v>
      </c>
      <c r="W118" s="102">
        <v>0</v>
      </c>
      <c r="X118" s="102">
        <v>0</v>
      </c>
      <c r="Y118" s="102">
        <v>0</v>
      </c>
      <c r="Z118" s="102">
        <v>0</v>
      </c>
      <c r="AA118" s="102">
        <v>0</v>
      </c>
      <c r="AB118" s="102">
        <v>55</v>
      </c>
      <c r="AC118" s="102">
        <v>100.15166667</v>
      </c>
      <c r="AD118" s="102">
        <v>87.247546870000008</v>
      </c>
      <c r="AE118" s="102">
        <v>78.962779799999993</v>
      </c>
      <c r="AF118" s="102">
        <v>79.046701249999998</v>
      </c>
      <c r="AG118" s="102">
        <v>70.740519209999988</v>
      </c>
      <c r="AH118" s="102">
        <v>53.996606799999995</v>
      </c>
      <c r="AI118" s="102">
        <v>54.086601139999999</v>
      </c>
      <c r="AJ118" s="102">
        <v>37.314932200000001</v>
      </c>
      <c r="AK118" s="102">
        <v>28.95323702</v>
      </c>
      <c r="AL118" s="102">
        <v>20.577605690000002</v>
      </c>
      <c r="AM118" s="102">
        <v>20.611901700000001</v>
      </c>
      <c r="AN118" s="145">
        <v>12.188014970000001</v>
      </c>
      <c r="AO118" s="102">
        <v>3.7641282400000002</v>
      </c>
      <c r="AP118" s="145">
        <v>3.7641282400000002</v>
      </c>
      <c r="AQ118" s="220">
        <v>0</v>
      </c>
      <c r="AR118" s="220">
        <v>0</v>
      </c>
      <c r="AS118" s="102">
        <v>0</v>
      </c>
      <c r="AT118" s="102">
        <v>0</v>
      </c>
      <c r="AU118" s="102">
        <v>0</v>
      </c>
      <c r="AV118" s="102">
        <v>0</v>
      </c>
      <c r="AW118" s="102">
        <v>0</v>
      </c>
      <c r="AX118" s="102">
        <v>0</v>
      </c>
      <c r="AY118" s="102">
        <v>0</v>
      </c>
      <c r="AZ118" s="102">
        <v>0</v>
      </c>
      <c r="BA118" s="102">
        <v>0</v>
      </c>
      <c r="BB118" s="102">
        <v>0</v>
      </c>
      <c r="BC118" s="102">
        <v>0</v>
      </c>
      <c r="BD118" s="102">
        <v>0</v>
      </c>
      <c r="BE118" s="102">
        <v>0</v>
      </c>
      <c r="BF118" s="102">
        <v>0</v>
      </c>
      <c r="BG118" s="102">
        <v>0</v>
      </c>
      <c r="BH118" s="102">
        <v>0</v>
      </c>
      <c r="BI118" s="102">
        <v>0</v>
      </c>
      <c r="BJ118" s="102">
        <v>0</v>
      </c>
      <c r="BK118" s="102">
        <v>0</v>
      </c>
      <c r="BL118" s="102">
        <v>0</v>
      </c>
      <c r="BM118" s="974">
        <v>0</v>
      </c>
      <c r="BN118" s="102">
        <v>0</v>
      </c>
      <c r="BO118" s="102">
        <v>0</v>
      </c>
      <c r="BP118" s="102">
        <v>0</v>
      </c>
      <c r="BQ118" s="102">
        <v>0</v>
      </c>
      <c r="BR118" s="102">
        <v>0</v>
      </c>
      <c r="BS118" s="102">
        <v>0</v>
      </c>
      <c r="BT118" s="102">
        <v>0</v>
      </c>
      <c r="BU118" s="102">
        <v>0</v>
      </c>
      <c r="BV118" s="102">
        <v>0</v>
      </c>
      <c r="BW118" s="102">
        <v>0</v>
      </c>
      <c r="BX118" s="102">
        <v>0</v>
      </c>
      <c r="BY118" s="102">
        <v>0</v>
      </c>
      <c r="BZ118" s="102">
        <v>0</v>
      </c>
      <c r="CA118" s="102">
        <v>0</v>
      </c>
      <c r="CB118" s="102">
        <v>0</v>
      </c>
      <c r="CC118" s="102">
        <v>0</v>
      </c>
      <c r="CD118" s="102">
        <v>0</v>
      </c>
      <c r="CE118" s="102">
        <v>0</v>
      </c>
      <c r="CF118" s="102">
        <v>0</v>
      </c>
      <c r="CG118" s="102">
        <v>0</v>
      </c>
      <c r="CH118" s="102">
        <v>0</v>
      </c>
      <c r="CI118" s="102">
        <v>0</v>
      </c>
      <c r="CJ118" s="102">
        <v>0</v>
      </c>
      <c r="CK118" s="102">
        <v>0</v>
      </c>
      <c r="CL118" s="102">
        <v>0</v>
      </c>
      <c r="CM118" s="102">
        <v>0</v>
      </c>
      <c r="CN118" s="102">
        <v>0</v>
      </c>
      <c r="CO118" s="102">
        <v>0</v>
      </c>
      <c r="CP118" s="102">
        <v>0</v>
      </c>
      <c r="CQ118" s="102">
        <v>0</v>
      </c>
      <c r="CR118" s="102">
        <v>0</v>
      </c>
      <c r="CS118" s="102">
        <v>0</v>
      </c>
      <c r="CT118" s="102">
        <v>0</v>
      </c>
      <c r="CU118" s="102">
        <v>0</v>
      </c>
      <c r="CV118" s="102">
        <v>0</v>
      </c>
      <c r="CW118" s="102">
        <v>0</v>
      </c>
      <c r="CX118" s="102">
        <v>0</v>
      </c>
      <c r="CY118" s="102">
        <v>0</v>
      </c>
      <c r="CZ118" s="102">
        <v>0</v>
      </c>
      <c r="DA118" s="102">
        <v>0</v>
      </c>
      <c r="DB118" s="102">
        <v>0</v>
      </c>
      <c r="DC118" s="102">
        <v>0</v>
      </c>
      <c r="DD118" s="102">
        <v>0</v>
      </c>
      <c r="DE118" s="102">
        <v>0</v>
      </c>
      <c r="DF118" s="102">
        <v>0</v>
      </c>
      <c r="DG118" s="102">
        <v>0</v>
      </c>
      <c r="DH118" s="102">
        <v>0</v>
      </c>
      <c r="DJ118" s="102" t="e">
        <v>#VALUE!</v>
      </c>
      <c r="DK118" s="102" t="e">
        <v>#VALUE!</v>
      </c>
      <c r="DL118" s="102" t="e">
        <v>#VALUE!</v>
      </c>
      <c r="DM118" s="102" t="e">
        <v>#VALUE!</v>
      </c>
      <c r="DN118" s="102" t="e">
        <v>#VALUE!</v>
      </c>
      <c r="DO118" s="102" t="e">
        <v>#VALUE!</v>
      </c>
      <c r="DP118" s="102" t="e">
        <v>#VALUE!</v>
      </c>
      <c r="DQ118" s="102" t="e">
        <v>#VALUE!</v>
      </c>
      <c r="DR118" s="102" t="e">
        <v>#VALUE!</v>
      </c>
      <c r="DS118" s="102" t="e">
        <v>#VALUE!</v>
      </c>
      <c r="DT118" s="102" t="e">
        <v>#VALUE!</v>
      </c>
      <c r="DU118" s="102" t="e">
        <v>#VALUE!</v>
      </c>
      <c r="DW118" s="102">
        <v>3.7560149699999998</v>
      </c>
      <c r="DX118" s="102">
        <v>0</v>
      </c>
      <c r="DY118" s="102">
        <v>0</v>
      </c>
      <c r="DZ118" s="102">
        <v>0</v>
      </c>
      <c r="EA118" s="102">
        <v>0</v>
      </c>
      <c r="EB118" s="102">
        <v>0</v>
      </c>
      <c r="EC118" s="102">
        <v>0</v>
      </c>
      <c r="ED118" s="102">
        <v>0</v>
      </c>
      <c r="EE118" s="102">
        <v>0</v>
      </c>
      <c r="EF118" s="102">
        <v>0</v>
      </c>
      <c r="EG118" s="102">
        <v>0</v>
      </c>
      <c r="EH118" s="102">
        <v>0</v>
      </c>
      <c r="EI118" s="102">
        <v>0</v>
      </c>
      <c r="EJ118" s="102">
        <v>0</v>
      </c>
      <c r="EK118" s="102">
        <v>0</v>
      </c>
      <c r="EL118" s="102">
        <v>0</v>
      </c>
      <c r="EM118" s="102">
        <v>0</v>
      </c>
      <c r="EN118" s="102">
        <v>0</v>
      </c>
      <c r="EO118" s="102">
        <v>0</v>
      </c>
      <c r="EP118" s="102">
        <v>0</v>
      </c>
      <c r="EQ118" s="102">
        <v>0</v>
      </c>
      <c r="ER118" s="102">
        <v>0</v>
      </c>
      <c r="ES118" s="102">
        <v>0</v>
      </c>
      <c r="ET118" s="102">
        <v>0</v>
      </c>
      <c r="EU118" s="102"/>
      <c r="EV118" s="102"/>
      <c r="EW118" s="102"/>
      <c r="EX118" s="102"/>
      <c r="EY118" s="102"/>
      <c r="EZ118" s="102"/>
      <c r="FA118" s="102"/>
      <c r="FB118" s="102"/>
      <c r="FC118" s="102"/>
      <c r="FD118" s="102"/>
      <c r="FE118" s="102"/>
      <c r="FF118" s="102"/>
      <c r="FG118" s="102" t="e">
        <v>#VALUE!</v>
      </c>
      <c r="FH118" s="102" t="e">
        <v>#VALUE!</v>
      </c>
      <c r="FI118" s="102" t="e">
        <v>#VALUE!</v>
      </c>
      <c r="FJ118" s="102" t="e">
        <v>#VALUE!</v>
      </c>
      <c r="FK118" s="102" t="e">
        <v>#VALUE!</v>
      </c>
      <c r="FL118" s="102" t="e">
        <v>#VALUE!</v>
      </c>
      <c r="FM118" s="102" t="e">
        <v>#VALUE!</v>
      </c>
      <c r="FN118" s="102" t="e">
        <v>#VALUE!</v>
      </c>
      <c r="FO118" s="102" t="e">
        <v>#VALUE!</v>
      </c>
      <c r="FP118" s="102" t="e">
        <v>#VALUE!</v>
      </c>
      <c r="FQ118" s="102" t="e">
        <v>#VALUE!</v>
      </c>
      <c r="FR118" s="102" t="e">
        <v>#VALUE!</v>
      </c>
      <c r="FS118" s="102" t="e">
        <v>#VALUE!</v>
      </c>
      <c r="FT118" s="102" t="e">
        <v>#VALUE!</v>
      </c>
      <c r="FU118" s="102" t="e">
        <v>#VALUE!</v>
      </c>
      <c r="FV118" s="102" t="e">
        <v>#VALUE!</v>
      </c>
      <c r="FW118" s="102" t="e">
        <v>#VALUE!</v>
      </c>
      <c r="FX118" s="102" t="e">
        <v>#VALUE!</v>
      </c>
      <c r="FY118" s="102" t="e">
        <v>#VALUE!</v>
      </c>
      <c r="FZ118" s="102" t="e">
        <v>#VALUE!</v>
      </c>
      <c r="GA118" s="102" t="e">
        <v>#VALUE!</v>
      </c>
      <c r="GB118" s="102" t="e">
        <v>#VALUE!</v>
      </c>
      <c r="GC118" s="102" t="e">
        <v>#VALUE!</v>
      </c>
      <c r="GD118" s="102" t="e">
        <v>#VALUE!</v>
      </c>
      <c r="GF118" s="102">
        <f t="shared" si="406"/>
        <v>0</v>
      </c>
      <c r="GG118" s="102">
        <f t="shared" si="406"/>
        <v>55</v>
      </c>
      <c r="GH118" s="102">
        <f t="shared" si="406"/>
        <v>12.188014970000001</v>
      </c>
      <c r="GI118" s="102">
        <f t="shared" si="406"/>
        <v>0</v>
      </c>
      <c r="GJ118" s="102">
        <f t="shared" si="434"/>
        <v>0</v>
      </c>
      <c r="GK118" s="102">
        <f t="shared" si="407"/>
        <v>0</v>
      </c>
      <c r="GL118" s="102">
        <f t="shared" si="435"/>
        <v>0</v>
      </c>
      <c r="GM118" s="102">
        <f t="shared" si="408"/>
        <v>0</v>
      </c>
      <c r="GN118" s="102" t="e">
        <f t="shared" si="409"/>
        <v>#VALUE!</v>
      </c>
      <c r="GO118" s="102">
        <v>0</v>
      </c>
      <c r="GQ118" s="929">
        <f t="shared" si="440"/>
        <v>-0.77839972781818179</v>
      </c>
      <c r="GR118" s="929">
        <f t="shared" si="440"/>
        <v>-1</v>
      </c>
      <c r="GS118" s="929" t="str">
        <f t="shared" si="440"/>
        <v/>
      </c>
      <c r="GT118" s="929" t="str">
        <f t="shared" si="410"/>
        <v/>
      </c>
      <c r="GU118" s="929" t="str">
        <f t="shared" si="410"/>
        <v/>
      </c>
      <c r="GV118" s="929" t="str">
        <f t="shared" si="410"/>
        <v/>
      </c>
      <c r="GW118" s="929" t="str">
        <f t="shared" si="399"/>
        <v/>
      </c>
      <c r="GX118" s="929" t="str">
        <f t="shared" si="399"/>
        <v/>
      </c>
      <c r="GY118" s="929" t="str">
        <f t="shared" si="249"/>
        <v/>
      </c>
      <c r="HA118" s="102">
        <f t="shared" si="441"/>
        <v>-42.811985030000002</v>
      </c>
      <c r="HB118" s="102">
        <f t="shared" si="441"/>
        <v>-12.188014970000001</v>
      </c>
      <c r="HC118" s="102">
        <f t="shared" si="441"/>
        <v>0</v>
      </c>
      <c r="HD118" s="102">
        <f t="shared" si="411"/>
        <v>0</v>
      </c>
      <c r="HE118" s="102">
        <f t="shared" si="400"/>
        <v>0</v>
      </c>
      <c r="HF118" s="102">
        <f t="shared" si="400"/>
        <v>0</v>
      </c>
      <c r="HG118" s="102" t="e">
        <f t="shared" si="400"/>
        <v>#VALUE!</v>
      </c>
      <c r="HH118" s="102" t="e">
        <f t="shared" si="400"/>
        <v>#VALUE!</v>
      </c>
      <c r="HI118" s="102">
        <f t="shared" si="251"/>
        <v>0</v>
      </c>
      <c r="HK118" s="973"/>
      <c r="HL118" s="973"/>
      <c r="HM118" s="973"/>
      <c r="HN118" s="973"/>
      <c r="HO118" s="973"/>
      <c r="HP118" s="973"/>
      <c r="HQ118" s="973"/>
      <c r="HR118" s="973"/>
      <c r="HS118" s="973"/>
      <c r="HU118" s="102">
        <f t="shared" si="442"/>
        <v>0</v>
      </c>
      <c r="HV118" s="102">
        <f t="shared" si="442"/>
        <v>0</v>
      </c>
      <c r="HW118" s="102">
        <f t="shared" si="442"/>
        <v>53.996606799999995</v>
      </c>
      <c r="HX118" s="102">
        <f t="shared" si="442"/>
        <v>0</v>
      </c>
      <c r="HY118" s="102">
        <f t="shared" si="413"/>
        <v>0</v>
      </c>
      <c r="HZ118" s="102">
        <f t="shared" si="413"/>
        <v>0</v>
      </c>
      <c r="IA118" s="102">
        <f t="shared" si="414"/>
        <v>0</v>
      </c>
      <c r="IB118" s="102">
        <f t="shared" si="415"/>
        <v>0</v>
      </c>
      <c r="IC118" s="102">
        <f t="shared" si="416"/>
        <v>0</v>
      </c>
      <c r="ID118" s="102" t="e">
        <f t="shared" si="417"/>
        <v>#VALUE!</v>
      </c>
      <c r="IE118" s="102" t="e">
        <f t="shared" si="418"/>
        <v>#VALUE!</v>
      </c>
      <c r="IG118" s="102" t="e">
        <f t="shared" si="436"/>
        <v>#VALUE!</v>
      </c>
      <c r="IH118" s="102" t="e">
        <f t="shared" si="437"/>
        <v>#VALUE!</v>
      </c>
      <c r="II118" s="145"/>
      <c r="IJ118" s="929" t="str">
        <f t="shared" si="419"/>
        <v>NA</v>
      </c>
      <c r="IK118" s="930" t="str">
        <f t="shared" si="420"/>
        <v>NA</v>
      </c>
      <c r="IM118" s="973"/>
      <c r="IN118" s="973"/>
      <c r="IP118" s="929" t="str">
        <f t="shared" si="438"/>
        <v/>
      </c>
      <c r="IQ118" s="929">
        <f t="shared" si="438"/>
        <v>-1</v>
      </c>
      <c r="IR118" s="929" t="str">
        <f t="shared" si="438"/>
        <v/>
      </c>
      <c r="IS118" s="929" t="str">
        <f t="shared" si="438"/>
        <v/>
      </c>
      <c r="IT118" s="929" t="str">
        <f t="shared" si="438"/>
        <v/>
      </c>
      <c r="IU118" s="929" t="str">
        <f t="shared" si="438"/>
        <v/>
      </c>
      <c r="IV118" s="929" t="str">
        <f t="shared" si="439"/>
        <v/>
      </c>
      <c r="IX118" s="102">
        <f t="shared" si="422"/>
        <v>53.996606799999995</v>
      </c>
      <c r="IY118" s="102">
        <f t="shared" si="422"/>
        <v>-53.996606799999995</v>
      </c>
      <c r="IZ118" s="102">
        <f t="shared" si="422"/>
        <v>0</v>
      </c>
      <c r="JA118" s="102">
        <f t="shared" si="422"/>
        <v>0</v>
      </c>
      <c r="JB118" s="102">
        <f t="shared" si="422"/>
        <v>0</v>
      </c>
      <c r="JC118" s="102">
        <f t="shared" si="422"/>
        <v>0</v>
      </c>
      <c r="JD118" s="102" t="e">
        <f t="shared" si="423"/>
        <v>#VALUE!</v>
      </c>
      <c r="JF118" s="973"/>
      <c r="JG118" s="973"/>
      <c r="JH118" s="973"/>
      <c r="JI118" s="973"/>
      <c r="JJ118" s="973"/>
      <c r="JK118" s="973"/>
      <c r="JL118" s="973"/>
      <c r="JM118" s="973"/>
      <c r="JO118" s="102">
        <f t="shared" si="424"/>
        <v>0</v>
      </c>
      <c r="JP118" s="102">
        <f t="shared" si="424"/>
        <v>0</v>
      </c>
      <c r="JQ118" s="102">
        <f t="shared" si="424"/>
        <v>53.996606799999995</v>
      </c>
      <c r="JR118" s="102">
        <f t="shared" si="424"/>
        <v>0</v>
      </c>
      <c r="JS118" s="102">
        <f t="shared" si="424"/>
        <v>0</v>
      </c>
      <c r="JT118" s="102">
        <f t="shared" si="425"/>
        <v>0</v>
      </c>
      <c r="JU118" s="102">
        <f t="shared" si="426"/>
        <v>0</v>
      </c>
      <c r="JV118" s="102">
        <f t="shared" si="427"/>
        <v>0</v>
      </c>
      <c r="JW118" s="102">
        <f t="shared" si="427"/>
        <v>0</v>
      </c>
      <c r="JX118" s="102" t="e">
        <f t="shared" si="428"/>
        <v>#VALUE!</v>
      </c>
      <c r="JY118" s="102" t="e">
        <f t="shared" si="429"/>
        <v>#VALUE!</v>
      </c>
      <c r="KB118" s="32" t="str">
        <f t="shared" si="430"/>
        <v xml:space="preserve"> </v>
      </c>
      <c r="KC118" s="32">
        <f t="shared" si="430"/>
        <v>-1</v>
      </c>
      <c r="KD118" s="32" t="str">
        <f t="shared" si="430"/>
        <v xml:space="preserve"> </v>
      </c>
      <c r="KE118" s="32" t="str">
        <f t="shared" si="430"/>
        <v xml:space="preserve"> </v>
      </c>
      <c r="KF118" s="32" t="str">
        <f t="shared" si="430"/>
        <v xml:space="preserve"> </v>
      </c>
      <c r="KG118" s="32" t="str">
        <f t="shared" si="430"/>
        <v xml:space="preserve"> </v>
      </c>
      <c r="KH118" s="32" t="str">
        <f t="shared" si="431"/>
        <v xml:space="preserve"> </v>
      </c>
      <c r="KJ118" s="102">
        <f t="shared" si="432"/>
        <v>53.996606799999995</v>
      </c>
      <c r="KK118" s="102">
        <f t="shared" si="432"/>
        <v>-53.996606799999995</v>
      </c>
      <c r="KL118" s="102">
        <f t="shared" si="432"/>
        <v>0</v>
      </c>
      <c r="KM118" s="102">
        <f t="shared" si="432"/>
        <v>0</v>
      </c>
      <c r="KN118" s="102">
        <f t="shared" si="432"/>
        <v>0</v>
      </c>
      <c r="KO118" s="102">
        <f t="shared" si="432"/>
        <v>0</v>
      </c>
      <c r="KP118" s="102" t="e">
        <f t="shared" si="433"/>
        <v>#VALUE!</v>
      </c>
      <c r="KR118" s="973"/>
      <c r="KS118" s="973"/>
      <c r="KT118" s="973"/>
      <c r="KU118" s="973"/>
      <c r="KV118" s="973"/>
      <c r="KW118" s="973"/>
      <c r="KX118" s="973"/>
      <c r="KY118" s="973"/>
      <c r="KZ118" s="973"/>
    </row>
    <row r="119" spans="1:312" outlineLevel="3">
      <c r="A119" s="884">
        <v>1325</v>
      </c>
      <c r="B119" s="70"/>
      <c r="C119" s="40" t="s">
        <v>691</v>
      </c>
      <c r="D119" s="31" t="s">
        <v>59</v>
      </c>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45">
        <v>180</v>
      </c>
      <c r="AO119" s="102">
        <v>180</v>
      </c>
      <c r="AP119" s="145">
        <v>180</v>
      </c>
      <c r="AQ119" s="220">
        <v>180</v>
      </c>
      <c r="AR119" s="220">
        <v>240</v>
      </c>
      <c r="AS119" s="102">
        <v>300</v>
      </c>
      <c r="AT119" s="102">
        <v>300</v>
      </c>
      <c r="AU119" s="102">
        <v>300</v>
      </c>
      <c r="AV119" s="102">
        <v>300</v>
      </c>
      <c r="AW119" s="102">
        <v>300</v>
      </c>
      <c r="AX119" s="102">
        <v>300</v>
      </c>
      <c r="AY119" s="102">
        <v>300</v>
      </c>
      <c r="AZ119" s="102">
        <v>0</v>
      </c>
      <c r="BA119" s="102">
        <v>0</v>
      </c>
      <c r="BB119" s="102">
        <v>0</v>
      </c>
      <c r="BC119" s="102">
        <v>0</v>
      </c>
      <c r="BD119" s="102">
        <v>0</v>
      </c>
      <c r="BE119" s="102">
        <v>0</v>
      </c>
      <c r="BF119" s="102">
        <v>0</v>
      </c>
      <c r="BG119" s="102">
        <v>0</v>
      </c>
      <c r="BH119" s="102">
        <v>0</v>
      </c>
      <c r="BI119" s="102">
        <v>0</v>
      </c>
      <c r="BJ119" s="102">
        <v>0</v>
      </c>
      <c r="BK119" s="102">
        <v>0</v>
      </c>
      <c r="BL119" s="102">
        <v>0</v>
      </c>
      <c r="BM119" s="974">
        <v>0</v>
      </c>
      <c r="BN119" s="102">
        <v>0</v>
      </c>
      <c r="BO119" s="102">
        <v>0</v>
      </c>
      <c r="BP119" s="102">
        <v>0</v>
      </c>
      <c r="BQ119" s="102">
        <v>0</v>
      </c>
      <c r="BR119" s="102">
        <v>0</v>
      </c>
      <c r="BS119" s="102">
        <v>0</v>
      </c>
      <c r="BT119" s="102">
        <v>0</v>
      </c>
      <c r="BU119" s="102">
        <v>0</v>
      </c>
      <c r="BV119" s="102">
        <v>0</v>
      </c>
      <c r="BW119" s="102">
        <v>0</v>
      </c>
      <c r="BX119" s="102">
        <v>0</v>
      </c>
      <c r="BY119" s="102">
        <v>0</v>
      </c>
      <c r="BZ119" s="102">
        <v>0</v>
      </c>
      <c r="CA119" s="102">
        <v>0</v>
      </c>
      <c r="CB119" s="102">
        <v>0</v>
      </c>
      <c r="CC119" s="102">
        <v>0</v>
      </c>
      <c r="CD119" s="102">
        <v>0</v>
      </c>
      <c r="CE119" s="102">
        <v>0</v>
      </c>
      <c r="CF119" s="102">
        <v>0</v>
      </c>
      <c r="CG119" s="102">
        <v>30</v>
      </c>
      <c r="CH119" s="102">
        <v>30</v>
      </c>
      <c r="CI119" s="102">
        <v>30</v>
      </c>
      <c r="CJ119" s="102">
        <v>30</v>
      </c>
      <c r="CK119" s="102">
        <v>30</v>
      </c>
      <c r="CL119" s="102">
        <v>30</v>
      </c>
      <c r="CM119" s="102">
        <v>30</v>
      </c>
      <c r="CN119" s="102">
        <v>30</v>
      </c>
      <c r="CO119" s="102">
        <v>30</v>
      </c>
      <c r="CP119" s="102">
        <v>30</v>
      </c>
      <c r="CQ119" s="102">
        <v>30</v>
      </c>
      <c r="CR119" s="102">
        <v>30</v>
      </c>
      <c r="CS119" s="102">
        <v>30</v>
      </c>
      <c r="CT119" s="102">
        <v>30</v>
      </c>
      <c r="CU119" s="102">
        <v>30</v>
      </c>
      <c r="CV119" s="102">
        <v>30</v>
      </c>
      <c r="CW119" s="102">
        <v>30</v>
      </c>
      <c r="CX119" s="102">
        <v>30</v>
      </c>
      <c r="CY119" s="102">
        <v>30</v>
      </c>
      <c r="CZ119" s="102">
        <v>30</v>
      </c>
      <c r="DA119" s="102">
        <v>30</v>
      </c>
      <c r="DB119" s="102">
        <v>30</v>
      </c>
      <c r="DC119" s="102">
        <v>30</v>
      </c>
      <c r="DD119" s="102">
        <v>30</v>
      </c>
      <c r="DE119" s="102">
        <v>30</v>
      </c>
      <c r="DF119" s="102">
        <v>30</v>
      </c>
      <c r="DG119" s="102">
        <v>30</v>
      </c>
      <c r="DH119" s="102">
        <v>60</v>
      </c>
      <c r="DI119" s="145"/>
      <c r="DJ119" s="102" t="e">
        <v>#VALUE!</v>
      </c>
      <c r="DK119" s="102" t="e">
        <v>#VALUE!</v>
      </c>
      <c r="DL119" s="102" t="e">
        <v>#VALUE!</v>
      </c>
      <c r="DM119" s="102" t="e">
        <v>#VALUE!</v>
      </c>
      <c r="DN119" s="102" t="e">
        <v>#VALUE!</v>
      </c>
      <c r="DO119" s="102" t="e">
        <v>#VALUE!</v>
      </c>
      <c r="DP119" s="102" t="e">
        <v>#VALUE!</v>
      </c>
      <c r="DQ119" s="102" t="e">
        <v>#VALUE!</v>
      </c>
      <c r="DR119" s="102" t="e">
        <v>#VALUE!</v>
      </c>
      <c r="DS119" s="102" t="e">
        <v>#VALUE!</v>
      </c>
      <c r="DT119" s="102" t="e">
        <v>#VALUE!</v>
      </c>
      <c r="DU119" s="102" t="e">
        <v>#VALUE!</v>
      </c>
      <c r="DW119" s="102">
        <v>180</v>
      </c>
      <c r="DX119" s="102">
        <v>180</v>
      </c>
      <c r="DY119" s="102">
        <v>180</v>
      </c>
      <c r="DZ119" s="102">
        <v>180</v>
      </c>
      <c r="EA119" s="102">
        <v>0</v>
      </c>
      <c r="EB119" s="102">
        <v>0</v>
      </c>
      <c r="EC119" s="102">
        <v>0</v>
      </c>
      <c r="ED119" s="102">
        <v>0</v>
      </c>
      <c r="EE119" s="102">
        <v>0</v>
      </c>
      <c r="EF119" s="102">
        <v>0</v>
      </c>
      <c r="EG119" s="102">
        <v>0</v>
      </c>
      <c r="EH119" s="102">
        <v>0</v>
      </c>
      <c r="EI119" s="102">
        <v>60</v>
      </c>
      <c r="EJ119" s="102">
        <v>60</v>
      </c>
      <c r="EK119" s="102">
        <v>60</v>
      </c>
      <c r="EL119" s="102">
        <v>60</v>
      </c>
      <c r="EM119" s="102">
        <v>60</v>
      </c>
      <c r="EN119" s="102">
        <v>60</v>
      </c>
      <c r="EO119" s="102">
        <v>60</v>
      </c>
      <c r="EP119" s="102">
        <v>60</v>
      </c>
      <c r="EQ119" s="102">
        <v>60</v>
      </c>
      <c r="ER119" s="102">
        <v>120</v>
      </c>
      <c r="ES119" s="102">
        <v>120</v>
      </c>
      <c r="ET119" s="102">
        <v>180</v>
      </c>
      <c r="EU119" s="102"/>
      <c r="EV119" s="102"/>
      <c r="EW119" s="102"/>
      <c r="EX119" s="102"/>
      <c r="EY119" s="102"/>
      <c r="EZ119" s="102"/>
      <c r="FA119" s="102"/>
      <c r="FB119" s="102"/>
      <c r="FC119" s="102"/>
      <c r="FD119" s="102"/>
      <c r="FE119" s="102"/>
      <c r="FF119" s="102"/>
      <c r="FG119" s="102" t="e">
        <v>#VALUE!</v>
      </c>
      <c r="FH119" s="102" t="e">
        <v>#VALUE!</v>
      </c>
      <c r="FI119" s="102" t="e">
        <v>#VALUE!</v>
      </c>
      <c r="FJ119" s="102" t="e">
        <v>#VALUE!</v>
      </c>
      <c r="FK119" s="102" t="e">
        <v>#VALUE!</v>
      </c>
      <c r="FL119" s="102" t="e">
        <v>#VALUE!</v>
      </c>
      <c r="FM119" s="102" t="e">
        <v>#VALUE!</v>
      </c>
      <c r="FN119" s="102" t="e">
        <v>#VALUE!</v>
      </c>
      <c r="FO119" s="102" t="e">
        <v>#VALUE!</v>
      </c>
      <c r="FP119" s="102" t="e">
        <v>#VALUE!</v>
      </c>
      <c r="FQ119" s="102" t="e">
        <v>#VALUE!</v>
      </c>
      <c r="FR119" s="102" t="e">
        <v>#VALUE!</v>
      </c>
      <c r="FS119" s="102" t="e">
        <v>#VALUE!</v>
      </c>
      <c r="FT119" s="102" t="e">
        <v>#VALUE!</v>
      </c>
      <c r="FU119" s="102" t="e">
        <v>#VALUE!</v>
      </c>
      <c r="FV119" s="102" t="e">
        <v>#VALUE!</v>
      </c>
      <c r="FW119" s="102" t="e">
        <v>#VALUE!</v>
      </c>
      <c r="FX119" s="102" t="e">
        <v>#VALUE!</v>
      </c>
      <c r="FY119" s="102" t="e">
        <v>#VALUE!</v>
      </c>
      <c r="FZ119" s="102" t="e">
        <v>#VALUE!</v>
      </c>
      <c r="GA119" s="102" t="e">
        <v>#VALUE!</v>
      </c>
      <c r="GB119" s="102" t="e">
        <v>#VALUE!</v>
      </c>
      <c r="GC119" s="102" t="e">
        <v>#VALUE!</v>
      </c>
      <c r="GD119" s="102" t="e">
        <v>#VALUE!</v>
      </c>
      <c r="GF119" s="102">
        <f t="shared" si="406"/>
        <v>0</v>
      </c>
      <c r="GG119" s="102">
        <f t="shared" si="406"/>
        <v>0</v>
      </c>
      <c r="GH119" s="102">
        <f t="shared" si="406"/>
        <v>180</v>
      </c>
      <c r="GI119" s="102">
        <f t="shared" si="406"/>
        <v>0</v>
      </c>
      <c r="GJ119" s="102">
        <f t="shared" si="434"/>
        <v>0</v>
      </c>
      <c r="GK119" s="102">
        <f t="shared" si="407"/>
        <v>0</v>
      </c>
      <c r="GL119" s="102">
        <f t="shared" si="435"/>
        <v>30</v>
      </c>
      <c r="GM119" s="102">
        <f t="shared" si="408"/>
        <v>30</v>
      </c>
      <c r="GN119" s="102" t="e">
        <f t="shared" si="409"/>
        <v>#VALUE!</v>
      </c>
      <c r="GO119" s="102">
        <v>60</v>
      </c>
      <c r="GQ119" s="929" t="str">
        <f t="shared" si="440"/>
        <v/>
      </c>
      <c r="GR119" s="929">
        <f t="shared" si="440"/>
        <v>-1</v>
      </c>
      <c r="GS119" s="929" t="str">
        <f t="shared" si="440"/>
        <v/>
      </c>
      <c r="GT119" s="929" t="str">
        <f t="shared" si="410"/>
        <v/>
      </c>
      <c r="GU119" s="929" t="str">
        <f t="shared" si="410"/>
        <v/>
      </c>
      <c r="GV119" s="929">
        <f t="shared" si="410"/>
        <v>0</v>
      </c>
      <c r="GW119" s="929" t="str">
        <f t="shared" si="399"/>
        <v/>
      </c>
      <c r="GX119" s="929" t="str">
        <f t="shared" si="399"/>
        <v/>
      </c>
      <c r="GY119" s="929">
        <f t="shared" si="249"/>
        <v>1</v>
      </c>
      <c r="HA119" s="102">
        <f t="shared" si="441"/>
        <v>180</v>
      </c>
      <c r="HB119" s="102">
        <f t="shared" si="441"/>
        <v>-180</v>
      </c>
      <c r="HC119" s="102">
        <f t="shared" si="441"/>
        <v>0</v>
      </c>
      <c r="HD119" s="102">
        <f t="shared" si="411"/>
        <v>0</v>
      </c>
      <c r="HE119" s="102">
        <f t="shared" si="400"/>
        <v>30</v>
      </c>
      <c r="HF119" s="102">
        <f t="shared" si="400"/>
        <v>0</v>
      </c>
      <c r="HG119" s="102" t="e">
        <f t="shared" si="400"/>
        <v>#VALUE!</v>
      </c>
      <c r="HH119" s="102" t="e">
        <f t="shared" si="400"/>
        <v>#VALUE!</v>
      </c>
      <c r="HI119" s="102">
        <f t="shared" si="251"/>
        <v>30</v>
      </c>
      <c r="HK119" s="973"/>
      <c r="HL119" s="973"/>
      <c r="HM119" s="973"/>
      <c r="HN119" s="973"/>
      <c r="HO119" s="973"/>
      <c r="HP119" s="973"/>
      <c r="HQ119" s="973"/>
      <c r="HR119" s="973"/>
      <c r="HS119" s="973"/>
      <c r="HU119" s="102">
        <f t="shared" si="442"/>
        <v>0</v>
      </c>
      <c r="HV119" s="102">
        <f t="shared" si="442"/>
        <v>0</v>
      </c>
      <c r="HW119" s="102">
        <f t="shared" si="442"/>
        <v>0</v>
      </c>
      <c r="HX119" s="102">
        <f t="shared" si="442"/>
        <v>300</v>
      </c>
      <c r="HY119" s="102">
        <f t="shared" si="413"/>
        <v>0</v>
      </c>
      <c r="HZ119" s="102">
        <f t="shared" si="413"/>
        <v>0</v>
      </c>
      <c r="IA119" s="102">
        <f t="shared" si="414"/>
        <v>0</v>
      </c>
      <c r="IB119" s="102">
        <f t="shared" si="415"/>
        <v>30</v>
      </c>
      <c r="IC119" s="102">
        <f t="shared" si="416"/>
        <v>30</v>
      </c>
      <c r="ID119" s="102" t="e">
        <f t="shared" si="417"/>
        <v>#VALUE!</v>
      </c>
      <c r="IE119" s="102" t="e">
        <f t="shared" si="418"/>
        <v>#VALUE!</v>
      </c>
      <c r="IG119" s="102" t="e">
        <f t="shared" si="436"/>
        <v>#VALUE!</v>
      </c>
      <c r="IH119" s="102" t="e">
        <f t="shared" si="437"/>
        <v>#VALUE!</v>
      </c>
      <c r="II119" s="145"/>
      <c r="IJ119" s="929" t="str">
        <f t="shared" si="419"/>
        <v>NA</v>
      </c>
      <c r="IK119" s="930" t="str">
        <f t="shared" si="420"/>
        <v>NA</v>
      </c>
      <c r="IM119" s="973"/>
      <c r="IN119" s="973"/>
      <c r="IP119" s="929" t="str">
        <f t="shared" si="438"/>
        <v/>
      </c>
      <c r="IQ119" s="929" t="str">
        <f t="shared" si="438"/>
        <v/>
      </c>
      <c r="IR119" s="929">
        <f t="shared" si="438"/>
        <v>-1</v>
      </c>
      <c r="IS119" s="929" t="str">
        <f t="shared" si="438"/>
        <v/>
      </c>
      <c r="IT119" s="929" t="str">
        <f t="shared" si="438"/>
        <v/>
      </c>
      <c r="IU119" s="929" t="str">
        <f t="shared" si="438"/>
        <v/>
      </c>
      <c r="IV119" s="929" t="str">
        <f t="shared" si="439"/>
        <v/>
      </c>
      <c r="IX119" s="102">
        <f t="shared" si="422"/>
        <v>0</v>
      </c>
      <c r="IY119" s="102">
        <f t="shared" si="422"/>
        <v>300</v>
      </c>
      <c r="IZ119" s="102">
        <f t="shared" si="422"/>
        <v>-300</v>
      </c>
      <c r="JA119" s="102">
        <f t="shared" si="422"/>
        <v>0</v>
      </c>
      <c r="JB119" s="102">
        <f t="shared" si="422"/>
        <v>0</v>
      </c>
      <c r="JC119" s="102">
        <f t="shared" si="422"/>
        <v>30</v>
      </c>
      <c r="JD119" s="102" t="e">
        <f t="shared" si="423"/>
        <v>#VALUE!</v>
      </c>
      <c r="JF119" s="973"/>
      <c r="JG119" s="973"/>
      <c r="JH119" s="973"/>
      <c r="JI119" s="973"/>
      <c r="JJ119" s="973"/>
      <c r="JK119" s="973"/>
      <c r="JL119" s="973"/>
      <c r="JM119" s="973"/>
      <c r="JO119" s="102">
        <f t="shared" ref="JO119:JS127" si="452">+SUMIFS($E119:$BX119,$E$6:$BX$6,JO$7,$E$5:$BX$5,$JQ$5)</f>
        <v>0</v>
      </c>
      <c r="JP119" s="102">
        <f t="shared" si="452"/>
        <v>0</v>
      </c>
      <c r="JQ119" s="102">
        <f t="shared" si="452"/>
        <v>0</v>
      </c>
      <c r="JR119" s="102">
        <f t="shared" si="452"/>
        <v>300</v>
      </c>
      <c r="JS119" s="102">
        <f t="shared" si="452"/>
        <v>0</v>
      </c>
      <c r="JT119" s="102">
        <f t="shared" si="425"/>
        <v>0</v>
      </c>
      <c r="JU119" s="102">
        <f t="shared" si="426"/>
        <v>0</v>
      </c>
      <c r="JV119" s="102">
        <f t="shared" si="427"/>
        <v>30</v>
      </c>
      <c r="JW119" s="102">
        <f t="shared" si="427"/>
        <v>30</v>
      </c>
      <c r="JX119" s="102" t="e">
        <f t="shared" si="428"/>
        <v>#VALUE!</v>
      </c>
      <c r="JY119" s="102" t="e">
        <f t="shared" si="429"/>
        <v>#VALUE!</v>
      </c>
      <c r="KB119" s="32" t="str">
        <f t="shared" si="430"/>
        <v xml:space="preserve"> </v>
      </c>
      <c r="KC119" s="32" t="str">
        <f t="shared" si="430"/>
        <v xml:space="preserve"> </v>
      </c>
      <c r="KD119" s="32">
        <f t="shared" si="430"/>
        <v>-1</v>
      </c>
      <c r="KE119" s="32" t="str">
        <f t="shared" si="430"/>
        <v xml:space="preserve"> </v>
      </c>
      <c r="KF119" s="32" t="str">
        <f t="shared" si="430"/>
        <v xml:space="preserve"> </v>
      </c>
      <c r="KG119" s="32" t="str">
        <f t="shared" si="430"/>
        <v xml:space="preserve"> </v>
      </c>
      <c r="KH119" s="32" t="str">
        <f t="shared" si="431"/>
        <v xml:space="preserve"> </v>
      </c>
      <c r="KJ119" s="102">
        <f t="shared" si="432"/>
        <v>0</v>
      </c>
      <c r="KK119" s="102">
        <f t="shared" si="432"/>
        <v>300</v>
      </c>
      <c r="KL119" s="102">
        <f t="shared" si="432"/>
        <v>-300</v>
      </c>
      <c r="KM119" s="102">
        <f t="shared" si="432"/>
        <v>0</v>
      </c>
      <c r="KN119" s="102">
        <f t="shared" si="432"/>
        <v>0</v>
      </c>
      <c r="KO119" s="102">
        <f t="shared" si="432"/>
        <v>30</v>
      </c>
      <c r="KP119" s="102" t="e">
        <f t="shared" si="433"/>
        <v>#VALUE!</v>
      </c>
      <c r="KR119" s="973"/>
      <c r="KS119" s="973"/>
      <c r="KT119" s="973"/>
      <c r="KU119" s="973"/>
      <c r="KV119" s="973"/>
      <c r="KW119" s="973"/>
      <c r="KX119" s="973"/>
      <c r="KY119" s="973"/>
      <c r="KZ119" s="973"/>
    </row>
    <row r="120" spans="1:312" outlineLevel="3">
      <c r="A120" s="884">
        <v>1365</v>
      </c>
      <c r="B120" s="70" t="s">
        <v>692</v>
      </c>
      <c r="C120" s="40" t="s">
        <v>693</v>
      </c>
      <c r="D120" s="31" t="s">
        <v>59</v>
      </c>
      <c r="E120" s="102">
        <v>-1.23846072</v>
      </c>
      <c r="F120" s="102">
        <v>-5.0455889900000006</v>
      </c>
      <c r="G120" s="102">
        <v>-13.379293990000001</v>
      </c>
      <c r="H120" s="102">
        <v>-16.16715499</v>
      </c>
      <c r="I120" s="102">
        <v>-16.64670499</v>
      </c>
      <c r="J120" s="102">
        <v>-1.22864558</v>
      </c>
      <c r="K120" s="102">
        <v>-20.258604999999999</v>
      </c>
      <c r="L120" s="102">
        <v>-29.694389999999999</v>
      </c>
      <c r="M120" s="102">
        <v>-37.158175</v>
      </c>
      <c r="N120" s="102">
        <v>-45.04374</v>
      </c>
      <c r="O120" s="102">
        <v>3.0768469999999999</v>
      </c>
      <c r="P120" s="102">
        <v>10.787079</v>
      </c>
      <c r="Q120" s="102">
        <v>6.4961805000000004</v>
      </c>
      <c r="R120" s="102">
        <v>3.8034804999999996</v>
      </c>
      <c r="S120" s="102">
        <v>2.8846555</v>
      </c>
      <c r="T120" s="102">
        <v>-23.299015500000003</v>
      </c>
      <c r="U120" s="102">
        <v>-24.2332125</v>
      </c>
      <c r="V120" s="102">
        <v>-29.35005614</v>
      </c>
      <c r="W120" s="102">
        <v>6.0285678599999999</v>
      </c>
      <c r="X120" s="102">
        <v>-1.7481140000000117E-2</v>
      </c>
      <c r="Y120" s="102">
        <v>-1.8821221399999999</v>
      </c>
      <c r="Z120" s="102">
        <v>-3.2571271400000001</v>
      </c>
      <c r="AA120" s="102">
        <v>-1.7650131399999998</v>
      </c>
      <c r="AB120" s="102">
        <v>20.701506500000001</v>
      </c>
      <c r="AC120" s="102">
        <v>3.4736436500000001</v>
      </c>
      <c r="AD120" s="102">
        <v>10.860962000000001</v>
      </c>
      <c r="AE120" s="102">
        <v>2.0554687300000003</v>
      </c>
      <c r="AF120" s="102">
        <v>6.9939633700000003</v>
      </c>
      <c r="AG120" s="102">
        <v>11.130290369999999</v>
      </c>
      <c r="AH120" s="102">
        <v>7.1781092499999994</v>
      </c>
      <c r="AI120" s="102">
        <v>4.4787075000000005</v>
      </c>
      <c r="AJ120" s="102">
        <v>1.923645</v>
      </c>
      <c r="AK120" s="102">
        <v>0.89165499999999998</v>
      </c>
      <c r="AL120" s="102">
        <v>2.20831161</v>
      </c>
      <c r="AM120" s="102">
        <v>3.1435000000000005E-2</v>
      </c>
      <c r="AN120" s="145">
        <v>0.10000149</v>
      </c>
      <c r="AO120" s="102">
        <v>-0.35259051000000002</v>
      </c>
      <c r="AP120" s="145">
        <v>0.16856499999999999</v>
      </c>
      <c r="AQ120" s="220">
        <v>0.64849999999999997</v>
      </c>
      <c r="AR120" s="220">
        <v>1.057375</v>
      </c>
      <c r="AS120" s="102">
        <v>0.54683999999999999</v>
      </c>
      <c r="AT120" s="102">
        <v>0.68397036</v>
      </c>
      <c r="AU120" s="102">
        <v>0.10000036</v>
      </c>
      <c r="AV120" s="102">
        <v>0.10000036</v>
      </c>
      <c r="AW120" s="102">
        <v>0</v>
      </c>
      <c r="AX120" s="102">
        <v>0</v>
      </c>
      <c r="AY120" s="102">
        <v>0</v>
      </c>
      <c r="AZ120" s="102">
        <v>0</v>
      </c>
      <c r="BA120" s="102">
        <v>0</v>
      </c>
      <c r="BB120" s="102">
        <v>0</v>
      </c>
      <c r="BC120" s="102">
        <v>0</v>
      </c>
      <c r="BD120" s="102">
        <v>0</v>
      </c>
      <c r="BE120" s="102">
        <v>0</v>
      </c>
      <c r="BF120" s="102">
        <v>0</v>
      </c>
      <c r="BG120" s="102">
        <v>0</v>
      </c>
      <c r="BH120" s="102">
        <v>0</v>
      </c>
      <c r="BI120" s="102">
        <v>0</v>
      </c>
      <c r="BJ120" s="102">
        <v>0</v>
      </c>
      <c r="BK120" s="102">
        <v>0</v>
      </c>
      <c r="BL120" s="102">
        <v>0</v>
      </c>
      <c r="BM120" s="974">
        <v>0</v>
      </c>
      <c r="BN120" s="102">
        <v>0</v>
      </c>
      <c r="BO120" s="102">
        <v>0</v>
      </c>
      <c r="BP120" s="102">
        <v>0</v>
      </c>
      <c r="BQ120" s="102">
        <v>0</v>
      </c>
      <c r="BR120" s="102">
        <v>0</v>
      </c>
      <c r="BS120" s="102">
        <v>0</v>
      </c>
      <c r="BT120" s="102">
        <v>0</v>
      </c>
      <c r="BU120" s="102">
        <v>0.13</v>
      </c>
      <c r="BV120" s="102">
        <v>0</v>
      </c>
      <c r="BW120" s="102">
        <v>0</v>
      </c>
      <c r="BX120" s="102">
        <v>0</v>
      </c>
      <c r="BY120" s="102">
        <v>0</v>
      </c>
      <c r="BZ120" s="102">
        <v>0</v>
      </c>
      <c r="CA120" s="102">
        <v>0</v>
      </c>
      <c r="CB120" s="102">
        <v>0.05</v>
      </c>
      <c r="CC120" s="102">
        <v>0.2</v>
      </c>
      <c r="CD120" s="102">
        <v>0</v>
      </c>
      <c r="CE120" s="102">
        <v>0</v>
      </c>
      <c r="CF120" s="102">
        <v>0</v>
      </c>
      <c r="CG120" s="102">
        <v>1.492874</v>
      </c>
      <c r="CH120" s="102">
        <v>1.492874</v>
      </c>
      <c r="CI120" s="102">
        <v>1.492874</v>
      </c>
      <c r="CJ120" s="102">
        <v>0</v>
      </c>
      <c r="CK120" s="102">
        <v>0</v>
      </c>
      <c r="CL120" s="102">
        <v>0</v>
      </c>
      <c r="CM120" s="102">
        <v>0</v>
      </c>
      <c r="CN120" s="102">
        <v>0</v>
      </c>
      <c r="CO120" s="102">
        <v>0</v>
      </c>
      <c r="CP120" s="102">
        <v>0</v>
      </c>
      <c r="CQ120" s="102">
        <v>0</v>
      </c>
      <c r="CR120" s="102">
        <v>0</v>
      </c>
      <c r="CS120" s="102">
        <v>0</v>
      </c>
      <c r="CT120" s="102">
        <v>0</v>
      </c>
      <c r="CU120" s="102">
        <v>0</v>
      </c>
      <c r="CV120" s="102">
        <v>0</v>
      </c>
      <c r="CW120" s="102">
        <v>0</v>
      </c>
      <c r="CX120" s="102">
        <v>0</v>
      </c>
      <c r="CY120" s="102">
        <v>0</v>
      </c>
      <c r="CZ120" s="102">
        <v>0</v>
      </c>
      <c r="DA120" s="102">
        <v>0</v>
      </c>
      <c r="DB120" s="102">
        <v>0</v>
      </c>
      <c r="DC120" s="102">
        <v>0</v>
      </c>
      <c r="DD120" s="102">
        <v>0</v>
      </c>
      <c r="DE120" s="102">
        <v>0</v>
      </c>
      <c r="DF120" s="102">
        <v>0</v>
      </c>
      <c r="DG120" s="102">
        <v>0</v>
      </c>
      <c r="DH120" s="102">
        <v>0</v>
      </c>
      <c r="DJ120" s="102" t="e">
        <v>#VALUE!</v>
      </c>
      <c r="DK120" s="102" t="e">
        <v>#VALUE!</v>
      </c>
      <c r="DL120" s="102" t="e">
        <v>#VALUE!</v>
      </c>
      <c r="DM120" s="102" t="e">
        <v>#VALUE!</v>
      </c>
      <c r="DN120" s="102" t="e">
        <v>#VALUE!</v>
      </c>
      <c r="DO120" s="102" t="e">
        <v>#VALUE!</v>
      </c>
      <c r="DP120" s="102" t="e">
        <v>#VALUE!</v>
      </c>
      <c r="DQ120" s="102" t="e">
        <v>#VALUE!</v>
      </c>
      <c r="DR120" s="102" t="e">
        <v>#VALUE!</v>
      </c>
      <c r="DS120" s="102" t="e">
        <v>#VALUE!</v>
      </c>
      <c r="DT120" s="102" t="e">
        <v>#VALUE!</v>
      </c>
      <c r="DU120" s="102" t="e">
        <v>#VALUE!</v>
      </c>
      <c r="DW120" s="102">
        <v>0</v>
      </c>
      <c r="DX120" s="102">
        <v>0</v>
      </c>
      <c r="DY120" s="102">
        <v>0</v>
      </c>
      <c r="DZ120" s="102">
        <v>0</v>
      </c>
      <c r="EA120" s="102">
        <v>0</v>
      </c>
      <c r="EB120" s="102">
        <v>0</v>
      </c>
      <c r="EC120" s="102">
        <v>0</v>
      </c>
      <c r="ED120" s="102">
        <v>0</v>
      </c>
      <c r="EE120" s="102">
        <v>0</v>
      </c>
      <c r="EF120" s="102">
        <v>0</v>
      </c>
      <c r="EG120" s="102">
        <v>0</v>
      </c>
      <c r="EH120" s="102">
        <v>0</v>
      </c>
      <c r="EI120" s="102">
        <v>0</v>
      </c>
      <c r="EJ120" s="102">
        <v>0</v>
      </c>
      <c r="EK120" s="102">
        <v>0</v>
      </c>
      <c r="EL120" s="102">
        <v>0</v>
      </c>
      <c r="EM120" s="102">
        <v>0</v>
      </c>
      <c r="EN120" s="102">
        <v>0</v>
      </c>
      <c r="EO120" s="102">
        <v>0</v>
      </c>
      <c r="EP120" s="102">
        <v>0</v>
      </c>
      <c r="EQ120" s="102">
        <v>0</v>
      </c>
      <c r="ER120" s="102">
        <v>0</v>
      </c>
      <c r="ES120" s="102">
        <v>0</v>
      </c>
      <c r="ET120" s="102">
        <v>0</v>
      </c>
      <c r="EU120" s="102"/>
      <c r="EV120" s="102"/>
      <c r="EW120" s="102"/>
      <c r="EX120" s="102"/>
      <c r="EY120" s="102"/>
      <c r="EZ120" s="102"/>
      <c r="FA120" s="102"/>
      <c r="FB120" s="102"/>
      <c r="FC120" s="102"/>
      <c r="FD120" s="102"/>
      <c r="FE120" s="102"/>
      <c r="FF120" s="102"/>
      <c r="FG120" s="102" t="e">
        <v>#VALUE!</v>
      </c>
      <c r="FH120" s="102" t="e">
        <v>#VALUE!</v>
      </c>
      <c r="FI120" s="102" t="e">
        <v>#VALUE!</v>
      </c>
      <c r="FJ120" s="102" t="e">
        <v>#VALUE!</v>
      </c>
      <c r="FK120" s="102" t="e">
        <v>#VALUE!</v>
      </c>
      <c r="FL120" s="102" t="e">
        <v>#VALUE!</v>
      </c>
      <c r="FM120" s="102" t="e">
        <v>#VALUE!</v>
      </c>
      <c r="FN120" s="102" t="e">
        <v>#VALUE!</v>
      </c>
      <c r="FO120" s="102" t="e">
        <v>#VALUE!</v>
      </c>
      <c r="FP120" s="102" t="e">
        <v>#VALUE!</v>
      </c>
      <c r="FQ120" s="102" t="e">
        <v>#VALUE!</v>
      </c>
      <c r="FR120" s="102" t="e">
        <v>#VALUE!</v>
      </c>
      <c r="FS120" s="102" t="e">
        <v>#VALUE!</v>
      </c>
      <c r="FT120" s="102" t="e">
        <v>#VALUE!</v>
      </c>
      <c r="FU120" s="102" t="e">
        <v>#VALUE!</v>
      </c>
      <c r="FV120" s="102" t="e">
        <v>#VALUE!</v>
      </c>
      <c r="FW120" s="102" t="e">
        <v>#VALUE!</v>
      </c>
      <c r="FX120" s="102" t="e">
        <v>#VALUE!</v>
      </c>
      <c r="FY120" s="102" t="e">
        <v>#VALUE!</v>
      </c>
      <c r="FZ120" s="102" t="e">
        <v>#VALUE!</v>
      </c>
      <c r="GA120" s="102" t="e">
        <v>#VALUE!</v>
      </c>
      <c r="GB120" s="102" t="e">
        <v>#VALUE!</v>
      </c>
      <c r="GC120" s="102" t="e">
        <v>#VALUE!</v>
      </c>
      <c r="GD120" s="102" t="e">
        <v>#VALUE!</v>
      </c>
      <c r="GF120" s="102">
        <f t="shared" si="406"/>
        <v>10.787079</v>
      </c>
      <c r="GG120" s="102">
        <f t="shared" si="406"/>
        <v>20.701506500000001</v>
      </c>
      <c r="GH120" s="102">
        <f t="shared" si="406"/>
        <v>0.10000149</v>
      </c>
      <c r="GI120" s="102">
        <f t="shared" si="406"/>
        <v>0</v>
      </c>
      <c r="GJ120" s="102">
        <f t="shared" si="434"/>
        <v>0</v>
      </c>
      <c r="GK120" s="102">
        <f t="shared" si="407"/>
        <v>0</v>
      </c>
      <c r="GL120" s="102">
        <f t="shared" si="435"/>
        <v>0</v>
      </c>
      <c r="GM120" s="102">
        <f t="shared" si="408"/>
        <v>0</v>
      </c>
      <c r="GN120" s="102" t="e">
        <f t="shared" si="409"/>
        <v>#VALUE!</v>
      </c>
      <c r="GO120" s="102">
        <v>0</v>
      </c>
      <c r="GQ120" s="929">
        <f t="shared" si="440"/>
        <v>-0.99516936170804771</v>
      </c>
      <c r="GR120" s="929">
        <f t="shared" si="440"/>
        <v>-1</v>
      </c>
      <c r="GS120" s="929" t="str">
        <f t="shared" si="440"/>
        <v/>
      </c>
      <c r="GT120" s="929" t="str">
        <f t="shared" si="410"/>
        <v/>
      </c>
      <c r="GU120" s="929" t="str">
        <f t="shared" si="410"/>
        <v/>
      </c>
      <c r="GV120" s="929" t="str">
        <f t="shared" si="410"/>
        <v/>
      </c>
      <c r="GW120" s="929" t="str">
        <f t="shared" si="399"/>
        <v/>
      </c>
      <c r="GX120" s="929" t="str">
        <f t="shared" si="399"/>
        <v/>
      </c>
      <c r="GY120" s="929" t="str">
        <f t="shared" si="249"/>
        <v/>
      </c>
      <c r="HA120" s="102">
        <f t="shared" si="441"/>
        <v>-20.60150501</v>
      </c>
      <c r="HB120" s="102">
        <f t="shared" si="441"/>
        <v>-0.10000149</v>
      </c>
      <c r="HC120" s="102">
        <f t="shared" si="441"/>
        <v>0</v>
      </c>
      <c r="HD120" s="102">
        <f t="shared" si="411"/>
        <v>0</v>
      </c>
      <c r="HE120" s="102">
        <f t="shared" si="400"/>
        <v>0</v>
      </c>
      <c r="HF120" s="102">
        <f t="shared" si="400"/>
        <v>0</v>
      </c>
      <c r="HG120" s="102" t="e">
        <f t="shared" si="400"/>
        <v>#VALUE!</v>
      </c>
      <c r="HH120" s="102" t="e">
        <f t="shared" si="400"/>
        <v>#VALUE!</v>
      </c>
      <c r="HI120" s="102">
        <f t="shared" si="251"/>
        <v>0</v>
      </c>
      <c r="HK120" s="973"/>
      <c r="HL120" s="973"/>
      <c r="HM120" s="973"/>
      <c r="HN120" s="973"/>
      <c r="HO120" s="973"/>
      <c r="HP120" s="973"/>
      <c r="HQ120" s="973"/>
      <c r="HR120" s="973"/>
      <c r="HS120" s="973"/>
      <c r="HU120" s="102">
        <f t="shared" si="442"/>
        <v>-1.22864558</v>
      </c>
      <c r="HV120" s="102">
        <f t="shared" si="442"/>
        <v>-29.35005614</v>
      </c>
      <c r="HW120" s="102">
        <f t="shared" si="442"/>
        <v>7.1781092499999994</v>
      </c>
      <c r="HX120" s="102">
        <f t="shared" si="442"/>
        <v>0.68397036</v>
      </c>
      <c r="HY120" s="102">
        <f t="shared" si="413"/>
        <v>0</v>
      </c>
      <c r="HZ120" s="102">
        <f t="shared" si="413"/>
        <v>0</v>
      </c>
      <c r="IA120" s="102">
        <f t="shared" si="414"/>
        <v>0</v>
      </c>
      <c r="IB120" s="102">
        <f t="shared" si="415"/>
        <v>0</v>
      </c>
      <c r="IC120" s="102">
        <f t="shared" si="416"/>
        <v>0</v>
      </c>
      <c r="ID120" s="102" t="e">
        <f t="shared" si="417"/>
        <v>#VALUE!</v>
      </c>
      <c r="IE120" s="102" t="e">
        <f t="shared" si="418"/>
        <v>#VALUE!</v>
      </c>
      <c r="IG120" s="102" t="e">
        <f t="shared" si="436"/>
        <v>#VALUE!</v>
      </c>
      <c r="IH120" s="102" t="e">
        <f t="shared" si="437"/>
        <v>#VALUE!</v>
      </c>
      <c r="II120" s="145"/>
      <c r="IJ120" s="929" t="str">
        <f t="shared" si="419"/>
        <v>NA</v>
      </c>
      <c r="IK120" s="930" t="str">
        <f t="shared" si="420"/>
        <v>NA</v>
      </c>
      <c r="IM120" s="973"/>
      <c r="IN120" s="973"/>
      <c r="IP120" s="929">
        <f t="shared" si="438"/>
        <v>-1.2445688422454921</v>
      </c>
      <c r="IQ120" s="929">
        <f t="shared" si="438"/>
        <v>-0.90471441208560599</v>
      </c>
      <c r="IR120" s="929">
        <f t="shared" si="438"/>
        <v>-1</v>
      </c>
      <c r="IS120" s="929" t="str">
        <f t="shared" si="438"/>
        <v/>
      </c>
      <c r="IT120" s="929" t="str">
        <f t="shared" si="438"/>
        <v/>
      </c>
      <c r="IU120" s="929" t="str">
        <f t="shared" si="438"/>
        <v/>
      </c>
      <c r="IV120" s="929" t="str">
        <f t="shared" si="439"/>
        <v/>
      </c>
      <c r="IX120" s="102">
        <f t="shared" si="422"/>
        <v>36.528165389999998</v>
      </c>
      <c r="IY120" s="102">
        <f t="shared" si="422"/>
        <v>-6.4941388899999994</v>
      </c>
      <c r="IZ120" s="102">
        <f t="shared" si="422"/>
        <v>-0.68397036</v>
      </c>
      <c r="JA120" s="102">
        <f t="shared" si="422"/>
        <v>0</v>
      </c>
      <c r="JB120" s="102">
        <f t="shared" si="422"/>
        <v>0</v>
      </c>
      <c r="JC120" s="102">
        <f t="shared" si="422"/>
        <v>0</v>
      </c>
      <c r="JD120" s="102" t="e">
        <f t="shared" si="423"/>
        <v>#VALUE!</v>
      </c>
      <c r="JF120" s="973"/>
      <c r="JG120" s="973"/>
      <c r="JH120" s="973"/>
      <c r="JI120" s="973"/>
      <c r="JJ120" s="973"/>
      <c r="JK120" s="973"/>
      <c r="JL120" s="973"/>
      <c r="JM120" s="973"/>
      <c r="JO120" s="102">
        <f t="shared" si="452"/>
        <v>-1.22864558</v>
      </c>
      <c r="JP120" s="102">
        <f t="shared" si="452"/>
        <v>-29.35005614</v>
      </c>
      <c r="JQ120" s="102">
        <f t="shared" si="452"/>
        <v>7.1781092499999994</v>
      </c>
      <c r="JR120" s="102">
        <f t="shared" si="452"/>
        <v>0.68397036</v>
      </c>
      <c r="JS120" s="102">
        <f t="shared" si="452"/>
        <v>0</v>
      </c>
      <c r="JT120" s="102">
        <f t="shared" si="425"/>
        <v>0</v>
      </c>
      <c r="JU120" s="102">
        <f t="shared" si="426"/>
        <v>0</v>
      </c>
      <c r="JV120" s="102">
        <f t="shared" si="427"/>
        <v>0</v>
      </c>
      <c r="JW120" s="102">
        <f t="shared" si="427"/>
        <v>0</v>
      </c>
      <c r="JX120" s="102" t="e">
        <f t="shared" si="428"/>
        <v>#VALUE!</v>
      </c>
      <c r="JY120" s="102" t="e">
        <f t="shared" si="429"/>
        <v>#VALUE!</v>
      </c>
      <c r="KB120" s="32">
        <f t="shared" si="430"/>
        <v>-1.2445688422454921</v>
      </c>
      <c r="KC120" s="32">
        <f t="shared" si="430"/>
        <v>-0.90471441208560599</v>
      </c>
      <c r="KD120" s="32">
        <f t="shared" si="430"/>
        <v>-1</v>
      </c>
      <c r="KE120" s="32" t="str">
        <f t="shared" si="430"/>
        <v xml:space="preserve"> </v>
      </c>
      <c r="KF120" s="32" t="str">
        <f t="shared" si="430"/>
        <v xml:space="preserve"> </v>
      </c>
      <c r="KG120" s="32" t="str">
        <f t="shared" si="430"/>
        <v xml:space="preserve"> </v>
      </c>
      <c r="KH120" s="32" t="str">
        <f t="shared" si="431"/>
        <v xml:space="preserve"> </v>
      </c>
      <c r="KJ120" s="102">
        <f t="shared" si="432"/>
        <v>36.528165389999998</v>
      </c>
      <c r="KK120" s="102">
        <f t="shared" si="432"/>
        <v>-6.4941388899999994</v>
      </c>
      <c r="KL120" s="102">
        <f t="shared" si="432"/>
        <v>-0.68397036</v>
      </c>
      <c r="KM120" s="102">
        <f t="shared" si="432"/>
        <v>0</v>
      </c>
      <c r="KN120" s="102">
        <f t="shared" si="432"/>
        <v>0</v>
      </c>
      <c r="KO120" s="102">
        <f t="shared" si="432"/>
        <v>0</v>
      </c>
      <c r="KP120" s="102" t="e">
        <f t="shared" si="433"/>
        <v>#VALUE!</v>
      </c>
      <c r="KR120" s="973"/>
      <c r="KS120" s="973"/>
      <c r="KT120" s="973"/>
      <c r="KU120" s="973"/>
      <c r="KV120" s="973"/>
      <c r="KW120" s="973"/>
      <c r="KX120" s="973"/>
      <c r="KY120" s="973"/>
      <c r="KZ120" s="973"/>
    </row>
    <row r="121" spans="1:312" outlineLevel="3">
      <c r="A121" s="884">
        <v>1380</v>
      </c>
      <c r="B121" s="70" t="s">
        <v>694</v>
      </c>
      <c r="C121" s="40" t="s">
        <v>695</v>
      </c>
      <c r="D121" s="31" t="s">
        <v>59</v>
      </c>
      <c r="E121" s="102">
        <v>51.062930000000001</v>
      </c>
      <c r="F121" s="102">
        <v>50.249332000000003</v>
      </c>
      <c r="G121" s="102">
        <v>56.88028783</v>
      </c>
      <c r="H121" s="102">
        <v>87.308676000000006</v>
      </c>
      <c r="I121" s="102">
        <v>122.99629843000001</v>
      </c>
      <c r="J121" s="102">
        <v>119.11318443</v>
      </c>
      <c r="K121" s="102">
        <v>124.11335943</v>
      </c>
      <c r="L121" s="102">
        <v>122.31210443000001</v>
      </c>
      <c r="M121" s="102">
        <v>76.347352430000001</v>
      </c>
      <c r="N121" s="102">
        <v>49.668018229999994</v>
      </c>
      <c r="O121" s="102">
        <v>20.31509123</v>
      </c>
      <c r="P121" s="102">
        <v>34.896734000000002</v>
      </c>
      <c r="Q121" s="102">
        <v>7.2207089999999994</v>
      </c>
      <c r="R121" s="102">
        <v>8.2930001999999998</v>
      </c>
      <c r="S121" s="102">
        <v>5.7102692000000008</v>
      </c>
      <c r="T121" s="102">
        <v>14.977824199999999</v>
      </c>
      <c r="U121" s="102">
        <v>35.817455759999994</v>
      </c>
      <c r="V121" s="102">
        <v>76.787708280000004</v>
      </c>
      <c r="W121" s="102">
        <v>68.324940040000001</v>
      </c>
      <c r="X121" s="102">
        <v>53.545106539999999</v>
      </c>
      <c r="Y121" s="102">
        <v>65.994928539999989</v>
      </c>
      <c r="Z121" s="102">
        <v>85.308521060000004</v>
      </c>
      <c r="AA121" s="102">
        <v>81.182937420000002</v>
      </c>
      <c r="AB121" s="102">
        <v>75.944211779999989</v>
      </c>
      <c r="AC121" s="102">
        <v>83.618552779999987</v>
      </c>
      <c r="AD121" s="102">
        <v>64.660780099999997</v>
      </c>
      <c r="AE121" s="102">
        <v>46.512993160000001</v>
      </c>
      <c r="AF121" s="102">
        <v>45.731065959999995</v>
      </c>
      <c r="AG121" s="102">
        <v>51.712176169999999</v>
      </c>
      <c r="AH121" s="102">
        <v>47.456723029999999</v>
      </c>
      <c r="AI121" s="102">
        <v>49.036733770000005</v>
      </c>
      <c r="AJ121" s="102">
        <v>42.784758529999998</v>
      </c>
      <c r="AK121" s="102">
        <v>30.54966555</v>
      </c>
      <c r="AL121" s="102">
        <v>24.792156739999999</v>
      </c>
      <c r="AM121" s="102">
        <v>53.64850985999999</v>
      </c>
      <c r="AN121" s="145">
        <v>25.122273589999999</v>
      </c>
      <c r="AO121" s="102">
        <v>8.2533268199999998</v>
      </c>
      <c r="AP121" s="145">
        <v>3.6247767000000004</v>
      </c>
      <c r="AQ121" s="220">
        <v>1.1488853600000002</v>
      </c>
      <c r="AR121" s="220">
        <v>1.04178536</v>
      </c>
      <c r="AS121" s="102">
        <v>21.98053419</v>
      </c>
      <c r="AT121" s="102">
        <v>9.553833130000001</v>
      </c>
      <c r="AU121" s="102">
        <v>0</v>
      </c>
      <c r="AV121" s="102">
        <v>0</v>
      </c>
      <c r="AW121" s="102">
        <v>0</v>
      </c>
      <c r="AX121" s="102">
        <v>0</v>
      </c>
      <c r="AY121" s="102">
        <v>0</v>
      </c>
      <c r="AZ121" s="102">
        <v>12.34993755</v>
      </c>
      <c r="BA121" s="102">
        <v>12.34993755</v>
      </c>
      <c r="BB121" s="102">
        <v>12.34993755</v>
      </c>
      <c r="BC121" s="102">
        <v>12.34993755</v>
      </c>
      <c r="BD121" s="102">
        <v>0</v>
      </c>
      <c r="BE121" s="102">
        <v>0</v>
      </c>
      <c r="BF121" s="102">
        <v>0.96388799999999997</v>
      </c>
      <c r="BG121" s="102">
        <v>0</v>
      </c>
      <c r="BH121" s="102">
        <v>0.38850460999999997</v>
      </c>
      <c r="BI121" s="102">
        <v>8.3902500000000005E-2</v>
      </c>
      <c r="BJ121" s="102">
        <v>1.2544999999999999</v>
      </c>
      <c r="BK121" s="102">
        <v>5.7013999999999996</v>
      </c>
      <c r="BL121" s="146">
        <v>2.6406670000000001</v>
      </c>
      <c r="BM121" s="974">
        <v>2.6406670000000001</v>
      </c>
      <c r="BN121" s="102">
        <v>2.6406670000000001</v>
      </c>
      <c r="BO121" s="102">
        <v>2.6406670000000001</v>
      </c>
      <c r="BP121" s="102">
        <v>2.6406670000000001</v>
      </c>
      <c r="BQ121" s="102">
        <v>2.6406670000000001</v>
      </c>
      <c r="BR121" s="102">
        <v>2.6406670000000001</v>
      </c>
      <c r="BS121" s="102">
        <v>2.6406670000000001</v>
      </c>
      <c r="BT121" s="102">
        <v>2.6406670000000001</v>
      </c>
      <c r="BU121" s="102">
        <v>2.6406670000000001</v>
      </c>
      <c r="BV121" s="102">
        <v>2.6406670000000001</v>
      </c>
      <c r="BW121" s="102">
        <v>2.6406670000000001</v>
      </c>
      <c r="BX121" s="102">
        <v>5.3220590000000003</v>
      </c>
      <c r="BY121" s="102">
        <v>31.201367000000001</v>
      </c>
      <c r="BZ121" s="102">
        <v>42.024366999999998</v>
      </c>
      <c r="CA121" s="102">
        <v>46.424926999999997</v>
      </c>
      <c r="CB121" s="102">
        <v>33.264927</v>
      </c>
      <c r="CC121" s="102">
        <v>32.052926999999997</v>
      </c>
      <c r="CD121" s="102">
        <v>2.6406670000000001</v>
      </c>
      <c r="CE121" s="102">
        <v>2.6406670000000001</v>
      </c>
      <c r="CF121" s="102">
        <v>2.6406670000000001</v>
      </c>
      <c r="CG121" s="102">
        <v>2.6406670000000001</v>
      </c>
      <c r="CH121" s="102">
        <v>-2.5524930000000001</v>
      </c>
      <c r="CI121" s="102">
        <v>2.6406670000000001</v>
      </c>
      <c r="CJ121" s="102">
        <v>21.467167</v>
      </c>
      <c r="CK121" s="102">
        <v>2.6406670000000001</v>
      </c>
      <c r="CL121" s="102">
        <v>2.6406670000000001</v>
      </c>
      <c r="CM121" s="102">
        <v>2.6406670000000001</v>
      </c>
      <c r="CN121" s="102">
        <v>-5.1128830000000001</v>
      </c>
      <c r="CO121" s="102">
        <v>2.6406670000000001</v>
      </c>
      <c r="CP121" s="102">
        <v>2.6406670000000001</v>
      </c>
      <c r="CQ121" s="102">
        <v>2.6406670000000001</v>
      </c>
      <c r="CR121" s="102">
        <v>2.6406670000000001</v>
      </c>
      <c r="CS121" s="102">
        <v>2.6406670000000001</v>
      </c>
      <c r="CT121" s="102">
        <v>2.6406670000000001</v>
      </c>
      <c r="CU121" s="102">
        <v>2.6406670000000001</v>
      </c>
      <c r="CV121" s="102">
        <v>2.6406670000000001</v>
      </c>
      <c r="CW121" s="102">
        <v>2.6406670000000001</v>
      </c>
      <c r="CX121" s="102">
        <v>2.6406670000000001</v>
      </c>
      <c r="CY121" s="102">
        <v>2.6406670000000001</v>
      </c>
      <c r="CZ121" s="102">
        <v>2.6406670000000001</v>
      </c>
      <c r="DA121" s="102">
        <v>2.6406670000000001</v>
      </c>
      <c r="DB121" s="102">
        <v>2.6406670000000001</v>
      </c>
      <c r="DC121" s="102">
        <v>2.6406670000000001</v>
      </c>
      <c r="DD121" s="102">
        <v>2.6406670000000001</v>
      </c>
      <c r="DE121" s="102">
        <v>2.6406670000000001</v>
      </c>
      <c r="DF121" s="102">
        <v>2.6406670000000001</v>
      </c>
      <c r="DG121" s="102">
        <v>2.6406670000000001</v>
      </c>
      <c r="DH121" s="102">
        <v>70.803667000000004</v>
      </c>
      <c r="DJ121" s="102" t="e">
        <v>#VALUE!</v>
      </c>
      <c r="DK121" s="102" t="e">
        <v>#VALUE!</v>
      </c>
      <c r="DL121" s="102" t="e">
        <v>#VALUE!</v>
      </c>
      <c r="DM121" s="102" t="e">
        <v>#VALUE!</v>
      </c>
      <c r="DN121" s="102" t="e">
        <v>#VALUE!</v>
      </c>
      <c r="DO121" s="102" t="e">
        <v>#VALUE!</v>
      </c>
      <c r="DP121" s="102" t="e">
        <v>#VALUE!</v>
      </c>
      <c r="DQ121" s="102" t="e">
        <v>#VALUE!</v>
      </c>
      <c r="DR121" s="102" t="e">
        <v>#VALUE!</v>
      </c>
      <c r="DS121" s="102" t="e">
        <v>#VALUE!</v>
      </c>
      <c r="DT121" s="102" t="e">
        <v>#VALUE!</v>
      </c>
      <c r="DU121" s="102" t="e">
        <v>#VALUE!</v>
      </c>
      <c r="DW121" s="102">
        <v>68.200171870000005</v>
      </c>
      <c r="DX121" s="102">
        <v>63.200171870000005</v>
      </c>
      <c r="DY121" s="102">
        <v>58.200171870000005</v>
      </c>
      <c r="DZ121" s="102">
        <v>53.200171870000005</v>
      </c>
      <c r="EA121" s="102">
        <v>48.200171870000005</v>
      </c>
      <c r="EB121" s="102">
        <v>0</v>
      </c>
      <c r="EC121" s="102">
        <v>0</v>
      </c>
      <c r="ED121" s="102">
        <v>0</v>
      </c>
      <c r="EE121" s="102">
        <v>0</v>
      </c>
      <c r="EF121" s="102">
        <v>0</v>
      </c>
      <c r="EG121" s="102">
        <v>0</v>
      </c>
      <c r="EH121" s="102">
        <v>0</v>
      </c>
      <c r="EI121" s="102">
        <v>0</v>
      </c>
      <c r="EJ121" s="102">
        <v>0</v>
      </c>
      <c r="EK121" s="102">
        <v>0</v>
      </c>
      <c r="EL121" s="102">
        <v>0</v>
      </c>
      <c r="EM121" s="102">
        <v>0</v>
      </c>
      <c r="EN121" s="102">
        <v>0</v>
      </c>
      <c r="EO121" s="102">
        <v>0</v>
      </c>
      <c r="EP121" s="102">
        <v>0</v>
      </c>
      <c r="EQ121" s="102">
        <v>0</v>
      </c>
      <c r="ER121" s="102">
        <v>0</v>
      </c>
      <c r="ES121" s="102">
        <v>0</v>
      </c>
      <c r="ET121" s="102">
        <v>0</v>
      </c>
      <c r="EU121" s="102">
        <v>2.6406670000000001</v>
      </c>
      <c r="EV121" s="102">
        <v>2.6406670000000001</v>
      </c>
      <c r="EW121" s="102">
        <v>2.6406670000000001</v>
      </c>
      <c r="EX121" s="102">
        <v>2.6406670000000001</v>
      </c>
      <c r="EY121" s="102">
        <v>2.6406670000000001</v>
      </c>
      <c r="EZ121" s="102">
        <v>2.6406670000000001</v>
      </c>
      <c r="FA121" s="102">
        <v>2.6406670000000001</v>
      </c>
      <c r="FB121" s="102">
        <v>2.6406670000000001</v>
      </c>
      <c r="FC121" s="102">
        <v>2.6406670000000001</v>
      </c>
      <c r="FD121" s="102">
        <v>2.6406670000000001</v>
      </c>
      <c r="FE121" s="102">
        <v>2.6406670000000001</v>
      </c>
      <c r="FF121" s="102">
        <v>2.6406670000000001</v>
      </c>
      <c r="FG121" s="102" t="e">
        <v>#VALUE!</v>
      </c>
      <c r="FH121" s="102" t="e">
        <v>#VALUE!</v>
      </c>
      <c r="FI121" s="102" t="e">
        <v>#VALUE!</v>
      </c>
      <c r="FJ121" s="102" t="e">
        <v>#VALUE!</v>
      </c>
      <c r="FK121" s="102" t="e">
        <v>#VALUE!</v>
      </c>
      <c r="FL121" s="102" t="e">
        <v>#VALUE!</v>
      </c>
      <c r="FM121" s="102" t="e">
        <v>#VALUE!</v>
      </c>
      <c r="FN121" s="102" t="e">
        <v>#VALUE!</v>
      </c>
      <c r="FO121" s="102" t="e">
        <v>#VALUE!</v>
      </c>
      <c r="FP121" s="102" t="e">
        <v>#VALUE!</v>
      </c>
      <c r="FQ121" s="102" t="e">
        <v>#VALUE!</v>
      </c>
      <c r="FR121" s="102" t="e">
        <v>#VALUE!</v>
      </c>
      <c r="FS121" s="102" t="e">
        <v>#VALUE!</v>
      </c>
      <c r="FT121" s="102" t="e">
        <v>#VALUE!</v>
      </c>
      <c r="FU121" s="102" t="e">
        <v>#VALUE!</v>
      </c>
      <c r="FV121" s="102" t="e">
        <v>#VALUE!</v>
      </c>
      <c r="FW121" s="102" t="e">
        <v>#VALUE!</v>
      </c>
      <c r="FX121" s="102" t="e">
        <v>#VALUE!</v>
      </c>
      <c r="FY121" s="102" t="e">
        <v>#VALUE!</v>
      </c>
      <c r="FZ121" s="102" t="e">
        <v>#VALUE!</v>
      </c>
      <c r="GA121" s="102" t="e">
        <v>#VALUE!</v>
      </c>
      <c r="GB121" s="102" t="e">
        <v>#VALUE!</v>
      </c>
      <c r="GC121" s="102" t="e">
        <v>#VALUE!</v>
      </c>
      <c r="GD121" s="102" t="e">
        <v>#VALUE!</v>
      </c>
      <c r="GF121" s="102">
        <f t="shared" si="406"/>
        <v>34.896734000000002</v>
      </c>
      <c r="GG121" s="102">
        <f t="shared" si="406"/>
        <v>75.944211779999989</v>
      </c>
      <c r="GH121" s="102">
        <f t="shared" si="406"/>
        <v>25.122273589999999</v>
      </c>
      <c r="GI121" s="102">
        <f t="shared" si="406"/>
        <v>12.34993755</v>
      </c>
      <c r="GJ121" s="102">
        <f t="shared" si="434"/>
        <v>2.6406670000000001</v>
      </c>
      <c r="GK121" s="102">
        <f t="shared" si="407"/>
        <v>5.3220590000000003</v>
      </c>
      <c r="GL121" s="102">
        <f t="shared" si="435"/>
        <v>21.467167</v>
      </c>
      <c r="GM121" s="102">
        <f t="shared" si="408"/>
        <v>2.6406670000000001</v>
      </c>
      <c r="GN121" s="102" t="e">
        <f t="shared" si="409"/>
        <v>#VALUE!</v>
      </c>
      <c r="GO121" s="102">
        <v>70.803667000000004</v>
      </c>
      <c r="GQ121" s="929">
        <f t="shared" si="440"/>
        <v>-0.6692009436772377</v>
      </c>
      <c r="GR121" s="929">
        <f t="shared" si="440"/>
        <v>-0.50840685235925731</v>
      </c>
      <c r="GS121" s="929">
        <f t="shared" si="440"/>
        <v>-0.78617972849587403</v>
      </c>
      <c r="GT121" s="929">
        <f t="shared" si="410"/>
        <v>1.0154222399113557</v>
      </c>
      <c r="GU121" s="929">
        <f t="shared" si="410"/>
        <v>3.033620634419874</v>
      </c>
      <c r="GV121" s="929">
        <f t="shared" si="410"/>
        <v>-0.87699042915164349</v>
      </c>
      <c r="GW121" s="929" t="str">
        <f t="shared" si="399"/>
        <v/>
      </c>
      <c r="GX121" s="929" t="str">
        <f t="shared" si="399"/>
        <v/>
      </c>
      <c r="GY121" s="929">
        <f t="shared" si="249"/>
        <v>25.812796539662138</v>
      </c>
      <c r="HA121" s="102">
        <f t="shared" si="441"/>
        <v>-50.82193818999999</v>
      </c>
      <c r="HB121" s="102">
        <f t="shared" si="441"/>
        <v>-12.772336039999999</v>
      </c>
      <c r="HC121" s="102">
        <f t="shared" si="441"/>
        <v>-9.7092705499999994</v>
      </c>
      <c r="HD121" s="102">
        <f t="shared" si="411"/>
        <v>2.6813920000000002</v>
      </c>
      <c r="HE121" s="102">
        <f t="shared" si="400"/>
        <v>16.145108</v>
      </c>
      <c r="HF121" s="102">
        <f t="shared" si="400"/>
        <v>-18.826499999999999</v>
      </c>
      <c r="HG121" s="102" t="e">
        <f t="shared" si="400"/>
        <v>#VALUE!</v>
      </c>
      <c r="HH121" s="102" t="e">
        <f t="shared" si="400"/>
        <v>#VALUE!</v>
      </c>
      <c r="HI121" s="102">
        <f t="shared" si="251"/>
        <v>68.163000000000011</v>
      </c>
      <c r="HK121" s="973"/>
      <c r="HL121" s="973"/>
      <c r="HM121" s="973"/>
      <c r="HN121" s="973"/>
      <c r="HO121" s="973"/>
      <c r="HP121" s="973"/>
      <c r="HQ121" s="973"/>
      <c r="HR121" s="973"/>
      <c r="HS121" s="973"/>
      <c r="HU121" s="102">
        <f t="shared" si="442"/>
        <v>119.11318443</v>
      </c>
      <c r="HV121" s="102">
        <f t="shared" si="442"/>
        <v>76.787708280000004</v>
      </c>
      <c r="HW121" s="102">
        <f t="shared" si="442"/>
        <v>47.456723029999999</v>
      </c>
      <c r="HX121" s="102">
        <f t="shared" si="442"/>
        <v>9.553833130000001</v>
      </c>
      <c r="HY121" s="102">
        <f t="shared" si="413"/>
        <v>0.96388799999999997</v>
      </c>
      <c r="HZ121" s="102">
        <f t="shared" si="413"/>
        <v>2.6406670000000001</v>
      </c>
      <c r="IA121" s="102">
        <f t="shared" si="414"/>
        <v>2.6406670000000001</v>
      </c>
      <c r="IB121" s="102">
        <f t="shared" si="415"/>
        <v>2.6406670000000001</v>
      </c>
      <c r="IC121" s="102">
        <f t="shared" si="416"/>
        <v>2.6406670000000001</v>
      </c>
      <c r="ID121" s="102" t="e">
        <f t="shared" si="417"/>
        <v>#VALUE!</v>
      </c>
      <c r="IE121" s="102" t="e">
        <f t="shared" si="418"/>
        <v>#VALUE!</v>
      </c>
      <c r="IG121" s="102" t="e">
        <f t="shared" si="436"/>
        <v>#VALUE!</v>
      </c>
      <c r="IH121" s="102" t="e">
        <f t="shared" si="437"/>
        <v>#VALUE!</v>
      </c>
      <c r="II121" s="145"/>
      <c r="IJ121" s="929" t="str">
        <f t="shared" si="419"/>
        <v>NA</v>
      </c>
      <c r="IK121" s="930" t="str">
        <f t="shared" si="420"/>
        <v>NA</v>
      </c>
      <c r="IM121" s="973"/>
      <c r="IN121" s="973"/>
      <c r="IP121" s="929">
        <f t="shared" si="438"/>
        <v>-0.38197500494541392</v>
      </c>
      <c r="IQ121" s="929">
        <f t="shared" si="438"/>
        <v>-0.79868325244538063</v>
      </c>
      <c r="IR121" s="929">
        <f t="shared" si="438"/>
        <v>-0.89910981415686497</v>
      </c>
      <c r="IS121" s="929">
        <f t="shared" si="438"/>
        <v>1.7395994140398057</v>
      </c>
      <c r="IT121" s="929">
        <f t="shared" si="438"/>
        <v>0</v>
      </c>
      <c r="IU121" s="929">
        <f t="shared" si="438"/>
        <v>0</v>
      </c>
      <c r="IV121" s="929" t="str">
        <f t="shared" si="439"/>
        <v/>
      </c>
      <c r="IX121" s="102">
        <f t="shared" si="422"/>
        <v>-29.330985250000005</v>
      </c>
      <c r="IY121" s="102">
        <f t="shared" si="422"/>
        <v>-37.902889899999998</v>
      </c>
      <c r="IZ121" s="102">
        <f t="shared" si="422"/>
        <v>-8.5899451300000003</v>
      </c>
      <c r="JA121" s="102">
        <f t="shared" si="422"/>
        <v>1.6767790000000002</v>
      </c>
      <c r="JB121" s="102">
        <f t="shared" si="422"/>
        <v>0</v>
      </c>
      <c r="JC121" s="102">
        <f t="shared" si="422"/>
        <v>0</v>
      </c>
      <c r="JD121" s="102" t="e">
        <f t="shared" si="423"/>
        <v>#VALUE!</v>
      </c>
      <c r="JF121" s="973"/>
      <c r="JG121" s="973"/>
      <c r="JH121" s="973"/>
      <c r="JI121" s="973"/>
      <c r="JJ121" s="973"/>
      <c r="JK121" s="973"/>
      <c r="JL121" s="973"/>
      <c r="JM121" s="973"/>
      <c r="JO121" s="102">
        <f t="shared" si="452"/>
        <v>119.11318443</v>
      </c>
      <c r="JP121" s="102">
        <f t="shared" si="452"/>
        <v>76.787708280000004</v>
      </c>
      <c r="JQ121" s="102">
        <f t="shared" si="452"/>
        <v>47.456723029999999</v>
      </c>
      <c r="JR121" s="102">
        <f t="shared" si="452"/>
        <v>9.553833130000001</v>
      </c>
      <c r="JS121" s="102">
        <f t="shared" si="452"/>
        <v>0.96388799999999997</v>
      </c>
      <c r="JT121" s="102">
        <f t="shared" si="425"/>
        <v>2.6406670000000001</v>
      </c>
      <c r="JU121" s="102">
        <f t="shared" si="426"/>
        <v>2.6406670000000001</v>
      </c>
      <c r="JV121" s="102">
        <f t="shared" si="427"/>
        <v>2.6406670000000001</v>
      </c>
      <c r="JW121" s="102">
        <f t="shared" si="427"/>
        <v>2.6406670000000001</v>
      </c>
      <c r="JX121" s="102" t="e">
        <f t="shared" si="428"/>
        <v>#VALUE!</v>
      </c>
      <c r="JY121" s="102" t="e">
        <f t="shared" si="429"/>
        <v>#VALUE!</v>
      </c>
      <c r="KB121" s="32">
        <f t="shared" si="430"/>
        <v>-0.38197500494541392</v>
      </c>
      <c r="KC121" s="32">
        <f t="shared" si="430"/>
        <v>-0.79868325244538063</v>
      </c>
      <c r="KD121" s="32">
        <f t="shared" si="430"/>
        <v>-0.89910981415686497</v>
      </c>
      <c r="KE121" s="32">
        <f t="shared" si="430"/>
        <v>1.7395994140398057</v>
      </c>
      <c r="KF121" s="32">
        <f t="shared" si="430"/>
        <v>0</v>
      </c>
      <c r="KG121" s="32">
        <f t="shared" si="430"/>
        <v>0</v>
      </c>
      <c r="KH121" s="32" t="str">
        <f t="shared" si="431"/>
        <v xml:space="preserve"> </v>
      </c>
      <c r="KJ121" s="102">
        <f t="shared" si="432"/>
        <v>-29.330985250000005</v>
      </c>
      <c r="KK121" s="102">
        <f t="shared" si="432"/>
        <v>-37.902889899999998</v>
      </c>
      <c r="KL121" s="102">
        <f t="shared" si="432"/>
        <v>-8.5899451300000003</v>
      </c>
      <c r="KM121" s="102">
        <f t="shared" si="432"/>
        <v>1.6767790000000002</v>
      </c>
      <c r="KN121" s="102">
        <f t="shared" si="432"/>
        <v>0</v>
      </c>
      <c r="KO121" s="102">
        <f t="shared" si="432"/>
        <v>0</v>
      </c>
      <c r="KP121" s="102" t="e">
        <f t="shared" si="433"/>
        <v>#VALUE!</v>
      </c>
      <c r="KR121" s="973"/>
      <c r="KS121" s="973"/>
      <c r="KT121" s="973"/>
      <c r="KU121" s="973"/>
      <c r="KV121" s="973"/>
      <c r="KW121" s="973"/>
      <c r="KX121" s="973"/>
      <c r="KY121" s="973"/>
      <c r="KZ121" s="973"/>
    </row>
    <row r="122" spans="1:312" outlineLevel="2">
      <c r="A122" s="884">
        <v>1330</v>
      </c>
      <c r="B122" s="70" t="s">
        <v>696</v>
      </c>
      <c r="C122" s="29" t="s">
        <v>117</v>
      </c>
      <c r="D122" s="31" t="s">
        <v>59</v>
      </c>
      <c r="E122" s="102">
        <v>104.17979648000001</v>
      </c>
      <c r="F122" s="102">
        <v>108.71904648</v>
      </c>
      <c r="G122" s="102">
        <v>85.75183048000001</v>
      </c>
      <c r="H122" s="102">
        <v>113.31472148</v>
      </c>
      <c r="I122" s="102">
        <v>165.72839472999999</v>
      </c>
      <c r="J122" s="102">
        <v>100.32863873000001</v>
      </c>
      <c r="K122" s="102">
        <v>84.224881730000007</v>
      </c>
      <c r="L122" s="102">
        <v>97.658232749999996</v>
      </c>
      <c r="M122" s="102">
        <v>94.500749749999997</v>
      </c>
      <c r="N122" s="102">
        <v>241.83862675</v>
      </c>
      <c r="O122" s="102">
        <v>319.76859292</v>
      </c>
      <c r="P122" s="102">
        <v>214.44639749999999</v>
      </c>
      <c r="Q122" s="102">
        <v>400.41888001999996</v>
      </c>
      <c r="R122" s="102">
        <v>368.32386832999998</v>
      </c>
      <c r="S122" s="102">
        <v>408.05841742000001</v>
      </c>
      <c r="T122" s="102">
        <v>354.66983061999997</v>
      </c>
      <c r="U122" s="102">
        <v>330.57092511000002</v>
      </c>
      <c r="V122" s="102">
        <v>359.74989365000005</v>
      </c>
      <c r="W122" s="102">
        <v>347.92396438000003</v>
      </c>
      <c r="X122" s="102">
        <v>336.89659280000001</v>
      </c>
      <c r="Y122" s="102">
        <v>320.36066744999999</v>
      </c>
      <c r="Z122" s="102">
        <v>300.36981343999997</v>
      </c>
      <c r="AA122" s="102">
        <v>191.78832070999999</v>
      </c>
      <c r="AB122" s="102">
        <v>53.165152459999995</v>
      </c>
      <c r="AC122" s="102">
        <v>95.474994600000002</v>
      </c>
      <c r="AD122" s="102">
        <v>104.71348669</v>
      </c>
      <c r="AE122" s="102">
        <v>138.86517035</v>
      </c>
      <c r="AF122" s="102">
        <v>146.01140426999999</v>
      </c>
      <c r="AG122" s="102">
        <v>132.74687686999999</v>
      </c>
      <c r="AH122" s="102">
        <v>152.43282013999999</v>
      </c>
      <c r="AI122" s="102">
        <v>295.65639064000004</v>
      </c>
      <c r="AJ122" s="102">
        <v>247.87984377000001</v>
      </c>
      <c r="AK122" s="102">
        <v>275.65555010999998</v>
      </c>
      <c r="AL122" s="102">
        <v>340.74583627999993</v>
      </c>
      <c r="AM122" s="102">
        <v>446.18380210999999</v>
      </c>
      <c r="AN122" s="145">
        <v>608.19288423000012</v>
      </c>
      <c r="AO122" s="102">
        <v>1910.8844043900001</v>
      </c>
      <c r="AP122" s="145">
        <v>331.38615183999997</v>
      </c>
      <c r="AQ122" s="220">
        <v>482.9797059</v>
      </c>
      <c r="AR122" s="220">
        <v>450.57289766000002</v>
      </c>
      <c r="AS122" s="102">
        <v>262.16459617999999</v>
      </c>
      <c r="AT122" s="102">
        <v>327.90426464000001</v>
      </c>
      <c r="AU122" s="102">
        <v>584.67237350000005</v>
      </c>
      <c r="AV122" s="102">
        <v>628.92908751999994</v>
      </c>
      <c r="AW122" s="102">
        <v>399.53683752000001</v>
      </c>
      <c r="AX122" s="102">
        <v>529.35130786000002</v>
      </c>
      <c r="AY122" s="102">
        <v>233.48458475999999</v>
      </c>
      <c r="AZ122" s="102">
        <v>38.940740820000002</v>
      </c>
      <c r="BA122" s="102">
        <v>17.833570680000001</v>
      </c>
      <c r="BB122" s="102">
        <v>34.161420049999997</v>
      </c>
      <c r="BC122" s="102">
        <v>56.275485369999998</v>
      </c>
      <c r="BD122" s="102">
        <v>151.62973740000001</v>
      </c>
      <c r="BE122" s="102">
        <v>162.8056345</v>
      </c>
      <c r="BF122" s="102">
        <v>168.51884808000003</v>
      </c>
      <c r="BG122" s="102">
        <v>177.51681091999998</v>
      </c>
      <c r="BH122" s="102">
        <v>49.236861140000002</v>
      </c>
      <c r="BI122" s="102">
        <v>34.679995689999998</v>
      </c>
      <c r="BJ122" s="102">
        <v>40.038104300000001</v>
      </c>
      <c r="BK122" s="102">
        <v>37.083036899999996</v>
      </c>
      <c r="BL122" s="146">
        <v>28.178694359999998</v>
      </c>
      <c r="BM122" s="974">
        <v>32.723315360000001</v>
      </c>
      <c r="BN122" s="102">
        <v>479.25991350999999</v>
      </c>
      <c r="BO122" s="102">
        <v>497.63644407999999</v>
      </c>
      <c r="BP122" s="102">
        <v>516.75708520000001</v>
      </c>
      <c r="BQ122" s="102">
        <v>490.43929885</v>
      </c>
      <c r="BR122" s="102">
        <v>556.95607665</v>
      </c>
      <c r="BS122" s="102">
        <v>524.51993473000005</v>
      </c>
      <c r="BT122" s="102">
        <v>690.86164914999995</v>
      </c>
      <c r="BU122" s="102">
        <v>471.88999625000002</v>
      </c>
      <c r="BV122" s="102">
        <v>423.76423449000004</v>
      </c>
      <c r="BW122" s="102">
        <v>425.38826939999996</v>
      </c>
      <c r="BX122" s="102">
        <v>373.24613364999999</v>
      </c>
      <c r="BY122" s="102">
        <v>374.56383075000002</v>
      </c>
      <c r="BZ122" s="102">
        <v>463.154855</v>
      </c>
      <c r="CA122" s="102">
        <v>337.78642070000001</v>
      </c>
      <c r="CB122" s="102">
        <v>302.56279128</v>
      </c>
      <c r="CC122" s="102">
        <v>306.49689706999999</v>
      </c>
      <c r="CD122" s="102">
        <v>283.51440938000002</v>
      </c>
      <c r="CE122" s="102">
        <v>331.70706938000001</v>
      </c>
      <c r="CF122" s="102">
        <v>449.16038494999998</v>
      </c>
      <c r="CG122" s="102">
        <v>543.39170594000007</v>
      </c>
      <c r="CH122" s="102">
        <v>245.69044606999998</v>
      </c>
      <c r="CI122" s="102">
        <v>146.51613737</v>
      </c>
      <c r="CJ122" s="102">
        <v>13.9294747</v>
      </c>
      <c r="CK122" s="102">
        <v>16.1401243</v>
      </c>
      <c r="CL122" s="102">
        <v>37.894138299999995</v>
      </c>
      <c r="CM122" s="102">
        <v>22.278238699999999</v>
      </c>
      <c r="CN122" s="102">
        <v>20.692329000000001</v>
      </c>
      <c r="CO122" s="102">
        <v>21.697740170000003</v>
      </c>
      <c r="CP122" s="102">
        <v>26.826583940000003</v>
      </c>
      <c r="CQ122" s="102">
        <v>19.95257754</v>
      </c>
      <c r="CR122" s="102">
        <v>26.900055440000003</v>
      </c>
      <c r="CS122" s="102">
        <v>34.328596340000004</v>
      </c>
      <c r="CT122" s="102">
        <v>36.113857500000002</v>
      </c>
      <c r="CU122" s="102">
        <v>39.47220093</v>
      </c>
      <c r="CV122" s="102">
        <v>20.12091882</v>
      </c>
      <c r="CW122" s="102">
        <v>27.29987543</v>
      </c>
      <c r="CX122" s="102">
        <v>85.606201470000002</v>
      </c>
      <c r="CY122" s="102">
        <v>58.600471420000005</v>
      </c>
      <c r="CZ122" s="102">
        <v>57.95332415</v>
      </c>
      <c r="DA122" s="102">
        <v>54.960886119999998</v>
      </c>
      <c r="DB122" s="102">
        <v>61.221313119999998</v>
      </c>
      <c r="DC122" s="102">
        <v>54.514780049999999</v>
      </c>
      <c r="DD122" s="102">
        <v>16.991718049999999</v>
      </c>
      <c r="DE122" s="102">
        <v>31.99510544</v>
      </c>
      <c r="DF122" s="102">
        <v>26.783172829999998</v>
      </c>
      <c r="DG122" s="102">
        <v>27.174661190000002</v>
      </c>
      <c r="DH122" s="102">
        <v>22.182108589999999</v>
      </c>
      <c r="DJ122" s="102" t="e">
        <v>#VALUE!</v>
      </c>
      <c r="DK122" s="102" t="e">
        <v>#VALUE!</v>
      </c>
      <c r="DL122" s="102" t="e">
        <v>#VALUE!</v>
      </c>
      <c r="DM122" s="102" t="e">
        <v>#VALUE!</v>
      </c>
      <c r="DN122" s="102" t="e">
        <v>#VALUE!</v>
      </c>
      <c r="DO122" s="102" t="e">
        <v>#VALUE!</v>
      </c>
      <c r="DP122" s="102" t="e">
        <v>#VALUE!</v>
      </c>
      <c r="DQ122" s="102" t="e">
        <v>#VALUE!</v>
      </c>
      <c r="DR122" s="102" t="e">
        <v>#VALUE!</v>
      </c>
      <c r="DS122" s="102" t="e">
        <v>#VALUE!</v>
      </c>
      <c r="DT122" s="102" t="e">
        <v>#VALUE!</v>
      </c>
      <c r="DU122" s="102" t="e">
        <v>#VALUE!</v>
      </c>
      <c r="DW122" s="102">
        <v>1965.2588215900003</v>
      </c>
      <c r="DX122" s="102">
        <v>100</v>
      </c>
      <c r="DY122" s="102">
        <v>50</v>
      </c>
      <c r="DZ122" s="102">
        <v>0</v>
      </c>
      <c r="EA122" s="102">
        <v>0</v>
      </c>
      <c r="EB122" s="102">
        <v>0</v>
      </c>
      <c r="EC122" s="102">
        <v>0</v>
      </c>
      <c r="ED122" s="102">
        <v>0</v>
      </c>
      <c r="EE122" s="102">
        <v>0</v>
      </c>
      <c r="EF122" s="102">
        <v>0</v>
      </c>
      <c r="EG122" s="102">
        <v>0</v>
      </c>
      <c r="EH122" s="102">
        <v>0</v>
      </c>
      <c r="EI122" s="102">
        <v>245.36806475999998</v>
      </c>
      <c r="EJ122" s="102">
        <v>111.36806476</v>
      </c>
      <c r="EK122" s="102">
        <v>161.36806475999998</v>
      </c>
      <c r="EL122" s="102">
        <v>211.36806475999998</v>
      </c>
      <c r="EM122" s="102">
        <v>211.36806475999998</v>
      </c>
      <c r="EN122" s="102">
        <v>211.36806475999998</v>
      </c>
      <c r="EO122" s="102">
        <v>211.36806475999998</v>
      </c>
      <c r="EP122" s="102">
        <v>211.36806475999998</v>
      </c>
      <c r="EQ122" s="102">
        <v>211.36806475999998</v>
      </c>
      <c r="ER122" s="102">
        <v>161.36806475999998</v>
      </c>
      <c r="ES122" s="102">
        <v>111.36806476</v>
      </c>
      <c r="ET122" s="102">
        <v>61.368064759999989</v>
      </c>
      <c r="EU122" s="102">
        <v>26.91869436</v>
      </c>
      <c r="EV122" s="102">
        <v>26.91869436</v>
      </c>
      <c r="EW122" s="102">
        <v>26.91869436</v>
      </c>
      <c r="EX122" s="102">
        <v>26.91869436</v>
      </c>
      <c r="EY122" s="102">
        <v>26.91869436</v>
      </c>
      <c r="EZ122" s="102">
        <v>26.91869436</v>
      </c>
      <c r="FA122" s="102">
        <v>26.91869436</v>
      </c>
      <c r="FB122" s="102">
        <v>26.91869436</v>
      </c>
      <c r="FC122" s="102">
        <v>26.91869436</v>
      </c>
      <c r="FD122" s="102">
        <v>26.91869436</v>
      </c>
      <c r="FE122" s="102">
        <v>26.91869436</v>
      </c>
      <c r="FF122" s="102">
        <v>26.91869436</v>
      </c>
      <c r="FG122" s="102" t="e">
        <v>#VALUE!</v>
      </c>
      <c r="FH122" s="102" t="e">
        <v>#VALUE!</v>
      </c>
      <c r="FI122" s="102" t="e">
        <v>#VALUE!</v>
      </c>
      <c r="FJ122" s="102" t="e">
        <v>#VALUE!</v>
      </c>
      <c r="FK122" s="102" t="e">
        <v>#VALUE!</v>
      </c>
      <c r="FL122" s="102" t="e">
        <v>#VALUE!</v>
      </c>
      <c r="FM122" s="102" t="e">
        <v>#VALUE!</v>
      </c>
      <c r="FN122" s="102" t="e">
        <v>#VALUE!</v>
      </c>
      <c r="FO122" s="102" t="e">
        <v>#VALUE!</v>
      </c>
      <c r="FP122" s="102" t="e">
        <v>#VALUE!</v>
      </c>
      <c r="FQ122" s="102" t="e">
        <v>#VALUE!</v>
      </c>
      <c r="FR122" s="102" t="e">
        <v>#VALUE!</v>
      </c>
      <c r="FS122" s="102" t="e">
        <v>#VALUE!</v>
      </c>
      <c r="FT122" s="102" t="e">
        <v>#VALUE!</v>
      </c>
      <c r="FU122" s="102" t="e">
        <v>#VALUE!</v>
      </c>
      <c r="FV122" s="102" t="e">
        <v>#VALUE!</v>
      </c>
      <c r="FW122" s="102" t="e">
        <v>#VALUE!</v>
      </c>
      <c r="FX122" s="102" t="e">
        <v>#VALUE!</v>
      </c>
      <c r="FY122" s="102" t="e">
        <v>#VALUE!</v>
      </c>
      <c r="FZ122" s="102" t="e">
        <v>#VALUE!</v>
      </c>
      <c r="GA122" s="102" t="e">
        <v>#VALUE!</v>
      </c>
      <c r="GB122" s="102" t="e">
        <v>#VALUE!</v>
      </c>
      <c r="GC122" s="102" t="e">
        <v>#VALUE!</v>
      </c>
      <c r="GD122" s="102" t="e">
        <v>#VALUE!</v>
      </c>
      <c r="GF122" s="102">
        <f t="shared" si="406"/>
        <v>214.44639749999999</v>
      </c>
      <c r="GG122" s="102">
        <f t="shared" si="406"/>
        <v>53.165152459999995</v>
      </c>
      <c r="GH122" s="102">
        <f t="shared" si="406"/>
        <v>608.19288423000012</v>
      </c>
      <c r="GI122" s="102">
        <f t="shared" si="406"/>
        <v>38.940740820000002</v>
      </c>
      <c r="GJ122" s="102">
        <f t="shared" si="434"/>
        <v>28.178694359999998</v>
      </c>
      <c r="GK122" s="102">
        <f t="shared" si="407"/>
        <v>373.24613364999999</v>
      </c>
      <c r="GL122" s="102">
        <f t="shared" si="435"/>
        <v>13.9294747</v>
      </c>
      <c r="GM122" s="102">
        <f t="shared" si="408"/>
        <v>20.12091882</v>
      </c>
      <c r="GN122" s="102" t="e">
        <f t="shared" si="409"/>
        <v>#VALUE!</v>
      </c>
      <c r="GO122" s="102">
        <v>22.182108589999999</v>
      </c>
      <c r="GQ122" s="929">
        <f t="shared" si="440"/>
        <v>10.439690400353649</v>
      </c>
      <c r="GR122" s="929">
        <f t="shared" si="440"/>
        <v>-0.93597304107018486</v>
      </c>
      <c r="GS122" s="929">
        <f t="shared" si="440"/>
        <v>-0.27636984385444996</v>
      </c>
      <c r="GT122" s="929">
        <f t="shared" si="410"/>
        <v>12.24568586754067</v>
      </c>
      <c r="GU122" s="929">
        <f t="shared" si="410"/>
        <v>-0.96268019024394791</v>
      </c>
      <c r="GV122" s="929">
        <f t="shared" si="410"/>
        <v>0.44448511184703898</v>
      </c>
      <c r="GW122" s="929" t="str">
        <f t="shared" si="399"/>
        <v/>
      </c>
      <c r="GX122" s="929" t="str">
        <f t="shared" si="399"/>
        <v/>
      </c>
      <c r="GY122" s="929">
        <f t="shared" si="249"/>
        <v>0.10244014144876901</v>
      </c>
      <c r="HA122" s="102">
        <f t="shared" si="441"/>
        <v>555.02773177000017</v>
      </c>
      <c r="HB122" s="102">
        <f t="shared" si="441"/>
        <v>-569.25214341000014</v>
      </c>
      <c r="HC122" s="102">
        <f t="shared" si="441"/>
        <v>-10.762046460000004</v>
      </c>
      <c r="HD122" s="102">
        <f t="shared" si="411"/>
        <v>345.06743928999998</v>
      </c>
      <c r="HE122" s="102">
        <f t="shared" si="400"/>
        <v>-359.31665894999998</v>
      </c>
      <c r="HF122" s="102">
        <f t="shared" si="400"/>
        <v>6.1914441199999999</v>
      </c>
      <c r="HG122" s="102" t="e">
        <f t="shared" si="400"/>
        <v>#VALUE!</v>
      </c>
      <c r="HH122" s="102" t="e">
        <f t="shared" si="400"/>
        <v>#VALUE!</v>
      </c>
      <c r="HI122" s="102">
        <f t="shared" si="251"/>
        <v>2.0611897699999986</v>
      </c>
      <c r="HK122" s="973"/>
      <c r="HL122" s="973"/>
      <c r="HM122" s="973"/>
      <c r="HN122" s="973"/>
      <c r="HO122" s="973"/>
      <c r="HP122" s="973"/>
      <c r="HQ122" s="973"/>
      <c r="HR122" s="973"/>
      <c r="HS122" s="973"/>
      <c r="HU122" s="102">
        <f t="shared" si="442"/>
        <v>100.32863873000001</v>
      </c>
      <c r="HV122" s="102">
        <f t="shared" si="442"/>
        <v>359.74989365000005</v>
      </c>
      <c r="HW122" s="102">
        <f t="shared" si="442"/>
        <v>152.43282013999999</v>
      </c>
      <c r="HX122" s="102">
        <f t="shared" si="442"/>
        <v>327.90426464000001</v>
      </c>
      <c r="HY122" s="102">
        <f t="shared" si="413"/>
        <v>168.51884808000003</v>
      </c>
      <c r="HZ122" s="102">
        <f t="shared" si="413"/>
        <v>556.95607665</v>
      </c>
      <c r="IA122" s="102">
        <f t="shared" si="414"/>
        <v>283.51440938000002</v>
      </c>
      <c r="IB122" s="102">
        <f t="shared" si="415"/>
        <v>26.826583940000003</v>
      </c>
      <c r="IC122" s="102">
        <f t="shared" si="416"/>
        <v>61.221313119999998</v>
      </c>
      <c r="ID122" s="102" t="e">
        <f t="shared" si="417"/>
        <v>#VALUE!</v>
      </c>
      <c r="IE122" s="102" t="e">
        <f t="shared" si="418"/>
        <v>#VALUE!</v>
      </c>
      <c r="IG122" s="102" t="e">
        <f t="shared" si="436"/>
        <v>#VALUE!</v>
      </c>
      <c r="IH122" s="102" t="e">
        <f t="shared" si="437"/>
        <v>#VALUE!</v>
      </c>
      <c r="II122" s="145"/>
      <c r="IJ122" s="929" t="str">
        <f t="shared" si="419"/>
        <v>NA</v>
      </c>
      <c r="IK122" s="930" t="str">
        <f t="shared" si="420"/>
        <v>NA</v>
      </c>
      <c r="IM122" s="973"/>
      <c r="IN122" s="973"/>
      <c r="IP122" s="929">
        <f t="shared" si="438"/>
        <v>-0.57628112521889563</v>
      </c>
      <c r="IQ122" s="929">
        <f t="shared" si="438"/>
        <v>1.1511395271624609</v>
      </c>
      <c r="IR122" s="929">
        <f t="shared" si="438"/>
        <v>-0.48607302114532203</v>
      </c>
      <c r="IS122" s="929">
        <f t="shared" si="438"/>
        <v>2.3050076178161349</v>
      </c>
      <c r="IT122" s="929">
        <f t="shared" si="438"/>
        <v>-0.49095732811590287</v>
      </c>
      <c r="IU122" s="929">
        <f t="shared" si="438"/>
        <v>-0.90537841092921734</v>
      </c>
      <c r="IV122" s="929" t="str">
        <f t="shared" si="439"/>
        <v/>
      </c>
      <c r="IX122" s="102">
        <f t="shared" si="422"/>
        <v>-207.31707351000006</v>
      </c>
      <c r="IY122" s="102">
        <f t="shared" si="422"/>
        <v>175.47144450000002</v>
      </c>
      <c r="IZ122" s="102">
        <f t="shared" si="422"/>
        <v>-159.38541655999998</v>
      </c>
      <c r="JA122" s="102">
        <f t="shared" si="422"/>
        <v>388.43722857</v>
      </c>
      <c r="JB122" s="102">
        <f t="shared" si="422"/>
        <v>-273.44166726999998</v>
      </c>
      <c r="JC122" s="102">
        <f t="shared" si="422"/>
        <v>-256.68782544000004</v>
      </c>
      <c r="JD122" s="102" t="e">
        <f t="shared" si="423"/>
        <v>#VALUE!</v>
      </c>
      <c r="JF122" s="973"/>
      <c r="JG122" s="973"/>
      <c r="JH122" s="973"/>
      <c r="JI122" s="973"/>
      <c r="JJ122" s="973"/>
      <c r="JK122" s="973"/>
      <c r="JL122" s="973"/>
      <c r="JM122" s="973"/>
      <c r="JO122" s="102">
        <f t="shared" si="452"/>
        <v>100.32863873000001</v>
      </c>
      <c r="JP122" s="102">
        <f t="shared" si="452"/>
        <v>359.74989365000005</v>
      </c>
      <c r="JQ122" s="102">
        <f t="shared" si="452"/>
        <v>152.43282013999999</v>
      </c>
      <c r="JR122" s="102">
        <f t="shared" si="452"/>
        <v>327.90426464000001</v>
      </c>
      <c r="JS122" s="102">
        <f t="shared" si="452"/>
        <v>168.51884808000003</v>
      </c>
      <c r="JT122" s="102">
        <f t="shared" si="425"/>
        <v>556.95607665</v>
      </c>
      <c r="JU122" s="102">
        <f t="shared" si="426"/>
        <v>283.51440938000002</v>
      </c>
      <c r="JV122" s="102">
        <f t="shared" si="427"/>
        <v>26.826583940000003</v>
      </c>
      <c r="JW122" s="102">
        <f t="shared" si="427"/>
        <v>61.221313119999998</v>
      </c>
      <c r="JX122" s="102" t="e">
        <f t="shared" si="428"/>
        <v>#VALUE!</v>
      </c>
      <c r="JY122" s="102" t="e">
        <f t="shared" si="429"/>
        <v>#VALUE!</v>
      </c>
      <c r="KB122" s="32">
        <f t="shared" si="430"/>
        <v>-0.57628112521889563</v>
      </c>
      <c r="KC122" s="32">
        <f t="shared" si="430"/>
        <v>1.1511395271624609</v>
      </c>
      <c r="KD122" s="32">
        <f t="shared" si="430"/>
        <v>-0.48607302114532203</v>
      </c>
      <c r="KE122" s="32">
        <f t="shared" si="430"/>
        <v>2.3050076178161349</v>
      </c>
      <c r="KF122" s="32">
        <f t="shared" si="430"/>
        <v>-0.49095732811590287</v>
      </c>
      <c r="KG122" s="32">
        <f t="shared" si="430"/>
        <v>-0.90537841092921734</v>
      </c>
      <c r="KH122" s="32" t="str">
        <f t="shared" si="431"/>
        <v xml:space="preserve"> </v>
      </c>
      <c r="KJ122" s="102">
        <f t="shared" si="432"/>
        <v>-207.31707351000006</v>
      </c>
      <c r="KK122" s="102">
        <f t="shared" si="432"/>
        <v>175.47144450000002</v>
      </c>
      <c r="KL122" s="102">
        <f t="shared" si="432"/>
        <v>-159.38541655999998</v>
      </c>
      <c r="KM122" s="102">
        <f t="shared" si="432"/>
        <v>388.43722857</v>
      </c>
      <c r="KN122" s="102">
        <f t="shared" si="432"/>
        <v>-273.44166726999998</v>
      </c>
      <c r="KO122" s="102">
        <f t="shared" si="432"/>
        <v>-256.68782544000004</v>
      </c>
      <c r="KP122" s="102" t="e">
        <f t="shared" si="433"/>
        <v>#VALUE!</v>
      </c>
      <c r="KR122" s="973"/>
      <c r="KS122" s="973"/>
      <c r="KT122" s="973"/>
      <c r="KU122" s="973"/>
      <c r="KV122" s="973"/>
      <c r="KW122" s="973"/>
      <c r="KX122" s="973"/>
      <c r="KY122" s="973"/>
      <c r="KZ122" s="973"/>
    </row>
    <row r="123" spans="1:312" outlineLevel="2">
      <c r="A123" s="884">
        <v>1310</v>
      </c>
      <c r="B123" s="70" t="s">
        <v>697</v>
      </c>
      <c r="C123" s="29" t="s">
        <v>698</v>
      </c>
      <c r="D123" s="31" t="s">
        <v>59</v>
      </c>
      <c r="E123" s="102">
        <v>0</v>
      </c>
      <c r="F123" s="102">
        <v>0</v>
      </c>
      <c r="G123" s="102">
        <v>0</v>
      </c>
      <c r="H123" s="102">
        <v>0</v>
      </c>
      <c r="I123" s="102">
        <v>0</v>
      </c>
      <c r="J123" s="102">
        <v>0</v>
      </c>
      <c r="K123" s="102">
        <v>0</v>
      </c>
      <c r="L123" s="102">
        <v>0</v>
      </c>
      <c r="M123" s="102">
        <v>0</v>
      </c>
      <c r="N123" s="102">
        <v>0</v>
      </c>
      <c r="O123" s="102">
        <v>0</v>
      </c>
      <c r="P123" s="102">
        <v>31.423399370000002</v>
      </c>
      <c r="Q123" s="102">
        <v>31.423399370000002</v>
      </c>
      <c r="R123" s="102">
        <v>31.423399370000002</v>
      </c>
      <c r="S123" s="102">
        <v>31.423399370000002</v>
      </c>
      <c r="T123" s="102">
        <v>31.423399370000002</v>
      </c>
      <c r="U123" s="102">
        <v>31.423399370000002</v>
      </c>
      <c r="V123" s="102">
        <v>31.423399370000002</v>
      </c>
      <c r="W123" s="102">
        <v>31.423399370000002</v>
      </c>
      <c r="X123" s="102">
        <v>31.423399370000002</v>
      </c>
      <c r="Y123" s="102">
        <v>31.423399370000002</v>
      </c>
      <c r="Z123" s="102">
        <v>31.423399370000002</v>
      </c>
      <c r="AA123" s="102">
        <v>31.423399370000002</v>
      </c>
      <c r="AB123" s="102">
        <v>16.72475318</v>
      </c>
      <c r="AC123" s="102">
        <v>16.72475318</v>
      </c>
      <c r="AD123" s="102">
        <v>16.72475318</v>
      </c>
      <c r="AE123" s="102">
        <v>16.72475318</v>
      </c>
      <c r="AF123" s="102">
        <v>16.72475318</v>
      </c>
      <c r="AG123" s="102">
        <v>16.72475318</v>
      </c>
      <c r="AH123" s="102">
        <v>16.72475318</v>
      </c>
      <c r="AI123" s="102">
        <v>16.72475318</v>
      </c>
      <c r="AJ123" s="102">
        <v>16.72475318</v>
      </c>
      <c r="AK123" s="102">
        <v>16.72475318</v>
      </c>
      <c r="AL123" s="102">
        <v>16.72475318</v>
      </c>
      <c r="AM123" s="102">
        <v>16.72475318</v>
      </c>
      <c r="AN123" s="145">
        <v>16.72475318</v>
      </c>
      <c r="AO123" s="102">
        <v>16.72475318</v>
      </c>
      <c r="AP123" s="145">
        <v>16.72475318</v>
      </c>
      <c r="AQ123" s="220">
        <v>16.72475318</v>
      </c>
      <c r="AR123" s="220">
        <v>16.72475318</v>
      </c>
      <c r="AS123" s="102">
        <v>16.72475318</v>
      </c>
      <c r="AT123" s="102">
        <v>16.72475318</v>
      </c>
      <c r="AU123" s="102">
        <v>33.143656180000001</v>
      </c>
      <c r="AV123" s="102">
        <v>62.751934179999999</v>
      </c>
      <c r="AW123" s="102">
        <v>62.751934179999999</v>
      </c>
      <c r="AX123" s="102">
        <v>62.751934179999999</v>
      </c>
      <c r="AY123" s="102">
        <v>62.751934179999999</v>
      </c>
      <c r="AZ123" s="102">
        <f>62.75193418+60</f>
        <v>122.75193418000001</v>
      </c>
      <c r="BA123" s="102">
        <v>122.75193451000001</v>
      </c>
      <c r="BB123" s="102">
        <v>122.75193451000001</v>
      </c>
      <c r="BC123" s="102">
        <v>122.75193451000001</v>
      </c>
      <c r="BD123" s="102">
        <v>122.75193451000001</v>
      </c>
      <c r="BE123" s="102">
        <v>122.75193451000001</v>
      </c>
      <c r="BF123" s="102">
        <v>122.75193451000001</v>
      </c>
      <c r="BG123" s="102">
        <v>122.75193451000001</v>
      </c>
      <c r="BH123" s="102">
        <v>122.12788166</v>
      </c>
      <c r="BI123" s="102">
        <v>122.12788166</v>
      </c>
      <c r="BJ123" s="102">
        <v>272.88531032999998</v>
      </c>
      <c r="BK123" s="102">
        <v>272.88531032999998</v>
      </c>
      <c r="BL123" s="102">
        <v>512.88531033000004</v>
      </c>
      <c r="BM123" s="974">
        <v>512.88531033000004</v>
      </c>
      <c r="BN123" s="102">
        <v>512.88531033000004</v>
      </c>
      <c r="BO123" s="102">
        <v>512.88531033000004</v>
      </c>
      <c r="BP123" s="102">
        <v>512.88531033000004</v>
      </c>
      <c r="BQ123" s="102">
        <v>512.88531033000004</v>
      </c>
      <c r="BR123" s="102">
        <v>512.88531033000004</v>
      </c>
      <c r="BS123" s="102">
        <v>512.88531033000004</v>
      </c>
      <c r="BT123" s="102">
        <v>512.88531033000004</v>
      </c>
      <c r="BU123" s="102">
        <v>512.88531033000004</v>
      </c>
      <c r="BV123" s="102">
        <v>512.88531033000004</v>
      </c>
      <c r="BW123" s="102">
        <v>362.75193432999998</v>
      </c>
      <c r="BX123" s="102">
        <v>362.75193432999998</v>
      </c>
      <c r="BY123" s="102">
        <v>362.75193432999998</v>
      </c>
      <c r="BZ123" s="102">
        <v>362.75193432999998</v>
      </c>
      <c r="CA123" s="102">
        <v>362.75193432999998</v>
      </c>
      <c r="CB123" s="102">
        <v>362.75193432999998</v>
      </c>
      <c r="CC123" s="102">
        <v>362.75193432999998</v>
      </c>
      <c r="CD123" s="102">
        <v>362.75193432999998</v>
      </c>
      <c r="CE123" s="102">
        <v>362.75193432999998</v>
      </c>
      <c r="CF123" s="102">
        <v>362.75193432999998</v>
      </c>
      <c r="CG123" s="102">
        <v>362.75193432999998</v>
      </c>
      <c r="CH123" s="102">
        <v>362.75193432999998</v>
      </c>
      <c r="CI123" s="102">
        <v>362.75193432999998</v>
      </c>
      <c r="CJ123" s="102">
        <v>362.75193432999998</v>
      </c>
      <c r="CK123" s="102">
        <v>362.75193432999998</v>
      </c>
      <c r="CL123" s="102">
        <v>362.75193432999998</v>
      </c>
      <c r="CM123" s="102">
        <v>362.75193432999998</v>
      </c>
      <c r="CN123" s="102">
        <v>362.75193432999998</v>
      </c>
      <c r="CO123" s="102">
        <v>362.75193432999998</v>
      </c>
      <c r="CP123" s="102">
        <v>362.75193432999998</v>
      </c>
      <c r="CQ123" s="102">
        <v>362.75193432999998</v>
      </c>
      <c r="CR123" s="102">
        <v>362.75193432999998</v>
      </c>
      <c r="CS123" s="102">
        <v>362.75193432999998</v>
      </c>
      <c r="CT123" s="102">
        <v>362.75193432999998</v>
      </c>
      <c r="CU123" s="102">
        <v>362.75193432999998</v>
      </c>
      <c r="CV123" s="102">
        <v>299.99999981999997</v>
      </c>
      <c r="CW123" s="102">
        <v>299.99999981999997</v>
      </c>
      <c r="CX123" s="102">
        <v>299.99999981999997</v>
      </c>
      <c r="CY123" s="102">
        <v>299.99999981999997</v>
      </c>
      <c r="CZ123" s="102">
        <v>299.99999981999997</v>
      </c>
      <c r="DA123" s="102">
        <v>299.99999981999997</v>
      </c>
      <c r="DB123" s="102">
        <v>299.99999981999997</v>
      </c>
      <c r="DC123" s="102">
        <v>299.99999981999997</v>
      </c>
      <c r="DD123" s="102">
        <v>299.99999981999997</v>
      </c>
      <c r="DE123" s="102">
        <v>299.99999981999997</v>
      </c>
      <c r="DF123" s="102">
        <v>299.99999981999997</v>
      </c>
      <c r="DG123" s="102">
        <v>299.99999981999997</v>
      </c>
      <c r="DH123" s="102">
        <v>299.99999981999997</v>
      </c>
      <c r="DJ123" s="1083" t="e">
        <v>#VALUE!</v>
      </c>
      <c r="DK123" s="1083" t="e">
        <v>#VALUE!</v>
      </c>
      <c r="DL123" s="1083" t="e">
        <v>#VALUE!</v>
      </c>
      <c r="DM123" s="1083" t="e">
        <v>#VALUE!</v>
      </c>
      <c r="DN123" s="1083" t="e">
        <v>#VALUE!</v>
      </c>
      <c r="DO123" s="1083" t="e">
        <v>#VALUE!</v>
      </c>
      <c r="DP123" s="1083" t="e">
        <v>#VALUE!</v>
      </c>
      <c r="DQ123" s="1083" t="e">
        <v>#VALUE!</v>
      </c>
      <c r="DR123" s="1083" t="e">
        <v>#VALUE!</v>
      </c>
      <c r="DS123" s="1083" t="e">
        <v>#VALUE!</v>
      </c>
      <c r="DT123" s="1083" t="e">
        <v>#VALUE!</v>
      </c>
      <c r="DU123" s="1083" t="e">
        <v>#VALUE!</v>
      </c>
      <c r="DW123" s="102">
        <v>16.72475318</v>
      </c>
      <c r="DX123" s="102">
        <v>16.72475318</v>
      </c>
      <c r="DY123" s="102">
        <v>16.72475318</v>
      </c>
      <c r="DZ123" s="102">
        <v>16.72475318</v>
      </c>
      <c r="EA123" s="102">
        <v>16.72475318</v>
      </c>
      <c r="EB123" s="102">
        <v>16.72475318</v>
      </c>
      <c r="EC123" s="102">
        <v>16.72475318</v>
      </c>
      <c r="ED123" s="102">
        <v>16.72475318</v>
      </c>
      <c r="EE123" s="102">
        <v>16.72475318</v>
      </c>
      <c r="EF123" s="102">
        <v>16.72475318</v>
      </c>
      <c r="EG123" s="102">
        <v>16.72475318</v>
      </c>
      <c r="EH123" s="102">
        <v>16.72475318</v>
      </c>
      <c r="EI123" s="102">
        <v>62.751934179999999</v>
      </c>
      <c r="EJ123" s="102">
        <v>62.751934179999999</v>
      </c>
      <c r="EK123" s="102">
        <v>62.751934179999999</v>
      </c>
      <c r="EL123" s="102">
        <v>0</v>
      </c>
      <c r="EM123" s="102">
        <v>0</v>
      </c>
      <c r="EN123" s="102">
        <v>0</v>
      </c>
      <c r="EO123" s="102">
        <v>0</v>
      </c>
      <c r="EP123" s="102">
        <v>0</v>
      </c>
      <c r="EQ123" s="102">
        <v>0</v>
      </c>
      <c r="ER123" s="102">
        <v>0</v>
      </c>
      <c r="ES123" s="102">
        <v>0</v>
      </c>
      <c r="ET123" s="102">
        <v>0</v>
      </c>
      <c r="EU123" s="102">
        <v>512.88531033000004</v>
      </c>
      <c r="EV123" s="102">
        <v>512.88531033000004</v>
      </c>
      <c r="EW123" s="102">
        <v>512.88531033000004</v>
      </c>
      <c r="EX123" s="102">
        <v>512.88531033000004</v>
      </c>
      <c r="EY123" s="102">
        <v>512.88531033000004</v>
      </c>
      <c r="EZ123" s="102">
        <v>512.88531033000004</v>
      </c>
      <c r="FA123" s="102">
        <v>512.88531033000004</v>
      </c>
      <c r="FB123" s="102">
        <v>512.88531033000004</v>
      </c>
      <c r="FC123" s="102">
        <v>512.88531033000004</v>
      </c>
      <c r="FD123" s="102">
        <v>512.88531033000004</v>
      </c>
      <c r="FE123" s="102">
        <v>512.88531033000004</v>
      </c>
      <c r="FF123" s="102">
        <v>512.88531033000004</v>
      </c>
      <c r="FG123" s="102" t="e">
        <v>#VALUE!</v>
      </c>
      <c r="FH123" s="102" t="e">
        <v>#VALUE!</v>
      </c>
      <c r="FI123" s="102" t="e">
        <v>#VALUE!</v>
      </c>
      <c r="FJ123" s="102" t="e">
        <v>#VALUE!</v>
      </c>
      <c r="FK123" s="102" t="e">
        <v>#VALUE!</v>
      </c>
      <c r="FL123" s="102" t="e">
        <v>#VALUE!</v>
      </c>
      <c r="FM123" s="102" t="e">
        <v>#VALUE!</v>
      </c>
      <c r="FN123" s="102" t="e">
        <v>#VALUE!</v>
      </c>
      <c r="FO123" s="102" t="e">
        <v>#VALUE!</v>
      </c>
      <c r="FP123" s="102" t="e">
        <v>#VALUE!</v>
      </c>
      <c r="FQ123" s="102" t="e">
        <v>#VALUE!</v>
      </c>
      <c r="FR123" s="102" t="e">
        <v>#VALUE!</v>
      </c>
      <c r="FS123" s="102" t="e">
        <v>#VALUE!</v>
      </c>
      <c r="FT123" s="102" t="e">
        <v>#VALUE!</v>
      </c>
      <c r="FU123" s="102" t="e">
        <v>#VALUE!</v>
      </c>
      <c r="FV123" s="102" t="e">
        <v>#VALUE!</v>
      </c>
      <c r="FW123" s="102" t="e">
        <v>#VALUE!</v>
      </c>
      <c r="FX123" s="102" t="e">
        <v>#VALUE!</v>
      </c>
      <c r="FY123" s="102" t="e">
        <v>#VALUE!</v>
      </c>
      <c r="FZ123" s="102" t="e">
        <v>#VALUE!</v>
      </c>
      <c r="GA123" s="102" t="e">
        <v>#VALUE!</v>
      </c>
      <c r="GB123" s="102" t="e">
        <v>#VALUE!</v>
      </c>
      <c r="GC123" s="102" t="e">
        <v>#VALUE!</v>
      </c>
      <c r="GD123" s="102" t="e">
        <v>#VALUE!</v>
      </c>
      <c r="GF123" s="102">
        <f t="shared" si="406"/>
        <v>31.423399370000002</v>
      </c>
      <c r="GG123" s="102">
        <f t="shared" si="406"/>
        <v>16.72475318</v>
      </c>
      <c r="GH123" s="102">
        <f t="shared" si="406"/>
        <v>16.72475318</v>
      </c>
      <c r="GI123" s="102">
        <f t="shared" si="406"/>
        <v>122.75193418000001</v>
      </c>
      <c r="GJ123" s="102">
        <f t="shared" si="434"/>
        <v>512.88531033000004</v>
      </c>
      <c r="GK123" s="102">
        <f t="shared" si="407"/>
        <v>362.75193432999998</v>
      </c>
      <c r="GL123" s="102">
        <f t="shared" si="435"/>
        <v>362.75193432999998</v>
      </c>
      <c r="GM123" s="102">
        <f t="shared" si="408"/>
        <v>299.99999981999997</v>
      </c>
      <c r="GN123" s="102" t="e">
        <f t="shared" si="409"/>
        <v>#VALUE!</v>
      </c>
      <c r="GO123" s="102">
        <v>299.99999981999997</v>
      </c>
      <c r="GQ123" s="929">
        <f t="shared" si="440"/>
        <v>0</v>
      </c>
      <c r="GR123" s="929">
        <f t="shared" si="440"/>
        <v>6.3395363661803232</v>
      </c>
      <c r="GS123" s="929">
        <f t="shared" si="440"/>
        <v>3.1782258972630064</v>
      </c>
      <c r="GT123" s="929">
        <f t="shared" si="410"/>
        <v>-0.29272309613118264</v>
      </c>
      <c r="GU123" s="929">
        <f t="shared" si="410"/>
        <v>0</v>
      </c>
      <c r="GV123" s="929">
        <f t="shared" si="410"/>
        <v>-0.17298855931920076</v>
      </c>
      <c r="GW123" s="929" t="str">
        <f t="shared" si="399"/>
        <v/>
      </c>
      <c r="GX123" s="929" t="str">
        <f t="shared" si="399"/>
        <v/>
      </c>
      <c r="GY123" s="929">
        <f t="shared" si="249"/>
        <v>0</v>
      </c>
      <c r="HA123" s="102">
        <f t="shared" si="441"/>
        <v>0</v>
      </c>
      <c r="HB123" s="102">
        <f t="shared" si="441"/>
        <v>106.02718100000001</v>
      </c>
      <c r="HC123" s="102">
        <f t="shared" si="441"/>
        <v>390.13337615</v>
      </c>
      <c r="HD123" s="102">
        <f t="shared" si="411"/>
        <v>-150.13337600000006</v>
      </c>
      <c r="HE123" s="102">
        <f t="shared" si="400"/>
        <v>0</v>
      </c>
      <c r="HF123" s="102">
        <f t="shared" si="400"/>
        <v>-62.751934510000012</v>
      </c>
      <c r="HG123" s="102" t="e">
        <f t="shared" si="400"/>
        <v>#VALUE!</v>
      </c>
      <c r="HH123" s="102" t="e">
        <f t="shared" si="400"/>
        <v>#VALUE!</v>
      </c>
      <c r="HI123" s="102">
        <f t="shared" si="251"/>
        <v>0</v>
      </c>
      <c r="HK123" s="973"/>
      <c r="HL123" s="973"/>
      <c r="HM123" s="973"/>
      <c r="HN123" s="973"/>
      <c r="HO123" s="973"/>
      <c r="HP123" s="973"/>
      <c r="HQ123" s="973"/>
      <c r="HR123" s="973"/>
      <c r="HS123" s="973"/>
      <c r="HU123" s="102">
        <f t="shared" si="442"/>
        <v>0</v>
      </c>
      <c r="HV123" s="102">
        <f t="shared" si="442"/>
        <v>31.423399370000002</v>
      </c>
      <c r="HW123" s="102">
        <f t="shared" si="442"/>
        <v>16.72475318</v>
      </c>
      <c r="HX123" s="102">
        <f t="shared" si="442"/>
        <v>16.72475318</v>
      </c>
      <c r="HY123" s="102">
        <f t="shared" si="413"/>
        <v>122.75193451000001</v>
      </c>
      <c r="HZ123" s="102">
        <f t="shared" si="413"/>
        <v>512.88531033000004</v>
      </c>
      <c r="IA123" s="102">
        <f t="shared" si="414"/>
        <v>362.75193432999998</v>
      </c>
      <c r="IB123" s="102">
        <f t="shared" si="415"/>
        <v>362.75193432999998</v>
      </c>
      <c r="IC123" s="102">
        <f t="shared" si="416"/>
        <v>299.99999981999997</v>
      </c>
      <c r="ID123" s="102" t="e">
        <f t="shared" si="417"/>
        <v>#VALUE!</v>
      </c>
      <c r="IE123" s="102" t="e">
        <f t="shared" si="418"/>
        <v>#VALUE!</v>
      </c>
      <c r="IG123" s="102" t="e">
        <f t="shared" si="436"/>
        <v>#VALUE!</v>
      </c>
      <c r="IH123" s="102" t="e">
        <f t="shared" si="437"/>
        <v>#VALUE!</v>
      </c>
      <c r="II123" s="145"/>
      <c r="IJ123" s="929" t="str">
        <f t="shared" si="419"/>
        <v>NA</v>
      </c>
      <c r="IK123" s="930" t="str">
        <f t="shared" si="420"/>
        <v>NA</v>
      </c>
      <c r="IM123" s="973"/>
      <c r="IN123" s="973"/>
      <c r="IP123" s="929">
        <f t="shared" si="438"/>
        <v>-0.46776117430607578</v>
      </c>
      <c r="IQ123" s="929">
        <f t="shared" si="438"/>
        <v>0</v>
      </c>
      <c r="IR123" s="929">
        <f t="shared" si="438"/>
        <v>6.3395363859115568</v>
      </c>
      <c r="IS123" s="929">
        <f t="shared" si="438"/>
        <v>3.1782258860304786</v>
      </c>
      <c r="IT123" s="929">
        <f t="shared" si="438"/>
        <v>-0.29272309613118264</v>
      </c>
      <c r="IU123" s="929">
        <f t="shared" si="438"/>
        <v>0</v>
      </c>
      <c r="IV123" s="929" t="str">
        <f t="shared" si="439"/>
        <v/>
      </c>
      <c r="IX123" s="102">
        <f t="shared" si="422"/>
        <v>-14.698646190000002</v>
      </c>
      <c r="IY123" s="102">
        <f t="shared" si="422"/>
        <v>0</v>
      </c>
      <c r="IZ123" s="102">
        <f t="shared" si="422"/>
        <v>106.02718133000002</v>
      </c>
      <c r="JA123" s="102">
        <f t="shared" si="422"/>
        <v>390.13337582000003</v>
      </c>
      <c r="JB123" s="102">
        <f t="shared" si="422"/>
        <v>-150.13337600000006</v>
      </c>
      <c r="JC123" s="102">
        <f t="shared" si="422"/>
        <v>0</v>
      </c>
      <c r="JD123" s="102" t="e">
        <f t="shared" si="423"/>
        <v>#VALUE!</v>
      </c>
      <c r="JF123" s="973"/>
      <c r="JG123" s="973"/>
      <c r="JH123" s="973"/>
      <c r="JI123" s="973"/>
      <c r="JJ123" s="973"/>
      <c r="JK123" s="973"/>
      <c r="JL123" s="973"/>
      <c r="JM123" s="973"/>
      <c r="JO123" s="102">
        <f t="shared" si="452"/>
        <v>0</v>
      </c>
      <c r="JP123" s="102">
        <f t="shared" si="452"/>
        <v>31.423399370000002</v>
      </c>
      <c r="JQ123" s="102">
        <f t="shared" si="452"/>
        <v>16.72475318</v>
      </c>
      <c r="JR123" s="102">
        <f t="shared" si="452"/>
        <v>16.72475318</v>
      </c>
      <c r="JS123" s="102">
        <f t="shared" si="452"/>
        <v>122.75193451000001</v>
      </c>
      <c r="JT123" s="102">
        <f t="shared" si="425"/>
        <v>512.88531033000004</v>
      </c>
      <c r="JU123" s="102">
        <f t="shared" si="426"/>
        <v>362.75193432999998</v>
      </c>
      <c r="JV123" s="102">
        <f t="shared" si="427"/>
        <v>362.75193432999998</v>
      </c>
      <c r="JW123" s="102">
        <f t="shared" si="427"/>
        <v>299.99999981999997</v>
      </c>
      <c r="JX123" s="102" t="e">
        <f t="shared" si="428"/>
        <v>#VALUE!</v>
      </c>
      <c r="JY123" s="102" t="e">
        <f t="shared" si="429"/>
        <v>#VALUE!</v>
      </c>
      <c r="KB123" s="32">
        <f t="shared" si="430"/>
        <v>-0.46776117430607578</v>
      </c>
      <c r="KC123" s="32">
        <f t="shared" si="430"/>
        <v>0</v>
      </c>
      <c r="KD123" s="32">
        <f t="shared" si="430"/>
        <v>6.3395363859115568</v>
      </c>
      <c r="KE123" s="32">
        <f t="shared" si="430"/>
        <v>3.1782258860304786</v>
      </c>
      <c r="KF123" s="32">
        <f t="shared" si="430"/>
        <v>-0.29272309613118264</v>
      </c>
      <c r="KG123" s="32">
        <f t="shared" si="430"/>
        <v>0</v>
      </c>
      <c r="KH123" s="32" t="str">
        <f t="shared" si="431"/>
        <v xml:space="preserve"> </v>
      </c>
      <c r="KJ123" s="102">
        <f t="shared" si="432"/>
        <v>-14.698646190000002</v>
      </c>
      <c r="KK123" s="102">
        <f t="shared" si="432"/>
        <v>0</v>
      </c>
      <c r="KL123" s="102">
        <f t="shared" si="432"/>
        <v>106.02718133000002</v>
      </c>
      <c r="KM123" s="102">
        <f t="shared" si="432"/>
        <v>390.13337582000003</v>
      </c>
      <c r="KN123" s="102">
        <f t="shared" si="432"/>
        <v>-150.13337600000006</v>
      </c>
      <c r="KO123" s="102">
        <f t="shared" si="432"/>
        <v>0</v>
      </c>
      <c r="KP123" s="102" t="e">
        <f t="shared" si="433"/>
        <v>#VALUE!</v>
      </c>
      <c r="KR123" s="973"/>
      <c r="KS123" s="973"/>
      <c r="KT123" s="973"/>
      <c r="KU123" s="973"/>
      <c r="KV123" s="973"/>
      <c r="KW123" s="973"/>
      <c r="KX123" s="973"/>
      <c r="KY123" s="973"/>
      <c r="KZ123" s="973"/>
    </row>
    <row r="124" spans="1:312" outlineLevel="2">
      <c r="A124" s="967"/>
      <c r="B124" s="70"/>
      <c r="C124" s="29"/>
      <c r="D124" s="31"/>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45"/>
      <c r="AO124" s="102"/>
      <c r="AP124" s="145"/>
      <c r="AQ124" s="220"/>
      <c r="AR124" s="220"/>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974"/>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c r="DH124" s="102"/>
      <c r="DJ124" s="102" t="e">
        <v>#VALUE!</v>
      </c>
      <c r="DK124" s="102" t="e">
        <v>#VALUE!</v>
      </c>
      <c r="DL124" s="102" t="e">
        <v>#VALUE!</v>
      </c>
      <c r="DM124" s="102" t="e">
        <v>#VALUE!</v>
      </c>
      <c r="DN124" s="102" t="e">
        <v>#VALUE!</v>
      </c>
      <c r="DO124" s="102" t="e">
        <v>#VALUE!</v>
      </c>
      <c r="DP124" s="102" t="e">
        <v>#VALUE!</v>
      </c>
      <c r="DQ124" s="102" t="e">
        <v>#VALUE!</v>
      </c>
      <c r="DR124" s="102" t="e">
        <v>#VALUE!</v>
      </c>
      <c r="DS124" s="102" t="e">
        <v>#VALUE!</v>
      </c>
      <c r="DT124" s="102" t="e">
        <v>#VALUE!</v>
      </c>
      <c r="DU124" s="102" t="e">
        <v>#VALUE!</v>
      </c>
      <c r="DW124" s="102"/>
      <c r="DX124" s="102"/>
      <c r="DY124" s="102"/>
      <c r="DZ124" s="102"/>
      <c r="EA124" s="102"/>
      <c r="EB124" s="102"/>
      <c r="EC124" s="102"/>
      <c r="ED124" s="102"/>
      <c r="EE124" s="102"/>
      <c r="EF124" s="102"/>
      <c r="EG124" s="102"/>
      <c r="EH124" s="102"/>
      <c r="EI124" s="102"/>
      <c r="EJ124" s="102"/>
      <c r="EK124" s="102"/>
      <c r="EL124" s="102"/>
      <c r="EM124" s="102"/>
      <c r="EN124" s="102"/>
      <c r="EO124" s="102"/>
      <c r="EP124" s="102"/>
      <c r="EQ124" s="102"/>
      <c r="ER124" s="102"/>
      <c r="ES124" s="102"/>
      <c r="ET124" s="102"/>
      <c r="EU124" s="102"/>
      <c r="EV124" s="102"/>
      <c r="EW124" s="102"/>
      <c r="EX124" s="102"/>
      <c r="EY124" s="102"/>
      <c r="EZ124" s="102"/>
      <c r="FA124" s="102"/>
      <c r="FB124" s="102"/>
      <c r="FC124" s="102"/>
      <c r="FD124" s="102"/>
      <c r="FE124" s="102"/>
      <c r="FF124" s="102"/>
      <c r="FG124" s="102" t="e">
        <v>#VALUE!</v>
      </c>
      <c r="FH124" s="102" t="e">
        <v>#VALUE!</v>
      </c>
      <c r="FI124" s="102" t="e">
        <v>#VALUE!</v>
      </c>
      <c r="FJ124" s="102" t="e">
        <v>#VALUE!</v>
      </c>
      <c r="FK124" s="102" t="e">
        <v>#VALUE!</v>
      </c>
      <c r="FL124" s="102" t="e">
        <v>#VALUE!</v>
      </c>
      <c r="FM124" s="102" t="e">
        <v>#VALUE!</v>
      </c>
      <c r="FN124" s="102" t="e">
        <v>#VALUE!</v>
      </c>
      <c r="FO124" s="102" t="e">
        <v>#VALUE!</v>
      </c>
      <c r="FP124" s="102" t="e">
        <v>#VALUE!</v>
      </c>
      <c r="FQ124" s="102" t="e">
        <v>#VALUE!</v>
      </c>
      <c r="FR124" s="102" t="e">
        <v>#VALUE!</v>
      </c>
      <c r="FS124" s="102" t="e">
        <v>#VALUE!</v>
      </c>
      <c r="FT124" s="102" t="e">
        <v>#VALUE!</v>
      </c>
      <c r="FU124" s="102" t="e">
        <v>#VALUE!</v>
      </c>
      <c r="FV124" s="102" t="e">
        <v>#VALUE!</v>
      </c>
      <c r="FW124" s="102" t="e">
        <v>#VALUE!</v>
      </c>
      <c r="FX124" s="102" t="e">
        <v>#VALUE!</v>
      </c>
      <c r="FY124" s="102" t="e">
        <v>#VALUE!</v>
      </c>
      <c r="FZ124" s="102" t="e">
        <v>#VALUE!</v>
      </c>
      <c r="GA124" s="102" t="e">
        <v>#VALUE!</v>
      </c>
      <c r="GB124" s="102" t="e">
        <v>#VALUE!</v>
      </c>
      <c r="GC124" s="102" t="e">
        <v>#VALUE!</v>
      </c>
      <c r="GD124" s="102" t="e">
        <v>#VALUE!</v>
      </c>
      <c r="GF124" s="102">
        <f t="shared" si="406"/>
        <v>0</v>
      </c>
      <c r="GG124" s="102">
        <f t="shared" si="406"/>
        <v>0</v>
      </c>
      <c r="GH124" s="102">
        <f t="shared" si="406"/>
        <v>0</v>
      </c>
      <c r="GI124" s="102">
        <f t="shared" si="406"/>
        <v>0</v>
      </c>
      <c r="GJ124" s="102">
        <f t="shared" si="434"/>
        <v>0</v>
      </c>
      <c r="GK124" s="102">
        <f t="shared" si="407"/>
        <v>0</v>
      </c>
      <c r="GL124" s="102">
        <f t="shared" si="435"/>
        <v>0</v>
      </c>
      <c r="GM124" s="102">
        <f t="shared" si="408"/>
        <v>0</v>
      </c>
      <c r="GN124" s="102" t="e">
        <f t="shared" si="409"/>
        <v>#VALUE!</v>
      </c>
      <c r="GO124" s="102">
        <v>0</v>
      </c>
      <c r="GQ124" s="929" t="str">
        <f t="shared" si="440"/>
        <v/>
      </c>
      <c r="GR124" s="929" t="str">
        <f t="shared" si="440"/>
        <v/>
      </c>
      <c r="GS124" s="929" t="str">
        <f t="shared" si="440"/>
        <v/>
      </c>
      <c r="GT124" s="929" t="str">
        <f t="shared" si="410"/>
        <v/>
      </c>
      <c r="GU124" s="929" t="str">
        <f t="shared" si="410"/>
        <v/>
      </c>
      <c r="GV124" s="929" t="str">
        <f t="shared" si="410"/>
        <v/>
      </c>
      <c r="GW124" s="929" t="str">
        <f t="shared" si="399"/>
        <v/>
      </c>
      <c r="GX124" s="929" t="str">
        <f t="shared" si="399"/>
        <v/>
      </c>
      <c r="GY124" s="929" t="str">
        <f t="shared" si="249"/>
        <v/>
      </c>
      <c r="HA124" s="102">
        <f t="shared" si="441"/>
        <v>0</v>
      </c>
      <c r="HB124" s="102">
        <f t="shared" si="441"/>
        <v>0</v>
      </c>
      <c r="HC124" s="102">
        <f t="shared" si="441"/>
        <v>0</v>
      </c>
      <c r="HD124" s="102">
        <f t="shared" si="411"/>
        <v>0</v>
      </c>
      <c r="HE124" s="102">
        <f t="shared" si="400"/>
        <v>0</v>
      </c>
      <c r="HF124" s="102">
        <f t="shared" si="400"/>
        <v>0</v>
      </c>
      <c r="HG124" s="102" t="e">
        <f t="shared" si="400"/>
        <v>#VALUE!</v>
      </c>
      <c r="HH124" s="102" t="e">
        <f t="shared" si="400"/>
        <v>#VALUE!</v>
      </c>
      <c r="HI124" s="102">
        <f t="shared" si="251"/>
        <v>0</v>
      </c>
      <c r="HK124" s="973"/>
      <c r="HL124" s="973"/>
      <c r="HM124" s="973"/>
      <c r="HN124" s="973"/>
      <c r="HO124" s="973"/>
      <c r="HP124" s="973"/>
      <c r="HQ124" s="973"/>
      <c r="HR124" s="973"/>
      <c r="HS124" s="973"/>
      <c r="HU124" s="102">
        <f t="shared" si="442"/>
        <v>0</v>
      </c>
      <c r="HV124" s="102">
        <f t="shared" si="442"/>
        <v>0</v>
      </c>
      <c r="HW124" s="102">
        <f t="shared" si="442"/>
        <v>0</v>
      </c>
      <c r="HX124" s="102">
        <f t="shared" si="442"/>
        <v>0</v>
      </c>
      <c r="HY124" s="102">
        <f t="shared" si="413"/>
        <v>0</v>
      </c>
      <c r="HZ124" s="102">
        <f t="shared" si="413"/>
        <v>0</v>
      </c>
      <c r="IA124" s="102">
        <f t="shared" si="414"/>
        <v>0</v>
      </c>
      <c r="IB124" s="102">
        <f t="shared" si="415"/>
        <v>0</v>
      </c>
      <c r="IC124" s="102">
        <f t="shared" si="416"/>
        <v>0</v>
      </c>
      <c r="ID124" s="102" t="e">
        <f t="shared" si="417"/>
        <v>#VALUE!</v>
      </c>
      <c r="IE124" s="102" t="e">
        <f t="shared" si="418"/>
        <v>#VALUE!</v>
      </c>
      <c r="IG124" s="102" t="e">
        <f t="shared" si="436"/>
        <v>#VALUE!</v>
      </c>
      <c r="IH124" s="102" t="e">
        <f t="shared" si="437"/>
        <v>#VALUE!</v>
      </c>
      <c r="II124" s="145"/>
      <c r="IJ124" s="929" t="str">
        <f t="shared" si="419"/>
        <v>NA</v>
      </c>
      <c r="IK124" s="930" t="str">
        <f t="shared" si="420"/>
        <v>NA</v>
      </c>
      <c r="IM124" s="973"/>
      <c r="IN124" s="973"/>
      <c r="IP124" s="929" t="str">
        <f t="shared" si="438"/>
        <v/>
      </c>
      <c r="IQ124" s="929" t="str">
        <f t="shared" si="438"/>
        <v/>
      </c>
      <c r="IR124" s="929" t="str">
        <f t="shared" si="438"/>
        <v/>
      </c>
      <c r="IS124" s="929" t="str">
        <f t="shared" si="438"/>
        <v/>
      </c>
      <c r="IT124" s="929" t="str">
        <f t="shared" si="438"/>
        <v/>
      </c>
      <c r="IU124" s="929" t="str">
        <f t="shared" si="438"/>
        <v/>
      </c>
      <c r="IV124" s="929" t="str">
        <f t="shared" si="439"/>
        <v/>
      </c>
      <c r="IX124" s="102">
        <f t="shared" si="422"/>
        <v>0</v>
      </c>
      <c r="IY124" s="102">
        <f t="shared" si="422"/>
        <v>0</v>
      </c>
      <c r="IZ124" s="102">
        <f t="shared" si="422"/>
        <v>0</v>
      </c>
      <c r="JA124" s="102">
        <f t="shared" si="422"/>
        <v>0</v>
      </c>
      <c r="JB124" s="102">
        <f t="shared" si="422"/>
        <v>0</v>
      </c>
      <c r="JC124" s="102">
        <f t="shared" si="422"/>
        <v>0</v>
      </c>
      <c r="JD124" s="102" t="e">
        <f t="shared" si="423"/>
        <v>#VALUE!</v>
      </c>
      <c r="JF124" s="973"/>
      <c r="JG124" s="973"/>
      <c r="JH124" s="973"/>
      <c r="JI124" s="973"/>
      <c r="JJ124" s="973"/>
      <c r="JK124" s="973"/>
      <c r="JL124" s="973"/>
      <c r="JM124" s="973"/>
      <c r="JO124" s="102">
        <f t="shared" si="452"/>
        <v>0</v>
      </c>
      <c r="JP124" s="102">
        <f t="shared" si="452"/>
        <v>0</v>
      </c>
      <c r="JQ124" s="102">
        <f t="shared" si="452"/>
        <v>0</v>
      </c>
      <c r="JR124" s="102">
        <f t="shared" si="452"/>
        <v>0</v>
      </c>
      <c r="JS124" s="102">
        <f t="shared" si="452"/>
        <v>0</v>
      </c>
      <c r="JT124" s="102">
        <f t="shared" si="425"/>
        <v>0</v>
      </c>
      <c r="JU124" s="102">
        <f t="shared" si="426"/>
        <v>0</v>
      </c>
      <c r="JV124" s="102">
        <f t="shared" si="427"/>
        <v>0</v>
      </c>
      <c r="JW124" s="102">
        <f t="shared" si="427"/>
        <v>0</v>
      </c>
      <c r="JX124" s="102" t="e">
        <f t="shared" si="428"/>
        <v>#VALUE!</v>
      </c>
      <c r="JY124" s="102" t="e">
        <f t="shared" si="429"/>
        <v>#VALUE!</v>
      </c>
      <c r="KB124" s="32" t="str">
        <f t="shared" si="430"/>
        <v xml:space="preserve"> </v>
      </c>
      <c r="KC124" s="32" t="str">
        <f t="shared" si="430"/>
        <v xml:space="preserve"> </v>
      </c>
      <c r="KD124" s="32" t="str">
        <f t="shared" si="430"/>
        <v xml:space="preserve"> </v>
      </c>
      <c r="KE124" s="32" t="str">
        <f t="shared" si="430"/>
        <v xml:space="preserve"> </v>
      </c>
      <c r="KF124" s="32" t="str">
        <f t="shared" si="430"/>
        <v xml:space="preserve"> </v>
      </c>
      <c r="KG124" s="32" t="str">
        <f t="shared" si="430"/>
        <v xml:space="preserve"> </v>
      </c>
      <c r="KH124" s="32" t="str">
        <f t="shared" si="431"/>
        <v xml:space="preserve"> </v>
      </c>
      <c r="KJ124" s="102">
        <f t="shared" si="432"/>
        <v>0</v>
      </c>
      <c r="KK124" s="102">
        <f t="shared" si="432"/>
        <v>0</v>
      </c>
      <c r="KL124" s="102">
        <f t="shared" si="432"/>
        <v>0</v>
      </c>
      <c r="KM124" s="102">
        <f t="shared" si="432"/>
        <v>0</v>
      </c>
      <c r="KN124" s="102">
        <f t="shared" si="432"/>
        <v>0</v>
      </c>
      <c r="KO124" s="102">
        <f t="shared" si="432"/>
        <v>0</v>
      </c>
      <c r="KP124" s="102" t="e">
        <f t="shared" si="433"/>
        <v>#VALUE!</v>
      </c>
      <c r="KR124" s="973"/>
      <c r="KS124" s="973"/>
      <c r="KT124" s="973"/>
      <c r="KU124" s="973"/>
      <c r="KV124" s="973"/>
      <c r="KW124" s="973"/>
      <c r="KX124" s="973"/>
      <c r="KY124" s="973"/>
      <c r="KZ124" s="973"/>
    </row>
    <row r="125" spans="1:312" outlineLevel="2">
      <c r="A125" s="884">
        <v>1345</v>
      </c>
      <c r="B125" s="70" t="s">
        <v>699</v>
      </c>
      <c r="C125" s="29" t="s">
        <v>119</v>
      </c>
      <c r="D125" s="31" t="s">
        <v>59</v>
      </c>
      <c r="E125" s="102">
        <v>0</v>
      </c>
      <c r="F125" s="102">
        <v>2.6518500299999999</v>
      </c>
      <c r="G125" s="102">
        <v>5.4769130800000001</v>
      </c>
      <c r="H125" s="102">
        <v>5.4769130800000001</v>
      </c>
      <c r="I125" s="102">
        <v>11.552387699999999</v>
      </c>
      <c r="J125" s="102">
        <v>11.39153866</v>
      </c>
      <c r="K125" s="102">
        <v>13.963326960000002</v>
      </c>
      <c r="L125" s="102">
        <v>13.784424960000001</v>
      </c>
      <c r="M125" s="102">
        <v>14.320911000000001</v>
      </c>
      <c r="N125" s="102">
        <v>13.277112599999999</v>
      </c>
      <c r="O125" s="102">
        <v>13.26613326</v>
      </c>
      <c r="P125" s="102">
        <v>11.71072114</v>
      </c>
      <c r="Q125" s="102">
        <v>43.754265799999999</v>
      </c>
      <c r="R125" s="102">
        <v>-4.5050199999999999E-2</v>
      </c>
      <c r="S125" s="102">
        <v>5.4576730800000002</v>
      </c>
      <c r="T125" s="102">
        <v>0</v>
      </c>
      <c r="U125" s="102">
        <v>0</v>
      </c>
      <c r="V125" s="102">
        <v>0</v>
      </c>
      <c r="W125" s="102">
        <v>0</v>
      </c>
      <c r="X125" s="102">
        <v>14.343247740000001</v>
      </c>
      <c r="Y125" s="102">
        <v>14.343247740000001</v>
      </c>
      <c r="Z125" s="102">
        <v>-10.879275</v>
      </c>
      <c r="AA125" s="102">
        <v>-22.859798000000001</v>
      </c>
      <c r="AB125" s="102">
        <v>395.03796425999997</v>
      </c>
      <c r="AC125" s="102">
        <v>204.47307194999999</v>
      </c>
      <c r="AD125" s="102">
        <v>197.67635594999999</v>
      </c>
      <c r="AE125" s="102">
        <v>199.70438694999999</v>
      </c>
      <c r="AF125" s="102">
        <v>199.70438694999999</v>
      </c>
      <c r="AG125" s="102">
        <v>134.28728268999998</v>
      </c>
      <c r="AH125" s="102">
        <v>134.28728268999998</v>
      </c>
      <c r="AI125" s="102">
        <v>136.47655404</v>
      </c>
      <c r="AJ125" s="102">
        <v>130.48723803999999</v>
      </c>
      <c r="AK125" s="102">
        <v>46.911371000000003</v>
      </c>
      <c r="AL125" s="102">
        <v>46.911371000000003</v>
      </c>
      <c r="AM125" s="102">
        <v>49.472892999999999</v>
      </c>
      <c r="AN125" s="145">
        <v>163.164524</v>
      </c>
      <c r="AO125" s="102">
        <v>163.164524</v>
      </c>
      <c r="AP125" s="145">
        <v>163.164524</v>
      </c>
      <c r="AQ125" s="220">
        <v>163.164524</v>
      </c>
      <c r="AR125" s="220">
        <v>163.164524</v>
      </c>
      <c r="AS125" s="102">
        <v>145.44248665000001</v>
      </c>
      <c r="AT125" s="102">
        <v>145.44248665000001</v>
      </c>
      <c r="AU125" s="102">
        <v>152.47384865000001</v>
      </c>
      <c r="AV125" s="102">
        <v>152.47384865000001</v>
      </c>
      <c r="AW125" s="102">
        <v>150.90626466999998</v>
      </c>
      <c r="AX125" s="102">
        <v>150.90626466999998</v>
      </c>
      <c r="AY125" s="102">
        <v>150.90626466999998</v>
      </c>
      <c r="AZ125" s="102">
        <v>150.75742867</v>
      </c>
      <c r="BA125" s="102">
        <v>150.75742867</v>
      </c>
      <c r="BB125" s="102">
        <v>150.75742867</v>
      </c>
      <c r="BC125" s="102">
        <v>150.75742867</v>
      </c>
      <c r="BD125" s="102">
        <v>150.75742867</v>
      </c>
      <c r="BE125" s="102">
        <v>150.75742867</v>
      </c>
      <c r="BF125" s="102">
        <v>150.75742867</v>
      </c>
      <c r="BG125" s="102">
        <v>150.75742867</v>
      </c>
      <c r="BH125" s="102">
        <v>150.75742867</v>
      </c>
      <c r="BI125" s="102">
        <v>150.75742867</v>
      </c>
      <c r="BJ125" s="102">
        <v>0</v>
      </c>
      <c r="BK125" s="102">
        <v>0</v>
      </c>
      <c r="BL125" s="102">
        <v>0</v>
      </c>
      <c r="BM125" s="974">
        <v>0</v>
      </c>
      <c r="BN125" s="102">
        <v>0</v>
      </c>
      <c r="BO125" s="102">
        <v>0</v>
      </c>
      <c r="BP125" s="102">
        <v>0</v>
      </c>
      <c r="BQ125" s="102">
        <v>0</v>
      </c>
      <c r="BR125" s="102">
        <v>0</v>
      </c>
      <c r="BS125" s="102">
        <v>0</v>
      </c>
      <c r="BT125" s="102">
        <v>0</v>
      </c>
      <c r="BU125" s="102">
        <v>0</v>
      </c>
      <c r="BV125" s="102">
        <v>0</v>
      </c>
      <c r="BW125" s="102">
        <v>0</v>
      </c>
      <c r="BX125" s="102">
        <v>0</v>
      </c>
      <c r="BY125" s="102">
        <v>0</v>
      </c>
      <c r="BZ125" s="102">
        <v>0</v>
      </c>
      <c r="CA125" s="102">
        <v>0</v>
      </c>
      <c r="CB125" s="102">
        <v>0</v>
      </c>
      <c r="CC125" s="102">
        <v>0</v>
      </c>
      <c r="CD125" s="102">
        <v>0</v>
      </c>
      <c r="CE125" s="102">
        <v>0</v>
      </c>
      <c r="CF125" s="102">
        <v>0</v>
      </c>
      <c r="CG125" s="102">
        <v>0</v>
      </c>
      <c r="CH125" s="102">
        <v>0</v>
      </c>
      <c r="CI125" s="102">
        <v>0</v>
      </c>
      <c r="CJ125" s="102">
        <v>0</v>
      </c>
      <c r="CK125" s="102">
        <v>0</v>
      </c>
      <c r="CL125" s="102">
        <v>0</v>
      </c>
      <c r="CM125" s="102">
        <v>0</v>
      </c>
      <c r="CN125" s="102">
        <v>0</v>
      </c>
      <c r="CO125" s="102">
        <v>0</v>
      </c>
      <c r="CP125" s="102">
        <v>0</v>
      </c>
      <c r="CQ125" s="102">
        <v>0</v>
      </c>
      <c r="CR125" s="102">
        <v>0</v>
      </c>
      <c r="CS125" s="102">
        <v>0</v>
      </c>
      <c r="CT125" s="102">
        <v>0</v>
      </c>
      <c r="CU125" s="102">
        <v>0</v>
      </c>
      <c r="CV125" s="102">
        <v>0</v>
      </c>
      <c r="CW125" s="102">
        <v>0</v>
      </c>
      <c r="CX125" s="102">
        <v>0</v>
      </c>
      <c r="CY125" s="102">
        <v>0</v>
      </c>
      <c r="CZ125" s="102">
        <v>0</v>
      </c>
      <c r="DA125" s="102">
        <v>0</v>
      </c>
      <c r="DB125" s="102">
        <v>0</v>
      </c>
      <c r="DC125" s="102">
        <v>0</v>
      </c>
      <c r="DD125" s="102">
        <v>0</v>
      </c>
      <c r="DE125" s="102">
        <v>0</v>
      </c>
      <c r="DF125" s="102">
        <v>0</v>
      </c>
      <c r="DG125" s="102">
        <v>0</v>
      </c>
      <c r="DH125" s="102">
        <v>0</v>
      </c>
      <c r="DJ125" s="102" t="e">
        <v>#VALUE!</v>
      </c>
      <c r="DK125" s="102" t="e">
        <v>#VALUE!</v>
      </c>
      <c r="DL125" s="102" t="e">
        <v>#VALUE!</v>
      </c>
      <c r="DM125" s="102" t="e">
        <v>#VALUE!</v>
      </c>
      <c r="DN125" s="102" t="e">
        <v>#VALUE!</v>
      </c>
      <c r="DO125" s="102" t="e">
        <v>#VALUE!</v>
      </c>
      <c r="DP125" s="102" t="e">
        <v>#VALUE!</v>
      </c>
      <c r="DQ125" s="102" t="e">
        <v>#VALUE!</v>
      </c>
      <c r="DR125" s="102" t="e">
        <v>#VALUE!</v>
      </c>
      <c r="DS125" s="102" t="e">
        <v>#VALUE!</v>
      </c>
      <c r="DT125" s="102" t="e">
        <v>#VALUE!</v>
      </c>
      <c r="DU125" s="102" t="e">
        <v>#VALUE!</v>
      </c>
      <c r="DW125" s="102">
        <v>49.472892999999999</v>
      </c>
      <c r="DX125" s="102">
        <v>49.472892999999999</v>
      </c>
      <c r="DY125" s="102">
        <v>49.472892999999999</v>
      </c>
      <c r="DZ125" s="102">
        <v>49.472892999999999</v>
      </c>
      <c r="EA125" s="102">
        <v>49.472892999999999</v>
      </c>
      <c r="EB125" s="102">
        <v>49.472892999999999</v>
      </c>
      <c r="EC125" s="102">
        <v>49.472892999999999</v>
      </c>
      <c r="ED125" s="102">
        <v>49.472892999999999</v>
      </c>
      <c r="EE125" s="102">
        <v>49.472892999999999</v>
      </c>
      <c r="EF125" s="102">
        <v>49.472892999999999</v>
      </c>
      <c r="EG125" s="102">
        <v>49.472892999999999</v>
      </c>
      <c r="EH125" s="102">
        <v>49.472892999999999</v>
      </c>
      <c r="EI125" s="102">
        <v>120.60594293599999</v>
      </c>
      <c r="EJ125" s="102">
        <v>96.48475434880001</v>
      </c>
      <c r="EK125" s="102">
        <v>77.187803479040014</v>
      </c>
      <c r="EL125" s="102">
        <v>61.750242783232011</v>
      </c>
      <c r="EM125" s="102">
        <v>49.400194226585612</v>
      </c>
      <c r="EN125" s="102">
        <v>39.520155381268495</v>
      </c>
      <c r="EO125" s="102">
        <v>31.616124305014797</v>
      </c>
      <c r="EP125" s="102">
        <v>25.292899444011837</v>
      </c>
      <c r="EQ125" s="102">
        <v>20.234319555209474</v>
      </c>
      <c r="ER125" s="102">
        <v>0</v>
      </c>
      <c r="ES125" s="102">
        <v>0</v>
      </c>
      <c r="ET125" s="102">
        <v>0</v>
      </c>
      <c r="EU125" s="102"/>
      <c r="EV125" s="102"/>
      <c r="EW125" s="102"/>
      <c r="EX125" s="102"/>
      <c r="EY125" s="102"/>
      <c r="EZ125" s="102"/>
      <c r="FA125" s="102"/>
      <c r="FB125" s="102"/>
      <c r="FC125" s="102"/>
      <c r="FD125" s="102"/>
      <c r="FE125" s="102"/>
      <c r="FF125" s="102"/>
      <c r="FG125" s="102" t="e">
        <v>#VALUE!</v>
      </c>
      <c r="FH125" s="102" t="e">
        <v>#VALUE!</v>
      </c>
      <c r="FI125" s="102" t="e">
        <v>#VALUE!</v>
      </c>
      <c r="FJ125" s="102" t="e">
        <v>#VALUE!</v>
      </c>
      <c r="FK125" s="102" t="e">
        <v>#VALUE!</v>
      </c>
      <c r="FL125" s="102" t="e">
        <v>#VALUE!</v>
      </c>
      <c r="FM125" s="102" t="e">
        <v>#VALUE!</v>
      </c>
      <c r="FN125" s="102" t="e">
        <v>#VALUE!</v>
      </c>
      <c r="FO125" s="102" t="e">
        <v>#VALUE!</v>
      </c>
      <c r="FP125" s="102" t="e">
        <v>#VALUE!</v>
      </c>
      <c r="FQ125" s="102" t="e">
        <v>#VALUE!</v>
      </c>
      <c r="FR125" s="102" t="e">
        <v>#VALUE!</v>
      </c>
      <c r="FS125" s="102" t="e">
        <v>#VALUE!</v>
      </c>
      <c r="FT125" s="102" t="e">
        <v>#VALUE!</v>
      </c>
      <c r="FU125" s="102" t="e">
        <v>#VALUE!</v>
      </c>
      <c r="FV125" s="102" t="e">
        <v>#VALUE!</v>
      </c>
      <c r="FW125" s="102" t="e">
        <v>#VALUE!</v>
      </c>
      <c r="FX125" s="102" t="e">
        <v>#VALUE!</v>
      </c>
      <c r="FY125" s="102" t="e">
        <v>#VALUE!</v>
      </c>
      <c r="FZ125" s="102" t="e">
        <v>#VALUE!</v>
      </c>
      <c r="GA125" s="102" t="e">
        <v>#VALUE!</v>
      </c>
      <c r="GB125" s="102" t="e">
        <v>#VALUE!</v>
      </c>
      <c r="GC125" s="102" t="e">
        <v>#VALUE!</v>
      </c>
      <c r="GD125" s="102" t="e">
        <v>#VALUE!</v>
      </c>
      <c r="GF125" s="102">
        <f t="shared" si="406"/>
        <v>11.71072114</v>
      </c>
      <c r="GG125" s="102">
        <f t="shared" si="406"/>
        <v>395.03796425999997</v>
      </c>
      <c r="GH125" s="102">
        <f t="shared" si="406"/>
        <v>163.164524</v>
      </c>
      <c r="GI125" s="102">
        <f t="shared" si="406"/>
        <v>150.75742867</v>
      </c>
      <c r="GJ125" s="102">
        <f t="shared" si="434"/>
        <v>0</v>
      </c>
      <c r="GK125" s="102">
        <f t="shared" si="407"/>
        <v>0</v>
      </c>
      <c r="GL125" s="102">
        <f t="shared" si="435"/>
        <v>0</v>
      </c>
      <c r="GM125" s="102">
        <f t="shared" si="408"/>
        <v>0</v>
      </c>
      <c r="GN125" s="102" t="e">
        <f t="shared" si="409"/>
        <v>#VALUE!</v>
      </c>
      <c r="GO125" s="102">
        <v>0</v>
      </c>
      <c r="GQ125" s="929">
        <f t="shared" si="440"/>
        <v>-0.5869649533415201</v>
      </c>
      <c r="GR125" s="929">
        <f t="shared" si="440"/>
        <v>-7.6040397911496971E-2</v>
      </c>
      <c r="GS125" s="929">
        <f t="shared" si="440"/>
        <v>-1</v>
      </c>
      <c r="GT125" s="929" t="str">
        <f t="shared" si="440"/>
        <v/>
      </c>
      <c r="GU125" s="929" t="str">
        <f t="shared" si="440"/>
        <v/>
      </c>
      <c r="GV125" s="929" t="str">
        <f t="shared" si="440"/>
        <v/>
      </c>
      <c r="GW125" s="929" t="str">
        <f t="shared" si="399"/>
        <v/>
      </c>
      <c r="GX125" s="929" t="str">
        <f t="shared" si="399"/>
        <v/>
      </c>
      <c r="GY125" s="929" t="str">
        <f t="shared" si="249"/>
        <v/>
      </c>
      <c r="HA125" s="102">
        <f t="shared" si="441"/>
        <v>-231.87344025999997</v>
      </c>
      <c r="HB125" s="102">
        <f t="shared" si="441"/>
        <v>-12.407095330000004</v>
      </c>
      <c r="HC125" s="102">
        <f t="shared" si="441"/>
        <v>-150.75742867</v>
      </c>
      <c r="HD125" s="102">
        <f t="shared" si="441"/>
        <v>0</v>
      </c>
      <c r="HE125" s="102">
        <f t="shared" si="400"/>
        <v>0</v>
      </c>
      <c r="HF125" s="102">
        <f t="shared" si="400"/>
        <v>0</v>
      </c>
      <c r="HG125" s="102" t="e">
        <f t="shared" si="400"/>
        <v>#VALUE!</v>
      </c>
      <c r="HH125" s="102" t="e">
        <f t="shared" si="400"/>
        <v>#VALUE!</v>
      </c>
      <c r="HI125" s="102">
        <f t="shared" si="251"/>
        <v>0</v>
      </c>
      <c r="HK125" s="973"/>
      <c r="HL125" s="973"/>
      <c r="HM125" s="973"/>
      <c r="HN125" s="973"/>
      <c r="HO125" s="973"/>
      <c r="HP125" s="973"/>
      <c r="HQ125" s="973"/>
      <c r="HR125" s="973"/>
      <c r="HS125" s="973"/>
      <c r="HU125" s="102">
        <f t="shared" si="442"/>
        <v>11.39153866</v>
      </c>
      <c r="HV125" s="102">
        <f t="shared" si="442"/>
        <v>0</v>
      </c>
      <c r="HW125" s="102">
        <f t="shared" si="442"/>
        <v>134.28728268999998</v>
      </c>
      <c r="HX125" s="102">
        <f t="shared" si="442"/>
        <v>145.44248665000001</v>
      </c>
      <c r="HY125" s="102">
        <f t="shared" si="413"/>
        <v>150.75742867</v>
      </c>
      <c r="HZ125" s="102">
        <f t="shared" si="413"/>
        <v>0</v>
      </c>
      <c r="IA125" s="102">
        <f t="shared" si="414"/>
        <v>0</v>
      </c>
      <c r="IB125" s="102">
        <f t="shared" si="415"/>
        <v>0</v>
      </c>
      <c r="IC125" s="102">
        <f t="shared" si="416"/>
        <v>0</v>
      </c>
      <c r="ID125" s="102" t="e">
        <f t="shared" si="417"/>
        <v>#VALUE!</v>
      </c>
      <c r="IE125" s="102" t="e">
        <f t="shared" si="418"/>
        <v>#VALUE!</v>
      </c>
      <c r="IG125" s="102" t="e">
        <f t="shared" si="436"/>
        <v>#VALUE!</v>
      </c>
      <c r="IH125" s="102" t="e">
        <f t="shared" si="437"/>
        <v>#VALUE!</v>
      </c>
      <c r="II125" s="145"/>
      <c r="IJ125" s="929" t="str">
        <f t="shared" si="419"/>
        <v>NA</v>
      </c>
      <c r="IK125" s="930" t="str">
        <f t="shared" si="420"/>
        <v>NA</v>
      </c>
      <c r="IM125" s="973"/>
      <c r="IN125" s="973"/>
      <c r="IP125" s="929" t="str">
        <f t="shared" si="438"/>
        <v/>
      </c>
      <c r="IQ125" s="929">
        <f t="shared" si="438"/>
        <v>8.3069697565864242E-2</v>
      </c>
      <c r="IR125" s="929">
        <f t="shared" si="438"/>
        <v>3.6543255979871514E-2</v>
      </c>
      <c r="IS125" s="929">
        <f t="shared" si="438"/>
        <v>-1</v>
      </c>
      <c r="IT125" s="929" t="str">
        <f t="shared" si="438"/>
        <v/>
      </c>
      <c r="IU125" s="929" t="str">
        <f t="shared" si="438"/>
        <v/>
      </c>
      <c r="IV125" s="929" t="str">
        <f t="shared" si="439"/>
        <v/>
      </c>
      <c r="IX125" s="102">
        <f t="shared" si="422"/>
        <v>134.28728268999998</v>
      </c>
      <c r="IY125" s="102">
        <f t="shared" si="422"/>
        <v>11.155203960000023</v>
      </c>
      <c r="IZ125" s="102">
        <f t="shared" si="422"/>
        <v>5.3149420199999895</v>
      </c>
      <c r="JA125" s="102">
        <f t="shared" si="422"/>
        <v>-150.75742867</v>
      </c>
      <c r="JB125" s="102">
        <f t="shared" si="422"/>
        <v>0</v>
      </c>
      <c r="JC125" s="102">
        <f t="shared" si="422"/>
        <v>0</v>
      </c>
      <c r="JD125" s="102" t="e">
        <f t="shared" si="423"/>
        <v>#VALUE!</v>
      </c>
      <c r="JF125" s="973"/>
      <c r="JG125" s="973"/>
      <c r="JH125" s="973"/>
      <c r="JI125" s="973"/>
      <c r="JJ125" s="973"/>
      <c r="JK125" s="973"/>
      <c r="JL125" s="973"/>
      <c r="JM125" s="973"/>
      <c r="JO125" s="102">
        <f t="shared" si="452"/>
        <v>11.39153866</v>
      </c>
      <c r="JP125" s="102">
        <f t="shared" si="452"/>
        <v>0</v>
      </c>
      <c r="JQ125" s="102">
        <f t="shared" si="452"/>
        <v>134.28728268999998</v>
      </c>
      <c r="JR125" s="102">
        <f t="shared" si="452"/>
        <v>145.44248665000001</v>
      </c>
      <c r="JS125" s="102">
        <f t="shared" si="452"/>
        <v>150.75742867</v>
      </c>
      <c r="JT125" s="102">
        <f t="shared" si="425"/>
        <v>0</v>
      </c>
      <c r="JU125" s="102">
        <f t="shared" si="426"/>
        <v>0</v>
      </c>
      <c r="JV125" s="102">
        <f t="shared" si="427"/>
        <v>0</v>
      </c>
      <c r="JW125" s="102">
        <f t="shared" si="427"/>
        <v>0</v>
      </c>
      <c r="JX125" s="102" t="e">
        <f t="shared" si="428"/>
        <v>#VALUE!</v>
      </c>
      <c r="JY125" s="102" t="e">
        <f t="shared" si="429"/>
        <v>#VALUE!</v>
      </c>
      <c r="KB125" s="32" t="str">
        <f t="shared" si="430"/>
        <v xml:space="preserve"> </v>
      </c>
      <c r="KC125" s="32">
        <f t="shared" si="430"/>
        <v>8.3069697565864242E-2</v>
      </c>
      <c r="KD125" s="32">
        <f t="shared" si="430"/>
        <v>3.6543255979871514E-2</v>
      </c>
      <c r="KE125" s="32">
        <f t="shared" si="430"/>
        <v>-1</v>
      </c>
      <c r="KF125" s="32" t="str">
        <f t="shared" si="430"/>
        <v xml:space="preserve"> </v>
      </c>
      <c r="KG125" s="32" t="str">
        <f t="shared" si="430"/>
        <v xml:space="preserve"> </v>
      </c>
      <c r="KH125" s="32" t="str">
        <f t="shared" si="431"/>
        <v xml:space="preserve"> </v>
      </c>
      <c r="KJ125" s="102">
        <f t="shared" si="432"/>
        <v>134.28728268999998</v>
      </c>
      <c r="KK125" s="102">
        <f t="shared" si="432"/>
        <v>11.155203960000023</v>
      </c>
      <c r="KL125" s="102">
        <f t="shared" si="432"/>
        <v>5.3149420199999895</v>
      </c>
      <c r="KM125" s="102">
        <f t="shared" si="432"/>
        <v>-150.75742867</v>
      </c>
      <c r="KN125" s="102">
        <f t="shared" si="432"/>
        <v>0</v>
      </c>
      <c r="KO125" s="102">
        <f t="shared" si="432"/>
        <v>0</v>
      </c>
      <c r="KP125" s="102" t="e">
        <f t="shared" si="433"/>
        <v>#VALUE!</v>
      </c>
      <c r="KR125" s="973"/>
      <c r="KS125" s="973"/>
      <c r="KT125" s="973"/>
      <c r="KU125" s="973"/>
      <c r="KV125" s="973"/>
      <c r="KW125" s="973"/>
      <c r="KX125" s="973"/>
      <c r="KY125" s="973"/>
      <c r="KZ125" s="973"/>
    </row>
    <row r="126" spans="1:312" outlineLevel="1">
      <c r="A126" s="884">
        <v>1399</v>
      </c>
      <c r="B126" s="70" t="s">
        <v>641</v>
      </c>
      <c r="C126" s="17" t="s">
        <v>93</v>
      </c>
      <c r="D126" s="31" t="s">
        <v>59</v>
      </c>
      <c r="E126" s="102">
        <v>0</v>
      </c>
      <c r="F126" s="102">
        <v>0</v>
      </c>
      <c r="G126" s="102">
        <v>0</v>
      </c>
      <c r="H126" s="102">
        <v>0</v>
      </c>
      <c r="I126" s="102">
        <v>0</v>
      </c>
      <c r="J126" s="102">
        <v>0</v>
      </c>
      <c r="K126" s="102">
        <v>0</v>
      </c>
      <c r="L126" s="102">
        <v>0</v>
      </c>
      <c r="M126" s="102">
        <v>0</v>
      </c>
      <c r="N126" s="102">
        <v>0</v>
      </c>
      <c r="O126" s="102">
        <v>0</v>
      </c>
      <c r="P126" s="102">
        <v>-26.549074000000001</v>
      </c>
      <c r="Q126" s="102">
        <v>-11.416378</v>
      </c>
      <c r="R126" s="102">
        <v>-11.416378</v>
      </c>
      <c r="S126" s="102">
        <v>-11.416378</v>
      </c>
      <c r="T126" s="102">
        <v>-9.1999999999999993</v>
      </c>
      <c r="U126" s="102">
        <v>-9.1999999999999993</v>
      </c>
      <c r="V126" s="102">
        <v>-9.1999999999999993</v>
      </c>
      <c r="W126" s="102">
        <v>-3.2</v>
      </c>
      <c r="X126" s="102">
        <v>-3.2</v>
      </c>
      <c r="Y126" s="102">
        <v>-3.2</v>
      </c>
      <c r="Z126" s="102">
        <v>0</v>
      </c>
      <c r="AA126" s="102">
        <v>0</v>
      </c>
      <c r="AB126" s="102">
        <v>-26.025024420000001</v>
      </c>
      <c r="AC126" s="102">
        <v>-24.810326739999997</v>
      </c>
      <c r="AD126" s="102">
        <v>-17.190899999999999</v>
      </c>
      <c r="AE126" s="102">
        <v>-0.54</v>
      </c>
      <c r="AF126" s="102">
        <v>-0.54</v>
      </c>
      <c r="AG126" s="102">
        <v>-0.54</v>
      </c>
      <c r="AH126" s="102">
        <v>-0.54</v>
      </c>
      <c r="AI126" s="102">
        <v>-0.54</v>
      </c>
      <c r="AJ126" s="102">
        <v>-17.635211999999999</v>
      </c>
      <c r="AK126" s="102">
        <v>-9.1375919999999997</v>
      </c>
      <c r="AL126" s="102">
        <v>-12.398872000000001</v>
      </c>
      <c r="AM126" s="102">
        <v>-12.875901279999999</v>
      </c>
      <c r="AN126" s="145">
        <v>-11.814254</v>
      </c>
      <c r="AO126" s="102">
        <v>-11.814254</v>
      </c>
      <c r="AP126" s="145">
        <v>-11.814254</v>
      </c>
      <c r="AQ126" s="220">
        <v>-11.814254</v>
      </c>
      <c r="AR126" s="220">
        <v>-11.814254</v>
      </c>
      <c r="AS126" s="102">
        <v>-11.814254</v>
      </c>
      <c r="AT126" s="102">
        <v>-11.814254</v>
      </c>
      <c r="AU126" s="102">
        <v>0</v>
      </c>
      <c r="AV126" s="102">
        <v>0</v>
      </c>
      <c r="AW126" s="102">
        <v>-87.301801180000012</v>
      </c>
      <c r="AX126" s="102">
        <v>-115.97256373</v>
      </c>
      <c r="AY126" s="102">
        <v>-117.65608687999999</v>
      </c>
      <c r="AZ126" s="102">
        <v>-1206</v>
      </c>
      <c r="BA126" s="102">
        <v>-1238.6484355299999</v>
      </c>
      <c r="BB126" s="102">
        <v>-1243.27358153</v>
      </c>
      <c r="BC126" s="102">
        <v>-1249.09824106</v>
      </c>
      <c r="BD126" s="102">
        <v>-1050.1344665900001</v>
      </c>
      <c r="BE126" s="102">
        <v>-1078.1355003399999</v>
      </c>
      <c r="BF126" s="102">
        <v>-1153.5555885199999</v>
      </c>
      <c r="BG126" s="102">
        <v>-1229.8143303299998</v>
      </c>
      <c r="BH126" s="102">
        <v>-1307.13748801</v>
      </c>
      <c r="BI126" s="102">
        <v>-1374.94225706</v>
      </c>
      <c r="BJ126" s="102">
        <v>-1472.4814217600001</v>
      </c>
      <c r="BK126" s="102">
        <v>-1608.17247264</v>
      </c>
      <c r="BL126" s="102">
        <v>-911.79222283000001</v>
      </c>
      <c r="BM126" s="974">
        <v>-907.20422180999992</v>
      </c>
      <c r="BN126" s="102">
        <v>-895.60052064000001</v>
      </c>
      <c r="BO126" s="102">
        <v>-935.65340363999996</v>
      </c>
      <c r="BP126" s="102">
        <v>-950.20559463999996</v>
      </c>
      <c r="BQ126" s="102">
        <v>-977.68759263999993</v>
      </c>
      <c r="BR126" s="102">
        <v>-1010.67970064</v>
      </c>
      <c r="BS126" s="102">
        <v>-1026.21825964</v>
      </c>
      <c r="BT126" s="102">
        <v>-1080.9715706400002</v>
      </c>
      <c r="BU126" s="102">
        <v>-1043.78351464</v>
      </c>
      <c r="BV126" s="102">
        <v>-1036.7328076399999</v>
      </c>
      <c r="BW126" s="102">
        <v>-1036.6821076399999</v>
      </c>
      <c r="BX126" s="102">
        <v>-296.68854314999999</v>
      </c>
      <c r="BY126" s="102">
        <v>-301.74364714999996</v>
      </c>
      <c r="BZ126" s="102">
        <v>-244.47352015000001</v>
      </c>
      <c r="CA126" s="102">
        <v>-202.19390015000002</v>
      </c>
      <c r="CB126" s="102">
        <v>-175.05605315</v>
      </c>
      <c r="CC126" s="102">
        <v>-118.59200015</v>
      </c>
      <c r="CD126" s="102">
        <v>-53.592000149999997</v>
      </c>
      <c r="CE126" s="102">
        <v>-28.592000149999997</v>
      </c>
      <c r="CF126" s="102">
        <v>-1.8407501499999999</v>
      </c>
      <c r="CG126" s="102">
        <v>-2.0450731499999999</v>
      </c>
      <c r="CH126" s="102">
        <v>-1.4663851499999998</v>
      </c>
      <c r="CI126" s="102">
        <v>-1.6763711499999998</v>
      </c>
      <c r="CJ126" s="102">
        <v>0</v>
      </c>
      <c r="CK126" s="102">
        <v>0</v>
      </c>
      <c r="CL126" s="102">
        <v>0</v>
      </c>
      <c r="CM126" s="102">
        <v>0</v>
      </c>
      <c r="CN126" s="102">
        <v>0</v>
      </c>
      <c r="CO126" s="102">
        <v>0</v>
      </c>
      <c r="CP126" s="102">
        <v>0</v>
      </c>
      <c r="CQ126" s="102">
        <v>0</v>
      </c>
      <c r="CR126" s="102">
        <v>0</v>
      </c>
      <c r="CS126" s="102">
        <v>0</v>
      </c>
      <c r="CT126" s="102">
        <v>0</v>
      </c>
      <c r="CU126" s="102">
        <v>0</v>
      </c>
      <c r="CV126" s="102">
        <v>0</v>
      </c>
      <c r="CW126" s="102">
        <v>0</v>
      </c>
      <c r="CX126" s="102">
        <v>0</v>
      </c>
      <c r="CY126" s="102">
        <v>0</v>
      </c>
      <c r="CZ126" s="102">
        <v>0</v>
      </c>
      <c r="DA126" s="102">
        <v>0</v>
      </c>
      <c r="DB126" s="102">
        <v>-0.89066299999999998</v>
      </c>
      <c r="DC126" s="102">
        <v>-5.4994459999999998</v>
      </c>
      <c r="DD126" s="102">
        <v>-10.258084999999999</v>
      </c>
      <c r="DE126" s="102">
        <v>0</v>
      </c>
      <c r="DF126" s="102">
        <v>0</v>
      </c>
      <c r="DG126" s="102">
        <v>0</v>
      </c>
      <c r="DH126" s="102">
        <v>0</v>
      </c>
      <c r="DJ126" s="102" t="e">
        <v>#VALUE!</v>
      </c>
      <c r="DK126" s="102" t="e">
        <v>#VALUE!</v>
      </c>
      <c r="DL126" s="102" t="e">
        <v>#VALUE!</v>
      </c>
      <c r="DM126" s="102" t="e">
        <v>#VALUE!</v>
      </c>
      <c r="DN126" s="102" t="e">
        <v>#VALUE!</v>
      </c>
      <c r="DO126" s="102" t="e">
        <v>#VALUE!</v>
      </c>
      <c r="DP126" s="102" t="e">
        <v>#VALUE!</v>
      </c>
      <c r="DQ126" s="102" t="e">
        <v>#VALUE!</v>
      </c>
      <c r="DR126" s="102" t="e">
        <v>#VALUE!</v>
      </c>
      <c r="DS126" s="102" t="e">
        <v>#VALUE!</v>
      </c>
      <c r="DT126" s="102" t="e">
        <v>#VALUE!</v>
      </c>
      <c r="DU126" s="102" t="e">
        <v>#VALUE!</v>
      </c>
      <c r="DW126" s="102">
        <v>0</v>
      </c>
      <c r="DX126" s="102">
        <v>0</v>
      </c>
      <c r="DY126" s="102">
        <v>0</v>
      </c>
      <c r="DZ126" s="102">
        <v>0</v>
      </c>
      <c r="EA126" s="102">
        <v>0</v>
      </c>
      <c r="EB126" s="102">
        <v>0</v>
      </c>
      <c r="EC126" s="102">
        <v>0</v>
      </c>
      <c r="ED126" s="102">
        <v>0</v>
      </c>
      <c r="EE126" s="102">
        <v>0</v>
      </c>
      <c r="EF126" s="102">
        <v>0</v>
      </c>
      <c r="EG126" s="102">
        <v>0</v>
      </c>
      <c r="EH126" s="102">
        <v>0</v>
      </c>
      <c r="EI126" s="102">
        <v>-127.61662110369456</v>
      </c>
      <c r="EJ126" s="102">
        <v>-134.47984105142558</v>
      </c>
      <c r="EK126" s="102">
        <v>-140.73534548008749</v>
      </c>
      <c r="EL126" s="102">
        <v>-147.22642364970815</v>
      </c>
      <c r="EM126" s="102">
        <v>-153.68141065293429</v>
      </c>
      <c r="EN126" s="102">
        <v>-160.93704889507393</v>
      </c>
      <c r="EO126" s="102">
        <v>-168.92606575812627</v>
      </c>
      <c r="EP126" s="102">
        <v>-177.49327624885169</v>
      </c>
      <c r="EQ126" s="102">
        <v>-187.2556847743341</v>
      </c>
      <c r="ER126" s="102">
        <v>-198.2115561211138</v>
      </c>
      <c r="ES126" s="102">
        <v>-209.25564136371727</v>
      </c>
      <c r="ET126" s="102">
        <v>-219.57767521432089</v>
      </c>
      <c r="EU126" s="102">
        <v>-960.28476252579196</v>
      </c>
      <c r="EV126" s="102">
        <v>-978.34073796221594</v>
      </c>
      <c r="EW126" s="102">
        <v>-1022.5774208333359</v>
      </c>
      <c r="EX126" s="102">
        <v>-1041.041905727456</v>
      </c>
      <c r="EY126" s="102">
        <v>-1088.9644639160001</v>
      </c>
      <c r="EZ126" s="102">
        <v>-1100.940415153832</v>
      </c>
      <c r="FA126" s="102">
        <v>-1124.3128469205442</v>
      </c>
      <c r="FB126" s="102">
        <v>-1191.4699178000003</v>
      </c>
      <c r="FC126" s="102">
        <v>-1209.1861096399998</v>
      </c>
      <c r="FD126" s="102">
        <v>-1209.1861096399998</v>
      </c>
      <c r="FE126" s="102">
        <v>-1209.1861096399998</v>
      </c>
      <c r="FF126" s="102">
        <v>-1209.1861096399998</v>
      </c>
      <c r="FG126" s="102" t="e">
        <v>#VALUE!</v>
      </c>
      <c r="FH126" s="102" t="e">
        <v>#VALUE!</v>
      </c>
      <c r="FI126" s="102" t="e">
        <v>#VALUE!</v>
      </c>
      <c r="FJ126" s="102" t="e">
        <v>#VALUE!</v>
      </c>
      <c r="FK126" s="102" t="e">
        <v>#VALUE!</v>
      </c>
      <c r="FL126" s="102" t="e">
        <v>#VALUE!</v>
      </c>
      <c r="FM126" s="102" t="e">
        <v>#VALUE!</v>
      </c>
      <c r="FN126" s="102" t="e">
        <v>#VALUE!</v>
      </c>
      <c r="FO126" s="102" t="e">
        <v>#VALUE!</v>
      </c>
      <c r="FP126" s="102" t="e">
        <v>#VALUE!</v>
      </c>
      <c r="FQ126" s="102" t="e">
        <v>#VALUE!</v>
      </c>
      <c r="FR126" s="102" t="e">
        <v>#VALUE!</v>
      </c>
      <c r="FS126" s="102" t="e">
        <v>#VALUE!</v>
      </c>
      <c r="FT126" s="102" t="e">
        <v>#VALUE!</v>
      </c>
      <c r="FU126" s="102" t="e">
        <v>#VALUE!</v>
      </c>
      <c r="FV126" s="102" t="e">
        <v>#VALUE!</v>
      </c>
      <c r="FW126" s="102" t="e">
        <v>#VALUE!</v>
      </c>
      <c r="FX126" s="102" t="e">
        <v>#VALUE!</v>
      </c>
      <c r="FY126" s="102" t="e">
        <v>#VALUE!</v>
      </c>
      <c r="FZ126" s="102" t="e">
        <v>#VALUE!</v>
      </c>
      <c r="GA126" s="102" t="e">
        <v>#VALUE!</v>
      </c>
      <c r="GB126" s="102" t="e">
        <v>#VALUE!</v>
      </c>
      <c r="GC126" s="102" t="e">
        <v>#VALUE!</v>
      </c>
      <c r="GD126" s="102" t="e">
        <v>#VALUE!</v>
      </c>
      <c r="GF126" s="102">
        <f t="shared" si="406"/>
        <v>-26.549074000000001</v>
      </c>
      <c r="GG126" s="102">
        <f t="shared" si="406"/>
        <v>-26.025024420000001</v>
      </c>
      <c r="GH126" s="102">
        <f t="shared" si="406"/>
        <v>-11.814254</v>
      </c>
      <c r="GI126" s="102">
        <f t="shared" si="406"/>
        <v>-1206</v>
      </c>
      <c r="GJ126" s="102">
        <f t="shared" si="434"/>
        <v>-911.79222283000001</v>
      </c>
      <c r="GK126" s="102">
        <f t="shared" si="407"/>
        <v>-296.68854314999999</v>
      </c>
      <c r="GL126" s="102">
        <f t="shared" si="435"/>
        <v>0</v>
      </c>
      <c r="GM126" s="102">
        <f t="shared" si="408"/>
        <v>0</v>
      </c>
      <c r="GN126" s="102" t="e">
        <f t="shared" si="409"/>
        <v>#VALUE!</v>
      </c>
      <c r="GO126" s="102">
        <v>0</v>
      </c>
      <c r="GQ126" s="929">
        <f t="shared" si="440"/>
        <v>-0.54604253931378255</v>
      </c>
      <c r="GR126" s="929">
        <f t="shared" si="440"/>
        <v>101.08008055354151</v>
      </c>
      <c r="GS126" s="929">
        <f t="shared" si="440"/>
        <v>-0.24395338073797679</v>
      </c>
      <c r="GT126" s="929">
        <f t="shared" si="440"/>
        <v>-0.67460948259775155</v>
      </c>
      <c r="GU126" s="929">
        <f t="shared" si="440"/>
        <v>-1</v>
      </c>
      <c r="GV126" s="929" t="str">
        <f t="shared" si="440"/>
        <v/>
      </c>
      <c r="GW126" s="929" t="str">
        <f t="shared" si="399"/>
        <v/>
      </c>
      <c r="GX126" s="929" t="str">
        <f t="shared" si="399"/>
        <v/>
      </c>
      <c r="GY126" s="929" t="str">
        <f t="shared" si="249"/>
        <v/>
      </c>
      <c r="HA126" s="102">
        <f t="shared" si="441"/>
        <v>14.210770420000001</v>
      </c>
      <c r="HB126" s="102">
        <f t="shared" si="441"/>
        <v>-1194.1857460000001</v>
      </c>
      <c r="HC126" s="102">
        <f t="shared" si="441"/>
        <v>294.20777716999999</v>
      </c>
      <c r="HD126" s="102">
        <f t="shared" si="441"/>
        <v>615.10367968000003</v>
      </c>
      <c r="HE126" s="102">
        <f t="shared" si="400"/>
        <v>296.68854314999999</v>
      </c>
      <c r="HF126" s="102">
        <f t="shared" si="400"/>
        <v>0</v>
      </c>
      <c r="HG126" s="102" t="e">
        <f t="shared" si="400"/>
        <v>#VALUE!</v>
      </c>
      <c r="HH126" s="102" t="e">
        <f t="shared" si="400"/>
        <v>#VALUE!</v>
      </c>
      <c r="HI126" s="102">
        <f t="shared" si="251"/>
        <v>0</v>
      </c>
      <c r="HK126" s="973"/>
      <c r="HL126" s="973"/>
      <c r="HM126" s="973"/>
      <c r="HN126" s="973"/>
      <c r="HO126" s="973"/>
      <c r="HP126" s="973"/>
      <c r="HQ126" s="973"/>
      <c r="HR126" s="973"/>
      <c r="HS126" s="973"/>
      <c r="HU126" s="102">
        <f t="shared" si="442"/>
        <v>0</v>
      </c>
      <c r="HV126" s="102">
        <f t="shared" si="442"/>
        <v>-9.1999999999999993</v>
      </c>
      <c r="HW126" s="102">
        <f t="shared" si="442"/>
        <v>-0.54</v>
      </c>
      <c r="HX126" s="102">
        <f t="shared" si="442"/>
        <v>-11.814254</v>
      </c>
      <c r="HY126" s="102">
        <f t="shared" si="413"/>
        <v>-1153.5555885199999</v>
      </c>
      <c r="HZ126" s="102">
        <f t="shared" si="413"/>
        <v>-1010.67970064</v>
      </c>
      <c r="IA126" s="102">
        <f t="shared" si="414"/>
        <v>-53.592000149999997</v>
      </c>
      <c r="IB126" s="102">
        <f t="shared" si="415"/>
        <v>0</v>
      </c>
      <c r="IC126" s="102">
        <f t="shared" si="416"/>
        <v>-0.89066299999999998</v>
      </c>
      <c r="ID126" s="102" t="e">
        <f t="shared" si="417"/>
        <v>#VALUE!</v>
      </c>
      <c r="IE126" s="102" t="e">
        <f t="shared" si="418"/>
        <v>#VALUE!</v>
      </c>
      <c r="IG126" s="102" t="e">
        <f t="shared" si="436"/>
        <v>#VALUE!</v>
      </c>
      <c r="IH126" s="102" t="e">
        <f t="shared" si="437"/>
        <v>#VALUE!</v>
      </c>
      <c r="II126" s="145"/>
      <c r="IJ126" s="929" t="str">
        <f t="shared" si="419"/>
        <v>NA</v>
      </c>
      <c r="IK126" s="930" t="str">
        <f t="shared" si="420"/>
        <v>NA</v>
      </c>
      <c r="IM126" s="973"/>
      <c r="IN126" s="973"/>
      <c r="IP126" s="929">
        <f t="shared" si="438"/>
        <v>-0.94130434782608696</v>
      </c>
      <c r="IQ126" s="929">
        <f t="shared" si="438"/>
        <v>20.878248148148145</v>
      </c>
      <c r="IR126" s="929">
        <f t="shared" si="438"/>
        <v>96.64100116012402</v>
      </c>
      <c r="IS126" s="929">
        <f t="shared" si="438"/>
        <v>-0.12385695956213805</v>
      </c>
      <c r="IT126" s="929">
        <f t="shared" si="438"/>
        <v>-0.9469742984685815</v>
      </c>
      <c r="IU126" s="929">
        <f t="shared" si="438"/>
        <v>-1</v>
      </c>
      <c r="IV126" s="929" t="str">
        <f t="shared" si="439"/>
        <v/>
      </c>
      <c r="IX126" s="102">
        <f t="shared" si="422"/>
        <v>8.66</v>
      </c>
      <c r="IY126" s="102">
        <f t="shared" si="422"/>
        <v>-11.274253999999999</v>
      </c>
      <c r="IZ126" s="102">
        <f t="shared" si="422"/>
        <v>-1141.74133452</v>
      </c>
      <c r="JA126" s="102">
        <f t="shared" si="422"/>
        <v>142.87588787999994</v>
      </c>
      <c r="JB126" s="102">
        <f t="shared" si="422"/>
        <v>957.08770048999997</v>
      </c>
      <c r="JC126" s="102">
        <f t="shared" si="422"/>
        <v>53.592000149999997</v>
      </c>
      <c r="JD126" s="102" t="e">
        <f t="shared" si="423"/>
        <v>#VALUE!</v>
      </c>
      <c r="JF126" s="973"/>
      <c r="JG126" s="973"/>
      <c r="JH126" s="973"/>
      <c r="JI126" s="973"/>
      <c r="JJ126" s="973"/>
      <c r="JK126" s="973"/>
      <c r="JL126" s="973"/>
      <c r="JM126" s="973"/>
      <c r="JO126" s="102">
        <f t="shared" si="452"/>
        <v>0</v>
      </c>
      <c r="JP126" s="102">
        <f t="shared" si="452"/>
        <v>-9.1999999999999993</v>
      </c>
      <c r="JQ126" s="102">
        <f t="shared" si="452"/>
        <v>-0.54</v>
      </c>
      <c r="JR126" s="102">
        <f t="shared" si="452"/>
        <v>-11.814254</v>
      </c>
      <c r="JS126" s="102">
        <f t="shared" si="452"/>
        <v>-1153.5555885199999</v>
      </c>
      <c r="JT126" s="102">
        <f t="shared" si="425"/>
        <v>-1010.67970064</v>
      </c>
      <c r="JU126" s="102">
        <f t="shared" si="426"/>
        <v>-53.592000149999997</v>
      </c>
      <c r="JV126" s="102">
        <f t="shared" si="427"/>
        <v>0</v>
      </c>
      <c r="JW126" s="102">
        <f t="shared" si="427"/>
        <v>-0.89066299999999998</v>
      </c>
      <c r="JX126" s="102" t="e">
        <f t="shared" si="428"/>
        <v>#VALUE!</v>
      </c>
      <c r="JY126" s="102" t="e">
        <f t="shared" si="429"/>
        <v>#VALUE!</v>
      </c>
      <c r="KB126" s="32">
        <f t="shared" si="430"/>
        <v>-0.94130434782608696</v>
      </c>
      <c r="KC126" s="32">
        <f t="shared" si="430"/>
        <v>20.878248148148145</v>
      </c>
      <c r="KD126" s="32">
        <f t="shared" si="430"/>
        <v>96.64100116012402</v>
      </c>
      <c r="KE126" s="32">
        <f t="shared" si="430"/>
        <v>-0.12385695956213805</v>
      </c>
      <c r="KF126" s="32">
        <f t="shared" si="430"/>
        <v>-0.9469742984685815</v>
      </c>
      <c r="KG126" s="32">
        <f t="shared" si="430"/>
        <v>-1</v>
      </c>
      <c r="KH126" s="32" t="str">
        <f t="shared" si="431"/>
        <v xml:space="preserve"> </v>
      </c>
      <c r="KJ126" s="102">
        <f t="shared" si="432"/>
        <v>8.66</v>
      </c>
      <c r="KK126" s="102">
        <f t="shared" si="432"/>
        <v>-11.274253999999999</v>
      </c>
      <c r="KL126" s="102">
        <f t="shared" si="432"/>
        <v>-1141.74133452</v>
      </c>
      <c r="KM126" s="102">
        <f t="shared" si="432"/>
        <v>142.87588787999994</v>
      </c>
      <c r="KN126" s="102">
        <f t="shared" si="432"/>
        <v>957.08770048999997</v>
      </c>
      <c r="KO126" s="102">
        <f t="shared" si="432"/>
        <v>53.592000149999997</v>
      </c>
      <c r="KP126" s="102" t="e">
        <f t="shared" si="433"/>
        <v>#VALUE!</v>
      </c>
      <c r="KR126" s="973"/>
      <c r="KS126" s="973"/>
      <c r="KT126" s="973"/>
      <c r="KU126" s="973"/>
      <c r="KV126" s="973"/>
      <c r="KW126" s="973"/>
      <c r="KX126" s="973"/>
      <c r="KY126" s="973"/>
      <c r="KZ126" s="973"/>
    </row>
    <row r="127" spans="1:312" outlineLevel="1">
      <c r="A127" s="884">
        <v>1335</v>
      </c>
      <c r="B127" s="70" t="s">
        <v>700</v>
      </c>
      <c r="C127" s="186" t="s">
        <v>701</v>
      </c>
      <c r="D127" s="307" t="s">
        <v>59</v>
      </c>
      <c r="E127" s="931">
        <v>160.29502328999999</v>
      </c>
      <c r="F127" s="931">
        <v>173.08204881999998</v>
      </c>
      <c r="G127" s="931">
        <v>119.07895431</v>
      </c>
      <c r="H127" s="931">
        <v>141.98544361</v>
      </c>
      <c r="I127" s="931">
        <v>125.91896860999999</v>
      </c>
      <c r="J127" s="931">
        <v>158.36734322000001</v>
      </c>
      <c r="K127" s="931">
        <v>173.02890008</v>
      </c>
      <c r="L127" s="931">
        <v>192.95103508000003</v>
      </c>
      <c r="M127" s="931">
        <v>197.9806859</v>
      </c>
      <c r="N127" s="931">
        <v>217.18136290000001</v>
      </c>
      <c r="O127" s="931">
        <v>226.5798169</v>
      </c>
      <c r="P127" s="931">
        <v>232.59635890000001</v>
      </c>
      <c r="Q127" s="931">
        <v>272.41586766</v>
      </c>
      <c r="R127" s="931">
        <v>289.53518866000002</v>
      </c>
      <c r="S127" s="931">
        <v>387.12092347000004</v>
      </c>
      <c r="T127" s="931">
        <v>401.69372546</v>
      </c>
      <c r="U127" s="931">
        <v>493.32946951999998</v>
      </c>
      <c r="V127" s="931">
        <v>576.18396392999989</v>
      </c>
      <c r="W127" s="931">
        <v>666.94549638000001</v>
      </c>
      <c r="X127" s="931">
        <v>705.35320291999994</v>
      </c>
      <c r="Y127" s="931">
        <v>759.13571027</v>
      </c>
      <c r="Z127" s="931">
        <v>826.85807466999995</v>
      </c>
      <c r="AA127" s="931">
        <v>619.16520549000006</v>
      </c>
      <c r="AB127" s="931">
        <v>714.09852129000001</v>
      </c>
      <c r="AC127" s="931">
        <v>763.75679560000003</v>
      </c>
      <c r="AD127" s="931">
        <v>827.84509360000004</v>
      </c>
      <c r="AE127" s="931">
        <v>878.24915714999997</v>
      </c>
      <c r="AF127" s="931">
        <v>840.57179822000001</v>
      </c>
      <c r="AG127" s="931">
        <v>749.51744996000002</v>
      </c>
      <c r="AH127" s="931">
        <v>741.59071052000002</v>
      </c>
      <c r="AI127" s="931">
        <v>873.46071407000011</v>
      </c>
      <c r="AJ127" s="931">
        <v>950.93169628999999</v>
      </c>
      <c r="AK127" s="931">
        <v>1038.4150262000001</v>
      </c>
      <c r="AL127" s="931">
        <v>1036.59723285</v>
      </c>
      <c r="AM127" s="931">
        <v>1097.5808886300001</v>
      </c>
      <c r="AN127" s="932">
        <v>1208.11500757</v>
      </c>
      <c r="AO127" s="931">
        <v>1355.74736938</v>
      </c>
      <c r="AP127" s="932">
        <v>1295.5980340199999</v>
      </c>
      <c r="AQ127" s="936">
        <v>1294.7287174600001</v>
      </c>
      <c r="AR127" s="936">
        <v>1375.9496648099998</v>
      </c>
      <c r="AS127" s="931">
        <v>1433.9779295200001</v>
      </c>
      <c r="AT127" s="931">
        <v>1449.0789032299999</v>
      </c>
      <c r="AU127" s="931">
        <v>1502.4116158499999</v>
      </c>
      <c r="AV127" s="931">
        <v>1510.89147536</v>
      </c>
      <c r="AW127" s="931">
        <v>1522.3326193099999</v>
      </c>
      <c r="AX127" s="931">
        <v>1559.5445538800002</v>
      </c>
      <c r="AY127" s="931">
        <v>1602.3055628699999</v>
      </c>
      <c r="AZ127" s="931">
        <f>1665.22209294-109</f>
        <v>1556.22209294</v>
      </c>
      <c r="BA127" s="931">
        <v>1560.0930468900001</v>
      </c>
      <c r="BB127" s="931">
        <v>1583.93432796</v>
      </c>
      <c r="BC127" s="931">
        <v>1583.93432796</v>
      </c>
      <c r="BD127" s="931">
        <v>1584.30543448</v>
      </c>
      <c r="BE127" s="931">
        <v>1584.3054340799999</v>
      </c>
      <c r="BF127" s="931">
        <v>1584.3054340799999</v>
      </c>
      <c r="BG127" s="931">
        <v>1524.6883025299999</v>
      </c>
      <c r="BH127" s="931">
        <v>720.07335509000006</v>
      </c>
      <c r="BI127" s="931">
        <v>512.78198505</v>
      </c>
      <c r="BJ127" s="931">
        <v>520.99683504999996</v>
      </c>
      <c r="BK127" s="931">
        <v>543.76601591999997</v>
      </c>
      <c r="BL127" s="931">
        <v>564.72858364000001</v>
      </c>
      <c r="BM127" s="974">
        <v>565.12643191999996</v>
      </c>
      <c r="BN127" s="931">
        <v>631.10683469000003</v>
      </c>
      <c r="BO127" s="931">
        <v>379.89248213000002</v>
      </c>
      <c r="BP127" s="931">
        <v>411.06763525999997</v>
      </c>
      <c r="BQ127" s="931">
        <v>394.16262101999996</v>
      </c>
      <c r="BR127" s="931">
        <v>384.51565162000003</v>
      </c>
      <c r="BS127" s="931">
        <v>408.94226310000005</v>
      </c>
      <c r="BT127" s="931">
        <v>409.71229491000003</v>
      </c>
      <c r="BU127" s="931">
        <v>421.40875711000001</v>
      </c>
      <c r="BV127" s="931">
        <v>455.45405477999998</v>
      </c>
      <c r="BW127" s="931">
        <v>480.18147362999997</v>
      </c>
      <c r="BX127" s="931">
        <v>453.94956701000001</v>
      </c>
      <c r="BY127" s="931">
        <v>493.78600505999998</v>
      </c>
      <c r="BZ127" s="931">
        <v>488.53394743000001</v>
      </c>
      <c r="CA127" s="931">
        <v>525.24706337999999</v>
      </c>
      <c r="CB127" s="931">
        <v>484.21677712000002</v>
      </c>
      <c r="CC127" s="931">
        <v>491.03686174000001</v>
      </c>
      <c r="CD127" s="931">
        <v>230.62920456999998</v>
      </c>
      <c r="CE127" s="931">
        <v>252.14679619999998</v>
      </c>
      <c r="CF127" s="931">
        <v>383.90781963000001</v>
      </c>
      <c r="CG127" s="931">
        <v>396.69614586</v>
      </c>
      <c r="CH127" s="931">
        <v>431.23899339999997</v>
      </c>
      <c r="CI127" s="931">
        <v>446.06268497000002</v>
      </c>
      <c r="CJ127" s="931">
        <v>402.37003901999998</v>
      </c>
      <c r="CK127" s="931">
        <v>316.03917526999999</v>
      </c>
      <c r="CL127" s="931">
        <v>354.74002445999997</v>
      </c>
      <c r="CM127" s="931">
        <v>374.27700620999997</v>
      </c>
      <c r="CN127" s="931">
        <v>404.55080748</v>
      </c>
      <c r="CO127" s="931">
        <v>432.54018681999997</v>
      </c>
      <c r="CP127" s="931">
        <v>446.85371248000001</v>
      </c>
      <c r="CQ127" s="931">
        <v>445.06465451999998</v>
      </c>
      <c r="CR127" s="931">
        <v>476.10996208</v>
      </c>
      <c r="CS127" s="931">
        <v>489.71237489999999</v>
      </c>
      <c r="CT127" s="931">
        <v>533.65897488999997</v>
      </c>
      <c r="CU127" s="931">
        <v>572.01937538999994</v>
      </c>
      <c r="CV127" s="931">
        <v>593.05163258000005</v>
      </c>
      <c r="CW127" s="931">
        <v>628.13242133000006</v>
      </c>
      <c r="CX127" s="931">
        <v>636.86006917999998</v>
      </c>
      <c r="CY127" s="931">
        <v>649.41440496000007</v>
      </c>
      <c r="CZ127" s="931">
        <v>654.11009682000008</v>
      </c>
      <c r="DA127" s="931">
        <v>665.05647275000001</v>
      </c>
      <c r="DB127" s="931">
        <v>665.05647275000001</v>
      </c>
      <c r="DC127" s="931">
        <v>691.82368912000004</v>
      </c>
      <c r="DD127" s="931">
        <v>691.82368912000004</v>
      </c>
      <c r="DE127" s="931">
        <v>715.03781511</v>
      </c>
      <c r="DF127" s="931">
        <v>755.75335971000004</v>
      </c>
      <c r="DG127" s="931">
        <v>745.00468911999997</v>
      </c>
      <c r="DH127" s="931">
        <v>563.26085105999994</v>
      </c>
      <c r="DJ127" s="1084" t="e">
        <v>#VALUE!</v>
      </c>
      <c r="DK127" s="1084" t="e">
        <v>#VALUE!</v>
      </c>
      <c r="DL127" s="1084" t="e">
        <v>#VALUE!</v>
      </c>
      <c r="DM127" s="1084" t="e">
        <v>#VALUE!</v>
      </c>
      <c r="DN127" s="1084" t="e">
        <v>#VALUE!</v>
      </c>
      <c r="DO127" s="1084" t="e">
        <v>#VALUE!</v>
      </c>
      <c r="DP127" s="1084" t="e">
        <v>#VALUE!</v>
      </c>
      <c r="DQ127" s="1084" t="e">
        <v>#VALUE!</v>
      </c>
      <c r="DR127" s="1084" t="e">
        <v>#VALUE!</v>
      </c>
      <c r="DS127" s="1084" t="e">
        <v>#VALUE!</v>
      </c>
      <c r="DT127" s="1084" t="e">
        <v>#VALUE!</v>
      </c>
      <c r="DU127" s="1084" t="e">
        <v>#VALUE!</v>
      </c>
      <c r="DW127" s="931">
        <v>1217.2072133015001</v>
      </c>
      <c r="DX127" s="931">
        <v>1293.3370690800002</v>
      </c>
      <c r="DY127" s="931">
        <v>1339.4563787888749</v>
      </c>
      <c r="DZ127" s="931">
        <v>1379.1337992417612</v>
      </c>
      <c r="EA127" s="931">
        <v>1431.7771657846474</v>
      </c>
      <c r="EB127" s="931">
        <v>1485.8374462375339</v>
      </c>
      <c r="EC127" s="931">
        <v>137.06041687154556</v>
      </c>
      <c r="ED127" s="931">
        <v>189.88874732443182</v>
      </c>
      <c r="EE127" s="931">
        <v>227.51188118735931</v>
      </c>
      <c r="EF127" s="931">
        <v>287.45847814394557</v>
      </c>
      <c r="EG127" s="931">
        <v>339.04645619053184</v>
      </c>
      <c r="EH127" s="931">
        <v>464.32735815029059</v>
      </c>
      <c r="EI127" s="931">
        <v>1731.7466896635001</v>
      </c>
      <c r="EJ127" s="931">
        <v>1731.7466896635001</v>
      </c>
      <c r="EK127" s="931">
        <v>1731.7466896635001</v>
      </c>
      <c r="EL127" s="931">
        <v>1731.7466896635001</v>
      </c>
      <c r="EM127" s="931">
        <v>1731.7466896635001</v>
      </c>
      <c r="EN127" s="931">
        <v>1731.7466896635001</v>
      </c>
      <c r="EO127" s="931">
        <v>1731.7466896635001</v>
      </c>
      <c r="EP127" s="931">
        <v>1731.7466896635001</v>
      </c>
      <c r="EQ127" s="931">
        <v>1757.2861637599999</v>
      </c>
      <c r="ER127" s="931">
        <v>1792.6077772102001</v>
      </c>
      <c r="ES127" s="931">
        <v>1833.9119295129001</v>
      </c>
      <c r="ET127" s="931">
        <v>1877.4356794721</v>
      </c>
      <c r="EU127" s="931">
        <v>603.30513364000001</v>
      </c>
      <c r="EV127" s="931">
        <v>627.46798363999994</v>
      </c>
      <c r="EW127" s="931">
        <v>649.05333364000001</v>
      </c>
      <c r="EX127" s="931">
        <v>668.07998364000002</v>
      </c>
      <c r="EY127" s="931">
        <v>679.45643364</v>
      </c>
      <c r="EZ127" s="931">
        <v>693.87788363999994</v>
      </c>
      <c r="FA127" s="931">
        <v>706.23433363999993</v>
      </c>
      <c r="FB127" s="931">
        <v>712.65058364000004</v>
      </c>
      <c r="FC127" s="931">
        <v>719.06683364000003</v>
      </c>
      <c r="FD127" s="931">
        <v>725.48308364000002</v>
      </c>
      <c r="FE127" s="931">
        <v>735.64993363999997</v>
      </c>
      <c r="FF127" s="931">
        <v>746.03428364000001</v>
      </c>
      <c r="FG127" s="977" t="e">
        <v>#VALUE!</v>
      </c>
      <c r="FH127" s="977" t="e">
        <v>#VALUE!</v>
      </c>
      <c r="FI127" s="977" t="e">
        <v>#VALUE!</v>
      </c>
      <c r="FJ127" s="977" t="e">
        <v>#VALUE!</v>
      </c>
      <c r="FK127" s="977" t="e">
        <v>#VALUE!</v>
      </c>
      <c r="FL127" s="977" t="e">
        <v>#VALUE!</v>
      </c>
      <c r="FM127" s="977" t="e">
        <v>#VALUE!</v>
      </c>
      <c r="FN127" s="977" t="e">
        <v>#VALUE!</v>
      </c>
      <c r="FO127" s="977" t="e">
        <v>#VALUE!</v>
      </c>
      <c r="FP127" s="977" t="e">
        <v>#VALUE!</v>
      </c>
      <c r="FQ127" s="977" t="e">
        <v>#VALUE!</v>
      </c>
      <c r="FR127" s="977" t="e">
        <v>#VALUE!</v>
      </c>
      <c r="FS127" s="977" t="e">
        <v>#VALUE!</v>
      </c>
      <c r="FT127" s="977" t="e">
        <v>#VALUE!</v>
      </c>
      <c r="FU127" s="977" t="e">
        <v>#VALUE!</v>
      </c>
      <c r="FV127" s="977" t="e">
        <v>#VALUE!</v>
      </c>
      <c r="FW127" s="977" t="e">
        <v>#VALUE!</v>
      </c>
      <c r="FX127" s="977" t="e">
        <v>#VALUE!</v>
      </c>
      <c r="FY127" s="977" t="e">
        <v>#VALUE!</v>
      </c>
      <c r="FZ127" s="977" t="e">
        <v>#VALUE!</v>
      </c>
      <c r="GA127" s="977" t="e">
        <v>#VALUE!</v>
      </c>
      <c r="GB127" s="977" t="e">
        <v>#VALUE!</v>
      </c>
      <c r="GC127" s="977" t="e">
        <v>#VALUE!</v>
      </c>
      <c r="GD127" s="977" t="e">
        <v>#VALUE!</v>
      </c>
      <c r="GF127" s="931">
        <f t="shared" si="406"/>
        <v>232.59635890000001</v>
      </c>
      <c r="GG127" s="931">
        <f t="shared" si="406"/>
        <v>714.09852129000001</v>
      </c>
      <c r="GH127" s="931">
        <f t="shared" si="406"/>
        <v>1208.11500757</v>
      </c>
      <c r="GI127" s="931">
        <f t="shared" si="406"/>
        <v>1556.22209294</v>
      </c>
      <c r="GJ127" s="931">
        <f t="shared" si="434"/>
        <v>564.72858364000001</v>
      </c>
      <c r="GK127" s="931">
        <f t="shared" si="407"/>
        <v>453.94956701000001</v>
      </c>
      <c r="GL127" s="931">
        <f t="shared" si="435"/>
        <v>402.37003901999998</v>
      </c>
      <c r="GM127" s="931">
        <f t="shared" si="408"/>
        <v>593.05163258000005</v>
      </c>
      <c r="GN127" s="931" t="e">
        <f t="shared" si="409"/>
        <v>#VALUE!</v>
      </c>
      <c r="GO127" s="931">
        <v>563.26085105999994</v>
      </c>
      <c r="GQ127" s="934">
        <f t="shared" si="440"/>
        <v>0.69180438210062722</v>
      </c>
      <c r="GR127" s="934">
        <f t="shared" si="440"/>
        <v>0.2881406846109642</v>
      </c>
      <c r="GS127" s="934">
        <f t="shared" si="440"/>
        <v>-0.63711568792014761</v>
      </c>
      <c r="GT127" s="934">
        <f t="shared" si="440"/>
        <v>-0.19616328947963924</v>
      </c>
      <c r="GU127" s="934">
        <f t="shared" si="440"/>
        <v>-0.11362391714510389</v>
      </c>
      <c r="GV127" s="934">
        <f t="shared" si="440"/>
        <v>0.47389610325962206</v>
      </c>
      <c r="GW127" s="934" t="str">
        <f t="shared" si="399"/>
        <v/>
      </c>
      <c r="GX127" s="934" t="str">
        <f t="shared" si="399"/>
        <v/>
      </c>
      <c r="GY127" s="934">
        <f t="shared" si="249"/>
        <v>-5.0233031802642381E-2</v>
      </c>
      <c r="HA127" s="931">
        <f t="shared" si="441"/>
        <v>494.01648627999998</v>
      </c>
      <c r="HB127" s="931">
        <f t="shared" si="441"/>
        <v>348.10708537000005</v>
      </c>
      <c r="HC127" s="931">
        <f t="shared" si="441"/>
        <v>-991.49350930000003</v>
      </c>
      <c r="HD127" s="931">
        <f t="shared" si="441"/>
        <v>-110.77901663</v>
      </c>
      <c r="HE127" s="931">
        <f t="shared" si="400"/>
        <v>-51.579527990000031</v>
      </c>
      <c r="HF127" s="931">
        <f t="shared" si="400"/>
        <v>190.68159356000007</v>
      </c>
      <c r="HG127" s="931" t="e">
        <f t="shared" si="400"/>
        <v>#VALUE!</v>
      </c>
      <c r="HH127" s="931" t="e">
        <f t="shared" si="400"/>
        <v>#VALUE!</v>
      </c>
      <c r="HI127" s="931">
        <f t="shared" si="251"/>
        <v>-29.79078152000011</v>
      </c>
      <c r="HK127" s="978"/>
      <c r="HL127" s="978"/>
      <c r="HM127" s="978"/>
      <c r="HN127" s="978"/>
      <c r="HO127" s="978"/>
      <c r="HP127" s="978"/>
      <c r="HQ127" s="978"/>
      <c r="HR127" s="978"/>
      <c r="HS127" s="978"/>
      <c r="HU127" s="931">
        <f t="shared" si="442"/>
        <v>158.36734322000001</v>
      </c>
      <c r="HV127" s="931">
        <f t="shared" si="442"/>
        <v>576.18396392999989</v>
      </c>
      <c r="HW127" s="931">
        <f t="shared" si="442"/>
        <v>741.59071052000002</v>
      </c>
      <c r="HX127" s="931">
        <f t="shared" si="442"/>
        <v>1449.0789032299999</v>
      </c>
      <c r="HY127" s="931">
        <f t="shared" si="413"/>
        <v>1584.3054340799999</v>
      </c>
      <c r="HZ127" s="931">
        <f t="shared" si="413"/>
        <v>384.51565162000003</v>
      </c>
      <c r="IA127" s="931">
        <f t="shared" si="414"/>
        <v>230.62920456999998</v>
      </c>
      <c r="IB127" s="931">
        <f t="shared" si="415"/>
        <v>446.85371248000001</v>
      </c>
      <c r="IC127" s="931">
        <f t="shared" si="416"/>
        <v>665.05647275000001</v>
      </c>
      <c r="ID127" s="931" t="e">
        <f t="shared" si="417"/>
        <v>#VALUE!</v>
      </c>
      <c r="IE127" s="931" t="e">
        <f t="shared" si="418"/>
        <v>#VALUE!</v>
      </c>
      <c r="IG127" s="931" t="e">
        <f t="shared" si="436"/>
        <v>#VALUE!</v>
      </c>
      <c r="IH127" s="931" t="e">
        <f t="shared" si="437"/>
        <v>#VALUE!</v>
      </c>
      <c r="II127" s="145"/>
      <c r="IJ127" s="934" t="str">
        <f t="shared" si="419"/>
        <v>NA</v>
      </c>
      <c r="IK127" s="935" t="str">
        <f t="shared" si="420"/>
        <v>NA</v>
      </c>
      <c r="IM127" s="973"/>
      <c r="IN127" s="973"/>
      <c r="IP127" s="934">
        <f t="shared" si="438"/>
        <v>0.2870728047719413</v>
      </c>
      <c r="IQ127" s="934">
        <f t="shared" si="438"/>
        <v>0.95401436759356439</v>
      </c>
      <c r="IR127" s="934">
        <f t="shared" si="438"/>
        <v>9.3318956302917533E-2</v>
      </c>
      <c r="IS127" s="934">
        <f t="shared" si="438"/>
        <v>-0.75729701902885482</v>
      </c>
      <c r="IT127" s="934">
        <f t="shared" si="438"/>
        <v>-0.40020853872049733</v>
      </c>
      <c r="IU127" s="934">
        <f t="shared" si="438"/>
        <v>0.93754174937707035</v>
      </c>
      <c r="IV127" s="934" t="str">
        <f t="shared" si="439"/>
        <v/>
      </c>
      <c r="IX127" s="931">
        <f t="shared" si="422"/>
        <v>165.40674659000013</v>
      </c>
      <c r="IY127" s="931">
        <f t="shared" si="422"/>
        <v>707.48819270999991</v>
      </c>
      <c r="IZ127" s="931">
        <f t="shared" si="422"/>
        <v>135.22653085000002</v>
      </c>
      <c r="JA127" s="931">
        <f t="shared" si="422"/>
        <v>-1199.78978246</v>
      </c>
      <c r="JB127" s="931">
        <f t="shared" si="422"/>
        <v>-153.88644705000004</v>
      </c>
      <c r="JC127" s="931">
        <f t="shared" si="422"/>
        <v>216.22450791000003</v>
      </c>
      <c r="JD127" s="931" t="e">
        <f t="shared" si="423"/>
        <v>#VALUE!</v>
      </c>
      <c r="JF127" s="978"/>
      <c r="JG127" s="978"/>
      <c r="JH127" s="978"/>
      <c r="JI127" s="978"/>
      <c r="JJ127" s="978"/>
      <c r="JK127" s="978"/>
      <c r="JL127" s="978"/>
      <c r="JM127" s="978"/>
      <c r="JO127" s="931">
        <f t="shared" si="452"/>
        <v>158.36734322000001</v>
      </c>
      <c r="JP127" s="931">
        <f t="shared" si="452"/>
        <v>576.18396392999989</v>
      </c>
      <c r="JQ127" s="931">
        <f t="shared" si="452"/>
        <v>741.59071052000002</v>
      </c>
      <c r="JR127" s="931">
        <f t="shared" si="452"/>
        <v>1449.0789032299999</v>
      </c>
      <c r="JS127" s="931">
        <f t="shared" si="452"/>
        <v>1584.3054340799999</v>
      </c>
      <c r="JT127" s="931">
        <f t="shared" si="425"/>
        <v>384.51565162000003</v>
      </c>
      <c r="JU127" s="931">
        <f t="shared" si="426"/>
        <v>230.62920456999998</v>
      </c>
      <c r="JV127" s="931">
        <f t="shared" si="427"/>
        <v>446.85371248000001</v>
      </c>
      <c r="JW127" s="931">
        <f t="shared" si="427"/>
        <v>665.05647275000001</v>
      </c>
      <c r="JX127" s="931" t="e">
        <f t="shared" si="428"/>
        <v>#VALUE!</v>
      </c>
      <c r="JY127" s="931" t="e">
        <f t="shared" si="429"/>
        <v>#VALUE!</v>
      </c>
      <c r="KB127" s="230">
        <f t="shared" si="430"/>
        <v>0.2870728047719413</v>
      </c>
      <c r="KC127" s="230">
        <f t="shared" si="430"/>
        <v>0.95401436759356439</v>
      </c>
      <c r="KD127" s="230">
        <f t="shared" si="430"/>
        <v>9.3318956302917533E-2</v>
      </c>
      <c r="KE127" s="230">
        <f t="shared" si="430"/>
        <v>-0.75729701902885482</v>
      </c>
      <c r="KF127" s="230">
        <f t="shared" si="430"/>
        <v>-0.40020853872049733</v>
      </c>
      <c r="KG127" s="230">
        <f t="shared" si="430"/>
        <v>0.93754174937707035</v>
      </c>
      <c r="KH127" s="230" t="str">
        <f t="shared" si="431"/>
        <v xml:space="preserve"> </v>
      </c>
      <c r="KJ127" s="931">
        <f t="shared" si="432"/>
        <v>165.40674659000013</v>
      </c>
      <c r="KK127" s="931">
        <f t="shared" si="432"/>
        <v>707.48819270999991</v>
      </c>
      <c r="KL127" s="931">
        <f t="shared" si="432"/>
        <v>135.22653085000002</v>
      </c>
      <c r="KM127" s="931">
        <f t="shared" si="432"/>
        <v>-1199.78978246</v>
      </c>
      <c r="KN127" s="931">
        <f t="shared" si="432"/>
        <v>-153.88644705000004</v>
      </c>
      <c r="KO127" s="931">
        <f t="shared" si="432"/>
        <v>216.22450791000003</v>
      </c>
      <c r="KP127" s="931" t="e">
        <f t="shared" si="433"/>
        <v>#VALUE!</v>
      </c>
      <c r="KR127" s="978"/>
      <c r="KS127" s="978"/>
      <c r="KT127" s="978"/>
      <c r="KU127" s="978"/>
      <c r="KV127" s="978"/>
      <c r="KW127" s="978"/>
      <c r="KX127" s="978"/>
      <c r="KY127" s="978"/>
      <c r="KZ127" s="978"/>
    </row>
    <row r="128" spans="1:312" outlineLevel="1">
      <c r="A128" s="884"/>
      <c r="B128" s="25"/>
      <c r="E128" s="66"/>
      <c r="F128" s="66"/>
      <c r="G128" s="66"/>
      <c r="H128" s="66"/>
      <c r="I128" s="66"/>
      <c r="J128" s="66"/>
      <c r="K128" s="66"/>
      <c r="L128" s="66"/>
      <c r="M128" s="66"/>
      <c r="N128" s="66"/>
      <c r="O128" s="66"/>
      <c r="P128" s="66"/>
      <c r="Q128" s="102"/>
      <c r="R128" s="66"/>
      <c r="S128" s="66"/>
      <c r="T128" s="66"/>
      <c r="U128" s="66"/>
      <c r="V128" s="66"/>
      <c r="W128" s="66"/>
      <c r="X128" s="66"/>
      <c r="Y128" s="66"/>
      <c r="Z128" s="66"/>
      <c r="AA128" s="66"/>
      <c r="AB128" s="66"/>
      <c r="AC128" s="102"/>
      <c r="AD128" s="102"/>
      <c r="AE128" s="102"/>
      <c r="AF128" s="102"/>
      <c r="AG128" s="102"/>
      <c r="AH128" s="102"/>
      <c r="AI128" s="102"/>
      <c r="AJ128" s="102"/>
      <c r="AK128" s="102"/>
      <c r="AL128" s="102"/>
      <c r="AM128" s="102"/>
      <c r="AN128" s="143"/>
      <c r="AO128" s="102"/>
      <c r="AP128" s="145"/>
      <c r="AQ128" s="143"/>
      <c r="AR128" s="143"/>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v>9684</v>
      </c>
      <c r="BM128" s="152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c r="DH128" s="102"/>
      <c r="DJ128" s="102"/>
      <c r="DK128" s="102"/>
      <c r="DL128" s="102"/>
      <c r="DM128" s="102"/>
      <c r="DN128" s="102"/>
      <c r="DO128" s="102"/>
      <c r="DP128" s="102"/>
      <c r="DQ128" s="102"/>
      <c r="DR128" s="102"/>
      <c r="DS128" s="102"/>
      <c r="DT128" s="102"/>
      <c r="DU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F128" s="102"/>
      <c r="GG128" s="102"/>
      <c r="GH128" s="102"/>
      <c r="GI128" s="102"/>
      <c r="GJ128" s="102"/>
      <c r="GK128" s="102"/>
      <c r="GL128" s="102">
        <f t="shared" si="435"/>
        <v>0</v>
      </c>
      <c r="GM128" s="102">
        <f t="shared" si="408"/>
        <v>0</v>
      </c>
      <c r="GN128" s="102"/>
      <c r="GO128" s="102">
        <v>0</v>
      </c>
      <c r="GQ128" s="32"/>
      <c r="GR128" s="32"/>
      <c r="GS128" s="32"/>
      <c r="GT128" s="929" t="str">
        <f t="shared" si="440"/>
        <v/>
      </c>
      <c r="GU128" s="929" t="str">
        <f t="shared" si="440"/>
        <v/>
      </c>
      <c r="GV128" s="929" t="str">
        <f t="shared" si="440"/>
        <v/>
      </c>
      <c r="GW128" s="929" t="str">
        <f t="shared" si="399"/>
        <v/>
      </c>
      <c r="GX128" s="32"/>
      <c r="GY128" s="929" t="str">
        <f t="shared" si="249"/>
        <v/>
      </c>
      <c r="HA128" s="102"/>
      <c r="HB128" s="102"/>
      <c r="HC128" s="102"/>
      <c r="HD128" s="102">
        <f t="shared" si="441"/>
        <v>0</v>
      </c>
      <c r="HE128" s="102">
        <f t="shared" si="400"/>
        <v>0</v>
      </c>
      <c r="HF128" s="102">
        <f t="shared" si="400"/>
        <v>0</v>
      </c>
      <c r="HG128" s="102">
        <f t="shared" si="400"/>
        <v>0</v>
      </c>
      <c r="HH128" s="102"/>
      <c r="HI128" s="102">
        <f t="shared" si="251"/>
        <v>0</v>
      </c>
      <c r="HU128" s="102"/>
      <c r="HV128" s="102"/>
      <c r="HW128" s="102"/>
      <c r="HX128" s="102"/>
      <c r="HY128" s="102"/>
      <c r="HZ128" s="102">
        <f t="shared" ref="HZ128:HZ156" si="453">+IFERROR(SUMIFS($E128:$BX128,$E$6:$BX$6,HZ$7,$E$5:$BX$5,$HW$5),"NA")</f>
        <v>0</v>
      </c>
      <c r="IA128" s="102">
        <f t="shared" si="414"/>
        <v>0</v>
      </c>
      <c r="IB128" s="102">
        <f t="shared" si="415"/>
        <v>0</v>
      </c>
      <c r="IC128" s="102">
        <f t="shared" si="416"/>
        <v>0</v>
      </c>
      <c r="ID128" s="102">
        <f t="shared" si="417"/>
        <v>0</v>
      </c>
      <c r="IE128" s="102"/>
      <c r="IG128" s="102"/>
      <c r="IH128" s="102"/>
      <c r="II128" s="145"/>
      <c r="IJ128" s="32"/>
      <c r="IK128" s="102"/>
      <c r="IP128" s="32"/>
      <c r="IQ128" s="32"/>
      <c r="IR128" s="32"/>
      <c r="IS128" s="32"/>
      <c r="IT128" s="32"/>
      <c r="IU128" s="32"/>
      <c r="IV128" s="32"/>
      <c r="IX128" s="102"/>
      <c r="IY128" s="102"/>
      <c r="IZ128" s="102"/>
      <c r="JA128" s="102"/>
      <c r="JB128" s="102"/>
      <c r="JC128" s="102"/>
      <c r="JD128" s="102">
        <f t="shared" si="423"/>
        <v>0</v>
      </c>
      <c r="JO128" s="102"/>
      <c r="JP128" s="102"/>
      <c r="JQ128" s="102"/>
      <c r="JR128" s="102"/>
      <c r="JS128" s="102"/>
      <c r="JT128" s="102">
        <f t="shared" si="425"/>
        <v>0</v>
      </c>
      <c r="JU128" s="102">
        <f t="shared" si="426"/>
        <v>0</v>
      </c>
      <c r="JV128" s="102">
        <f t="shared" si="427"/>
        <v>0</v>
      </c>
      <c r="JW128" s="102">
        <f t="shared" si="427"/>
        <v>0</v>
      </c>
      <c r="JX128" s="102">
        <f t="shared" si="428"/>
        <v>0</v>
      </c>
      <c r="JY128" s="102"/>
      <c r="KB128" s="32"/>
      <c r="KC128" s="32"/>
      <c r="KD128" s="32"/>
      <c r="KE128" s="32"/>
      <c r="KF128" s="32"/>
      <c r="KG128" s="32"/>
      <c r="KH128" s="32" t="str">
        <f t="shared" si="431"/>
        <v xml:space="preserve"> </v>
      </c>
      <c r="KJ128" s="102"/>
      <c r="KK128" s="102"/>
      <c r="KL128" s="102"/>
      <c r="KM128" s="102"/>
      <c r="KN128" s="102"/>
      <c r="KO128" s="102"/>
      <c r="KP128" s="102">
        <f t="shared" si="433"/>
        <v>0</v>
      </c>
    </row>
    <row r="129" spans="1:312">
      <c r="A129" s="884"/>
      <c r="B129" s="70"/>
      <c r="C129" s="1549" t="s">
        <v>121</v>
      </c>
      <c r="D129" s="1550" t="s">
        <v>59</v>
      </c>
      <c r="E129" s="1515">
        <f t="shared" ref="E129:BP129" si="454">+E130+E149+E150+E154+E155+E156</f>
        <v>4613.7346589499994</v>
      </c>
      <c r="F129" s="1515">
        <f t="shared" si="454"/>
        <v>4687.5663810900005</v>
      </c>
      <c r="G129" s="1515">
        <f t="shared" si="454"/>
        <v>4949.0513424500014</v>
      </c>
      <c r="H129" s="1515">
        <f t="shared" si="454"/>
        <v>4994.6562862400006</v>
      </c>
      <c r="I129" s="1515">
        <f t="shared" si="454"/>
        <v>4995.9875441099994</v>
      </c>
      <c r="J129" s="1515">
        <f t="shared" si="454"/>
        <v>5397.5032481499993</v>
      </c>
      <c r="K129" s="1515">
        <f t="shared" si="454"/>
        <v>5364.6287119299986</v>
      </c>
      <c r="L129" s="1515">
        <f t="shared" si="454"/>
        <v>5285.6901160399993</v>
      </c>
      <c r="M129" s="1515">
        <f t="shared" si="454"/>
        <v>20239.587622950003</v>
      </c>
      <c r="N129" s="1515">
        <f t="shared" si="454"/>
        <v>5262.1842671399991</v>
      </c>
      <c r="O129" s="1515">
        <f t="shared" si="454"/>
        <v>5684.8266675200002</v>
      </c>
      <c r="P129" s="1515">
        <f t="shared" si="454"/>
        <v>5910.0350581300017</v>
      </c>
      <c r="Q129" s="1515">
        <f t="shared" si="454"/>
        <v>5923.1152020899999</v>
      </c>
      <c r="R129" s="1515">
        <f t="shared" si="454"/>
        <v>5923.8831370700009</v>
      </c>
      <c r="S129" s="1515">
        <f t="shared" si="454"/>
        <v>5991.6411027600016</v>
      </c>
      <c r="T129" s="1515">
        <f t="shared" si="454"/>
        <v>6004.8864639899994</v>
      </c>
      <c r="U129" s="1515">
        <f t="shared" si="454"/>
        <v>6034.9968489600005</v>
      </c>
      <c r="V129" s="1515">
        <f t="shared" si="454"/>
        <v>6029.8797000800014</v>
      </c>
      <c r="W129" s="1515">
        <f t="shared" si="454"/>
        <v>6005.1409912000008</v>
      </c>
      <c r="X129" s="1515">
        <f t="shared" si="454"/>
        <v>5970.5749050499999</v>
      </c>
      <c r="Y129" s="1515">
        <f t="shared" si="454"/>
        <v>5835.0302165799976</v>
      </c>
      <c r="Z129" s="1515">
        <f t="shared" si="454"/>
        <v>5759.8945670800003</v>
      </c>
      <c r="AA129" s="1515">
        <f t="shared" si="454"/>
        <v>5583.1989037100002</v>
      </c>
      <c r="AB129" s="1515">
        <f t="shared" si="454"/>
        <v>5793.9416717099994</v>
      </c>
      <c r="AC129" s="1515">
        <f t="shared" si="454"/>
        <v>5765.4514196600003</v>
      </c>
      <c r="AD129" s="1515">
        <f t="shared" si="454"/>
        <v>5730.1397197500009</v>
      </c>
      <c r="AE129" s="1515">
        <f t="shared" si="454"/>
        <v>5675.9402432000006</v>
      </c>
      <c r="AF129" s="1515">
        <f t="shared" si="454"/>
        <v>5582.1115298700006</v>
      </c>
      <c r="AG129" s="1515">
        <f t="shared" si="454"/>
        <v>5532.5612696000007</v>
      </c>
      <c r="AH129" s="1515">
        <f t="shared" si="454"/>
        <v>5492.4084041100004</v>
      </c>
      <c r="AI129" s="1515">
        <f t="shared" si="454"/>
        <v>5593.7172796000013</v>
      </c>
      <c r="AJ129" s="1515">
        <f t="shared" si="454"/>
        <v>6092.6732071300003</v>
      </c>
      <c r="AK129" s="1515">
        <f t="shared" si="454"/>
        <v>6132.764807900001</v>
      </c>
      <c r="AL129" s="1515">
        <f t="shared" si="454"/>
        <v>6182.2442587699998</v>
      </c>
      <c r="AM129" s="1515">
        <f t="shared" si="454"/>
        <v>6207.0547106400008</v>
      </c>
      <c r="AN129" s="1515">
        <f t="shared" si="454"/>
        <v>7994.86876484</v>
      </c>
      <c r="AO129" s="1515">
        <f t="shared" si="454"/>
        <v>8075.3278278899998</v>
      </c>
      <c r="AP129" s="1515">
        <f t="shared" si="454"/>
        <v>11633.675828500001</v>
      </c>
      <c r="AQ129" s="1515">
        <f t="shared" si="454"/>
        <v>11719.330822979999</v>
      </c>
      <c r="AR129" s="1515">
        <f t="shared" si="454"/>
        <v>12045.96648112</v>
      </c>
      <c r="AS129" s="1515">
        <f t="shared" si="454"/>
        <v>12433.79954686</v>
      </c>
      <c r="AT129" s="1515">
        <f t="shared" si="454"/>
        <v>12855.80433535</v>
      </c>
      <c r="AU129" s="1515">
        <f t="shared" si="454"/>
        <v>12675.93380452</v>
      </c>
      <c r="AV129" s="1515">
        <f t="shared" si="454"/>
        <v>12636.205467810001</v>
      </c>
      <c r="AW129" s="1515">
        <f t="shared" si="454"/>
        <v>12750.500661939999</v>
      </c>
      <c r="AX129" s="1515">
        <f t="shared" si="454"/>
        <v>12397.35081303</v>
      </c>
      <c r="AY129" s="1515">
        <f t="shared" si="454"/>
        <v>12506.78750083</v>
      </c>
      <c r="AZ129" s="1515">
        <f t="shared" si="454"/>
        <v>15809.335226210002</v>
      </c>
      <c r="BA129" s="1515">
        <f t="shared" si="454"/>
        <v>15995.485772600001</v>
      </c>
      <c r="BB129" s="1515">
        <f t="shared" si="454"/>
        <v>15885.6317433</v>
      </c>
      <c r="BC129" s="1515">
        <f t="shared" si="454"/>
        <v>15787.617452800001</v>
      </c>
      <c r="BD129" s="1515">
        <f t="shared" si="454"/>
        <v>14420.29194402</v>
      </c>
      <c r="BE129" s="1515">
        <f t="shared" si="454"/>
        <v>14750.079112610001</v>
      </c>
      <c r="BF129" s="1515">
        <f t="shared" si="454"/>
        <v>14510.109553449998</v>
      </c>
      <c r="BG129" s="1515">
        <f t="shared" si="454"/>
        <v>14393.102216499998</v>
      </c>
      <c r="BH129" s="1515">
        <f t="shared" si="454"/>
        <v>14272.58745203</v>
      </c>
      <c r="BI129" s="1515">
        <f t="shared" si="454"/>
        <v>14105.335451409999</v>
      </c>
      <c r="BJ129" s="1515">
        <f t="shared" si="454"/>
        <v>13995.258195869999</v>
      </c>
      <c r="BK129" s="1515">
        <f t="shared" si="454"/>
        <v>13569.47417546</v>
      </c>
      <c r="BL129" s="1515">
        <f t="shared" si="454"/>
        <v>13092.14112258</v>
      </c>
      <c r="BM129" s="1515">
        <f t="shared" si="454"/>
        <v>13511.058156449995</v>
      </c>
      <c r="BN129" s="1515">
        <f t="shared" si="454"/>
        <v>13478.033038149999</v>
      </c>
      <c r="BO129" s="1515">
        <f t="shared" si="454"/>
        <v>13534.353718539998</v>
      </c>
      <c r="BP129" s="1515">
        <f t="shared" si="454"/>
        <v>13506.611516699999</v>
      </c>
      <c r="BQ129" s="1515">
        <f t="shared" ref="BQ129:DH129" si="455">+BQ130+BQ149+BQ150+BQ154+BQ155+BQ156</f>
        <v>13472.406094879996</v>
      </c>
      <c r="BR129" s="1515">
        <f t="shared" si="455"/>
        <v>13454.917559319998</v>
      </c>
      <c r="BS129" s="1515">
        <f t="shared" si="455"/>
        <v>13427.023685199998</v>
      </c>
      <c r="BT129" s="1515">
        <f t="shared" si="455"/>
        <v>13378.339743749999</v>
      </c>
      <c r="BU129" s="1515">
        <f t="shared" si="455"/>
        <v>13342.860032799997</v>
      </c>
      <c r="BV129" s="1515">
        <f t="shared" si="455"/>
        <v>13317.101167719999</v>
      </c>
      <c r="BW129" s="1515">
        <f t="shared" si="455"/>
        <v>13334.889248749998</v>
      </c>
      <c r="BX129" s="1515">
        <f t="shared" si="455"/>
        <v>12927.02540572</v>
      </c>
      <c r="BY129" s="1515">
        <f t="shared" si="455"/>
        <v>13072.192083680002</v>
      </c>
      <c r="BZ129" s="1515">
        <f t="shared" si="455"/>
        <v>13220.513947649997</v>
      </c>
      <c r="CA129" s="1515">
        <f t="shared" si="455"/>
        <v>13382.124914919999</v>
      </c>
      <c r="CB129" s="1515">
        <f t="shared" si="455"/>
        <v>13363.658936969998</v>
      </c>
      <c r="CC129" s="1515">
        <f t="shared" si="455"/>
        <v>13371.736711900001</v>
      </c>
      <c r="CD129" s="1515">
        <f t="shared" si="455"/>
        <v>13357.053676149999</v>
      </c>
      <c r="CE129" s="1515">
        <f t="shared" si="455"/>
        <v>13414.350318949999</v>
      </c>
      <c r="CF129" s="1515">
        <f t="shared" si="455"/>
        <v>13433.612729059998</v>
      </c>
      <c r="CG129" s="1515">
        <f t="shared" si="455"/>
        <v>13500.136823610001</v>
      </c>
      <c r="CH129" s="1515">
        <f t="shared" si="455"/>
        <v>13645.027231100003</v>
      </c>
      <c r="CI129" s="1515">
        <f t="shared" si="455"/>
        <v>13860.001924870001</v>
      </c>
      <c r="CJ129" s="1515">
        <f t="shared" si="455"/>
        <v>13790.349712270001</v>
      </c>
      <c r="CK129" s="1515">
        <f t="shared" si="455"/>
        <v>13805.116346430001</v>
      </c>
      <c r="CL129" s="1515">
        <f t="shared" si="455"/>
        <v>13861.94402807</v>
      </c>
      <c r="CM129" s="1515">
        <f t="shared" si="455"/>
        <v>13807.755373290001</v>
      </c>
      <c r="CN129" s="1515">
        <f t="shared" si="455"/>
        <v>13796.933301010002</v>
      </c>
      <c r="CO129" s="1515">
        <f t="shared" si="455"/>
        <v>13829.704391339999</v>
      </c>
      <c r="CP129" s="1515">
        <f t="shared" si="455"/>
        <v>13967.304176169997</v>
      </c>
      <c r="CQ129" s="1515">
        <f t="shared" si="455"/>
        <v>13993.33100849</v>
      </c>
      <c r="CR129" s="1515">
        <f t="shared" si="455"/>
        <v>14001.366129249996</v>
      </c>
      <c r="CS129" s="1515">
        <f t="shared" si="455"/>
        <v>13952.33162424</v>
      </c>
      <c r="CT129" s="1515">
        <f t="shared" si="455"/>
        <v>14014.559185470001</v>
      </c>
      <c r="CU129" s="1515">
        <f t="shared" si="455"/>
        <v>14084.134578309997</v>
      </c>
      <c r="CV129" s="1515">
        <f t="shared" si="455"/>
        <v>13607.911864549998</v>
      </c>
      <c r="CW129" s="1515">
        <f t="shared" si="455"/>
        <v>13597.92929982</v>
      </c>
      <c r="CX129" s="1515">
        <f t="shared" si="455"/>
        <v>13640.034532989997</v>
      </c>
      <c r="CY129" s="1515">
        <f t="shared" si="455"/>
        <v>13721.813118099999</v>
      </c>
      <c r="CZ129" s="1515">
        <f t="shared" si="455"/>
        <v>13674.96539001</v>
      </c>
      <c r="DA129" s="1515">
        <f t="shared" si="455"/>
        <v>13643.05973764</v>
      </c>
      <c r="DB129" s="1515">
        <f t="shared" si="455"/>
        <v>15234.241040689998</v>
      </c>
      <c r="DC129" s="1515">
        <f t="shared" si="455"/>
        <v>15137.43147012</v>
      </c>
      <c r="DD129" s="1515">
        <f t="shared" si="455"/>
        <v>15145.000895639996</v>
      </c>
      <c r="DE129" s="1515">
        <f t="shared" si="455"/>
        <v>15120.40764813</v>
      </c>
      <c r="DF129" s="1515">
        <f t="shared" si="455"/>
        <v>15046.663990160001</v>
      </c>
      <c r="DG129" s="1515">
        <f t="shared" si="455"/>
        <v>14732.358707930003</v>
      </c>
      <c r="DH129" s="1515">
        <f t="shared" si="455"/>
        <v>13968.555516510001</v>
      </c>
      <c r="DI129" s="77"/>
      <c r="DJ129" s="1515" t="e">
        <f t="shared" ref="DJ129:FU129" si="456">+DJ130+DJ149+DJ150+DJ154+DJ155+DJ156</f>
        <v>#VALUE!</v>
      </c>
      <c r="DK129" s="1515" t="e">
        <f t="shared" si="456"/>
        <v>#VALUE!</v>
      </c>
      <c r="DL129" s="1515" t="e">
        <f t="shared" si="456"/>
        <v>#VALUE!</v>
      </c>
      <c r="DM129" s="1515" t="e">
        <f t="shared" si="456"/>
        <v>#VALUE!</v>
      </c>
      <c r="DN129" s="1515" t="e">
        <f t="shared" si="456"/>
        <v>#VALUE!</v>
      </c>
      <c r="DO129" s="1515" t="e">
        <f t="shared" si="456"/>
        <v>#VALUE!</v>
      </c>
      <c r="DP129" s="1515" t="e">
        <f t="shared" si="456"/>
        <v>#VALUE!</v>
      </c>
      <c r="DQ129" s="1515" t="e">
        <f t="shared" si="456"/>
        <v>#VALUE!</v>
      </c>
      <c r="DR129" s="1515" t="e">
        <f t="shared" si="456"/>
        <v>#VALUE!</v>
      </c>
      <c r="DS129" s="1515" t="e">
        <f t="shared" si="456"/>
        <v>#VALUE!</v>
      </c>
      <c r="DT129" s="1515" t="e">
        <f t="shared" si="456"/>
        <v>#VALUE!</v>
      </c>
      <c r="DU129" s="1515" t="e">
        <f t="shared" si="456"/>
        <v>#VALUE!</v>
      </c>
      <c r="DW129" s="1515">
        <f t="shared" si="456"/>
        <v>6326.8519098012512</v>
      </c>
      <c r="DX129" s="1515">
        <f t="shared" si="456"/>
        <v>13196.190648535139</v>
      </c>
      <c r="DY129" s="1515">
        <f t="shared" si="456"/>
        <v>13856.173516119165</v>
      </c>
      <c r="DZ129" s="1515">
        <f t="shared" si="456"/>
        <v>13832.285672367323</v>
      </c>
      <c r="EA129" s="1515">
        <f t="shared" si="456"/>
        <v>14307.954290125901</v>
      </c>
      <c r="EB129" s="1515">
        <f t="shared" si="456"/>
        <v>13184.473097730803</v>
      </c>
      <c r="EC129" s="1515">
        <f t="shared" si="456"/>
        <v>13227.99007681526</v>
      </c>
      <c r="ED129" s="1515">
        <f t="shared" si="456"/>
        <v>13223.897137739414</v>
      </c>
      <c r="EE129" s="1515">
        <f t="shared" si="456"/>
        <v>13231.60488830897</v>
      </c>
      <c r="EF129" s="1515">
        <f t="shared" si="456"/>
        <v>13301.592418348768</v>
      </c>
      <c r="EG129" s="1515">
        <f t="shared" si="456"/>
        <v>13326.446695418263</v>
      </c>
      <c r="EH129" s="1515">
        <f t="shared" si="456"/>
        <v>13336.175035676386</v>
      </c>
      <c r="EI129" s="1515">
        <f t="shared" si="456"/>
        <v>12083.175892853335</v>
      </c>
      <c r="EJ129" s="1515">
        <f t="shared" si="456"/>
        <v>11943.515180397606</v>
      </c>
      <c r="EK129" s="1515">
        <f t="shared" si="456"/>
        <v>10954.969520156774</v>
      </c>
      <c r="EL129" s="1515">
        <f t="shared" si="456"/>
        <v>10809.234743375573</v>
      </c>
      <c r="EM129" s="1515">
        <f t="shared" si="456"/>
        <v>10679.631814715625</v>
      </c>
      <c r="EN129" s="1515">
        <f t="shared" si="456"/>
        <v>10584.223460252071</v>
      </c>
      <c r="EO129" s="1515">
        <f t="shared" si="456"/>
        <v>10498.834563683728</v>
      </c>
      <c r="EP129" s="1515">
        <f t="shared" si="456"/>
        <v>10394.099846694784</v>
      </c>
      <c r="EQ129" s="1515">
        <f t="shared" si="456"/>
        <v>10304.431475435398</v>
      </c>
      <c r="ER129" s="1515">
        <f t="shared" si="456"/>
        <v>10194.626796076387</v>
      </c>
      <c r="ES129" s="1515">
        <f t="shared" si="456"/>
        <v>10133.416260941738</v>
      </c>
      <c r="ET129" s="1515">
        <f t="shared" si="456"/>
        <v>10031.828104262473</v>
      </c>
      <c r="EU129" s="1515">
        <f t="shared" si="456"/>
        <v>13591.51079102109</v>
      </c>
      <c r="EV129" s="1515">
        <f t="shared" si="456"/>
        <v>13522.354275539681</v>
      </c>
      <c r="EW129" s="1515">
        <f t="shared" si="456"/>
        <v>13471.985227110354</v>
      </c>
      <c r="EX129" s="1515">
        <f t="shared" si="456"/>
        <v>13410.073759930036</v>
      </c>
      <c r="EY129" s="1515">
        <f t="shared" si="456"/>
        <v>13348.909769273529</v>
      </c>
      <c r="EZ129" s="1515">
        <f t="shared" si="456"/>
        <v>13288.755793108339</v>
      </c>
      <c r="FA129" s="1515">
        <f t="shared" si="456"/>
        <v>13231.675691038468</v>
      </c>
      <c r="FB129" s="1515">
        <f t="shared" si="456"/>
        <v>13176.965812327524</v>
      </c>
      <c r="FC129" s="1515">
        <f t="shared" si="456"/>
        <v>13122.38914869594</v>
      </c>
      <c r="FD129" s="1515">
        <f t="shared" si="456"/>
        <v>13067.881662564359</v>
      </c>
      <c r="FE129" s="1515">
        <f t="shared" si="456"/>
        <v>13013.386333464026</v>
      </c>
      <c r="FF129" s="1515">
        <f t="shared" si="456"/>
        <v>12965.514037657889</v>
      </c>
      <c r="FG129" s="1515" t="e">
        <f t="shared" si="456"/>
        <v>#VALUE!</v>
      </c>
      <c r="FH129" s="1515" t="e">
        <f t="shared" si="456"/>
        <v>#VALUE!</v>
      </c>
      <c r="FI129" s="1515" t="e">
        <f t="shared" si="456"/>
        <v>#VALUE!</v>
      </c>
      <c r="FJ129" s="1515" t="e">
        <f t="shared" si="456"/>
        <v>#VALUE!</v>
      </c>
      <c r="FK129" s="1515" t="e">
        <f t="shared" si="456"/>
        <v>#VALUE!</v>
      </c>
      <c r="FL129" s="1515" t="e">
        <f t="shared" si="456"/>
        <v>#VALUE!</v>
      </c>
      <c r="FM129" s="1515" t="e">
        <f t="shared" si="456"/>
        <v>#VALUE!</v>
      </c>
      <c r="FN129" s="1515" t="e">
        <f t="shared" si="456"/>
        <v>#VALUE!</v>
      </c>
      <c r="FO129" s="1515" t="e">
        <f t="shared" si="456"/>
        <v>#VALUE!</v>
      </c>
      <c r="FP129" s="1515" t="e">
        <f t="shared" si="456"/>
        <v>#VALUE!</v>
      </c>
      <c r="FQ129" s="1515" t="e">
        <f t="shared" si="456"/>
        <v>#VALUE!</v>
      </c>
      <c r="FR129" s="1515" t="e">
        <f t="shared" si="456"/>
        <v>#VALUE!</v>
      </c>
      <c r="FS129" s="1515" t="e">
        <f t="shared" si="456"/>
        <v>#VALUE!</v>
      </c>
      <c r="FT129" s="1515" t="e">
        <f t="shared" si="456"/>
        <v>#VALUE!</v>
      </c>
      <c r="FU129" s="1515" t="e">
        <f t="shared" si="456"/>
        <v>#VALUE!</v>
      </c>
      <c r="FV129" s="1515" t="e">
        <f t="shared" ref="FV129:GD129" si="457">+FV130+FV149+FV150+FV154+FV155+FV156</f>
        <v>#VALUE!</v>
      </c>
      <c r="FW129" s="1515" t="e">
        <f t="shared" si="457"/>
        <v>#VALUE!</v>
      </c>
      <c r="FX129" s="1515" t="e">
        <f t="shared" si="457"/>
        <v>#VALUE!</v>
      </c>
      <c r="FY129" s="1515" t="e">
        <f t="shared" si="457"/>
        <v>#VALUE!</v>
      </c>
      <c r="FZ129" s="1515" t="e">
        <f t="shared" si="457"/>
        <v>#VALUE!</v>
      </c>
      <c r="GA129" s="1515" t="e">
        <f t="shared" si="457"/>
        <v>#VALUE!</v>
      </c>
      <c r="GB129" s="1515" t="e">
        <f t="shared" si="457"/>
        <v>#VALUE!</v>
      </c>
      <c r="GC129" s="1515" t="e">
        <f t="shared" si="457"/>
        <v>#VALUE!</v>
      </c>
      <c r="GD129" s="1515" t="e">
        <f t="shared" si="457"/>
        <v>#VALUE!</v>
      </c>
      <c r="GF129" s="1515">
        <f t="shared" ref="GF129:GI156" si="458">+SUMIFS($E129:$AZ129,$E$6:$AZ$6,GF$7,$E$5:$AZ$5,12)</f>
        <v>5910.0350581300017</v>
      </c>
      <c r="GG129" s="1515">
        <f t="shared" si="458"/>
        <v>5793.9416717099994</v>
      </c>
      <c r="GH129" s="1515">
        <f t="shared" si="458"/>
        <v>7994.86876484</v>
      </c>
      <c r="GI129" s="1515">
        <f t="shared" si="458"/>
        <v>15809.335226210002</v>
      </c>
      <c r="GJ129" s="1515">
        <f t="shared" si="434"/>
        <v>13092.14112258</v>
      </c>
      <c r="GK129" s="1515">
        <f t="shared" si="407"/>
        <v>12927.02540572</v>
      </c>
      <c r="GL129" s="1515">
        <f t="shared" si="435"/>
        <v>13790.349712270001</v>
      </c>
      <c r="GM129" s="1515">
        <f t="shared" si="408"/>
        <v>13607.911864549998</v>
      </c>
      <c r="GN129" s="1515" t="e">
        <f t="shared" si="409"/>
        <v>#VALUE!</v>
      </c>
      <c r="GO129" s="1515">
        <v>13968.555516510001</v>
      </c>
      <c r="GQ129" s="1519">
        <f t="shared" ref="GQ129:GX145" si="459">+IFERROR(GH129/GG129-1,"")</f>
        <v>0.37986697447722628</v>
      </c>
      <c r="GR129" s="1519">
        <f t="shared" si="459"/>
        <v>0.97743523892932727</v>
      </c>
      <c r="GS129" s="1519">
        <f t="shared" si="459"/>
        <v>-0.17187276155199849</v>
      </c>
      <c r="GT129" s="1519">
        <f t="shared" si="459"/>
        <v>-1.2611819206197361E-2</v>
      </c>
      <c r="GU129" s="1519">
        <f t="shared" si="459"/>
        <v>6.6784451910181453E-2</v>
      </c>
      <c r="GV129" s="1519">
        <f t="shared" si="459"/>
        <v>-1.3229385151681705E-2</v>
      </c>
      <c r="GW129" s="1519" t="str">
        <f t="shared" si="399"/>
        <v/>
      </c>
      <c r="GX129" s="1519" t="str">
        <f t="shared" si="399"/>
        <v/>
      </c>
      <c r="GY129" s="1519">
        <f t="shared" si="249"/>
        <v>2.6502497631507804E-2</v>
      </c>
      <c r="HA129" s="1515">
        <f t="shared" ref="HA129:HH145" si="460">+GH129-GG129</f>
        <v>2200.9270931300007</v>
      </c>
      <c r="HB129" s="1515">
        <f t="shared" si="460"/>
        <v>7814.4664613700015</v>
      </c>
      <c r="HC129" s="1515">
        <f t="shared" si="460"/>
        <v>-2717.1941036300013</v>
      </c>
      <c r="HD129" s="1515">
        <f t="shared" si="460"/>
        <v>-165.11571686000025</v>
      </c>
      <c r="HE129" s="1515">
        <f t="shared" si="400"/>
        <v>863.32430655000098</v>
      </c>
      <c r="HF129" s="1515">
        <f t="shared" si="400"/>
        <v>-182.43784772000254</v>
      </c>
      <c r="HG129" s="1515" t="e">
        <f t="shared" si="400"/>
        <v>#VALUE!</v>
      </c>
      <c r="HH129" s="1515" t="e">
        <f t="shared" si="400"/>
        <v>#VALUE!</v>
      </c>
      <c r="HI129" s="1515">
        <f t="shared" si="251"/>
        <v>360.6436519600029</v>
      </c>
      <c r="HK129" s="1548"/>
      <c r="HL129" s="1548"/>
      <c r="HM129" s="1548"/>
      <c r="HN129" s="1548"/>
      <c r="HO129" s="1548"/>
      <c r="HP129" s="1548"/>
      <c r="HQ129" s="1548"/>
      <c r="HR129" s="1548"/>
      <c r="HS129" s="1548"/>
      <c r="HU129" s="1515">
        <f t="shared" ref="HU129:HX145" si="461">+IFERROR(SUMIFS($E129:$AZ129,$E$6:$AZ$6,HU$7,$E$5:$AZ$5,$HW$5),"NA")</f>
        <v>5397.5032481499993</v>
      </c>
      <c r="HV129" s="1515">
        <f t="shared" si="461"/>
        <v>6029.8797000800014</v>
      </c>
      <c r="HW129" s="1515">
        <f t="shared" si="461"/>
        <v>5492.4084041100004</v>
      </c>
      <c r="HX129" s="1515">
        <f t="shared" si="461"/>
        <v>12855.80433535</v>
      </c>
      <c r="HY129" s="1515">
        <f t="shared" ref="HY129:HY156" si="462">+IFERROR(SUMIFS($E129:$BX129,$E$6:$BX$6,HY$7,$E$5:$BX$5,$HW$5),"NA")</f>
        <v>14510.109553449998</v>
      </c>
      <c r="HZ129" s="1515">
        <f t="shared" si="453"/>
        <v>13454.917559319998</v>
      </c>
      <c r="IA129" s="1515">
        <f t="shared" si="414"/>
        <v>13357.053676149999</v>
      </c>
      <c r="IB129" s="1515">
        <f t="shared" si="415"/>
        <v>13967.304176169997</v>
      </c>
      <c r="IC129" s="1515">
        <f t="shared" si="416"/>
        <v>15234.241040689998</v>
      </c>
      <c r="ID129" s="1515" t="e">
        <f t="shared" si="417"/>
        <v>#VALUE!</v>
      </c>
      <c r="IE129" s="1515" t="e">
        <f t="shared" ref="IE129:IE156" si="463">+SUMIF($DJ$5:$DU$5,"="&amp;$HW$5,$DJ129:$DU129)</f>
        <v>#VALUE!</v>
      </c>
      <c r="IG129" s="1515" t="e">
        <f t="shared" ref="IG129:IG158" si="464">+IE129</f>
        <v>#VALUE!</v>
      </c>
      <c r="IH129" s="1515" t="e">
        <f t="shared" ref="IH129:IH158" si="465">+ID129</f>
        <v>#VALUE!</v>
      </c>
      <c r="II129" s="939"/>
      <c r="IJ129" s="1519" t="str">
        <f t="shared" ref="IJ129:IJ156" si="466">+IFERROR(IG129/IH129,"NA")</f>
        <v>NA</v>
      </c>
      <c r="IK129" s="1523" t="str">
        <f t="shared" ref="IK129:IK156" si="467">+IFERROR(IG129-IH129,"NA")</f>
        <v>NA</v>
      </c>
      <c r="IM129" s="973"/>
      <c r="IN129" s="973"/>
      <c r="IP129" s="1520">
        <f t="shared" ref="IP129:IR129" si="468">+IFERROR(HW129/HV129-1,"NA")</f>
        <v>-8.9134663161334671E-2</v>
      </c>
      <c r="IQ129" s="1520">
        <f t="shared" si="468"/>
        <v>1.3406497458801367</v>
      </c>
      <c r="IR129" s="1520">
        <f t="shared" si="468"/>
        <v>0.12868158031552368</v>
      </c>
      <c r="IS129" s="1520">
        <f>+IFERROR(HZ129/HY129-1,"NA")</f>
        <v>-7.2721159702003213E-2</v>
      </c>
      <c r="IT129" s="1520">
        <f>+IFERROR(IA129/HZ129-1,"NA")</f>
        <v>-7.2734658342228364E-3</v>
      </c>
      <c r="IU129" s="1520">
        <f>+IFERROR(IB129/IA129-1,"NA")</f>
        <v>4.5687508249640851E-2</v>
      </c>
      <c r="IV129" s="1520" t="str">
        <f>+IFERROR(IE129/IB129-1,"NA")</f>
        <v>NA</v>
      </c>
      <c r="IX129" s="1515">
        <f t="shared" si="422"/>
        <v>-537.47129597000094</v>
      </c>
      <c r="IY129" s="1515">
        <f t="shared" si="422"/>
        <v>7363.3959312399993</v>
      </c>
      <c r="IZ129" s="1515">
        <f t="shared" si="422"/>
        <v>1654.3052180999985</v>
      </c>
      <c r="JA129" s="1515">
        <f t="shared" si="422"/>
        <v>-1055.1919941300002</v>
      </c>
      <c r="JB129" s="1515">
        <f t="shared" si="422"/>
        <v>-97.863883169999099</v>
      </c>
      <c r="JC129" s="1515">
        <f t="shared" si="422"/>
        <v>610.25050001999807</v>
      </c>
      <c r="JD129" s="1515" t="e">
        <f t="shared" si="423"/>
        <v>#VALUE!</v>
      </c>
      <c r="JF129" s="1548"/>
      <c r="JG129" s="1548"/>
      <c r="JH129" s="1548"/>
      <c r="JI129" s="1548"/>
      <c r="JJ129" s="1548"/>
      <c r="JK129" s="1548"/>
      <c r="JL129" s="1548"/>
      <c r="JM129" s="1548"/>
      <c r="JO129" s="1515">
        <f t="shared" ref="JO129:JS138" si="469">+SUMIFS($E129:$BX129,$E$6:$BX$6,JO$7,$E$5:$BX$5,$JQ$5)</f>
        <v>5397.5032481499993</v>
      </c>
      <c r="JP129" s="1515">
        <f t="shared" si="469"/>
        <v>6029.8797000800014</v>
      </c>
      <c r="JQ129" s="1515">
        <f t="shared" si="469"/>
        <v>5492.4084041100004</v>
      </c>
      <c r="JR129" s="1515">
        <f t="shared" si="469"/>
        <v>12855.80433535</v>
      </c>
      <c r="JS129" s="1515">
        <f t="shared" si="469"/>
        <v>14510.109553449998</v>
      </c>
      <c r="JT129" s="1515">
        <f t="shared" si="425"/>
        <v>13454.917559319998</v>
      </c>
      <c r="JU129" s="1515">
        <f t="shared" si="426"/>
        <v>13357.053676149999</v>
      </c>
      <c r="JV129" s="1515">
        <f t="shared" ref="JV129:JW148" si="470">+SUMIFS($E129:$DH129,$E$6:$DH$6,JV$7,$E$5:$DH$5,$JQ$5)</f>
        <v>13967.304176169997</v>
      </c>
      <c r="JW129" s="1515">
        <f t="shared" si="470"/>
        <v>15234.241040689998</v>
      </c>
      <c r="JX129" s="1515" t="e">
        <f t="shared" si="428"/>
        <v>#VALUE!</v>
      </c>
      <c r="JY129" s="1515" t="e">
        <f t="shared" ref="JY129:JY156" si="471">+SUMIF($DJ$5:$DU$5,$JQ$5,$DJ129:$DU129)</f>
        <v>#VALUE!</v>
      </c>
      <c r="KB129" s="1520">
        <f t="shared" ref="KB129:KG156" si="472">+IFERROR(JQ129/JP129-1," ")</f>
        <v>-8.9134663161334671E-2</v>
      </c>
      <c r="KC129" s="1520">
        <f t="shared" si="472"/>
        <v>1.3406497458801367</v>
      </c>
      <c r="KD129" s="1520">
        <f t="shared" si="472"/>
        <v>0.12868158031552368</v>
      </c>
      <c r="KE129" s="1520">
        <f t="shared" si="472"/>
        <v>-7.2721159702003213E-2</v>
      </c>
      <c r="KF129" s="1520">
        <f t="shared" si="472"/>
        <v>-7.2734658342228364E-3</v>
      </c>
      <c r="KG129" s="1520">
        <f t="shared" si="472"/>
        <v>4.5687508249640851E-2</v>
      </c>
      <c r="KH129" s="1520" t="str">
        <f t="shared" si="431"/>
        <v xml:space="preserve"> </v>
      </c>
      <c r="KJ129" s="1515">
        <f t="shared" ref="KJ129:KO156" si="473">+JQ129-JP129</f>
        <v>-537.47129597000094</v>
      </c>
      <c r="KK129" s="1515">
        <f t="shared" si="473"/>
        <v>7363.3959312399993</v>
      </c>
      <c r="KL129" s="1515">
        <f t="shared" si="473"/>
        <v>1654.3052180999985</v>
      </c>
      <c r="KM129" s="1515">
        <f t="shared" si="473"/>
        <v>-1055.1919941300002</v>
      </c>
      <c r="KN129" s="1515">
        <f t="shared" si="473"/>
        <v>-97.863883169999099</v>
      </c>
      <c r="KO129" s="1515">
        <f t="shared" si="473"/>
        <v>610.25050001999807</v>
      </c>
      <c r="KP129" s="1515" t="e">
        <f t="shared" si="433"/>
        <v>#VALUE!</v>
      </c>
      <c r="KR129" s="1548"/>
      <c r="KS129" s="1548"/>
      <c r="KT129" s="1548"/>
      <c r="KU129" s="1548"/>
      <c r="KV129" s="1548"/>
      <c r="KW129" s="1548"/>
      <c r="KX129" s="1548"/>
      <c r="KY129" s="1548"/>
      <c r="KZ129" s="1548"/>
    </row>
    <row r="130" spans="1:312">
      <c r="A130" s="884"/>
      <c r="B130" s="70"/>
      <c r="C130" s="17" t="s">
        <v>122</v>
      </c>
      <c r="D130" s="31" t="s">
        <v>59</v>
      </c>
      <c r="E130" s="924">
        <v>3865.5447703299997</v>
      </c>
      <c r="F130" s="924">
        <v>3945.4585081100004</v>
      </c>
      <c r="G130" s="924">
        <v>4214.7737581100009</v>
      </c>
      <c r="H130" s="924">
        <v>4271.4574431100009</v>
      </c>
      <c r="I130" s="924">
        <v>4278.2544731500002</v>
      </c>
      <c r="J130" s="924">
        <v>4311.2161475899993</v>
      </c>
      <c r="K130" s="924">
        <v>4289.066274589999</v>
      </c>
      <c r="L130" s="924">
        <v>4217.115669589999</v>
      </c>
      <c r="M130" s="924">
        <v>4224.2257065899994</v>
      </c>
      <c r="N130" s="924">
        <v>4212.9721431499993</v>
      </c>
      <c r="O130" s="924">
        <v>4150.8088538299999</v>
      </c>
      <c r="P130" s="924">
        <v>4335.8611459100011</v>
      </c>
      <c r="Q130" s="924">
        <v>4369.7795021299989</v>
      </c>
      <c r="R130" s="924">
        <v>4384.636614850001</v>
      </c>
      <c r="S130" s="924">
        <v>4455.7468511900006</v>
      </c>
      <c r="T130" s="924">
        <v>4494.2505452400001</v>
      </c>
      <c r="U130" s="924">
        <v>4492.3337362600014</v>
      </c>
      <c r="V130" s="924">
        <v>4492.6144109800016</v>
      </c>
      <c r="W130" s="924">
        <v>4492.7111964600008</v>
      </c>
      <c r="X130" s="924">
        <v>4487.6110748199999</v>
      </c>
      <c r="Y130" s="924">
        <v>4513.5345021599987</v>
      </c>
      <c r="Z130" s="924">
        <v>4464.38413408</v>
      </c>
      <c r="AA130" s="924">
        <v>4280.0954028899996</v>
      </c>
      <c r="AB130" s="924">
        <v>4148.3749045899986</v>
      </c>
      <c r="AC130" s="924">
        <v>4105.0732504000007</v>
      </c>
      <c r="AD130" s="924">
        <v>4076.5715580800002</v>
      </c>
      <c r="AE130" s="924">
        <v>4044.8894093599997</v>
      </c>
      <c r="AF130" s="924">
        <v>3984.8798581599999</v>
      </c>
      <c r="AG130" s="924">
        <v>3973.3843383000008</v>
      </c>
      <c r="AH130" s="924">
        <v>4061.5642722199991</v>
      </c>
      <c r="AI130" s="924">
        <v>4055.5959145800007</v>
      </c>
      <c r="AJ130" s="924">
        <v>4085.7634799400003</v>
      </c>
      <c r="AK130" s="924">
        <v>4134.16997455</v>
      </c>
      <c r="AL130" s="924">
        <v>4183.8749125499999</v>
      </c>
      <c r="AM130" s="924">
        <v>4194.8297650300001</v>
      </c>
      <c r="AN130" s="64">
        <f>+AN131+AN148</f>
        <v>5277.0045758400001</v>
      </c>
      <c r="AO130" s="64">
        <v>5263.6762534799991</v>
      </c>
      <c r="AP130" s="64">
        <v>8752.267025510002</v>
      </c>
      <c r="AQ130" s="64">
        <v>8782.5002433699992</v>
      </c>
      <c r="AR130" s="64">
        <v>9119.3026245500005</v>
      </c>
      <c r="AS130" s="64">
        <v>9404.2416536599994</v>
      </c>
      <c r="AT130" s="64">
        <v>6448.1196583299989</v>
      </c>
      <c r="AU130" s="64">
        <v>6398.3387428200003</v>
      </c>
      <c r="AV130" s="64">
        <v>6413.4397930100004</v>
      </c>
      <c r="AW130" s="64">
        <v>5477.4796652799996</v>
      </c>
      <c r="AX130" s="64">
        <v>5499.1482576100007</v>
      </c>
      <c r="AY130" s="64">
        <v>5669.5932613900004</v>
      </c>
      <c r="AZ130" s="64">
        <f>+AZ131+AZ147+AZ148</f>
        <v>11757.2898</v>
      </c>
      <c r="BA130" s="64">
        <v>11879.377041610001</v>
      </c>
      <c r="BB130" s="64">
        <v>11786.481538290001</v>
      </c>
      <c r="BC130" s="64">
        <v>11682.832690770001</v>
      </c>
      <c r="BD130" s="64">
        <v>10329.71444492</v>
      </c>
      <c r="BE130" s="924">
        <v>10407.159393690001</v>
      </c>
      <c r="BF130" s="924">
        <v>10330.194343219999</v>
      </c>
      <c r="BG130" s="924">
        <v>10231.719556959999</v>
      </c>
      <c r="BH130" s="924">
        <v>10129.558581180001</v>
      </c>
      <c r="BI130" s="924">
        <v>9980.83967132</v>
      </c>
      <c r="BJ130" s="924">
        <v>9889.2058554699997</v>
      </c>
      <c r="BK130" s="924">
        <v>9791.4947008899999</v>
      </c>
      <c r="BL130" s="102">
        <v>9684.8110154400001</v>
      </c>
      <c r="BM130" s="64">
        <f t="shared" ref="BM130:DH130" si="474">+BM131+BM147+BM148</f>
        <v>9958.184054659996</v>
      </c>
      <c r="BN130" s="64">
        <f t="shared" si="474"/>
        <v>9918.5684883099984</v>
      </c>
      <c r="BO130" s="64">
        <f t="shared" si="474"/>
        <v>9910.3091681599981</v>
      </c>
      <c r="BP130" s="64">
        <f t="shared" si="474"/>
        <v>9898.6211472699979</v>
      </c>
      <c r="BQ130" s="924">
        <f t="shared" si="474"/>
        <v>9880.2476293999971</v>
      </c>
      <c r="BR130" s="924">
        <f t="shared" si="474"/>
        <v>9870.8200129499983</v>
      </c>
      <c r="BS130" s="924">
        <f t="shared" si="474"/>
        <v>9859.7701533599975</v>
      </c>
      <c r="BT130" s="924">
        <f t="shared" si="474"/>
        <v>9827.7183388599988</v>
      </c>
      <c r="BU130" s="924">
        <f t="shared" si="474"/>
        <v>9807.4091476999965</v>
      </c>
      <c r="BV130" s="924">
        <f t="shared" si="474"/>
        <v>9792.672129569999</v>
      </c>
      <c r="BW130" s="924">
        <f t="shared" si="474"/>
        <v>9826.0702565499978</v>
      </c>
      <c r="BX130" s="924">
        <f t="shared" si="474"/>
        <v>9868.5442695099991</v>
      </c>
      <c r="BY130" s="924">
        <f t="shared" si="474"/>
        <v>9999.9245089300002</v>
      </c>
      <c r="BZ130" s="924">
        <f t="shared" si="474"/>
        <v>10163.728241899998</v>
      </c>
      <c r="CA130" s="924">
        <f t="shared" si="474"/>
        <v>10343.610198169999</v>
      </c>
      <c r="CB130" s="924">
        <f t="shared" si="474"/>
        <v>10342.295149219999</v>
      </c>
      <c r="CC130" s="924">
        <f t="shared" si="474"/>
        <v>10343.609041150001</v>
      </c>
      <c r="CD130" s="924">
        <f t="shared" si="474"/>
        <v>10329.693111119999</v>
      </c>
      <c r="CE130" s="924">
        <f t="shared" si="474"/>
        <v>10405.714057919999</v>
      </c>
      <c r="CF130" s="924">
        <f t="shared" si="474"/>
        <v>10438.713748029999</v>
      </c>
      <c r="CG130" s="924">
        <f t="shared" si="474"/>
        <v>10522.86709358</v>
      </c>
      <c r="CH130" s="924">
        <f t="shared" si="474"/>
        <v>10685.927440070001</v>
      </c>
      <c r="CI130" s="924">
        <f t="shared" si="474"/>
        <v>10917.044224240002</v>
      </c>
      <c r="CJ130" s="924">
        <f t="shared" si="474"/>
        <v>11019.617097990002</v>
      </c>
      <c r="CK130" s="924">
        <f t="shared" si="474"/>
        <v>11012.197713150001</v>
      </c>
      <c r="CL130" s="924">
        <f t="shared" si="474"/>
        <v>11057.995940789999</v>
      </c>
      <c r="CM130" s="924">
        <f t="shared" si="474"/>
        <v>11024.853942010002</v>
      </c>
      <c r="CN130" s="924">
        <f t="shared" si="474"/>
        <v>11021.826592730002</v>
      </c>
      <c r="CO130" s="924">
        <f t="shared" si="474"/>
        <v>11060.67977966</v>
      </c>
      <c r="CP130" s="924">
        <f t="shared" si="474"/>
        <v>11216.230672489999</v>
      </c>
      <c r="CQ130" s="924">
        <f t="shared" si="474"/>
        <v>11258.28789381</v>
      </c>
      <c r="CR130" s="924">
        <f t="shared" si="474"/>
        <v>11287.311768569998</v>
      </c>
      <c r="CS130" s="924">
        <f t="shared" si="474"/>
        <v>11258.655083559999</v>
      </c>
      <c r="CT130" s="924">
        <f t="shared" si="474"/>
        <v>11339.400981390001</v>
      </c>
      <c r="CU130" s="924">
        <f t="shared" si="474"/>
        <v>11394.479000229998</v>
      </c>
      <c r="CV130" s="924">
        <f t="shared" si="474"/>
        <v>11453.022646309999</v>
      </c>
      <c r="CW130" s="924">
        <f t="shared" si="474"/>
        <v>11419.876536579999</v>
      </c>
      <c r="CX130" s="924">
        <f t="shared" si="474"/>
        <v>11477.156950749999</v>
      </c>
      <c r="CY130" s="924">
        <f t="shared" si="474"/>
        <v>11529.61412034</v>
      </c>
      <c r="CZ130" s="924">
        <f t="shared" si="474"/>
        <v>11501.607676250002</v>
      </c>
      <c r="DA130" s="924">
        <f t="shared" si="474"/>
        <v>11468.736441180001</v>
      </c>
      <c r="DB130" s="924">
        <f t="shared" si="474"/>
        <v>11375.36476323</v>
      </c>
      <c r="DC130" s="924">
        <f t="shared" si="474"/>
        <v>11296.451047400002</v>
      </c>
      <c r="DD130" s="924">
        <f t="shared" si="474"/>
        <v>11302.161876899998</v>
      </c>
      <c r="DE130" s="924">
        <f t="shared" si="474"/>
        <v>11258.98729039</v>
      </c>
      <c r="DF130" s="924">
        <f t="shared" si="474"/>
        <v>11203.620936080002</v>
      </c>
      <c r="DG130" s="924">
        <f t="shared" si="474"/>
        <v>11208.027942850003</v>
      </c>
      <c r="DH130" s="924">
        <f t="shared" si="474"/>
        <v>11172.775860490001</v>
      </c>
      <c r="DJ130" s="924" t="e">
        <f t="shared" ref="DJ130:FU130" si="475">+DJ131+DJ147+DJ148</f>
        <v>#VALUE!</v>
      </c>
      <c r="DK130" s="924" t="e">
        <f t="shared" si="475"/>
        <v>#VALUE!</v>
      </c>
      <c r="DL130" s="924" t="e">
        <f t="shared" si="475"/>
        <v>#VALUE!</v>
      </c>
      <c r="DM130" s="924" t="e">
        <f t="shared" si="475"/>
        <v>#VALUE!</v>
      </c>
      <c r="DN130" s="924" t="e">
        <f t="shared" si="475"/>
        <v>#VALUE!</v>
      </c>
      <c r="DO130" s="924" t="e">
        <f t="shared" si="475"/>
        <v>#VALUE!</v>
      </c>
      <c r="DP130" s="924" t="e">
        <f t="shared" si="475"/>
        <v>#VALUE!</v>
      </c>
      <c r="DQ130" s="924" t="e">
        <f t="shared" si="475"/>
        <v>#VALUE!</v>
      </c>
      <c r="DR130" s="924" t="e">
        <f t="shared" si="475"/>
        <v>#VALUE!</v>
      </c>
      <c r="DS130" s="924" t="e">
        <f t="shared" si="475"/>
        <v>#VALUE!</v>
      </c>
      <c r="DT130" s="924" t="e">
        <f t="shared" si="475"/>
        <v>#VALUE!</v>
      </c>
      <c r="DU130" s="924" t="e">
        <f t="shared" si="475"/>
        <v>#VALUE!</v>
      </c>
      <c r="DV130" s="279"/>
      <c r="DW130" s="924">
        <f t="shared" si="475"/>
        <v>4326.657476490418</v>
      </c>
      <c r="DX130" s="924">
        <f t="shared" si="475"/>
        <v>9568.6520170793065</v>
      </c>
      <c r="DY130" s="924">
        <f t="shared" si="475"/>
        <v>10302.750653114861</v>
      </c>
      <c r="DZ130" s="924">
        <f t="shared" si="475"/>
        <v>10364.011559442637</v>
      </c>
      <c r="EA130" s="924">
        <f t="shared" si="475"/>
        <v>10924.828927280832</v>
      </c>
      <c r="EB130" s="924">
        <f t="shared" si="475"/>
        <v>9877.3023336086098</v>
      </c>
      <c r="EC130" s="924">
        <f t="shared" si="475"/>
        <v>9982.9826843808314</v>
      </c>
      <c r="ED130" s="924">
        <f t="shared" si="475"/>
        <v>10027.644979597499</v>
      </c>
      <c r="EE130" s="924">
        <f t="shared" si="475"/>
        <v>10074.275330369721</v>
      </c>
      <c r="EF130" s="924">
        <f t="shared" si="475"/>
        <v>10177.598736697499</v>
      </c>
      <c r="EG130" s="924">
        <f t="shared" si="475"/>
        <v>10233.367976358608</v>
      </c>
      <c r="EH130" s="924">
        <f t="shared" si="475"/>
        <v>10273.266382686386</v>
      </c>
      <c r="EI130" s="924">
        <f t="shared" si="475"/>
        <v>5408.8942676300003</v>
      </c>
      <c r="EJ130" s="924">
        <f t="shared" si="475"/>
        <v>5327.2767587567996</v>
      </c>
      <c r="EK130" s="924">
        <f t="shared" si="475"/>
        <v>4384.4525739551955</v>
      </c>
      <c r="EL130" s="924">
        <f t="shared" si="475"/>
        <v>4290.3439802623207</v>
      </c>
      <c r="EM130" s="924">
        <f t="shared" si="475"/>
        <v>4200.2116873671621</v>
      </c>
      <c r="EN130" s="924">
        <f t="shared" si="475"/>
        <v>4152.3966432378083</v>
      </c>
      <c r="EO130" s="924">
        <f t="shared" si="475"/>
        <v>4102.5253245902968</v>
      </c>
      <c r="EP130" s="924">
        <f t="shared" si="475"/>
        <v>4043.7914824053505</v>
      </c>
      <c r="EQ130" s="924">
        <f t="shared" si="475"/>
        <v>3988.2839509578043</v>
      </c>
      <c r="ER130" s="924">
        <f t="shared" si="475"/>
        <v>3920.8736778181583</v>
      </c>
      <c r="ES130" s="924">
        <f t="shared" si="475"/>
        <v>3855.3617726540997</v>
      </c>
      <c r="ET130" s="924">
        <f t="shared" si="475"/>
        <v>3792.8443007466003</v>
      </c>
      <c r="EU130" s="924">
        <f t="shared" si="475"/>
        <v>9694.68826640109</v>
      </c>
      <c r="EV130" s="924">
        <f t="shared" si="475"/>
        <v>9632.8763819196811</v>
      </c>
      <c r="EW130" s="924">
        <f t="shared" si="475"/>
        <v>9577.7019644903539</v>
      </c>
      <c r="EX130" s="924">
        <f t="shared" si="475"/>
        <v>9523.1351283100357</v>
      </c>
      <c r="EY130" s="924">
        <f t="shared" si="475"/>
        <v>9469.3157686535287</v>
      </c>
      <c r="EZ130" s="924">
        <f t="shared" si="475"/>
        <v>9416.5064234883394</v>
      </c>
      <c r="FA130" s="924">
        <f t="shared" si="475"/>
        <v>9366.7709524184684</v>
      </c>
      <c r="FB130" s="924">
        <f t="shared" si="475"/>
        <v>9319.4057047075239</v>
      </c>
      <c r="FC130" s="924">
        <f t="shared" si="475"/>
        <v>9272.17367207594</v>
      </c>
      <c r="FD130" s="924">
        <f t="shared" si="475"/>
        <v>9225.0108169443592</v>
      </c>
      <c r="FE130" s="924">
        <f t="shared" si="475"/>
        <v>9177.8601188440261</v>
      </c>
      <c r="FF130" s="924">
        <f t="shared" si="475"/>
        <v>9129.728419177889</v>
      </c>
      <c r="FG130" s="924" t="e">
        <f t="shared" si="475"/>
        <v>#VALUE!</v>
      </c>
      <c r="FH130" s="924" t="e">
        <f t="shared" si="475"/>
        <v>#VALUE!</v>
      </c>
      <c r="FI130" s="924" t="e">
        <f t="shared" si="475"/>
        <v>#VALUE!</v>
      </c>
      <c r="FJ130" s="924" t="e">
        <f t="shared" si="475"/>
        <v>#VALUE!</v>
      </c>
      <c r="FK130" s="924" t="e">
        <f t="shared" si="475"/>
        <v>#VALUE!</v>
      </c>
      <c r="FL130" s="924" t="e">
        <f t="shared" si="475"/>
        <v>#VALUE!</v>
      </c>
      <c r="FM130" s="924" t="e">
        <f t="shared" si="475"/>
        <v>#VALUE!</v>
      </c>
      <c r="FN130" s="924" t="e">
        <f t="shared" si="475"/>
        <v>#VALUE!</v>
      </c>
      <c r="FO130" s="924" t="e">
        <f t="shared" si="475"/>
        <v>#VALUE!</v>
      </c>
      <c r="FP130" s="924" t="e">
        <f t="shared" si="475"/>
        <v>#VALUE!</v>
      </c>
      <c r="FQ130" s="924" t="e">
        <f t="shared" si="475"/>
        <v>#VALUE!</v>
      </c>
      <c r="FR130" s="924" t="e">
        <f t="shared" si="475"/>
        <v>#VALUE!</v>
      </c>
      <c r="FS130" s="924" t="e">
        <f t="shared" si="475"/>
        <v>#VALUE!</v>
      </c>
      <c r="FT130" s="924" t="e">
        <f t="shared" si="475"/>
        <v>#VALUE!</v>
      </c>
      <c r="FU130" s="924" t="e">
        <f t="shared" si="475"/>
        <v>#VALUE!</v>
      </c>
      <c r="FV130" s="924" t="e">
        <f t="shared" ref="FV130:GD130" si="476">+FV131+FV147+FV148</f>
        <v>#VALUE!</v>
      </c>
      <c r="FW130" s="924" t="e">
        <f t="shared" si="476"/>
        <v>#VALUE!</v>
      </c>
      <c r="FX130" s="924" t="e">
        <f t="shared" si="476"/>
        <v>#VALUE!</v>
      </c>
      <c r="FY130" s="924" t="e">
        <f t="shared" si="476"/>
        <v>#VALUE!</v>
      </c>
      <c r="FZ130" s="924" t="e">
        <f t="shared" si="476"/>
        <v>#VALUE!</v>
      </c>
      <c r="GA130" s="924" t="e">
        <f t="shared" si="476"/>
        <v>#VALUE!</v>
      </c>
      <c r="GB130" s="924" t="e">
        <f t="shared" si="476"/>
        <v>#VALUE!</v>
      </c>
      <c r="GC130" s="924" t="e">
        <f t="shared" si="476"/>
        <v>#VALUE!</v>
      </c>
      <c r="GD130" s="924" t="e">
        <f t="shared" si="476"/>
        <v>#VALUE!</v>
      </c>
      <c r="GF130" s="924">
        <f t="shared" si="458"/>
        <v>4335.8611459100011</v>
      </c>
      <c r="GG130" s="924">
        <f t="shared" si="458"/>
        <v>4148.3749045899986</v>
      </c>
      <c r="GH130" s="924">
        <f t="shared" si="458"/>
        <v>5277.0045758400001</v>
      </c>
      <c r="GI130" s="924">
        <f t="shared" si="458"/>
        <v>11757.2898</v>
      </c>
      <c r="GJ130" s="924">
        <f t="shared" si="434"/>
        <v>9684.8110154400001</v>
      </c>
      <c r="GK130" s="924">
        <f t="shared" si="407"/>
        <v>9868.5442695099991</v>
      </c>
      <c r="GL130" s="924">
        <f t="shared" si="435"/>
        <v>11019.617097990002</v>
      </c>
      <c r="GM130" s="924">
        <f t="shared" si="408"/>
        <v>11453.022646309999</v>
      </c>
      <c r="GN130" s="924" t="e">
        <f t="shared" si="409"/>
        <v>#VALUE!</v>
      </c>
      <c r="GO130" s="924">
        <v>11172.775860490001</v>
      </c>
      <c r="GQ130" s="927">
        <f t="shared" si="459"/>
        <v>0.2720654948522665</v>
      </c>
      <c r="GR130" s="927">
        <f t="shared" si="459"/>
        <v>1.2280234233316842</v>
      </c>
      <c r="GS130" s="927">
        <f t="shared" si="459"/>
        <v>-0.17627181262130664</v>
      </c>
      <c r="GT130" s="927">
        <f t="shared" si="459"/>
        <v>1.8971279230651117E-2</v>
      </c>
      <c r="GU130" s="927">
        <f t="shared" si="459"/>
        <v>0.11664059024757822</v>
      </c>
      <c r="GV130" s="927">
        <f t="shared" si="459"/>
        <v>3.933036370193399E-2</v>
      </c>
      <c r="GW130" s="927" t="str">
        <f t="shared" si="399"/>
        <v/>
      </c>
      <c r="GX130" s="927" t="str">
        <f t="shared" si="399"/>
        <v/>
      </c>
      <c r="GY130" s="927">
        <f t="shared" si="249"/>
        <v>-2.4469242266825453E-2</v>
      </c>
      <c r="HA130" s="924">
        <f t="shared" si="460"/>
        <v>1128.6296712500016</v>
      </c>
      <c r="HB130" s="924">
        <f t="shared" si="460"/>
        <v>6480.2852241600003</v>
      </c>
      <c r="HC130" s="924">
        <f t="shared" si="460"/>
        <v>-2072.4787845600003</v>
      </c>
      <c r="HD130" s="924">
        <f t="shared" si="460"/>
        <v>183.73325406999902</v>
      </c>
      <c r="HE130" s="924">
        <f t="shared" si="400"/>
        <v>1151.0728284800025</v>
      </c>
      <c r="HF130" s="924">
        <f t="shared" si="400"/>
        <v>433.40554831999725</v>
      </c>
      <c r="HG130" s="924" t="e">
        <f t="shared" si="400"/>
        <v>#VALUE!</v>
      </c>
      <c r="HH130" s="924" t="e">
        <f t="shared" si="400"/>
        <v>#VALUE!</v>
      </c>
      <c r="HI130" s="924">
        <f t="shared" si="251"/>
        <v>-280.24678581999797</v>
      </c>
      <c r="HK130" s="973"/>
      <c r="HL130" s="973"/>
      <c r="HM130" s="973"/>
      <c r="HN130" s="973"/>
      <c r="HO130" s="973"/>
      <c r="HP130" s="973"/>
      <c r="HQ130" s="973"/>
      <c r="HR130" s="973"/>
      <c r="HS130" s="973"/>
      <c r="HU130" s="924">
        <f t="shared" si="461"/>
        <v>4311.2161475899993</v>
      </c>
      <c r="HV130" s="924">
        <f t="shared" si="461"/>
        <v>4492.6144109800016</v>
      </c>
      <c r="HW130" s="924">
        <f t="shared" si="461"/>
        <v>4061.5642722199991</v>
      </c>
      <c r="HX130" s="924">
        <f t="shared" si="461"/>
        <v>6448.1196583299989</v>
      </c>
      <c r="HY130" s="924">
        <f t="shared" si="462"/>
        <v>10330.194343219999</v>
      </c>
      <c r="HZ130" s="924">
        <f t="shared" si="453"/>
        <v>9870.8200129499983</v>
      </c>
      <c r="IA130" s="924">
        <f t="shared" si="414"/>
        <v>10329.693111119999</v>
      </c>
      <c r="IB130" s="924">
        <f t="shared" si="415"/>
        <v>11216.230672489999</v>
      </c>
      <c r="IC130" s="924">
        <f t="shared" si="416"/>
        <v>11375.36476323</v>
      </c>
      <c r="ID130" s="924" t="e">
        <f t="shared" si="417"/>
        <v>#VALUE!</v>
      </c>
      <c r="IE130" s="924" t="e">
        <f t="shared" si="463"/>
        <v>#VALUE!</v>
      </c>
      <c r="IG130" s="924" t="e">
        <f t="shared" si="464"/>
        <v>#VALUE!</v>
      </c>
      <c r="IH130" s="924" t="e">
        <f t="shared" si="465"/>
        <v>#VALUE!</v>
      </c>
      <c r="II130" s="145"/>
      <c r="IJ130" s="927" t="str">
        <f t="shared" si="466"/>
        <v>NA</v>
      </c>
      <c r="IK130" s="928" t="str">
        <f t="shared" si="467"/>
        <v>NA</v>
      </c>
      <c r="IM130" s="973"/>
      <c r="IN130" s="973"/>
      <c r="IP130" s="927">
        <f t="shared" ref="IP130:IU156" si="477">+IFERROR(HW130/HV130-1,"")</f>
        <v>-9.5946390971482165E-2</v>
      </c>
      <c r="IQ130" s="927">
        <f t="shared" si="477"/>
        <v>0.58759512989450724</v>
      </c>
      <c r="IR130" s="927">
        <f t="shared" si="477"/>
        <v>0.60204755658883347</v>
      </c>
      <c r="IS130" s="927">
        <f t="shared" si="477"/>
        <v>-4.4469088867771456E-2</v>
      </c>
      <c r="IT130" s="927">
        <f t="shared" si="477"/>
        <v>4.6487839669650866E-2</v>
      </c>
      <c r="IU130" s="927">
        <f t="shared" si="477"/>
        <v>8.5824191661186378E-2</v>
      </c>
      <c r="IV130" s="927" t="str">
        <f t="shared" ref="IV130:IV156" si="478">+IFERROR(IE130/IB130-1,"")</f>
        <v/>
      </c>
      <c r="IX130" s="924">
        <f t="shared" si="422"/>
        <v>-431.05013876000248</v>
      </c>
      <c r="IY130" s="924">
        <f t="shared" si="422"/>
        <v>2386.5553861099997</v>
      </c>
      <c r="IZ130" s="924">
        <f t="shared" si="422"/>
        <v>3882.0746848899998</v>
      </c>
      <c r="JA130" s="924">
        <f t="shared" si="422"/>
        <v>-459.37433027000043</v>
      </c>
      <c r="JB130" s="924">
        <f t="shared" si="422"/>
        <v>458.87309817000096</v>
      </c>
      <c r="JC130" s="924">
        <f t="shared" si="422"/>
        <v>886.53756136999982</v>
      </c>
      <c r="JD130" s="924" t="e">
        <f t="shared" si="423"/>
        <v>#VALUE!</v>
      </c>
      <c r="JF130" s="973"/>
      <c r="JG130" s="973"/>
      <c r="JH130" s="973"/>
      <c r="JI130" s="973"/>
      <c r="JJ130" s="973"/>
      <c r="JK130" s="973"/>
      <c r="JL130" s="973"/>
      <c r="JM130" s="973"/>
      <c r="JO130" s="924">
        <f t="shared" si="469"/>
        <v>4311.2161475899993</v>
      </c>
      <c r="JP130" s="924">
        <f t="shared" si="469"/>
        <v>4492.6144109800016</v>
      </c>
      <c r="JQ130" s="924">
        <f t="shared" si="469"/>
        <v>4061.5642722199991</v>
      </c>
      <c r="JR130" s="924">
        <f t="shared" si="469"/>
        <v>6448.1196583299989</v>
      </c>
      <c r="JS130" s="924">
        <f t="shared" si="469"/>
        <v>10330.194343219999</v>
      </c>
      <c r="JT130" s="924">
        <f t="shared" si="425"/>
        <v>9870.8200129499983</v>
      </c>
      <c r="JU130" s="924">
        <f t="shared" si="426"/>
        <v>10329.693111119999</v>
      </c>
      <c r="JV130" s="924">
        <f t="shared" si="470"/>
        <v>11216.230672489999</v>
      </c>
      <c r="JW130" s="924">
        <f t="shared" si="470"/>
        <v>11375.36476323</v>
      </c>
      <c r="JX130" s="924" t="e">
        <f t="shared" si="428"/>
        <v>#VALUE!</v>
      </c>
      <c r="JY130" s="924" t="e">
        <f t="shared" si="471"/>
        <v>#VALUE!</v>
      </c>
      <c r="KB130" s="76">
        <f t="shared" si="472"/>
        <v>-9.5946390971482165E-2</v>
      </c>
      <c r="KC130" s="76">
        <f t="shared" si="472"/>
        <v>0.58759512989450724</v>
      </c>
      <c r="KD130" s="76">
        <f t="shared" si="472"/>
        <v>0.60204755658883347</v>
      </c>
      <c r="KE130" s="76">
        <f t="shared" si="472"/>
        <v>-4.4469088867771456E-2</v>
      </c>
      <c r="KF130" s="76">
        <f t="shared" si="472"/>
        <v>4.6487839669650866E-2</v>
      </c>
      <c r="KG130" s="76">
        <f t="shared" si="472"/>
        <v>8.5824191661186378E-2</v>
      </c>
      <c r="KH130" s="76" t="str">
        <f t="shared" si="431"/>
        <v xml:space="preserve"> </v>
      </c>
      <c r="KJ130" s="924">
        <f t="shared" si="473"/>
        <v>-431.05013876000248</v>
      </c>
      <c r="KK130" s="924">
        <f t="shared" si="473"/>
        <v>2386.5553861099997</v>
      </c>
      <c r="KL130" s="924">
        <f t="shared" si="473"/>
        <v>3882.0746848899998</v>
      </c>
      <c r="KM130" s="924">
        <f t="shared" si="473"/>
        <v>-459.37433027000043</v>
      </c>
      <c r="KN130" s="924">
        <f t="shared" si="473"/>
        <v>458.87309817000096</v>
      </c>
      <c r="KO130" s="924">
        <f t="shared" si="473"/>
        <v>886.53756136999982</v>
      </c>
      <c r="KP130" s="924" t="e">
        <f t="shared" si="433"/>
        <v>#VALUE!</v>
      </c>
      <c r="KR130" s="973"/>
      <c r="KS130" s="973"/>
      <c r="KT130" s="973"/>
      <c r="KU130" s="973"/>
      <c r="KV130" s="973"/>
      <c r="KW130" s="973"/>
      <c r="KX130" s="973"/>
      <c r="KY130" s="973"/>
      <c r="KZ130" s="973"/>
    </row>
    <row r="131" spans="1:312" outlineLevel="2">
      <c r="A131" s="884"/>
      <c r="B131" s="70"/>
      <c r="C131" s="29" t="s">
        <v>123</v>
      </c>
      <c r="D131" s="31" t="s">
        <v>59</v>
      </c>
      <c r="E131" s="102">
        <v>6049.6312850699996</v>
      </c>
      <c r="F131" s="102">
        <v>6190.6579952800003</v>
      </c>
      <c r="G131" s="102">
        <v>6540.0942892800003</v>
      </c>
      <c r="H131" s="102">
        <v>6659.6536232800008</v>
      </c>
      <c r="I131" s="102">
        <v>6723.6122072799999</v>
      </c>
      <c r="J131" s="102">
        <v>6819.7586787199998</v>
      </c>
      <c r="K131" s="102">
        <v>6845.9665927199994</v>
      </c>
      <c r="L131" s="102">
        <v>6823.2496857199994</v>
      </c>
      <c r="M131" s="102">
        <v>6830.3006287199996</v>
      </c>
      <c r="N131" s="102">
        <v>6862.6761962799992</v>
      </c>
      <c r="O131" s="102">
        <v>6857.06075728</v>
      </c>
      <c r="P131" s="102">
        <v>7038.8459994900004</v>
      </c>
      <c r="Q131" s="102">
        <v>7153.6967559899995</v>
      </c>
      <c r="R131" s="102">
        <v>7231.071853370001</v>
      </c>
      <c r="S131" s="102">
        <v>7361.3141713700006</v>
      </c>
      <c r="T131" s="102">
        <v>7457.4084166600005</v>
      </c>
      <c r="U131" s="102">
        <v>7517.6129969500016</v>
      </c>
      <c r="V131" s="102">
        <v>7570.8746042800012</v>
      </c>
      <c r="W131" s="102">
        <v>7623.8584269900011</v>
      </c>
      <c r="X131" s="102">
        <v>7671.49110827</v>
      </c>
      <c r="Y131" s="102">
        <v>7821.6667585699997</v>
      </c>
      <c r="Z131" s="102">
        <v>7826.5196185700006</v>
      </c>
      <c r="AA131" s="102">
        <v>7585.6853319299989</v>
      </c>
      <c r="AB131" s="102">
        <v>7272.8061216399983</v>
      </c>
      <c r="AC131" s="102">
        <v>7280.2317804499999</v>
      </c>
      <c r="AD131" s="102">
        <v>7302.70065213</v>
      </c>
      <c r="AE131" s="102">
        <v>7321.66809337</v>
      </c>
      <c r="AF131" s="102">
        <v>7050.9006003699997</v>
      </c>
      <c r="AG131" s="102">
        <v>7083.4706535100004</v>
      </c>
      <c r="AH131" s="102">
        <v>7271.8474564299995</v>
      </c>
      <c r="AI131" s="102">
        <v>7317.5681217900001</v>
      </c>
      <c r="AJ131" s="102">
        <v>7399.08900515</v>
      </c>
      <c r="AK131" s="102">
        <v>7503.8889567599999</v>
      </c>
      <c r="AL131" s="102">
        <v>7598.9103117599998</v>
      </c>
      <c r="AM131" s="102">
        <v>7660.5610282799998</v>
      </c>
      <c r="AN131" s="102">
        <v>8565.0381131300001</v>
      </c>
      <c r="AO131" s="220">
        <v>8551.709790769999</v>
      </c>
      <c r="AP131" s="220">
        <v>12111.026066940001</v>
      </c>
      <c r="AQ131" s="220">
        <v>12108.38772694</v>
      </c>
      <c r="AR131" s="220">
        <v>12627.802743420001</v>
      </c>
      <c r="AS131" s="220">
        <v>13079.235672479999</v>
      </c>
      <c r="AT131" s="220">
        <v>10152.561841109999</v>
      </c>
      <c r="AU131" s="220">
        <v>10188.516431030001</v>
      </c>
      <c r="AV131" s="220">
        <v>10262.776568470001</v>
      </c>
      <c r="AW131" s="220">
        <v>9344.2730644900003</v>
      </c>
      <c r="AX131" s="220">
        <v>9436.5521026900005</v>
      </c>
      <c r="AY131" s="220">
        <v>9687.4023056900005</v>
      </c>
      <c r="AZ131" s="220">
        <f>+SUM(AZ132,AZ133,AZ137,AZ141,AZ144,AZ145,AZ146)</f>
        <v>15077.8968</v>
      </c>
      <c r="BA131" s="220">
        <v>15077.104035279999</v>
      </c>
      <c r="BB131" s="220">
        <v>15087.954428959998</v>
      </c>
      <c r="BC131" s="220">
        <v>15087.936078289998</v>
      </c>
      <c r="BD131" s="220">
        <v>13837.936078289998</v>
      </c>
      <c r="BE131" s="102">
        <v>13913.088262539999</v>
      </c>
      <c r="BF131" s="102">
        <v>13906.10383629</v>
      </c>
      <c r="BG131" s="102">
        <v>13889.68106873</v>
      </c>
      <c r="BH131" s="102">
        <v>13889.66455313</v>
      </c>
      <c r="BI131" s="102">
        <v>13800.55611713</v>
      </c>
      <c r="BJ131" s="102">
        <v>13807.863881130001</v>
      </c>
      <c r="BK131" s="102">
        <v>13808.661611399999</v>
      </c>
      <c r="BL131" s="102">
        <v>13840.526737699998</v>
      </c>
      <c r="BM131" s="220">
        <f t="shared" ref="BM131:DH131" si="479">+SUM(BM132,BM133,BM137,BM141,BM144,BM145,BM146)</f>
        <v>14165.538623699997</v>
      </c>
      <c r="BN131" s="220">
        <f t="shared" si="479"/>
        <v>14172.224043699998</v>
      </c>
      <c r="BO131" s="220">
        <f t="shared" si="479"/>
        <v>14209.751870669998</v>
      </c>
      <c r="BP131" s="220">
        <f t="shared" si="479"/>
        <v>14243.763099669997</v>
      </c>
      <c r="BQ131" s="102">
        <f t="shared" si="479"/>
        <v>14271.210686729997</v>
      </c>
      <c r="BR131" s="102">
        <f t="shared" si="479"/>
        <v>14307.578971729998</v>
      </c>
      <c r="BS131" s="102">
        <f t="shared" si="479"/>
        <v>14341.690421729998</v>
      </c>
      <c r="BT131" s="102">
        <f t="shared" si="479"/>
        <v>14354.206949509999</v>
      </c>
      <c r="BU131" s="102">
        <f t="shared" si="479"/>
        <v>14377.840349509997</v>
      </c>
      <c r="BV131" s="102">
        <f t="shared" si="479"/>
        <v>14403.566400739999</v>
      </c>
      <c r="BW131" s="102">
        <f t="shared" si="479"/>
        <v>14474.647648469998</v>
      </c>
      <c r="BX131" s="102">
        <f t="shared" si="479"/>
        <v>14550.735922530001</v>
      </c>
      <c r="BY131" s="102">
        <f t="shared" si="479"/>
        <v>14716.77978013</v>
      </c>
      <c r="BZ131" s="102">
        <f t="shared" si="479"/>
        <v>14916.759634709999</v>
      </c>
      <c r="CA131" s="102">
        <f t="shared" si="479"/>
        <v>15132.765712709999</v>
      </c>
      <c r="CB131" s="102">
        <f t="shared" si="479"/>
        <v>15165.451621709999</v>
      </c>
      <c r="CC131" s="102">
        <f t="shared" si="479"/>
        <v>15200.901522460001</v>
      </c>
      <c r="CD131" s="102">
        <f t="shared" si="479"/>
        <v>15221.31461247</v>
      </c>
      <c r="CE131" s="102">
        <f t="shared" si="479"/>
        <v>15331.32292216</v>
      </c>
      <c r="CF131" s="102">
        <f t="shared" si="479"/>
        <v>15399.631259849999</v>
      </c>
      <c r="CG131" s="102">
        <f t="shared" si="479"/>
        <v>15519.38850078</v>
      </c>
      <c r="CH131" s="102">
        <f t="shared" si="479"/>
        <v>15718.877391880002</v>
      </c>
      <c r="CI131" s="102">
        <f t="shared" si="479"/>
        <v>15987.327888240003</v>
      </c>
      <c r="CJ131" s="102">
        <f t="shared" si="479"/>
        <v>16128.458083650001</v>
      </c>
      <c r="CK131" s="102">
        <f t="shared" si="479"/>
        <v>16162.26467889</v>
      </c>
      <c r="CL131" s="102">
        <f t="shared" si="479"/>
        <v>16249.72234097</v>
      </c>
      <c r="CM131" s="102">
        <f t="shared" si="479"/>
        <v>16258.490415900002</v>
      </c>
      <c r="CN131" s="102">
        <f t="shared" si="479"/>
        <v>16297.749876650003</v>
      </c>
      <c r="CO131" s="102">
        <f t="shared" si="479"/>
        <v>16379.055712989999</v>
      </c>
      <c r="CP131" s="102">
        <f t="shared" si="479"/>
        <v>16577.568163619999</v>
      </c>
      <c r="CQ131" s="102">
        <f t="shared" si="479"/>
        <v>16664.852390690001</v>
      </c>
      <c r="CR131" s="102">
        <f t="shared" si="479"/>
        <v>16739.552885019999</v>
      </c>
      <c r="CS131" s="102">
        <f t="shared" si="479"/>
        <v>16712.89610808</v>
      </c>
      <c r="CT131" s="102">
        <f t="shared" si="479"/>
        <v>16840.41488004</v>
      </c>
      <c r="CU131" s="102">
        <f t="shared" si="479"/>
        <v>16943.054200849998</v>
      </c>
      <c r="CV131" s="102">
        <f t="shared" si="479"/>
        <v>17049.984147949999</v>
      </c>
      <c r="CW131" s="102">
        <f t="shared" si="479"/>
        <v>17065.903016479999</v>
      </c>
      <c r="CX131" s="102">
        <f t="shared" si="479"/>
        <v>17172.456684479999</v>
      </c>
      <c r="CY131" s="102">
        <f t="shared" si="479"/>
        <v>17275.52172348</v>
      </c>
      <c r="CZ131" s="102">
        <f t="shared" si="479"/>
        <v>17299.450520480001</v>
      </c>
      <c r="DA131" s="102">
        <f t="shared" si="479"/>
        <v>17319.15854688</v>
      </c>
      <c r="DB131" s="102">
        <f t="shared" si="479"/>
        <v>17246.17713801</v>
      </c>
      <c r="DC131" s="102">
        <f t="shared" si="479"/>
        <v>17219.493302750001</v>
      </c>
      <c r="DD131" s="102">
        <f t="shared" si="479"/>
        <v>17140.527206749997</v>
      </c>
      <c r="DE131" s="102">
        <f t="shared" si="479"/>
        <v>17002.292244749999</v>
      </c>
      <c r="DF131" s="102">
        <f t="shared" si="479"/>
        <v>16999.034698750002</v>
      </c>
      <c r="DG131" s="102">
        <f t="shared" si="479"/>
        <v>17055.883940750002</v>
      </c>
      <c r="DH131" s="102">
        <f t="shared" si="479"/>
        <v>17075.98169465</v>
      </c>
      <c r="DJ131" s="220" t="e">
        <f>+SUM(DJ132,DJ133,DJ137,DJ141,DJ144,DJ145)</f>
        <v>#VALUE!</v>
      </c>
      <c r="DK131" s="220" t="e">
        <f t="shared" ref="DK131:FV131" si="480">+SUM(DK132,DK133,DK137,DK141,DK144,DK145)</f>
        <v>#VALUE!</v>
      </c>
      <c r="DL131" s="220" t="e">
        <f t="shared" si="480"/>
        <v>#VALUE!</v>
      </c>
      <c r="DM131" s="220" t="e">
        <f t="shared" si="480"/>
        <v>#VALUE!</v>
      </c>
      <c r="DN131" s="220" t="e">
        <f t="shared" si="480"/>
        <v>#VALUE!</v>
      </c>
      <c r="DO131" s="220" t="e">
        <f t="shared" si="480"/>
        <v>#VALUE!</v>
      </c>
      <c r="DP131" s="220" t="e">
        <f t="shared" si="480"/>
        <v>#VALUE!</v>
      </c>
      <c r="DQ131" s="220" t="e">
        <f t="shared" si="480"/>
        <v>#VALUE!</v>
      </c>
      <c r="DR131" s="220" t="e">
        <f t="shared" si="480"/>
        <v>#VALUE!</v>
      </c>
      <c r="DS131" s="220" t="e">
        <f t="shared" si="480"/>
        <v>#VALUE!</v>
      </c>
      <c r="DT131" s="220" t="e">
        <f t="shared" si="480"/>
        <v>#VALUE!</v>
      </c>
      <c r="DU131" s="220" t="e">
        <f t="shared" si="480"/>
        <v>#VALUE!</v>
      </c>
      <c r="DV131" s="279"/>
      <c r="DW131" s="102">
        <f t="shared" si="480"/>
        <v>7651.3930709700007</v>
      </c>
      <c r="DX131" s="102">
        <f t="shared" si="480"/>
        <v>12978.246457970001</v>
      </c>
      <c r="DY131" s="102">
        <f t="shared" si="480"/>
        <v>13780.707221636667</v>
      </c>
      <c r="DZ131" s="102">
        <f t="shared" si="480"/>
        <v>13920.841888303332</v>
      </c>
      <c r="EA131" s="102">
        <f t="shared" si="480"/>
        <v>14545.744873969999</v>
      </c>
      <c r="EB131" s="102">
        <f t="shared" si="480"/>
        <v>13558.379540636666</v>
      </c>
      <c r="EC131" s="102">
        <f t="shared" si="480"/>
        <v>13725.864207303332</v>
      </c>
      <c r="ED131" s="102">
        <f t="shared" si="480"/>
        <v>13830.948873969999</v>
      </c>
      <c r="EE131" s="102">
        <f t="shared" si="480"/>
        <v>13938.033540636665</v>
      </c>
      <c r="EF131" s="102">
        <f t="shared" si="480"/>
        <v>14103.118207303332</v>
      </c>
      <c r="EG131" s="102">
        <f t="shared" si="480"/>
        <v>14219.602873969998</v>
      </c>
      <c r="EH131" s="102">
        <f t="shared" si="480"/>
        <v>14319.787540636666</v>
      </c>
      <c r="EI131" s="102">
        <f t="shared" si="480"/>
        <v>8818.9089624600001</v>
      </c>
      <c r="EJ131" s="102">
        <f t="shared" si="480"/>
        <v>8845.9181324599995</v>
      </c>
      <c r="EK131" s="102">
        <f t="shared" si="480"/>
        <v>8007.777302460001</v>
      </c>
      <c r="EL131" s="102">
        <f t="shared" si="480"/>
        <v>8014.7864724600004</v>
      </c>
      <c r="EM131" s="102">
        <f t="shared" si="480"/>
        <v>8021.7956424600006</v>
      </c>
      <c r="EN131" s="102">
        <f t="shared" si="480"/>
        <v>8067.30481246</v>
      </c>
      <c r="EO131" s="102">
        <f t="shared" si="480"/>
        <v>8107.4139824600006</v>
      </c>
      <c r="EP131" s="102">
        <f t="shared" si="480"/>
        <v>8135.42315246</v>
      </c>
      <c r="EQ131" s="102">
        <f t="shared" si="480"/>
        <v>8163.4323224600012</v>
      </c>
      <c r="ER131" s="102">
        <f t="shared" si="480"/>
        <v>8176.4414924600005</v>
      </c>
      <c r="ES131" s="102">
        <f t="shared" si="480"/>
        <v>8188.250662460001</v>
      </c>
      <c r="ET131" s="102">
        <f t="shared" si="480"/>
        <v>8200.0598324599996</v>
      </c>
      <c r="EU131" s="102">
        <f t="shared" si="480"/>
        <v>13871.294257399999</v>
      </c>
      <c r="EV131" s="102">
        <f t="shared" si="480"/>
        <v>13871.946585399999</v>
      </c>
      <c r="EW131" s="102">
        <f t="shared" si="480"/>
        <v>13878.955755399998</v>
      </c>
      <c r="EX131" s="102">
        <f t="shared" si="480"/>
        <v>13885.964925399998</v>
      </c>
      <c r="EY131" s="102">
        <f t="shared" si="480"/>
        <v>13892.974095399999</v>
      </c>
      <c r="EZ131" s="102">
        <f t="shared" si="480"/>
        <v>13899.983265399998</v>
      </c>
      <c r="FA131" s="102">
        <f t="shared" si="480"/>
        <v>13906.9924354</v>
      </c>
      <c r="FB131" s="102">
        <f t="shared" si="480"/>
        <v>13914.001605400001</v>
      </c>
      <c r="FC131" s="102">
        <f t="shared" si="480"/>
        <v>13921.010775399998</v>
      </c>
      <c r="FD131" s="102">
        <f t="shared" si="480"/>
        <v>13928.019945399999</v>
      </c>
      <c r="FE131" s="102">
        <f t="shared" si="480"/>
        <v>13935.029115399997</v>
      </c>
      <c r="FF131" s="102">
        <f t="shared" si="480"/>
        <v>13940.838285399997</v>
      </c>
      <c r="FG131" s="102" t="e">
        <f t="shared" si="480"/>
        <v>#VALUE!</v>
      </c>
      <c r="FH131" s="102" t="e">
        <f t="shared" si="480"/>
        <v>#VALUE!</v>
      </c>
      <c r="FI131" s="102" t="e">
        <f t="shared" si="480"/>
        <v>#VALUE!</v>
      </c>
      <c r="FJ131" s="102" t="e">
        <f t="shared" si="480"/>
        <v>#VALUE!</v>
      </c>
      <c r="FK131" s="102" t="e">
        <f t="shared" si="480"/>
        <v>#VALUE!</v>
      </c>
      <c r="FL131" s="102" t="e">
        <f t="shared" si="480"/>
        <v>#VALUE!</v>
      </c>
      <c r="FM131" s="102" t="e">
        <f t="shared" si="480"/>
        <v>#VALUE!</v>
      </c>
      <c r="FN131" s="102" t="e">
        <f t="shared" si="480"/>
        <v>#VALUE!</v>
      </c>
      <c r="FO131" s="102" t="e">
        <f t="shared" si="480"/>
        <v>#VALUE!</v>
      </c>
      <c r="FP131" s="102" t="e">
        <f t="shared" si="480"/>
        <v>#VALUE!</v>
      </c>
      <c r="FQ131" s="102" t="e">
        <f t="shared" si="480"/>
        <v>#VALUE!</v>
      </c>
      <c r="FR131" s="102" t="e">
        <f t="shared" si="480"/>
        <v>#VALUE!</v>
      </c>
      <c r="FS131" s="102" t="e">
        <f t="shared" si="480"/>
        <v>#VALUE!</v>
      </c>
      <c r="FT131" s="102" t="e">
        <f t="shared" si="480"/>
        <v>#VALUE!</v>
      </c>
      <c r="FU131" s="102" t="e">
        <f t="shared" si="480"/>
        <v>#VALUE!</v>
      </c>
      <c r="FV131" s="102" t="e">
        <f t="shared" si="480"/>
        <v>#VALUE!</v>
      </c>
      <c r="FW131" s="102" t="e">
        <f t="shared" ref="FW131:GD131" si="481">+SUM(FW132,FW133,FW137,FW141,FW144,FW145)</f>
        <v>#VALUE!</v>
      </c>
      <c r="FX131" s="102" t="e">
        <f t="shared" si="481"/>
        <v>#VALUE!</v>
      </c>
      <c r="FY131" s="102" t="e">
        <f t="shared" si="481"/>
        <v>#VALUE!</v>
      </c>
      <c r="FZ131" s="102" t="e">
        <f t="shared" si="481"/>
        <v>#VALUE!</v>
      </c>
      <c r="GA131" s="102" t="e">
        <f t="shared" si="481"/>
        <v>#VALUE!</v>
      </c>
      <c r="GB131" s="102" t="e">
        <f t="shared" si="481"/>
        <v>#VALUE!</v>
      </c>
      <c r="GC131" s="102" t="e">
        <f t="shared" si="481"/>
        <v>#VALUE!</v>
      </c>
      <c r="GD131" s="102" t="e">
        <f t="shared" si="481"/>
        <v>#VALUE!</v>
      </c>
      <c r="GF131" s="102">
        <f t="shared" si="458"/>
        <v>7038.8459994900004</v>
      </c>
      <c r="GG131" s="102">
        <f t="shared" si="458"/>
        <v>7272.8061216399983</v>
      </c>
      <c r="GH131" s="102">
        <f t="shared" si="458"/>
        <v>8565.0381131300001</v>
      </c>
      <c r="GI131" s="102">
        <f t="shared" si="458"/>
        <v>15077.8968</v>
      </c>
      <c r="GJ131" s="102">
        <f t="shared" si="434"/>
        <v>13840.526737699998</v>
      </c>
      <c r="GK131" s="102">
        <f t="shared" si="407"/>
        <v>14550.735922530001</v>
      </c>
      <c r="GL131" s="102">
        <f t="shared" si="435"/>
        <v>16128.458083650001</v>
      </c>
      <c r="GM131" s="102">
        <f t="shared" si="408"/>
        <v>17049.984147949999</v>
      </c>
      <c r="GN131" s="102" t="e">
        <f t="shared" si="409"/>
        <v>#VALUE!</v>
      </c>
      <c r="GO131" s="102">
        <v>17075.98169465</v>
      </c>
      <c r="GQ131" s="929">
        <f t="shared" si="459"/>
        <v>0.17767997247238698</v>
      </c>
      <c r="GR131" s="929">
        <f t="shared" si="459"/>
        <v>0.76040043264792279</v>
      </c>
      <c r="GS131" s="929">
        <f t="shared" si="459"/>
        <v>-8.2065163246110129E-2</v>
      </c>
      <c r="GT131" s="929">
        <f t="shared" si="459"/>
        <v>5.1313739591678509E-2</v>
      </c>
      <c r="GU131" s="929">
        <f t="shared" si="459"/>
        <v>0.10842902857422443</v>
      </c>
      <c r="GV131" s="929">
        <f t="shared" si="459"/>
        <v>5.7136649983558163E-2</v>
      </c>
      <c r="GW131" s="929" t="str">
        <f t="shared" si="399"/>
        <v/>
      </c>
      <c r="GX131" s="929" t="str">
        <f t="shared" si="399"/>
        <v/>
      </c>
      <c r="GY131" s="929">
        <f t="shared" si="249"/>
        <v>1.5247842153054414E-3</v>
      </c>
      <c r="HA131" s="102">
        <f t="shared" si="460"/>
        <v>1292.2319914900017</v>
      </c>
      <c r="HB131" s="102">
        <f t="shared" si="460"/>
        <v>6512.8586868700004</v>
      </c>
      <c r="HC131" s="102">
        <f t="shared" si="460"/>
        <v>-1237.3700623000022</v>
      </c>
      <c r="HD131" s="102">
        <f t="shared" si="460"/>
        <v>710.20918483000241</v>
      </c>
      <c r="HE131" s="102">
        <f t="shared" si="400"/>
        <v>1577.7221611200002</v>
      </c>
      <c r="HF131" s="102">
        <f t="shared" si="400"/>
        <v>921.52606429999832</v>
      </c>
      <c r="HG131" s="102" t="e">
        <f t="shared" si="400"/>
        <v>#VALUE!</v>
      </c>
      <c r="HH131" s="102" t="e">
        <f t="shared" si="400"/>
        <v>#VALUE!</v>
      </c>
      <c r="HI131" s="102">
        <f t="shared" si="251"/>
        <v>25.997546700000385</v>
      </c>
      <c r="HK131" s="973"/>
      <c r="HL131" s="973"/>
      <c r="HM131" s="973"/>
      <c r="HN131" s="973"/>
      <c r="HO131" s="973"/>
      <c r="HP131" s="973"/>
      <c r="HQ131" s="973"/>
      <c r="HR131" s="973"/>
      <c r="HS131" s="973"/>
      <c r="HU131" s="102">
        <f t="shared" si="461"/>
        <v>6819.7586787199998</v>
      </c>
      <c r="HV131" s="102">
        <f t="shared" si="461"/>
        <v>7570.8746042800012</v>
      </c>
      <c r="HW131" s="102">
        <f t="shared" si="461"/>
        <v>7271.8474564299995</v>
      </c>
      <c r="HX131" s="102">
        <f t="shared" si="461"/>
        <v>10152.561841109999</v>
      </c>
      <c r="HY131" s="102">
        <f t="shared" si="462"/>
        <v>13906.10383629</v>
      </c>
      <c r="HZ131" s="102">
        <f t="shared" si="453"/>
        <v>14307.578971729998</v>
      </c>
      <c r="IA131" s="102">
        <f t="shared" si="414"/>
        <v>15221.31461247</v>
      </c>
      <c r="IB131" s="102">
        <f t="shared" si="415"/>
        <v>16577.568163619999</v>
      </c>
      <c r="IC131" s="102">
        <f t="shared" si="416"/>
        <v>17246.17713801</v>
      </c>
      <c r="ID131" s="102" t="e">
        <f t="shared" si="417"/>
        <v>#VALUE!</v>
      </c>
      <c r="IE131" s="102" t="e">
        <f t="shared" si="463"/>
        <v>#VALUE!</v>
      </c>
      <c r="IG131" s="102" t="e">
        <f t="shared" si="464"/>
        <v>#VALUE!</v>
      </c>
      <c r="IH131" s="102" t="e">
        <f t="shared" si="465"/>
        <v>#VALUE!</v>
      </c>
      <c r="II131" s="145"/>
      <c r="IJ131" s="929" t="str">
        <f t="shared" si="466"/>
        <v>NA</v>
      </c>
      <c r="IK131" s="930" t="str">
        <f t="shared" si="467"/>
        <v>NA</v>
      </c>
      <c r="IM131" s="973"/>
      <c r="IN131" s="973"/>
      <c r="IP131" s="929">
        <f t="shared" si="477"/>
        <v>-3.9497041422526524E-2</v>
      </c>
      <c r="IQ131" s="929">
        <f t="shared" si="477"/>
        <v>0.39614615157153499</v>
      </c>
      <c r="IR131" s="929">
        <f t="shared" si="477"/>
        <v>0.36971377805167061</v>
      </c>
      <c r="IS131" s="929">
        <f t="shared" si="477"/>
        <v>2.8870425545959977E-2</v>
      </c>
      <c r="IT131" s="929">
        <f t="shared" si="477"/>
        <v>6.3863749593514818E-2</v>
      </c>
      <c r="IU131" s="929">
        <f t="shared" si="477"/>
        <v>8.9102261248768411E-2</v>
      </c>
      <c r="IV131" s="929" t="str">
        <f t="shared" si="478"/>
        <v/>
      </c>
      <c r="IX131" s="102">
        <f t="shared" si="422"/>
        <v>-299.02714785000171</v>
      </c>
      <c r="IY131" s="102">
        <f t="shared" si="422"/>
        <v>2880.7143846799991</v>
      </c>
      <c r="IZ131" s="102">
        <f t="shared" si="422"/>
        <v>3753.5419951800013</v>
      </c>
      <c r="JA131" s="102">
        <f t="shared" si="422"/>
        <v>401.47513543999776</v>
      </c>
      <c r="JB131" s="102">
        <f t="shared" si="422"/>
        <v>913.73564074000205</v>
      </c>
      <c r="JC131" s="102">
        <f t="shared" si="422"/>
        <v>1356.2535511499991</v>
      </c>
      <c r="JD131" s="102" t="e">
        <f t="shared" si="423"/>
        <v>#VALUE!</v>
      </c>
      <c r="JF131" s="973"/>
      <c r="JG131" s="973"/>
      <c r="JH131" s="973"/>
      <c r="JI131" s="973"/>
      <c r="JJ131" s="973"/>
      <c r="JK131" s="973"/>
      <c r="JL131" s="973"/>
      <c r="JM131" s="973"/>
      <c r="JO131" s="102">
        <f t="shared" si="469"/>
        <v>6819.7586787199998</v>
      </c>
      <c r="JP131" s="102">
        <f t="shared" si="469"/>
        <v>7570.8746042800012</v>
      </c>
      <c r="JQ131" s="102">
        <f t="shared" si="469"/>
        <v>7271.8474564299995</v>
      </c>
      <c r="JR131" s="102">
        <f t="shared" si="469"/>
        <v>10152.561841109999</v>
      </c>
      <c r="JS131" s="102">
        <f t="shared" si="469"/>
        <v>13906.10383629</v>
      </c>
      <c r="JT131" s="102">
        <f t="shared" si="425"/>
        <v>14307.578971729998</v>
      </c>
      <c r="JU131" s="102">
        <f t="shared" si="426"/>
        <v>15221.31461247</v>
      </c>
      <c r="JV131" s="102">
        <f t="shared" si="470"/>
        <v>16577.568163619999</v>
      </c>
      <c r="JW131" s="102">
        <f t="shared" si="470"/>
        <v>17246.17713801</v>
      </c>
      <c r="JX131" s="102" t="e">
        <f t="shared" si="428"/>
        <v>#VALUE!</v>
      </c>
      <c r="JY131" s="102" t="e">
        <f t="shared" si="471"/>
        <v>#VALUE!</v>
      </c>
      <c r="KB131" s="32">
        <f t="shared" si="472"/>
        <v>-3.9497041422526524E-2</v>
      </c>
      <c r="KC131" s="32">
        <f t="shared" si="472"/>
        <v>0.39614615157153499</v>
      </c>
      <c r="KD131" s="32">
        <f t="shared" si="472"/>
        <v>0.36971377805167061</v>
      </c>
      <c r="KE131" s="32">
        <f t="shared" si="472"/>
        <v>2.8870425545959977E-2</v>
      </c>
      <c r="KF131" s="32">
        <f t="shared" si="472"/>
        <v>6.3863749593514818E-2</v>
      </c>
      <c r="KG131" s="32">
        <f t="shared" si="472"/>
        <v>8.9102261248768411E-2</v>
      </c>
      <c r="KH131" s="32" t="str">
        <f t="shared" si="431"/>
        <v xml:space="preserve"> </v>
      </c>
      <c r="KJ131" s="102">
        <f t="shared" si="473"/>
        <v>-299.02714785000171</v>
      </c>
      <c r="KK131" s="102">
        <f t="shared" si="473"/>
        <v>2880.7143846799991</v>
      </c>
      <c r="KL131" s="102">
        <f t="shared" si="473"/>
        <v>3753.5419951800013</v>
      </c>
      <c r="KM131" s="102">
        <f t="shared" si="473"/>
        <v>401.47513543999776</v>
      </c>
      <c r="KN131" s="102">
        <f t="shared" si="473"/>
        <v>913.73564074000205</v>
      </c>
      <c r="KO131" s="102">
        <f t="shared" si="473"/>
        <v>1356.2535511499991</v>
      </c>
      <c r="KP131" s="102" t="e">
        <f t="shared" si="433"/>
        <v>#VALUE!</v>
      </c>
      <c r="KR131" s="973"/>
      <c r="KS131" s="973"/>
      <c r="KT131" s="973"/>
      <c r="KU131" s="973"/>
      <c r="KV131" s="973"/>
      <c r="KW131" s="973"/>
      <c r="KX131" s="973"/>
      <c r="KY131" s="973"/>
      <c r="KZ131" s="973"/>
    </row>
    <row r="132" spans="1:312" outlineLevel="3">
      <c r="A132" s="884">
        <v>1504</v>
      </c>
      <c r="B132" s="70" t="s">
        <v>702</v>
      </c>
      <c r="C132" s="40" t="s">
        <v>124</v>
      </c>
      <c r="D132" s="31" t="s">
        <v>59</v>
      </c>
      <c r="E132" s="102">
        <v>0</v>
      </c>
      <c r="F132" s="102">
        <v>0</v>
      </c>
      <c r="G132" s="102">
        <v>0</v>
      </c>
      <c r="H132" s="102">
        <v>0</v>
      </c>
      <c r="I132" s="102">
        <v>0</v>
      </c>
      <c r="J132" s="102">
        <v>0</v>
      </c>
      <c r="K132" s="102">
        <v>0</v>
      </c>
      <c r="L132" s="102">
        <v>0</v>
      </c>
      <c r="M132" s="102">
        <v>0</v>
      </c>
      <c r="N132" s="102">
        <v>0</v>
      </c>
      <c r="O132" s="102">
        <v>141.55000000000001</v>
      </c>
      <c r="P132" s="102">
        <v>141.55000000000001</v>
      </c>
      <c r="Q132" s="102">
        <v>141.55000000000001</v>
      </c>
      <c r="R132" s="102">
        <v>141.55000000000001</v>
      </c>
      <c r="S132" s="102">
        <v>141.55000000000001</v>
      </c>
      <c r="T132" s="102">
        <v>141.55000000000001</v>
      </c>
      <c r="U132" s="102">
        <v>141.55000000000001</v>
      </c>
      <c r="V132" s="102">
        <v>141.55000000000001</v>
      </c>
      <c r="W132" s="102">
        <v>141.55000000000001</v>
      </c>
      <c r="X132" s="102">
        <v>141.55000000000001</v>
      </c>
      <c r="Y132" s="102">
        <v>141.55000000000001</v>
      </c>
      <c r="Z132" s="102">
        <v>141.55000000000001</v>
      </c>
      <c r="AA132" s="102">
        <v>141.55000000000001</v>
      </c>
      <c r="AB132" s="102">
        <v>141.55000000000001</v>
      </c>
      <c r="AC132" s="102">
        <v>141.55000000000001</v>
      </c>
      <c r="AD132" s="102">
        <v>141.55000000000001</v>
      </c>
      <c r="AE132" s="102">
        <v>141.55000000000001</v>
      </c>
      <c r="AF132" s="102">
        <v>141.55000000000001</v>
      </c>
      <c r="AG132" s="102">
        <v>141.55000000000001</v>
      </c>
      <c r="AH132" s="102">
        <v>141.55000000000001</v>
      </c>
      <c r="AI132" s="102">
        <v>141.55000000000001</v>
      </c>
      <c r="AJ132" s="102">
        <v>141.55000000000001</v>
      </c>
      <c r="AK132" s="102">
        <v>141.55000000000001</v>
      </c>
      <c r="AL132" s="102">
        <v>141.55000000000001</v>
      </c>
      <c r="AM132" s="102">
        <v>141.55000000000001</v>
      </c>
      <c r="AN132" s="102">
        <v>141.55000000000001</v>
      </c>
      <c r="AO132" s="102">
        <v>141.55000000000001</v>
      </c>
      <c r="AP132" s="145">
        <v>3491.55</v>
      </c>
      <c r="AQ132" s="220">
        <v>3491.55</v>
      </c>
      <c r="AR132" s="220">
        <v>3491.55</v>
      </c>
      <c r="AS132" s="102">
        <v>141.55000000000001</v>
      </c>
      <c r="AT132" s="102">
        <v>141.55000000000001</v>
      </c>
      <c r="AU132" s="102">
        <v>141.55000000000001</v>
      </c>
      <c r="AV132" s="102">
        <v>141.55000000000001</v>
      </c>
      <c r="AW132" s="102">
        <v>141.55000000000001</v>
      </c>
      <c r="AX132" s="102">
        <v>141.55000000000001</v>
      </c>
      <c r="AY132" s="102">
        <v>141.55000000000001</v>
      </c>
      <c r="AZ132" s="102">
        <v>0</v>
      </c>
      <c r="BA132" s="102">
        <v>0</v>
      </c>
      <c r="BB132" s="102">
        <v>0</v>
      </c>
      <c r="BC132" s="102">
        <v>0</v>
      </c>
      <c r="BD132" s="102">
        <v>0</v>
      </c>
      <c r="BE132" s="102">
        <v>0</v>
      </c>
      <c r="BF132" s="102">
        <v>0</v>
      </c>
      <c r="BG132" s="102">
        <v>0</v>
      </c>
      <c r="BH132" s="102">
        <v>0</v>
      </c>
      <c r="BI132" s="102">
        <v>0</v>
      </c>
      <c r="BJ132" s="102">
        <v>0</v>
      </c>
      <c r="BK132" s="102">
        <v>0</v>
      </c>
      <c r="BL132" s="102">
        <v>0</v>
      </c>
      <c r="BM132" s="102">
        <v>0</v>
      </c>
      <c r="BN132" s="102">
        <v>0</v>
      </c>
      <c r="BO132" s="102">
        <v>0</v>
      </c>
      <c r="BP132" s="102">
        <v>0</v>
      </c>
      <c r="BQ132" s="102">
        <v>0</v>
      </c>
      <c r="BR132" s="102">
        <v>0</v>
      </c>
      <c r="BS132" s="102">
        <v>0</v>
      </c>
      <c r="BT132" s="102">
        <v>0</v>
      </c>
      <c r="BU132" s="102">
        <v>0</v>
      </c>
      <c r="BV132" s="102">
        <v>0</v>
      </c>
      <c r="BW132" s="102">
        <v>0</v>
      </c>
      <c r="BX132" s="102">
        <v>0</v>
      </c>
      <c r="BY132" s="102">
        <v>0</v>
      </c>
      <c r="BZ132" s="102">
        <v>0</v>
      </c>
      <c r="CA132" s="102">
        <v>0</v>
      </c>
      <c r="CB132" s="102">
        <v>0</v>
      </c>
      <c r="CC132" s="102">
        <v>0</v>
      </c>
      <c r="CD132" s="102">
        <v>0</v>
      </c>
      <c r="CE132" s="102">
        <v>0</v>
      </c>
      <c r="CF132" s="102">
        <v>0</v>
      </c>
      <c r="CG132" s="102">
        <v>0</v>
      </c>
      <c r="CH132" s="102">
        <v>0</v>
      </c>
      <c r="CI132" s="102">
        <v>0</v>
      </c>
      <c r="CJ132" s="102">
        <v>0</v>
      </c>
      <c r="CK132" s="102">
        <v>0</v>
      </c>
      <c r="CL132" s="102">
        <v>0</v>
      </c>
      <c r="CM132" s="102">
        <v>0</v>
      </c>
      <c r="CN132" s="102">
        <v>0</v>
      </c>
      <c r="CO132" s="102">
        <v>0</v>
      </c>
      <c r="CP132" s="102">
        <v>0</v>
      </c>
      <c r="CQ132" s="102">
        <v>0</v>
      </c>
      <c r="CR132" s="102">
        <v>0</v>
      </c>
      <c r="CS132" s="102">
        <v>0</v>
      </c>
      <c r="CT132" s="102">
        <v>0</v>
      </c>
      <c r="CU132" s="102">
        <v>0</v>
      </c>
      <c r="CV132" s="102">
        <v>0</v>
      </c>
      <c r="CW132" s="102">
        <v>0</v>
      </c>
      <c r="CX132" s="102">
        <v>0</v>
      </c>
      <c r="CY132" s="102">
        <v>0</v>
      </c>
      <c r="CZ132" s="102">
        <v>0</v>
      </c>
      <c r="DA132" s="102">
        <v>0</v>
      </c>
      <c r="DB132" s="102">
        <v>0</v>
      </c>
      <c r="DC132" s="102">
        <v>0</v>
      </c>
      <c r="DD132" s="102">
        <v>0</v>
      </c>
      <c r="DE132" s="102">
        <v>0</v>
      </c>
      <c r="DF132" s="102">
        <v>0</v>
      </c>
      <c r="DG132" s="102">
        <v>0</v>
      </c>
      <c r="DH132" s="102">
        <v>0</v>
      </c>
      <c r="DJ132" s="102" t="e">
        <v>#VALUE!</v>
      </c>
      <c r="DK132" s="102" t="e">
        <v>#VALUE!</v>
      </c>
      <c r="DL132" s="102" t="e">
        <v>#VALUE!</v>
      </c>
      <c r="DM132" s="102" t="e">
        <v>#VALUE!</v>
      </c>
      <c r="DN132" s="102" t="e">
        <v>#VALUE!</v>
      </c>
      <c r="DO132" s="102" t="e">
        <v>#VALUE!</v>
      </c>
      <c r="DP132" s="102" t="e">
        <v>#VALUE!</v>
      </c>
      <c r="DQ132" s="102" t="e">
        <v>#VALUE!</v>
      </c>
      <c r="DR132" s="102" t="e">
        <v>#VALUE!</v>
      </c>
      <c r="DS132" s="102" t="e">
        <v>#VALUE!</v>
      </c>
      <c r="DT132" s="102" t="e">
        <v>#VALUE!</v>
      </c>
      <c r="DU132" s="102" t="e">
        <v>#VALUE!</v>
      </c>
      <c r="DW132" s="102">
        <v>141.55000000000001</v>
      </c>
      <c r="DX132" s="102">
        <v>141.55000000000001</v>
      </c>
      <c r="DY132" s="102">
        <v>141.55000000000001</v>
      </c>
      <c r="DZ132" s="102">
        <v>141.55000000000001</v>
      </c>
      <c r="EA132" s="102">
        <v>141.55000000000001</v>
      </c>
      <c r="EB132" s="102">
        <v>0</v>
      </c>
      <c r="EC132" s="102">
        <v>0</v>
      </c>
      <c r="ED132" s="102">
        <v>0</v>
      </c>
      <c r="EE132" s="102">
        <v>0</v>
      </c>
      <c r="EF132" s="102">
        <v>0</v>
      </c>
      <c r="EG132" s="102">
        <v>0</v>
      </c>
      <c r="EH132" s="102">
        <v>0</v>
      </c>
      <c r="EI132" s="102">
        <v>141.55000000000001</v>
      </c>
      <c r="EJ132" s="102">
        <v>141.55000000000001</v>
      </c>
      <c r="EK132" s="102">
        <v>0</v>
      </c>
      <c r="EL132" s="102">
        <v>0</v>
      </c>
      <c r="EM132" s="102">
        <v>0</v>
      </c>
      <c r="EN132" s="102">
        <v>0</v>
      </c>
      <c r="EO132" s="102">
        <v>0</v>
      </c>
      <c r="EP132" s="102">
        <v>0</v>
      </c>
      <c r="EQ132" s="102">
        <v>0</v>
      </c>
      <c r="ER132" s="102">
        <v>0</v>
      </c>
      <c r="ES132" s="102">
        <v>0</v>
      </c>
      <c r="ET132" s="102">
        <v>0</v>
      </c>
      <c r="EU132" s="102"/>
      <c r="EV132" s="102"/>
      <c r="EW132" s="102"/>
      <c r="EX132" s="102"/>
      <c r="EY132" s="102"/>
      <c r="EZ132" s="102"/>
      <c r="FA132" s="102"/>
      <c r="FB132" s="102"/>
      <c r="FC132" s="102"/>
      <c r="FD132" s="102"/>
      <c r="FE132" s="102"/>
      <c r="FF132" s="102"/>
      <c r="FG132" s="102" t="e">
        <v>#VALUE!</v>
      </c>
      <c r="FH132" s="102" t="e">
        <v>#VALUE!</v>
      </c>
      <c r="FI132" s="102" t="e">
        <v>#VALUE!</v>
      </c>
      <c r="FJ132" s="102" t="e">
        <v>#VALUE!</v>
      </c>
      <c r="FK132" s="102" t="e">
        <v>#VALUE!</v>
      </c>
      <c r="FL132" s="102" t="e">
        <v>#VALUE!</v>
      </c>
      <c r="FM132" s="102" t="e">
        <v>#VALUE!</v>
      </c>
      <c r="FN132" s="102" t="e">
        <v>#VALUE!</v>
      </c>
      <c r="FO132" s="102" t="e">
        <v>#VALUE!</v>
      </c>
      <c r="FP132" s="102" t="e">
        <v>#VALUE!</v>
      </c>
      <c r="FQ132" s="102" t="e">
        <v>#VALUE!</v>
      </c>
      <c r="FR132" s="102" t="e">
        <v>#VALUE!</v>
      </c>
      <c r="FS132" s="102" t="e">
        <v>#VALUE!</v>
      </c>
      <c r="FT132" s="102" t="e">
        <v>#VALUE!</v>
      </c>
      <c r="FU132" s="102" t="e">
        <v>#VALUE!</v>
      </c>
      <c r="FV132" s="102" t="e">
        <v>#VALUE!</v>
      </c>
      <c r="FW132" s="102" t="e">
        <v>#VALUE!</v>
      </c>
      <c r="FX132" s="102" t="e">
        <v>#VALUE!</v>
      </c>
      <c r="FY132" s="102" t="e">
        <v>#VALUE!</v>
      </c>
      <c r="FZ132" s="102" t="e">
        <v>#VALUE!</v>
      </c>
      <c r="GA132" s="102" t="e">
        <v>#VALUE!</v>
      </c>
      <c r="GB132" s="102" t="e">
        <v>#VALUE!</v>
      </c>
      <c r="GC132" s="102" t="e">
        <v>#VALUE!</v>
      </c>
      <c r="GD132" s="102" t="e">
        <v>#VALUE!</v>
      </c>
      <c r="GF132" s="102">
        <f t="shared" si="458"/>
        <v>141.55000000000001</v>
      </c>
      <c r="GG132" s="102">
        <f t="shared" si="458"/>
        <v>141.55000000000001</v>
      </c>
      <c r="GH132" s="102">
        <f t="shared" si="458"/>
        <v>141.55000000000001</v>
      </c>
      <c r="GI132" s="102">
        <f t="shared" si="458"/>
        <v>0</v>
      </c>
      <c r="GJ132" s="102">
        <f t="shared" si="434"/>
        <v>0</v>
      </c>
      <c r="GK132" s="102">
        <f t="shared" si="407"/>
        <v>0</v>
      </c>
      <c r="GL132" s="102">
        <f t="shared" si="435"/>
        <v>0</v>
      </c>
      <c r="GM132" s="102">
        <f t="shared" si="408"/>
        <v>0</v>
      </c>
      <c r="GN132" s="102" t="e">
        <f t="shared" si="409"/>
        <v>#VALUE!</v>
      </c>
      <c r="GO132" s="102">
        <v>0</v>
      </c>
      <c r="GQ132" s="929">
        <f t="shared" si="459"/>
        <v>0</v>
      </c>
      <c r="GR132" s="929">
        <f t="shared" si="459"/>
        <v>-1</v>
      </c>
      <c r="GS132" s="929" t="str">
        <f t="shared" si="459"/>
        <v/>
      </c>
      <c r="GT132" s="929" t="str">
        <f t="shared" si="459"/>
        <v/>
      </c>
      <c r="GU132" s="929" t="str">
        <f t="shared" si="459"/>
        <v/>
      </c>
      <c r="GV132" s="929" t="str">
        <f t="shared" si="459"/>
        <v/>
      </c>
      <c r="GW132" s="929" t="str">
        <f t="shared" si="399"/>
        <v/>
      </c>
      <c r="GX132" s="929" t="str">
        <f t="shared" si="399"/>
        <v/>
      </c>
      <c r="GY132" s="929" t="str">
        <f t="shared" si="249"/>
        <v/>
      </c>
      <c r="HA132" s="102">
        <f t="shared" si="460"/>
        <v>0</v>
      </c>
      <c r="HB132" s="102">
        <f t="shared" si="460"/>
        <v>-141.55000000000001</v>
      </c>
      <c r="HC132" s="102">
        <f t="shared" si="460"/>
        <v>0</v>
      </c>
      <c r="HD132" s="102">
        <f t="shared" si="460"/>
        <v>0</v>
      </c>
      <c r="HE132" s="102">
        <f t="shared" si="400"/>
        <v>0</v>
      </c>
      <c r="HF132" s="102">
        <f t="shared" si="400"/>
        <v>0</v>
      </c>
      <c r="HG132" s="102" t="e">
        <f t="shared" si="400"/>
        <v>#VALUE!</v>
      </c>
      <c r="HH132" s="102" t="e">
        <f t="shared" si="400"/>
        <v>#VALUE!</v>
      </c>
      <c r="HI132" s="102">
        <f t="shared" si="251"/>
        <v>0</v>
      </c>
      <c r="HK132" s="973"/>
      <c r="HL132" s="973"/>
      <c r="HM132" s="973"/>
      <c r="HN132" s="973"/>
      <c r="HO132" s="973"/>
      <c r="HP132" s="973"/>
      <c r="HQ132" s="973"/>
      <c r="HR132" s="973"/>
      <c r="HS132" s="973"/>
      <c r="HU132" s="102">
        <f t="shared" si="461"/>
        <v>0</v>
      </c>
      <c r="HV132" s="102">
        <f t="shared" si="461"/>
        <v>141.55000000000001</v>
      </c>
      <c r="HW132" s="102">
        <f t="shared" si="461"/>
        <v>141.55000000000001</v>
      </c>
      <c r="HX132" s="102">
        <f t="shared" si="461"/>
        <v>141.55000000000001</v>
      </c>
      <c r="HY132" s="102">
        <f t="shared" si="462"/>
        <v>0</v>
      </c>
      <c r="HZ132" s="102">
        <f t="shared" si="453"/>
        <v>0</v>
      </c>
      <c r="IA132" s="102">
        <f t="shared" si="414"/>
        <v>0</v>
      </c>
      <c r="IB132" s="102">
        <f t="shared" si="415"/>
        <v>0</v>
      </c>
      <c r="IC132" s="102">
        <f t="shared" si="416"/>
        <v>0</v>
      </c>
      <c r="ID132" s="102" t="e">
        <f t="shared" si="417"/>
        <v>#VALUE!</v>
      </c>
      <c r="IE132" s="102" t="e">
        <f t="shared" si="463"/>
        <v>#VALUE!</v>
      </c>
      <c r="IG132" s="102" t="e">
        <f t="shared" si="464"/>
        <v>#VALUE!</v>
      </c>
      <c r="IH132" s="102" t="e">
        <f t="shared" si="465"/>
        <v>#VALUE!</v>
      </c>
      <c r="II132" s="145"/>
      <c r="IJ132" s="929" t="str">
        <f t="shared" si="466"/>
        <v>NA</v>
      </c>
      <c r="IK132" s="930" t="str">
        <f t="shared" si="467"/>
        <v>NA</v>
      </c>
      <c r="IM132" s="973"/>
      <c r="IN132" s="973"/>
      <c r="IP132" s="929">
        <f t="shared" si="477"/>
        <v>0</v>
      </c>
      <c r="IQ132" s="929">
        <f t="shared" si="477"/>
        <v>0</v>
      </c>
      <c r="IR132" s="929">
        <f t="shared" si="477"/>
        <v>-1</v>
      </c>
      <c r="IS132" s="929" t="str">
        <f t="shared" si="477"/>
        <v/>
      </c>
      <c r="IT132" s="929" t="str">
        <f t="shared" si="477"/>
        <v/>
      </c>
      <c r="IU132" s="929" t="str">
        <f t="shared" si="477"/>
        <v/>
      </c>
      <c r="IV132" s="929" t="str">
        <f t="shared" si="478"/>
        <v/>
      </c>
      <c r="IX132" s="102">
        <f t="shared" si="422"/>
        <v>0</v>
      </c>
      <c r="IY132" s="102">
        <f t="shared" si="422"/>
        <v>0</v>
      </c>
      <c r="IZ132" s="102">
        <f t="shared" si="422"/>
        <v>-141.55000000000001</v>
      </c>
      <c r="JA132" s="102">
        <f t="shared" si="422"/>
        <v>0</v>
      </c>
      <c r="JB132" s="102">
        <f t="shared" si="422"/>
        <v>0</v>
      </c>
      <c r="JC132" s="102">
        <f t="shared" si="422"/>
        <v>0</v>
      </c>
      <c r="JD132" s="102" t="e">
        <f t="shared" si="423"/>
        <v>#VALUE!</v>
      </c>
      <c r="JF132" s="973"/>
      <c r="JG132" s="973"/>
      <c r="JH132" s="973"/>
      <c r="JI132" s="973"/>
      <c r="JJ132" s="973"/>
      <c r="JK132" s="973"/>
      <c r="JL132" s="973"/>
      <c r="JM132" s="973"/>
      <c r="JO132" s="102">
        <f t="shared" si="469"/>
        <v>0</v>
      </c>
      <c r="JP132" s="102">
        <f t="shared" si="469"/>
        <v>141.55000000000001</v>
      </c>
      <c r="JQ132" s="102">
        <f t="shared" si="469"/>
        <v>141.55000000000001</v>
      </c>
      <c r="JR132" s="102">
        <f t="shared" si="469"/>
        <v>141.55000000000001</v>
      </c>
      <c r="JS132" s="102">
        <f t="shared" si="469"/>
        <v>0</v>
      </c>
      <c r="JT132" s="102">
        <f t="shared" si="425"/>
        <v>0</v>
      </c>
      <c r="JU132" s="102">
        <f t="shared" si="426"/>
        <v>0</v>
      </c>
      <c r="JV132" s="102">
        <f t="shared" si="470"/>
        <v>0</v>
      </c>
      <c r="JW132" s="102">
        <f t="shared" si="470"/>
        <v>0</v>
      </c>
      <c r="JX132" s="102" t="e">
        <f t="shared" si="428"/>
        <v>#VALUE!</v>
      </c>
      <c r="JY132" s="102" t="e">
        <f t="shared" si="471"/>
        <v>#VALUE!</v>
      </c>
      <c r="KB132" s="32">
        <f t="shared" si="472"/>
        <v>0</v>
      </c>
      <c r="KC132" s="32">
        <f t="shared" si="472"/>
        <v>0</v>
      </c>
      <c r="KD132" s="32">
        <f t="shared" si="472"/>
        <v>-1</v>
      </c>
      <c r="KE132" s="32" t="str">
        <f t="shared" si="472"/>
        <v xml:space="preserve"> </v>
      </c>
      <c r="KF132" s="32" t="str">
        <f t="shared" si="472"/>
        <v xml:space="preserve"> </v>
      </c>
      <c r="KG132" s="32" t="str">
        <f t="shared" si="472"/>
        <v xml:space="preserve"> </v>
      </c>
      <c r="KH132" s="32" t="str">
        <f t="shared" si="431"/>
        <v xml:space="preserve"> </v>
      </c>
      <c r="KJ132" s="102">
        <f t="shared" si="473"/>
        <v>0</v>
      </c>
      <c r="KK132" s="102">
        <f t="shared" si="473"/>
        <v>0</v>
      </c>
      <c r="KL132" s="102">
        <f t="shared" si="473"/>
        <v>-141.55000000000001</v>
      </c>
      <c r="KM132" s="102">
        <f t="shared" si="473"/>
        <v>0</v>
      </c>
      <c r="KN132" s="102">
        <f t="shared" si="473"/>
        <v>0</v>
      </c>
      <c r="KO132" s="102">
        <f t="shared" si="473"/>
        <v>0</v>
      </c>
      <c r="KP132" s="102" t="e">
        <f t="shared" si="433"/>
        <v>#VALUE!</v>
      </c>
      <c r="KR132" s="973"/>
      <c r="KS132" s="973"/>
      <c r="KT132" s="973"/>
      <c r="KU132" s="973"/>
      <c r="KV132" s="973"/>
      <c r="KW132" s="973"/>
      <c r="KX132" s="973"/>
      <c r="KY132" s="973"/>
      <c r="KZ132" s="973"/>
    </row>
    <row r="133" spans="1:312" outlineLevel="3">
      <c r="A133" s="884">
        <v>1516</v>
      </c>
      <c r="B133" s="70"/>
      <c r="C133" s="40" t="s">
        <v>125</v>
      </c>
      <c r="D133" s="31" t="s">
        <v>59</v>
      </c>
      <c r="E133" s="102">
        <v>904.963978</v>
      </c>
      <c r="F133" s="102">
        <v>904.963978</v>
      </c>
      <c r="G133" s="102">
        <v>904.963978</v>
      </c>
      <c r="H133" s="102">
        <v>904.963978</v>
      </c>
      <c r="I133" s="102">
        <v>904.963978</v>
      </c>
      <c r="J133" s="102">
        <v>904.963978</v>
      </c>
      <c r="K133" s="102">
        <v>904.963978</v>
      </c>
      <c r="L133" s="102">
        <v>904.963978</v>
      </c>
      <c r="M133" s="102">
        <v>904.963978</v>
      </c>
      <c r="N133" s="102">
        <v>904.963978</v>
      </c>
      <c r="O133" s="102">
        <v>763.41397800000004</v>
      </c>
      <c r="P133" s="102">
        <v>763.41397800000004</v>
      </c>
      <c r="Q133" s="102">
        <v>763.41397800000004</v>
      </c>
      <c r="R133" s="102">
        <v>763.41397800000004</v>
      </c>
      <c r="S133" s="102">
        <v>763.41397800000004</v>
      </c>
      <c r="T133" s="102">
        <v>763.41397800000004</v>
      </c>
      <c r="U133" s="102">
        <v>763.41397800000004</v>
      </c>
      <c r="V133" s="102">
        <v>763.41397800000004</v>
      </c>
      <c r="W133" s="102">
        <v>763.41397800000004</v>
      </c>
      <c r="X133" s="102">
        <v>763.41397800000004</v>
      </c>
      <c r="Y133" s="102">
        <v>763.41397800000004</v>
      </c>
      <c r="Z133" s="102">
        <v>763.41397800000004</v>
      </c>
      <c r="AA133" s="102">
        <v>763.41397800000004</v>
      </c>
      <c r="AB133" s="102">
        <v>763.41397800000004</v>
      </c>
      <c r="AC133" s="102">
        <v>763.41397800000004</v>
      </c>
      <c r="AD133" s="102">
        <v>763.41397800000004</v>
      </c>
      <c r="AE133" s="102">
        <v>763.41397800000004</v>
      </c>
      <c r="AF133" s="102">
        <v>763.41397800000004</v>
      </c>
      <c r="AG133" s="102">
        <v>763.41397800000004</v>
      </c>
      <c r="AH133" s="102">
        <v>763.41397800000004</v>
      </c>
      <c r="AI133" s="102">
        <v>763.41397800000004</v>
      </c>
      <c r="AJ133" s="102">
        <v>763.41397800000004</v>
      </c>
      <c r="AK133" s="102">
        <v>776.86997800000006</v>
      </c>
      <c r="AL133" s="102">
        <v>770.14197799999999</v>
      </c>
      <c r="AM133" s="102">
        <v>770.14197799999999</v>
      </c>
      <c r="AN133" s="220">
        <v>770.14197799999999</v>
      </c>
      <c r="AO133" s="220">
        <v>766.60626300000001</v>
      </c>
      <c r="AP133" s="220">
        <v>970.11900813</v>
      </c>
      <c r="AQ133" s="220">
        <v>970.11900813</v>
      </c>
      <c r="AR133" s="220">
        <v>1460.42590513</v>
      </c>
      <c r="AS133" s="220">
        <v>4972.2812481299998</v>
      </c>
      <c r="AT133" s="220">
        <v>1870.4121052200001</v>
      </c>
      <c r="AU133" s="220">
        <v>1890.5101802199999</v>
      </c>
      <c r="AV133" s="220">
        <v>1890.5101802199999</v>
      </c>
      <c r="AW133" s="220">
        <v>766.60626300000001</v>
      </c>
      <c r="AX133" s="220">
        <v>766.60626300000001</v>
      </c>
      <c r="AY133" s="220">
        <v>766.60626300000001</v>
      </c>
      <c r="AZ133" s="979">
        <v>7785.8249999999998</v>
      </c>
      <c r="BA133" s="220">
        <v>5723.9039169999996</v>
      </c>
      <c r="BB133" s="220">
        <v>5723.9039169999996</v>
      </c>
      <c r="BC133" s="220">
        <v>5723.9039169999996</v>
      </c>
      <c r="BD133" s="220">
        <v>4473.9039169999996</v>
      </c>
      <c r="BE133" s="102">
        <v>4473.9039169999996</v>
      </c>
      <c r="BF133" s="102">
        <v>4473.9039169999996</v>
      </c>
      <c r="BG133" s="102">
        <v>4473.9039169999996</v>
      </c>
      <c r="BH133" s="102">
        <v>4473.9039169999996</v>
      </c>
      <c r="BI133" s="102">
        <v>4473.9039169999996</v>
      </c>
      <c r="BJ133" s="102">
        <v>4473.9039169999996</v>
      </c>
      <c r="BK133" s="102">
        <v>4473.9039169999996</v>
      </c>
      <c r="BL133" s="102">
        <v>4473.9039169999996</v>
      </c>
      <c r="BM133" s="102">
        <f t="shared" ref="BM133:BR133" si="482">SUM(BM134:BM136)</f>
        <v>4473.9039169999996</v>
      </c>
      <c r="BN133" s="220">
        <f t="shared" si="482"/>
        <v>4473.9039169999996</v>
      </c>
      <c r="BO133" s="220">
        <f t="shared" si="482"/>
        <v>4473.9039169999996</v>
      </c>
      <c r="BP133" s="220">
        <f t="shared" si="482"/>
        <v>4473.9039169999996</v>
      </c>
      <c r="BQ133" s="102">
        <f t="shared" si="482"/>
        <v>4473.9039169999996</v>
      </c>
      <c r="BR133" s="102">
        <f t="shared" si="482"/>
        <v>4473.9039169999996</v>
      </c>
      <c r="BS133" s="102">
        <f t="shared" ref="BS133:DH133" si="483">SUM(BS134:BS136)</f>
        <v>4473.9039169999996</v>
      </c>
      <c r="BT133" s="102">
        <f t="shared" si="483"/>
        <v>4473.9039169999996</v>
      </c>
      <c r="BU133" s="102">
        <f t="shared" si="483"/>
        <v>4473.9039169999996</v>
      </c>
      <c r="BV133" s="102">
        <f t="shared" si="483"/>
        <v>4473.9039169999996</v>
      </c>
      <c r="BW133" s="102">
        <f t="shared" si="483"/>
        <v>4473.9039169999996</v>
      </c>
      <c r="BX133" s="102">
        <f t="shared" si="483"/>
        <v>4473.9039169999996</v>
      </c>
      <c r="BY133" s="102">
        <f t="shared" si="483"/>
        <v>4495.6075170000004</v>
      </c>
      <c r="BZ133" s="102">
        <f t="shared" si="483"/>
        <v>4495.6075170000004</v>
      </c>
      <c r="CA133" s="102">
        <f t="shared" si="483"/>
        <v>4495.6075170000004</v>
      </c>
      <c r="CB133" s="102">
        <f t="shared" si="483"/>
        <v>4495.6075170000004</v>
      </c>
      <c r="CC133" s="102">
        <f t="shared" si="483"/>
        <v>4495.6075170000004</v>
      </c>
      <c r="CD133" s="102">
        <f t="shared" si="483"/>
        <v>4495.6075170000004</v>
      </c>
      <c r="CE133" s="102">
        <f t="shared" si="483"/>
        <v>4519.0616639999998</v>
      </c>
      <c r="CF133" s="102">
        <f t="shared" si="483"/>
        <v>4522.1833589999997</v>
      </c>
      <c r="CG133" s="102">
        <f t="shared" si="483"/>
        <v>4523.0597289999996</v>
      </c>
      <c r="CH133" s="102">
        <f t="shared" si="483"/>
        <v>4525.0032920000003</v>
      </c>
      <c r="CI133" s="102">
        <f t="shared" si="483"/>
        <v>4525.0032920000003</v>
      </c>
      <c r="CJ133" s="102">
        <f t="shared" si="483"/>
        <v>4525.0032920000003</v>
      </c>
      <c r="CK133" s="102">
        <f t="shared" si="483"/>
        <v>4525.0032920000003</v>
      </c>
      <c r="CL133" s="102">
        <f t="shared" si="483"/>
        <v>4534.4488300000003</v>
      </c>
      <c r="CM133" s="102">
        <f t="shared" si="483"/>
        <v>4534.4488300000003</v>
      </c>
      <c r="CN133" s="102">
        <f t="shared" si="483"/>
        <v>4534.4488300000003</v>
      </c>
      <c r="CO133" s="102">
        <f t="shared" si="483"/>
        <v>4534.4488300000003</v>
      </c>
      <c r="CP133" s="102">
        <f t="shared" si="483"/>
        <v>4534.4488300000003</v>
      </c>
      <c r="CQ133" s="102">
        <f t="shared" si="483"/>
        <v>4534.4488300000003</v>
      </c>
      <c r="CR133" s="102">
        <f t="shared" si="483"/>
        <v>4534.4488300000003</v>
      </c>
      <c r="CS133" s="102">
        <f t="shared" si="483"/>
        <v>4534.4488300000003</v>
      </c>
      <c r="CT133" s="102">
        <f t="shared" si="483"/>
        <v>4534.4488300000003</v>
      </c>
      <c r="CU133" s="102">
        <f t="shared" si="483"/>
        <v>4534.4488300000003</v>
      </c>
      <c r="CV133" s="102">
        <f t="shared" si="483"/>
        <v>4534.4488300000003</v>
      </c>
      <c r="CW133" s="102">
        <f t="shared" si="483"/>
        <v>4534.4488300000003</v>
      </c>
      <c r="CX133" s="102">
        <f t="shared" si="483"/>
        <v>4534.4488300000003</v>
      </c>
      <c r="CY133" s="102">
        <f t="shared" si="483"/>
        <v>4534.4488300000003</v>
      </c>
      <c r="CZ133" s="102">
        <f t="shared" si="483"/>
        <v>4534.4488300000003</v>
      </c>
      <c r="DA133" s="102">
        <f t="shared" si="483"/>
        <v>4534.4488300000003</v>
      </c>
      <c r="DB133" s="102">
        <f t="shared" si="483"/>
        <v>4534.4488300000003</v>
      </c>
      <c r="DC133" s="102">
        <f t="shared" si="483"/>
        <v>4534.4488300000003</v>
      </c>
      <c r="DD133" s="102">
        <f t="shared" si="483"/>
        <v>4534.4488300000003</v>
      </c>
      <c r="DE133" s="102">
        <f t="shared" si="483"/>
        <v>4534.4488300000003</v>
      </c>
      <c r="DF133" s="102">
        <f t="shared" si="483"/>
        <v>4534.4488300000003</v>
      </c>
      <c r="DG133" s="102">
        <f t="shared" si="483"/>
        <v>4534.4488300000003</v>
      </c>
      <c r="DH133" s="102">
        <f t="shared" si="483"/>
        <v>4534.4488300000003</v>
      </c>
      <c r="DJ133" s="102" t="e">
        <f t="shared" ref="DJ133:DU133" si="484">+SUM(DJ134:DJ136)</f>
        <v>#VALUE!</v>
      </c>
      <c r="DK133" s="102" t="e">
        <f t="shared" si="484"/>
        <v>#VALUE!</v>
      </c>
      <c r="DL133" s="102" t="e">
        <f t="shared" si="484"/>
        <v>#VALUE!</v>
      </c>
      <c r="DM133" s="102" t="e">
        <f t="shared" si="484"/>
        <v>#VALUE!</v>
      </c>
      <c r="DN133" s="102" t="e">
        <f t="shared" si="484"/>
        <v>#VALUE!</v>
      </c>
      <c r="DO133" s="102" t="e">
        <f t="shared" si="484"/>
        <v>#VALUE!</v>
      </c>
      <c r="DP133" s="102" t="e">
        <f t="shared" si="484"/>
        <v>#VALUE!</v>
      </c>
      <c r="DQ133" s="102" t="e">
        <f t="shared" si="484"/>
        <v>#VALUE!</v>
      </c>
      <c r="DR133" s="102" t="e">
        <f t="shared" si="484"/>
        <v>#VALUE!</v>
      </c>
      <c r="DS133" s="102" t="e">
        <f t="shared" si="484"/>
        <v>#VALUE!</v>
      </c>
      <c r="DT133" s="102" t="e">
        <f t="shared" si="484"/>
        <v>#VALUE!</v>
      </c>
      <c r="DU133" s="102" t="e">
        <f t="shared" si="484"/>
        <v>#VALUE!</v>
      </c>
      <c r="DV133" s="279"/>
      <c r="DW133" s="102">
        <f t="shared" ref="DW133:EO133" si="485">+SUM(DW134:DW136)</f>
        <v>2580.4586551799998</v>
      </c>
      <c r="DX133" s="102">
        <f t="shared" si="485"/>
        <v>7354.0586551800006</v>
      </c>
      <c r="DY133" s="102">
        <f t="shared" si="485"/>
        <v>7782.3261971800002</v>
      </c>
      <c r="DZ133" s="102">
        <f t="shared" si="485"/>
        <v>7782.3261971800002</v>
      </c>
      <c r="EA133" s="102">
        <f t="shared" si="485"/>
        <v>8014.3261971800002</v>
      </c>
      <c r="EB133" s="102">
        <f t="shared" si="485"/>
        <v>7272.8261971800002</v>
      </c>
      <c r="EC133" s="102">
        <f t="shared" si="485"/>
        <v>7272.8261971800002</v>
      </c>
      <c r="ED133" s="102">
        <f t="shared" si="485"/>
        <v>7272.8261971800002</v>
      </c>
      <c r="EE133" s="102">
        <f t="shared" si="485"/>
        <v>7272.8261971800002</v>
      </c>
      <c r="EF133" s="102">
        <f t="shared" si="485"/>
        <v>7272.8261971800002</v>
      </c>
      <c r="EG133" s="102">
        <f t="shared" si="485"/>
        <v>7272.8261971800002</v>
      </c>
      <c r="EH133" s="102">
        <f t="shared" si="485"/>
        <v>7272.8261971800002</v>
      </c>
      <c r="EI133" s="102">
        <f t="shared" si="485"/>
        <v>759.87826300000006</v>
      </c>
      <c r="EJ133" s="102">
        <f t="shared" si="485"/>
        <v>759.87826300000006</v>
      </c>
      <c r="EK133" s="102">
        <f t="shared" si="485"/>
        <v>19.878263000000288</v>
      </c>
      <c r="EL133" s="102">
        <f t="shared" si="485"/>
        <v>19.878263000000288</v>
      </c>
      <c r="EM133" s="102">
        <f t="shared" si="485"/>
        <v>19.878263000000288</v>
      </c>
      <c r="EN133" s="102">
        <f t="shared" si="485"/>
        <v>19.878263000000288</v>
      </c>
      <c r="EO133" s="102">
        <f t="shared" si="485"/>
        <v>19.878263000000288</v>
      </c>
      <c r="EP133" s="102">
        <f t="shared" ref="EP133:GD133" si="486">+SUM(EP134:EP136)</f>
        <v>19.878263000000288</v>
      </c>
      <c r="EQ133" s="102">
        <f t="shared" si="486"/>
        <v>19.878263000000288</v>
      </c>
      <c r="ER133" s="102">
        <f t="shared" si="486"/>
        <v>19.878263000000288</v>
      </c>
      <c r="ES133" s="102">
        <f t="shared" si="486"/>
        <v>19.878263000000288</v>
      </c>
      <c r="ET133" s="102">
        <f t="shared" si="486"/>
        <v>19.878263000000288</v>
      </c>
      <c r="EU133" s="102">
        <f t="shared" si="486"/>
        <v>6513.9974936999997</v>
      </c>
      <c r="EV133" s="102">
        <f t="shared" si="486"/>
        <v>6513.9974936999997</v>
      </c>
      <c r="EW133" s="102">
        <f t="shared" si="486"/>
        <v>6513.9974936999997</v>
      </c>
      <c r="EX133" s="102">
        <f t="shared" si="486"/>
        <v>6513.9974936999997</v>
      </c>
      <c r="EY133" s="102">
        <f t="shared" si="486"/>
        <v>6513.9974936999997</v>
      </c>
      <c r="EZ133" s="102">
        <f t="shared" si="486"/>
        <v>6513.9974936999997</v>
      </c>
      <c r="FA133" s="102">
        <f t="shared" si="486"/>
        <v>6513.9974936999997</v>
      </c>
      <c r="FB133" s="102">
        <f t="shared" si="486"/>
        <v>6513.9974936999997</v>
      </c>
      <c r="FC133" s="102">
        <f t="shared" si="486"/>
        <v>6513.9974936999997</v>
      </c>
      <c r="FD133" s="102">
        <f t="shared" si="486"/>
        <v>6513.9974936999997</v>
      </c>
      <c r="FE133" s="102">
        <f t="shared" si="486"/>
        <v>6513.9974936999997</v>
      </c>
      <c r="FF133" s="102">
        <f t="shared" si="486"/>
        <v>6513.9974936999997</v>
      </c>
      <c r="FG133" s="145" t="e">
        <f t="shared" si="486"/>
        <v>#VALUE!</v>
      </c>
      <c r="FH133" s="145" t="e">
        <f t="shared" si="486"/>
        <v>#VALUE!</v>
      </c>
      <c r="FI133" s="145" t="e">
        <f t="shared" si="486"/>
        <v>#VALUE!</v>
      </c>
      <c r="FJ133" s="145" t="e">
        <f t="shared" si="486"/>
        <v>#VALUE!</v>
      </c>
      <c r="FK133" s="145" t="e">
        <f t="shared" si="486"/>
        <v>#VALUE!</v>
      </c>
      <c r="FL133" s="145" t="e">
        <f t="shared" si="486"/>
        <v>#VALUE!</v>
      </c>
      <c r="FM133" s="145" t="e">
        <f t="shared" si="486"/>
        <v>#VALUE!</v>
      </c>
      <c r="FN133" s="145" t="e">
        <f t="shared" si="486"/>
        <v>#VALUE!</v>
      </c>
      <c r="FO133" s="145" t="e">
        <f t="shared" si="486"/>
        <v>#VALUE!</v>
      </c>
      <c r="FP133" s="145" t="e">
        <f t="shared" si="486"/>
        <v>#VALUE!</v>
      </c>
      <c r="FQ133" s="145" t="e">
        <f t="shared" si="486"/>
        <v>#VALUE!</v>
      </c>
      <c r="FR133" s="145" t="e">
        <f t="shared" si="486"/>
        <v>#VALUE!</v>
      </c>
      <c r="FS133" s="145" t="e">
        <f t="shared" si="486"/>
        <v>#VALUE!</v>
      </c>
      <c r="FT133" s="145" t="e">
        <f t="shared" si="486"/>
        <v>#VALUE!</v>
      </c>
      <c r="FU133" s="145" t="e">
        <f t="shared" si="486"/>
        <v>#VALUE!</v>
      </c>
      <c r="FV133" s="145" t="e">
        <f t="shared" si="486"/>
        <v>#VALUE!</v>
      </c>
      <c r="FW133" s="145" t="e">
        <f t="shared" si="486"/>
        <v>#VALUE!</v>
      </c>
      <c r="FX133" s="145" t="e">
        <f t="shared" si="486"/>
        <v>#VALUE!</v>
      </c>
      <c r="FY133" s="145" t="e">
        <f t="shared" si="486"/>
        <v>#VALUE!</v>
      </c>
      <c r="FZ133" s="145" t="e">
        <f t="shared" si="486"/>
        <v>#VALUE!</v>
      </c>
      <c r="GA133" s="145" t="e">
        <f t="shared" si="486"/>
        <v>#VALUE!</v>
      </c>
      <c r="GB133" s="145" t="e">
        <f t="shared" si="486"/>
        <v>#VALUE!</v>
      </c>
      <c r="GC133" s="145" t="e">
        <f t="shared" si="486"/>
        <v>#VALUE!</v>
      </c>
      <c r="GD133" s="145" t="e">
        <f t="shared" si="486"/>
        <v>#VALUE!</v>
      </c>
      <c r="GF133" s="102">
        <f t="shared" si="458"/>
        <v>763.41397800000004</v>
      </c>
      <c r="GG133" s="102">
        <f t="shared" si="458"/>
        <v>763.41397800000004</v>
      </c>
      <c r="GH133" s="102">
        <f t="shared" si="458"/>
        <v>770.14197799999999</v>
      </c>
      <c r="GI133" s="102">
        <f t="shared" si="458"/>
        <v>7785.8249999999998</v>
      </c>
      <c r="GJ133" s="102">
        <f t="shared" si="434"/>
        <v>4473.9039169999996</v>
      </c>
      <c r="GK133" s="102">
        <f t="shared" si="407"/>
        <v>4473.9039169999996</v>
      </c>
      <c r="GL133" s="102">
        <f t="shared" si="435"/>
        <v>4525.0032920000003</v>
      </c>
      <c r="GM133" s="102">
        <f t="shared" si="408"/>
        <v>4534.4488300000003</v>
      </c>
      <c r="GN133" s="102" t="e">
        <f t="shared" si="409"/>
        <v>#VALUE!</v>
      </c>
      <c r="GO133" s="102">
        <v>4534.4488300000003</v>
      </c>
      <c r="GQ133" s="929">
        <f t="shared" si="459"/>
        <v>8.8130427184816007E-3</v>
      </c>
      <c r="GR133" s="929">
        <f t="shared" si="459"/>
        <v>9.1095969605749758</v>
      </c>
      <c r="GS133" s="929">
        <f t="shared" si="459"/>
        <v>-0.42537831032677975</v>
      </c>
      <c r="GT133" s="929">
        <f t="shared" si="459"/>
        <v>0</v>
      </c>
      <c r="GU133" s="929">
        <f t="shared" si="459"/>
        <v>1.1421652308140295E-2</v>
      </c>
      <c r="GV133" s="929">
        <f t="shared" si="459"/>
        <v>2.0874101940873135E-3</v>
      </c>
      <c r="GW133" s="929" t="str">
        <f t="shared" si="399"/>
        <v/>
      </c>
      <c r="GX133" s="929" t="str">
        <f t="shared" si="399"/>
        <v/>
      </c>
      <c r="GY133" s="929">
        <f t="shared" si="249"/>
        <v>0</v>
      </c>
      <c r="HA133" s="102">
        <f t="shared" si="460"/>
        <v>6.7279999999999518</v>
      </c>
      <c r="HB133" s="102">
        <f t="shared" si="460"/>
        <v>7015.6830220000002</v>
      </c>
      <c r="HC133" s="102">
        <f t="shared" si="460"/>
        <v>-3311.9210830000002</v>
      </c>
      <c r="HD133" s="102">
        <f t="shared" si="460"/>
        <v>0</v>
      </c>
      <c r="HE133" s="102">
        <f t="shared" si="400"/>
        <v>51.099375000000691</v>
      </c>
      <c r="HF133" s="102">
        <f t="shared" si="400"/>
        <v>9.4455379999999423</v>
      </c>
      <c r="HG133" s="102" t="e">
        <f t="shared" si="400"/>
        <v>#VALUE!</v>
      </c>
      <c r="HH133" s="102" t="e">
        <f t="shared" si="400"/>
        <v>#VALUE!</v>
      </c>
      <c r="HI133" s="102">
        <f t="shared" si="251"/>
        <v>0</v>
      </c>
      <c r="HK133" s="973"/>
      <c r="HL133" s="973"/>
      <c r="HM133" s="973"/>
      <c r="HN133" s="973"/>
      <c r="HO133" s="973"/>
      <c r="HP133" s="973"/>
      <c r="HQ133" s="973"/>
      <c r="HR133" s="973"/>
      <c r="HS133" s="973"/>
      <c r="HU133" s="102">
        <f t="shared" si="461"/>
        <v>904.963978</v>
      </c>
      <c r="HV133" s="102">
        <f t="shared" si="461"/>
        <v>763.41397800000004</v>
      </c>
      <c r="HW133" s="102">
        <f t="shared" si="461"/>
        <v>763.41397800000004</v>
      </c>
      <c r="HX133" s="102">
        <f t="shared" si="461"/>
        <v>1870.4121052200001</v>
      </c>
      <c r="HY133" s="102">
        <f t="shared" si="462"/>
        <v>4473.9039169999996</v>
      </c>
      <c r="HZ133" s="102">
        <f t="shared" si="453"/>
        <v>4473.9039169999996</v>
      </c>
      <c r="IA133" s="102">
        <f t="shared" si="414"/>
        <v>4495.6075170000004</v>
      </c>
      <c r="IB133" s="102">
        <f t="shared" si="415"/>
        <v>4534.4488300000003</v>
      </c>
      <c r="IC133" s="102">
        <f t="shared" si="416"/>
        <v>4534.4488300000003</v>
      </c>
      <c r="ID133" s="102" t="e">
        <f t="shared" si="417"/>
        <v>#VALUE!</v>
      </c>
      <c r="IE133" s="102" t="e">
        <f t="shared" si="463"/>
        <v>#VALUE!</v>
      </c>
      <c r="IG133" s="102" t="e">
        <f t="shared" si="464"/>
        <v>#VALUE!</v>
      </c>
      <c r="IH133" s="102" t="e">
        <f t="shared" si="465"/>
        <v>#VALUE!</v>
      </c>
      <c r="II133" s="145"/>
      <c r="IJ133" s="929" t="str">
        <f t="shared" si="466"/>
        <v>NA</v>
      </c>
      <c r="IK133" s="930" t="str">
        <f t="shared" si="467"/>
        <v>NA</v>
      </c>
      <c r="IM133" s="973"/>
      <c r="IN133" s="973"/>
      <c r="IP133" s="929">
        <f t="shared" si="477"/>
        <v>0</v>
      </c>
      <c r="IQ133" s="929">
        <f t="shared" si="477"/>
        <v>1.450062690913946</v>
      </c>
      <c r="IR133" s="929">
        <f t="shared" si="477"/>
        <v>1.3919348599777019</v>
      </c>
      <c r="IS133" s="929">
        <f t="shared" si="477"/>
        <v>0</v>
      </c>
      <c r="IT133" s="929">
        <f t="shared" si="477"/>
        <v>4.8511546968030839E-3</v>
      </c>
      <c r="IU133" s="929">
        <f t="shared" si="477"/>
        <v>8.6398362964565933E-3</v>
      </c>
      <c r="IV133" s="929" t="str">
        <f t="shared" si="478"/>
        <v/>
      </c>
      <c r="IX133" s="102">
        <f t="shared" si="422"/>
        <v>0</v>
      </c>
      <c r="IY133" s="102">
        <f t="shared" si="422"/>
        <v>1106.99812722</v>
      </c>
      <c r="IZ133" s="102">
        <f t="shared" si="422"/>
        <v>2603.4918117799998</v>
      </c>
      <c r="JA133" s="102">
        <f t="shared" si="422"/>
        <v>0</v>
      </c>
      <c r="JB133" s="102">
        <f t="shared" si="422"/>
        <v>21.703600000000733</v>
      </c>
      <c r="JC133" s="102">
        <f t="shared" si="422"/>
        <v>38.8413129999999</v>
      </c>
      <c r="JD133" s="102" t="e">
        <f t="shared" si="423"/>
        <v>#VALUE!</v>
      </c>
      <c r="JF133" s="973"/>
      <c r="JG133" s="973"/>
      <c r="JH133" s="973"/>
      <c r="JI133" s="973"/>
      <c r="JJ133" s="973"/>
      <c r="JK133" s="973"/>
      <c r="JL133" s="973"/>
      <c r="JM133" s="973"/>
      <c r="JO133" s="102">
        <f t="shared" si="469"/>
        <v>904.963978</v>
      </c>
      <c r="JP133" s="102">
        <f t="shared" si="469"/>
        <v>763.41397800000004</v>
      </c>
      <c r="JQ133" s="102">
        <f t="shared" si="469"/>
        <v>763.41397800000004</v>
      </c>
      <c r="JR133" s="102">
        <f t="shared" si="469"/>
        <v>1870.4121052200001</v>
      </c>
      <c r="JS133" s="102">
        <f t="shared" si="469"/>
        <v>4473.9039169999996</v>
      </c>
      <c r="JT133" s="102">
        <f t="shared" si="425"/>
        <v>4473.9039169999996</v>
      </c>
      <c r="JU133" s="102">
        <f t="shared" si="426"/>
        <v>4495.6075170000004</v>
      </c>
      <c r="JV133" s="102">
        <f t="shared" si="470"/>
        <v>4534.4488300000003</v>
      </c>
      <c r="JW133" s="102">
        <f t="shared" si="470"/>
        <v>4534.4488300000003</v>
      </c>
      <c r="JX133" s="102" t="e">
        <f t="shared" si="428"/>
        <v>#VALUE!</v>
      </c>
      <c r="JY133" s="102" t="e">
        <f t="shared" si="471"/>
        <v>#VALUE!</v>
      </c>
      <c r="KB133" s="32">
        <f t="shared" si="472"/>
        <v>0</v>
      </c>
      <c r="KC133" s="32">
        <f t="shared" si="472"/>
        <v>1.450062690913946</v>
      </c>
      <c r="KD133" s="32">
        <f t="shared" si="472"/>
        <v>1.3919348599777019</v>
      </c>
      <c r="KE133" s="32">
        <f t="shared" si="472"/>
        <v>0</v>
      </c>
      <c r="KF133" s="32">
        <f t="shared" si="472"/>
        <v>4.8511546968030839E-3</v>
      </c>
      <c r="KG133" s="32">
        <f t="shared" si="472"/>
        <v>8.6398362964565933E-3</v>
      </c>
      <c r="KH133" s="32" t="str">
        <f t="shared" si="431"/>
        <v xml:space="preserve"> </v>
      </c>
      <c r="KJ133" s="102">
        <f t="shared" si="473"/>
        <v>0</v>
      </c>
      <c r="KK133" s="102">
        <f t="shared" si="473"/>
        <v>1106.99812722</v>
      </c>
      <c r="KL133" s="102">
        <f t="shared" si="473"/>
        <v>2603.4918117799998</v>
      </c>
      <c r="KM133" s="102">
        <f t="shared" si="473"/>
        <v>0</v>
      </c>
      <c r="KN133" s="102">
        <f t="shared" si="473"/>
        <v>21.703600000000733</v>
      </c>
      <c r="KO133" s="102">
        <f t="shared" si="473"/>
        <v>38.8413129999999</v>
      </c>
      <c r="KP133" s="102" t="e">
        <f t="shared" si="433"/>
        <v>#VALUE!</v>
      </c>
      <c r="KR133" s="973"/>
      <c r="KS133" s="973"/>
      <c r="KT133" s="973"/>
      <c r="KU133" s="973"/>
      <c r="KV133" s="973"/>
      <c r="KW133" s="973"/>
      <c r="KX133" s="973"/>
      <c r="KY133" s="973"/>
      <c r="KZ133" s="973"/>
    </row>
    <row r="134" spans="1:312" outlineLevel="4">
      <c r="A134" s="884">
        <v>151610</v>
      </c>
      <c r="B134" s="70" t="s">
        <v>703</v>
      </c>
      <c r="C134" s="980" t="s">
        <v>704</v>
      </c>
      <c r="D134" s="31"/>
      <c r="E134" s="102">
        <v>883.04311199999995</v>
      </c>
      <c r="F134" s="102">
        <v>883.04311199999995</v>
      </c>
      <c r="G134" s="102">
        <v>883.04311199999995</v>
      </c>
      <c r="H134" s="102">
        <v>883.04311199999995</v>
      </c>
      <c r="I134" s="102">
        <v>883.04311199999995</v>
      </c>
      <c r="J134" s="102">
        <v>883.04311199999995</v>
      </c>
      <c r="K134" s="102">
        <v>883.04311199999995</v>
      </c>
      <c r="L134" s="102">
        <v>883.04311199999995</v>
      </c>
      <c r="M134" s="102">
        <v>883.04311199999995</v>
      </c>
      <c r="N134" s="102">
        <v>883.04311199999995</v>
      </c>
      <c r="O134" s="102">
        <v>741.493112</v>
      </c>
      <c r="P134" s="102">
        <v>741.493112</v>
      </c>
      <c r="Q134" s="102">
        <v>741.493112</v>
      </c>
      <c r="R134" s="102">
        <v>741.493112</v>
      </c>
      <c r="S134" s="102">
        <v>741.493112</v>
      </c>
      <c r="T134" s="102">
        <v>741.493112</v>
      </c>
      <c r="U134" s="102">
        <v>741.493112</v>
      </c>
      <c r="V134" s="102">
        <v>741.493112</v>
      </c>
      <c r="W134" s="102">
        <v>741.493112</v>
      </c>
      <c r="X134" s="102">
        <v>741.493112</v>
      </c>
      <c r="Y134" s="102">
        <v>741.493112</v>
      </c>
      <c r="Z134" s="102">
        <v>741.493112</v>
      </c>
      <c r="AA134" s="102">
        <v>741.493112</v>
      </c>
      <c r="AB134" s="102">
        <v>741.493112</v>
      </c>
      <c r="AC134" s="102">
        <v>741.493112</v>
      </c>
      <c r="AD134" s="102">
        <v>741.493112</v>
      </c>
      <c r="AE134" s="102">
        <v>741.493112</v>
      </c>
      <c r="AF134" s="102">
        <v>741.493112</v>
      </c>
      <c r="AG134" s="102">
        <v>741.493112</v>
      </c>
      <c r="AH134" s="102">
        <v>741.493112</v>
      </c>
      <c r="AI134" s="102">
        <v>741.493112</v>
      </c>
      <c r="AJ134" s="102">
        <v>741.493112</v>
      </c>
      <c r="AK134" s="102">
        <v>754.94911200000001</v>
      </c>
      <c r="AL134" s="102">
        <v>748.22111199999995</v>
      </c>
      <c r="AM134" s="102">
        <v>748.22111199999995</v>
      </c>
      <c r="AN134" s="102">
        <v>770.14197799999999</v>
      </c>
      <c r="AO134" s="102">
        <v>766.60626300000001</v>
      </c>
      <c r="AP134" s="145">
        <v>970.11900813</v>
      </c>
      <c r="AQ134" s="220">
        <v>970.11900813</v>
      </c>
      <c r="AR134" s="220">
        <v>1460.42590513</v>
      </c>
      <c r="AS134" s="102">
        <v>4972.2812481299998</v>
      </c>
      <c r="AT134" s="102">
        <v>1870.4121052200001</v>
      </c>
      <c r="AU134" s="102">
        <v>1890.5101802199999</v>
      </c>
      <c r="AV134" s="102">
        <v>1890.5101802199999</v>
      </c>
      <c r="AW134" s="102">
        <v>766.60626300000001</v>
      </c>
      <c r="AX134" s="102">
        <v>766.60626300000001</v>
      </c>
      <c r="AY134" s="102">
        <v>766.60626300000001</v>
      </c>
      <c r="AZ134" s="102">
        <f>+AZ133</f>
        <v>7785.8249999999998</v>
      </c>
      <c r="BA134" s="102">
        <v>5723.9039169999996</v>
      </c>
      <c r="BB134" s="102">
        <v>5723.9039169999996</v>
      </c>
      <c r="BC134" s="102">
        <v>5723.9039169999996</v>
      </c>
      <c r="BD134" s="102">
        <v>4473.9039169999996</v>
      </c>
      <c r="BE134" s="102">
        <v>4473.9039169999996</v>
      </c>
      <c r="BF134" s="102">
        <v>4473.9039169999996</v>
      </c>
      <c r="BG134" s="102">
        <v>4473.9039169999996</v>
      </c>
      <c r="BH134" s="102">
        <v>4473.9039169999996</v>
      </c>
      <c r="BI134" s="102">
        <v>4473.9039169999996</v>
      </c>
      <c r="BJ134" s="102">
        <v>4473.9039169999996</v>
      </c>
      <c r="BK134" s="102">
        <v>4473.9039169999996</v>
      </c>
      <c r="BL134" s="102">
        <v>4473.9039169999996</v>
      </c>
      <c r="BM134" s="102">
        <v>4473.9039169999996</v>
      </c>
      <c r="BN134" s="102">
        <v>4473.9039169999996</v>
      </c>
      <c r="BO134" s="102">
        <v>4473.9039169999996</v>
      </c>
      <c r="BP134" s="102">
        <v>4473.9039169999996</v>
      </c>
      <c r="BQ134" s="102">
        <v>4473.9039169999996</v>
      </c>
      <c r="BR134" s="102">
        <v>4473.9039169999996</v>
      </c>
      <c r="BS134" s="102">
        <v>4473.9039169999996</v>
      </c>
      <c r="BT134" s="102">
        <v>4473.9039169999996</v>
      </c>
      <c r="BU134" s="102">
        <v>4473.9039169999996</v>
      </c>
      <c r="BV134" s="102">
        <v>4473.9039169999996</v>
      </c>
      <c r="BW134" s="102">
        <v>4473.9039169999996</v>
      </c>
      <c r="BX134" s="102">
        <v>4473.9039169999996</v>
      </c>
      <c r="BY134" s="102">
        <v>4495.6075170000004</v>
      </c>
      <c r="BZ134" s="102">
        <v>4495.6075170000004</v>
      </c>
      <c r="CA134" s="102">
        <v>4495.6075170000004</v>
      </c>
      <c r="CB134" s="102">
        <v>4495.6075170000004</v>
      </c>
      <c r="CC134" s="102">
        <v>4495.6075170000004</v>
      </c>
      <c r="CD134" s="102">
        <v>4495.6075170000004</v>
      </c>
      <c r="CE134" s="102">
        <v>4519.0616639999998</v>
      </c>
      <c r="CF134" s="102">
        <v>4522.1833589999997</v>
      </c>
      <c r="CG134" s="102">
        <v>4523.0597289999996</v>
      </c>
      <c r="CH134" s="102">
        <v>4525.0032920000003</v>
      </c>
      <c r="CI134" s="102">
        <v>4525.0032920000003</v>
      </c>
      <c r="CJ134" s="102">
        <v>4525.0032920000003</v>
      </c>
      <c r="CK134" s="102">
        <v>4525.0032920000003</v>
      </c>
      <c r="CL134" s="102">
        <v>4534.4488300000003</v>
      </c>
      <c r="CM134" s="102">
        <v>4534.4488300000003</v>
      </c>
      <c r="CN134" s="102">
        <v>4534.4488300000003</v>
      </c>
      <c r="CO134" s="102">
        <v>4534.4488300000003</v>
      </c>
      <c r="CP134" s="102">
        <v>4534.4488300000003</v>
      </c>
      <c r="CQ134" s="102">
        <v>4534.4488300000003</v>
      </c>
      <c r="CR134" s="102">
        <v>4534.4488300000003</v>
      </c>
      <c r="CS134" s="102">
        <v>4534.4488300000003</v>
      </c>
      <c r="CT134" s="102">
        <v>4534.4488300000003</v>
      </c>
      <c r="CU134" s="102">
        <v>4534.4488300000003</v>
      </c>
      <c r="CV134" s="102">
        <v>4534.4488300000003</v>
      </c>
      <c r="CW134" s="102">
        <v>4534.4488300000003</v>
      </c>
      <c r="CX134" s="102">
        <v>4534.4488300000003</v>
      </c>
      <c r="CY134" s="102">
        <v>4534.4488300000003</v>
      </c>
      <c r="CZ134" s="102">
        <v>4534.4488300000003</v>
      </c>
      <c r="DA134" s="102">
        <v>4534.4488300000003</v>
      </c>
      <c r="DB134" s="102">
        <v>4534.4488300000003</v>
      </c>
      <c r="DC134" s="102">
        <v>4534.4488300000003</v>
      </c>
      <c r="DD134" s="102">
        <v>4534.4488300000003</v>
      </c>
      <c r="DE134" s="102">
        <v>4534.4488300000003</v>
      </c>
      <c r="DF134" s="102">
        <v>4534.4488300000003</v>
      </c>
      <c r="DG134" s="102">
        <v>4534.4488300000003</v>
      </c>
      <c r="DH134" s="102">
        <v>4534.4488300000003</v>
      </c>
      <c r="DJ134" s="102" t="e">
        <v>#VALUE!</v>
      </c>
      <c r="DK134" s="102" t="e">
        <v>#VALUE!</v>
      </c>
      <c r="DL134" s="102" t="e">
        <v>#VALUE!</v>
      </c>
      <c r="DM134" s="102" t="e">
        <v>#VALUE!</v>
      </c>
      <c r="DN134" s="102" t="e">
        <v>#VALUE!</v>
      </c>
      <c r="DO134" s="102" t="e">
        <v>#VALUE!</v>
      </c>
      <c r="DP134" s="102" t="e">
        <v>#VALUE!</v>
      </c>
      <c r="DQ134" s="102" t="e">
        <v>#VALUE!</v>
      </c>
      <c r="DR134" s="102" t="e">
        <v>#VALUE!</v>
      </c>
      <c r="DS134" s="102" t="e">
        <v>#VALUE!</v>
      </c>
      <c r="DT134" s="102" t="e">
        <v>#VALUE!</v>
      </c>
      <c r="DU134" s="102" t="e">
        <v>#VALUE!</v>
      </c>
      <c r="DW134" s="102">
        <v>2580.4586551799998</v>
      </c>
      <c r="DX134" s="102">
        <v>7354.0586551800006</v>
      </c>
      <c r="DY134" s="102">
        <v>7782.3261971800002</v>
      </c>
      <c r="DZ134" s="102">
        <v>7782.3261971800002</v>
      </c>
      <c r="EA134" s="102">
        <v>8014.3261971800002</v>
      </c>
      <c r="EB134" s="102">
        <v>7272.8261971800002</v>
      </c>
      <c r="EC134" s="102">
        <v>7272.8261971800002</v>
      </c>
      <c r="ED134" s="102">
        <v>7272.8261971800002</v>
      </c>
      <c r="EE134" s="102">
        <v>7272.8261971800002</v>
      </c>
      <c r="EF134" s="102">
        <v>7272.8261971800002</v>
      </c>
      <c r="EG134" s="102">
        <v>7272.8261971800002</v>
      </c>
      <c r="EH134" s="102">
        <v>7272.8261971800002</v>
      </c>
      <c r="EI134" s="102">
        <v>759.87826300000006</v>
      </c>
      <c r="EJ134" s="102">
        <v>759.87826300000006</v>
      </c>
      <c r="EK134" s="102">
        <v>19.878263000000288</v>
      </c>
      <c r="EL134" s="102">
        <v>19.878263000000288</v>
      </c>
      <c r="EM134" s="102">
        <v>19.878263000000288</v>
      </c>
      <c r="EN134" s="102">
        <v>19.878263000000288</v>
      </c>
      <c r="EO134" s="102">
        <v>19.878263000000288</v>
      </c>
      <c r="EP134" s="102">
        <v>19.878263000000288</v>
      </c>
      <c r="EQ134" s="102">
        <v>19.878263000000288</v>
      </c>
      <c r="ER134" s="102">
        <v>19.878263000000288</v>
      </c>
      <c r="ES134" s="102">
        <v>19.878263000000288</v>
      </c>
      <c r="ET134" s="102">
        <v>19.878263000000288</v>
      </c>
      <c r="EU134" s="102">
        <v>6513.9974936999997</v>
      </c>
      <c r="EV134" s="102">
        <v>6513.9974936999997</v>
      </c>
      <c r="EW134" s="102">
        <v>6513.9974936999997</v>
      </c>
      <c r="EX134" s="102">
        <v>6513.9974936999997</v>
      </c>
      <c r="EY134" s="102">
        <v>6513.9974936999997</v>
      </c>
      <c r="EZ134" s="102">
        <v>6513.9974936999997</v>
      </c>
      <c r="FA134" s="102">
        <v>6513.9974936999997</v>
      </c>
      <c r="FB134" s="102">
        <v>6513.9974936999997</v>
      </c>
      <c r="FC134" s="102">
        <v>6513.9974936999997</v>
      </c>
      <c r="FD134" s="102">
        <v>6513.9974936999997</v>
      </c>
      <c r="FE134" s="102">
        <v>6513.9974936999997</v>
      </c>
      <c r="FF134" s="102">
        <v>6513.9974936999997</v>
      </c>
      <c r="FG134" s="145" t="e">
        <v>#VALUE!</v>
      </c>
      <c r="FH134" s="145" t="e">
        <v>#VALUE!</v>
      </c>
      <c r="FI134" s="145" t="e">
        <v>#VALUE!</v>
      </c>
      <c r="FJ134" s="145" t="e">
        <v>#VALUE!</v>
      </c>
      <c r="FK134" s="145" t="e">
        <v>#VALUE!</v>
      </c>
      <c r="FL134" s="145" t="e">
        <v>#VALUE!</v>
      </c>
      <c r="FM134" s="145" t="e">
        <v>#VALUE!</v>
      </c>
      <c r="FN134" s="145" t="e">
        <v>#VALUE!</v>
      </c>
      <c r="FO134" s="145" t="e">
        <v>#VALUE!</v>
      </c>
      <c r="FP134" s="145" t="e">
        <v>#VALUE!</v>
      </c>
      <c r="FQ134" s="145" t="e">
        <v>#VALUE!</v>
      </c>
      <c r="FR134" s="145" t="e">
        <v>#VALUE!</v>
      </c>
      <c r="FS134" s="145" t="e">
        <v>#VALUE!</v>
      </c>
      <c r="FT134" s="145" t="e">
        <v>#VALUE!</v>
      </c>
      <c r="FU134" s="145" t="e">
        <v>#VALUE!</v>
      </c>
      <c r="FV134" s="145" t="e">
        <v>#VALUE!</v>
      </c>
      <c r="FW134" s="145" t="e">
        <v>#VALUE!</v>
      </c>
      <c r="FX134" s="145" t="e">
        <v>#VALUE!</v>
      </c>
      <c r="FY134" s="145" t="e">
        <v>#VALUE!</v>
      </c>
      <c r="FZ134" s="145" t="e">
        <v>#VALUE!</v>
      </c>
      <c r="GA134" s="145" t="e">
        <v>#VALUE!</v>
      </c>
      <c r="GB134" s="145" t="e">
        <v>#VALUE!</v>
      </c>
      <c r="GC134" s="145" t="e">
        <v>#VALUE!</v>
      </c>
      <c r="GD134" s="145" t="e">
        <v>#VALUE!</v>
      </c>
      <c r="GF134" s="102">
        <f t="shared" si="458"/>
        <v>741.493112</v>
      </c>
      <c r="GG134" s="102">
        <f t="shared" si="458"/>
        <v>741.493112</v>
      </c>
      <c r="GH134" s="102">
        <f t="shared" si="458"/>
        <v>770.14197799999999</v>
      </c>
      <c r="GI134" s="102">
        <f t="shared" si="458"/>
        <v>7785.8249999999998</v>
      </c>
      <c r="GJ134" s="102">
        <f t="shared" si="434"/>
        <v>4473.9039169999996</v>
      </c>
      <c r="GK134" s="102">
        <f t="shared" si="407"/>
        <v>4473.9039169999996</v>
      </c>
      <c r="GL134" s="102">
        <f t="shared" si="435"/>
        <v>4525.0032920000003</v>
      </c>
      <c r="GM134" s="102">
        <f t="shared" si="408"/>
        <v>4534.4488300000003</v>
      </c>
      <c r="GN134" s="102" t="e">
        <f t="shared" si="409"/>
        <v>#VALUE!</v>
      </c>
      <c r="GO134" s="102">
        <v>4534.4488300000003</v>
      </c>
      <c r="GQ134" s="929">
        <f t="shared" si="459"/>
        <v>3.8636725731310717E-2</v>
      </c>
      <c r="GR134" s="929">
        <f t="shared" si="459"/>
        <v>9.1095969605749758</v>
      </c>
      <c r="GS134" s="929">
        <f t="shared" si="459"/>
        <v>-0.42537831032677975</v>
      </c>
      <c r="GT134" s="929">
        <f t="shared" si="459"/>
        <v>0</v>
      </c>
      <c r="GU134" s="929">
        <f t="shared" si="459"/>
        <v>1.1421652308140295E-2</v>
      </c>
      <c r="GV134" s="929">
        <f t="shared" si="459"/>
        <v>2.0874101940873135E-3</v>
      </c>
      <c r="GW134" s="929" t="str">
        <f t="shared" si="399"/>
        <v/>
      </c>
      <c r="GX134" s="929" t="str">
        <f t="shared" si="399"/>
        <v/>
      </c>
      <c r="GY134" s="929">
        <f t="shared" si="249"/>
        <v>0</v>
      </c>
      <c r="HA134" s="102">
        <f t="shared" si="460"/>
        <v>28.648865999999998</v>
      </c>
      <c r="HB134" s="102">
        <f t="shared" si="460"/>
        <v>7015.6830220000002</v>
      </c>
      <c r="HC134" s="102">
        <f t="shared" si="460"/>
        <v>-3311.9210830000002</v>
      </c>
      <c r="HD134" s="102">
        <f t="shared" si="460"/>
        <v>0</v>
      </c>
      <c r="HE134" s="102">
        <f t="shared" si="400"/>
        <v>51.099375000000691</v>
      </c>
      <c r="HF134" s="102">
        <f t="shared" si="400"/>
        <v>9.4455379999999423</v>
      </c>
      <c r="HG134" s="102" t="e">
        <f t="shared" si="400"/>
        <v>#VALUE!</v>
      </c>
      <c r="HH134" s="102" t="e">
        <f t="shared" si="400"/>
        <v>#VALUE!</v>
      </c>
      <c r="HI134" s="102">
        <f t="shared" si="251"/>
        <v>0</v>
      </c>
      <c r="HK134" s="973"/>
      <c r="HL134" s="973"/>
      <c r="HM134" s="973"/>
      <c r="HN134" s="973"/>
      <c r="HO134" s="973"/>
      <c r="HP134" s="973"/>
      <c r="HQ134" s="973"/>
      <c r="HR134" s="973"/>
      <c r="HS134" s="973"/>
      <c r="HU134" s="102">
        <f t="shared" si="461"/>
        <v>883.04311199999995</v>
      </c>
      <c r="HV134" s="102">
        <f t="shared" si="461"/>
        <v>741.493112</v>
      </c>
      <c r="HW134" s="102">
        <f t="shared" si="461"/>
        <v>741.493112</v>
      </c>
      <c r="HX134" s="102">
        <f t="shared" si="461"/>
        <v>1870.4121052200001</v>
      </c>
      <c r="HY134" s="102">
        <f t="shared" si="462"/>
        <v>4473.9039169999996</v>
      </c>
      <c r="HZ134" s="102">
        <f t="shared" si="453"/>
        <v>4473.9039169999996</v>
      </c>
      <c r="IA134" s="102">
        <f t="shared" si="414"/>
        <v>4495.6075170000004</v>
      </c>
      <c r="IB134" s="102">
        <f t="shared" si="415"/>
        <v>4534.4488300000003</v>
      </c>
      <c r="IC134" s="102">
        <f t="shared" si="416"/>
        <v>4534.4488300000003</v>
      </c>
      <c r="ID134" s="102" t="e">
        <f t="shared" si="417"/>
        <v>#VALUE!</v>
      </c>
      <c r="IE134" s="102" t="e">
        <f t="shared" si="463"/>
        <v>#VALUE!</v>
      </c>
      <c r="IG134" s="102" t="e">
        <f t="shared" si="464"/>
        <v>#VALUE!</v>
      </c>
      <c r="IH134" s="102" t="e">
        <f t="shared" si="465"/>
        <v>#VALUE!</v>
      </c>
      <c r="II134" s="145"/>
      <c r="IJ134" s="929" t="str">
        <f t="shared" si="466"/>
        <v>NA</v>
      </c>
      <c r="IK134" s="930" t="str">
        <f t="shared" si="467"/>
        <v>NA</v>
      </c>
      <c r="IM134" s="973"/>
      <c r="IN134" s="973"/>
      <c r="IP134" s="929">
        <f t="shared" si="477"/>
        <v>0</v>
      </c>
      <c r="IQ134" s="929">
        <f t="shared" si="477"/>
        <v>1.5224942416187948</v>
      </c>
      <c r="IR134" s="929">
        <f t="shared" si="477"/>
        <v>1.3919348599777019</v>
      </c>
      <c r="IS134" s="929">
        <f t="shared" si="477"/>
        <v>0</v>
      </c>
      <c r="IT134" s="929">
        <f t="shared" si="477"/>
        <v>4.8511546968030839E-3</v>
      </c>
      <c r="IU134" s="929">
        <f t="shared" si="477"/>
        <v>8.6398362964565933E-3</v>
      </c>
      <c r="IV134" s="929" t="str">
        <f t="shared" si="478"/>
        <v/>
      </c>
      <c r="IX134" s="102">
        <f t="shared" si="422"/>
        <v>0</v>
      </c>
      <c r="IY134" s="102">
        <f t="shared" si="422"/>
        <v>1128.9189932200002</v>
      </c>
      <c r="IZ134" s="102">
        <f t="shared" si="422"/>
        <v>2603.4918117799998</v>
      </c>
      <c r="JA134" s="102">
        <f t="shared" si="422"/>
        <v>0</v>
      </c>
      <c r="JB134" s="102">
        <f t="shared" si="422"/>
        <v>21.703600000000733</v>
      </c>
      <c r="JC134" s="102">
        <f t="shared" si="422"/>
        <v>38.8413129999999</v>
      </c>
      <c r="JD134" s="102" t="e">
        <f t="shared" si="423"/>
        <v>#VALUE!</v>
      </c>
      <c r="JF134" s="973"/>
      <c r="JG134" s="973"/>
      <c r="JH134" s="973"/>
      <c r="JI134" s="973"/>
      <c r="JJ134" s="973"/>
      <c r="JK134" s="973"/>
      <c r="JL134" s="973"/>
      <c r="JM134" s="973"/>
      <c r="JO134" s="102">
        <f t="shared" si="469"/>
        <v>883.04311199999995</v>
      </c>
      <c r="JP134" s="102">
        <f t="shared" si="469"/>
        <v>741.493112</v>
      </c>
      <c r="JQ134" s="102">
        <f t="shared" si="469"/>
        <v>741.493112</v>
      </c>
      <c r="JR134" s="102">
        <f t="shared" si="469"/>
        <v>1870.4121052200001</v>
      </c>
      <c r="JS134" s="102">
        <f t="shared" si="469"/>
        <v>4473.9039169999996</v>
      </c>
      <c r="JT134" s="102">
        <f t="shared" si="425"/>
        <v>4473.9039169999996</v>
      </c>
      <c r="JU134" s="102">
        <f t="shared" si="426"/>
        <v>4495.6075170000004</v>
      </c>
      <c r="JV134" s="102">
        <f t="shared" si="470"/>
        <v>4534.4488300000003</v>
      </c>
      <c r="JW134" s="102">
        <f t="shared" si="470"/>
        <v>4534.4488300000003</v>
      </c>
      <c r="JX134" s="102" t="e">
        <f t="shared" si="428"/>
        <v>#VALUE!</v>
      </c>
      <c r="JY134" s="102" t="e">
        <f t="shared" si="471"/>
        <v>#VALUE!</v>
      </c>
      <c r="KB134" s="32">
        <f t="shared" si="472"/>
        <v>0</v>
      </c>
      <c r="KC134" s="32">
        <f t="shared" si="472"/>
        <v>1.5224942416187948</v>
      </c>
      <c r="KD134" s="32">
        <f t="shared" si="472"/>
        <v>1.3919348599777019</v>
      </c>
      <c r="KE134" s="32">
        <f t="shared" si="472"/>
        <v>0</v>
      </c>
      <c r="KF134" s="32">
        <f t="shared" si="472"/>
        <v>4.8511546968030839E-3</v>
      </c>
      <c r="KG134" s="32">
        <f t="shared" si="472"/>
        <v>8.6398362964565933E-3</v>
      </c>
      <c r="KH134" s="32" t="str">
        <f t="shared" si="431"/>
        <v xml:space="preserve"> </v>
      </c>
      <c r="KJ134" s="102">
        <f t="shared" si="473"/>
        <v>0</v>
      </c>
      <c r="KK134" s="102">
        <f t="shared" si="473"/>
        <v>1128.9189932200002</v>
      </c>
      <c r="KL134" s="102">
        <f t="shared" si="473"/>
        <v>2603.4918117799998</v>
      </c>
      <c r="KM134" s="102">
        <f t="shared" si="473"/>
        <v>0</v>
      </c>
      <c r="KN134" s="102">
        <f t="shared" si="473"/>
        <v>21.703600000000733</v>
      </c>
      <c r="KO134" s="102">
        <f t="shared" si="473"/>
        <v>38.8413129999999</v>
      </c>
      <c r="KP134" s="102" t="e">
        <f t="shared" si="433"/>
        <v>#VALUE!</v>
      </c>
      <c r="KR134" s="973"/>
      <c r="KS134" s="973"/>
      <c r="KT134" s="973"/>
      <c r="KU134" s="973"/>
      <c r="KV134" s="973"/>
      <c r="KW134" s="973"/>
      <c r="KX134" s="973"/>
      <c r="KY134" s="973"/>
      <c r="KZ134" s="973"/>
    </row>
    <row r="135" spans="1:312" outlineLevel="4">
      <c r="A135" s="884">
        <v>15169903</v>
      </c>
      <c r="B135" s="70" t="s">
        <v>705</v>
      </c>
      <c r="C135" s="980" t="s">
        <v>705</v>
      </c>
      <c r="D135" s="31"/>
      <c r="E135" s="102">
        <v>21.920866</v>
      </c>
      <c r="F135" s="102">
        <v>21.920866</v>
      </c>
      <c r="G135" s="102">
        <v>21.920866</v>
      </c>
      <c r="H135" s="102">
        <v>21.920866</v>
      </c>
      <c r="I135" s="102">
        <v>21.920866</v>
      </c>
      <c r="J135" s="102">
        <v>21.920866</v>
      </c>
      <c r="K135" s="102">
        <v>21.920866</v>
      </c>
      <c r="L135" s="102">
        <v>21.920866</v>
      </c>
      <c r="M135" s="102">
        <v>21.920866</v>
      </c>
      <c r="N135" s="102">
        <v>21.920866</v>
      </c>
      <c r="O135" s="102">
        <v>21.920866</v>
      </c>
      <c r="P135" s="102">
        <v>21.920866</v>
      </c>
      <c r="Q135" s="102">
        <v>0</v>
      </c>
      <c r="R135" s="102">
        <v>0</v>
      </c>
      <c r="S135" s="102">
        <v>0</v>
      </c>
      <c r="T135" s="102">
        <v>0</v>
      </c>
      <c r="U135" s="102">
        <v>0</v>
      </c>
      <c r="V135" s="102">
        <v>0</v>
      </c>
      <c r="W135" s="102">
        <v>0</v>
      </c>
      <c r="X135" s="102">
        <v>0</v>
      </c>
      <c r="Y135" s="102">
        <v>0</v>
      </c>
      <c r="Z135" s="102">
        <v>0</v>
      </c>
      <c r="AA135" s="102">
        <v>0</v>
      </c>
      <c r="AB135" s="102">
        <v>0</v>
      </c>
      <c r="AC135" s="102">
        <v>0</v>
      </c>
      <c r="AD135" s="102">
        <v>0</v>
      </c>
      <c r="AE135" s="102">
        <v>0</v>
      </c>
      <c r="AF135" s="102">
        <v>0</v>
      </c>
      <c r="AG135" s="102">
        <v>0</v>
      </c>
      <c r="AH135" s="102">
        <v>0</v>
      </c>
      <c r="AI135" s="102">
        <v>0</v>
      </c>
      <c r="AJ135" s="102">
        <v>0</v>
      </c>
      <c r="AK135" s="102">
        <v>0</v>
      </c>
      <c r="AL135" s="102">
        <v>0</v>
      </c>
      <c r="AM135" s="102">
        <v>0</v>
      </c>
      <c r="AN135" s="102">
        <v>0</v>
      </c>
      <c r="AO135" s="102">
        <v>0</v>
      </c>
      <c r="AP135" s="145">
        <v>0</v>
      </c>
      <c r="AQ135" s="220">
        <v>0</v>
      </c>
      <c r="AR135" s="220">
        <v>0</v>
      </c>
      <c r="AS135" s="102">
        <v>0</v>
      </c>
      <c r="AT135" s="102">
        <v>0</v>
      </c>
      <c r="AU135" s="102">
        <v>0</v>
      </c>
      <c r="AV135" s="102">
        <v>0</v>
      </c>
      <c r="AW135" s="102">
        <v>0</v>
      </c>
      <c r="AX135" s="102">
        <v>0</v>
      </c>
      <c r="AY135" s="102">
        <v>0</v>
      </c>
      <c r="AZ135" s="102">
        <v>0</v>
      </c>
      <c r="BA135" s="102">
        <v>0</v>
      </c>
      <c r="BB135" s="102">
        <v>0</v>
      </c>
      <c r="BC135" s="102">
        <v>0</v>
      </c>
      <c r="BD135" s="102">
        <v>0</v>
      </c>
      <c r="BE135" s="102">
        <v>0</v>
      </c>
      <c r="BF135" s="102">
        <v>0</v>
      </c>
      <c r="BG135" s="102">
        <v>0</v>
      </c>
      <c r="BH135" s="102">
        <v>0</v>
      </c>
      <c r="BI135" s="102">
        <v>0</v>
      </c>
      <c r="BJ135" s="102">
        <v>0</v>
      </c>
      <c r="BK135" s="102">
        <v>0</v>
      </c>
      <c r="BL135" s="102">
        <v>0</v>
      </c>
      <c r="BM135" s="102">
        <v>0</v>
      </c>
      <c r="BN135" s="102">
        <v>0</v>
      </c>
      <c r="BO135" s="102">
        <v>0</v>
      </c>
      <c r="BP135" s="102">
        <v>0</v>
      </c>
      <c r="BQ135" s="102">
        <v>0</v>
      </c>
      <c r="BR135" s="102">
        <v>0</v>
      </c>
      <c r="BS135" s="102">
        <v>0</v>
      </c>
      <c r="BT135" s="102">
        <v>0</v>
      </c>
      <c r="BU135" s="102">
        <v>0</v>
      </c>
      <c r="BV135" s="102">
        <v>0</v>
      </c>
      <c r="BW135" s="102">
        <v>0</v>
      </c>
      <c r="BX135" s="102">
        <v>0</v>
      </c>
      <c r="BY135" s="102">
        <v>0</v>
      </c>
      <c r="BZ135" s="102">
        <v>0</v>
      </c>
      <c r="CA135" s="102">
        <v>0</v>
      </c>
      <c r="CB135" s="102">
        <v>0</v>
      </c>
      <c r="CC135" s="102">
        <v>0</v>
      </c>
      <c r="CD135" s="102">
        <v>0</v>
      </c>
      <c r="CE135" s="102">
        <v>0</v>
      </c>
      <c r="CF135" s="102">
        <v>0</v>
      </c>
      <c r="CG135" s="102">
        <v>0</v>
      </c>
      <c r="CH135" s="102">
        <v>0</v>
      </c>
      <c r="CI135" s="102">
        <v>0</v>
      </c>
      <c r="CJ135" s="102">
        <v>0</v>
      </c>
      <c r="CK135" s="102">
        <v>0</v>
      </c>
      <c r="CL135" s="102">
        <v>0</v>
      </c>
      <c r="CM135" s="102">
        <v>0</v>
      </c>
      <c r="CN135" s="102">
        <v>0</v>
      </c>
      <c r="CO135" s="102">
        <v>0</v>
      </c>
      <c r="CP135" s="102">
        <v>0</v>
      </c>
      <c r="CQ135" s="102">
        <v>0</v>
      </c>
      <c r="CR135" s="102">
        <v>0</v>
      </c>
      <c r="CS135" s="102">
        <v>0</v>
      </c>
      <c r="CT135" s="102">
        <v>0</v>
      </c>
      <c r="CU135" s="102">
        <v>0</v>
      </c>
      <c r="CV135" s="102">
        <v>0</v>
      </c>
      <c r="CW135" s="102">
        <v>0</v>
      </c>
      <c r="CX135" s="102">
        <v>0</v>
      </c>
      <c r="CY135" s="102">
        <v>0</v>
      </c>
      <c r="CZ135" s="102">
        <v>0</v>
      </c>
      <c r="DA135" s="102">
        <v>0</v>
      </c>
      <c r="DB135" s="102">
        <v>0</v>
      </c>
      <c r="DC135" s="102">
        <v>0</v>
      </c>
      <c r="DD135" s="102">
        <v>0</v>
      </c>
      <c r="DE135" s="102">
        <v>0</v>
      </c>
      <c r="DF135" s="102">
        <v>0</v>
      </c>
      <c r="DG135" s="102">
        <v>0</v>
      </c>
      <c r="DH135" s="102">
        <v>0</v>
      </c>
      <c r="DJ135" s="102"/>
      <c r="DK135" s="102"/>
      <c r="DL135" s="102"/>
      <c r="DM135" s="102"/>
      <c r="DN135" s="102"/>
      <c r="DO135" s="102"/>
      <c r="DP135" s="102"/>
      <c r="DQ135" s="102"/>
      <c r="DR135" s="102"/>
      <c r="DS135" s="102"/>
      <c r="DT135" s="102"/>
      <c r="DU135" s="102"/>
      <c r="DW135" s="102"/>
      <c r="DX135" s="102"/>
      <c r="DY135" s="102"/>
      <c r="DZ135" s="102"/>
      <c r="EA135" s="102"/>
      <c r="EB135" s="102"/>
      <c r="EC135" s="102"/>
      <c r="ED135" s="102"/>
      <c r="EE135" s="102"/>
      <c r="EF135" s="102"/>
      <c r="EG135" s="102"/>
      <c r="EH135" s="102"/>
      <c r="EI135" s="102">
        <v>0</v>
      </c>
      <c r="EJ135" s="102">
        <v>0</v>
      </c>
      <c r="EK135" s="102">
        <v>0</v>
      </c>
      <c r="EL135" s="102">
        <v>0</v>
      </c>
      <c r="EM135" s="102">
        <v>0</v>
      </c>
      <c r="EN135" s="102">
        <v>0</v>
      </c>
      <c r="EO135" s="102">
        <v>0</v>
      </c>
      <c r="EP135" s="102">
        <v>0</v>
      </c>
      <c r="EQ135" s="102">
        <v>0</v>
      </c>
      <c r="ER135" s="102">
        <v>0</v>
      </c>
      <c r="ES135" s="102">
        <v>0</v>
      </c>
      <c r="ET135" s="102">
        <v>0</v>
      </c>
      <c r="EU135" s="102"/>
      <c r="EV135" s="102"/>
      <c r="EW135" s="102"/>
      <c r="EX135" s="102"/>
      <c r="EY135" s="102"/>
      <c r="EZ135" s="102"/>
      <c r="FA135" s="102"/>
      <c r="FB135" s="102"/>
      <c r="FC135" s="102"/>
      <c r="FD135" s="102"/>
      <c r="FE135" s="102"/>
      <c r="FF135" s="102"/>
      <c r="FG135" s="102"/>
      <c r="FH135" s="102"/>
      <c r="FI135" s="102"/>
      <c r="FJ135" s="102"/>
      <c r="FK135" s="102"/>
      <c r="FL135" s="102"/>
      <c r="FM135" s="102"/>
      <c r="FN135" s="102"/>
      <c r="FO135" s="102"/>
      <c r="FP135" s="102"/>
      <c r="FQ135" s="102"/>
      <c r="FR135" s="102"/>
      <c r="FS135" s="102"/>
      <c r="FT135" s="102"/>
      <c r="FU135" s="102"/>
      <c r="FV135" s="102"/>
      <c r="FW135" s="102"/>
      <c r="FX135" s="102"/>
      <c r="FY135" s="102"/>
      <c r="FZ135" s="102"/>
      <c r="GA135" s="102"/>
      <c r="GB135" s="102"/>
      <c r="GC135" s="102"/>
      <c r="GD135" s="102"/>
      <c r="GF135" s="102">
        <f t="shared" si="458"/>
        <v>21.920866</v>
      </c>
      <c r="GG135" s="102">
        <f t="shared" si="458"/>
        <v>0</v>
      </c>
      <c r="GH135" s="102">
        <f t="shared" si="458"/>
        <v>0</v>
      </c>
      <c r="GI135" s="102">
        <f t="shared" si="458"/>
        <v>0</v>
      </c>
      <c r="GJ135" s="102">
        <f t="shared" si="434"/>
        <v>0</v>
      </c>
      <c r="GK135" s="102">
        <f t="shared" si="407"/>
        <v>0</v>
      </c>
      <c r="GL135" s="102">
        <f t="shared" si="435"/>
        <v>0</v>
      </c>
      <c r="GM135" s="102">
        <f t="shared" si="408"/>
        <v>0</v>
      </c>
      <c r="GN135" s="102">
        <f t="shared" si="409"/>
        <v>0</v>
      </c>
      <c r="GO135" s="102">
        <v>0</v>
      </c>
      <c r="GQ135" s="929" t="str">
        <f t="shared" si="459"/>
        <v/>
      </c>
      <c r="GR135" s="929" t="str">
        <f t="shared" si="459"/>
        <v/>
      </c>
      <c r="GS135" s="929" t="str">
        <f t="shared" si="459"/>
        <v/>
      </c>
      <c r="GT135" s="929" t="str">
        <f t="shared" si="459"/>
        <v/>
      </c>
      <c r="GU135" s="929" t="str">
        <f t="shared" si="459"/>
        <v/>
      </c>
      <c r="GV135" s="929" t="str">
        <f t="shared" si="459"/>
        <v/>
      </c>
      <c r="GW135" s="929" t="str">
        <f t="shared" si="399"/>
        <v/>
      </c>
      <c r="GX135" s="929" t="str">
        <f t="shared" si="399"/>
        <v/>
      </c>
      <c r="GY135" s="929" t="str">
        <f t="shared" si="249"/>
        <v/>
      </c>
      <c r="HA135" s="102">
        <f t="shared" si="460"/>
        <v>0</v>
      </c>
      <c r="HB135" s="102">
        <f t="shared" si="460"/>
        <v>0</v>
      </c>
      <c r="HC135" s="102">
        <f t="shared" si="460"/>
        <v>0</v>
      </c>
      <c r="HD135" s="102">
        <f t="shared" si="460"/>
        <v>0</v>
      </c>
      <c r="HE135" s="102">
        <f t="shared" si="400"/>
        <v>0</v>
      </c>
      <c r="HF135" s="102">
        <f t="shared" si="400"/>
        <v>0</v>
      </c>
      <c r="HG135" s="102">
        <f t="shared" si="400"/>
        <v>0</v>
      </c>
      <c r="HH135" s="102">
        <f t="shared" si="400"/>
        <v>0</v>
      </c>
      <c r="HI135" s="102">
        <f t="shared" si="251"/>
        <v>0</v>
      </c>
      <c r="HK135" s="973"/>
      <c r="HL135" s="973"/>
      <c r="HM135" s="973"/>
      <c r="HN135" s="973"/>
      <c r="HO135" s="973"/>
      <c r="HP135" s="973"/>
      <c r="HQ135" s="973"/>
      <c r="HR135" s="973"/>
      <c r="HS135" s="973"/>
      <c r="HU135" s="102">
        <f t="shared" si="461"/>
        <v>21.920866</v>
      </c>
      <c r="HV135" s="102">
        <f t="shared" si="461"/>
        <v>0</v>
      </c>
      <c r="HW135" s="102">
        <f t="shared" si="461"/>
        <v>0</v>
      </c>
      <c r="HX135" s="102">
        <f t="shared" si="461"/>
        <v>0</v>
      </c>
      <c r="HY135" s="102">
        <f t="shared" si="462"/>
        <v>0</v>
      </c>
      <c r="HZ135" s="102">
        <f t="shared" si="453"/>
        <v>0</v>
      </c>
      <c r="IA135" s="102">
        <f t="shared" si="414"/>
        <v>0</v>
      </c>
      <c r="IB135" s="102">
        <f t="shared" si="415"/>
        <v>0</v>
      </c>
      <c r="IC135" s="102">
        <f t="shared" si="416"/>
        <v>0</v>
      </c>
      <c r="ID135" s="102">
        <f t="shared" si="417"/>
        <v>0</v>
      </c>
      <c r="IE135" s="102">
        <f t="shared" si="463"/>
        <v>0</v>
      </c>
      <c r="IG135" s="102">
        <f t="shared" si="464"/>
        <v>0</v>
      </c>
      <c r="IH135" s="102">
        <f t="shared" si="465"/>
        <v>0</v>
      </c>
      <c r="II135" s="145"/>
      <c r="IJ135" s="929" t="str">
        <f t="shared" si="466"/>
        <v>NA</v>
      </c>
      <c r="IK135" s="930">
        <f t="shared" si="467"/>
        <v>0</v>
      </c>
      <c r="IM135" s="973"/>
      <c r="IN135" s="973"/>
      <c r="IP135" s="929" t="str">
        <f t="shared" si="477"/>
        <v/>
      </c>
      <c r="IQ135" s="929" t="str">
        <f t="shared" si="477"/>
        <v/>
      </c>
      <c r="IR135" s="929" t="str">
        <f t="shared" si="477"/>
        <v/>
      </c>
      <c r="IS135" s="929" t="str">
        <f t="shared" si="477"/>
        <v/>
      </c>
      <c r="IT135" s="929" t="str">
        <f t="shared" si="477"/>
        <v/>
      </c>
      <c r="IU135" s="929" t="str">
        <f t="shared" si="477"/>
        <v/>
      </c>
      <c r="IV135" s="929" t="str">
        <f t="shared" si="478"/>
        <v/>
      </c>
      <c r="IX135" s="102">
        <f t="shared" si="422"/>
        <v>0</v>
      </c>
      <c r="IY135" s="102">
        <f t="shared" si="422"/>
        <v>0</v>
      </c>
      <c r="IZ135" s="102">
        <f t="shared" si="422"/>
        <v>0</v>
      </c>
      <c r="JA135" s="102">
        <f t="shared" si="422"/>
        <v>0</v>
      </c>
      <c r="JB135" s="102">
        <f t="shared" si="422"/>
        <v>0</v>
      </c>
      <c r="JC135" s="102">
        <f t="shared" si="422"/>
        <v>0</v>
      </c>
      <c r="JD135" s="102">
        <f t="shared" si="423"/>
        <v>0</v>
      </c>
      <c r="JF135" s="973"/>
      <c r="JG135" s="973"/>
      <c r="JH135" s="973"/>
      <c r="JI135" s="973"/>
      <c r="JJ135" s="973"/>
      <c r="JK135" s="973"/>
      <c r="JL135" s="973"/>
      <c r="JM135" s="973"/>
      <c r="JO135" s="102">
        <f t="shared" si="469"/>
        <v>21.920866</v>
      </c>
      <c r="JP135" s="102">
        <f t="shared" si="469"/>
        <v>0</v>
      </c>
      <c r="JQ135" s="102">
        <f t="shared" si="469"/>
        <v>0</v>
      </c>
      <c r="JR135" s="102">
        <f t="shared" si="469"/>
        <v>0</v>
      </c>
      <c r="JS135" s="102">
        <f t="shared" si="469"/>
        <v>0</v>
      </c>
      <c r="JT135" s="102">
        <f t="shared" si="425"/>
        <v>0</v>
      </c>
      <c r="JU135" s="102">
        <f t="shared" si="426"/>
        <v>0</v>
      </c>
      <c r="JV135" s="102">
        <f t="shared" si="470"/>
        <v>0</v>
      </c>
      <c r="JW135" s="102">
        <f t="shared" si="470"/>
        <v>0</v>
      </c>
      <c r="JX135" s="102">
        <f t="shared" si="428"/>
        <v>0</v>
      </c>
      <c r="JY135" s="102">
        <f t="shared" si="471"/>
        <v>0</v>
      </c>
      <c r="KB135" s="32" t="str">
        <f t="shared" si="472"/>
        <v xml:space="preserve"> </v>
      </c>
      <c r="KC135" s="32" t="str">
        <f t="shared" si="472"/>
        <v xml:space="preserve"> </v>
      </c>
      <c r="KD135" s="32" t="str">
        <f t="shared" si="472"/>
        <v xml:space="preserve"> </v>
      </c>
      <c r="KE135" s="32" t="str">
        <f t="shared" si="472"/>
        <v xml:space="preserve"> </v>
      </c>
      <c r="KF135" s="32" t="str">
        <f t="shared" si="472"/>
        <v xml:space="preserve"> </v>
      </c>
      <c r="KG135" s="32" t="str">
        <f t="shared" si="472"/>
        <v xml:space="preserve"> </v>
      </c>
      <c r="KH135" s="32" t="str">
        <f t="shared" si="431"/>
        <v xml:space="preserve"> </v>
      </c>
      <c r="KJ135" s="102">
        <f t="shared" si="473"/>
        <v>0</v>
      </c>
      <c r="KK135" s="102">
        <f t="shared" si="473"/>
        <v>0</v>
      </c>
      <c r="KL135" s="102">
        <f t="shared" si="473"/>
        <v>0</v>
      </c>
      <c r="KM135" s="102">
        <f t="shared" si="473"/>
        <v>0</v>
      </c>
      <c r="KN135" s="102">
        <f t="shared" si="473"/>
        <v>0</v>
      </c>
      <c r="KO135" s="102">
        <f t="shared" si="473"/>
        <v>0</v>
      </c>
      <c r="KP135" s="102">
        <f t="shared" si="433"/>
        <v>0</v>
      </c>
      <c r="KR135" s="973"/>
      <c r="KS135" s="973"/>
      <c r="KT135" s="973"/>
      <c r="KU135" s="973"/>
      <c r="KV135" s="973"/>
      <c r="KW135" s="973"/>
      <c r="KX135" s="973"/>
      <c r="KY135" s="973"/>
      <c r="KZ135" s="973"/>
    </row>
    <row r="136" spans="1:312" outlineLevel="4">
      <c r="A136" s="884">
        <v>15169902</v>
      </c>
      <c r="B136" s="70" t="s">
        <v>706</v>
      </c>
      <c r="C136" s="980" t="s">
        <v>706</v>
      </c>
      <c r="D136" s="31"/>
      <c r="E136" s="102">
        <v>0</v>
      </c>
      <c r="F136" s="102">
        <v>0</v>
      </c>
      <c r="G136" s="102">
        <v>0</v>
      </c>
      <c r="H136" s="102">
        <v>0</v>
      </c>
      <c r="I136" s="102">
        <v>0</v>
      </c>
      <c r="J136" s="102">
        <v>0</v>
      </c>
      <c r="K136" s="102">
        <v>0</v>
      </c>
      <c r="L136" s="102">
        <v>0</v>
      </c>
      <c r="M136" s="102">
        <v>0</v>
      </c>
      <c r="N136" s="102">
        <v>0</v>
      </c>
      <c r="O136" s="102">
        <v>0</v>
      </c>
      <c r="P136" s="102">
        <v>0</v>
      </c>
      <c r="Q136" s="102">
        <v>21.920866</v>
      </c>
      <c r="R136" s="102">
        <v>21.920866</v>
      </c>
      <c r="S136" s="102">
        <v>21.920866</v>
      </c>
      <c r="T136" s="102">
        <v>21.920866</v>
      </c>
      <c r="U136" s="102">
        <v>21.920866</v>
      </c>
      <c r="V136" s="102">
        <v>21.920866</v>
      </c>
      <c r="W136" s="102">
        <v>21.920866</v>
      </c>
      <c r="X136" s="102">
        <v>21.920866</v>
      </c>
      <c r="Y136" s="102">
        <v>21.920866</v>
      </c>
      <c r="Z136" s="102">
        <v>21.920866</v>
      </c>
      <c r="AA136" s="102">
        <v>21.920866</v>
      </c>
      <c r="AB136" s="102">
        <v>21.920866</v>
      </c>
      <c r="AC136" s="102">
        <v>21.920866</v>
      </c>
      <c r="AD136" s="102">
        <v>21.920866</v>
      </c>
      <c r="AE136" s="102">
        <v>21.920866</v>
      </c>
      <c r="AF136" s="102">
        <v>21.920866</v>
      </c>
      <c r="AG136" s="102">
        <v>21.920866</v>
      </c>
      <c r="AH136" s="102">
        <v>21.920866</v>
      </c>
      <c r="AI136" s="102">
        <v>21.920866</v>
      </c>
      <c r="AJ136" s="102">
        <v>21.920866</v>
      </c>
      <c r="AK136" s="102">
        <v>21.920866</v>
      </c>
      <c r="AL136" s="102">
        <v>21.920866</v>
      </c>
      <c r="AM136" s="102">
        <v>21.920866</v>
      </c>
      <c r="AN136" s="102">
        <v>0</v>
      </c>
      <c r="AO136" s="102">
        <v>0</v>
      </c>
      <c r="AP136" s="145">
        <v>0</v>
      </c>
      <c r="AQ136" s="220">
        <v>0</v>
      </c>
      <c r="AR136" s="220">
        <v>0</v>
      </c>
      <c r="AS136" s="102">
        <v>0</v>
      </c>
      <c r="AT136" s="102">
        <v>0</v>
      </c>
      <c r="AU136" s="102">
        <v>0</v>
      </c>
      <c r="AV136" s="102">
        <v>0</v>
      </c>
      <c r="AW136" s="102">
        <v>0</v>
      </c>
      <c r="AX136" s="102">
        <v>0</v>
      </c>
      <c r="AY136" s="102">
        <v>0</v>
      </c>
      <c r="AZ136" s="102">
        <v>0</v>
      </c>
      <c r="BA136" s="102">
        <v>0</v>
      </c>
      <c r="BB136" s="102">
        <v>0</v>
      </c>
      <c r="BC136" s="102">
        <v>0</v>
      </c>
      <c r="BD136" s="102">
        <v>0</v>
      </c>
      <c r="BE136" s="102">
        <v>0</v>
      </c>
      <c r="BF136" s="102">
        <v>0</v>
      </c>
      <c r="BG136" s="102">
        <v>0</v>
      </c>
      <c r="BH136" s="102">
        <v>0</v>
      </c>
      <c r="BI136" s="102">
        <v>0</v>
      </c>
      <c r="BJ136" s="102">
        <v>0</v>
      </c>
      <c r="BK136" s="102">
        <v>0</v>
      </c>
      <c r="BL136" s="102">
        <v>0</v>
      </c>
      <c r="BM136" s="102">
        <v>0</v>
      </c>
      <c r="BN136" s="102">
        <v>0</v>
      </c>
      <c r="BO136" s="102">
        <v>0</v>
      </c>
      <c r="BP136" s="102">
        <v>0</v>
      </c>
      <c r="BQ136" s="102">
        <v>0</v>
      </c>
      <c r="BR136" s="102">
        <v>0</v>
      </c>
      <c r="BS136" s="102">
        <v>0</v>
      </c>
      <c r="BT136" s="102">
        <v>0</v>
      </c>
      <c r="BU136" s="102">
        <v>0</v>
      </c>
      <c r="BV136" s="102">
        <v>0</v>
      </c>
      <c r="BW136" s="102">
        <v>0</v>
      </c>
      <c r="BX136" s="102">
        <v>0</v>
      </c>
      <c r="BY136" s="102">
        <v>0</v>
      </c>
      <c r="BZ136" s="102">
        <v>0</v>
      </c>
      <c r="CA136" s="102">
        <v>0</v>
      </c>
      <c r="CB136" s="102">
        <v>0</v>
      </c>
      <c r="CC136" s="102">
        <v>0</v>
      </c>
      <c r="CD136" s="102">
        <v>0</v>
      </c>
      <c r="CE136" s="102">
        <v>0</v>
      </c>
      <c r="CF136" s="102">
        <v>0</v>
      </c>
      <c r="CG136" s="102">
        <v>0</v>
      </c>
      <c r="CH136" s="102">
        <v>0</v>
      </c>
      <c r="CI136" s="102">
        <v>0</v>
      </c>
      <c r="CJ136" s="102">
        <v>0</v>
      </c>
      <c r="CK136" s="102">
        <v>0</v>
      </c>
      <c r="CL136" s="102">
        <v>0</v>
      </c>
      <c r="CM136" s="102">
        <v>0</v>
      </c>
      <c r="CN136" s="102">
        <v>0</v>
      </c>
      <c r="CO136" s="102">
        <v>0</v>
      </c>
      <c r="CP136" s="102">
        <v>0</v>
      </c>
      <c r="CQ136" s="102">
        <v>0</v>
      </c>
      <c r="CR136" s="102">
        <v>0</v>
      </c>
      <c r="CS136" s="102">
        <v>0</v>
      </c>
      <c r="CT136" s="102">
        <v>0</v>
      </c>
      <c r="CU136" s="102">
        <v>0</v>
      </c>
      <c r="CV136" s="102">
        <v>0</v>
      </c>
      <c r="CW136" s="102">
        <v>0</v>
      </c>
      <c r="CX136" s="102">
        <v>0</v>
      </c>
      <c r="CY136" s="102">
        <v>0</v>
      </c>
      <c r="CZ136" s="102">
        <v>0</v>
      </c>
      <c r="DA136" s="102">
        <v>0</v>
      </c>
      <c r="DB136" s="102">
        <v>0</v>
      </c>
      <c r="DC136" s="102">
        <v>0</v>
      </c>
      <c r="DD136" s="102">
        <v>0</v>
      </c>
      <c r="DE136" s="102">
        <v>0</v>
      </c>
      <c r="DF136" s="102">
        <v>0</v>
      </c>
      <c r="DG136" s="102">
        <v>0</v>
      </c>
      <c r="DH136" s="102">
        <v>0</v>
      </c>
      <c r="DJ136" s="102"/>
      <c r="DK136" s="102"/>
      <c r="DL136" s="102"/>
      <c r="DM136" s="102"/>
      <c r="DN136" s="102"/>
      <c r="DO136" s="102"/>
      <c r="DP136" s="102"/>
      <c r="DQ136" s="102"/>
      <c r="DR136" s="102"/>
      <c r="DS136" s="102"/>
      <c r="DT136" s="102"/>
      <c r="DU136" s="102"/>
      <c r="DW136" s="102"/>
      <c r="DX136" s="102"/>
      <c r="DY136" s="102"/>
      <c r="DZ136" s="102"/>
      <c r="EA136" s="102"/>
      <c r="EB136" s="102"/>
      <c r="EC136" s="102"/>
      <c r="ED136" s="102"/>
      <c r="EE136" s="102"/>
      <c r="EF136" s="102"/>
      <c r="EG136" s="102"/>
      <c r="EH136" s="102"/>
      <c r="EI136" s="102">
        <v>0</v>
      </c>
      <c r="EJ136" s="102">
        <v>0</v>
      </c>
      <c r="EK136" s="102">
        <v>0</v>
      </c>
      <c r="EL136" s="102">
        <v>0</v>
      </c>
      <c r="EM136" s="102">
        <v>0</v>
      </c>
      <c r="EN136" s="102">
        <v>0</v>
      </c>
      <c r="EO136" s="102">
        <v>0</v>
      </c>
      <c r="EP136" s="102">
        <v>0</v>
      </c>
      <c r="EQ136" s="102">
        <v>0</v>
      </c>
      <c r="ER136" s="102">
        <v>0</v>
      </c>
      <c r="ES136" s="102">
        <v>0</v>
      </c>
      <c r="ET136" s="102">
        <v>0</v>
      </c>
      <c r="EU136" s="102"/>
      <c r="EV136" s="102"/>
      <c r="EW136" s="102"/>
      <c r="EX136" s="102"/>
      <c r="EY136" s="102"/>
      <c r="EZ136" s="102"/>
      <c r="FA136" s="102"/>
      <c r="FB136" s="102"/>
      <c r="FC136" s="102"/>
      <c r="FD136" s="102"/>
      <c r="FE136" s="102"/>
      <c r="FF136" s="102"/>
      <c r="FG136" s="102"/>
      <c r="FH136" s="102"/>
      <c r="FI136" s="102"/>
      <c r="FJ136" s="102"/>
      <c r="FK136" s="102"/>
      <c r="FL136" s="102"/>
      <c r="FM136" s="102"/>
      <c r="FN136" s="102"/>
      <c r="FO136" s="102"/>
      <c r="FP136" s="102"/>
      <c r="FQ136" s="102"/>
      <c r="FR136" s="102"/>
      <c r="FS136" s="102"/>
      <c r="FT136" s="102"/>
      <c r="FU136" s="102"/>
      <c r="FV136" s="102"/>
      <c r="FW136" s="102"/>
      <c r="FX136" s="102"/>
      <c r="FY136" s="102"/>
      <c r="FZ136" s="102"/>
      <c r="GA136" s="102"/>
      <c r="GB136" s="102"/>
      <c r="GC136" s="102"/>
      <c r="GD136" s="102"/>
      <c r="GF136" s="102">
        <f t="shared" si="458"/>
        <v>0</v>
      </c>
      <c r="GG136" s="102">
        <f t="shared" si="458"/>
        <v>21.920866</v>
      </c>
      <c r="GH136" s="102">
        <f t="shared" si="458"/>
        <v>0</v>
      </c>
      <c r="GI136" s="102">
        <f t="shared" si="458"/>
        <v>0</v>
      </c>
      <c r="GJ136" s="102">
        <f t="shared" si="434"/>
        <v>0</v>
      </c>
      <c r="GK136" s="102">
        <f t="shared" si="407"/>
        <v>0</v>
      </c>
      <c r="GL136" s="102">
        <f t="shared" si="435"/>
        <v>0</v>
      </c>
      <c r="GM136" s="102">
        <f t="shared" si="408"/>
        <v>0</v>
      </c>
      <c r="GN136" s="102">
        <f t="shared" si="409"/>
        <v>0</v>
      </c>
      <c r="GO136" s="102">
        <v>0</v>
      </c>
      <c r="GQ136" s="929">
        <f t="shared" si="459"/>
        <v>-1</v>
      </c>
      <c r="GR136" s="929" t="str">
        <f t="shared" si="459"/>
        <v/>
      </c>
      <c r="GS136" s="929" t="str">
        <f t="shared" si="459"/>
        <v/>
      </c>
      <c r="GT136" s="929" t="str">
        <f t="shared" si="459"/>
        <v/>
      </c>
      <c r="GU136" s="929" t="str">
        <f t="shared" si="459"/>
        <v/>
      </c>
      <c r="GV136" s="929" t="str">
        <f t="shared" si="459"/>
        <v/>
      </c>
      <c r="GW136" s="929" t="str">
        <f t="shared" si="399"/>
        <v/>
      </c>
      <c r="GX136" s="929" t="str">
        <f t="shared" si="399"/>
        <v/>
      </c>
      <c r="GY136" s="929" t="str">
        <f t="shared" si="249"/>
        <v/>
      </c>
      <c r="HA136" s="102">
        <f t="shared" si="460"/>
        <v>-21.920866</v>
      </c>
      <c r="HB136" s="102">
        <f t="shared" si="460"/>
        <v>0</v>
      </c>
      <c r="HC136" s="102">
        <f t="shared" si="460"/>
        <v>0</v>
      </c>
      <c r="HD136" s="102">
        <f t="shared" si="460"/>
        <v>0</v>
      </c>
      <c r="HE136" s="102">
        <f t="shared" si="400"/>
        <v>0</v>
      </c>
      <c r="HF136" s="102">
        <f t="shared" si="400"/>
        <v>0</v>
      </c>
      <c r="HG136" s="102">
        <f t="shared" si="400"/>
        <v>0</v>
      </c>
      <c r="HH136" s="102">
        <f t="shared" si="400"/>
        <v>0</v>
      </c>
      <c r="HI136" s="102">
        <f t="shared" si="251"/>
        <v>0</v>
      </c>
      <c r="HK136" s="973"/>
      <c r="HL136" s="973"/>
      <c r="HM136" s="973"/>
      <c r="HN136" s="973"/>
      <c r="HO136" s="973"/>
      <c r="HP136" s="973"/>
      <c r="HQ136" s="973"/>
      <c r="HR136" s="973"/>
      <c r="HS136" s="973"/>
      <c r="HU136" s="102">
        <f t="shared" si="461"/>
        <v>0</v>
      </c>
      <c r="HV136" s="102">
        <f t="shared" si="461"/>
        <v>21.920866</v>
      </c>
      <c r="HW136" s="102">
        <f t="shared" si="461"/>
        <v>21.920866</v>
      </c>
      <c r="HX136" s="102">
        <f t="shared" si="461"/>
        <v>0</v>
      </c>
      <c r="HY136" s="102">
        <f t="shared" si="462"/>
        <v>0</v>
      </c>
      <c r="HZ136" s="102">
        <f t="shared" si="453"/>
        <v>0</v>
      </c>
      <c r="IA136" s="102">
        <f t="shared" si="414"/>
        <v>0</v>
      </c>
      <c r="IB136" s="102">
        <f t="shared" si="415"/>
        <v>0</v>
      </c>
      <c r="IC136" s="102">
        <f t="shared" si="416"/>
        <v>0</v>
      </c>
      <c r="ID136" s="102">
        <f t="shared" si="417"/>
        <v>0</v>
      </c>
      <c r="IE136" s="102">
        <f t="shared" si="463"/>
        <v>0</v>
      </c>
      <c r="IG136" s="102">
        <f t="shared" si="464"/>
        <v>0</v>
      </c>
      <c r="IH136" s="102">
        <f t="shared" si="465"/>
        <v>0</v>
      </c>
      <c r="II136" s="145"/>
      <c r="IJ136" s="929" t="str">
        <f t="shared" si="466"/>
        <v>NA</v>
      </c>
      <c r="IK136" s="930">
        <f t="shared" si="467"/>
        <v>0</v>
      </c>
      <c r="IM136" s="973"/>
      <c r="IN136" s="973"/>
      <c r="IP136" s="929">
        <f t="shared" si="477"/>
        <v>0</v>
      </c>
      <c r="IQ136" s="929">
        <f t="shared" si="477"/>
        <v>-1</v>
      </c>
      <c r="IR136" s="929" t="str">
        <f t="shared" si="477"/>
        <v/>
      </c>
      <c r="IS136" s="929" t="str">
        <f t="shared" si="477"/>
        <v/>
      </c>
      <c r="IT136" s="929" t="str">
        <f t="shared" si="477"/>
        <v/>
      </c>
      <c r="IU136" s="929" t="str">
        <f t="shared" si="477"/>
        <v/>
      </c>
      <c r="IV136" s="929" t="str">
        <f t="shared" si="478"/>
        <v/>
      </c>
      <c r="IX136" s="102">
        <f t="shared" si="422"/>
        <v>0</v>
      </c>
      <c r="IY136" s="102">
        <f t="shared" si="422"/>
        <v>-21.920866</v>
      </c>
      <c r="IZ136" s="102">
        <f t="shared" si="422"/>
        <v>0</v>
      </c>
      <c r="JA136" s="102">
        <f t="shared" si="422"/>
        <v>0</v>
      </c>
      <c r="JB136" s="102">
        <f t="shared" si="422"/>
        <v>0</v>
      </c>
      <c r="JC136" s="102">
        <f t="shared" si="422"/>
        <v>0</v>
      </c>
      <c r="JD136" s="102">
        <f t="shared" si="423"/>
        <v>0</v>
      </c>
      <c r="JF136" s="973"/>
      <c r="JG136" s="973"/>
      <c r="JH136" s="973"/>
      <c r="JI136" s="973"/>
      <c r="JJ136" s="973"/>
      <c r="JK136" s="973"/>
      <c r="JL136" s="973"/>
      <c r="JM136" s="973"/>
      <c r="JO136" s="102">
        <f t="shared" si="469"/>
        <v>0</v>
      </c>
      <c r="JP136" s="102">
        <f t="shared" si="469"/>
        <v>21.920866</v>
      </c>
      <c r="JQ136" s="102">
        <f t="shared" si="469"/>
        <v>21.920866</v>
      </c>
      <c r="JR136" s="102">
        <f t="shared" si="469"/>
        <v>0</v>
      </c>
      <c r="JS136" s="102">
        <f t="shared" si="469"/>
        <v>0</v>
      </c>
      <c r="JT136" s="102">
        <f t="shared" si="425"/>
        <v>0</v>
      </c>
      <c r="JU136" s="102">
        <f t="shared" si="426"/>
        <v>0</v>
      </c>
      <c r="JV136" s="102">
        <f t="shared" si="470"/>
        <v>0</v>
      </c>
      <c r="JW136" s="102">
        <f t="shared" si="470"/>
        <v>0</v>
      </c>
      <c r="JX136" s="102">
        <f t="shared" si="428"/>
        <v>0</v>
      </c>
      <c r="JY136" s="102">
        <f t="shared" si="471"/>
        <v>0</v>
      </c>
      <c r="KB136" s="32">
        <f t="shared" si="472"/>
        <v>0</v>
      </c>
      <c r="KC136" s="32">
        <f t="shared" si="472"/>
        <v>-1</v>
      </c>
      <c r="KD136" s="32" t="str">
        <f t="shared" si="472"/>
        <v xml:space="preserve"> </v>
      </c>
      <c r="KE136" s="32" t="str">
        <f t="shared" si="472"/>
        <v xml:space="preserve"> </v>
      </c>
      <c r="KF136" s="32" t="str">
        <f t="shared" si="472"/>
        <v xml:space="preserve"> </v>
      </c>
      <c r="KG136" s="32" t="str">
        <f t="shared" si="472"/>
        <v xml:space="preserve"> </v>
      </c>
      <c r="KH136" s="32" t="str">
        <f t="shared" si="431"/>
        <v xml:space="preserve"> </v>
      </c>
      <c r="KJ136" s="102">
        <f t="shared" si="473"/>
        <v>0</v>
      </c>
      <c r="KK136" s="102">
        <f t="shared" si="473"/>
        <v>-21.920866</v>
      </c>
      <c r="KL136" s="102">
        <f t="shared" si="473"/>
        <v>0</v>
      </c>
      <c r="KM136" s="102">
        <f t="shared" si="473"/>
        <v>0</v>
      </c>
      <c r="KN136" s="102">
        <f t="shared" si="473"/>
        <v>0</v>
      </c>
      <c r="KO136" s="102">
        <f t="shared" si="473"/>
        <v>0</v>
      </c>
      <c r="KP136" s="102">
        <f t="shared" si="433"/>
        <v>0</v>
      </c>
      <c r="KR136" s="973"/>
      <c r="KS136" s="973"/>
      <c r="KT136" s="973"/>
      <c r="KU136" s="973"/>
      <c r="KV136" s="973"/>
      <c r="KW136" s="973"/>
      <c r="KX136" s="973"/>
      <c r="KY136" s="973"/>
      <c r="KZ136" s="973"/>
    </row>
    <row r="137" spans="1:312" outlineLevel="3">
      <c r="A137" s="884"/>
      <c r="B137" s="70"/>
      <c r="C137" s="40" t="s">
        <v>126</v>
      </c>
      <c r="D137" s="31" t="s">
        <v>59</v>
      </c>
      <c r="E137" s="102">
        <v>1254.4872609299998</v>
      </c>
      <c r="F137" s="102">
        <v>1285.0180112499997</v>
      </c>
      <c r="G137" s="102">
        <v>1434.95781025</v>
      </c>
      <c r="H137" s="102">
        <v>1434.95781025</v>
      </c>
      <c r="I137" s="102">
        <v>1470.1359082699998</v>
      </c>
      <c r="J137" s="102">
        <v>1470.1359082699998</v>
      </c>
      <c r="K137" s="102">
        <v>1470.1359082699998</v>
      </c>
      <c r="L137" s="102">
        <v>1470.1359082699998</v>
      </c>
      <c r="M137" s="102">
        <v>1470.1359082699998</v>
      </c>
      <c r="N137" s="102">
        <v>1470.1359082699998</v>
      </c>
      <c r="O137" s="102">
        <v>1470.1359082699998</v>
      </c>
      <c r="P137" s="102">
        <v>1587.6439082699999</v>
      </c>
      <c r="Q137" s="102">
        <v>1587.6439082699999</v>
      </c>
      <c r="R137" s="102">
        <v>1587.6439082699999</v>
      </c>
      <c r="S137" s="102">
        <v>1692.04390827</v>
      </c>
      <c r="T137" s="102">
        <v>1692.04390827</v>
      </c>
      <c r="U137" s="102">
        <v>1749.1004806400001</v>
      </c>
      <c r="V137" s="102">
        <v>1749.1004806400001</v>
      </c>
      <c r="W137" s="102">
        <v>1749.1004806400001</v>
      </c>
      <c r="X137" s="102">
        <v>1763.5070542399999</v>
      </c>
      <c r="Y137" s="102">
        <v>1763.5070542399999</v>
      </c>
      <c r="Z137" s="102">
        <v>1763.5070542399999</v>
      </c>
      <c r="AA137" s="102">
        <v>1815.0119307799998</v>
      </c>
      <c r="AB137" s="102">
        <v>1815.0119307799998</v>
      </c>
      <c r="AC137" s="102">
        <v>1815.0119307799998</v>
      </c>
      <c r="AD137" s="102">
        <v>1825.6880371799998</v>
      </c>
      <c r="AE137" s="102">
        <v>1825.6880371799998</v>
      </c>
      <c r="AF137" s="102">
        <v>1825.6880371799998</v>
      </c>
      <c r="AG137" s="102">
        <v>1825.6880371799998</v>
      </c>
      <c r="AH137" s="102">
        <v>1825.6880371799998</v>
      </c>
      <c r="AI137" s="102">
        <v>1825.6880371799998</v>
      </c>
      <c r="AJ137" s="102">
        <v>1825.6880371799998</v>
      </c>
      <c r="AK137" s="102">
        <v>1825.6880371799998</v>
      </c>
      <c r="AL137" s="102">
        <v>1825.6880371799998</v>
      </c>
      <c r="AM137" s="102">
        <v>1825.6880371799998</v>
      </c>
      <c r="AN137" s="220">
        <v>1807.63393124</v>
      </c>
      <c r="AO137" s="220">
        <v>1800.59268324</v>
      </c>
      <c r="AP137" s="220">
        <v>1800.59268324</v>
      </c>
      <c r="AQ137" s="220">
        <v>1800.59268324</v>
      </c>
      <c r="AR137" s="220">
        <v>1800.59268324</v>
      </c>
      <c r="AS137" s="220">
        <v>1839.55768324</v>
      </c>
      <c r="AT137" s="220">
        <v>1839.55768324</v>
      </c>
      <c r="AU137" s="220">
        <v>1839.55768324</v>
      </c>
      <c r="AV137" s="220">
        <v>1839.55768324</v>
      </c>
      <c r="AW137" s="220">
        <v>1839.55768324</v>
      </c>
      <c r="AX137" s="220">
        <v>1901.6039952399999</v>
      </c>
      <c r="AY137" s="220">
        <v>1901.6039952399999</v>
      </c>
      <c r="AZ137" s="979">
        <v>0</v>
      </c>
      <c r="BA137" s="220">
        <v>2061.9214566999999</v>
      </c>
      <c r="BB137" s="220">
        <v>2061.9214566999999</v>
      </c>
      <c r="BC137" s="220">
        <v>2061.9214566999999</v>
      </c>
      <c r="BD137" s="220">
        <v>2061.9214566999999</v>
      </c>
      <c r="BE137" s="102">
        <v>2061.9214566999999</v>
      </c>
      <c r="BF137" s="102">
        <v>2061.9214566999999</v>
      </c>
      <c r="BG137" s="102">
        <v>2038.6702567</v>
      </c>
      <c r="BH137" s="102">
        <v>2038.6702567</v>
      </c>
      <c r="BI137" s="102">
        <v>2038.6702567</v>
      </c>
      <c r="BJ137" s="102">
        <v>2038.6702567</v>
      </c>
      <c r="BK137" s="102">
        <v>2038.6702567</v>
      </c>
      <c r="BL137" s="102">
        <v>2040.0935767000001</v>
      </c>
      <c r="BM137" s="220">
        <f t="shared" ref="BM137:BR137" si="487">SUM(BM138:BM140)</f>
        <v>2781.8883946999999</v>
      </c>
      <c r="BN137" s="220">
        <f t="shared" si="487"/>
        <v>2781.8883946999999</v>
      </c>
      <c r="BO137" s="220">
        <f t="shared" si="487"/>
        <v>2781.8883946999999</v>
      </c>
      <c r="BP137" s="220">
        <f t="shared" si="487"/>
        <v>2781.8883946999999</v>
      </c>
      <c r="BQ137" s="102">
        <f t="shared" si="487"/>
        <v>2781.8883946999999</v>
      </c>
      <c r="BR137" s="102">
        <f t="shared" si="487"/>
        <v>2781.8883946999999</v>
      </c>
      <c r="BS137" s="102">
        <f t="shared" ref="BS137:DH137" si="488">SUM(BS138:BS140)</f>
        <v>2781.8883946999999</v>
      </c>
      <c r="BT137" s="102">
        <f t="shared" si="488"/>
        <v>2781.8883946999999</v>
      </c>
      <c r="BU137" s="102">
        <f t="shared" si="488"/>
        <v>2781.8883946999999</v>
      </c>
      <c r="BV137" s="102">
        <f t="shared" si="488"/>
        <v>2781.8883946999999</v>
      </c>
      <c r="BW137" s="102">
        <f t="shared" si="488"/>
        <v>2781.8883946999999</v>
      </c>
      <c r="BX137" s="102">
        <f t="shared" si="488"/>
        <v>2781.8883946999999</v>
      </c>
      <c r="BY137" s="102">
        <f t="shared" si="488"/>
        <v>2832.1136900000001</v>
      </c>
      <c r="BZ137" s="102">
        <f t="shared" si="488"/>
        <v>2866.3852900000002</v>
      </c>
      <c r="CA137" s="102">
        <f t="shared" si="488"/>
        <v>2886.2949520000002</v>
      </c>
      <c r="CB137" s="102">
        <f t="shared" si="488"/>
        <v>2891.077702</v>
      </c>
      <c r="CC137" s="102">
        <f t="shared" si="488"/>
        <v>2901.243712</v>
      </c>
      <c r="CD137" s="102">
        <f t="shared" si="488"/>
        <v>2912.6799729999998</v>
      </c>
      <c r="CE137" s="102">
        <f t="shared" si="488"/>
        <v>2913.2135760000001</v>
      </c>
      <c r="CF137" s="102">
        <f t="shared" si="488"/>
        <v>2927.900588</v>
      </c>
      <c r="CG137" s="102">
        <f t="shared" si="488"/>
        <v>2948.8963819999999</v>
      </c>
      <c r="CH137" s="102">
        <f t="shared" si="488"/>
        <v>3004.540254</v>
      </c>
      <c r="CI137" s="102">
        <f t="shared" si="488"/>
        <v>3014.706666</v>
      </c>
      <c r="CJ137" s="102">
        <f t="shared" si="488"/>
        <v>3015.0041660000002</v>
      </c>
      <c r="CK137" s="102">
        <f t="shared" si="488"/>
        <v>3024.2187479999998</v>
      </c>
      <c r="CL137" s="102">
        <f t="shared" si="488"/>
        <v>3025.4444480000002</v>
      </c>
      <c r="CM137" s="102">
        <f t="shared" si="488"/>
        <v>3032.5771890000001</v>
      </c>
      <c r="CN137" s="102">
        <f t="shared" si="488"/>
        <v>3032.5771890000001</v>
      </c>
      <c r="CO137" s="102">
        <f t="shared" si="488"/>
        <v>3034.594239</v>
      </c>
      <c r="CP137" s="102">
        <f t="shared" si="488"/>
        <v>3046.9779930199998</v>
      </c>
      <c r="CQ137" s="102">
        <f t="shared" si="488"/>
        <v>3060.1870406200001</v>
      </c>
      <c r="CR137" s="102">
        <f t="shared" si="488"/>
        <v>3067.1485406199999</v>
      </c>
      <c r="CS137" s="102">
        <f t="shared" si="488"/>
        <v>3100.7150729200002</v>
      </c>
      <c r="CT137" s="102">
        <f t="shared" si="488"/>
        <v>3118.2678585200001</v>
      </c>
      <c r="CU137" s="102">
        <f t="shared" si="488"/>
        <v>3123.9798585200001</v>
      </c>
      <c r="CV137" s="102">
        <f t="shared" si="488"/>
        <v>3143.6621655200001</v>
      </c>
      <c r="CW137" s="102">
        <f t="shared" si="488"/>
        <v>3144.3471140500001</v>
      </c>
      <c r="CX137" s="102">
        <f t="shared" si="488"/>
        <v>3144.3471140500001</v>
      </c>
      <c r="CY137" s="102">
        <f t="shared" si="488"/>
        <v>3188.41005305</v>
      </c>
      <c r="CZ137" s="102">
        <f t="shared" si="488"/>
        <v>3188.41005305</v>
      </c>
      <c r="DA137" s="102">
        <f t="shared" si="488"/>
        <v>3188.41005305</v>
      </c>
      <c r="DB137" s="102">
        <f t="shared" si="488"/>
        <v>3205.1454990500001</v>
      </c>
      <c r="DC137" s="102">
        <f t="shared" si="488"/>
        <v>3205.1454990500001</v>
      </c>
      <c r="DD137" s="102">
        <f t="shared" si="488"/>
        <v>3205.1454990500001</v>
      </c>
      <c r="DE137" s="102">
        <f t="shared" si="488"/>
        <v>3033.76389905</v>
      </c>
      <c r="DF137" s="102">
        <f t="shared" si="488"/>
        <v>3033.76389905</v>
      </c>
      <c r="DG137" s="102">
        <f t="shared" si="488"/>
        <v>3037.1060140500003</v>
      </c>
      <c r="DH137" s="102">
        <f t="shared" si="488"/>
        <v>3037.1060140500003</v>
      </c>
      <c r="DJ137" s="145">
        <f t="shared" ref="DJ137:EO137" si="489">+SUM(DJ138:DJ140)</f>
        <v>0</v>
      </c>
      <c r="DK137" s="145">
        <f t="shared" si="489"/>
        <v>0</v>
      </c>
      <c r="DL137" s="145">
        <f t="shared" si="489"/>
        <v>0</v>
      </c>
      <c r="DM137" s="145">
        <f t="shared" si="489"/>
        <v>0</v>
      </c>
      <c r="DN137" s="145">
        <f t="shared" si="489"/>
        <v>0</v>
      </c>
      <c r="DO137" s="145">
        <f t="shared" si="489"/>
        <v>0</v>
      </c>
      <c r="DP137" s="145">
        <f t="shared" si="489"/>
        <v>0</v>
      </c>
      <c r="DQ137" s="145">
        <f t="shared" si="489"/>
        <v>0</v>
      </c>
      <c r="DR137" s="145">
        <f t="shared" si="489"/>
        <v>0</v>
      </c>
      <c r="DS137" s="145">
        <f t="shared" si="489"/>
        <v>0</v>
      </c>
      <c r="DT137" s="145">
        <f t="shared" si="489"/>
        <v>0</v>
      </c>
      <c r="DU137" s="145">
        <f t="shared" si="489"/>
        <v>0</v>
      </c>
      <c r="DV137" s="279"/>
      <c r="DW137" s="102">
        <f t="shared" si="489"/>
        <v>0</v>
      </c>
      <c r="DX137" s="102">
        <f t="shared" si="489"/>
        <v>0</v>
      </c>
      <c r="DY137" s="102">
        <f t="shared" si="489"/>
        <v>0</v>
      </c>
      <c r="DZ137" s="102">
        <f t="shared" si="489"/>
        <v>0</v>
      </c>
      <c r="EA137" s="102">
        <f t="shared" si="489"/>
        <v>0</v>
      </c>
      <c r="EB137" s="102">
        <f t="shared" si="489"/>
        <v>0</v>
      </c>
      <c r="EC137" s="102">
        <f t="shared" si="489"/>
        <v>0</v>
      </c>
      <c r="ED137" s="102">
        <f t="shared" si="489"/>
        <v>0</v>
      </c>
      <c r="EE137" s="102">
        <f t="shared" si="489"/>
        <v>0</v>
      </c>
      <c r="EF137" s="102">
        <f t="shared" si="489"/>
        <v>0</v>
      </c>
      <c r="EG137" s="102">
        <f t="shared" si="489"/>
        <v>0</v>
      </c>
      <c r="EH137" s="102">
        <f t="shared" si="489"/>
        <v>0</v>
      </c>
      <c r="EI137" s="102">
        <f t="shared" si="489"/>
        <v>1908.33198326</v>
      </c>
      <c r="EJ137" s="102">
        <f t="shared" si="489"/>
        <v>1908.33198326</v>
      </c>
      <c r="EK137" s="102">
        <f t="shared" si="489"/>
        <v>1908.33198326</v>
      </c>
      <c r="EL137" s="102">
        <f t="shared" si="489"/>
        <v>1908.33198326</v>
      </c>
      <c r="EM137" s="102">
        <f t="shared" si="489"/>
        <v>1908.33198326</v>
      </c>
      <c r="EN137" s="102">
        <f t="shared" si="489"/>
        <v>1908.33198326</v>
      </c>
      <c r="EO137" s="102">
        <f t="shared" si="489"/>
        <v>1908.33198326</v>
      </c>
      <c r="EP137" s="102">
        <f t="shared" ref="EP137:FS137" si="490">+SUM(EP138:EP140)</f>
        <v>1908.33198326</v>
      </c>
      <c r="EQ137" s="102">
        <f t="shared" si="490"/>
        <v>1908.33198326</v>
      </c>
      <c r="ER137" s="102">
        <f t="shared" si="490"/>
        <v>1908.33198326</v>
      </c>
      <c r="ES137" s="102">
        <f t="shared" si="490"/>
        <v>1908.33198326</v>
      </c>
      <c r="ET137" s="102">
        <f t="shared" si="490"/>
        <v>1908.33198326</v>
      </c>
      <c r="EU137" s="102">
        <f t="shared" si="490"/>
        <v>0</v>
      </c>
      <c r="EV137" s="102">
        <f t="shared" si="490"/>
        <v>0</v>
      </c>
      <c r="EW137" s="102">
        <f t="shared" si="490"/>
        <v>0</v>
      </c>
      <c r="EX137" s="102">
        <f t="shared" si="490"/>
        <v>0</v>
      </c>
      <c r="EY137" s="102">
        <f t="shared" si="490"/>
        <v>0</v>
      </c>
      <c r="EZ137" s="102">
        <f t="shared" si="490"/>
        <v>0</v>
      </c>
      <c r="FA137" s="102">
        <f t="shared" si="490"/>
        <v>0</v>
      </c>
      <c r="FB137" s="102">
        <f t="shared" si="490"/>
        <v>0</v>
      </c>
      <c r="FC137" s="102">
        <f t="shared" si="490"/>
        <v>0</v>
      </c>
      <c r="FD137" s="102">
        <f t="shared" si="490"/>
        <v>0</v>
      </c>
      <c r="FE137" s="102">
        <f t="shared" si="490"/>
        <v>0</v>
      </c>
      <c r="FF137" s="102">
        <f t="shared" si="490"/>
        <v>0</v>
      </c>
      <c r="FG137" s="102">
        <f t="shared" si="490"/>
        <v>0</v>
      </c>
      <c r="FH137" s="102">
        <f t="shared" si="490"/>
        <v>0</v>
      </c>
      <c r="FI137" s="102">
        <f t="shared" si="490"/>
        <v>0</v>
      </c>
      <c r="FJ137" s="102">
        <f t="shared" si="490"/>
        <v>0</v>
      </c>
      <c r="FK137" s="102">
        <f t="shared" si="490"/>
        <v>0</v>
      </c>
      <c r="FL137" s="102">
        <f t="shared" si="490"/>
        <v>0</v>
      </c>
      <c r="FM137" s="102">
        <f t="shared" si="490"/>
        <v>0</v>
      </c>
      <c r="FN137" s="102">
        <f t="shared" si="490"/>
        <v>0</v>
      </c>
      <c r="FO137" s="102">
        <f t="shared" si="490"/>
        <v>0</v>
      </c>
      <c r="FP137" s="102">
        <f t="shared" si="490"/>
        <v>0</v>
      </c>
      <c r="FQ137" s="102">
        <f t="shared" si="490"/>
        <v>0</v>
      </c>
      <c r="FR137" s="102">
        <f t="shared" si="490"/>
        <v>0</v>
      </c>
      <c r="FS137" s="102">
        <f t="shared" si="490"/>
        <v>0</v>
      </c>
      <c r="FT137" s="102">
        <f t="shared" ref="FT137:GD137" si="491">+SUM(FT138:FT140)</f>
        <v>0</v>
      </c>
      <c r="FU137" s="102">
        <f t="shared" si="491"/>
        <v>0</v>
      </c>
      <c r="FV137" s="102">
        <f t="shared" si="491"/>
        <v>0</v>
      </c>
      <c r="FW137" s="102">
        <f t="shared" si="491"/>
        <v>0</v>
      </c>
      <c r="FX137" s="102">
        <f t="shared" si="491"/>
        <v>0</v>
      </c>
      <c r="FY137" s="102">
        <f t="shared" si="491"/>
        <v>0</v>
      </c>
      <c r="FZ137" s="102">
        <f t="shared" si="491"/>
        <v>0</v>
      </c>
      <c r="GA137" s="102">
        <f t="shared" si="491"/>
        <v>0</v>
      </c>
      <c r="GB137" s="102">
        <f t="shared" si="491"/>
        <v>0</v>
      </c>
      <c r="GC137" s="102">
        <f t="shared" si="491"/>
        <v>0</v>
      </c>
      <c r="GD137" s="102">
        <f t="shared" si="491"/>
        <v>0</v>
      </c>
      <c r="GF137" s="102">
        <f t="shared" si="458"/>
        <v>1587.6439082699999</v>
      </c>
      <c r="GG137" s="102">
        <f t="shared" si="458"/>
        <v>1815.0119307799998</v>
      </c>
      <c r="GH137" s="102">
        <f t="shared" si="458"/>
        <v>1807.63393124</v>
      </c>
      <c r="GI137" s="102">
        <f t="shared" si="458"/>
        <v>0</v>
      </c>
      <c r="GJ137" s="102">
        <f t="shared" si="434"/>
        <v>2040.0935767000001</v>
      </c>
      <c r="GK137" s="102">
        <f t="shared" si="407"/>
        <v>2781.8883946999999</v>
      </c>
      <c r="GL137" s="102">
        <f t="shared" si="435"/>
        <v>3015.0041660000002</v>
      </c>
      <c r="GM137" s="102">
        <f t="shared" si="408"/>
        <v>3143.6621655200001</v>
      </c>
      <c r="GN137" s="102">
        <f t="shared" si="409"/>
        <v>0</v>
      </c>
      <c r="GO137" s="102">
        <v>3037.1060140500003</v>
      </c>
      <c r="GQ137" s="929">
        <f t="shared" si="459"/>
        <v>-4.064986799744652E-3</v>
      </c>
      <c r="GR137" s="929">
        <f t="shared" si="459"/>
        <v>-1</v>
      </c>
      <c r="GS137" s="929" t="str">
        <f t="shared" si="459"/>
        <v/>
      </c>
      <c r="GT137" s="929">
        <f t="shared" si="459"/>
        <v>0.36360823173606915</v>
      </c>
      <c r="GU137" s="929">
        <f t="shared" si="459"/>
        <v>8.37976720216842E-2</v>
      </c>
      <c r="GV137" s="929">
        <f t="shared" si="459"/>
        <v>4.2672577693545932E-2</v>
      </c>
      <c r="GW137" s="929">
        <f t="shared" si="459"/>
        <v>-1</v>
      </c>
      <c r="GX137" s="929" t="str">
        <f t="shared" si="459"/>
        <v/>
      </c>
      <c r="GY137" s="929">
        <f t="shared" si="249"/>
        <v>-3.3895547886384936E-2</v>
      </c>
      <c r="HA137" s="102">
        <f t="shared" si="460"/>
        <v>-7.3779995399997915</v>
      </c>
      <c r="HB137" s="102">
        <f t="shared" si="460"/>
        <v>-1807.63393124</v>
      </c>
      <c r="HC137" s="102">
        <f t="shared" si="460"/>
        <v>2040.0935767000001</v>
      </c>
      <c r="HD137" s="102">
        <f t="shared" si="460"/>
        <v>741.79481799999985</v>
      </c>
      <c r="HE137" s="102">
        <f t="shared" si="460"/>
        <v>233.11577130000023</v>
      </c>
      <c r="HF137" s="102">
        <f t="shared" si="460"/>
        <v>128.65799951999998</v>
      </c>
      <c r="HG137" s="102">
        <f t="shared" si="460"/>
        <v>-3143.6621655200001</v>
      </c>
      <c r="HH137" s="102">
        <f t="shared" si="460"/>
        <v>3037.1060140500003</v>
      </c>
      <c r="HI137" s="102">
        <f t="shared" si="251"/>
        <v>-106.5561514699998</v>
      </c>
      <c r="HK137" s="973"/>
      <c r="HL137" s="973"/>
      <c r="HM137" s="973"/>
      <c r="HN137" s="973"/>
      <c r="HO137" s="973"/>
      <c r="HP137" s="973"/>
      <c r="HQ137" s="973"/>
      <c r="HR137" s="973"/>
      <c r="HS137" s="973"/>
      <c r="HU137" s="102">
        <f t="shared" si="461"/>
        <v>1470.1359082699998</v>
      </c>
      <c r="HV137" s="102">
        <f t="shared" si="461"/>
        <v>1749.1004806400001</v>
      </c>
      <c r="HW137" s="102">
        <f t="shared" si="461"/>
        <v>1825.6880371799998</v>
      </c>
      <c r="HX137" s="102">
        <f t="shared" si="461"/>
        <v>1839.55768324</v>
      </c>
      <c r="HY137" s="102">
        <f t="shared" si="462"/>
        <v>2061.9214566999999</v>
      </c>
      <c r="HZ137" s="102">
        <f t="shared" si="453"/>
        <v>2781.8883946999999</v>
      </c>
      <c r="IA137" s="102">
        <f t="shared" si="414"/>
        <v>2912.6799729999998</v>
      </c>
      <c r="IB137" s="102">
        <f t="shared" si="415"/>
        <v>3046.9779930199998</v>
      </c>
      <c r="IC137" s="102">
        <f t="shared" si="416"/>
        <v>3205.1454990500001</v>
      </c>
      <c r="ID137" s="102">
        <f t="shared" si="417"/>
        <v>0</v>
      </c>
      <c r="IE137" s="102">
        <f t="shared" si="463"/>
        <v>0</v>
      </c>
      <c r="IG137" s="102">
        <f t="shared" si="464"/>
        <v>0</v>
      </c>
      <c r="IH137" s="102">
        <f t="shared" si="465"/>
        <v>0</v>
      </c>
      <c r="II137" s="145"/>
      <c r="IJ137" s="929" t="str">
        <f t="shared" si="466"/>
        <v>NA</v>
      </c>
      <c r="IK137" s="930">
        <f t="shared" si="467"/>
        <v>0</v>
      </c>
      <c r="IM137" s="973"/>
      <c r="IN137" s="973"/>
      <c r="IP137" s="929">
        <f t="shared" si="477"/>
        <v>4.3786824935281077E-2</v>
      </c>
      <c r="IQ137" s="929">
        <f t="shared" si="477"/>
        <v>7.5969419624524193E-3</v>
      </c>
      <c r="IR137" s="929">
        <f t="shared" si="477"/>
        <v>0.12087893491241442</v>
      </c>
      <c r="IS137" s="929">
        <f t="shared" si="477"/>
        <v>0.34917282404746408</v>
      </c>
      <c r="IT137" s="929">
        <f t="shared" si="477"/>
        <v>4.7015393769635594E-2</v>
      </c>
      <c r="IU137" s="929">
        <f t="shared" si="477"/>
        <v>4.6108058992033962E-2</v>
      </c>
      <c r="IV137" s="929">
        <f t="shared" si="478"/>
        <v>-1</v>
      </c>
      <c r="IX137" s="102">
        <f t="shared" si="422"/>
        <v>76.587556539999696</v>
      </c>
      <c r="IY137" s="102">
        <f t="shared" si="422"/>
        <v>13.86964606000015</v>
      </c>
      <c r="IZ137" s="102">
        <f t="shared" si="422"/>
        <v>222.36377345999995</v>
      </c>
      <c r="JA137" s="102">
        <f t="shared" si="422"/>
        <v>719.96693800000003</v>
      </c>
      <c r="JB137" s="102">
        <f t="shared" si="422"/>
        <v>130.79157829999986</v>
      </c>
      <c r="JC137" s="102">
        <f t="shared" si="422"/>
        <v>134.29802001999997</v>
      </c>
      <c r="JD137" s="102">
        <f t="shared" si="423"/>
        <v>-3046.9779930199998</v>
      </c>
      <c r="JF137" s="973"/>
      <c r="JG137" s="973"/>
      <c r="JH137" s="973"/>
      <c r="JI137" s="973"/>
      <c r="JJ137" s="973"/>
      <c r="JK137" s="973"/>
      <c r="JL137" s="973"/>
      <c r="JM137" s="973"/>
      <c r="JO137" s="102">
        <f t="shared" si="469"/>
        <v>1470.1359082699998</v>
      </c>
      <c r="JP137" s="102">
        <f t="shared" si="469"/>
        <v>1749.1004806400001</v>
      </c>
      <c r="JQ137" s="102">
        <f t="shared" si="469"/>
        <v>1825.6880371799998</v>
      </c>
      <c r="JR137" s="102">
        <f t="shared" si="469"/>
        <v>1839.55768324</v>
      </c>
      <c r="JS137" s="102">
        <f t="shared" si="469"/>
        <v>2061.9214566999999</v>
      </c>
      <c r="JT137" s="102">
        <f t="shared" si="425"/>
        <v>2781.8883946999999</v>
      </c>
      <c r="JU137" s="102">
        <f t="shared" si="426"/>
        <v>2912.6799729999998</v>
      </c>
      <c r="JV137" s="102">
        <f t="shared" si="470"/>
        <v>3046.9779930199998</v>
      </c>
      <c r="JW137" s="102">
        <f t="shared" si="470"/>
        <v>3205.1454990500001</v>
      </c>
      <c r="JX137" s="102">
        <f t="shared" si="428"/>
        <v>0</v>
      </c>
      <c r="JY137" s="102">
        <f t="shared" si="471"/>
        <v>0</v>
      </c>
      <c r="KB137" s="32">
        <f t="shared" si="472"/>
        <v>4.3786824935281077E-2</v>
      </c>
      <c r="KC137" s="32">
        <f t="shared" si="472"/>
        <v>7.5969419624524193E-3</v>
      </c>
      <c r="KD137" s="32">
        <f t="shared" si="472"/>
        <v>0.12087893491241442</v>
      </c>
      <c r="KE137" s="32">
        <f t="shared" si="472"/>
        <v>0.34917282404746408</v>
      </c>
      <c r="KF137" s="32">
        <f t="shared" si="472"/>
        <v>4.7015393769635594E-2</v>
      </c>
      <c r="KG137" s="32">
        <f t="shared" si="472"/>
        <v>4.6108058992033962E-2</v>
      </c>
      <c r="KH137" s="32">
        <f t="shared" si="431"/>
        <v>-1</v>
      </c>
      <c r="KJ137" s="102">
        <f t="shared" si="473"/>
        <v>76.587556539999696</v>
      </c>
      <c r="KK137" s="102">
        <f t="shared" si="473"/>
        <v>13.86964606000015</v>
      </c>
      <c r="KL137" s="102">
        <f t="shared" si="473"/>
        <v>222.36377345999995</v>
      </c>
      <c r="KM137" s="102">
        <f t="shared" si="473"/>
        <v>719.96693800000003</v>
      </c>
      <c r="KN137" s="102">
        <f t="shared" si="473"/>
        <v>130.79157829999986</v>
      </c>
      <c r="KO137" s="102">
        <f t="shared" si="473"/>
        <v>134.29802001999997</v>
      </c>
      <c r="KP137" s="102">
        <f t="shared" si="433"/>
        <v>-3046.9779930199998</v>
      </c>
      <c r="KR137" s="973"/>
      <c r="KS137" s="973"/>
      <c r="KT137" s="973"/>
      <c r="KU137" s="973"/>
      <c r="KV137" s="973"/>
      <c r="KW137" s="973"/>
      <c r="KX137" s="973"/>
      <c r="KY137" s="973"/>
      <c r="KZ137" s="973"/>
    </row>
    <row r="138" spans="1:312" outlineLevel="4">
      <c r="A138" s="884">
        <v>151645</v>
      </c>
      <c r="B138" s="70" t="s">
        <v>707</v>
      </c>
      <c r="C138" s="980" t="s">
        <v>126</v>
      </c>
      <c r="D138" s="40"/>
      <c r="E138" s="102">
        <v>1196.9712669999999</v>
      </c>
      <c r="F138" s="102">
        <v>1227.5020173199998</v>
      </c>
      <c r="G138" s="102">
        <v>1377.44181632</v>
      </c>
      <c r="H138" s="102">
        <v>1377.44181632</v>
      </c>
      <c r="I138" s="102">
        <v>1412.6199143399999</v>
      </c>
      <c r="J138" s="102">
        <v>1412.6199143399999</v>
      </c>
      <c r="K138" s="102">
        <v>1412.6199143399999</v>
      </c>
      <c r="L138" s="102">
        <v>1412.6199143399999</v>
      </c>
      <c r="M138" s="102">
        <v>1412.6199143399999</v>
      </c>
      <c r="N138" s="102">
        <v>1412.6199143399999</v>
      </c>
      <c r="O138" s="102">
        <v>1412.6199143399999</v>
      </c>
      <c r="P138" s="102">
        <v>1530.12791434</v>
      </c>
      <c r="Q138" s="102">
        <v>1530.12791434</v>
      </c>
      <c r="R138" s="102">
        <v>1530.12791434</v>
      </c>
      <c r="S138" s="102">
        <v>1634.5279143400001</v>
      </c>
      <c r="T138" s="102">
        <v>1634.5279143400001</v>
      </c>
      <c r="U138" s="102">
        <v>1691.5844867100002</v>
      </c>
      <c r="V138" s="102">
        <v>1691.5844867100002</v>
      </c>
      <c r="W138" s="102">
        <v>1691.5844867100002</v>
      </c>
      <c r="X138" s="102">
        <v>1705.99106031</v>
      </c>
      <c r="Y138" s="102">
        <v>1705.99106031</v>
      </c>
      <c r="Z138" s="102">
        <v>1705.99106031</v>
      </c>
      <c r="AA138" s="102">
        <v>1757.4959368499999</v>
      </c>
      <c r="AB138" s="102">
        <v>1757.4959368499999</v>
      </c>
      <c r="AC138" s="102">
        <v>1757.4959368499999</v>
      </c>
      <c r="AD138" s="102">
        <v>1768.1720432499999</v>
      </c>
      <c r="AE138" s="102">
        <v>1768.1720432499999</v>
      </c>
      <c r="AF138" s="102">
        <v>1768.1720432499999</v>
      </c>
      <c r="AG138" s="102">
        <v>1768.1720432499999</v>
      </c>
      <c r="AH138" s="102">
        <v>1768.1720432499999</v>
      </c>
      <c r="AI138" s="102">
        <v>1768.1720432499999</v>
      </c>
      <c r="AJ138" s="102">
        <v>1768.1720432499999</v>
      </c>
      <c r="AK138" s="102">
        <v>1768.1720432499999</v>
      </c>
      <c r="AL138" s="102">
        <v>1768.1720432499999</v>
      </c>
      <c r="AM138" s="102">
        <v>1768.1720432499999</v>
      </c>
      <c r="AN138" s="102">
        <v>1807.63393124</v>
      </c>
      <c r="AO138" s="102">
        <v>1800.59268324</v>
      </c>
      <c r="AP138" s="145">
        <v>1800.59268324</v>
      </c>
      <c r="AQ138" s="220">
        <v>1800.59268324</v>
      </c>
      <c r="AR138" s="220">
        <v>1800.59268324</v>
      </c>
      <c r="AS138" s="102">
        <v>1839.55768324</v>
      </c>
      <c r="AT138" s="102">
        <v>1839.55768324</v>
      </c>
      <c r="AU138" s="102">
        <v>1839.55768324</v>
      </c>
      <c r="AV138" s="102">
        <v>1839.55768324</v>
      </c>
      <c r="AW138" s="102">
        <v>1839.55768324</v>
      </c>
      <c r="AX138" s="102">
        <v>1901.6039952399999</v>
      </c>
      <c r="AY138" s="102">
        <v>1901.6039952399999</v>
      </c>
      <c r="AZ138" s="102">
        <v>0</v>
      </c>
      <c r="BA138" s="102">
        <v>2061.9214566999999</v>
      </c>
      <c r="BB138" s="102">
        <v>2061.9214566999999</v>
      </c>
      <c r="BC138" s="102">
        <v>2061.9214566999999</v>
      </c>
      <c r="BD138" s="102">
        <v>2061.9214566999999</v>
      </c>
      <c r="BE138" s="102">
        <v>2061.9214566999999</v>
      </c>
      <c r="BF138" s="102">
        <v>2061.9214566999999</v>
      </c>
      <c r="BG138" s="102">
        <v>2038.6702567</v>
      </c>
      <c r="BH138" s="102">
        <v>2038.6702567</v>
      </c>
      <c r="BI138" s="102">
        <v>2038.6702567</v>
      </c>
      <c r="BJ138" s="102">
        <v>2038.6702567</v>
      </c>
      <c r="BK138" s="102">
        <v>2038.6702567</v>
      </c>
      <c r="BL138" s="102">
        <v>2040.0935767000001</v>
      </c>
      <c r="BM138" s="102">
        <v>2781.8883946999999</v>
      </c>
      <c r="BN138" s="102">
        <v>2781.8883946999999</v>
      </c>
      <c r="BO138" s="102">
        <v>2781.8883946999999</v>
      </c>
      <c r="BP138" s="102">
        <v>2781.8883946999999</v>
      </c>
      <c r="BQ138" s="102">
        <v>2781.8883946999999</v>
      </c>
      <c r="BR138" s="102">
        <v>2781.8883946999999</v>
      </c>
      <c r="BS138" s="102">
        <v>2781.8883946999999</v>
      </c>
      <c r="BT138" s="102">
        <v>2781.8883946999999</v>
      </c>
      <c r="BU138" s="102">
        <v>2781.8883946999999</v>
      </c>
      <c r="BV138" s="102">
        <v>2781.8883946999999</v>
      </c>
      <c r="BW138" s="102">
        <v>2781.8883946999999</v>
      </c>
      <c r="BX138" s="102">
        <v>2781.8883946999999</v>
      </c>
      <c r="BY138" s="102">
        <v>2832.1136900000001</v>
      </c>
      <c r="BZ138" s="102">
        <v>2866.3852900000002</v>
      </c>
      <c r="CA138" s="102">
        <v>2886.2949520000002</v>
      </c>
      <c r="CB138" s="102">
        <v>2891.077702</v>
      </c>
      <c r="CC138" s="102">
        <v>2901.243712</v>
      </c>
      <c r="CD138" s="102">
        <v>2912.6799729999998</v>
      </c>
      <c r="CE138" s="102">
        <v>2913.2135760000001</v>
      </c>
      <c r="CF138" s="102">
        <v>2927.900588</v>
      </c>
      <c r="CG138" s="102">
        <v>2948.8963819999999</v>
      </c>
      <c r="CH138" s="102">
        <v>3004.540254</v>
      </c>
      <c r="CI138" s="102">
        <v>3014.706666</v>
      </c>
      <c r="CJ138" s="102">
        <v>3015.0041660000002</v>
      </c>
      <c r="CK138" s="102">
        <v>3024.2187479999998</v>
      </c>
      <c r="CL138" s="102">
        <v>3025.4444480000002</v>
      </c>
      <c r="CM138" s="102">
        <v>3032.5771890000001</v>
      </c>
      <c r="CN138" s="102">
        <v>3032.5771890000001</v>
      </c>
      <c r="CO138" s="102">
        <v>3034.594239</v>
      </c>
      <c r="CP138" s="102">
        <v>3046.9779930199998</v>
      </c>
      <c r="CQ138" s="102">
        <v>3060.1870406200001</v>
      </c>
      <c r="CR138" s="102">
        <v>3067.1485406199999</v>
      </c>
      <c r="CS138" s="102">
        <v>3100.7150729200002</v>
      </c>
      <c r="CT138" s="102">
        <v>3118.2678585200001</v>
      </c>
      <c r="CU138" s="102">
        <v>3123.9798585200001</v>
      </c>
      <c r="CV138" s="102">
        <v>3143.6621655200001</v>
      </c>
      <c r="CW138" s="102">
        <v>3144.3471140500001</v>
      </c>
      <c r="CX138" s="102">
        <v>3144.3471140500001</v>
      </c>
      <c r="CY138" s="102">
        <v>3188.41005305</v>
      </c>
      <c r="CZ138" s="102">
        <v>3188.41005305</v>
      </c>
      <c r="DA138" s="102">
        <v>3188.41005305</v>
      </c>
      <c r="DB138" s="102">
        <v>3205.1454990500001</v>
      </c>
      <c r="DC138" s="102">
        <v>3205.1454990500001</v>
      </c>
      <c r="DD138" s="102">
        <v>3205.1454990500001</v>
      </c>
      <c r="DE138" s="102">
        <v>3033.76389905</v>
      </c>
      <c r="DF138" s="102">
        <v>3033.76389905</v>
      </c>
      <c r="DG138" s="102">
        <v>3037.1060140500003</v>
      </c>
      <c r="DH138" s="102">
        <v>3037.1060140500003</v>
      </c>
      <c r="DJ138" s="102"/>
      <c r="DK138" s="102"/>
      <c r="DL138" s="102"/>
      <c r="DM138" s="102"/>
      <c r="DN138" s="102"/>
      <c r="DO138" s="102"/>
      <c r="DP138" s="102"/>
      <c r="DQ138" s="102"/>
      <c r="DR138" s="102"/>
      <c r="DS138" s="102"/>
      <c r="DT138" s="102"/>
      <c r="DU138" s="102"/>
      <c r="DW138" s="102"/>
      <c r="DX138" s="102"/>
      <c r="DY138" s="102"/>
      <c r="DZ138" s="102"/>
      <c r="EA138" s="102"/>
      <c r="EB138" s="102"/>
      <c r="EC138" s="102"/>
      <c r="ED138" s="102"/>
      <c r="EE138" s="102"/>
      <c r="EF138" s="102"/>
      <c r="EG138" s="102"/>
      <c r="EH138" s="102"/>
      <c r="EI138" s="102">
        <v>1908.33198326</v>
      </c>
      <c r="EJ138" s="102">
        <v>1908.33198326</v>
      </c>
      <c r="EK138" s="102">
        <v>1908.33198326</v>
      </c>
      <c r="EL138" s="102">
        <v>1908.33198326</v>
      </c>
      <c r="EM138" s="102">
        <v>1908.33198326</v>
      </c>
      <c r="EN138" s="102">
        <v>1908.33198326</v>
      </c>
      <c r="EO138" s="102">
        <v>1908.33198326</v>
      </c>
      <c r="EP138" s="102">
        <v>1908.33198326</v>
      </c>
      <c r="EQ138" s="102">
        <v>1908.33198326</v>
      </c>
      <c r="ER138" s="102">
        <v>1908.33198326</v>
      </c>
      <c r="ES138" s="102">
        <v>1908.33198326</v>
      </c>
      <c r="ET138" s="102">
        <v>1908.33198326</v>
      </c>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2"/>
      <c r="FU138" s="102"/>
      <c r="FV138" s="102"/>
      <c r="FW138" s="102"/>
      <c r="FX138" s="102"/>
      <c r="FY138" s="102"/>
      <c r="FZ138" s="102"/>
      <c r="GA138" s="102"/>
      <c r="GB138" s="102"/>
      <c r="GC138" s="102"/>
      <c r="GD138" s="102"/>
      <c r="GF138" s="102">
        <f t="shared" si="458"/>
        <v>1530.12791434</v>
      </c>
      <c r="GG138" s="102">
        <f t="shared" si="458"/>
        <v>1757.4959368499999</v>
      </c>
      <c r="GH138" s="102">
        <f t="shared" si="458"/>
        <v>1807.63393124</v>
      </c>
      <c r="GI138" s="102">
        <f t="shared" si="458"/>
        <v>0</v>
      </c>
      <c r="GJ138" s="102">
        <f t="shared" si="434"/>
        <v>2040.0935767000001</v>
      </c>
      <c r="GK138" s="102">
        <f t="shared" si="407"/>
        <v>2781.8883946999999</v>
      </c>
      <c r="GL138" s="102">
        <f t="shared" si="435"/>
        <v>3015.0041660000002</v>
      </c>
      <c r="GM138" s="102">
        <f t="shared" si="408"/>
        <v>3143.6621655200001</v>
      </c>
      <c r="GN138" s="102">
        <f t="shared" si="409"/>
        <v>0</v>
      </c>
      <c r="GO138" s="102">
        <v>3037.1060140500003</v>
      </c>
      <c r="GQ138" s="929">
        <f t="shared" si="459"/>
        <v>2.8528085521417168E-2</v>
      </c>
      <c r="GR138" s="929">
        <f t="shared" si="459"/>
        <v>-1</v>
      </c>
      <c r="GS138" s="929" t="str">
        <f t="shared" si="459"/>
        <v/>
      </c>
      <c r="GT138" s="929">
        <f t="shared" si="459"/>
        <v>0.36360823173606915</v>
      </c>
      <c r="GU138" s="929">
        <f t="shared" si="459"/>
        <v>8.37976720216842E-2</v>
      </c>
      <c r="GV138" s="929">
        <f t="shared" si="459"/>
        <v>4.2672577693545932E-2</v>
      </c>
      <c r="GW138" s="929">
        <f t="shared" si="459"/>
        <v>-1</v>
      </c>
      <c r="GX138" s="929" t="str">
        <f t="shared" si="459"/>
        <v/>
      </c>
      <c r="GY138" s="929">
        <f t="shared" si="249"/>
        <v>-3.3895547886384936E-2</v>
      </c>
      <c r="HA138" s="102">
        <f t="shared" si="460"/>
        <v>50.137994390000131</v>
      </c>
      <c r="HB138" s="102">
        <f t="shared" si="460"/>
        <v>-1807.63393124</v>
      </c>
      <c r="HC138" s="102">
        <f t="shared" si="460"/>
        <v>2040.0935767000001</v>
      </c>
      <c r="HD138" s="102">
        <f t="shared" si="460"/>
        <v>741.79481799999985</v>
      </c>
      <c r="HE138" s="102">
        <f t="shared" si="460"/>
        <v>233.11577130000023</v>
      </c>
      <c r="HF138" s="102">
        <f t="shared" si="460"/>
        <v>128.65799951999998</v>
      </c>
      <c r="HG138" s="102">
        <f t="shared" si="460"/>
        <v>-3143.6621655200001</v>
      </c>
      <c r="HH138" s="102">
        <f t="shared" si="460"/>
        <v>3037.1060140500003</v>
      </c>
      <c r="HI138" s="102">
        <f t="shared" si="251"/>
        <v>-106.5561514699998</v>
      </c>
      <c r="HK138" s="973"/>
      <c r="HL138" s="973"/>
      <c r="HM138" s="973"/>
      <c r="HN138" s="973"/>
      <c r="HO138" s="973"/>
      <c r="HP138" s="973"/>
      <c r="HQ138" s="973"/>
      <c r="HR138" s="973"/>
      <c r="HS138" s="973"/>
      <c r="HU138" s="102">
        <f t="shared" si="461"/>
        <v>1412.6199143399999</v>
      </c>
      <c r="HV138" s="102">
        <f t="shared" si="461"/>
        <v>1691.5844867100002</v>
      </c>
      <c r="HW138" s="102">
        <f t="shared" si="461"/>
        <v>1768.1720432499999</v>
      </c>
      <c r="HX138" s="102">
        <f t="shared" si="461"/>
        <v>1839.55768324</v>
      </c>
      <c r="HY138" s="102">
        <f t="shared" si="462"/>
        <v>2061.9214566999999</v>
      </c>
      <c r="HZ138" s="102">
        <f t="shared" si="453"/>
        <v>2781.8883946999999</v>
      </c>
      <c r="IA138" s="102">
        <f t="shared" si="414"/>
        <v>2912.6799729999998</v>
      </c>
      <c r="IB138" s="102">
        <f t="shared" si="415"/>
        <v>3046.9779930199998</v>
      </c>
      <c r="IC138" s="102">
        <f t="shared" si="416"/>
        <v>3205.1454990500001</v>
      </c>
      <c r="ID138" s="102">
        <f t="shared" si="417"/>
        <v>0</v>
      </c>
      <c r="IE138" s="102">
        <f t="shared" si="463"/>
        <v>0</v>
      </c>
      <c r="IG138" s="102">
        <f t="shared" si="464"/>
        <v>0</v>
      </c>
      <c r="IH138" s="102">
        <f t="shared" si="465"/>
        <v>0</v>
      </c>
      <c r="II138" s="145"/>
      <c r="IJ138" s="929" t="str">
        <f t="shared" si="466"/>
        <v>NA</v>
      </c>
      <c r="IK138" s="930">
        <f t="shared" si="467"/>
        <v>0</v>
      </c>
      <c r="IM138" s="973"/>
      <c r="IN138" s="973"/>
      <c r="IP138" s="929">
        <f t="shared" si="477"/>
        <v>4.5275631895251411E-2</v>
      </c>
      <c r="IQ138" s="929">
        <f t="shared" si="477"/>
        <v>4.0372564571708347E-2</v>
      </c>
      <c r="IR138" s="929">
        <f t="shared" si="477"/>
        <v>0.12087893491241442</v>
      </c>
      <c r="IS138" s="929">
        <f t="shared" si="477"/>
        <v>0.34917282404746408</v>
      </c>
      <c r="IT138" s="929">
        <f t="shared" si="477"/>
        <v>4.7015393769635594E-2</v>
      </c>
      <c r="IU138" s="929">
        <f t="shared" si="477"/>
        <v>4.6108058992033962E-2</v>
      </c>
      <c r="IV138" s="929">
        <f t="shared" si="478"/>
        <v>-1</v>
      </c>
      <c r="IX138" s="102">
        <f t="shared" si="422"/>
        <v>76.587556539999696</v>
      </c>
      <c r="IY138" s="102">
        <f t="shared" si="422"/>
        <v>71.385639990000072</v>
      </c>
      <c r="IZ138" s="102">
        <f t="shared" si="422"/>
        <v>222.36377345999995</v>
      </c>
      <c r="JA138" s="102">
        <f t="shared" si="422"/>
        <v>719.96693800000003</v>
      </c>
      <c r="JB138" s="102">
        <f t="shared" si="422"/>
        <v>130.79157829999986</v>
      </c>
      <c r="JC138" s="102">
        <f t="shared" si="422"/>
        <v>134.29802001999997</v>
      </c>
      <c r="JD138" s="102">
        <f t="shared" si="423"/>
        <v>-3046.9779930199998</v>
      </c>
      <c r="JF138" s="973"/>
      <c r="JG138" s="973"/>
      <c r="JH138" s="973"/>
      <c r="JI138" s="973"/>
      <c r="JJ138" s="973"/>
      <c r="JK138" s="973"/>
      <c r="JL138" s="973"/>
      <c r="JM138" s="973"/>
      <c r="JO138" s="102">
        <f t="shared" si="469"/>
        <v>1412.6199143399999</v>
      </c>
      <c r="JP138" s="102">
        <f t="shared" si="469"/>
        <v>1691.5844867100002</v>
      </c>
      <c r="JQ138" s="102">
        <f t="shared" si="469"/>
        <v>1768.1720432499999</v>
      </c>
      <c r="JR138" s="102">
        <f t="shared" si="469"/>
        <v>1839.55768324</v>
      </c>
      <c r="JS138" s="102">
        <f t="shared" si="469"/>
        <v>2061.9214566999999</v>
      </c>
      <c r="JT138" s="102">
        <f t="shared" si="425"/>
        <v>2781.8883946999999</v>
      </c>
      <c r="JU138" s="102">
        <f t="shared" si="426"/>
        <v>2912.6799729999998</v>
      </c>
      <c r="JV138" s="102">
        <f t="shared" si="470"/>
        <v>3046.9779930199998</v>
      </c>
      <c r="JW138" s="102">
        <f t="shared" si="470"/>
        <v>3205.1454990500001</v>
      </c>
      <c r="JX138" s="102">
        <f t="shared" si="428"/>
        <v>0</v>
      </c>
      <c r="JY138" s="102">
        <f t="shared" si="471"/>
        <v>0</v>
      </c>
      <c r="KB138" s="32">
        <f t="shared" si="472"/>
        <v>4.5275631895251411E-2</v>
      </c>
      <c r="KC138" s="32">
        <f t="shared" si="472"/>
        <v>4.0372564571708347E-2</v>
      </c>
      <c r="KD138" s="32">
        <f t="shared" si="472"/>
        <v>0.12087893491241442</v>
      </c>
      <c r="KE138" s="32">
        <f t="shared" si="472"/>
        <v>0.34917282404746408</v>
      </c>
      <c r="KF138" s="32">
        <f t="shared" si="472"/>
        <v>4.7015393769635594E-2</v>
      </c>
      <c r="KG138" s="32">
        <f t="shared" si="472"/>
        <v>4.6108058992033962E-2</v>
      </c>
      <c r="KH138" s="32">
        <f t="shared" si="431"/>
        <v>-1</v>
      </c>
      <c r="KJ138" s="102">
        <f t="shared" si="473"/>
        <v>76.587556539999696</v>
      </c>
      <c r="KK138" s="102">
        <f t="shared" si="473"/>
        <v>71.385639990000072</v>
      </c>
      <c r="KL138" s="102">
        <f t="shared" si="473"/>
        <v>222.36377345999995</v>
      </c>
      <c r="KM138" s="102">
        <f t="shared" si="473"/>
        <v>719.96693800000003</v>
      </c>
      <c r="KN138" s="102">
        <f t="shared" si="473"/>
        <v>130.79157829999986</v>
      </c>
      <c r="KO138" s="102">
        <f t="shared" si="473"/>
        <v>134.29802001999997</v>
      </c>
      <c r="KP138" s="102">
        <f t="shared" si="433"/>
        <v>-3046.9779930199998</v>
      </c>
      <c r="KR138" s="973"/>
      <c r="KS138" s="973"/>
      <c r="KT138" s="973"/>
      <c r="KU138" s="973"/>
      <c r="KV138" s="973"/>
      <c r="KW138" s="973"/>
      <c r="KX138" s="973"/>
      <c r="KY138" s="973"/>
      <c r="KZ138" s="973"/>
    </row>
    <row r="139" spans="1:312" outlineLevel="4">
      <c r="A139" s="884"/>
      <c r="B139" s="70" t="s">
        <v>708</v>
      </c>
      <c r="C139" s="980" t="s">
        <v>708</v>
      </c>
      <c r="D139" s="40"/>
      <c r="E139" s="102">
        <v>57.51599393</v>
      </c>
      <c r="F139" s="102">
        <v>57.51599393</v>
      </c>
      <c r="G139" s="102">
        <v>57.51599393</v>
      </c>
      <c r="H139" s="102">
        <v>57.51599393</v>
      </c>
      <c r="I139" s="102">
        <v>57.51599393</v>
      </c>
      <c r="J139" s="102">
        <v>57.51599393</v>
      </c>
      <c r="K139" s="102">
        <v>57.51599393</v>
      </c>
      <c r="L139" s="102">
        <v>57.51599393</v>
      </c>
      <c r="M139" s="102">
        <v>57.51599393</v>
      </c>
      <c r="N139" s="102">
        <v>57.51599393</v>
      </c>
      <c r="O139" s="102">
        <v>57.51599393</v>
      </c>
      <c r="P139" s="102">
        <v>57.51599393</v>
      </c>
      <c r="Q139" s="102">
        <v>0</v>
      </c>
      <c r="R139" s="102">
        <v>0</v>
      </c>
      <c r="S139" s="102">
        <v>0</v>
      </c>
      <c r="T139" s="102">
        <v>0</v>
      </c>
      <c r="U139" s="102">
        <v>0</v>
      </c>
      <c r="V139" s="102">
        <v>0</v>
      </c>
      <c r="W139" s="102">
        <v>0</v>
      </c>
      <c r="X139" s="102">
        <v>0</v>
      </c>
      <c r="Y139" s="102">
        <v>0</v>
      </c>
      <c r="Z139" s="102">
        <v>0</v>
      </c>
      <c r="AA139" s="102">
        <v>0</v>
      </c>
      <c r="AB139" s="102">
        <v>0</v>
      </c>
      <c r="AC139" s="102">
        <v>0</v>
      </c>
      <c r="AD139" s="102">
        <v>0</v>
      </c>
      <c r="AE139" s="102">
        <v>0</v>
      </c>
      <c r="AF139" s="102">
        <v>0</v>
      </c>
      <c r="AG139" s="102">
        <v>0</v>
      </c>
      <c r="AH139" s="102">
        <v>0</v>
      </c>
      <c r="AI139" s="102">
        <v>0</v>
      </c>
      <c r="AJ139" s="102">
        <v>0</v>
      </c>
      <c r="AK139" s="102">
        <v>0</v>
      </c>
      <c r="AL139" s="102">
        <v>0</v>
      </c>
      <c r="AM139" s="102">
        <v>0</v>
      </c>
      <c r="AN139" s="102">
        <v>0</v>
      </c>
      <c r="AO139" s="102">
        <v>0</v>
      </c>
      <c r="AP139" s="145">
        <v>0</v>
      </c>
      <c r="AQ139" s="220">
        <v>0</v>
      </c>
      <c r="AR139" s="220">
        <v>0</v>
      </c>
      <c r="AS139" s="102">
        <v>0</v>
      </c>
      <c r="AT139" s="102">
        <v>0</v>
      </c>
      <c r="AU139" s="102">
        <v>0</v>
      </c>
      <c r="AV139" s="102">
        <v>0</v>
      </c>
      <c r="AW139" s="102">
        <v>0</v>
      </c>
      <c r="AX139" s="102">
        <v>0</v>
      </c>
      <c r="AY139" s="102">
        <v>0</v>
      </c>
      <c r="AZ139" s="102">
        <v>0</v>
      </c>
      <c r="BA139" s="102">
        <v>0</v>
      </c>
      <c r="BB139" s="102">
        <v>0</v>
      </c>
      <c r="BC139" s="102">
        <v>0</v>
      </c>
      <c r="BD139" s="102">
        <v>0</v>
      </c>
      <c r="BE139" s="102">
        <v>0</v>
      </c>
      <c r="BF139" s="102">
        <v>0</v>
      </c>
      <c r="BG139" s="102">
        <v>0</v>
      </c>
      <c r="BH139" s="102">
        <v>0</v>
      </c>
      <c r="BI139" s="102">
        <v>0</v>
      </c>
      <c r="BJ139" s="102">
        <v>0</v>
      </c>
      <c r="BK139" s="102">
        <v>0</v>
      </c>
      <c r="BL139" s="102">
        <v>0</v>
      </c>
      <c r="BM139" s="102">
        <v>0</v>
      </c>
      <c r="BN139" s="102">
        <v>0</v>
      </c>
      <c r="BO139" s="102">
        <v>0</v>
      </c>
      <c r="BP139" s="102">
        <v>0</v>
      </c>
      <c r="BQ139" s="102">
        <v>0</v>
      </c>
      <c r="BR139" s="102">
        <v>0</v>
      </c>
      <c r="BS139" s="102">
        <v>0</v>
      </c>
      <c r="BT139" s="102">
        <v>0</v>
      </c>
      <c r="BU139" s="102">
        <v>0</v>
      </c>
      <c r="BV139" s="102">
        <v>0</v>
      </c>
      <c r="BW139" s="102">
        <v>0</v>
      </c>
      <c r="BX139" s="102">
        <v>0</v>
      </c>
      <c r="BY139" s="102">
        <v>0</v>
      </c>
      <c r="BZ139" s="102">
        <v>0</v>
      </c>
      <c r="CA139" s="102">
        <v>0</v>
      </c>
      <c r="CB139" s="102">
        <v>0</v>
      </c>
      <c r="CC139" s="102">
        <v>0</v>
      </c>
      <c r="CD139" s="102">
        <v>0</v>
      </c>
      <c r="CE139" s="102">
        <v>0</v>
      </c>
      <c r="CF139" s="102">
        <v>0</v>
      </c>
      <c r="CG139" s="102">
        <v>0</v>
      </c>
      <c r="CH139" s="102">
        <v>0</v>
      </c>
      <c r="CI139" s="102">
        <v>0</v>
      </c>
      <c r="CJ139" s="102">
        <v>0</v>
      </c>
      <c r="CK139" s="102">
        <v>0</v>
      </c>
      <c r="CL139" s="102">
        <v>0</v>
      </c>
      <c r="CM139" s="102">
        <v>0</v>
      </c>
      <c r="CN139" s="102">
        <v>0</v>
      </c>
      <c r="CO139" s="102">
        <v>0</v>
      </c>
      <c r="CP139" s="102">
        <v>0</v>
      </c>
      <c r="CQ139" s="102">
        <v>0</v>
      </c>
      <c r="CR139" s="102">
        <v>0</v>
      </c>
      <c r="CS139" s="102">
        <v>0</v>
      </c>
      <c r="CT139" s="102">
        <v>0</v>
      </c>
      <c r="CU139" s="102">
        <v>0</v>
      </c>
      <c r="CV139" s="102">
        <v>0</v>
      </c>
      <c r="CW139" s="102">
        <v>0</v>
      </c>
      <c r="CX139" s="102">
        <v>0</v>
      </c>
      <c r="CY139" s="102">
        <v>0</v>
      </c>
      <c r="CZ139" s="102">
        <v>0</v>
      </c>
      <c r="DA139" s="102">
        <v>0</v>
      </c>
      <c r="DB139" s="102">
        <v>0</v>
      </c>
      <c r="DC139" s="102">
        <v>0</v>
      </c>
      <c r="DD139" s="102">
        <v>0</v>
      </c>
      <c r="DE139" s="102">
        <v>0</v>
      </c>
      <c r="DF139" s="102">
        <v>0</v>
      </c>
      <c r="DG139" s="102">
        <v>0</v>
      </c>
      <c r="DH139" s="102">
        <v>0</v>
      </c>
      <c r="DJ139" s="102"/>
      <c r="DK139" s="102"/>
      <c r="DL139" s="102"/>
      <c r="DM139" s="102"/>
      <c r="DN139" s="102"/>
      <c r="DO139" s="102"/>
      <c r="DP139" s="102"/>
      <c r="DQ139" s="102"/>
      <c r="DR139" s="102"/>
      <c r="DS139" s="102"/>
      <c r="DT139" s="102"/>
      <c r="DU139" s="102"/>
      <c r="DW139" s="102"/>
      <c r="DX139" s="102"/>
      <c r="DY139" s="102"/>
      <c r="DZ139" s="102"/>
      <c r="EA139" s="102"/>
      <c r="EB139" s="102"/>
      <c r="EC139" s="102"/>
      <c r="ED139" s="102"/>
      <c r="EE139" s="102"/>
      <c r="EF139" s="102"/>
      <c r="EG139" s="102"/>
      <c r="EH139" s="102"/>
      <c r="EI139" s="102">
        <v>0</v>
      </c>
      <c r="EJ139" s="102">
        <v>0</v>
      </c>
      <c r="EK139" s="102">
        <v>0</v>
      </c>
      <c r="EL139" s="102">
        <v>0</v>
      </c>
      <c r="EM139" s="102">
        <v>0</v>
      </c>
      <c r="EN139" s="102">
        <v>0</v>
      </c>
      <c r="EO139" s="102">
        <v>0</v>
      </c>
      <c r="EP139" s="102">
        <v>0</v>
      </c>
      <c r="EQ139" s="102">
        <v>0</v>
      </c>
      <c r="ER139" s="102">
        <v>0</v>
      </c>
      <c r="ES139" s="102">
        <v>0</v>
      </c>
      <c r="ET139" s="102">
        <v>0</v>
      </c>
      <c r="EU139" s="102"/>
      <c r="EV139" s="102"/>
      <c r="EW139" s="102"/>
      <c r="EX139" s="102"/>
      <c r="EY139" s="102"/>
      <c r="EZ139" s="102"/>
      <c r="FA139" s="102"/>
      <c r="FB139" s="102"/>
      <c r="FC139" s="102"/>
      <c r="FD139" s="102"/>
      <c r="FE139" s="102"/>
      <c r="FF139" s="102"/>
      <c r="FG139" s="102"/>
      <c r="FH139" s="102"/>
      <c r="FI139" s="102"/>
      <c r="FJ139" s="102"/>
      <c r="FK139" s="102"/>
      <c r="FL139" s="102"/>
      <c r="FM139" s="102"/>
      <c r="FN139" s="102"/>
      <c r="FO139" s="102"/>
      <c r="FP139" s="102"/>
      <c r="FQ139" s="102"/>
      <c r="FR139" s="102"/>
      <c r="FS139" s="102"/>
      <c r="FT139" s="102"/>
      <c r="FU139" s="102"/>
      <c r="FV139" s="102"/>
      <c r="FW139" s="102"/>
      <c r="FX139" s="102"/>
      <c r="FY139" s="102"/>
      <c r="FZ139" s="102"/>
      <c r="GA139" s="102"/>
      <c r="GB139" s="102"/>
      <c r="GC139" s="102"/>
      <c r="GD139" s="102"/>
      <c r="GF139" s="102">
        <f t="shared" si="458"/>
        <v>57.51599393</v>
      </c>
      <c r="GG139" s="102">
        <f t="shared" si="458"/>
        <v>0</v>
      </c>
      <c r="GH139" s="102">
        <f t="shared" si="458"/>
        <v>0</v>
      </c>
      <c r="GI139" s="102">
        <f t="shared" si="458"/>
        <v>0</v>
      </c>
      <c r="GJ139" s="102">
        <f t="shared" si="434"/>
        <v>0</v>
      </c>
      <c r="GK139" s="102">
        <f t="shared" si="407"/>
        <v>0</v>
      </c>
      <c r="GL139" s="102">
        <f t="shared" si="435"/>
        <v>0</v>
      </c>
      <c r="GM139" s="102">
        <f t="shared" si="408"/>
        <v>0</v>
      </c>
      <c r="GN139" s="102">
        <f t="shared" si="409"/>
        <v>0</v>
      </c>
      <c r="GO139" s="102">
        <v>0</v>
      </c>
      <c r="GQ139" s="929" t="str">
        <f t="shared" si="459"/>
        <v/>
      </c>
      <c r="GR139" s="929" t="str">
        <f t="shared" si="459"/>
        <v/>
      </c>
      <c r="GS139" s="929" t="str">
        <f t="shared" si="459"/>
        <v/>
      </c>
      <c r="GT139" s="929" t="str">
        <f t="shared" si="459"/>
        <v/>
      </c>
      <c r="GU139" s="929" t="str">
        <f t="shared" si="459"/>
        <v/>
      </c>
      <c r="GV139" s="929" t="str">
        <f t="shared" si="459"/>
        <v/>
      </c>
      <c r="GW139" s="929" t="str">
        <f t="shared" si="459"/>
        <v/>
      </c>
      <c r="GX139" s="929" t="str">
        <f t="shared" si="459"/>
        <v/>
      </c>
      <c r="GY139" s="929" t="str">
        <f t="shared" ref="GY139:GY202" si="492">+IFERROR(GO139/GM139-1,"")</f>
        <v/>
      </c>
      <c r="HA139" s="102">
        <f t="shared" si="460"/>
        <v>0</v>
      </c>
      <c r="HB139" s="102">
        <f t="shared" si="460"/>
        <v>0</v>
      </c>
      <c r="HC139" s="102">
        <f t="shared" si="460"/>
        <v>0</v>
      </c>
      <c r="HD139" s="102">
        <f t="shared" si="460"/>
        <v>0</v>
      </c>
      <c r="HE139" s="102">
        <f t="shared" si="460"/>
        <v>0</v>
      </c>
      <c r="HF139" s="102">
        <f t="shared" si="460"/>
        <v>0</v>
      </c>
      <c r="HG139" s="102">
        <f t="shared" si="460"/>
        <v>0</v>
      </c>
      <c r="HH139" s="102">
        <f t="shared" si="460"/>
        <v>0</v>
      </c>
      <c r="HI139" s="102">
        <f t="shared" ref="HI139:HI202" si="493">+GO139-GM139</f>
        <v>0</v>
      </c>
      <c r="HK139" s="973"/>
      <c r="HL139" s="973"/>
      <c r="HM139" s="973"/>
      <c r="HN139" s="973"/>
      <c r="HO139" s="973"/>
      <c r="HP139" s="973"/>
      <c r="HQ139" s="973"/>
      <c r="HR139" s="973"/>
      <c r="HS139" s="973"/>
      <c r="HU139" s="102">
        <f t="shared" si="461"/>
        <v>57.51599393</v>
      </c>
      <c r="HV139" s="102">
        <f t="shared" si="461"/>
        <v>0</v>
      </c>
      <c r="HW139" s="102">
        <f t="shared" si="461"/>
        <v>0</v>
      </c>
      <c r="HX139" s="102">
        <f t="shared" si="461"/>
        <v>0</v>
      </c>
      <c r="HY139" s="102">
        <f t="shared" si="462"/>
        <v>0</v>
      </c>
      <c r="HZ139" s="102">
        <f t="shared" si="453"/>
        <v>0</v>
      </c>
      <c r="IA139" s="102">
        <f t="shared" si="414"/>
        <v>0</v>
      </c>
      <c r="IB139" s="102">
        <f t="shared" si="415"/>
        <v>0</v>
      </c>
      <c r="IC139" s="102">
        <f t="shared" si="416"/>
        <v>0</v>
      </c>
      <c r="ID139" s="102">
        <f t="shared" si="417"/>
        <v>0</v>
      </c>
      <c r="IE139" s="102">
        <f t="shared" si="463"/>
        <v>0</v>
      </c>
      <c r="IG139" s="102">
        <f t="shared" si="464"/>
        <v>0</v>
      </c>
      <c r="IH139" s="102">
        <f t="shared" si="465"/>
        <v>0</v>
      </c>
      <c r="II139" s="145"/>
      <c r="IJ139" s="929" t="str">
        <f t="shared" si="466"/>
        <v>NA</v>
      </c>
      <c r="IK139" s="930">
        <f t="shared" si="467"/>
        <v>0</v>
      </c>
      <c r="IM139" s="973"/>
      <c r="IN139" s="973"/>
      <c r="IP139" s="929" t="str">
        <f t="shared" si="477"/>
        <v/>
      </c>
      <c r="IQ139" s="929" t="str">
        <f t="shared" si="477"/>
        <v/>
      </c>
      <c r="IR139" s="929" t="str">
        <f t="shared" si="477"/>
        <v/>
      </c>
      <c r="IS139" s="929" t="str">
        <f t="shared" si="477"/>
        <v/>
      </c>
      <c r="IT139" s="929" t="str">
        <f t="shared" si="477"/>
        <v/>
      </c>
      <c r="IU139" s="929" t="str">
        <f t="shared" si="477"/>
        <v/>
      </c>
      <c r="IV139" s="929" t="str">
        <f t="shared" si="478"/>
        <v/>
      </c>
      <c r="IX139" s="102">
        <f t="shared" si="422"/>
        <v>0</v>
      </c>
      <c r="IY139" s="102">
        <f t="shared" si="422"/>
        <v>0</v>
      </c>
      <c r="IZ139" s="102">
        <f t="shared" si="422"/>
        <v>0</v>
      </c>
      <c r="JA139" s="102">
        <f t="shared" si="422"/>
        <v>0</v>
      </c>
      <c r="JB139" s="102">
        <f t="shared" si="422"/>
        <v>0</v>
      </c>
      <c r="JC139" s="102">
        <f t="shared" si="422"/>
        <v>0</v>
      </c>
      <c r="JD139" s="102">
        <f t="shared" si="423"/>
        <v>0</v>
      </c>
      <c r="JF139" s="973"/>
      <c r="JG139" s="973"/>
      <c r="JH139" s="973"/>
      <c r="JI139" s="973"/>
      <c r="JJ139" s="973"/>
      <c r="JK139" s="973"/>
      <c r="JL139" s="973"/>
      <c r="JM139" s="973"/>
      <c r="JO139" s="102">
        <f t="shared" ref="JO139:JS148" si="494">+SUMIFS($E139:$BX139,$E$6:$BX$6,JO$7,$E$5:$BX$5,$JQ$5)</f>
        <v>57.51599393</v>
      </c>
      <c r="JP139" s="102">
        <f t="shared" si="494"/>
        <v>0</v>
      </c>
      <c r="JQ139" s="102">
        <f t="shared" si="494"/>
        <v>0</v>
      </c>
      <c r="JR139" s="102">
        <f t="shared" si="494"/>
        <v>0</v>
      </c>
      <c r="JS139" s="102">
        <f t="shared" si="494"/>
        <v>0</v>
      </c>
      <c r="JT139" s="102">
        <f t="shared" si="425"/>
        <v>0</v>
      </c>
      <c r="JU139" s="102">
        <f t="shared" si="426"/>
        <v>0</v>
      </c>
      <c r="JV139" s="102">
        <f t="shared" si="470"/>
        <v>0</v>
      </c>
      <c r="JW139" s="102">
        <f t="shared" si="470"/>
        <v>0</v>
      </c>
      <c r="JX139" s="102">
        <f t="shared" si="428"/>
        <v>0</v>
      </c>
      <c r="JY139" s="102">
        <f t="shared" si="471"/>
        <v>0</v>
      </c>
      <c r="KB139" s="32" t="str">
        <f t="shared" si="472"/>
        <v xml:space="preserve"> </v>
      </c>
      <c r="KC139" s="32" t="str">
        <f t="shared" si="472"/>
        <v xml:space="preserve"> </v>
      </c>
      <c r="KD139" s="32" t="str">
        <f t="shared" si="472"/>
        <v xml:space="preserve"> </v>
      </c>
      <c r="KE139" s="32" t="str">
        <f t="shared" si="472"/>
        <v xml:space="preserve"> </v>
      </c>
      <c r="KF139" s="32" t="str">
        <f t="shared" si="472"/>
        <v xml:space="preserve"> </v>
      </c>
      <c r="KG139" s="32" t="str">
        <f t="shared" si="472"/>
        <v xml:space="preserve"> </v>
      </c>
      <c r="KH139" s="32" t="str">
        <f t="shared" si="431"/>
        <v xml:space="preserve"> </v>
      </c>
      <c r="KJ139" s="102">
        <f t="shared" si="473"/>
        <v>0</v>
      </c>
      <c r="KK139" s="102">
        <f t="shared" si="473"/>
        <v>0</v>
      </c>
      <c r="KL139" s="102">
        <f t="shared" si="473"/>
        <v>0</v>
      </c>
      <c r="KM139" s="102">
        <f t="shared" si="473"/>
        <v>0</v>
      </c>
      <c r="KN139" s="102">
        <f t="shared" si="473"/>
        <v>0</v>
      </c>
      <c r="KO139" s="102">
        <f t="shared" si="473"/>
        <v>0</v>
      </c>
      <c r="KP139" s="102">
        <f t="shared" si="433"/>
        <v>0</v>
      </c>
      <c r="KR139" s="973"/>
      <c r="KS139" s="973"/>
      <c r="KT139" s="973"/>
      <c r="KU139" s="973"/>
      <c r="KV139" s="973"/>
      <c r="KW139" s="973"/>
      <c r="KX139" s="973"/>
      <c r="KY139" s="973"/>
      <c r="KZ139" s="973"/>
    </row>
    <row r="140" spans="1:312" outlineLevel="4">
      <c r="A140" s="884">
        <v>15169901</v>
      </c>
      <c r="B140" s="70" t="s">
        <v>709</v>
      </c>
      <c r="C140" s="980" t="s">
        <v>709</v>
      </c>
      <c r="D140" s="40"/>
      <c r="E140" s="102">
        <v>0</v>
      </c>
      <c r="F140" s="102">
        <v>0</v>
      </c>
      <c r="G140" s="102">
        <v>0</v>
      </c>
      <c r="H140" s="102">
        <v>0</v>
      </c>
      <c r="I140" s="102">
        <v>0</v>
      </c>
      <c r="J140" s="102">
        <v>0</v>
      </c>
      <c r="K140" s="102">
        <v>0</v>
      </c>
      <c r="L140" s="102">
        <v>0</v>
      </c>
      <c r="M140" s="102">
        <v>0</v>
      </c>
      <c r="N140" s="102">
        <v>0</v>
      </c>
      <c r="O140" s="102">
        <v>0</v>
      </c>
      <c r="P140" s="102">
        <v>0</v>
      </c>
      <c r="Q140" s="102">
        <v>57.51599393</v>
      </c>
      <c r="R140" s="102">
        <v>57.51599393</v>
      </c>
      <c r="S140" s="102">
        <v>57.51599393</v>
      </c>
      <c r="T140" s="102">
        <v>57.51599393</v>
      </c>
      <c r="U140" s="102">
        <v>57.51599393</v>
      </c>
      <c r="V140" s="102">
        <v>57.51599393</v>
      </c>
      <c r="W140" s="102">
        <v>57.51599393</v>
      </c>
      <c r="X140" s="102">
        <v>57.51599393</v>
      </c>
      <c r="Y140" s="102">
        <v>57.51599393</v>
      </c>
      <c r="Z140" s="102">
        <v>57.51599393</v>
      </c>
      <c r="AA140" s="102">
        <v>57.51599393</v>
      </c>
      <c r="AB140" s="102">
        <v>57.51599393</v>
      </c>
      <c r="AC140" s="102">
        <v>57.51599393</v>
      </c>
      <c r="AD140" s="102">
        <v>57.51599393</v>
      </c>
      <c r="AE140" s="102">
        <v>57.51599393</v>
      </c>
      <c r="AF140" s="102">
        <v>57.51599393</v>
      </c>
      <c r="AG140" s="102">
        <v>57.51599393</v>
      </c>
      <c r="AH140" s="102">
        <v>57.51599393</v>
      </c>
      <c r="AI140" s="102">
        <v>57.51599393</v>
      </c>
      <c r="AJ140" s="102">
        <v>57.51599393</v>
      </c>
      <c r="AK140" s="102">
        <v>57.51599393</v>
      </c>
      <c r="AL140" s="102">
        <v>57.51599393</v>
      </c>
      <c r="AM140" s="102">
        <v>57.51599393</v>
      </c>
      <c r="AN140" s="102">
        <v>0</v>
      </c>
      <c r="AO140" s="102">
        <v>0</v>
      </c>
      <c r="AP140" s="145">
        <v>0</v>
      </c>
      <c r="AQ140" s="220">
        <v>0</v>
      </c>
      <c r="AR140" s="220">
        <v>0</v>
      </c>
      <c r="AS140" s="102">
        <v>0</v>
      </c>
      <c r="AT140" s="102">
        <v>0</v>
      </c>
      <c r="AU140" s="102">
        <v>0</v>
      </c>
      <c r="AV140" s="102">
        <v>0</v>
      </c>
      <c r="AW140" s="102">
        <v>0</v>
      </c>
      <c r="AX140" s="102">
        <v>0</v>
      </c>
      <c r="AY140" s="102">
        <v>0</v>
      </c>
      <c r="AZ140" s="102">
        <v>0</v>
      </c>
      <c r="BA140" s="102">
        <v>0</v>
      </c>
      <c r="BB140" s="102">
        <v>0</v>
      </c>
      <c r="BC140" s="102">
        <v>0</v>
      </c>
      <c r="BD140" s="102">
        <v>0</v>
      </c>
      <c r="BE140" s="102">
        <v>0</v>
      </c>
      <c r="BF140" s="102">
        <v>0</v>
      </c>
      <c r="BG140" s="102">
        <v>0</v>
      </c>
      <c r="BH140" s="102">
        <v>0</v>
      </c>
      <c r="BI140" s="102">
        <v>0</v>
      </c>
      <c r="BJ140" s="102">
        <v>0</v>
      </c>
      <c r="BK140" s="102">
        <v>0</v>
      </c>
      <c r="BL140" s="102">
        <v>0</v>
      </c>
      <c r="BM140" s="102">
        <v>0</v>
      </c>
      <c r="BN140" s="102">
        <v>0</v>
      </c>
      <c r="BO140" s="102">
        <v>0</v>
      </c>
      <c r="BP140" s="102">
        <v>0</v>
      </c>
      <c r="BQ140" s="102">
        <v>0</v>
      </c>
      <c r="BR140" s="102">
        <v>0</v>
      </c>
      <c r="BS140" s="102">
        <v>0</v>
      </c>
      <c r="BT140" s="102">
        <v>0</v>
      </c>
      <c r="BU140" s="102">
        <v>0</v>
      </c>
      <c r="BV140" s="102">
        <v>0</v>
      </c>
      <c r="BW140" s="102">
        <v>0</v>
      </c>
      <c r="BX140" s="102">
        <v>0</v>
      </c>
      <c r="BY140" s="102">
        <v>0</v>
      </c>
      <c r="BZ140" s="102">
        <v>0</v>
      </c>
      <c r="CA140" s="102">
        <v>0</v>
      </c>
      <c r="CB140" s="102">
        <v>0</v>
      </c>
      <c r="CC140" s="102">
        <v>0</v>
      </c>
      <c r="CD140" s="102">
        <v>0</v>
      </c>
      <c r="CE140" s="102">
        <v>0</v>
      </c>
      <c r="CF140" s="102">
        <v>0</v>
      </c>
      <c r="CG140" s="102">
        <v>0</v>
      </c>
      <c r="CH140" s="102">
        <v>0</v>
      </c>
      <c r="CI140" s="102">
        <v>0</v>
      </c>
      <c r="CJ140" s="102">
        <v>0</v>
      </c>
      <c r="CK140" s="102">
        <v>0</v>
      </c>
      <c r="CL140" s="102">
        <v>0</v>
      </c>
      <c r="CM140" s="102">
        <v>0</v>
      </c>
      <c r="CN140" s="102">
        <v>0</v>
      </c>
      <c r="CO140" s="102">
        <v>0</v>
      </c>
      <c r="CP140" s="102">
        <v>0</v>
      </c>
      <c r="CQ140" s="102">
        <v>0</v>
      </c>
      <c r="CR140" s="102">
        <v>0</v>
      </c>
      <c r="CS140" s="102">
        <v>0</v>
      </c>
      <c r="CT140" s="102">
        <v>0</v>
      </c>
      <c r="CU140" s="102">
        <v>0</v>
      </c>
      <c r="CV140" s="102">
        <v>0</v>
      </c>
      <c r="CW140" s="102">
        <v>0</v>
      </c>
      <c r="CX140" s="102">
        <v>0</v>
      </c>
      <c r="CY140" s="102">
        <v>0</v>
      </c>
      <c r="CZ140" s="102">
        <v>0</v>
      </c>
      <c r="DA140" s="102">
        <v>0</v>
      </c>
      <c r="DB140" s="102">
        <v>0</v>
      </c>
      <c r="DC140" s="102">
        <v>0</v>
      </c>
      <c r="DD140" s="102">
        <v>0</v>
      </c>
      <c r="DE140" s="102">
        <v>0</v>
      </c>
      <c r="DF140" s="102">
        <v>0</v>
      </c>
      <c r="DG140" s="102">
        <v>0</v>
      </c>
      <c r="DH140" s="102">
        <v>0</v>
      </c>
      <c r="DJ140" s="102"/>
      <c r="DK140" s="102"/>
      <c r="DL140" s="102"/>
      <c r="DM140" s="102"/>
      <c r="DN140" s="102"/>
      <c r="DO140" s="102"/>
      <c r="DP140" s="102"/>
      <c r="DQ140" s="102"/>
      <c r="DR140" s="102"/>
      <c r="DS140" s="102"/>
      <c r="DT140" s="102"/>
      <c r="DU140" s="102"/>
      <c r="DW140" s="102"/>
      <c r="DX140" s="102"/>
      <c r="DY140" s="102"/>
      <c r="DZ140" s="102"/>
      <c r="EA140" s="102"/>
      <c r="EB140" s="102"/>
      <c r="EC140" s="102"/>
      <c r="ED140" s="102"/>
      <c r="EE140" s="102"/>
      <c r="EF140" s="102"/>
      <c r="EG140" s="102"/>
      <c r="EH140" s="102"/>
      <c r="EI140" s="102">
        <v>0</v>
      </c>
      <c r="EJ140" s="102">
        <v>0</v>
      </c>
      <c r="EK140" s="102">
        <v>0</v>
      </c>
      <c r="EL140" s="102">
        <v>0</v>
      </c>
      <c r="EM140" s="102">
        <v>0</v>
      </c>
      <c r="EN140" s="102">
        <v>0</v>
      </c>
      <c r="EO140" s="102">
        <v>0</v>
      </c>
      <c r="EP140" s="102">
        <v>0</v>
      </c>
      <c r="EQ140" s="102">
        <v>0</v>
      </c>
      <c r="ER140" s="102">
        <v>0</v>
      </c>
      <c r="ES140" s="102">
        <v>0</v>
      </c>
      <c r="ET140" s="102">
        <v>0</v>
      </c>
      <c r="EU140" s="102"/>
      <c r="EV140" s="102"/>
      <c r="EW140" s="102"/>
      <c r="EX140" s="102"/>
      <c r="EY140" s="102"/>
      <c r="EZ140" s="102"/>
      <c r="FA140" s="102"/>
      <c r="FB140" s="102"/>
      <c r="FC140" s="102"/>
      <c r="FD140" s="102"/>
      <c r="FE140" s="102"/>
      <c r="FF140" s="102"/>
      <c r="FG140" s="102"/>
      <c r="FH140" s="102"/>
      <c r="FI140" s="102"/>
      <c r="FJ140" s="102"/>
      <c r="FK140" s="102"/>
      <c r="FL140" s="102"/>
      <c r="FM140" s="102"/>
      <c r="FN140" s="102"/>
      <c r="FO140" s="102"/>
      <c r="FP140" s="102"/>
      <c r="FQ140" s="102"/>
      <c r="FR140" s="102"/>
      <c r="FS140" s="102"/>
      <c r="FT140" s="102"/>
      <c r="FU140" s="102"/>
      <c r="FV140" s="102"/>
      <c r="FW140" s="102"/>
      <c r="FX140" s="102"/>
      <c r="FY140" s="102"/>
      <c r="FZ140" s="102"/>
      <c r="GA140" s="102"/>
      <c r="GB140" s="102"/>
      <c r="GC140" s="102"/>
      <c r="GD140" s="102"/>
      <c r="GF140" s="102">
        <f t="shared" si="458"/>
        <v>0</v>
      </c>
      <c r="GG140" s="102">
        <f t="shared" si="458"/>
        <v>57.51599393</v>
      </c>
      <c r="GH140" s="102">
        <f t="shared" si="458"/>
        <v>0</v>
      </c>
      <c r="GI140" s="102">
        <f t="shared" si="458"/>
        <v>0</v>
      </c>
      <c r="GJ140" s="102">
        <f t="shared" si="434"/>
        <v>0</v>
      </c>
      <c r="GK140" s="102">
        <f t="shared" si="407"/>
        <v>0</v>
      </c>
      <c r="GL140" s="102">
        <f t="shared" si="435"/>
        <v>0</v>
      </c>
      <c r="GM140" s="102">
        <f t="shared" si="408"/>
        <v>0</v>
      </c>
      <c r="GN140" s="102">
        <f t="shared" si="409"/>
        <v>0</v>
      </c>
      <c r="GO140" s="102">
        <v>0</v>
      </c>
      <c r="GQ140" s="929">
        <f t="shared" si="459"/>
        <v>-1</v>
      </c>
      <c r="GR140" s="929" t="str">
        <f t="shared" si="459"/>
        <v/>
      </c>
      <c r="GS140" s="929" t="str">
        <f t="shared" si="459"/>
        <v/>
      </c>
      <c r="GT140" s="929" t="str">
        <f t="shared" si="459"/>
        <v/>
      </c>
      <c r="GU140" s="929" t="str">
        <f t="shared" si="459"/>
        <v/>
      </c>
      <c r="GV140" s="929" t="str">
        <f t="shared" si="459"/>
        <v/>
      </c>
      <c r="GW140" s="929" t="str">
        <f t="shared" si="459"/>
        <v/>
      </c>
      <c r="GX140" s="929" t="str">
        <f t="shared" si="459"/>
        <v/>
      </c>
      <c r="GY140" s="929" t="str">
        <f t="shared" si="492"/>
        <v/>
      </c>
      <c r="HA140" s="102">
        <f t="shared" si="460"/>
        <v>-57.51599393</v>
      </c>
      <c r="HB140" s="102">
        <f t="shared" si="460"/>
        <v>0</v>
      </c>
      <c r="HC140" s="102">
        <f t="shared" si="460"/>
        <v>0</v>
      </c>
      <c r="HD140" s="102">
        <f t="shared" si="460"/>
        <v>0</v>
      </c>
      <c r="HE140" s="102">
        <f t="shared" si="460"/>
        <v>0</v>
      </c>
      <c r="HF140" s="102">
        <f t="shared" si="460"/>
        <v>0</v>
      </c>
      <c r="HG140" s="102">
        <f t="shared" si="460"/>
        <v>0</v>
      </c>
      <c r="HH140" s="102">
        <f t="shared" si="460"/>
        <v>0</v>
      </c>
      <c r="HI140" s="102">
        <f t="shared" si="493"/>
        <v>0</v>
      </c>
      <c r="HK140" s="973"/>
      <c r="HL140" s="973"/>
      <c r="HM140" s="973"/>
      <c r="HN140" s="973"/>
      <c r="HO140" s="973"/>
      <c r="HP140" s="973"/>
      <c r="HQ140" s="973"/>
      <c r="HR140" s="973"/>
      <c r="HS140" s="973"/>
      <c r="HU140" s="102">
        <f t="shared" si="461"/>
        <v>0</v>
      </c>
      <c r="HV140" s="102">
        <f t="shared" si="461"/>
        <v>57.51599393</v>
      </c>
      <c r="HW140" s="102">
        <f t="shared" si="461"/>
        <v>57.51599393</v>
      </c>
      <c r="HX140" s="102">
        <f t="shared" si="461"/>
        <v>0</v>
      </c>
      <c r="HY140" s="102">
        <f t="shared" si="462"/>
        <v>0</v>
      </c>
      <c r="HZ140" s="102">
        <f t="shared" si="453"/>
        <v>0</v>
      </c>
      <c r="IA140" s="102">
        <f t="shared" si="414"/>
        <v>0</v>
      </c>
      <c r="IB140" s="102">
        <f t="shared" si="415"/>
        <v>0</v>
      </c>
      <c r="IC140" s="102">
        <f t="shared" si="416"/>
        <v>0</v>
      </c>
      <c r="ID140" s="102">
        <f t="shared" si="417"/>
        <v>0</v>
      </c>
      <c r="IE140" s="102">
        <f t="shared" si="463"/>
        <v>0</v>
      </c>
      <c r="IG140" s="102">
        <f t="shared" si="464"/>
        <v>0</v>
      </c>
      <c r="IH140" s="102">
        <f t="shared" si="465"/>
        <v>0</v>
      </c>
      <c r="II140" s="145"/>
      <c r="IJ140" s="929" t="str">
        <f t="shared" si="466"/>
        <v>NA</v>
      </c>
      <c r="IK140" s="930">
        <f t="shared" si="467"/>
        <v>0</v>
      </c>
      <c r="IM140" s="973"/>
      <c r="IN140" s="973"/>
      <c r="IP140" s="929">
        <f t="shared" si="477"/>
        <v>0</v>
      </c>
      <c r="IQ140" s="929">
        <f t="shared" si="477"/>
        <v>-1</v>
      </c>
      <c r="IR140" s="929" t="str">
        <f t="shared" si="477"/>
        <v/>
      </c>
      <c r="IS140" s="929" t="str">
        <f t="shared" si="477"/>
        <v/>
      </c>
      <c r="IT140" s="929" t="str">
        <f t="shared" si="477"/>
        <v/>
      </c>
      <c r="IU140" s="929" t="str">
        <f t="shared" si="477"/>
        <v/>
      </c>
      <c r="IV140" s="929" t="str">
        <f t="shared" si="478"/>
        <v/>
      </c>
      <c r="IX140" s="102">
        <f t="shared" si="422"/>
        <v>0</v>
      </c>
      <c r="IY140" s="102">
        <f t="shared" si="422"/>
        <v>-57.51599393</v>
      </c>
      <c r="IZ140" s="102">
        <f t="shared" si="422"/>
        <v>0</v>
      </c>
      <c r="JA140" s="102">
        <f t="shared" si="422"/>
        <v>0</v>
      </c>
      <c r="JB140" s="102">
        <f t="shared" si="422"/>
        <v>0</v>
      </c>
      <c r="JC140" s="102">
        <f t="shared" si="422"/>
        <v>0</v>
      </c>
      <c r="JD140" s="102">
        <f t="shared" si="423"/>
        <v>0</v>
      </c>
      <c r="JF140" s="973"/>
      <c r="JG140" s="973"/>
      <c r="JH140" s="973"/>
      <c r="JI140" s="973"/>
      <c r="JJ140" s="973"/>
      <c r="JK140" s="973"/>
      <c r="JL140" s="973"/>
      <c r="JM140" s="973"/>
      <c r="JO140" s="102">
        <f t="shared" si="494"/>
        <v>0</v>
      </c>
      <c r="JP140" s="102">
        <f t="shared" si="494"/>
        <v>57.51599393</v>
      </c>
      <c r="JQ140" s="102">
        <f t="shared" si="494"/>
        <v>57.51599393</v>
      </c>
      <c r="JR140" s="102">
        <f t="shared" si="494"/>
        <v>0</v>
      </c>
      <c r="JS140" s="102">
        <f t="shared" si="494"/>
        <v>0</v>
      </c>
      <c r="JT140" s="102">
        <f t="shared" si="425"/>
        <v>0</v>
      </c>
      <c r="JU140" s="102">
        <f t="shared" si="426"/>
        <v>0</v>
      </c>
      <c r="JV140" s="102">
        <f t="shared" si="470"/>
        <v>0</v>
      </c>
      <c r="JW140" s="102">
        <f t="shared" si="470"/>
        <v>0</v>
      </c>
      <c r="JX140" s="102">
        <f t="shared" si="428"/>
        <v>0</v>
      </c>
      <c r="JY140" s="102">
        <f t="shared" si="471"/>
        <v>0</v>
      </c>
      <c r="KB140" s="32">
        <f t="shared" si="472"/>
        <v>0</v>
      </c>
      <c r="KC140" s="32">
        <f t="shared" si="472"/>
        <v>-1</v>
      </c>
      <c r="KD140" s="32" t="str">
        <f t="shared" si="472"/>
        <v xml:space="preserve"> </v>
      </c>
      <c r="KE140" s="32" t="str">
        <f t="shared" si="472"/>
        <v xml:space="preserve"> </v>
      </c>
      <c r="KF140" s="32" t="str">
        <f t="shared" si="472"/>
        <v xml:space="preserve"> </v>
      </c>
      <c r="KG140" s="32" t="str">
        <f t="shared" si="472"/>
        <v xml:space="preserve"> </v>
      </c>
      <c r="KH140" s="32" t="str">
        <f t="shared" si="431"/>
        <v xml:space="preserve"> </v>
      </c>
      <c r="KJ140" s="102">
        <f t="shared" si="473"/>
        <v>0</v>
      </c>
      <c r="KK140" s="102">
        <f t="shared" si="473"/>
        <v>-57.51599393</v>
      </c>
      <c r="KL140" s="102">
        <f t="shared" si="473"/>
        <v>0</v>
      </c>
      <c r="KM140" s="102">
        <f t="shared" si="473"/>
        <v>0</v>
      </c>
      <c r="KN140" s="102">
        <f t="shared" si="473"/>
        <v>0</v>
      </c>
      <c r="KO140" s="102">
        <f t="shared" si="473"/>
        <v>0</v>
      </c>
      <c r="KP140" s="102">
        <f t="shared" si="433"/>
        <v>0</v>
      </c>
      <c r="KR140" s="973"/>
      <c r="KS140" s="973"/>
      <c r="KT140" s="973"/>
      <c r="KU140" s="973"/>
      <c r="KV140" s="973"/>
      <c r="KW140" s="973"/>
      <c r="KX140" s="973"/>
      <c r="KY140" s="973"/>
      <c r="KZ140" s="973"/>
    </row>
    <row r="141" spans="1:312" outlineLevel="3">
      <c r="A141" s="867"/>
      <c r="B141" s="71"/>
      <c r="C141" s="40" t="s">
        <v>127</v>
      </c>
      <c r="D141" s="31" t="s">
        <v>59</v>
      </c>
      <c r="E141" s="102">
        <v>2227.46467562</v>
      </c>
      <c r="F141" s="102">
        <v>2249.3041363000002</v>
      </c>
      <c r="G141" s="102">
        <v>2343.8146323000001</v>
      </c>
      <c r="H141" s="102">
        <v>2421.7769143000005</v>
      </c>
      <c r="I141" s="102">
        <v>2406.1822112800005</v>
      </c>
      <c r="J141" s="102">
        <v>2444.3065947199998</v>
      </c>
      <c r="K141" s="102">
        <v>2451.1692907199999</v>
      </c>
      <c r="L141" s="102">
        <v>2484.0475037199999</v>
      </c>
      <c r="M141" s="102">
        <v>2487.6959637199998</v>
      </c>
      <c r="N141" s="102">
        <v>2515.1221077199998</v>
      </c>
      <c r="O141" s="102">
        <v>2501.4122377200001</v>
      </c>
      <c r="P141" s="102">
        <v>2564.0631227200001</v>
      </c>
      <c r="Q141" s="102">
        <v>2588.6472077200001</v>
      </c>
      <c r="R141" s="102">
        <v>2646.0235664900006</v>
      </c>
      <c r="S141" s="102">
        <v>2668.1709184900005</v>
      </c>
      <c r="T141" s="102">
        <v>2737.6506277800004</v>
      </c>
      <c r="U141" s="102">
        <v>2712.7939429000003</v>
      </c>
      <c r="V141" s="102">
        <v>2729.67428591</v>
      </c>
      <c r="W141" s="102">
        <v>2779.8030886200004</v>
      </c>
      <c r="X141" s="102">
        <v>2805.5595545400001</v>
      </c>
      <c r="Y141" s="102">
        <v>2955.7352048400003</v>
      </c>
      <c r="Z141" s="102">
        <v>2960.5880648400002</v>
      </c>
      <c r="AA141" s="102">
        <v>2732.4115043799998</v>
      </c>
      <c r="AB141" s="102">
        <v>2608.2257146100001</v>
      </c>
      <c r="AC141" s="102">
        <v>2611.8757126199998</v>
      </c>
      <c r="AD141" s="102">
        <v>2618.70229522</v>
      </c>
      <c r="AE141" s="102">
        <v>2628.9886158599998</v>
      </c>
      <c r="AF141" s="102">
        <v>2505.1704288599999</v>
      </c>
      <c r="AG141" s="102">
        <v>2528.1912088600002</v>
      </c>
      <c r="AH141" s="102">
        <v>2689.68151786</v>
      </c>
      <c r="AI141" s="102">
        <v>2724.72064026</v>
      </c>
      <c r="AJ141" s="102">
        <v>2783.22432454</v>
      </c>
      <c r="AK141" s="102">
        <v>2822.8586313400001</v>
      </c>
      <c r="AL141" s="102">
        <v>2905.4445663400002</v>
      </c>
      <c r="AM141" s="102">
        <v>2912.5888643400003</v>
      </c>
      <c r="AN141" s="102">
        <v>3805.7907611999995</v>
      </c>
      <c r="AO141" s="220">
        <v>3802.0896895199999</v>
      </c>
      <c r="AP141" s="220">
        <v>3802.0896895199999</v>
      </c>
      <c r="AQ141" s="220">
        <v>3801.1613495199999</v>
      </c>
      <c r="AR141" s="220">
        <v>3824.2674849999999</v>
      </c>
      <c r="AS141" s="220">
        <v>4039.70255606</v>
      </c>
      <c r="AT141" s="220">
        <v>4079.8462810599999</v>
      </c>
      <c r="AU141" s="220">
        <v>4087.5627959799999</v>
      </c>
      <c r="AV141" s="220">
        <v>4147.0827485299997</v>
      </c>
      <c r="AW141" s="220">
        <v>4364.2688407700007</v>
      </c>
      <c r="AX141" s="220">
        <v>4366.3046407700003</v>
      </c>
      <c r="AY141" s="220">
        <v>4616.4048437700003</v>
      </c>
      <c r="AZ141" s="979">
        <f>SUM(AZ142:AZ143)</f>
        <v>5045.6728000000003</v>
      </c>
      <c r="BA141" s="220">
        <v>5045.6732319799994</v>
      </c>
      <c r="BB141" s="220">
        <v>5055.9004319799997</v>
      </c>
      <c r="BC141" s="220">
        <v>5055.9004319799997</v>
      </c>
      <c r="BD141" s="220">
        <v>5055.9004319799997</v>
      </c>
      <c r="BE141" s="102">
        <v>5208.071034229999</v>
      </c>
      <c r="BF141" s="102">
        <v>5226.7393959799992</v>
      </c>
      <c r="BG141" s="102">
        <v>5233.6323799799993</v>
      </c>
      <c r="BH141" s="102">
        <v>5233.6323799799993</v>
      </c>
      <c r="BI141" s="102">
        <v>5233.6323799799993</v>
      </c>
      <c r="BJ141" s="102">
        <v>5234.6304439799997</v>
      </c>
      <c r="BK141" s="102">
        <v>5234.6304439799997</v>
      </c>
      <c r="BL141" s="102">
        <v>5259.4811199799997</v>
      </c>
      <c r="BM141" s="220">
        <f t="shared" ref="BM141:DH141" si="495">SUM(BM142:BM143)</f>
        <v>5161.3361309799993</v>
      </c>
      <c r="BN141" s="220">
        <f t="shared" si="495"/>
        <v>5168.0215509799991</v>
      </c>
      <c r="BO141" s="220">
        <f t="shared" si="495"/>
        <v>5205.5493779499993</v>
      </c>
      <c r="BP141" s="220">
        <f t="shared" si="495"/>
        <v>5239.56060695</v>
      </c>
      <c r="BQ141" s="102">
        <f t="shared" si="495"/>
        <v>5267.0081940099999</v>
      </c>
      <c r="BR141" s="102">
        <f t="shared" si="495"/>
        <v>5303.3764790099995</v>
      </c>
      <c r="BS141" s="102">
        <f t="shared" si="495"/>
        <v>5337.4879290099998</v>
      </c>
      <c r="BT141" s="102">
        <f t="shared" si="495"/>
        <v>5350.0044567899995</v>
      </c>
      <c r="BU141" s="102">
        <f t="shared" si="495"/>
        <v>5373.6378567899992</v>
      </c>
      <c r="BV141" s="102">
        <f t="shared" si="495"/>
        <v>5399.3639080199991</v>
      </c>
      <c r="BW141" s="102">
        <f t="shared" si="495"/>
        <v>5470.4451557499997</v>
      </c>
      <c r="BX141" s="102">
        <f t="shared" si="495"/>
        <v>5548.4404298099998</v>
      </c>
      <c r="BY141" s="102">
        <f t="shared" si="495"/>
        <v>5780.3931545999994</v>
      </c>
      <c r="BZ141" s="102">
        <f t="shared" si="495"/>
        <v>5918.6899631799997</v>
      </c>
      <c r="CA141" s="102">
        <f t="shared" si="495"/>
        <v>6105.0509011799995</v>
      </c>
      <c r="CB141" s="102">
        <f t="shared" si="495"/>
        <v>6131.6261201799998</v>
      </c>
      <c r="CC141" s="102">
        <f t="shared" si="495"/>
        <v>6154.3133509300005</v>
      </c>
      <c r="CD141" s="102">
        <f t="shared" si="495"/>
        <v>6151.8585029400001</v>
      </c>
      <c r="CE141" s="102">
        <f t="shared" si="495"/>
        <v>6197.1888576300007</v>
      </c>
      <c r="CF141" s="102">
        <f t="shared" si="495"/>
        <v>6244.8811163199998</v>
      </c>
      <c r="CG141" s="102">
        <f t="shared" si="495"/>
        <v>6327.4337132499995</v>
      </c>
      <c r="CH141" s="102">
        <f t="shared" si="495"/>
        <v>6466.0767323499995</v>
      </c>
      <c r="CI141" s="102">
        <f t="shared" si="495"/>
        <v>6706.0736757100003</v>
      </c>
      <c r="CJ141" s="102">
        <f t="shared" si="495"/>
        <v>6765.5618421199997</v>
      </c>
      <c r="CK141" s="102">
        <f t="shared" si="495"/>
        <v>6776.7795953599998</v>
      </c>
      <c r="CL141" s="102">
        <f t="shared" si="495"/>
        <v>6853.5660194399998</v>
      </c>
      <c r="CM141" s="102">
        <f t="shared" si="495"/>
        <v>6849.6337534600007</v>
      </c>
      <c r="CN141" s="102">
        <f t="shared" si="495"/>
        <v>6884.4286317100004</v>
      </c>
      <c r="CO141" s="102">
        <f t="shared" si="495"/>
        <v>6955.2119282599997</v>
      </c>
      <c r="CP141" s="102">
        <f t="shared" si="495"/>
        <v>7087.5878395300006</v>
      </c>
      <c r="CQ141" s="102">
        <f t="shared" si="495"/>
        <v>7154.32086299</v>
      </c>
      <c r="CR141" s="102">
        <f t="shared" si="495"/>
        <v>7202.5505959600005</v>
      </c>
      <c r="CS141" s="102">
        <f t="shared" si="495"/>
        <v>7133.4194227199996</v>
      </c>
      <c r="CT141" s="102">
        <f t="shared" si="495"/>
        <v>7233.7610344599998</v>
      </c>
      <c r="CU141" s="102">
        <f t="shared" si="495"/>
        <v>7315.3100066899997</v>
      </c>
      <c r="CV141" s="102">
        <f t="shared" si="495"/>
        <v>7399.905850789999</v>
      </c>
      <c r="CW141" s="102">
        <f t="shared" si="495"/>
        <v>7410.4416507899996</v>
      </c>
      <c r="CX141" s="102">
        <f t="shared" si="495"/>
        <v>7479.9109217899995</v>
      </c>
      <c r="CY141" s="102">
        <f t="shared" si="495"/>
        <v>7511.1301187899999</v>
      </c>
      <c r="CZ141" s="102">
        <f t="shared" si="495"/>
        <v>7512.02392779</v>
      </c>
      <c r="DA141" s="102">
        <f t="shared" si="495"/>
        <v>7531.4755329899999</v>
      </c>
      <c r="DB141" s="102">
        <f t="shared" si="495"/>
        <v>7443.7680591599992</v>
      </c>
      <c r="DC141" s="102">
        <f t="shared" si="495"/>
        <v>7407.2353831599994</v>
      </c>
      <c r="DD141" s="102">
        <f t="shared" si="495"/>
        <v>7414.9120751599994</v>
      </c>
      <c r="DE141" s="102">
        <f t="shared" si="495"/>
        <v>7447.1765661600002</v>
      </c>
      <c r="DF141" s="102">
        <f t="shared" si="495"/>
        <v>7441.1808461599994</v>
      </c>
      <c r="DG141" s="102">
        <f t="shared" si="495"/>
        <v>7472.3881361599997</v>
      </c>
      <c r="DH141" s="102">
        <f t="shared" si="495"/>
        <v>7490.76076216</v>
      </c>
      <c r="DJ141" s="1083" t="e">
        <f t="shared" ref="DJ141:EO141" si="496">+SUM(DJ142:DJ143)</f>
        <v>#VALUE!</v>
      </c>
      <c r="DK141" s="145" t="e">
        <f t="shared" si="496"/>
        <v>#VALUE!</v>
      </c>
      <c r="DL141" s="145" t="e">
        <f t="shared" si="496"/>
        <v>#VALUE!</v>
      </c>
      <c r="DM141" s="145" t="e">
        <f t="shared" si="496"/>
        <v>#VALUE!</v>
      </c>
      <c r="DN141" s="145" t="e">
        <f t="shared" si="496"/>
        <v>#VALUE!</v>
      </c>
      <c r="DO141" s="145" t="e">
        <f t="shared" si="496"/>
        <v>#VALUE!</v>
      </c>
      <c r="DP141" s="145" t="e">
        <f t="shared" si="496"/>
        <v>#VALUE!</v>
      </c>
      <c r="DQ141" s="145" t="e">
        <f t="shared" si="496"/>
        <v>#VALUE!</v>
      </c>
      <c r="DR141" s="145" t="e">
        <f t="shared" si="496"/>
        <v>#VALUE!</v>
      </c>
      <c r="DS141" s="145" t="e">
        <f t="shared" si="496"/>
        <v>#VALUE!</v>
      </c>
      <c r="DT141" s="145" t="e">
        <f t="shared" si="496"/>
        <v>#VALUE!</v>
      </c>
      <c r="DU141" s="145" t="e">
        <f t="shared" si="496"/>
        <v>#VALUE!</v>
      </c>
      <c r="DV141" s="279"/>
      <c r="DW141" s="102">
        <f t="shared" si="496"/>
        <v>2881.5391406999997</v>
      </c>
      <c r="DX141" s="102">
        <f t="shared" si="496"/>
        <v>3309.7193066999998</v>
      </c>
      <c r="DY141" s="102">
        <f t="shared" si="496"/>
        <v>3656.4945283666661</v>
      </c>
      <c r="DZ141" s="102">
        <f t="shared" si="496"/>
        <v>3731.4111950333327</v>
      </c>
      <c r="EA141" s="102">
        <f t="shared" si="496"/>
        <v>3802.6778616999991</v>
      </c>
      <c r="EB141" s="102">
        <f t="shared" si="496"/>
        <v>3858.6445283666658</v>
      </c>
      <c r="EC141" s="102">
        <f t="shared" si="496"/>
        <v>3957.4111950333322</v>
      </c>
      <c r="ED141" s="102">
        <f t="shared" si="496"/>
        <v>4022.7778616999985</v>
      </c>
      <c r="EE141" s="102">
        <f t="shared" si="496"/>
        <v>4089.1445283666653</v>
      </c>
      <c r="EF141" s="102">
        <f t="shared" si="496"/>
        <v>4186.5111950333321</v>
      </c>
      <c r="EG141" s="102">
        <f t="shared" si="496"/>
        <v>4262.2778616999985</v>
      </c>
      <c r="EH141" s="102">
        <f t="shared" si="496"/>
        <v>4322.7445283666648</v>
      </c>
      <c r="EI141" s="102">
        <f t="shared" si="496"/>
        <v>4479.4026391999996</v>
      </c>
      <c r="EJ141" s="102">
        <f t="shared" si="496"/>
        <v>4485.2118092000001</v>
      </c>
      <c r="EK141" s="102">
        <f t="shared" si="496"/>
        <v>4497.4209792000001</v>
      </c>
      <c r="EL141" s="102">
        <f t="shared" si="496"/>
        <v>4503.2301491999997</v>
      </c>
      <c r="EM141" s="102">
        <f t="shared" si="496"/>
        <v>4509.0393192000001</v>
      </c>
      <c r="EN141" s="102">
        <f t="shared" si="496"/>
        <v>4553.3484891999997</v>
      </c>
      <c r="EO141" s="102">
        <f t="shared" si="496"/>
        <v>4590.1576592000001</v>
      </c>
      <c r="EP141" s="102">
        <f t="shared" ref="EP141:FS141" si="497">+SUM(EP142:EP143)</f>
        <v>4616.9668291999997</v>
      </c>
      <c r="EQ141" s="102">
        <f t="shared" si="497"/>
        <v>4643.7759992000001</v>
      </c>
      <c r="ER141" s="102">
        <f t="shared" si="497"/>
        <v>4655.5851691999997</v>
      </c>
      <c r="ES141" s="102">
        <f t="shared" si="497"/>
        <v>4667.3943392000001</v>
      </c>
      <c r="ET141" s="102">
        <f t="shared" si="497"/>
        <v>4679.2035091999996</v>
      </c>
      <c r="EU141" s="102">
        <f t="shared" si="497"/>
        <v>5290.6742899800001</v>
      </c>
      <c r="EV141" s="102">
        <f t="shared" si="497"/>
        <v>5290.1266179799995</v>
      </c>
      <c r="EW141" s="102">
        <f t="shared" si="497"/>
        <v>5295.9357879799991</v>
      </c>
      <c r="EX141" s="102">
        <f t="shared" si="497"/>
        <v>5301.7449579799995</v>
      </c>
      <c r="EY141" s="102">
        <f t="shared" si="497"/>
        <v>5307.5541279799991</v>
      </c>
      <c r="EZ141" s="102">
        <f t="shared" si="497"/>
        <v>5313.3632979799995</v>
      </c>
      <c r="FA141" s="102">
        <f t="shared" si="497"/>
        <v>5319.1724679799991</v>
      </c>
      <c r="FB141" s="102">
        <f t="shared" si="497"/>
        <v>5324.9816379799995</v>
      </c>
      <c r="FC141" s="102">
        <f t="shared" si="497"/>
        <v>5330.790807979999</v>
      </c>
      <c r="FD141" s="102">
        <f t="shared" si="497"/>
        <v>5336.5999779799995</v>
      </c>
      <c r="FE141" s="102">
        <f t="shared" si="497"/>
        <v>5342.409147979999</v>
      </c>
      <c r="FF141" s="102">
        <f t="shared" si="497"/>
        <v>5348.2183179799995</v>
      </c>
      <c r="FG141" s="102" t="e">
        <f t="shared" si="497"/>
        <v>#VALUE!</v>
      </c>
      <c r="FH141" s="102" t="e">
        <f t="shared" si="497"/>
        <v>#VALUE!</v>
      </c>
      <c r="FI141" s="102" t="e">
        <f t="shared" si="497"/>
        <v>#VALUE!</v>
      </c>
      <c r="FJ141" s="102" t="e">
        <f t="shared" si="497"/>
        <v>#VALUE!</v>
      </c>
      <c r="FK141" s="102" t="e">
        <f t="shared" si="497"/>
        <v>#VALUE!</v>
      </c>
      <c r="FL141" s="102" t="e">
        <f t="shared" si="497"/>
        <v>#VALUE!</v>
      </c>
      <c r="FM141" s="102" t="e">
        <f t="shared" si="497"/>
        <v>#VALUE!</v>
      </c>
      <c r="FN141" s="102" t="e">
        <f t="shared" si="497"/>
        <v>#VALUE!</v>
      </c>
      <c r="FO141" s="102" t="e">
        <f t="shared" si="497"/>
        <v>#VALUE!</v>
      </c>
      <c r="FP141" s="102" t="e">
        <f t="shared" si="497"/>
        <v>#VALUE!</v>
      </c>
      <c r="FQ141" s="102" t="e">
        <f t="shared" si="497"/>
        <v>#VALUE!</v>
      </c>
      <c r="FR141" s="102" t="e">
        <f t="shared" si="497"/>
        <v>#VALUE!</v>
      </c>
      <c r="FS141" s="102" t="e">
        <f t="shared" si="497"/>
        <v>#VALUE!</v>
      </c>
      <c r="FT141" s="102" t="e">
        <f t="shared" ref="FT141:GD141" si="498">+SUM(FT142:FT143)</f>
        <v>#VALUE!</v>
      </c>
      <c r="FU141" s="102" t="e">
        <f t="shared" si="498"/>
        <v>#VALUE!</v>
      </c>
      <c r="FV141" s="102" t="e">
        <f t="shared" si="498"/>
        <v>#VALUE!</v>
      </c>
      <c r="FW141" s="102" t="e">
        <f t="shared" si="498"/>
        <v>#VALUE!</v>
      </c>
      <c r="FX141" s="102" t="e">
        <f t="shared" si="498"/>
        <v>#VALUE!</v>
      </c>
      <c r="FY141" s="102" t="e">
        <f t="shared" si="498"/>
        <v>#VALUE!</v>
      </c>
      <c r="FZ141" s="102" t="e">
        <f t="shared" si="498"/>
        <v>#VALUE!</v>
      </c>
      <c r="GA141" s="102" t="e">
        <f t="shared" si="498"/>
        <v>#VALUE!</v>
      </c>
      <c r="GB141" s="102" t="e">
        <f t="shared" si="498"/>
        <v>#VALUE!</v>
      </c>
      <c r="GC141" s="102" t="e">
        <f t="shared" si="498"/>
        <v>#VALUE!</v>
      </c>
      <c r="GD141" s="102" t="e">
        <f t="shared" si="498"/>
        <v>#VALUE!</v>
      </c>
      <c r="GF141" s="102">
        <f t="shared" si="458"/>
        <v>2564.0631227200001</v>
      </c>
      <c r="GG141" s="102">
        <f t="shared" si="458"/>
        <v>2608.2257146100001</v>
      </c>
      <c r="GH141" s="102">
        <f t="shared" si="458"/>
        <v>3805.7907611999995</v>
      </c>
      <c r="GI141" s="102">
        <f t="shared" si="458"/>
        <v>5045.6728000000003</v>
      </c>
      <c r="GJ141" s="102">
        <f t="shared" si="434"/>
        <v>5259.4811199799997</v>
      </c>
      <c r="GK141" s="102">
        <f t="shared" si="407"/>
        <v>5548.4404298099998</v>
      </c>
      <c r="GL141" s="102">
        <f t="shared" si="435"/>
        <v>6765.5618421199997</v>
      </c>
      <c r="GM141" s="102">
        <f t="shared" si="408"/>
        <v>7399.905850789999</v>
      </c>
      <c r="GN141" s="102" t="e">
        <f t="shared" si="409"/>
        <v>#VALUE!</v>
      </c>
      <c r="GO141" s="102">
        <v>7490.76076216</v>
      </c>
      <c r="GQ141" s="929">
        <f t="shared" si="459"/>
        <v>0.45914931360496447</v>
      </c>
      <c r="GR141" s="929">
        <f t="shared" si="459"/>
        <v>0.32578828332881216</v>
      </c>
      <c r="GS141" s="929">
        <f t="shared" si="459"/>
        <v>4.2374590754279406E-2</v>
      </c>
      <c r="GT141" s="929">
        <f t="shared" si="459"/>
        <v>5.4940649702550637E-2</v>
      </c>
      <c r="GU141" s="929">
        <f t="shared" si="459"/>
        <v>0.21936279711516682</v>
      </c>
      <c r="GV141" s="929">
        <f t="shared" si="459"/>
        <v>9.3760728742555699E-2</v>
      </c>
      <c r="GW141" s="929" t="str">
        <f t="shared" si="459"/>
        <v/>
      </c>
      <c r="GX141" s="929" t="str">
        <f t="shared" si="459"/>
        <v/>
      </c>
      <c r="GY141" s="929">
        <f t="shared" si="492"/>
        <v>1.2277846935079717E-2</v>
      </c>
      <c r="HA141" s="102">
        <f t="shared" si="460"/>
        <v>1197.5650465899994</v>
      </c>
      <c r="HB141" s="102">
        <f t="shared" si="460"/>
        <v>1239.8820388000008</v>
      </c>
      <c r="HC141" s="102">
        <f t="shared" si="460"/>
        <v>213.8083199799994</v>
      </c>
      <c r="HD141" s="102">
        <f t="shared" si="460"/>
        <v>288.95930983000017</v>
      </c>
      <c r="HE141" s="102">
        <f t="shared" si="460"/>
        <v>1217.1214123099999</v>
      </c>
      <c r="HF141" s="102">
        <f t="shared" si="460"/>
        <v>634.34400866999931</v>
      </c>
      <c r="HG141" s="102" t="e">
        <f t="shared" si="460"/>
        <v>#VALUE!</v>
      </c>
      <c r="HH141" s="102" t="e">
        <f t="shared" si="460"/>
        <v>#VALUE!</v>
      </c>
      <c r="HI141" s="102">
        <f t="shared" si="493"/>
        <v>90.854911370000991</v>
      </c>
      <c r="HK141" s="973"/>
      <c r="HL141" s="973"/>
      <c r="HM141" s="973"/>
      <c r="HN141" s="973"/>
      <c r="HO141" s="973"/>
      <c r="HP141" s="973"/>
      <c r="HQ141" s="973"/>
      <c r="HR141" s="973"/>
      <c r="HS141" s="973"/>
      <c r="HU141" s="102">
        <f t="shared" si="461"/>
        <v>2444.3065947199998</v>
      </c>
      <c r="HV141" s="102">
        <f t="shared" si="461"/>
        <v>2729.67428591</v>
      </c>
      <c r="HW141" s="102">
        <f t="shared" si="461"/>
        <v>2689.68151786</v>
      </c>
      <c r="HX141" s="102">
        <f t="shared" si="461"/>
        <v>4079.8462810599999</v>
      </c>
      <c r="HY141" s="102">
        <f t="shared" si="462"/>
        <v>5226.7393959799992</v>
      </c>
      <c r="HZ141" s="102">
        <f t="shared" si="453"/>
        <v>5303.3764790099995</v>
      </c>
      <c r="IA141" s="102">
        <f t="shared" si="414"/>
        <v>6151.8585029400001</v>
      </c>
      <c r="IB141" s="102">
        <f t="shared" si="415"/>
        <v>7087.5878395300006</v>
      </c>
      <c r="IC141" s="102">
        <f t="shared" si="416"/>
        <v>7443.7680591599992</v>
      </c>
      <c r="ID141" s="102" t="e">
        <f t="shared" si="417"/>
        <v>#VALUE!</v>
      </c>
      <c r="IE141" s="102" t="e">
        <f t="shared" si="463"/>
        <v>#VALUE!</v>
      </c>
      <c r="IG141" s="102" t="e">
        <f t="shared" si="464"/>
        <v>#VALUE!</v>
      </c>
      <c r="IH141" s="102" t="e">
        <f t="shared" si="465"/>
        <v>#VALUE!</v>
      </c>
      <c r="II141" s="145"/>
      <c r="IJ141" s="929" t="str">
        <f t="shared" si="466"/>
        <v>NA</v>
      </c>
      <c r="IK141" s="930" t="str">
        <f t="shared" si="467"/>
        <v>NA</v>
      </c>
      <c r="IM141" s="973"/>
      <c r="IN141" s="973"/>
      <c r="IP141" s="929">
        <f t="shared" si="477"/>
        <v>-1.4651113598583621E-2</v>
      </c>
      <c r="IQ141" s="929">
        <f t="shared" si="477"/>
        <v>0.51685106729887531</v>
      </c>
      <c r="IR141" s="929">
        <f t="shared" si="477"/>
        <v>0.2811118448859844</v>
      </c>
      <c r="IS141" s="929">
        <f t="shared" si="477"/>
        <v>1.4662503182948816E-2</v>
      </c>
      <c r="IT141" s="929">
        <f t="shared" si="477"/>
        <v>0.15998902346234911</v>
      </c>
      <c r="IU141" s="929">
        <f t="shared" si="477"/>
        <v>0.15210514613475112</v>
      </c>
      <c r="IV141" s="929" t="str">
        <f t="shared" si="478"/>
        <v/>
      </c>
      <c r="IX141" s="102">
        <f t="shared" si="422"/>
        <v>-39.992768049999995</v>
      </c>
      <c r="IY141" s="102">
        <f t="shared" si="422"/>
        <v>1390.1647631999999</v>
      </c>
      <c r="IZ141" s="102">
        <f t="shared" si="422"/>
        <v>1146.8931149199993</v>
      </c>
      <c r="JA141" s="102">
        <f t="shared" si="422"/>
        <v>76.637083030000213</v>
      </c>
      <c r="JB141" s="102">
        <f t="shared" si="422"/>
        <v>848.48202393000065</v>
      </c>
      <c r="JC141" s="102">
        <f t="shared" si="422"/>
        <v>935.72933659000046</v>
      </c>
      <c r="JD141" s="102" t="e">
        <f t="shared" si="423"/>
        <v>#VALUE!</v>
      </c>
      <c r="JF141" s="973"/>
      <c r="JG141" s="973"/>
      <c r="JH141" s="973"/>
      <c r="JI141" s="973"/>
      <c r="JJ141" s="973"/>
      <c r="JK141" s="973"/>
      <c r="JL141" s="973"/>
      <c r="JM141" s="973"/>
      <c r="JO141" s="102">
        <f t="shared" si="494"/>
        <v>2444.3065947199998</v>
      </c>
      <c r="JP141" s="102">
        <f t="shared" si="494"/>
        <v>2729.67428591</v>
      </c>
      <c r="JQ141" s="102">
        <f t="shared" si="494"/>
        <v>2689.68151786</v>
      </c>
      <c r="JR141" s="102">
        <f t="shared" si="494"/>
        <v>4079.8462810599999</v>
      </c>
      <c r="JS141" s="102">
        <f t="shared" si="494"/>
        <v>5226.7393959799992</v>
      </c>
      <c r="JT141" s="102">
        <f t="shared" si="425"/>
        <v>5303.3764790099995</v>
      </c>
      <c r="JU141" s="102">
        <f t="shared" si="426"/>
        <v>6151.8585029400001</v>
      </c>
      <c r="JV141" s="102">
        <f t="shared" si="470"/>
        <v>7087.5878395300006</v>
      </c>
      <c r="JW141" s="102">
        <f t="shared" si="470"/>
        <v>7443.7680591599992</v>
      </c>
      <c r="JX141" s="102" t="e">
        <f t="shared" si="428"/>
        <v>#VALUE!</v>
      </c>
      <c r="JY141" s="102" t="e">
        <f t="shared" si="471"/>
        <v>#VALUE!</v>
      </c>
      <c r="KB141" s="32">
        <f t="shared" si="472"/>
        <v>-1.4651113598583621E-2</v>
      </c>
      <c r="KC141" s="32">
        <f t="shared" si="472"/>
        <v>0.51685106729887531</v>
      </c>
      <c r="KD141" s="32">
        <f t="shared" si="472"/>
        <v>0.2811118448859844</v>
      </c>
      <c r="KE141" s="32">
        <f t="shared" si="472"/>
        <v>1.4662503182948816E-2</v>
      </c>
      <c r="KF141" s="32">
        <f t="shared" si="472"/>
        <v>0.15998902346234911</v>
      </c>
      <c r="KG141" s="32">
        <f t="shared" si="472"/>
        <v>0.15210514613475112</v>
      </c>
      <c r="KH141" s="32" t="str">
        <f t="shared" si="431"/>
        <v xml:space="preserve"> </v>
      </c>
      <c r="KJ141" s="102">
        <f t="shared" si="473"/>
        <v>-39.992768049999995</v>
      </c>
      <c r="KK141" s="102">
        <f t="shared" si="473"/>
        <v>1390.1647631999999</v>
      </c>
      <c r="KL141" s="102">
        <f t="shared" si="473"/>
        <v>1146.8931149199993</v>
      </c>
      <c r="KM141" s="102">
        <f t="shared" si="473"/>
        <v>76.637083030000213</v>
      </c>
      <c r="KN141" s="102">
        <f t="shared" si="473"/>
        <v>848.48202393000065</v>
      </c>
      <c r="KO141" s="102">
        <f t="shared" si="473"/>
        <v>935.72933659000046</v>
      </c>
      <c r="KP141" s="102" t="e">
        <f t="shared" si="433"/>
        <v>#VALUE!</v>
      </c>
      <c r="KR141" s="973"/>
      <c r="KS141" s="973"/>
      <c r="KT141" s="973"/>
      <c r="KU141" s="973"/>
      <c r="KV141" s="973"/>
      <c r="KW141" s="973"/>
      <c r="KX141" s="973"/>
      <c r="KY141" s="973"/>
      <c r="KZ141" s="973"/>
    </row>
    <row r="142" spans="1:312" outlineLevel="4">
      <c r="A142" s="884">
        <v>1512</v>
      </c>
      <c r="B142" s="70" t="s">
        <v>710</v>
      </c>
      <c r="C142" s="980" t="s">
        <v>710</v>
      </c>
      <c r="D142" s="31"/>
      <c r="E142" s="102">
        <v>66.510222339999999</v>
      </c>
      <c r="F142" s="102">
        <v>36.393472020000004</v>
      </c>
      <c r="G142" s="102">
        <v>45.757386020000006</v>
      </c>
      <c r="H142" s="102">
        <v>48.221498020000006</v>
      </c>
      <c r="I142" s="102">
        <v>14.452400000000001</v>
      </c>
      <c r="J142" s="102">
        <v>15.2224</v>
      </c>
      <c r="K142" s="102">
        <v>15.4724</v>
      </c>
      <c r="L142" s="102">
        <v>17.465236000000001</v>
      </c>
      <c r="M142" s="102">
        <v>18.561696000000001</v>
      </c>
      <c r="N142" s="102">
        <v>55.097169000000001</v>
      </c>
      <c r="O142" s="102">
        <v>38.267189000000002</v>
      </c>
      <c r="P142" s="102">
        <v>51.636429</v>
      </c>
      <c r="Q142" s="102">
        <v>71.018700999999993</v>
      </c>
      <c r="R142" s="102">
        <v>72.840373</v>
      </c>
      <c r="S142" s="102">
        <v>74.970372999999995</v>
      </c>
      <c r="T142" s="102">
        <v>75.146372999999997</v>
      </c>
      <c r="U142" s="102">
        <v>36.811498</v>
      </c>
      <c r="V142" s="102">
        <v>37.249432609999999</v>
      </c>
      <c r="W142" s="102">
        <v>37.509432619999998</v>
      </c>
      <c r="X142" s="102">
        <v>53.201476539999994</v>
      </c>
      <c r="Y142" s="102">
        <v>53.233276540000006</v>
      </c>
      <c r="Z142" s="102">
        <v>53.233276540000006</v>
      </c>
      <c r="AA142" s="102">
        <v>8.1199999999999992</v>
      </c>
      <c r="AB142" s="102">
        <v>8.1199999999999992</v>
      </c>
      <c r="AC142" s="102">
        <v>8.1199999999999992</v>
      </c>
      <c r="AD142" s="102">
        <v>8.1199999999999992</v>
      </c>
      <c r="AE142" s="102">
        <v>8.1199999999999992</v>
      </c>
      <c r="AF142" s="102">
        <v>8.1199999999999992</v>
      </c>
      <c r="AG142" s="102">
        <v>8.1199999999999992</v>
      </c>
      <c r="AH142" s="102">
        <v>8.1199999999999992</v>
      </c>
      <c r="AI142" s="102">
        <v>8.1199999999999992</v>
      </c>
      <c r="AJ142" s="102">
        <v>8.1199999999999992</v>
      </c>
      <c r="AK142" s="102">
        <v>8.1199999999999992</v>
      </c>
      <c r="AL142" s="102">
        <v>13.054271999999999</v>
      </c>
      <c r="AM142" s="102">
        <v>13.689471999999999</v>
      </c>
      <c r="AN142" s="102">
        <v>14.292748</v>
      </c>
      <c r="AO142" s="102">
        <v>14.292748</v>
      </c>
      <c r="AP142" s="145">
        <v>14.292748</v>
      </c>
      <c r="AQ142" s="220">
        <v>14.292748</v>
      </c>
      <c r="AR142" s="220">
        <v>14.292748</v>
      </c>
      <c r="AS142" s="102">
        <v>14.292748</v>
      </c>
      <c r="AT142" s="102">
        <v>14.292748</v>
      </c>
      <c r="AU142" s="102">
        <v>14.292748</v>
      </c>
      <c r="AV142" s="102">
        <v>14.292748</v>
      </c>
      <c r="AW142" s="102">
        <v>14.292748</v>
      </c>
      <c r="AX142" s="102">
        <v>36.918548000000001</v>
      </c>
      <c r="AY142" s="102">
        <v>36.918548000000001</v>
      </c>
      <c r="AZ142" s="102">
        <v>15.2828</v>
      </c>
      <c r="BA142" s="102">
        <v>15.2828</v>
      </c>
      <c r="BB142" s="102">
        <v>15.2828</v>
      </c>
      <c r="BC142" s="102">
        <v>15.2828</v>
      </c>
      <c r="BD142" s="102">
        <v>15.2828</v>
      </c>
      <c r="BE142" s="102">
        <v>208.47597825</v>
      </c>
      <c r="BF142" s="102">
        <v>208.47597825</v>
      </c>
      <c r="BG142" s="102">
        <v>208.47597825</v>
      </c>
      <c r="BH142" s="102">
        <v>208.47597825</v>
      </c>
      <c r="BI142" s="102">
        <v>15.2828</v>
      </c>
      <c r="BJ142" s="102">
        <v>15.2828</v>
      </c>
      <c r="BK142" s="102">
        <v>15.2828</v>
      </c>
      <c r="BL142" s="102">
        <v>38.687075999999998</v>
      </c>
      <c r="BM142" s="102">
        <v>374.70846799999998</v>
      </c>
      <c r="BN142" s="146">
        <v>381.393888</v>
      </c>
      <c r="BO142" s="102">
        <v>418.92171497000004</v>
      </c>
      <c r="BP142" s="102">
        <v>452.93294397000005</v>
      </c>
      <c r="BQ142" s="102">
        <v>480.38053102999999</v>
      </c>
      <c r="BR142" s="102">
        <v>516.74881602999994</v>
      </c>
      <c r="BS142" s="102">
        <v>550.86026602999993</v>
      </c>
      <c r="BT142" s="102">
        <v>563.37679380999998</v>
      </c>
      <c r="BU142" s="102">
        <v>587.01019380999992</v>
      </c>
      <c r="BV142" s="102">
        <v>612.73624503999997</v>
      </c>
      <c r="BW142" s="102">
        <v>683.81749276999994</v>
      </c>
      <c r="BX142" s="102">
        <v>761.81276682999999</v>
      </c>
      <c r="BY142" s="102">
        <v>-4.0000000000000003E-7</v>
      </c>
      <c r="BZ142" s="102">
        <v>1.8E-7</v>
      </c>
      <c r="CA142" s="102">
        <v>1.8E-7</v>
      </c>
      <c r="CB142" s="102">
        <v>8.97656718</v>
      </c>
      <c r="CC142" s="102">
        <v>12.76400093</v>
      </c>
      <c r="CD142" s="102">
        <v>9.3999999999999989E-7</v>
      </c>
      <c r="CE142" s="102">
        <v>1.5322386299999999</v>
      </c>
      <c r="CF142" s="102">
        <v>10.41223832</v>
      </c>
      <c r="CG142" s="102">
        <v>16.208736250000001</v>
      </c>
      <c r="CH142" s="102">
        <v>11.96105835</v>
      </c>
      <c r="CI142" s="102">
        <v>88.063358709999989</v>
      </c>
      <c r="CJ142" s="102">
        <v>50.710720119999998</v>
      </c>
      <c r="CK142" s="102">
        <v>44.620721359999997</v>
      </c>
      <c r="CL142" s="102">
        <v>65.170916359999993</v>
      </c>
      <c r="CM142" s="102">
        <v>34.540645359999999</v>
      </c>
      <c r="CN142" s="102">
        <v>38.475645360000001</v>
      </c>
      <c r="CO142" s="102">
        <v>88.476646360000004</v>
      </c>
      <c r="CP142" s="102">
        <v>35.307845360000002</v>
      </c>
      <c r="CQ142" s="102">
        <v>59.132776360000001</v>
      </c>
      <c r="CR142" s="102">
        <v>55.422294360000002</v>
      </c>
      <c r="CS142" s="102">
        <v>37.099024360000001</v>
      </c>
      <c r="CT142" s="102">
        <v>31.448856360000001</v>
      </c>
      <c r="CU142" s="102">
        <v>30.790208360000001</v>
      </c>
      <c r="CV142" s="102">
        <v>4.2750379299999999</v>
      </c>
      <c r="CW142" s="102">
        <v>7.80239993</v>
      </c>
      <c r="CX142" s="102">
        <v>19.900399929999999</v>
      </c>
      <c r="CY142" s="102">
        <v>7.1409379299999998</v>
      </c>
      <c r="CZ142" s="102">
        <v>7.1409379299999998</v>
      </c>
      <c r="DA142" s="102">
        <v>20.45323793</v>
      </c>
      <c r="DB142" s="102">
        <v>23.23823793</v>
      </c>
      <c r="DC142" s="102">
        <v>-18.987160070000002</v>
      </c>
      <c r="DD142" s="102">
        <v>42.077971929999997</v>
      </c>
      <c r="DE142" s="102">
        <v>44.04783793</v>
      </c>
      <c r="DF142" s="102">
        <v>24.943111930000001</v>
      </c>
      <c r="DG142" s="102">
        <v>20.378436929999999</v>
      </c>
      <c r="DH142" s="102">
        <v>30.52483793</v>
      </c>
      <c r="DJ142" s="102" t="e">
        <v>#VALUE!</v>
      </c>
      <c r="DK142" s="102" t="e">
        <v>#VALUE!</v>
      </c>
      <c r="DL142" s="102" t="e">
        <v>#VALUE!</v>
      </c>
      <c r="DM142" s="102" t="e">
        <v>#VALUE!</v>
      </c>
      <c r="DN142" s="102" t="e">
        <v>#VALUE!</v>
      </c>
      <c r="DO142" s="102" t="e">
        <v>#VALUE!</v>
      </c>
      <c r="DP142" s="102" t="e">
        <v>#VALUE!</v>
      </c>
      <c r="DQ142" s="102" t="e">
        <v>#VALUE!</v>
      </c>
      <c r="DR142" s="102" t="e">
        <v>#VALUE!</v>
      </c>
      <c r="DS142" s="102" t="e">
        <v>#VALUE!</v>
      </c>
      <c r="DT142" s="102" t="e">
        <v>#VALUE!</v>
      </c>
      <c r="DU142" s="102" t="e">
        <v>#VALUE!</v>
      </c>
      <c r="DW142" s="102">
        <v>14.292748</v>
      </c>
      <c r="DX142" s="102">
        <v>14.292748</v>
      </c>
      <c r="DY142" s="102">
        <v>14.292748</v>
      </c>
      <c r="DZ142" s="102">
        <v>14.292748</v>
      </c>
      <c r="EA142" s="102">
        <v>14.292748</v>
      </c>
      <c r="EB142" s="102">
        <v>14.292748</v>
      </c>
      <c r="EC142" s="102">
        <v>14.292748</v>
      </c>
      <c r="ED142" s="102">
        <v>14.292748</v>
      </c>
      <c r="EE142" s="102">
        <v>14.292748</v>
      </c>
      <c r="EF142" s="102">
        <v>14.292748</v>
      </c>
      <c r="EG142" s="102">
        <v>14.292748</v>
      </c>
      <c r="EH142" s="102">
        <v>14.292748</v>
      </c>
      <c r="EI142" s="102">
        <v>21.455548</v>
      </c>
      <c r="EJ142" s="102">
        <v>21.455548</v>
      </c>
      <c r="EK142" s="102">
        <v>21.455548</v>
      </c>
      <c r="EL142" s="102">
        <v>21.455548</v>
      </c>
      <c r="EM142" s="102">
        <v>21.455548</v>
      </c>
      <c r="EN142" s="102">
        <v>21.455548</v>
      </c>
      <c r="EO142" s="102">
        <v>21.455548</v>
      </c>
      <c r="EP142" s="102">
        <v>21.455548</v>
      </c>
      <c r="EQ142" s="102">
        <v>21.455548</v>
      </c>
      <c r="ER142" s="102">
        <v>21.455548</v>
      </c>
      <c r="ES142" s="102">
        <v>21.455548</v>
      </c>
      <c r="ET142" s="102">
        <v>21.455548</v>
      </c>
      <c r="EU142" s="102">
        <v>38.687075999999998</v>
      </c>
      <c r="EV142" s="102">
        <v>63.523403999999999</v>
      </c>
      <c r="EW142" s="102">
        <v>63.523403999999999</v>
      </c>
      <c r="EX142" s="102">
        <v>63.523403999999999</v>
      </c>
      <c r="EY142" s="102">
        <v>63.523403999999999</v>
      </c>
      <c r="EZ142" s="102">
        <v>63.523403999999999</v>
      </c>
      <c r="FA142" s="102">
        <v>63.523403999999999</v>
      </c>
      <c r="FB142" s="102">
        <v>63.523403999999999</v>
      </c>
      <c r="FC142" s="102">
        <v>63.523403999999999</v>
      </c>
      <c r="FD142" s="102">
        <v>63.523403999999999</v>
      </c>
      <c r="FE142" s="102">
        <v>63.523403999999999</v>
      </c>
      <c r="FF142" s="102">
        <v>63.523403999999999</v>
      </c>
      <c r="FG142" s="102" t="e">
        <v>#VALUE!</v>
      </c>
      <c r="FH142" s="102" t="e">
        <v>#VALUE!</v>
      </c>
      <c r="FI142" s="102" t="e">
        <v>#VALUE!</v>
      </c>
      <c r="FJ142" s="102" t="e">
        <v>#VALUE!</v>
      </c>
      <c r="FK142" s="102" t="e">
        <v>#VALUE!</v>
      </c>
      <c r="FL142" s="102" t="e">
        <v>#VALUE!</v>
      </c>
      <c r="FM142" s="102" t="e">
        <v>#VALUE!</v>
      </c>
      <c r="FN142" s="102" t="e">
        <v>#VALUE!</v>
      </c>
      <c r="FO142" s="102" t="e">
        <v>#VALUE!</v>
      </c>
      <c r="FP142" s="102" t="e">
        <v>#VALUE!</v>
      </c>
      <c r="FQ142" s="102" t="e">
        <v>#VALUE!</v>
      </c>
      <c r="FR142" s="102" t="e">
        <v>#VALUE!</v>
      </c>
      <c r="FS142" s="102" t="e">
        <v>#VALUE!</v>
      </c>
      <c r="FT142" s="102" t="e">
        <v>#VALUE!</v>
      </c>
      <c r="FU142" s="102" t="e">
        <v>#VALUE!</v>
      </c>
      <c r="FV142" s="102" t="e">
        <v>#VALUE!</v>
      </c>
      <c r="FW142" s="102" t="e">
        <v>#VALUE!</v>
      </c>
      <c r="FX142" s="102" t="e">
        <v>#VALUE!</v>
      </c>
      <c r="FY142" s="102" t="e">
        <v>#VALUE!</v>
      </c>
      <c r="FZ142" s="102" t="e">
        <v>#VALUE!</v>
      </c>
      <c r="GA142" s="102" t="e">
        <v>#VALUE!</v>
      </c>
      <c r="GB142" s="102" t="e">
        <v>#VALUE!</v>
      </c>
      <c r="GC142" s="102" t="e">
        <v>#VALUE!</v>
      </c>
      <c r="GD142" s="102" t="e">
        <v>#VALUE!</v>
      </c>
      <c r="GF142" s="102">
        <f t="shared" si="458"/>
        <v>51.636429</v>
      </c>
      <c r="GG142" s="102">
        <f t="shared" si="458"/>
        <v>8.1199999999999992</v>
      </c>
      <c r="GH142" s="102">
        <f t="shared" si="458"/>
        <v>14.292748</v>
      </c>
      <c r="GI142" s="102">
        <f t="shared" si="458"/>
        <v>15.2828</v>
      </c>
      <c r="GJ142" s="102">
        <f t="shared" si="434"/>
        <v>38.687075999999998</v>
      </c>
      <c r="GK142" s="102">
        <f t="shared" si="407"/>
        <v>761.81276682999999</v>
      </c>
      <c r="GL142" s="102">
        <f t="shared" si="435"/>
        <v>50.710720119999998</v>
      </c>
      <c r="GM142" s="102">
        <f t="shared" si="408"/>
        <v>4.2750379299999999</v>
      </c>
      <c r="GN142" s="102" t="e">
        <f t="shared" si="409"/>
        <v>#VALUE!</v>
      </c>
      <c r="GO142" s="102">
        <v>30.52483793</v>
      </c>
      <c r="GQ142" s="929">
        <f t="shared" si="459"/>
        <v>0.76019064039408879</v>
      </c>
      <c r="GR142" s="929">
        <f t="shared" si="459"/>
        <v>6.9269534452017334E-2</v>
      </c>
      <c r="GS142" s="929">
        <f t="shared" si="459"/>
        <v>1.5314128301096654</v>
      </c>
      <c r="GT142" s="929">
        <f t="shared" si="459"/>
        <v>18.691660512932021</v>
      </c>
      <c r="GU142" s="929">
        <f t="shared" si="459"/>
        <v>-0.93343414244550693</v>
      </c>
      <c r="GV142" s="929">
        <f t="shared" si="459"/>
        <v>-0.91569755034273415</v>
      </c>
      <c r="GW142" s="929" t="str">
        <f t="shared" si="459"/>
        <v/>
      </c>
      <c r="GX142" s="929" t="str">
        <f t="shared" si="459"/>
        <v/>
      </c>
      <c r="GY142" s="929">
        <f t="shared" si="492"/>
        <v>6.1402496141127809</v>
      </c>
      <c r="HA142" s="102">
        <f t="shared" si="460"/>
        <v>6.1727480000000003</v>
      </c>
      <c r="HB142" s="102">
        <f t="shared" si="460"/>
        <v>0.99005200000000038</v>
      </c>
      <c r="HC142" s="102">
        <f t="shared" si="460"/>
        <v>23.404275999999996</v>
      </c>
      <c r="HD142" s="102">
        <f t="shared" si="460"/>
        <v>723.12569082999994</v>
      </c>
      <c r="HE142" s="102">
        <f t="shared" si="460"/>
        <v>-711.10204670999997</v>
      </c>
      <c r="HF142" s="102">
        <f t="shared" si="460"/>
        <v>-46.435682189999994</v>
      </c>
      <c r="HG142" s="102" t="e">
        <f t="shared" si="460"/>
        <v>#VALUE!</v>
      </c>
      <c r="HH142" s="102" t="e">
        <f t="shared" si="460"/>
        <v>#VALUE!</v>
      </c>
      <c r="HI142" s="102">
        <f t="shared" si="493"/>
        <v>26.2498</v>
      </c>
      <c r="HK142" s="973"/>
      <c r="HL142" s="973"/>
      <c r="HM142" s="973"/>
      <c r="HN142" s="973"/>
      <c r="HO142" s="973"/>
      <c r="HP142" s="973"/>
      <c r="HQ142" s="973"/>
      <c r="HR142" s="973"/>
      <c r="HS142" s="973"/>
      <c r="HU142" s="102">
        <f t="shared" si="461"/>
        <v>15.2224</v>
      </c>
      <c r="HV142" s="102">
        <f t="shared" si="461"/>
        <v>37.249432609999999</v>
      </c>
      <c r="HW142" s="102">
        <f t="shared" si="461"/>
        <v>8.1199999999999992</v>
      </c>
      <c r="HX142" s="102">
        <f t="shared" si="461"/>
        <v>14.292748</v>
      </c>
      <c r="HY142" s="102">
        <f t="shared" si="462"/>
        <v>208.47597825</v>
      </c>
      <c r="HZ142" s="102">
        <f t="shared" si="453"/>
        <v>516.74881602999994</v>
      </c>
      <c r="IA142" s="102">
        <f t="shared" si="414"/>
        <v>9.3999999999999989E-7</v>
      </c>
      <c r="IB142" s="102">
        <f t="shared" si="415"/>
        <v>35.307845360000002</v>
      </c>
      <c r="IC142" s="102">
        <f t="shared" si="416"/>
        <v>23.23823793</v>
      </c>
      <c r="ID142" s="102" t="e">
        <f t="shared" si="417"/>
        <v>#VALUE!</v>
      </c>
      <c r="IE142" s="102" t="e">
        <f t="shared" si="463"/>
        <v>#VALUE!</v>
      </c>
      <c r="IG142" s="102" t="e">
        <f t="shared" si="464"/>
        <v>#VALUE!</v>
      </c>
      <c r="IH142" s="102" t="e">
        <f t="shared" si="465"/>
        <v>#VALUE!</v>
      </c>
      <c r="II142" s="145"/>
      <c r="IJ142" s="929" t="str">
        <f t="shared" si="466"/>
        <v>NA</v>
      </c>
      <c r="IK142" s="930" t="str">
        <f t="shared" si="467"/>
        <v>NA</v>
      </c>
      <c r="IM142" s="973"/>
      <c r="IN142" s="973"/>
      <c r="IP142" s="929">
        <f t="shared" si="477"/>
        <v>-0.78201010240837598</v>
      </c>
      <c r="IQ142" s="929">
        <f t="shared" si="477"/>
        <v>0.76019064039408879</v>
      </c>
      <c r="IR142" s="929">
        <f t="shared" si="477"/>
        <v>13.586136847161931</v>
      </c>
      <c r="IS142" s="929">
        <f t="shared" si="477"/>
        <v>1.4786971639021433</v>
      </c>
      <c r="IT142" s="929">
        <f t="shared" si="477"/>
        <v>-0.99999999818093444</v>
      </c>
      <c r="IU142" s="929">
        <f t="shared" si="477"/>
        <v>37561536.617021285</v>
      </c>
      <c r="IV142" s="929" t="str">
        <f t="shared" si="478"/>
        <v/>
      </c>
      <c r="IX142" s="102">
        <f t="shared" si="422"/>
        <v>-29.129432610000002</v>
      </c>
      <c r="IY142" s="102">
        <f t="shared" si="422"/>
        <v>6.1727480000000003</v>
      </c>
      <c r="IZ142" s="102">
        <f t="shared" si="422"/>
        <v>194.18323025000001</v>
      </c>
      <c r="JA142" s="102">
        <f t="shared" si="422"/>
        <v>308.27283777999992</v>
      </c>
      <c r="JB142" s="102">
        <f t="shared" si="422"/>
        <v>-516.74881508999999</v>
      </c>
      <c r="JC142" s="102">
        <f t="shared" si="422"/>
        <v>35.307844420000002</v>
      </c>
      <c r="JD142" s="102" t="e">
        <f t="shared" si="423"/>
        <v>#VALUE!</v>
      </c>
      <c r="JF142" s="973"/>
      <c r="JG142" s="973"/>
      <c r="JH142" s="973"/>
      <c r="JI142" s="973"/>
      <c r="JJ142" s="973"/>
      <c r="JK142" s="973"/>
      <c r="JL142" s="973"/>
      <c r="JM142" s="973"/>
      <c r="JO142" s="102">
        <f t="shared" si="494"/>
        <v>15.2224</v>
      </c>
      <c r="JP142" s="102">
        <f t="shared" si="494"/>
        <v>37.249432609999999</v>
      </c>
      <c r="JQ142" s="102">
        <f t="shared" si="494"/>
        <v>8.1199999999999992</v>
      </c>
      <c r="JR142" s="102">
        <f t="shared" si="494"/>
        <v>14.292748</v>
      </c>
      <c r="JS142" s="102">
        <f t="shared" si="494"/>
        <v>208.47597825</v>
      </c>
      <c r="JT142" s="102">
        <f t="shared" si="425"/>
        <v>516.74881602999994</v>
      </c>
      <c r="JU142" s="102">
        <f t="shared" si="426"/>
        <v>9.3999999999999989E-7</v>
      </c>
      <c r="JV142" s="102">
        <f t="shared" si="470"/>
        <v>35.307845360000002</v>
      </c>
      <c r="JW142" s="102">
        <f t="shared" si="470"/>
        <v>23.23823793</v>
      </c>
      <c r="JX142" s="102" t="e">
        <f t="shared" si="428"/>
        <v>#VALUE!</v>
      </c>
      <c r="JY142" s="102" t="e">
        <f t="shared" si="471"/>
        <v>#VALUE!</v>
      </c>
      <c r="KB142" s="32">
        <f t="shared" si="472"/>
        <v>-0.78201010240837598</v>
      </c>
      <c r="KC142" s="32">
        <f t="shared" si="472"/>
        <v>0.76019064039408879</v>
      </c>
      <c r="KD142" s="32">
        <f t="shared" si="472"/>
        <v>13.586136847161931</v>
      </c>
      <c r="KE142" s="32">
        <f t="shared" si="472"/>
        <v>1.4786971639021433</v>
      </c>
      <c r="KF142" s="32">
        <f t="shared" si="472"/>
        <v>-0.99999999818093444</v>
      </c>
      <c r="KG142" s="32">
        <f t="shared" si="472"/>
        <v>37561536.617021285</v>
      </c>
      <c r="KH142" s="32" t="str">
        <f t="shared" si="431"/>
        <v xml:space="preserve"> </v>
      </c>
      <c r="KJ142" s="102">
        <f t="shared" si="473"/>
        <v>-29.129432610000002</v>
      </c>
      <c r="KK142" s="102">
        <f t="shared" si="473"/>
        <v>6.1727480000000003</v>
      </c>
      <c r="KL142" s="102">
        <f t="shared" si="473"/>
        <v>194.18323025000001</v>
      </c>
      <c r="KM142" s="102">
        <f t="shared" si="473"/>
        <v>308.27283777999992</v>
      </c>
      <c r="KN142" s="102">
        <f t="shared" si="473"/>
        <v>-516.74881508999999</v>
      </c>
      <c r="KO142" s="102">
        <f t="shared" si="473"/>
        <v>35.307844420000002</v>
      </c>
      <c r="KP142" s="102" t="e">
        <f t="shared" si="433"/>
        <v>#VALUE!</v>
      </c>
      <c r="KR142" s="973"/>
      <c r="KS142" s="973"/>
      <c r="KT142" s="973"/>
      <c r="KU142" s="973"/>
      <c r="KV142" s="973"/>
      <c r="KW142" s="973"/>
      <c r="KX142" s="973"/>
      <c r="KY142" s="973"/>
      <c r="KZ142" s="973"/>
    </row>
    <row r="143" spans="1:312" outlineLevel="4">
      <c r="A143" s="884">
        <v>1520</v>
      </c>
      <c r="B143" s="70" t="s">
        <v>711</v>
      </c>
      <c r="C143" s="980" t="s">
        <v>711</v>
      </c>
      <c r="D143" s="31"/>
      <c r="E143" s="102">
        <v>2160.9544532800001</v>
      </c>
      <c r="F143" s="102">
        <v>2212.9106642800002</v>
      </c>
      <c r="G143" s="102">
        <v>2298.0572462800001</v>
      </c>
      <c r="H143" s="102">
        <v>2373.5554162800004</v>
      </c>
      <c r="I143" s="102">
        <v>2391.7298112800004</v>
      </c>
      <c r="J143" s="102">
        <v>2429.0841947199997</v>
      </c>
      <c r="K143" s="102">
        <v>2435.6968907199998</v>
      </c>
      <c r="L143" s="102">
        <v>2466.5822677199999</v>
      </c>
      <c r="M143" s="102">
        <v>2469.1342677199996</v>
      </c>
      <c r="N143" s="102">
        <v>2460.0249387199997</v>
      </c>
      <c r="O143" s="102">
        <v>2463.14504872</v>
      </c>
      <c r="P143" s="102">
        <v>2512.42669372</v>
      </c>
      <c r="Q143" s="102">
        <v>2517.6285067200001</v>
      </c>
      <c r="R143" s="102">
        <v>2573.1831934900006</v>
      </c>
      <c r="S143" s="102">
        <v>2593.2005454900004</v>
      </c>
      <c r="T143" s="102">
        <v>2662.5042547800003</v>
      </c>
      <c r="U143" s="102">
        <v>2675.9824449000002</v>
      </c>
      <c r="V143" s="102">
        <v>2692.4248533</v>
      </c>
      <c r="W143" s="102">
        <v>2742.2936560000003</v>
      </c>
      <c r="X143" s="102">
        <v>2752.3580780000002</v>
      </c>
      <c r="Y143" s="102">
        <v>2902.5019283000001</v>
      </c>
      <c r="Z143" s="102">
        <v>2907.3547883000001</v>
      </c>
      <c r="AA143" s="102">
        <v>2724.2915043799999</v>
      </c>
      <c r="AB143" s="102">
        <v>2600.1057146100002</v>
      </c>
      <c r="AC143" s="102">
        <v>2603.7557126199999</v>
      </c>
      <c r="AD143" s="102">
        <v>2610.5822952200001</v>
      </c>
      <c r="AE143" s="102">
        <v>2620.8686158599999</v>
      </c>
      <c r="AF143" s="102">
        <v>2497.05042886</v>
      </c>
      <c r="AG143" s="102">
        <v>2520.0712088600003</v>
      </c>
      <c r="AH143" s="102">
        <v>2681.5615178600001</v>
      </c>
      <c r="AI143" s="102">
        <v>2716.6006402600001</v>
      </c>
      <c r="AJ143" s="102">
        <v>2775.1043245400001</v>
      </c>
      <c r="AK143" s="102">
        <v>2814.7386313400002</v>
      </c>
      <c r="AL143" s="102">
        <v>2892.3902943400003</v>
      </c>
      <c r="AM143" s="102">
        <v>2898.8993923400003</v>
      </c>
      <c r="AN143" s="102">
        <v>3791.4980131999996</v>
      </c>
      <c r="AO143" s="102">
        <v>3787.79694152</v>
      </c>
      <c r="AP143" s="145">
        <v>3787.79694152</v>
      </c>
      <c r="AQ143" s="220">
        <v>3786.8686015200001</v>
      </c>
      <c r="AR143" s="220">
        <v>3809.974737</v>
      </c>
      <c r="AS143" s="102">
        <v>4025.4098080600002</v>
      </c>
      <c r="AT143" s="102">
        <v>4065.5535330600001</v>
      </c>
      <c r="AU143" s="102">
        <v>4073.2700479800001</v>
      </c>
      <c r="AV143" s="102">
        <v>4132.7900005299998</v>
      </c>
      <c r="AW143" s="102">
        <v>4349.9760927700008</v>
      </c>
      <c r="AX143" s="102">
        <v>4329.3860927700007</v>
      </c>
      <c r="AY143" s="102">
        <v>4579.4862957700007</v>
      </c>
      <c r="AZ143" s="102">
        <v>5030.3900000000003</v>
      </c>
      <c r="BA143" s="102">
        <v>5030.3904319799994</v>
      </c>
      <c r="BB143" s="102">
        <v>5040.6176319799997</v>
      </c>
      <c r="BC143" s="102">
        <v>5040.6176319799997</v>
      </c>
      <c r="BD143" s="102">
        <v>5040.6176319799997</v>
      </c>
      <c r="BE143" s="102">
        <v>4999.5950559799994</v>
      </c>
      <c r="BF143" s="102">
        <v>5018.2634177299997</v>
      </c>
      <c r="BG143" s="102">
        <v>5025.1564017299997</v>
      </c>
      <c r="BH143" s="102">
        <v>5025.1564017299997</v>
      </c>
      <c r="BI143" s="102">
        <v>5218.3495799799994</v>
      </c>
      <c r="BJ143" s="102">
        <v>5219.3476439799997</v>
      </c>
      <c r="BK143" s="102">
        <v>5219.3476439799997</v>
      </c>
      <c r="BL143" s="102">
        <v>5220.7940439799995</v>
      </c>
      <c r="BM143" s="102">
        <v>4786.6276629799995</v>
      </c>
      <c r="BN143" s="102">
        <v>4786.6276629799995</v>
      </c>
      <c r="BO143" s="102">
        <v>4786.6276629799995</v>
      </c>
      <c r="BP143" s="102">
        <v>4786.6276629799995</v>
      </c>
      <c r="BQ143" s="102">
        <v>4786.6276629799995</v>
      </c>
      <c r="BR143" s="102">
        <v>4786.6276629799995</v>
      </c>
      <c r="BS143" s="102">
        <v>4786.6276629799995</v>
      </c>
      <c r="BT143" s="102">
        <v>4786.6276629799995</v>
      </c>
      <c r="BU143" s="102">
        <v>4786.6276629799995</v>
      </c>
      <c r="BV143" s="102">
        <v>4786.6276629799995</v>
      </c>
      <c r="BW143" s="102">
        <v>4786.6276629799995</v>
      </c>
      <c r="BX143" s="102">
        <v>4786.6276629799995</v>
      </c>
      <c r="BY143" s="102">
        <v>5780.3931549999998</v>
      </c>
      <c r="BZ143" s="102">
        <v>5918.6899629999998</v>
      </c>
      <c r="CA143" s="102">
        <v>6105.0509009999996</v>
      </c>
      <c r="CB143" s="102">
        <v>6122.6495530000002</v>
      </c>
      <c r="CC143" s="102">
        <v>6141.5493500000002</v>
      </c>
      <c r="CD143" s="102">
        <v>6151.858502</v>
      </c>
      <c r="CE143" s="102">
        <v>6195.6566190000003</v>
      </c>
      <c r="CF143" s="102">
        <v>6234.4688779999997</v>
      </c>
      <c r="CG143" s="102">
        <v>6311.2249769999999</v>
      </c>
      <c r="CH143" s="102">
        <v>6454.1156739999997</v>
      </c>
      <c r="CI143" s="102">
        <v>6618.0103170000002</v>
      </c>
      <c r="CJ143" s="102">
        <v>6714.851122</v>
      </c>
      <c r="CK143" s="102">
        <v>6732.1588739999997</v>
      </c>
      <c r="CL143" s="102">
        <v>6788.3951030799999</v>
      </c>
      <c r="CM143" s="102">
        <v>6815.0931081000008</v>
      </c>
      <c r="CN143" s="102">
        <v>6845.9529863500002</v>
      </c>
      <c r="CO143" s="102">
        <v>6866.7352818999998</v>
      </c>
      <c r="CP143" s="102">
        <v>7052.2799941700005</v>
      </c>
      <c r="CQ143" s="102">
        <v>7095.1880866299998</v>
      </c>
      <c r="CR143" s="102">
        <v>7147.1283016000007</v>
      </c>
      <c r="CS143" s="102">
        <v>7096.3203983599997</v>
      </c>
      <c r="CT143" s="102">
        <v>7202.3121781</v>
      </c>
      <c r="CU143" s="102">
        <v>7284.5197983299995</v>
      </c>
      <c r="CV143" s="102">
        <v>7395.6308128599994</v>
      </c>
      <c r="CW143" s="102">
        <v>7402.6392508599993</v>
      </c>
      <c r="CX143" s="102">
        <v>7460.0105218599992</v>
      </c>
      <c r="CY143" s="102">
        <v>7503.9891808599996</v>
      </c>
      <c r="CZ143" s="102">
        <v>7504.8829898599997</v>
      </c>
      <c r="DA143" s="102">
        <v>7511.02229506</v>
      </c>
      <c r="DB143" s="102">
        <v>7420.5298212299995</v>
      </c>
      <c r="DC143" s="102">
        <v>7426.2225432299992</v>
      </c>
      <c r="DD143" s="102">
        <v>7372.8341032299995</v>
      </c>
      <c r="DE143" s="102">
        <v>7403.12872823</v>
      </c>
      <c r="DF143" s="102">
        <v>7416.2377342299997</v>
      </c>
      <c r="DG143" s="102">
        <v>7452.0096992299996</v>
      </c>
      <c r="DH143" s="102">
        <v>7460.2359242299999</v>
      </c>
      <c r="DJ143" s="102" t="e">
        <v>#VALUE!</v>
      </c>
      <c r="DK143" s="102" t="e">
        <v>#VALUE!</v>
      </c>
      <c r="DL143" s="102" t="e">
        <v>#VALUE!</v>
      </c>
      <c r="DM143" s="102" t="e">
        <v>#VALUE!</v>
      </c>
      <c r="DN143" s="102" t="e">
        <v>#VALUE!</v>
      </c>
      <c r="DO143" s="102" t="e">
        <v>#VALUE!</v>
      </c>
      <c r="DP143" s="102" t="e">
        <v>#VALUE!</v>
      </c>
      <c r="DQ143" s="102" t="e">
        <v>#VALUE!</v>
      </c>
      <c r="DR143" s="102" t="e">
        <v>#VALUE!</v>
      </c>
      <c r="DS143" s="102" t="e">
        <v>#VALUE!</v>
      </c>
      <c r="DT143" s="102" t="e">
        <v>#VALUE!</v>
      </c>
      <c r="DU143" s="102" t="e">
        <v>#VALUE!</v>
      </c>
      <c r="DW143" s="102">
        <v>2867.2463926999999</v>
      </c>
      <c r="DX143" s="102">
        <v>3295.4265587</v>
      </c>
      <c r="DY143" s="102">
        <v>3642.2017803666663</v>
      </c>
      <c r="DZ143" s="102">
        <v>3717.1184470333328</v>
      </c>
      <c r="EA143" s="102">
        <v>3788.3851136999992</v>
      </c>
      <c r="EB143" s="102">
        <v>3844.3517803666659</v>
      </c>
      <c r="EC143" s="102">
        <v>3943.1184470333324</v>
      </c>
      <c r="ED143" s="102">
        <v>4008.4851136999987</v>
      </c>
      <c r="EE143" s="102">
        <v>4074.8517803666655</v>
      </c>
      <c r="EF143" s="102">
        <v>4172.2184470333323</v>
      </c>
      <c r="EG143" s="102">
        <v>4247.9851136999987</v>
      </c>
      <c r="EH143" s="102">
        <v>4308.4517803666649</v>
      </c>
      <c r="EI143" s="102">
        <v>4457.9470911999997</v>
      </c>
      <c r="EJ143" s="102">
        <v>4463.7562612000002</v>
      </c>
      <c r="EK143" s="102">
        <v>4475.9654312000002</v>
      </c>
      <c r="EL143" s="102">
        <v>4481.7746011999998</v>
      </c>
      <c r="EM143" s="102">
        <v>4487.5837712000002</v>
      </c>
      <c r="EN143" s="102">
        <v>4531.8929411999998</v>
      </c>
      <c r="EO143" s="102">
        <v>4568.7021112000002</v>
      </c>
      <c r="EP143" s="102">
        <v>4595.5112811999998</v>
      </c>
      <c r="EQ143" s="102">
        <v>4622.3204512000002</v>
      </c>
      <c r="ER143" s="102">
        <v>4634.1296211999997</v>
      </c>
      <c r="ES143" s="102">
        <v>4645.9387912000002</v>
      </c>
      <c r="ET143" s="102">
        <v>4657.7479611999997</v>
      </c>
      <c r="EU143" s="102">
        <v>5251.98721398</v>
      </c>
      <c r="EV143" s="102">
        <v>5226.60321398</v>
      </c>
      <c r="EW143" s="102">
        <v>5232.4123839799995</v>
      </c>
      <c r="EX143" s="102">
        <v>5238.22155398</v>
      </c>
      <c r="EY143" s="102">
        <v>5244.0307239799995</v>
      </c>
      <c r="EZ143" s="102">
        <v>5249.8398939799999</v>
      </c>
      <c r="FA143" s="102">
        <v>5255.6490639799995</v>
      </c>
      <c r="FB143" s="102">
        <v>5261.4582339799999</v>
      </c>
      <c r="FC143" s="102">
        <v>5267.2674039799995</v>
      </c>
      <c r="FD143" s="102">
        <v>5273.0765739799999</v>
      </c>
      <c r="FE143" s="102">
        <v>5278.8857439799995</v>
      </c>
      <c r="FF143" s="102">
        <v>5284.6949139799999</v>
      </c>
      <c r="FG143" s="102" t="e">
        <v>#VALUE!</v>
      </c>
      <c r="FH143" s="102" t="e">
        <v>#VALUE!</v>
      </c>
      <c r="FI143" s="102" t="e">
        <v>#VALUE!</v>
      </c>
      <c r="FJ143" s="102" t="e">
        <v>#VALUE!</v>
      </c>
      <c r="FK143" s="102" t="e">
        <v>#VALUE!</v>
      </c>
      <c r="FL143" s="102" t="e">
        <v>#VALUE!</v>
      </c>
      <c r="FM143" s="102" t="e">
        <v>#VALUE!</v>
      </c>
      <c r="FN143" s="102" t="e">
        <v>#VALUE!</v>
      </c>
      <c r="FO143" s="102" t="e">
        <v>#VALUE!</v>
      </c>
      <c r="FP143" s="102" t="e">
        <v>#VALUE!</v>
      </c>
      <c r="FQ143" s="102" t="e">
        <v>#VALUE!</v>
      </c>
      <c r="FR143" s="102" t="e">
        <v>#VALUE!</v>
      </c>
      <c r="FS143" s="102" t="e">
        <v>#VALUE!</v>
      </c>
      <c r="FT143" s="102" t="e">
        <v>#VALUE!</v>
      </c>
      <c r="FU143" s="102" t="e">
        <v>#VALUE!</v>
      </c>
      <c r="FV143" s="102" t="e">
        <v>#VALUE!</v>
      </c>
      <c r="FW143" s="102" t="e">
        <v>#VALUE!</v>
      </c>
      <c r="FX143" s="102" t="e">
        <v>#VALUE!</v>
      </c>
      <c r="FY143" s="102" t="e">
        <v>#VALUE!</v>
      </c>
      <c r="FZ143" s="102" t="e">
        <v>#VALUE!</v>
      </c>
      <c r="GA143" s="102" t="e">
        <v>#VALUE!</v>
      </c>
      <c r="GB143" s="102" t="e">
        <v>#VALUE!</v>
      </c>
      <c r="GC143" s="102" t="e">
        <v>#VALUE!</v>
      </c>
      <c r="GD143" s="102" t="e">
        <v>#VALUE!</v>
      </c>
      <c r="GF143" s="102">
        <f t="shared" si="458"/>
        <v>2512.42669372</v>
      </c>
      <c r="GG143" s="102">
        <f t="shared" si="458"/>
        <v>2600.1057146100002</v>
      </c>
      <c r="GH143" s="102">
        <f t="shared" si="458"/>
        <v>3791.4980131999996</v>
      </c>
      <c r="GI143" s="102">
        <f t="shared" si="458"/>
        <v>5030.3900000000003</v>
      </c>
      <c r="GJ143" s="102">
        <f t="shared" si="434"/>
        <v>5220.7940439799995</v>
      </c>
      <c r="GK143" s="102">
        <f t="shared" si="407"/>
        <v>4786.6276629799995</v>
      </c>
      <c r="GL143" s="102">
        <f t="shared" si="435"/>
        <v>6714.851122</v>
      </c>
      <c r="GM143" s="102">
        <f t="shared" si="408"/>
        <v>7395.6308128599994</v>
      </c>
      <c r="GN143" s="102" t="e">
        <f t="shared" si="409"/>
        <v>#VALUE!</v>
      </c>
      <c r="GO143" s="102">
        <v>7460.2359242299999</v>
      </c>
      <c r="GQ143" s="929">
        <f t="shared" si="459"/>
        <v>0.45820917660984439</v>
      </c>
      <c r="GR143" s="929">
        <f t="shared" si="459"/>
        <v>0.32675527785767811</v>
      </c>
      <c r="GS143" s="929">
        <f t="shared" si="459"/>
        <v>3.7850751925794901E-2</v>
      </c>
      <c r="GT143" s="929">
        <f t="shared" si="459"/>
        <v>-8.3160986114866775E-2</v>
      </c>
      <c r="GU143" s="929">
        <f t="shared" si="459"/>
        <v>0.40283548142525683</v>
      </c>
      <c r="GV143" s="929">
        <f t="shared" si="459"/>
        <v>0.10138418238783387</v>
      </c>
      <c r="GW143" s="929" t="str">
        <f t="shared" si="459"/>
        <v/>
      </c>
      <c r="GX143" s="929" t="str">
        <f t="shared" si="459"/>
        <v/>
      </c>
      <c r="GY143" s="929">
        <f t="shared" si="492"/>
        <v>8.735578208915129E-3</v>
      </c>
      <c r="HA143" s="102">
        <f t="shared" si="460"/>
        <v>1191.3922985899994</v>
      </c>
      <c r="HB143" s="102">
        <f t="shared" si="460"/>
        <v>1238.8919868000007</v>
      </c>
      <c r="HC143" s="102">
        <f t="shared" si="460"/>
        <v>190.40404397999919</v>
      </c>
      <c r="HD143" s="102">
        <f t="shared" si="460"/>
        <v>-434.166381</v>
      </c>
      <c r="HE143" s="102">
        <f t="shared" si="460"/>
        <v>1928.2234590200005</v>
      </c>
      <c r="HF143" s="102">
        <f t="shared" si="460"/>
        <v>680.77969085999939</v>
      </c>
      <c r="HG143" s="102" t="e">
        <f t="shared" si="460"/>
        <v>#VALUE!</v>
      </c>
      <c r="HH143" s="102" t="e">
        <f t="shared" si="460"/>
        <v>#VALUE!</v>
      </c>
      <c r="HI143" s="102">
        <f t="shared" si="493"/>
        <v>64.605111370000486</v>
      </c>
      <c r="HK143" s="973"/>
      <c r="HL143" s="973"/>
      <c r="HM143" s="973"/>
      <c r="HN143" s="973"/>
      <c r="HO143" s="973"/>
      <c r="HP143" s="973"/>
      <c r="HQ143" s="973"/>
      <c r="HR143" s="973"/>
      <c r="HS143" s="973"/>
      <c r="HU143" s="102">
        <f t="shared" si="461"/>
        <v>2429.0841947199997</v>
      </c>
      <c r="HV143" s="102">
        <f t="shared" si="461"/>
        <v>2692.4248533</v>
      </c>
      <c r="HW143" s="102">
        <f t="shared" si="461"/>
        <v>2681.5615178600001</v>
      </c>
      <c r="HX143" s="102">
        <f t="shared" si="461"/>
        <v>4065.5535330600001</v>
      </c>
      <c r="HY143" s="102">
        <f t="shared" si="462"/>
        <v>5018.2634177299997</v>
      </c>
      <c r="HZ143" s="102">
        <f t="shared" si="453"/>
        <v>4786.6276629799995</v>
      </c>
      <c r="IA143" s="102">
        <f t="shared" si="414"/>
        <v>6151.858502</v>
      </c>
      <c r="IB143" s="102">
        <f t="shared" si="415"/>
        <v>7052.2799941700005</v>
      </c>
      <c r="IC143" s="102">
        <f t="shared" si="416"/>
        <v>7420.5298212299995</v>
      </c>
      <c r="ID143" s="102" t="e">
        <f t="shared" si="417"/>
        <v>#VALUE!</v>
      </c>
      <c r="IE143" s="102" t="e">
        <f t="shared" si="463"/>
        <v>#VALUE!</v>
      </c>
      <c r="IG143" s="102" t="e">
        <f t="shared" si="464"/>
        <v>#VALUE!</v>
      </c>
      <c r="IH143" s="102" t="e">
        <f t="shared" si="465"/>
        <v>#VALUE!</v>
      </c>
      <c r="II143" s="145"/>
      <c r="IJ143" s="929" t="str">
        <f t="shared" si="466"/>
        <v>NA</v>
      </c>
      <c r="IK143" s="930" t="str">
        <f t="shared" si="467"/>
        <v>NA</v>
      </c>
      <c r="IM143" s="973"/>
      <c r="IN143" s="973"/>
      <c r="IP143" s="929">
        <f t="shared" si="477"/>
        <v>-4.0347775822545673E-3</v>
      </c>
      <c r="IQ143" s="929">
        <f t="shared" si="477"/>
        <v>0.51611421404364588</v>
      </c>
      <c r="IR143" s="929">
        <f t="shared" si="477"/>
        <v>0.23433706552448919</v>
      </c>
      <c r="IS143" s="929">
        <f t="shared" si="477"/>
        <v>-4.6158548379825803E-2</v>
      </c>
      <c r="IT143" s="929">
        <f t="shared" si="477"/>
        <v>0.28521768040968776</v>
      </c>
      <c r="IU143" s="929">
        <f t="shared" si="477"/>
        <v>0.14636576765822373</v>
      </c>
      <c r="IV143" s="929" t="str">
        <f t="shared" si="478"/>
        <v/>
      </c>
      <c r="IX143" s="102">
        <f t="shared" si="422"/>
        <v>-10.863335439999901</v>
      </c>
      <c r="IY143" s="102">
        <f t="shared" si="422"/>
        <v>1383.9920152</v>
      </c>
      <c r="IZ143" s="102">
        <f t="shared" si="422"/>
        <v>952.70988466999961</v>
      </c>
      <c r="JA143" s="102">
        <f t="shared" si="422"/>
        <v>-231.63575475000016</v>
      </c>
      <c r="JB143" s="102">
        <f t="shared" si="422"/>
        <v>1365.2308390200005</v>
      </c>
      <c r="JC143" s="102">
        <f t="shared" si="422"/>
        <v>900.42149217000042</v>
      </c>
      <c r="JD143" s="102" t="e">
        <f t="shared" si="423"/>
        <v>#VALUE!</v>
      </c>
      <c r="JF143" s="973"/>
      <c r="JG143" s="973"/>
      <c r="JH143" s="973"/>
      <c r="JI143" s="973"/>
      <c r="JJ143" s="973"/>
      <c r="JK143" s="973"/>
      <c r="JL143" s="973"/>
      <c r="JM143" s="973"/>
      <c r="JO143" s="102">
        <f t="shared" si="494"/>
        <v>2429.0841947199997</v>
      </c>
      <c r="JP143" s="102">
        <f t="shared" si="494"/>
        <v>2692.4248533</v>
      </c>
      <c r="JQ143" s="102">
        <f t="shared" si="494"/>
        <v>2681.5615178600001</v>
      </c>
      <c r="JR143" s="102">
        <f t="shared" si="494"/>
        <v>4065.5535330600001</v>
      </c>
      <c r="JS143" s="102">
        <f t="shared" si="494"/>
        <v>5018.2634177299997</v>
      </c>
      <c r="JT143" s="102">
        <f t="shared" si="425"/>
        <v>4786.6276629799995</v>
      </c>
      <c r="JU143" s="102">
        <f t="shared" si="426"/>
        <v>6151.858502</v>
      </c>
      <c r="JV143" s="102">
        <f t="shared" si="470"/>
        <v>7052.2799941700005</v>
      </c>
      <c r="JW143" s="102">
        <f t="shared" si="470"/>
        <v>7420.5298212299995</v>
      </c>
      <c r="JX143" s="102" t="e">
        <f t="shared" si="428"/>
        <v>#VALUE!</v>
      </c>
      <c r="JY143" s="102" t="e">
        <f t="shared" si="471"/>
        <v>#VALUE!</v>
      </c>
      <c r="KB143" s="32">
        <f t="shared" si="472"/>
        <v>-4.0347775822545673E-3</v>
      </c>
      <c r="KC143" s="32">
        <f t="shared" si="472"/>
        <v>0.51611421404364588</v>
      </c>
      <c r="KD143" s="32">
        <f t="shared" si="472"/>
        <v>0.23433706552448919</v>
      </c>
      <c r="KE143" s="32">
        <f t="shared" si="472"/>
        <v>-4.6158548379825803E-2</v>
      </c>
      <c r="KF143" s="32">
        <f t="shared" si="472"/>
        <v>0.28521768040968776</v>
      </c>
      <c r="KG143" s="32">
        <f t="shared" si="472"/>
        <v>0.14636576765822373</v>
      </c>
      <c r="KH143" s="32" t="str">
        <f t="shared" si="431"/>
        <v xml:space="preserve"> </v>
      </c>
      <c r="KJ143" s="102">
        <f t="shared" si="473"/>
        <v>-10.863335439999901</v>
      </c>
      <c r="KK143" s="102">
        <f t="shared" si="473"/>
        <v>1383.9920152</v>
      </c>
      <c r="KL143" s="102">
        <f t="shared" si="473"/>
        <v>952.70988466999961</v>
      </c>
      <c r="KM143" s="102">
        <f t="shared" si="473"/>
        <v>-231.63575475000016</v>
      </c>
      <c r="KN143" s="102">
        <f t="shared" si="473"/>
        <v>1365.2308390200005</v>
      </c>
      <c r="KO143" s="102">
        <f t="shared" si="473"/>
        <v>900.42149217000042</v>
      </c>
      <c r="KP143" s="102" t="e">
        <f t="shared" si="433"/>
        <v>#VALUE!</v>
      </c>
      <c r="KR143" s="973"/>
      <c r="KS143" s="973"/>
      <c r="KT143" s="973"/>
      <c r="KU143" s="973"/>
      <c r="KV143" s="973"/>
      <c r="KW143" s="973"/>
      <c r="KX143" s="973"/>
      <c r="KY143" s="973"/>
      <c r="KZ143" s="973"/>
    </row>
    <row r="144" spans="1:312" outlineLevel="3">
      <c r="A144" s="884">
        <v>1524</v>
      </c>
      <c r="B144" s="70" t="s">
        <v>712</v>
      </c>
      <c r="C144" s="40" t="s">
        <v>128</v>
      </c>
      <c r="D144" s="31" t="s">
        <v>59</v>
      </c>
      <c r="E144" s="102">
        <v>330.08941417</v>
      </c>
      <c r="F144" s="102">
        <v>335.49965417000004</v>
      </c>
      <c r="G144" s="102">
        <v>352.51361417000004</v>
      </c>
      <c r="H144" s="102">
        <v>352.51361417000004</v>
      </c>
      <c r="I144" s="102">
        <v>357.51041416999999</v>
      </c>
      <c r="J144" s="102">
        <v>358.13681417000004</v>
      </c>
      <c r="K144" s="102">
        <v>357.51041416999999</v>
      </c>
      <c r="L144" s="102">
        <v>357.51041416999999</v>
      </c>
      <c r="M144" s="102">
        <v>359.49769717000004</v>
      </c>
      <c r="N144" s="102">
        <v>372.36589473000004</v>
      </c>
      <c r="O144" s="102">
        <v>371.97685473000001</v>
      </c>
      <c r="P144" s="102">
        <v>373.62071473000003</v>
      </c>
      <c r="Q144" s="102">
        <v>376.20003423000003</v>
      </c>
      <c r="R144" s="102">
        <v>381.64623423</v>
      </c>
      <c r="S144" s="102">
        <v>384.30880022999997</v>
      </c>
      <c r="T144" s="102">
        <v>389.29676023000002</v>
      </c>
      <c r="U144" s="102">
        <v>408.57345703000004</v>
      </c>
      <c r="V144" s="102">
        <v>408.57345703000004</v>
      </c>
      <c r="W144" s="102">
        <v>409.44603702999996</v>
      </c>
      <c r="X144" s="102">
        <v>410.39643703000002</v>
      </c>
      <c r="Y144" s="102">
        <v>410.39643703000002</v>
      </c>
      <c r="Z144" s="102">
        <v>410.39643703000002</v>
      </c>
      <c r="AA144" s="102">
        <v>397.38944930999997</v>
      </c>
      <c r="AB144" s="102">
        <v>399.82855530999996</v>
      </c>
      <c r="AC144" s="102">
        <v>403.60421610999998</v>
      </c>
      <c r="AD144" s="102">
        <v>404.53944054999999</v>
      </c>
      <c r="AE144" s="102">
        <v>404.17841611</v>
      </c>
      <c r="AF144" s="102">
        <v>308.20563811</v>
      </c>
      <c r="AG144" s="102">
        <v>314.16743766999997</v>
      </c>
      <c r="AH144" s="102">
        <v>314.16743766999997</v>
      </c>
      <c r="AI144" s="102">
        <v>319.41946062999995</v>
      </c>
      <c r="AJ144" s="102">
        <v>320.34445971000002</v>
      </c>
      <c r="AK144" s="102">
        <v>320.34445971000002</v>
      </c>
      <c r="AL144" s="102">
        <v>320.34445971000002</v>
      </c>
      <c r="AM144" s="102">
        <v>321.65525971</v>
      </c>
      <c r="AN144" s="102">
        <v>322.73364975999993</v>
      </c>
      <c r="AO144" s="102">
        <v>320.88082276</v>
      </c>
      <c r="AP144" s="145">
        <v>320.88082276</v>
      </c>
      <c r="AQ144" s="220">
        <v>319.17082275999996</v>
      </c>
      <c r="AR144" s="220">
        <v>319.38582276</v>
      </c>
      <c r="AS144" s="102">
        <v>319.38582276</v>
      </c>
      <c r="AT144" s="102">
        <v>441.79968176</v>
      </c>
      <c r="AU144" s="102">
        <v>441.79968176</v>
      </c>
      <c r="AV144" s="102">
        <v>444.94721648000001</v>
      </c>
      <c r="AW144" s="102">
        <v>461.27421648000001</v>
      </c>
      <c r="AX144" s="102">
        <v>461.27421648000001</v>
      </c>
      <c r="AY144" s="102">
        <v>461.27421648000001</v>
      </c>
      <c r="AZ144" s="981">
        <v>749.88099999999997</v>
      </c>
      <c r="BA144" s="102">
        <v>749.43297728999994</v>
      </c>
      <c r="BB144" s="102">
        <v>749.43297728999994</v>
      </c>
      <c r="BC144" s="102">
        <v>749.43297728999994</v>
      </c>
      <c r="BD144" s="102">
        <v>749.43297728999994</v>
      </c>
      <c r="BE144" s="102">
        <v>745.86833928999999</v>
      </c>
      <c r="BF144" s="102">
        <v>744.58305928999994</v>
      </c>
      <c r="BG144" s="102">
        <v>744.58305928999994</v>
      </c>
      <c r="BH144" s="102">
        <v>744.58305928999994</v>
      </c>
      <c r="BI144" s="102">
        <v>744.58305928999994</v>
      </c>
      <c r="BJ144" s="102">
        <v>744.58305928999994</v>
      </c>
      <c r="BK144" s="102">
        <v>744.42210755999997</v>
      </c>
      <c r="BL144" s="102">
        <v>749.58758755999997</v>
      </c>
      <c r="BM144" s="102">
        <v>828.73170355999991</v>
      </c>
      <c r="BN144" s="102">
        <v>828.73170355999991</v>
      </c>
      <c r="BO144" s="102">
        <v>828.73170355999991</v>
      </c>
      <c r="BP144" s="102">
        <v>828.73170355999991</v>
      </c>
      <c r="BQ144" s="102">
        <v>828.73170355999991</v>
      </c>
      <c r="BR144" s="102">
        <v>828.73170355999991</v>
      </c>
      <c r="BS144" s="102">
        <v>828.73170355999991</v>
      </c>
      <c r="BT144" s="102">
        <v>828.73170355999991</v>
      </c>
      <c r="BU144" s="102">
        <v>828.73170355999991</v>
      </c>
      <c r="BV144" s="102">
        <v>828.73170355999991</v>
      </c>
      <c r="BW144" s="102">
        <v>828.73170355999991</v>
      </c>
      <c r="BX144" s="102">
        <v>828.73170355999991</v>
      </c>
      <c r="BY144" s="102">
        <v>232.91767899999999</v>
      </c>
      <c r="BZ144" s="102">
        <v>234.70267899999999</v>
      </c>
      <c r="CA144" s="102">
        <v>235.595179</v>
      </c>
      <c r="CB144" s="102">
        <v>235.595179</v>
      </c>
      <c r="CC144" s="102">
        <v>235.595179</v>
      </c>
      <c r="CD144" s="102">
        <v>235.595179</v>
      </c>
      <c r="CE144" s="102">
        <v>236.989859</v>
      </c>
      <c r="CF144" s="102">
        <v>238.02965900000001</v>
      </c>
      <c r="CG144" s="102">
        <v>239.556659</v>
      </c>
      <c r="CH144" s="102">
        <v>240.49487099999999</v>
      </c>
      <c r="CI144" s="102">
        <v>240.49487099999999</v>
      </c>
      <c r="CJ144" s="102">
        <v>242.434471</v>
      </c>
      <c r="CK144" s="102">
        <v>245.913881</v>
      </c>
      <c r="CL144" s="102">
        <v>245.913881</v>
      </c>
      <c r="CM144" s="102">
        <v>245.913881</v>
      </c>
      <c r="CN144" s="102">
        <v>245.913881</v>
      </c>
      <c r="CO144" s="102">
        <v>247.06596597999999</v>
      </c>
      <c r="CP144" s="102">
        <v>247.06596597999999</v>
      </c>
      <c r="CQ144" s="102">
        <v>248.06576828000001</v>
      </c>
      <c r="CR144" s="102">
        <v>248.06576828000001</v>
      </c>
      <c r="CS144" s="102">
        <v>248.06576828000001</v>
      </c>
      <c r="CT144" s="102">
        <v>250.09897609999999</v>
      </c>
      <c r="CU144" s="102">
        <v>250.09897609999999</v>
      </c>
      <c r="CV144" s="102">
        <v>250.09897609999999</v>
      </c>
      <c r="CW144" s="102">
        <v>250.09897609999999</v>
      </c>
      <c r="CX144" s="102">
        <v>250.09897609999999</v>
      </c>
      <c r="CY144" s="102">
        <v>250.09897609999999</v>
      </c>
      <c r="CZ144" s="102">
        <v>250.09897609999999</v>
      </c>
      <c r="DA144" s="102">
        <v>250.09897609999999</v>
      </c>
      <c r="DB144" s="102">
        <v>250.09897609999999</v>
      </c>
      <c r="DC144" s="102">
        <v>251.7054761</v>
      </c>
      <c r="DD144" s="102">
        <v>249.80179609999999</v>
      </c>
      <c r="DE144" s="102">
        <v>249.80179609999999</v>
      </c>
      <c r="DF144" s="102">
        <v>249.80179609999999</v>
      </c>
      <c r="DG144" s="102">
        <v>249.80179609999999</v>
      </c>
      <c r="DH144" s="102">
        <v>249.80179609999999</v>
      </c>
      <c r="DJ144" s="1083" t="e">
        <v>#VALUE!</v>
      </c>
      <c r="DK144" s="102" t="e">
        <v>#VALUE!</v>
      </c>
      <c r="DL144" s="102" t="e">
        <v>#VALUE!</v>
      </c>
      <c r="DM144" s="102" t="e">
        <v>#VALUE!</v>
      </c>
      <c r="DN144" s="102" t="e">
        <v>#VALUE!</v>
      </c>
      <c r="DO144" s="102" t="e">
        <v>#VALUE!</v>
      </c>
      <c r="DP144" s="102" t="e">
        <v>#VALUE!</v>
      </c>
      <c r="DQ144" s="102" t="e">
        <v>#VALUE!</v>
      </c>
      <c r="DR144" s="102" t="e">
        <v>#VALUE!</v>
      </c>
      <c r="DS144" s="102" t="e">
        <v>#VALUE!</v>
      </c>
      <c r="DT144" s="102" t="e">
        <v>#VALUE!</v>
      </c>
      <c r="DU144" s="102" t="e">
        <v>#VALUE!</v>
      </c>
      <c r="DW144" s="102">
        <v>346.44545970999997</v>
      </c>
      <c r="DX144" s="102">
        <v>346.44545970999997</v>
      </c>
      <c r="DY144" s="102">
        <v>346.44545970999997</v>
      </c>
      <c r="DZ144" s="102">
        <v>346.44545970999997</v>
      </c>
      <c r="EA144" s="102">
        <v>604.86377871000002</v>
      </c>
      <c r="EB144" s="102">
        <v>404.86377871000002</v>
      </c>
      <c r="EC144" s="102">
        <v>404.86377871000002</v>
      </c>
      <c r="ED144" s="102">
        <v>404.86377871000002</v>
      </c>
      <c r="EE144" s="102">
        <v>404.86377871000002</v>
      </c>
      <c r="EF144" s="102">
        <v>404.86377871000002</v>
      </c>
      <c r="EG144" s="102">
        <v>404.86377871000002</v>
      </c>
      <c r="EH144" s="102">
        <v>404.86377871000002</v>
      </c>
      <c r="EI144" s="102">
        <v>249.307264</v>
      </c>
      <c r="EJ144" s="102">
        <v>249.307264</v>
      </c>
      <c r="EK144" s="102">
        <v>249.307264</v>
      </c>
      <c r="EL144" s="102">
        <v>249.307264</v>
      </c>
      <c r="EM144" s="102">
        <v>249.307264</v>
      </c>
      <c r="EN144" s="102">
        <v>249.307264</v>
      </c>
      <c r="EO144" s="102">
        <v>249.307264</v>
      </c>
      <c r="EP144" s="102">
        <v>249.307264</v>
      </c>
      <c r="EQ144" s="102">
        <v>249.307264</v>
      </c>
      <c r="ER144" s="102">
        <v>249.307264</v>
      </c>
      <c r="ES144" s="102">
        <v>249.307264</v>
      </c>
      <c r="ET144" s="102">
        <v>249.307264</v>
      </c>
      <c r="EU144" s="102">
        <v>749.58758755999997</v>
      </c>
      <c r="EV144" s="102">
        <v>749.58758755999997</v>
      </c>
      <c r="EW144" s="102">
        <v>749.58758755999997</v>
      </c>
      <c r="EX144" s="102">
        <v>749.58758755999997</v>
      </c>
      <c r="EY144" s="102">
        <v>749.58758755999997</v>
      </c>
      <c r="EZ144" s="102">
        <v>749.58758755999997</v>
      </c>
      <c r="FA144" s="102">
        <v>749.58758755999997</v>
      </c>
      <c r="FB144" s="102">
        <v>749.58758755999997</v>
      </c>
      <c r="FC144" s="102">
        <v>749.58758755999997</v>
      </c>
      <c r="FD144" s="102">
        <v>749.58758755999997</v>
      </c>
      <c r="FE144" s="102">
        <v>749.58758755999997</v>
      </c>
      <c r="FF144" s="102">
        <v>749.58758755999997</v>
      </c>
      <c r="FG144" s="102" t="e">
        <v>#VALUE!</v>
      </c>
      <c r="FH144" s="102" t="e">
        <v>#VALUE!</v>
      </c>
      <c r="FI144" s="102" t="e">
        <v>#VALUE!</v>
      </c>
      <c r="FJ144" s="102" t="e">
        <v>#VALUE!</v>
      </c>
      <c r="FK144" s="102" t="e">
        <v>#VALUE!</v>
      </c>
      <c r="FL144" s="102" t="e">
        <v>#VALUE!</v>
      </c>
      <c r="FM144" s="102" t="e">
        <v>#VALUE!</v>
      </c>
      <c r="FN144" s="102" t="e">
        <v>#VALUE!</v>
      </c>
      <c r="FO144" s="102" t="e">
        <v>#VALUE!</v>
      </c>
      <c r="FP144" s="102" t="e">
        <v>#VALUE!</v>
      </c>
      <c r="FQ144" s="102" t="e">
        <v>#VALUE!</v>
      </c>
      <c r="FR144" s="102" t="e">
        <v>#VALUE!</v>
      </c>
      <c r="FS144" s="102" t="e">
        <v>#VALUE!</v>
      </c>
      <c r="FT144" s="102" t="e">
        <v>#VALUE!</v>
      </c>
      <c r="FU144" s="102" t="e">
        <v>#VALUE!</v>
      </c>
      <c r="FV144" s="102" t="e">
        <v>#VALUE!</v>
      </c>
      <c r="FW144" s="102" t="e">
        <v>#VALUE!</v>
      </c>
      <c r="FX144" s="102" t="e">
        <v>#VALUE!</v>
      </c>
      <c r="FY144" s="102" t="e">
        <v>#VALUE!</v>
      </c>
      <c r="FZ144" s="102" t="e">
        <v>#VALUE!</v>
      </c>
      <c r="GA144" s="102" t="e">
        <v>#VALUE!</v>
      </c>
      <c r="GB144" s="102" t="e">
        <v>#VALUE!</v>
      </c>
      <c r="GC144" s="102" t="e">
        <v>#VALUE!</v>
      </c>
      <c r="GD144" s="102" t="e">
        <v>#VALUE!</v>
      </c>
      <c r="GF144" s="102">
        <f t="shared" si="458"/>
        <v>373.62071473000003</v>
      </c>
      <c r="GG144" s="102">
        <f t="shared" si="458"/>
        <v>399.82855530999996</v>
      </c>
      <c r="GH144" s="102">
        <f t="shared" si="458"/>
        <v>322.73364975999993</v>
      </c>
      <c r="GI144" s="102">
        <f t="shared" si="458"/>
        <v>749.88099999999997</v>
      </c>
      <c r="GJ144" s="102">
        <f t="shared" si="434"/>
        <v>749.58758755999997</v>
      </c>
      <c r="GK144" s="102">
        <f t="shared" si="407"/>
        <v>828.73170355999991</v>
      </c>
      <c r="GL144" s="102">
        <f t="shared" si="435"/>
        <v>242.434471</v>
      </c>
      <c r="GM144" s="102">
        <f t="shared" si="408"/>
        <v>250.09897609999999</v>
      </c>
      <c r="GN144" s="102" t="e">
        <f t="shared" si="409"/>
        <v>#VALUE!</v>
      </c>
      <c r="GO144" s="102">
        <v>249.80179609999999</v>
      </c>
      <c r="GQ144" s="929">
        <f t="shared" si="459"/>
        <v>-0.19281990874870325</v>
      </c>
      <c r="GR144" s="929">
        <f t="shared" si="459"/>
        <v>1.3235290170629779</v>
      </c>
      <c r="GS144" s="929">
        <f t="shared" si="459"/>
        <v>-3.9127866954891122E-4</v>
      </c>
      <c r="GT144" s="929">
        <f t="shared" si="459"/>
        <v>0.10558354662411595</v>
      </c>
      <c r="GU144" s="929">
        <f t="shared" si="459"/>
        <v>-0.70746325987220082</v>
      </c>
      <c r="GV144" s="929">
        <f t="shared" si="459"/>
        <v>3.1614749620320959E-2</v>
      </c>
      <c r="GW144" s="929" t="str">
        <f t="shared" si="459"/>
        <v/>
      </c>
      <c r="GX144" s="929" t="str">
        <f t="shared" si="459"/>
        <v/>
      </c>
      <c r="GY144" s="929">
        <f t="shared" si="492"/>
        <v>-1.188249566768218E-3</v>
      </c>
      <c r="HA144" s="102">
        <f t="shared" si="460"/>
        <v>-77.094905550000021</v>
      </c>
      <c r="HB144" s="102">
        <f t="shared" si="460"/>
        <v>427.14735024000004</v>
      </c>
      <c r="HC144" s="102">
        <f t="shared" si="460"/>
        <v>-0.29341243999999733</v>
      </c>
      <c r="HD144" s="102">
        <f t="shared" si="460"/>
        <v>79.14411599999994</v>
      </c>
      <c r="HE144" s="102">
        <f t="shared" si="460"/>
        <v>-586.29723255999988</v>
      </c>
      <c r="HF144" s="102">
        <f t="shared" si="460"/>
        <v>7.6645050999999853</v>
      </c>
      <c r="HG144" s="102" t="e">
        <f t="shared" si="460"/>
        <v>#VALUE!</v>
      </c>
      <c r="HH144" s="102" t="e">
        <f t="shared" si="460"/>
        <v>#VALUE!</v>
      </c>
      <c r="HI144" s="102">
        <f t="shared" si="493"/>
        <v>-0.29717999999999734</v>
      </c>
      <c r="HK144" s="973"/>
      <c r="HL144" s="973"/>
      <c r="HM144" s="973"/>
      <c r="HN144" s="973"/>
      <c r="HO144" s="973"/>
      <c r="HP144" s="973"/>
      <c r="HQ144" s="973"/>
      <c r="HR144" s="973"/>
      <c r="HS144" s="973"/>
      <c r="HU144" s="102">
        <f t="shared" si="461"/>
        <v>358.13681417000004</v>
      </c>
      <c r="HV144" s="102">
        <f t="shared" si="461"/>
        <v>408.57345703000004</v>
      </c>
      <c r="HW144" s="102">
        <f t="shared" si="461"/>
        <v>314.16743766999997</v>
      </c>
      <c r="HX144" s="102">
        <f t="shared" si="461"/>
        <v>441.79968176</v>
      </c>
      <c r="HY144" s="102">
        <f t="shared" si="462"/>
        <v>744.58305928999994</v>
      </c>
      <c r="HZ144" s="102">
        <f t="shared" si="453"/>
        <v>828.73170355999991</v>
      </c>
      <c r="IA144" s="102">
        <f t="shared" si="414"/>
        <v>235.595179</v>
      </c>
      <c r="IB144" s="102">
        <f t="shared" si="415"/>
        <v>247.06596597999999</v>
      </c>
      <c r="IC144" s="102">
        <f t="shared" si="416"/>
        <v>250.09897609999999</v>
      </c>
      <c r="ID144" s="102" t="e">
        <f t="shared" si="417"/>
        <v>#VALUE!</v>
      </c>
      <c r="IE144" s="102" t="e">
        <f t="shared" si="463"/>
        <v>#VALUE!</v>
      </c>
      <c r="IG144" s="102" t="e">
        <f t="shared" si="464"/>
        <v>#VALUE!</v>
      </c>
      <c r="IH144" s="102" t="e">
        <f t="shared" si="465"/>
        <v>#VALUE!</v>
      </c>
      <c r="II144" s="145"/>
      <c r="IJ144" s="929" t="str">
        <f t="shared" si="466"/>
        <v>NA</v>
      </c>
      <c r="IK144" s="930" t="str">
        <f t="shared" si="467"/>
        <v>NA</v>
      </c>
      <c r="IM144" s="973"/>
      <c r="IN144" s="973"/>
      <c r="IP144" s="929">
        <f t="shared" si="477"/>
        <v>-0.23106253657850362</v>
      </c>
      <c r="IQ144" s="929">
        <f t="shared" si="477"/>
        <v>0.40625548286154456</v>
      </c>
      <c r="IR144" s="929">
        <f t="shared" si="477"/>
        <v>0.68534086834060171</v>
      </c>
      <c r="IS144" s="929">
        <f t="shared" si="477"/>
        <v>0.1130144491203442</v>
      </c>
      <c r="IT144" s="929">
        <f t="shared" si="477"/>
        <v>-0.71571598143530779</v>
      </c>
      <c r="IU144" s="929">
        <f t="shared" si="477"/>
        <v>4.8688547145525396E-2</v>
      </c>
      <c r="IV144" s="929" t="str">
        <f t="shared" si="478"/>
        <v/>
      </c>
      <c r="IX144" s="102">
        <f t="shared" si="422"/>
        <v>-94.406019360000073</v>
      </c>
      <c r="IY144" s="102">
        <f t="shared" si="422"/>
        <v>127.63224409000003</v>
      </c>
      <c r="IZ144" s="102">
        <f t="shared" si="422"/>
        <v>302.78337752999994</v>
      </c>
      <c r="JA144" s="102">
        <f t="shared" si="422"/>
        <v>84.148644269999977</v>
      </c>
      <c r="JB144" s="102">
        <f t="shared" si="422"/>
        <v>-593.13652455999988</v>
      </c>
      <c r="JC144" s="102">
        <f t="shared" si="422"/>
        <v>11.470786979999986</v>
      </c>
      <c r="JD144" s="102" t="e">
        <f t="shared" si="423"/>
        <v>#VALUE!</v>
      </c>
      <c r="JF144" s="973"/>
      <c r="JG144" s="973"/>
      <c r="JH144" s="973"/>
      <c r="JI144" s="973"/>
      <c r="JJ144" s="973"/>
      <c r="JK144" s="973"/>
      <c r="JL144" s="973"/>
      <c r="JM144" s="973"/>
      <c r="JO144" s="102">
        <f t="shared" si="494"/>
        <v>358.13681417000004</v>
      </c>
      <c r="JP144" s="102">
        <f t="shared" si="494"/>
        <v>408.57345703000004</v>
      </c>
      <c r="JQ144" s="102">
        <f t="shared" si="494"/>
        <v>314.16743766999997</v>
      </c>
      <c r="JR144" s="102">
        <f t="shared" si="494"/>
        <v>441.79968176</v>
      </c>
      <c r="JS144" s="102">
        <f t="shared" si="494"/>
        <v>744.58305928999994</v>
      </c>
      <c r="JT144" s="102">
        <f t="shared" si="425"/>
        <v>828.73170355999991</v>
      </c>
      <c r="JU144" s="102">
        <f t="shared" si="426"/>
        <v>235.595179</v>
      </c>
      <c r="JV144" s="102">
        <f t="shared" si="470"/>
        <v>247.06596597999999</v>
      </c>
      <c r="JW144" s="102">
        <f t="shared" si="470"/>
        <v>250.09897609999999</v>
      </c>
      <c r="JX144" s="102" t="e">
        <f t="shared" si="428"/>
        <v>#VALUE!</v>
      </c>
      <c r="JY144" s="102" t="e">
        <f t="shared" si="471"/>
        <v>#VALUE!</v>
      </c>
      <c r="KB144" s="32">
        <f t="shared" si="472"/>
        <v>-0.23106253657850362</v>
      </c>
      <c r="KC144" s="32">
        <f t="shared" si="472"/>
        <v>0.40625548286154456</v>
      </c>
      <c r="KD144" s="32">
        <f t="shared" si="472"/>
        <v>0.68534086834060171</v>
      </c>
      <c r="KE144" s="32">
        <f t="shared" si="472"/>
        <v>0.1130144491203442</v>
      </c>
      <c r="KF144" s="32">
        <f t="shared" si="472"/>
        <v>-0.71571598143530779</v>
      </c>
      <c r="KG144" s="32">
        <f t="shared" si="472"/>
        <v>4.8688547145525396E-2</v>
      </c>
      <c r="KH144" s="32" t="str">
        <f t="shared" si="431"/>
        <v xml:space="preserve"> </v>
      </c>
      <c r="KJ144" s="102">
        <f t="shared" si="473"/>
        <v>-94.406019360000073</v>
      </c>
      <c r="KK144" s="102">
        <f t="shared" si="473"/>
        <v>127.63224409000003</v>
      </c>
      <c r="KL144" s="102">
        <f t="shared" si="473"/>
        <v>302.78337752999994</v>
      </c>
      <c r="KM144" s="102">
        <f t="shared" si="473"/>
        <v>84.148644269999977</v>
      </c>
      <c r="KN144" s="102">
        <f t="shared" si="473"/>
        <v>-593.13652455999988</v>
      </c>
      <c r="KO144" s="102">
        <f t="shared" si="473"/>
        <v>11.470786979999986</v>
      </c>
      <c r="KP144" s="102" t="e">
        <f t="shared" si="433"/>
        <v>#VALUE!</v>
      </c>
      <c r="KR144" s="973"/>
      <c r="KS144" s="973"/>
      <c r="KT144" s="973"/>
      <c r="KU144" s="973"/>
      <c r="KV144" s="973"/>
      <c r="KW144" s="973"/>
      <c r="KX144" s="973"/>
      <c r="KY144" s="973"/>
      <c r="KZ144" s="973"/>
    </row>
    <row r="145" spans="1:312" outlineLevel="3">
      <c r="A145" s="884">
        <v>1528</v>
      </c>
      <c r="B145" s="70" t="s">
        <v>713</v>
      </c>
      <c r="C145" s="40" t="s">
        <v>129</v>
      </c>
      <c r="D145" s="31" t="s">
        <v>59</v>
      </c>
      <c r="E145" s="102">
        <v>1332.6259563499998</v>
      </c>
      <c r="F145" s="102">
        <v>1415.8722155599999</v>
      </c>
      <c r="G145" s="102">
        <v>1503.8442545599999</v>
      </c>
      <c r="H145" s="102">
        <v>1545.4413065599999</v>
      </c>
      <c r="I145" s="102">
        <v>1584.8196955599999</v>
      </c>
      <c r="J145" s="102">
        <v>1642.21538356</v>
      </c>
      <c r="K145" s="102">
        <v>1662.18700156</v>
      </c>
      <c r="L145" s="102">
        <v>1606.59188156</v>
      </c>
      <c r="M145" s="102">
        <v>1608.00708156</v>
      </c>
      <c r="N145" s="102">
        <v>1600.08830756</v>
      </c>
      <c r="O145" s="102">
        <v>1608.57177856</v>
      </c>
      <c r="P145" s="102">
        <v>1608.55427577</v>
      </c>
      <c r="Q145" s="102">
        <v>1696.2416277700002</v>
      </c>
      <c r="R145" s="102">
        <v>1710.7941663800002</v>
      </c>
      <c r="S145" s="102">
        <v>1711.8265663800003</v>
      </c>
      <c r="T145" s="102">
        <v>1733.4531423800001</v>
      </c>
      <c r="U145" s="102">
        <v>1742.18113838</v>
      </c>
      <c r="V145" s="102">
        <v>1778.5624026999999</v>
      </c>
      <c r="W145" s="102">
        <v>1780.5448426999999</v>
      </c>
      <c r="X145" s="102">
        <v>1787.06408446</v>
      </c>
      <c r="Y145" s="102">
        <v>1787.06408446</v>
      </c>
      <c r="Z145" s="102">
        <v>1787.06408446</v>
      </c>
      <c r="AA145" s="102">
        <v>1735.9084694600001</v>
      </c>
      <c r="AB145" s="102">
        <v>1544.7759429399998</v>
      </c>
      <c r="AC145" s="102">
        <v>1544.7759429399998</v>
      </c>
      <c r="AD145" s="102">
        <v>1548.8069011799998</v>
      </c>
      <c r="AE145" s="102">
        <v>1557.84904622</v>
      </c>
      <c r="AF145" s="102">
        <v>1506.8725182200001</v>
      </c>
      <c r="AG145" s="102">
        <v>1510.4599918000001</v>
      </c>
      <c r="AH145" s="102">
        <v>1537.3464857200001</v>
      </c>
      <c r="AI145" s="102">
        <v>1542.7760057200001</v>
      </c>
      <c r="AJ145" s="102">
        <v>1564.8682057200001</v>
      </c>
      <c r="AK145" s="102">
        <v>1616.57785053</v>
      </c>
      <c r="AL145" s="102">
        <v>1635.7412705300001</v>
      </c>
      <c r="AM145" s="102">
        <v>1688.93688905</v>
      </c>
      <c r="AN145" s="102">
        <v>1717.1877929299999</v>
      </c>
      <c r="AO145" s="102">
        <v>1719.9903322499999</v>
      </c>
      <c r="AP145" s="145">
        <v>1725.79386329</v>
      </c>
      <c r="AQ145" s="220">
        <v>1725.79386329</v>
      </c>
      <c r="AR145" s="220">
        <v>1731.5808472900001</v>
      </c>
      <c r="AS145" s="102">
        <v>1766.7583622899999</v>
      </c>
      <c r="AT145" s="102">
        <v>1779.3960898299999</v>
      </c>
      <c r="AU145" s="102">
        <v>1787.53608983</v>
      </c>
      <c r="AV145" s="102">
        <v>1799.1287400000001</v>
      </c>
      <c r="AW145" s="102">
        <v>1771.016061</v>
      </c>
      <c r="AX145" s="102">
        <v>1799.2129872</v>
      </c>
      <c r="AY145" s="102">
        <v>1799.9629872</v>
      </c>
      <c r="AZ145" s="981">
        <v>1407.41</v>
      </c>
      <c r="BA145" s="102">
        <v>1407.0640163099999</v>
      </c>
      <c r="BB145" s="102">
        <v>1407.6872099899999</v>
      </c>
      <c r="BC145" s="102">
        <v>1407.6688593199999</v>
      </c>
      <c r="BD145" s="102">
        <v>1407.6688593199999</v>
      </c>
      <c r="BE145" s="102">
        <v>1334.2150793199999</v>
      </c>
      <c r="BF145" s="102">
        <v>1309.84757132</v>
      </c>
      <c r="BG145" s="102">
        <v>1309.7830197599999</v>
      </c>
      <c r="BH145" s="102">
        <v>1309.7665041600001</v>
      </c>
      <c r="BI145" s="102">
        <v>1309.7665041600001</v>
      </c>
      <c r="BJ145" s="102">
        <v>1316.0762041600001</v>
      </c>
      <c r="BK145" s="102">
        <v>1317.03488616</v>
      </c>
      <c r="BL145" s="102">
        <v>1317.46053646</v>
      </c>
      <c r="BM145" s="102">
        <v>919.67847746000007</v>
      </c>
      <c r="BN145" s="102">
        <v>919.67847746000007</v>
      </c>
      <c r="BO145" s="102">
        <v>919.67847746000007</v>
      </c>
      <c r="BP145" s="102">
        <v>919.67847746000007</v>
      </c>
      <c r="BQ145" s="102">
        <v>919.67847746000007</v>
      </c>
      <c r="BR145" s="102">
        <v>919.67847746000007</v>
      </c>
      <c r="BS145" s="102">
        <v>919.67847746000007</v>
      </c>
      <c r="BT145" s="102">
        <v>919.67847746000007</v>
      </c>
      <c r="BU145" s="102">
        <v>919.67847746000007</v>
      </c>
      <c r="BV145" s="102">
        <v>919.67847746000007</v>
      </c>
      <c r="BW145" s="102">
        <v>919.67847746000007</v>
      </c>
      <c r="BX145" s="102">
        <v>917.77147746000003</v>
      </c>
      <c r="BY145" s="102">
        <v>1375.74773953</v>
      </c>
      <c r="BZ145" s="102">
        <v>1401.37418553</v>
      </c>
      <c r="CA145" s="102">
        <v>1410.2171635299999</v>
      </c>
      <c r="CB145" s="102">
        <v>1411.54510353</v>
      </c>
      <c r="CC145" s="102">
        <v>1414.1417635299999</v>
      </c>
      <c r="CD145" s="102">
        <v>1425.57344053</v>
      </c>
      <c r="CE145" s="102">
        <v>1464.86896553</v>
      </c>
      <c r="CF145" s="102">
        <v>1466.6365375299999</v>
      </c>
      <c r="CG145" s="102">
        <v>1480.4420175299999</v>
      </c>
      <c r="CH145" s="102">
        <v>1482.7622425299999</v>
      </c>
      <c r="CI145" s="102">
        <v>1501.0493835299999</v>
      </c>
      <c r="CJ145" s="102">
        <v>1580.4543125299999</v>
      </c>
      <c r="CK145" s="102">
        <v>1590.3491625300001</v>
      </c>
      <c r="CL145" s="102">
        <v>1590.3491625300001</v>
      </c>
      <c r="CM145" s="102">
        <v>1595.91676244</v>
      </c>
      <c r="CN145" s="102">
        <v>1600.38134494</v>
      </c>
      <c r="CO145" s="102">
        <v>1607.73474975</v>
      </c>
      <c r="CP145" s="102">
        <v>1661.4875350899999</v>
      </c>
      <c r="CQ145" s="102">
        <v>1667.8298887999999</v>
      </c>
      <c r="CR145" s="102">
        <v>1687.3391501600001</v>
      </c>
      <c r="CS145" s="102">
        <v>1696.2470141600002</v>
      </c>
      <c r="CT145" s="102">
        <v>1703.83818096</v>
      </c>
      <c r="CU145" s="102">
        <v>1719.21652954</v>
      </c>
      <c r="CV145" s="102">
        <v>1721.8683255399999</v>
      </c>
      <c r="CW145" s="102">
        <v>1726.5664455399999</v>
      </c>
      <c r="CX145" s="102">
        <v>1763.65084254</v>
      </c>
      <c r="CY145" s="102">
        <v>1791.43374554</v>
      </c>
      <c r="CZ145" s="102">
        <v>1814.4687335399999</v>
      </c>
      <c r="DA145" s="102">
        <v>1814.7251547400001</v>
      </c>
      <c r="DB145" s="102">
        <v>1812.7157737</v>
      </c>
      <c r="DC145" s="102">
        <v>1820.9581144400001</v>
      </c>
      <c r="DD145" s="102">
        <v>1736.2190064400002</v>
      </c>
      <c r="DE145" s="102">
        <v>1737.10115344</v>
      </c>
      <c r="DF145" s="102">
        <v>1739.83932744</v>
      </c>
      <c r="DG145" s="102">
        <v>1762.1391644400001</v>
      </c>
      <c r="DH145" s="102">
        <v>1763.86429234</v>
      </c>
      <c r="DJ145" s="1083" t="e">
        <v>#VALUE!</v>
      </c>
      <c r="DK145" s="102" t="e">
        <v>#VALUE!</v>
      </c>
      <c r="DL145" s="102" t="e">
        <v>#VALUE!</v>
      </c>
      <c r="DM145" s="102" t="e">
        <v>#VALUE!</v>
      </c>
      <c r="DN145" s="102" t="e">
        <v>#VALUE!</v>
      </c>
      <c r="DO145" s="102" t="e">
        <v>#VALUE!</v>
      </c>
      <c r="DP145" s="102" t="e">
        <v>#VALUE!</v>
      </c>
      <c r="DQ145" s="102" t="e">
        <v>#VALUE!</v>
      </c>
      <c r="DR145" s="102" t="e">
        <v>#VALUE!</v>
      </c>
      <c r="DS145" s="102" t="e">
        <v>#VALUE!</v>
      </c>
      <c r="DT145" s="102" t="e">
        <v>#VALUE!</v>
      </c>
      <c r="DU145" s="102" t="e">
        <v>#VALUE!</v>
      </c>
      <c r="DW145" s="102">
        <v>1701.3998153800001</v>
      </c>
      <c r="DX145" s="102">
        <v>1826.4730363800002</v>
      </c>
      <c r="DY145" s="102">
        <v>1853.8910363800001</v>
      </c>
      <c r="DZ145" s="102">
        <v>1919.1090363800001</v>
      </c>
      <c r="EA145" s="102">
        <v>1982.3270363800002</v>
      </c>
      <c r="EB145" s="102">
        <v>2022.0450363800001</v>
      </c>
      <c r="EC145" s="102">
        <v>2090.7630363799999</v>
      </c>
      <c r="ED145" s="102">
        <v>2130.4810363800002</v>
      </c>
      <c r="EE145" s="102">
        <v>2171.1990363800001</v>
      </c>
      <c r="EF145" s="102">
        <v>2238.9170363799999</v>
      </c>
      <c r="EG145" s="102">
        <v>2279.6350363800002</v>
      </c>
      <c r="EH145" s="102">
        <v>2319.35303638</v>
      </c>
      <c r="EI145" s="102">
        <v>1280.438813</v>
      </c>
      <c r="EJ145" s="102">
        <v>1301.638813</v>
      </c>
      <c r="EK145" s="102">
        <v>1332.8388130000001</v>
      </c>
      <c r="EL145" s="102">
        <v>1334.0388129999999</v>
      </c>
      <c r="EM145" s="102">
        <v>1335.2388129999999</v>
      </c>
      <c r="EN145" s="102">
        <v>1336.438813</v>
      </c>
      <c r="EO145" s="102">
        <v>1339.7388129999999</v>
      </c>
      <c r="EP145" s="102">
        <v>1340.938813</v>
      </c>
      <c r="EQ145" s="102">
        <v>1342.138813</v>
      </c>
      <c r="ER145" s="102">
        <v>1343.3388130000001</v>
      </c>
      <c r="ES145" s="102">
        <v>1343.3388130000001</v>
      </c>
      <c r="ET145" s="102">
        <v>1343.3388130000001</v>
      </c>
      <c r="EU145" s="102">
        <v>1317.03488616</v>
      </c>
      <c r="EV145" s="102">
        <v>1318.2348861600001</v>
      </c>
      <c r="EW145" s="102">
        <v>1319.4348861600001</v>
      </c>
      <c r="EX145" s="102">
        <v>1320.6348861600002</v>
      </c>
      <c r="EY145" s="102">
        <v>1321.83488616</v>
      </c>
      <c r="EZ145" s="102">
        <v>1323.03488616</v>
      </c>
      <c r="FA145" s="102">
        <v>1324.2348861600001</v>
      </c>
      <c r="FB145" s="102">
        <v>1325.4348861600001</v>
      </c>
      <c r="FC145" s="102">
        <v>1326.6348861600002</v>
      </c>
      <c r="FD145" s="102">
        <v>1327.83488616</v>
      </c>
      <c r="FE145" s="102">
        <v>1329.03488616</v>
      </c>
      <c r="FF145" s="102">
        <v>1329.03488616</v>
      </c>
      <c r="FG145" s="102" t="e">
        <v>#VALUE!</v>
      </c>
      <c r="FH145" s="102" t="e">
        <v>#VALUE!</v>
      </c>
      <c r="FI145" s="102" t="e">
        <v>#VALUE!</v>
      </c>
      <c r="FJ145" s="102" t="e">
        <v>#VALUE!</v>
      </c>
      <c r="FK145" s="102" t="e">
        <v>#VALUE!</v>
      </c>
      <c r="FL145" s="102" t="e">
        <v>#VALUE!</v>
      </c>
      <c r="FM145" s="102" t="e">
        <v>#VALUE!</v>
      </c>
      <c r="FN145" s="102" t="e">
        <v>#VALUE!</v>
      </c>
      <c r="FO145" s="102" t="e">
        <v>#VALUE!</v>
      </c>
      <c r="FP145" s="102" t="e">
        <v>#VALUE!</v>
      </c>
      <c r="FQ145" s="102" t="e">
        <v>#VALUE!</v>
      </c>
      <c r="FR145" s="102" t="e">
        <v>#VALUE!</v>
      </c>
      <c r="FS145" s="102" t="e">
        <v>#VALUE!</v>
      </c>
      <c r="FT145" s="102" t="e">
        <v>#VALUE!</v>
      </c>
      <c r="FU145" s="102" t="e">
        <v>#VALUE!</v>
      </c>
      <c r="FV145" s="102" t="e">
        <v>#VALUE!</v>
      </c>
      <c r="FW145" s="102" t="e">
        <v>#VALUE!</v>
      </c>
      <c r="FX145" s="102" t="e">
        <v>#VALUE!</v>
      </c>
      <c r="FY145" s="102" t="e">
        <v>#VALUE!</v>
      </c>
      <c r="FZ145" s="102" t="e">
        <v>#VALUE!</v>
      </c>
      <c r="GA145" s="102" t="e">
        <v>#VALUE!</v>
      </c>
      <c r="GB145" s="102" t="e">
        <v>#VALUE!</v>
      </c>
      <c r="GC145" s="102" t="e">
        <v>#VALUE!</v>
      </c>
      <c r="GD145" s="102" t="e">
        <v>#VALUE!</v>
      </c>
      <c r="GF145" s="102">
        <f t="shared" si="458"/>
        <v>1608.55427577</v>
      </c>
      <c r="GG145" s="102">
        <f t="shared" si="458"/>
        <v>1544.7759429399998</v>
      </c>
      <c r="GH145" s="102">
        <f t="shared" si="458"/>
        <v>1717.1877929299999</v>
      </c>
      <c r="GI145" s="102">
        <f t="shared" si="458"/>
        <v>1407.41</v>
      </c>
      <c r="GJ145" s="102">
        <f t="shared" si="434"/>
        <v>1317.46053646</v>
      </c>
      <c r="GK145" s="102">
        <f t="shared" si="407"/>
        <v>917.77147746000003</v>
      </c>
      <c r="GL145" s="102">
        <f t="shared" si="435"/>
        <v>1580.4543125299999</v>
      </c>
      <c r="GM145" s="102">
        <f t="shared" si="408"/>
        <v>1721.8683255399999</v>
      </c>
      <c r="GN145" s="102" t="e">
        <f t="shared" si="409"/>
        <v>#VALUE!</v>
      </c>
      <c r="GO145" s="102">
        <v>1763.86429234</v>
      </c>
      <c r="GQ145" s="929">
        <f t="shared" si="459"/>
        <v>0.11160961612456743</v>
      </c>
      <c r="GR145" s="929">
        <f t="shared" si="459"/>
        <v>-0.18039831997724187</v>
      </c>
      <c r="GS145" s="929">
        <f t="shared" si="459"/>
        <v>-6.3911343204894222E-2</v>
      </c>
      <c r="GT145" s="929">
        <f t="shared" si="459"/>
        <v>-0.30337839194330596</v>
      </c>
      <c r="GU145" s="929">
        <f t="shared" si="459"/>
        <v>0.72205647194879408</v>
      </c>
      <c r="GV145" s="929">
        <f t="shared" si="459"/>
        <v>8.9476811755237362E-2</v>
      </c>
      <c r="GW145" s="929" t="str">
        <f t="shared" si="459"/>
        <v/>
      </c>
      <c r="GX145" s="929" t="str">
        <f t="shared" si="459"/>
        <v/>
      </c>
      <c r="GY145" s="929">
        <f t="shared" si="492"/>
        <v>2.4389766730176454E-2</v>
      </c>
      <c r="HA145" s="102">
        <f t="shared" si="460"/>
        <v>172.41184999000006</v>
      </c>
      <c r="HB145" s="102">
        <f t="shared" si="460"/>
        <v>-309.7777929299998</v>
      </c>
      <c r="HC145" s="102">
        <f t="shared" si="460"/>
        <v>-89.949463540000124</v>
      </c>
      <c r="HD145" s="102">
        <f t="shared" si="460"/>
        <v>-399.68905899999993</v>
      </c>
      <c r="HE145" s="102">
        <f t="shared" si="460"/>
        <v>662.6828350699999</v>
      </c>
      <c r="HF145" s="102">
        <f t="shared" si="460"/>
        <v>141.41401300999996</v>
      </c>
      <c r="HG145" s="102" t="e">
        <f t="shared" si="460"/>
        <v>#VALUE!</v>
      </c>
      <c r="HH145" s="102" t="e">
        <f>+GO145-GN145</f>
        <v>#VALUE!</v>
      </c>
      <c r="HI145" s="102">
        <f t="shared" si="493"/>
        <v>41.995966800000133</v>
      </c>
      <c r="HK145" s="973"/>
      <c r="HL145" s="973"/>
      <c r="HM145" s="973"/>
      <c r="HN145" s="973"/>
      <c r="HO145" s="973"/>
      <c r="HP145" s="973"/>
      <c r="HQ145" s="973"/>
      <c r="HR145" s="973"/>
      <c r="HS145" s="973"/>
      <c r="HU145" s="102">
        <f t="shared" si="461"/>
        <v>1642.21538356</v>
      </c>
      <c r="HV145" s="102">
        <f t="shared" si="461"/>
        <v>1778.5624026999999</v>
      </c>
      <c r="HW145" s="102">
        <f t="shared" si="461"/>
        <v>1537.3464857200001</v>
      </c>
      <c r="HX145" s="102">
        <f t="shared" si="461"/>
        <v>1779.3960898299999</v>
      </c>
      <c r="HY145" s="102">
        <f t="shared" si="462"/>
        <v>1309.84757132</v>
      </c>
      <c r="HZ145" s="102">
        <f t="shared" si="453"/>
        <v>919.67847746000007</v>
      </c>
      <c r="IA145" s="102">
        <f t="shared" si="414"/>
        <v>1425.57344053</v>
      </c>
      <c r="IB145" s="102">
        <f t="shared" si="415"/>
        <v>1661.4875350899999</v>
      </c>
      <c r="IC145" s="102">
        <f t="shared" si="416"/>
        <v>1812.7157737</v>
      </c>
      <c r="ID145" s="102" t="e">
        <f t="shared" si="417"/>
        <v>#VALUE!</v>
      </c>
      <c r="IE145" s="102" t="e">
        <f t="shared" si="463"/>
        <v>#VALUE!</v>
      </c>
      <c r="IG145" s="102" t="e">
        <f t="shared" si="464"/>
        <v>#VALUE!</v>
      </c>
      <c r="IH145" s="102" t="e">
        <f t="shared" si="465"/>
        <v>#VALUE!</v>
      </c>
      <c r="II145" s="145"/>
      <c r="IJ145" s="929" t="str">
        <f t="shared" si="466"/>
        <v>NA</v>
      </c>
      <c r="IK145" s="930" t="str">
        <f t="shared" si="467"/>
        <v>NA</v>
      </c>
      <c r="IM145" s="973"/>
      <c r="IN145" s="973"/>
      <c r="IP145" s="929">
        <f t="shared" si="477"/>
        <v>-0.1356240954007657</v>
      </c>
      <c r="IQ145" s="929">
        <f t="shared" si="477"/>
        <v>0.157446357316541</v>
      </c>
      <c r="IR145" s="929">
        <f t="shared" si="477"/>
        <v>-0.26388083080190405</v>
      </c>
      <c r="IS145" s="929">
        <f t="shared" si="477"/>
        <v>-0.29787366286201278</v>
      </c>
      <c r="IT145" s="929">
        <f t="shared" si="477"/>
        <v>0.55007807127029684</v>
      </c>
      <c r="IU145" s="929">
        <f t="shared" si="477"/>
        <v>0.16548715615260878</v>
      </c>
      <c r="IV145" s="929" t="str">
        <f t="shared" si="478"/>
        <v/>
      </c>
      <c r="IX145" s="102">
        <f t="shared" si="422"/>
        <v>-241.21591697999975</v>
      </c>
      <c r="IY145" s="102">
        <f t="shared" si="422"/>
        <v>242.04960410999979</v>
      </c>
      <c r="IZ145" s="102">
        <f t="shared" si="422"/>
        <v>-469.54851850999989</v>
      </c>
      <c r="JA145" s="102">
        <f t="shared" si="422"/>
        <v>-390.16909385999998</v>
      </c>
      <c r="JB145" s="102">
        <f t="shared" si="422"/>
        <v>505.8949630699999</v>
      </c>
      <c r="JC145" s="102">
        <f t="shared" si="422"/>
        <v>235.91409455999997</v>
      </c>
      <c r="JD145" s="102" t="e">
        <f t="shared" si="423"/>
        <v>#VALUE!</v>
      </c>
      <c r="JF145" s="973"/>
      <c r="JG145" s="973"/>
      <c r="JH145" s="973"/>
      <c r="JI145" s="973"/>
      <c r="JJ145" s="973"/>
      <c r="JK145" s="973"/>
      <c r="JL145" s="973"/>
      <c r="JM145" s="973"/>
      <c r="JO145" s="102">
        <f t="shared" si="494"/>
        <v>1642.21538356</v>
      </c>
      <c r="JP145" s="102">
        <f t="shared" si="494"/>
        <v>1778.5624026999999</v>
      </c>
      <c r="JQ145" s="102">
        <f t="shared" si="494"/>
        <v>1537.3464857200001</v>
      </c>
      <c r="JR145" s="102">
        <f t="shared" si="494"/>
        <v>1779.3960898299999</v>
      </c>
      <c r="JS145" s="102">
        <f t="shared" si="494"/>
        <v>1309.84757132</v>
      </c>
      <c r="JT145" s="102">
        <f t="shared" si="425"/>
        <v>919.67847746000007</v>
      </c>
      <c r="JU145" s="102">
        <f t="shared" si="426"/>
        <v>1425.57344053</v>
      </c>
      <c r="JV145" s="102">
        <f t="shared" si="470"/>
        <v>1661.4875350899999</v>
      </c>
      <c r="JW145" s="102">
        <f t="shared" si="470"/>
        <v>1812.7157737</v>
      </c>
      <c r="JX145" s="102" t="e">
        <f t="shared" si="428"/>
        <v>#VALUE!</v>
      </c>
      <c r="JY145" s="102" t="e">
        <f t="shared" si="471"/>
        <v>#VALUE!</v>
      </c>
      <c r="KB145" s="32">
        <f t="shared" si="472"/>
        <v>-0.1356240954007657</v>
      </c>
      <c r="KC145" s="32">
        <f t="shared" si="472"/>
        <v>0.157446357316541</v>
      </c>
      <c r="KD145" s="32">
        <f t="shared" si="472"/>
        <v>-0.26388083080190405</v>
      </c>
      <c r="KE145" s="32">
        <f t="shared" si="472"/>
        <v>-0.29787366286201278</v>
      </c>
      <c r="KF145" s="32">
        <f t="shared" si="472"/>
        <v>0.55007807127029684</v>
      </c>
      <c r="KG145" s="32">
        <f t="shared" si="472"/>
        <v>0.16548715615260878</v>
      </c>
      <c r="KH145" s="32" t="str">
        <f t="shared" si="431"/>
        <v xml:space="preserve"> </v>
      </c>
      <c r="KJ145" s="102">
        <f t="shared" si="473"/>
        <v>-241.21591697999975</v>
      </c>
      <c r="KK145" s="102">
        <f t="shared" si="473"/>
        <v>242.04960410999979</v>
      </c>
      <c r="KL145" s="102">
        <f t="shared" si="473"/>
        <v>-469.54851850999989</v>
      </c>
      <c r="KM145" s="102">
        <f t="shared" si="473"/>
        <v>-390.16909385999998</v>
      </c>
      <c r="KN145" s="102">
        <f t="shared" si="473"/>
        <v>505.8949630699999</v>
      </c>
      <c r="KO145" s="102">
        <f t="shared" si="473"/>
        <v>235.91409455999997</v>
      </c>
      <c r="KP145" s="102" t="e">
        <f t="shared" si="433"/>
        <v>#VALUE!</v>
      </c>
      <c r="KR145" s="973"/>
      <c r="KS145" s="973"/>
      <c r="KT145" s="973"/>
      <c r="KU145" s="973"/>
      <c r="KV145" s="973"/>
      <c r="KW145" s="973"/>
      <c r="KX145" s="973"/>
      <c r="KY145" s="973"/>
      <c r="KZ145" s="973"/>
    </row>
    <row r="146" spans="1:312" outlineLevel="3">
      <c r="A146" s="884">
        <v>1540</v>
      </c>
      <c r="B146" s="70"/>
      <c r="C146" s="40" t="s">
        <v>714</v>
      </c>
      <c r="D146" s="31" t="s">
        <v>59</v>
      </c>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45"/>
      <c r="AQ146" s="220"/>
      <c r="AR146" s="220"/>
      <c r="AS146" s="102"/>
      <c r="AT146" s="102"/>
      <c r="AU146" s="102"/>
      <c r="AV146" s="102"/>
      <c r="AW146" s="102"/>
      <c r="AX146" s="102"/>
      <c r="AY146" s="102"/>
      <c r="AZ146" s="102">
        <v>89.108000000000004</v>
      </c>
      <c r="BA146" s="102">
        <v>89.108435999999998</v>
      </c>
      <c r="BB146" s="102">
        <v>89.108435999999998</v>
      </c>
      <c r="BC146" s="102">
        <v>89.108435999999998</v>
      </c>
      <c r="BD146" s="102">
        <v>89.108435999999998</v>
      </c>
      <c r="BE146" s="102">
        <v>89.108435999999998</v>
      </c>
      <c r="BF146" s="102">
        <v>89.108435999999998</v>
      </c>
      <c r="BG146" s="102">
        <v>89.108435999999998</v>
      </c>
      <c r="BH146" s="102">
        <v>89.108435999999998</v>
      </c>
      <c r="BI146" s="102">
        <v>0</v>
      </c>
      <c r="BJ146" s="102">
        <v>0</v>
      </c>
      <c r="BK146" s="102">
        <v>0</v>
      </c>
      <c r="BL146" s="102">
        <v>0</v>
      </c>
      <c r="BM146" s="102">
        <v>0</v>
      </c>
      <c r="BN146" s="102">
        <v>0</v>
      </c>
      <c r="BO146" s="102">
        <v>0</v>
      </c>
      <c r="BP146" s="102">
        <v>0</v>
      </c>
      <c r="BQ146" s="102">
        <v>0</v>
      </c>
      <c r="BR146" s="102">
        <v>0</v>
      </c>
      <c r="BS146" s="102">
        <v>0</v>
      </c>
      <c r="BT146" s="102">
        <v>0</v>
      </c>
      <c r="BU146" s="102">
        <v>0</v>
      </c>
      <c r="BV146" s="102">
        <v>0</v>
      </c>
      <c r="BW146" s="102">
        <v>0</v>
      </c>
      <c r="BX146" s="102">
        <v>0</v>
      </c>
      <c r="BY146" s="102">
        <v>0</v>
      </c>
      <c r="BZ146" s="102">
        <v>0</v>
      </c>
      <c r="CA146" s="102">
        <v>0</v>
      </c>
      <c r="CB146" s="102">
        <v>0</v>
      </c>
      <c r="CC146" s="102">
        <v>0</v>
      </c>
      <c r="CD146" s="102">
        <v>0</v>
      </c>
      <c r="CE146" s="102">
        <v>0</v>
      </c>
      <c r="CF146" s="102">
        <v>0</v>
      </c>
      <c r="CG146" s="102">
        <v>0</v>
      </c>
      <c r="CH146" s="102">
        <v>0</v>
      </c>
      <c r="CI146" s="102">
        <v>0</v>
      </c>
      <c r="CJ146" s="102">
        <v>0</v>
      </c>
      <c r="CK146" s="102">
        <v>0</v>
      </c>
      <c r="CL146" s="102">
        <v>0</v>
      </c>
      <c r="CM146" s="102">
        <v>0</v>
      </c>
      <c r="CN146" s="102">
        <v>0</v>
      </c>
      <c r="CO146" s="102">
        <v>0</v>
      </c>
      <c r="CP146" s="102">
        <v>0</v>
      </c>
      <c r="CQ146" s="102">
        <v>0</v>
      </c>
      <c r="CR146" s="102">
        <v>0</v>
      </c>
      <c r="CS146" s="102">
        <v>0</v>
      </c>
      <c r="CT146" s="102">
        <v>0</v>
      </c>
      <c r="CU146" s="102">
        <v>0</v>
      </c>
      <c r="CV146" s="102">
        <v>0</v>
      </c>
      <c r="CW146" s="102">
        <v>0</v>
      </c>
      <c r="CX146" s="102">
        <v>0</v>
      </c>
      <c r="CY146" s="102">
        <v>0</v>
      </c>
      <c r="CZ146" s="102">
        <v>0</v>
      </c>
      <c r="DA146" s="102">
        <v>0</v>
      </c>
      <c r="DB146" s="102">
        <v>0</v>
      </c>
      <c r="DC146" s="102">
        <v>0</v>
      </c>
      <c r="DD146" s="102">
        <v>0</v>
      </c>
      <c r="DE146" s="102">
        <v>0</v>
      </c>
      <c r="DF146" s="102">
        <v>0</v>
      </c>
      <c r="DG146" s="102">
        <v>0</v>
      </c>
      <c r="DH146" s="102">
        <v>0</v>
      </c>
      <c r="DJ146" s="102" t="e">
        <v>#VALUE!</v>
      </c>
      <c r="DK146" s="102" t="e">
        <v>#VALUE!</v>
      </c>
      <c r="DL146" s="102" t="e">
        <v>#VALUE!</v>
      </c>
      <c r="DM146" s="102" t="e">
        <v>#VALUE!</v>
      </c>
      <c r="DN146" s="102" t="e">
        <v>#VALUE!</v>
      </c>
      <c r="DO146" s="102" t="e">
        <v>#VALUE!</v>
      </c>
      <c r="DP146" s="102" t="e">
        <v>#VALUE!</v>
      </c>
      <c r="DQ146" s="102" t="e">
        <v>#VALUE!</v>
      </c>
      <c r="DR146" s="102" t="e">
        <v>#VALUE!</v>
      </c>
      <c r="DS146" s="102" t="e">
        <v>#VALUE!</v>
      </c>
      <c r="DT146" s="102" t="e">
        <v>#VALUE!</v>
      </c>
      <c r="DU146" s="102" t="e">
        <v>#VALUE!</v>
      </c>
      <c r="DW146" s="102"/>
      <c r="DX146" s="102"/>
      <c r="DY146" s="102"/>
      <c r="DZ146" s="102"/>
      <c r="EA146" s="102"/>
      <c r="EB146" s="102"/>
      <c r="EC146" s="102"/>
      <c r="ED146" s="102"/>
      <c r="EE146" s="102"/>
      <c r="EF146" s="102"/>
      <c r="EG146" s="102"/>
      <c r="EH146" s="102"/>
      <c r="EI146" s="102"/>
      <c r="EJ146" s="102"/>
      <c r="EK146" s="102"/>
      <c r="EL146" s="102"/>
      <c r="EM146" s="102"/>
      <c r="EN146" s="102"/>
      <c r="EO146" s="102"/>
      <c r="EP146" s="102"/>
      <c r="EQ146" s="102"/>
      <c r="ER146" s="102"/>
      <c r="ES146" s="102"/>
      <c r="ET146" s="102"/>
      <c r="EU146" s="102"/>
      <c r="EV146" s="102"/>
      <c r="EW146" s="102"/>
      <c r="EX146" s="102"/>
      <c r="EY146" s="102"/>
      <c r="EZ146" s="102"/>
      <c r="FA146" s="102"/>
      <c r="FB146" s="102"/>
      <c r="FC146" s="102"/>
      <c r="FD146" s="102"/>
      <c r="FE146" s="102"/>
      <c r="FF146" s="102"/>
      <c r="FG146" s="102" t="e">
        <v>#VALUE!</v>
      </c>
      <c r="FH146" s="102" t="e">
        <v>#VALUE!</v>
      </c>
      <c r="FI146" s="102" t="e">
        <v>#VALUE!</v>
      </c>
      <c r="FJ146" s="102" t="e">
        <v>#VALUE!</v>
      </c>
      <c r="FK146" s="102" t="e">
        <v>#VALUE!</v>
      </c>
      <c r="FL146" s="102" t="e">
        <v>#VALUE!</v>
      </c>
      <c r="FM146" s="102" t="e">
        <v>#VALUE!</v>
      </c>
      <c r="FN146" s="102" t="e">
        <v>#VALUE!</v>
      </c>
      <c r="FO146" s="102" t="e">
        <v>#VALUE!</v>
      </c>
      <c r="FP146" s="102" t="e">
        <v>#VALUE!</v>
      </c>
      <c r="FQ146" s="102" t="e">
        <v>#VALUE!</v>
      </c>
      <c r="FR146" s="102" t="e">
        <v>#VALUE!</v>
      </c>
      <c r="FS146" s="102" t="e">
        <v>#VALUE!</v>
      </c>
      <c r="FT146" s="102" t="e">
        <v>#VALUE!</v>
      </c>
      <c r="FU146" s="102" t="e">
        <v>#VALUE!</v>
      </c>
      <c r="FV146" s="102" t="e">
        <v>#VALUE!</v>
      </c>
      <c r="FW146" s="102" t="e">
        <v>#VALUE!</v>
      </c>
      <c r="FX146" s="102" t="e">
        <v>#VALUE!</v>
      </c>
      <c r="FY146" s="102" t="e">
        <v>#VALUE!</v>
      </c>
      <c r="FZ146" s="102" t="e">
        <v>#VALUE!</v>
      </c>
      <c r="GA146" s="102" t="e">
        <v>#VALUE!</v>
      </c>
      <c r="GB146" s="102" t="e">
        <v>#VALUE!</v>
      </c>
      <c r="GC146" s="102" t="e">
        <v>#VALUE!</v>
      </c>
      <c r="GD146" s="102" t="e">
        <v>#VALUE!</v>
      </c>
      <c r="GF146" s="102"/>
      <c r="GG146" s="102"/>
      <c r="GH146" s="102"/>
      <c r="GI146" s="102"/>
      <c r="GJ146" s="102">
        <f t="shared" si="434"/>
        <v>0</v>
      </c>
      <c r="GK146" s="102">
        <f t="shared" si="407"/>
        <v>0</v>
      </c>
      <c r="GL146" s="102">
        <f t="shared" si="435"/>
        <v>0</v>
      </c>
      <c r="GM146" s="102">
        <f t="shared" si="408"/>
        <v>0</v>
      </c>
      <c r="GN146" s="102" t="e">
        <f t="shared" si="409"/>
        <v>#VALUE!</v>
      </c>
      <c r="GO146" s="102">
        <v>0</v>
      </c>
      <c r="GQ146" s="32"/>
      <c r="GR146" s="32"/>
      <c r="GS146" s="32"/>
      <c r="GT146" s="929" t="str">
        <f t="shared" ref="GT146:GX190" si="499">+IFERROR(GK146/GJ146-1,"")</f>
        <v/>
      </c>
      <c r="GU146" s="929" t="str">
        <f t="shared" si="499"/>
        <v/>
      </c>
      <c r="GV146" s="929" t="str">
        <f t="shared" si="499"/>
        <v/>
      </c>
      <c r="GW146" s="929" t="str">
        <f t="shared" si="499"/>
        <v/>
      </c>
      <c r="GX146" s="32"/>
      <c r="GY146" s="929" t="str">
        <f t="shared" si="492"/>
        <v/>
      </c>
      <c r="HA146" s="102"/>
      <c r="HB146" s="102"/>
      <c r="HC146" s="102"/>
      <c r="HD146" s="102">
        <f t="shared" ref="HD146:HH177" si="500">+GK146-GJ146</f>
        <v>0</v>
      </c>
      <c r="HE146" s="102">
        <f t="shared" si="500"/>
        <v>0</v>
      </c>
      <c r="HF146" s="102">
        <f t="shared" si="500"/>
        <v>0</v>
      </c>
      <c r="HG146" s="102" t="e">
        <f t="shared" si="500"/>
        <v>#VALUE!</v>
      </c>
      <c r="HH146" s="102"/>
      <c r="HI146" s="102">
        <f t="shared" si="493"/>
        <v>0</v>
      </c>
      <c r="HK146" s="973"/>
      <c r="HL146" s="973"/>
      <c r="HM146" s="973"/>
      <c r="HN146" s="973"/>
      <c r="HO146" s="973"/>
      <c r="HP146" s="973"/>
      <c r="HQ146" s="973"/>
      <c r="HR146" s="973"/>
      <c r="HS146" s="973"/>
      <c r="HU146" s="102"/>
      <c r="HV146" s="102"/>
      <c r="HW146" s="102"/>
      <c r="HX146" s="102"/>
      <c r="HY146" s="102">
        <f t="shared" si="462"/>
        <v>89.108435999999998</v>
      </c>
      <c r="HZ146" s="102">
        <f t="shared" si="453"/>
        <v>0</v>
      </c>
      <c r="IA146" s="102">
        <f t="shared" si="414"/>
        <v>0</v>
      </c>
      <c r="IB146" s="102">
        <f t="shared" si="415"/>
        <v>0</v>
      </c>
      <c r="IC146" s="102">
        <f t="shared" si="416"/>
        <v>0</v>
      </c>
      <c r="ID146" s="102" t="e">
        <f t="shared" si="417"/>
        <v>#VALUE!</v>
      </c>
      <c r="IE146" s="102" t="e">
        <f t="shared" si="463"/>
        <v>#VALUE!</v>
      </c>
      <c r="IG146" s="102" t="e">
        <f t="shared" si="464"/>
        <v>#VALUE!</v>
      </c>
      <c r="IH146" s="102" t="e">
        <f t="shared" si="465"/>
        <v>#VALUE!</v>
      </c>
      <c r="II146" s="145"/>
      <c r="IJ146" s="929"/>
      <c r="IK146" s="930"/>
      <c r="IM146" s="973"/>
      <c r="IN146" s="973"/>
      <c r="IP146" s="929" t="str">
        <f t="shared" si="477"/>
        <v/>
      </c>
      <c r="IQ146" s="929" t="str">
        <f t="shared" si="477"/>
        <v/>
      </c>
      <c r="IR146" s="929" t="str">
        <f t="shared" si="477"/>
        <v/>
      </c>
      <c r="IS146" s="929">
        <f t="shared" si="477"/>
        <v>-1</v>
      </c>
      <c r="IT146" s="929" t="str">
        <f t="shared" si="477"/>
        <v/>
      </c>
      <c r="IU146" s="929" t="str">
        <f t="shared" si="477"/>
        <v/>
      </c>
      <c r="IV146" s="929" t="str">
        <f t="shared" si="478"/>
        <v/>
      </c>
      <c r="IX146" s="102">
        <f t="shared" si="422"/>
        <v>0</v>
      </c>
      <c r="IY146" s="102">
        <f t="shared" si="422"/>
        <v>0</v>
      </c>
      <c r="IZ146" s="102">
        <f t="shared" si="422"/>
        <v>89.108435999999998</v>
      </c>
      <c r="JA146" s="102">
        <f t="shared" si="422"/>
        <v>-89.108435999999998</v>
      </c>
      <c r="JB146" s="102">
        <f t="shared" si="422"/>
        <v>0</v>
      </c>
      <c r="JC146" s="102">
        <f t="shared" si="422"/>
        <v>0</v>
      </c>
      <c r="JD146" s="102" t="e">
        <f t="shared" si="423"/>
        <v>#VALUE!</v>
      </c>
      <c r="JF146" s="973"/>
      <c r="JG146" s="973"/>
      <c r="JH146" s="973"/>
      <c r="JI146" s="973"/>
      <c r="JJ146" s="973"/>
      <c r="JK146" s="973"/>
      <c r="JL146" s="973"/>
      <c r="JM146" s="973"/>
      <c r="JO146" s="102">
        <f t="shared" si="494"/>
        <v>0</v>
      </c>
      <c r="JP146" s="102">
        <f t="shared" si="494"/>
        <v>0</v>
      </c>
      <c r="JQ146" s="102">
        <f t="shared" si="494"/>
        <v>0</v>
      </c>
      <c r="JR146" s="102">
        <f t="shared" si="494"/>
        <v>0</v>
      </c>
      <c r="JS146" s="102">
        <f t="shared" si="494"/>
        <v>89.108435999999998</v>
      </c>
      <c r="JT146" s="102">
        <f t="shared" si="425"/>
        <v>0</v>
      </c>
      <c r="JU146" s="102">
        <f t="shared" si="426"/>
        <v>0</v>
      </c>
      <c r="JV146" s="102">
        <f t="shared" si="470"/>
        <v>0</v>
      </c>
      <c r="JW146" s="102">
        <f t="shared" si="470"/>
        <v>0</v>
      </c>
      <c r="JX146" s="102" t="e">
        <f t="shared" si="428"/>
        <v>#VALUE!</v>
      </c>
      <c r="JY146" s="102" t="e">
        <f t="shared" si="471"/>
        <v>#VALUE!</v>
      </c>
      <c r="KB146" s="32" t="str">
        <f t="shared" si="472"/>
        <v xml:space="preserve"> </v>
      </c>
      <c r="KC146" s="32" t="str">
        <f t="shared" si="472"/>
        <v xml:space="preserve"> </v>
      </c>
      <c r="KD146" s="32" t="str">
        <f t="shared" si="472"/>
        <v xml:space="preserve"> </v>
      </c>
      <c r="KE146" s="32">
        <f t="shared" si="472"/>
        <v>-1</v>
      </c>
      <c r="KF146" s="32" t="str">
        <f t="shared" si="472"/>
        <v xml:space="preserve"> </v>
      </c>
      <c r="KG146" s="32" t="str">
        <f t="shared" si="472"/>
        <v xml:space="preserve"> </v>
      </c>
      <c r="KH146" s="32" t="str">
        <f t="shared" si="431"/>
        <v xml:space="preserve"> </v>
      </c>
      <c r="KJ146" s="102">
        <f t="shared" si="473"/>
        <v>0</v>
      </c>
      <c r="KK146" s="102">
        <f t="shared" si="473"/>
        <v>0</v>
      </c>
      <c r="KL146" s="102">
        <f t="shared" si="473"/>
        <v>89.108435999999998</v>
      </c>
      <c r="KM146" s="102">
        <f t="shared" si="473"/>
        <v>-89.108435999999998</v>
      </c>
      <c r="KN146" s="102">
        <f t="shared" si="473"/>
        <v>0</v>
      </c>
      <c r="KO146" s="102">
        <f t="shared" si="473"/>
        <v>0</v>
      </c>
      <c r="KP146" s="102" t="e">
        <f t="shared" si="433"/>
        <v>#VALUE!</v>
      </c>
      <c r="KR146" s="973"/>
      <c r="KS146" s="973"/>
      <c r="KT146" s="973"/>
      <c r="KU146" s="973"/>
      <c r="KV146" s="973"/>
      <c r="KW146" s="973"/>
      <c r="KX146" s="973"/>
      <c r="KY146" s="973"/>
      <c r="KZ146" s="973"/>
    </row>
    <row r="147" spans="1:312" outlineLevel="2">
      <c r="A147" s="884">
        <v>1599</v>
      </c>
      <c r="B147" s="70" t="s">
        <v>641</v>
      </c>
      <c r="C147" s="29" t="s">
        <v>93</v>
      </c>
      <c r="D147" s="31" t="s">
        <v>59</v>
      </c>
      <c r="E147" s="102">
        <v>0</v>
      </c>
      <c r="F147" s="102">
        <v>0</v>
      </c>
      <c r="G147" s="102">
        <v>0</v>
      </c>
      <c r="H147" s="102">
        <v>0</v>
      </c>
      <c r="I147" s="102">
        <v>0</v>
      </c>
      <c r="J147" s="102">
        <v>0</v>
      </c>
      <c r="K147" s="102">
        <v>0</v>
      </c>
      <c r="L147" s="102">
        <v>0</v>
      </c>
      <c r="M147" s="102">
        <v>0</v>
      </c>
      <c r="N147" s="102">
        <v>0</v>
      </c>
      <c r="O147" s="102">
        <v>-31.394378</v>
      </c>
      <c r="P147" s="102">
        <v>0</v>
      </c>
      <c r="Q147" s="102">
        <v>0</v>
      </c>
      <c r="R147" s="102">
        <v>0</v>
      </c>
      <c r="S147" s="102">
        <v>0</v>
      </c>
      <c r="T147" s="102">
        <v>0</v>
      </c>
      <c r="U147" s="102">
        <v>0</v>
      </c>
      <c r="V147" s="102">
        <v>0</v>
      </c>
      <c r="W147" s="102">
        <v>0</v>
      </c>
      <c r="X147" s="102">
        <v>0</v>
      </c>
      <c r="Y147" s="102">
        <v>0</v>
      </c>
      <c r="Z147" s="102">
        <v>0</v>
      </c>
      <c r="AA147" s="102">
        <v>0</v>
      </c>
      <c r="AB147" s="102">
        <v>0</v>
      </c>
      <c r="AC147" s="102">
        <v>0</v>
      </c>
      <c r="AD147" s="102">
        <v>0</v>
      </c>
      <c r="AE147" s="102">
        <v>0</v>
      </c>
      <c r="AF147" s="102">
        <v>0</v>
      </c>
      <c r="AG147" s="102">
        <v>0</v>
      </c>
      <c r="AH147" s="102">
        <v>0</v>
      </c>
      <c r="AI147" s="102">
        <v>0</v>
      </c>
      <c r="AJ147" s="102">
        <v>0</v>
      </c>
      <c r="AK147" s="102">
        <v>0</v>
      </c>
      <c r="AL147" s="102">
        <v>0</v>
      </c>
      <c r="AM147" s="102">
        <v>0</v>
      </c>
      <c r="AN147" s="102">
        <v>0</v>
      </c>
      <c r="AO147" s="102">
        <v>0</v>
      </c>
      <c r="AP147" s="145">
        <v>0</v>
      </c>
      <c r="AQ147" s="220">
        <v>0</v>
      </c>
      <c r="AR147" s="220">
        <v>0</v>
      </c>
      <c r="AS147" s="102">
        <v>0</v>
      </c>
      <c r="AT147" s="102">
        <v>0</v>
      </c>
      <c r="AU147" s="102">
        <v>0</v>
      </c>
      <c r="AV147" s="102">
        <v>0</v>
      </c>
      <c r="AW147" s="102">
        <v>0</v>
      </c>
      <c r="AX147" s="102">
        <v>0</v>
      </c>
      <c r="AY147" s="102">
        <v>0</v>
      </c>
      <c r="AZ147" s="102">
        <v>0</v>
      </c>
      <c r="BA147" s="102">
        <v>0</v>
      </c>
      <c r="BB147" s="102">
        <v>0</v>
      </c>
      <c r="BC147" s="102">
        <v>0</v>
      </c>
      <c r="BD147" s="102">
        <v>0</v>
      </c>
      <c r="BE147" s="102">
        <v>0</v>
      </c>
      <c r="BF147" s="102">
        <v>0</v>
      </c>
      <c r="BG147" s="102">
        <v>0</v>
      </c>
      <c r="BH147" s="102">
        <v>0</v>
      </c>
      <c r="BI147" s="102">
        <v>0</v>
      </c>
      <c r="BJ147" s="102">
        <v>0</v>
      </c>
      <c r="BK147" s="102">
        <v>0</v>
      </c>
      <c r="BL147" s="102">
        <v>0</v>
      </c>
      <c r="BM147" s="102">
        <v>0</v>
      </c>
      <c r="BN147" s="102">
        <v>0</v>
      </c>
      <c r="BO147" s="102">
        <v>0</v>
      </c>
      <c r="BP147" s="102">
        <v>0</v>
      </c>
      <c r="BQ147" s="102">
        <v>0</v>
      </c>
      <c r="BR147" s="102">
        <v>0</v>
      </c>
      <c r="BS147" s="102">
        <v>0</v>
      </c>
      <c r="BT147" s="102">
        <v>0</v>
      </c>
      <c r="BU147" s="102">
        <v>0</v>
      </c>
      <c r="BV147" s="102">
        <v>0</v>
      </c>
      <c r="BW147" s="102">
        <v>0</v>
      </c>
      <c r="BX147" s="102">
        <v>0</v>
      </c>
      <c r="BY147" s="102">
        <v>0</v>
      </c>
      <c r="BZ147" s="102">
        <v>0</v>
      </c>
      <c r="CA147" s="102">
        <v>0</v>
      </c>
      <c r="CB147" s="102">
        <v>0</v>
      </c>
      <c r="CC147" s="102">
        <v>0</v>
      </c>
      <c r="CD147" s="102">
        <v>0</v>
      </c>
      <c r="CE147" s="102">
        <v>0</v>
      </c>
      <c r="CF147" s="102">
        <v>0</v>
      </c>
      <c r="CG147" s="102">
        <v>0</v>
      </c>
      <c r="CH147" s="102">
        <v>0</v>
      </c>
      <c r="CI147" s="102">
        <v>0</v>
      </c>
      <c r="CJ147" s="102">
        <v>0</v>
      </c>
      <c r="CK147" s="102">
        <v>0</v>
      </c>
      <c r="CL147" s="102">
        <v>0</v>
      </c>
      <c r="CM147" s="102">
        <v>0</v>
      </c>
      <c r="CN147" s="102">
        <v>0</v>
      </c>
      <c r="CO147" s="102">
        <v>0</v>
      </c>
      <c r="CP147" s="102">
        <v>0</v>
      </c>
      <c r="CQ147" s="102">
        <v>0</v>
      </c>
      <c r="CR147" s="102">
        <v>0</v>
      </c>
      <c r="CS147" s="102">
        <v>0</v>
      </c>
      <c r="CT147" s="102">
        <v>0</v>
      </c>
      <c r="CU147" s="102">
        <v>0</v>
      </c>
      <c r="CV147" s="102">
        <v>0</v>
      </c>
      <c r="CW147" s="102">
        <v>0</v>
      </c>
      <c r="CX147" s="102">
        <v>0</v>
      </c>
      <c r="CY147" s="102">
        <v>0</v>
      </c>
      <c r="CZ147" s="102">
        <v>0</v>
      </c>
      <c r="DA147" s="102">
        <v>0</v>
      </c>
      <c r="DB147" s="102">
        <v>0</v>
      </c>
      <c r="DC147" s="102">
        <v>0</v>
      </c>
      <c r="DD147" s="102">
        <v>0</v>
      </c>
      <c r="DE147" s="102">
        <v>0</v>
      </c>
      <c r="DF147" s="102">
        <v>0</v>
      </c>
      <c r="DG147" s="102">
        <v>0</v>
      </c>
      <c r="DH147" s="102">
        <v>0</v>
      </c>
      <c r="DJ147" s="102" t="e">
        <v>#VALUE!</v>
      </c>
      <c r="DK147" s="102" t="e">
        <v>#VALUE!</v>
      </c>
      <c r="DL147" s="102" t="e">
        <v>#VALUE!</v>
      </c>
      <c r="DM147" s="102" t="e">
        <v>#VALUE!</v>
      </c>
      <c r="DN147" s="102" t="e">
        <v>#VALUE!</v>
      </c>
      <c r="DO147" s="102" t="e">
        <v>#VALUE!</v>
      </c>
      <c r="DP147" s="102" t="e">
        <v>#VALUE!</v>
      </c>
      <c r="DQ147" s="102" t="e">
        <v>#VALUE!</v>
      </c>
      <c r="DR147" s="102" t="e">
        <v>#VALUE!</v>
      </c>
      <c r="DS147" s="102" t="e">
        <v>#VALUE!</v>
      </c>
      <c r="DT147" s="102" t="e">
        <v>#VALUE!</v>
      </c>
      <c r="DU147" s="102" t="e">
        <v>#VALUE!</v>
      </c>
      <c r="DW147" s="102"/>
      <c r="DX147" s="102"/>
      <c r="DY147" s="102"/>
      <c r="DZ147" s="102"/>
      <c r="EA147" s="102"/>
      <c r="EB147" s="102"/>
      <c r="EC147" s="102"/>
      <c r="ED147" s="102"/>
      <c r="EE147" s="102"/>
      <c r="EF147" s="102"/>
      <c r="EG147" s="102"/>
      <c r="EH147" s="102"/>
      <c r="EI147" s="102">
        <v>0</v>
      </c>
      <c r="EJ147" s="102">
        <v>0</v>
      </c>
      <c r="EK147" s="102">
        <v>0</v>
      </c>
      <c r="EL147" s="102">
        <v>0</v>
      </c>
      <c r="EM147" s="102">
        <v>0</v>
      </c>
      <c r="EN147" s="102">
        <v>0</v>
      </c>
      <c r="EO147" s="102">
        <v>0</v>
      </c>
      <c r="EP147" s="102">
        <v>0</v>
      </c>
      <c r="EQ147" s="102">
        <v>0</v>
      </c>
      <c r="ER147" s="102">
        <v>0</v>
      </c>
      <c r="ES147" s="102">
        <v>0</v>
      </c>
      <c r="ET147" s="102">
        <v>0</v>
      </c>
      <c r="EU147" s="102"/>
      <c r="EV147" s="102"/>
      <c r="EW147" s="102"/>
      <c r="EX147" s="102"/>
      <c r="EY147" s="102"/>
      <c r="EZ147" s="102"/>
      <c r="FA147" s="102"/>
      <c r="FB147" s="102"/>
      <c r="FC147" s="102"/>
      <c r="FD147" s="102"/>
      <c r="FE147" s="102"/>
      <c r="FF147" s="102"/>
      <c r="FG147" s="102" t="e">
        <v>#VALUE!</v>
      </c>
      <c r="FH147" s="102" t="e">
        <v>#VALUE!</v>
      </c>
      <c r="FI147" s="102" t="e">
        <v>#VALUE!</v>
      </c>
      <c r="FJ147" s="102" t="e">
        <v>#VALUE!</v>
      </c>
      <c r="FK147" s="102" t="e">
        <v>#VALUE!</v>
      </c>
      <c r="FL147" s="102" t="e">
        <v>#VALUE!</v>
      </c>
      <c r="FM147" s="102" t="e">
        <v>#VALUE!</v>
      </c>
      <c r="FN147" s="102" t="e">
        <v>#VALUE!</v>
      </c>
      <c r="FO147" s="102" t="e">
        <v>#VALUE!</v>
      </c>
      <c r="FP147" s="102" t="e">
        <v>#VALUE!</v>
      </c>
      <c r="FQ147" s="102" t="e">
        <v>#VALUE!</v>
      </c>
      <c r="FR147" s="102" t="e">
        <v>#VALUE!</v>
      </c>
      <c r="FS147" s="102" t="e">
        <v>#VALUE!</v>
      </c>
      <c r="FT147" s="102" t="e">
        <v>#VALUE!</v>
      </c>
      <c r="FU147" s="102" t="e">
        <v>#VALUE!</v>
      </c>
      <c r="FV147" s="102" t="e">
        <v>#VALUE!</v>
      </c>
      <c r="FW147" s="102" t="e">
        <v>#VALUE!</v>
      </c>
      <c r="FX147" s="102" t="e">
        <v>#VALUE!</v>
      </c>
      <c r="FY147" s="102" t="e">
        <v>#VALUE!</v>
      </c>
      <c r="FZ147" s="102" t="e">
        <v>#VALUE!</v>
      </c>
      <c r="GA147" s="102" t="e">
        <v>#VALUE!</v>
      </c>
      <c r="GB147" s="102" t="e">
        <v>#VALUE!</v>
      </c>
      <c r="GC147" s="102" t="e">
        <v>#VALUE!</v>
      </c>
      <c r="GD147" s="102" t="e">
        <v>#VALUE!</v>
      </c>
      <c r="GF147" s="102">
        <f t="shared" si="458"/>
        <v>0</v>
      </c>
      <c r="GG147" s="102">
        <f t="shared" si="458"/>
        <v>0</v>
      </c>
      <c r="GH147" s="102">
        <f t="shared" si="458"/>
        <v>0</v>
      </c>
      <c r="GI147" s="102">
        <f t="shared" si="458"/>
        <v>0</v>
      </c>
      <c r="GJ147" s="102">
        <f t="shared" si="434"/>
        <v>0</v>
      </c>
      <c r="GK147" s="102">
        <f t="shared" si="407"/>
        <v>0</v>
      </c>
      <c r="GL147" s="102">
        <f t="shared" si="435"/>
        <v>0</v>
      </c>
      <c r="GM147" s="102">
        <f t="shared" si="408"/>
        <v>0</v>
      </c>
      <c r="GN147" s="102" t="e">
        <f t="shared" si="409"/>
        <v>#VALUE!</v>
      </c>
      <c r="GO147" s="102">
        <v>0</v>
      </c>
      <c r="GQ147" s="929" t="str">
        <f t="shared" ref="GQ147:GS156" si="501">+IFERROR(GH147/GG147-1,"")</f>
        <v/>
      </c>
      <c r="GR147" s="929" t="str">
        <f t="shared" si="501"/>
        <v/>
      </c>
      <c r="GS147" s="929" t="str">
        <f t="shared" si="501"/>
        <v/>
      </c>
      <c r="GT147" s="929" t="str">
        <f t="shared" si="499"/>
        <v/>
      </c>
      <c r="GU147" s="929" t="str">
        <f t="shared" si="499"/>
        <v/>
      </c>
      <c r="GV147" s="929" t="str">
        <f t="shared" si="499"/>
        <v/>
      </c>
      <c r="GW147" s="929" t="str">
        <f t="shared" si="499"/>
        <v/>
      </c>
      <c r="GX147" s="929" t="str">
        <f t="shared" si="499"/>
        <v/>
      </c>
      <c r="GY147" s="929" t="str">
        <f t="shared" si="492"/>
        <v/>
      </c>
      <c r="HA147" s="102">
        <f t="shared" ref="HA147:HC156" si="502">+GH147-GG147</f>
        <v>0</v>
      </c>
      <c r="HB147" s="102">
        <f t="shared" si="502"/>
        <v>0</v>
      </c>
      <c r="HC147" s="102">
        <f t="shared" si="502"/>
        <v>0</v>
      </c>
      <c r="HD147" s="102">
        <f t="shared" si="500"/>
        <v>0</v>
      </c>
      <c r="HE147" s="102">
        <f t="shared" si="500"/>
        <v>0</v>
      </c>
      <c r="HF147" s="102">
        <f t="shared" si="500"/>
        <v>0</v>
      </c>
      <c r="HG147" s="102" t="e">
        <f t="shared" si="500"/>
        <v>#VALUE!</v>
      </c>
      <c r="HH147" s="102" t="e">
        <f t="shared" si="500"/>
        <v>#VALUE!</v>
      </c>
      <c r="HI147" s="102">
        <f t="shared" si="493"/>
        <v>0</v>
      </c>
      <c r="HK147" s="973"/>
      <c r="HL147" s="973"/>
      <c r="HM147" s="973"/>
      <c r="HN147" s="973"/>
      <c r="HO147" s="973"/>
      <c r="HP147" s="973"/>
      <c r="HQ147" s="973"/>
      <c r="HR147" s="973"/>
      <c r="HS147" s="973"/>
      <c r="HU147" s="102">
        <f t="shared" ref="HU147:HX156" si="503">+IFERROR(SUMIFS($E147:$AZ147,$E$6:$AZ$6,HU$7,$E$5:$AZ$5,$HW$5),"NA")</f>
        <v>0</v>
      </c>
      <c r="HV147" s="102">
        <f t="shared" si="503"/>
        <v>0</v>
      </c>
      <c r="HW147" s="102">
        <f t="shared" si="503"/>
        <v>0</v>
      </c>
      <c r="HX147" s="102">
        <f t="shared" si="503"/>
        <v>0</v>
      </c>
      <c r="HY147" s="102">
        <f t="shared" si="462"/>
        <v>0</v>
      </c>
      <c r="HZ147" s="102">
        <f t="shared" si="453"/>
        <v>0</v>
      </c>
      <c r="IA147" s="102">
        <f t="shared" si="414"/>
        <v>0</v>
      </c>
      <c r="IB147" s="102">
        <f t="shared" si="415"/>
        <v>0</v>
      </c>
      <c r="IC147" s="102">
        <f t="shared" si="416"/>
        <v>0</v>
      </c>
      <c r="ID147" s="102" t="e">
        <f t="shared" si="417"/>
        <v>#VALUE!</v>
      </c>
      <c r="IE147" s="102" t="e">
        <f t="shared" si="463"/>
        <v>#VALUE!</v>
      </c>
      <c r="IG147" s="102" t="e">
        <f t="shared" si="464"/>
        <v>#VALUE!</v>
      </c>
      <c r="IH147" s="102" t="e">
        <f t="shared" si="465"/>
        <v>#VALUE!</v>
      </c>
      <c r="II147" s="145"/>
      <c r="IJ147" s="929" t="str">
        <f t="shared" si="466"/>
        <v>NA</v>
      </c>
      <c r="IK147" s="930" t="str">
        <f t="shared" si="467"/>
        <v>NA</v>
      </c>
      <c r="IM147" s="973"/>
      <c r="IN147" s="973"/>
      <c r="IP147" s="929" t="str">
        <f t="shared" si="477"/>
        <v/>
      </c>
      <c r="IQ147" s="929" t="str">
        <f t="shared" si="477"/>
        <v/>
      </c>
      <c r="IR147" s="929" t="str">
        <f t="shared" si="477"/>
        <v/>
      </c>
      <c r="IS147" s="929" t="str">
        <f t="shared" si="477"/>
        <v/>
      </c>
      <c r="IT147" s="929" t="str">
        <f t="shared" si="477"/>
        <v/>
      </c>
      <c r="IU147" s="929" t="str">
        <f t="shared" si="477"/>
        <v/>
      </c>
      <c r="IV147" s="929" t="str">
        <f t="shared" si="478"/>
        <v/>
      </c>
      <c r="IX147" s="102">
        <f t="shared" si="422"/>
        <v>0</v>
      </c>
      <c r="IY147" s="102">
        <f t="shared" si="422"/>
        <v>0</v>
      </c>
      <c r="IZ147" s="102">
        <f t="shared" si="422"/>
        <v>0</v>
      </c>
      <c r="JA147" s="102">
        <f t="shared" si="422"/>
        <v>0</v>
      </c>
      <c r="JB147" s="102">
        <f t="shared" si="422"/>
        <v>0</v>
      </c>
      <c r="JC147" s="102">
        <f t="shared" si="422"/>
        <v>0</v>
      </c>
      <c r="JD147" s="102" t="e">
        <f t="shared" si="423"/>
        <v>#VALUE!</v>
      </c>
      <c r="JF147" s="973"/>
      <c r="JG147" s="973"/>
      <c r="JH147" s="973"/>
      <c r="JI147" s="973"/>
      <c r="JJ147" s="973"/>
      <c r="JK147" s="973"/>
      <c r="JL147" s="973"/>
      <c r="JM147" s="973"/>
      <c r="JO147" s="102">
        <f t="shared" si="494"/>
        <v>0</v>
      </c>
      <c r="JP147" s="102">
        <f t="shared" si="494"/>
        <v>0</v>
      </c>
      <c r="JQ147" s="102">
        <f t="shared" si="494"/>
        <v>0</v>
      </c>
      <c r="JR147" s="102">
        <f t="shared" si="494"/>
        <v>0</v>
      </c>
      <c r="JS147" s="102">
        <f t="shared" si="494"/>
        <v>0</v>
      </c>
      <c r="JT147" s="102">
        <f t="shared" si="425"/>
        <v>0</v>
      </c>
      <c r="JU147" s="102">
        <f t="shared" si="426"/>
        <v>0</v>
      </c>
      <c r="JV147" s="102">
        <f t="shared" si="470"/>
        <v>0</v>
      </c>
      <c r="JW147" s="102">
        <f t="shared" si="470"/>
        <v>0</v>
      </c>
      <c r="JX147" s="102" t="e">
        <f t="shared" si="428"/>
        <v>#VALUE!</v>
      </c>
      <c r="JY147" s="102" t="e">
        <f t="shared" si="471"/>
        <v>#VALUE!</v>
      </c>
      <c r="KB147" s="32" t="str">
        <f t="shared" si="472"/>
        <v xml:space="preserve"> </v>
      </c>
      <c r="KC147" s="32" t="str">
        <f t="shared" si="472"/>
        <v xml:space="preserve"> </v>
      </c>
      <c r="KD147" s="32" t="str">
        <f t="shared" si="472"/>
        <v xml:space="preserve"> </v>
      </c>
      <c r="KE147" s="32" t="str">
        <f t="shared" si="472"/>
        <v xml:space="preserve"> </v>
      </c>
      <c r="KF147" s="32" t="str">
        <f t="shared" si="472"/>
        <v xml:space="preserve"> </v>
      </c>
      <c r="KG147" s="32" t="str">
        <f t="shared" si="472"/>
        <v xml:space="preserve"> </v>
      </c>
      <c r="KH147" s="32" t="str">
        <f t="shared" si="431"/>
        <v xml:space="preserve"> </v>
      </c>
      <c r="KJ147" s="102">
        <f t="shared" si="473"/>
        <v>0</v>
      </c>
      <c r="KK147" s="102">
        <f t="shared" si="473"/>
        <v>0</v>
      </c>
      <c r="KL147" s="102">
        <f t="shared" si="473"/>
        <v>0</v>
      </c>
      <c r="KM147" s="102">
        <f t="shared" si="473"/>
        <v>0</v>
      </c>
      <c r="KN147" s="102">
        <f t="shared" si="473"/>
        <v>0</v>
      </c>
      <c r="KO147" s="102">
        <f t="shared" si="473"/>
        <v>0</v>
      </c>
      <c r="KP147" s="102" t="e">
        <f t="shared" si="433"/>
        <v>#VALUE!</v>
      </c>
      <c r="KR147" s="973"/>
      <c r="KS147" s="973"/>
      <c r="KT147" s="973"/>
      <c r="KU147" s="973"/>
      <c r="KV147" s="973"/>
      <c r="KW147" s="973"/>
      <c r="KX147" s="973"/>
      <c r="KY147" s="973"/>
      <c r="KZ147" s="973"/>
    </row>
    <row r="148" spans="1:312" outlineLevel="2">
      <c r="A148" s="884">
        <v>1592</v>
      </c>
      <c r="B148" s="70" t="s">
        <v>715</v>
      </c>
      <c r="C148" s="29" t="s">
        <v>130</v>
      </c>
      <c r="D148" s="31" t="s">
        <v>59</v>
      </c>
      <c r="E148" s="102">
        <v>-2184.08651474</v>
      </c>
      <c r="F148" s="102">
        <v>-2245.1994871699999</v>
      </c>
      <c r="G148" s="102">
        <v>-2325.3205311699999</v>
      </c>
      <c r="H148" s="102">
        <v>-2388.1961801699999</v>
      </c>
      <c r="I148" s="102">
        <v>-2445.3577341300002</v>
      </c>
      <c r="J148" s="102">
        <v>-2508.54253113</v>
      </c>
      <c r="K148" s="102">
        <v>-2556.90031813</v>
      </c>
      <c r="L148" s="102">
        <v>-2606.13401613</v>
      </c>
      <c r="M148" s="102">
        <v>-2606.0749221300002</v>
      </c>
      <c r="N148" s="102">
        <v>-2649.7040531299999</v>
      </c>
      <c r="O148" s="102">
        <v>-2674.8575254499997</v>
      </c>
      <c r="P148" s="102">
        <v>-2702.9848535799997</v>
      </c>
      <c r="Q148" s="102">
        <v>-2783.9172538600005</v>
      </c>
      <c r="R148" s="102">
        <v>-2846.43523852</v>
      </c>
      <c r="S148" s="102">
        <v>-2905.56732018</v>
      </c>
      <c r="T148" s="102">
        <v>-2963.1578714200004</v>
      </c>
      <c r="U148" s="102">
        <v>-3025.2792606900002</v>
      </c>
      <c r="V148" s="102">
        <v>-3078.2601932999996</v>
      </c>
      <c r="W148" s="102">
        <v>-3131.1472305300003</v>
      </c>
      <c r="X148" s="102">
        <v>-3183.8800334500002</v>
      </c>
      <c r="Y148" s="102">
        <v>-3308.1322564100005</v>
      </c>
      <c r="Z148" s="102">
        <v>-3362.1354844900006</v>
      </c>
      <c r="AA148" s="102">
        <v>-3305.5899290399998</v>
      </c>
      <c r="AB148" s="102">
        <v>-3124.4312170499998</v>
      </c>
      <c r="AC148" s="102">
        <v>-3175.1585300499996</v>
      </c>
      <c r="AD148" s="102">
        <v>-3226.1290940499998</v>
      </c>
      <c r="AE148" s="102">
        <v>-3276.7786840100002</v>
      </c>
      <c r="AF148" s="102">
        <v>-3066.0207422099998</v>
      </c>
      <c r="AG148" s="102">
        <v>-3110.0863152099996</v>
      </c>
      <c r="AH148" s="102">
        <v>-3210.2831842100004</v>
      </c>
      <c r="AI148" s="102">
        <v>-3261.9722072099994</v>
      </c>
      <c r="AJ148" s="102">
        <v>-3313.3255252099998</v>
      </c>
      <c r="AK148" s="102">
        <v>-3369.7189822099999</v>
      </c>
      <c r="AL148" s="102">
        <v>-3415.0353992099999</v>
      </c>
      <c r="AM148" s="102">
        <v>-3465.7312632499998</v>
      </c>
      <c r="AN148" s="102">
        <v>-3288.0335372899999</v>
      </c>
      <c r="AO148" s="102">
        <v>-3288.0335372899999</v>
      </c>
      <c r="AP148" s="145">
        <v>-3358.7590414299998</v>
      </c>
      <c r="AQ148" s="220">
        <v>-3325.8874835700003</v>
      </c>
      <c r="AR148" s="220">
        <v>-3508.5001188699998</v>
      </c>
      <c r="AS148" s="102">
        <v>-3674.9940188200003</v>
      </c>
      <c r="AT148" s="102">
        <v>-3704.4421827800002</v>
      </c>
      <c r="AU148" s="102">
        <v>-3790.1776882099998</v>
      </c>
      <c r="AV148" s="102">
        <v>-3849.3367754599999</v>
      </c>
      <c r="AW148" s="102">
        <v>-3866.7933992100002</v>
      </c>
      <c r="AX148" s="102">
        <v>-3937.4038450799999</v>
      </c>
      <c r="AY148" s="102">
        <v>-4017.8090443000001</v>
      </c>
      <c r="AZ148" s="102">
        <v>-3320.607</v>
      </c>
      <c r="BA148" s="102">
        <v>-3406.40736479</v>
      </c>
      <c r="BB148" s="102">
        <v>-3492.2066943300001</v>
      </c>
      <c r="BC148" s="102">
        <v>-3578.0068033000002</v>
      </c>
      <c r="BD148" s="102">
        <v>-3659.1950445900002</v>
      </c>
      <c r="BE148" s="102">
        <v>-3638.4818958999999</v>
      </c>
      <c r="BF148" s="102">
        <v>-3689.3374993499997</v>
      </c>
      <c r="BG148" s="102">
        <v>-3750.3773606</v>
      </c>
      <c r="BH148" s="102">
        <v>-3832.64104086</v>
      </c>
      <c r="BI148" s="102">
        <v>-3875.4281376500003</v>
      </c>
      <c r="BJ148" s="102">
        <v>-3958.6664106100002</v>
      </c>
      <c r="BK148" s="102">
        <v>-4040.90632022</v>
      </c>
      <c r="BL148" s="102">
        <f>-4123.68552633-33</f>
        <v>-4156.6855263300004</v>
      </c>
      <c r="BM148" s="102">
        <v>-4207.3545690399997</v>
      </c>
      <c r="BN148" s="102">
        <v>-4253.6555553899998</v>
      </c>
      <c r="BO148" s="102">
        <v>-4299.4427025100003</v>
      </c>
      <c r="BP148" s="102">
        <v>-4345.1419523999994</v>
      </c>
      <c r="BQ148" s="102">
        <v>-4390.9630573300001</v>
      </c>
      <c r="BR148" s="102">
        <v>-4436.7589587799994</v>
      </c>
      <c r="BS148" s="102">
        <v>-4481.9202683699996</v>
      </c>
      <c r="BT148" s="102">
        <v>-4526.4886106499998</v>
      </c>
      <c r="BU148" s="102">
        <v>-4570.4312018100009</v>
      </c>
      <c r="BV148" s="102">
        <v>-4610.8942711700001</v>
      </c>
      <c r="BW148" s="102">
        <v>-4648.5773919200001</v>
      </c>
      <c r="BX148" s="102">
        <v>-4682.1916530200006</v>
      </c>
      <c r="BY148" s="102">
        <v>-4716.8552712000001</v>
      </c>
      <c r="BZ148" s="102">
        <v>-4753.0313928100004</v>
      </c>
      <c r="CA148" s="102">
        <v>-4789.1555145399998</v>
      </c>
      <c r="CB148" s="102">
        <v>-4823.1564724899999</v>
      </c>
      <c r="CC148" s="102">
        <v>-4857.2924813100008</v>
      </c>
      <c r="CD148" s="102">
        <v>-4891.6215013500005</v>
      </c>
      <c r="CE148" s="102">
        <v>-4925.60886424</v>
      </c>
      <c r="CF148" s="102">
        <v>-4960.9175118200001</v>
      </c>
      <c r="CG148" s="102">
        <v>-4996.5214071999999</v>
      </c>
      <c r="CH148" s="102">
        <v>-5032.9499518100001</v>
      </c>
      <c r="CI148" s="102">
        <v>-5070.2836639999996</v>
      </c>
      <c r="CJ148" s="102">
        <v>-5108.8409856600001</v>
      </c>
      <c r="CK148" s="102">
        <v>-5150.0669657399994</v>
      </c>
      <c r="CL148" s="102">
        <v>-5191.7264001800004</v>
      </c>
      <c r="CM148" s="102">
        <v>-5233.6364738900002</v>
      </c>
      <c r="CN148" s="102">
        <v>-5275.9232839200004</v>
      </c>
      <c r="CO148" s="102">
        <v>-5318.3759333299995</v>
      </c>
      <c r="CP148" s="102">
        <v>-5361.3374911299998</v>
      </c>
      <c r="CQ148" s="102">
        <v>-5406.5644968799998</v>
      </c>
      <c r="CR148" s="102">
        <v>-5452.2411164499999</v>
      </c>
      <c r="CS148" s="102">
        <v>-5454.2410245200008</v>
      </c>
      <c r="CT148" s="102">
        <v>-5501.0138986499996</v>
      </c>
      <c r="CU148" s="102">
        <v>-5548.57520062</v>
      </c>
      <c r="CV148" s="102">
        <v>-5596.9615016400003</v>
      </c>
      <c r="CW148" s="102">
        <v>-5646.0264798999997</v>
      </c>
      <c r="CX148" s="102">
        <v>-5695.2997337299994</v>
      </c>
      <c r="CY148" s="102">
        <v>-5745.90760314</v>
      </c>
      <c r="CZ148" s="102">
        <v>-5797.8428442299992</v>
      </c>
      <c r="DA148" s="102">
        <v>-5850.4221056999995</v>
      </c>
      <c r="DB148" s="102">
        <v>-5870.81237478</v>
      </c>
      <c r="DC148" s="102">
        <v>-5923.0422553500002</v>
      </c>
      <c r="DD148" s="102">
        <v>-5838.3653298500003</v>
      </c>
      <c r="DE148" s="102">
        <v>-5743.30495436</v>
      </c>
      <c r="DF148" s="102">
        <v>-5795.4137626700003</v>
      </c>
      <c r="DG148" s="102">
        <v>-5847.8559978999992</v>
      </c>
      <c r="DH148" s="102">
        <v>-5903.2058341599995</v>
      </c>
      <c r="DJ148" s="1083" t="e">
        <v>#VALUE!</v>
      </c>
      <c r="DK148" s="102" t="e">
        <v>#VALUE!</v>
      </c>
      <c r="DL148" s="102" t="e">
        <v>#VALUE!</v>
      </c>
      <c r="DM148" s="102" t="e">
        <v>#VALUE!</v>
      </c>
      <c r="DN148" s="102" t="e">
        <v>#VALUE!</v>
      </c>
      <c r="DO148" s="102" t="e">
        <v>#VALUE!</v>
      </c>
      <c r="DP148" s="102" t="e">
        <v>#VALUE!</v>
      </c>
      <c r="DQ148" s="102" t="e">
        <v>#VALUE!</v>
      </c>
      <c r="DR148" s="102" t="e">
        <v>#VALUE!</v>
      </c>
      <c r="DS148" s="102" t="e">
        <v>#VALUE!</v>
      </c>
      <c r="DT148" s="102" t="e">
        <v>#VALUE!</v>
      </c>
      <c r="DU148" s="102" t="e">
        <v>#VALUE!</v>
      </c>
      <c r="DW148" s="102">
        <v>-3324.7355944795831</v>
      </c>
      <c r="DX148" s="102">
        <v>-3409.5944408906948</v>
      </c>
      <c r="DY148" s="102">
        <v>-3477.9565685218058</v>
      </c>
      <c r="DZ148" s="102">
        <v>-3556.8303288606949</v>
      </c>
      <c r="EA148" s="102">
        <v>-3620.915946689167</v>
      </c>
      <c r="EB148" s="102">
        <v>-3681.0772070280564</v>
      </c>
      <c r="EC148" s="102">
        <v>-3742.8815229225006</v>
      </c>
      <c r="ED148" s="102">
        <v>-3803.3038943725005</v>
      </c>
      <c r="EE148" s="102">
        <v>-3863.7582102669448</v>
      </c>
      <c r="EF148" s="102">
        <v>-3925.5194706058342</v>
      </c>
      <c r="EG148" s="102">
        <v>-3986.2348976113894</v>
      </c>
      <c r="EH148" s="102">
        <v>-4046.5211579502784</v>
      </c>
      <c r="EI148" s="102">
        <v>-3410.0146948299998</v>
      </c>
      <c r="EJ148" s="102">
        <v>-3518.6413737031999</v>
      </c>
      <c r="EK148" s="102">
        <v>-3623.3247285048051</v>
      </c>
      <c r="EL148" s="102">
        <v>-3724.4424921976797</v>
      </c>
      <c r="EM148" s="102">
        <v>-3821.5839550928386</v>
      </c>
      <c r="EN148" s="102">
        <v>-3914.9081692221916</v>
      </c>
      <c r="EO148" s="102">
        <v>-4004.8886578697043</v>
      </c>
      <c r="EP148" s="102">
        <v>-4091.6316700546495</v>
      </c>
      <c r="EQ148" s="102">
        <v>-4175.1483715021968</v>
      </c>
      <c r="ER148" s="102">
        <v>-4255.5678146418422</v>
      </c>
      <c r="ES148" s="102">
        <v>-4332.8888898059013</v>
      </c>
      <c r="ET148" s="102">
        <v>-4407.2155317133993</v>
      </c>
      <c r="EU148" s="102">
        <v>-4176.605990998909</v>
      </c>
      <c r="EV148" s="102">
        <v>-4239.070203480318</v>
      </c>
      <c r="EW148" s="102">
        <v>-4301.2537909096445</v>
      </c>
      <c r="EX148" s="102">
        <v>-4362.8297970899621</v>
      </c>
      <c r="EY148" s="102">
        <v>-4423.6583267464703</v>
      </c>
      <c r="EZ148" s="102">
        <v>-4483.476841911659</v>
      </c>
      <c r="FA148" s="102">
        <v>-4540.2214829815312</v>
      </c>
      <c r="FB148" s="102">
        <v>-4594.5959006924768</v>
      </c>
      <c r="FC148" s="102">
        <v>-4648.8371033240583</v>
      </c>
      <c r="FD148" s="102">
        <v>-4703.0091284556402</v>
      </c>
      <c r="FE148" s="102">
        <v>-4757.1689965559708</v>
      </c>
      <c r="FF148" s="102">
        <v>-4811.1098662221084</v>
      </c>
      <c r="FG148" s="102" t="e">
        <v>#VALUE!</v>
      </c>
      <c r="FH148" s="102" t="e">
        <v>#VALUE!</v>
      </c>
      <c r="FI148" s="102" t="e">
        <v>#VALUE!</v>
      </c>
      <c r="FJ148" s="102" t="e">
        <v>#VALUE!</v>
      </c>
      <c r="FK148" s="102" t="e">
        <v>#VALUE!</v>
      </c>
      <c r="FL148" s="102" t="e">
        <v>#VALUE!</v>
      </c>
      <c r="FM148" s="102" t="e">
        <v>#VALUE!</v>
      </c>
      <c r="FN148" s="102" t="e">
        <v>#VALUE!</v>
      </c>
      <c r="FO148" s="102" t="e">
        <v>#VALUE!</v>
      </c>
      <c r="FP148" s="102" t="e">
        <v>#VALUE!</v>
      </c>
      <c r="FQ148" s="102" t="e">
        <v>#VALUE!</v>
      </c>
      <c r="FR148" s="102" t="e">
        <v>#VALUE!</v>
      </c>
      <c r="FS148" s="102" t="e">
        <v>#VALUE!</v>
      </c>
      <c r="FT148" s="102" t="e">
        <v>#VALUE!</v>
      </c>
      <c r="FU148" s="102" t="e">
        <v>#VALUE!</v>
      </c>
      <c r="FV148" s="102" t="e">
        <v>#VALUE!</v>
      </c>
      <c r="FW148" s="102" t="e">
        <v>#VALUE!</v>
      </c>
      <c r="FX148" s="102" t="e">
        <v>#VALUE!</v>
      </c>
      <c r="FY148" s="102" t="e">
        <v>#VALUE!</v>
      </c>
      <c r="FZ148" s="102" t="e">
        <v>#VALUE!</v>
      </c>
      <c r="GA148" s="102" t="e">
        <v>#VALUE!</v>
      </c>
      <c r="GB148" s="102" t="e">
        <v>#VALUE!</v>
      </c>
      <c r="GC148" s="102" t="e">
        <v>#VALUE!</v>
      </c>
      <c r="GD148" s="102" t="e">
        <v>#VALUE!</v>
      </c>
      <c r="GE148" s="77"/>
      <c r="GF148" s="102">
        <f t="shared" si="458"/>
        <v>-2702.9848535799997</v>
      </c>
      <c r="GG148" s="102">
        <f t="shared" si="458"/>
        <v>-3124.4312170499998</v>
      </c>
      <c r="GH148" s="102">
        <f t="shared" si="458"/>
        <v>-3288.0335372899999</v>
      </c>
      <c r="GI148" s="102">
        <f t="shared" si="458"/>
        <v>-3320.607</v>
      </c>
      <c r="GJ148" s="102">
        <f t="shared" si="434"/>
        <v>-4156.6855263300004</v>
      </c>
      <c r="GK148" s="102">
        <f t="shared" si="407"/>
        <v>-4682.1916530200006</v>
      </c>
      <c r="GL148" s="102">
        <f t="shared" si="435"/>
        <v>-5108.8409856600001</v>
      </c>
      <c r="GM148" s="102">
        <f t="shared" si="408"/>
        <v>-5596.9615016400003</v>
      </c>
      <c r="GN148" s="102" t="e">
        <f t="shared" si="409"/>
        <v>#VALUE!</v>
      </c>
      <c r="GO148" s="102">
        <v>-5903.2058341599995</v>
      </c>
      <c r="GQ148" s="929">
        <f t="shared" si="501"/>
        <v>5.2362272962586998E-2</v>
      </c>
      <c r="GR148" s="929">
        <f t="shared" si="501"/>
        <v>9.9066698501035777E-3</v>
      </c>
      <c r="GS148" s="929">
        <f t="shared" si="501"/>
        <v>0.25178484726738226</v>
      </c>
      <c r="GT148" s="929">
        <f t="shared" si="499"/>
        <v>0.12642431652845709</v>
      </c>
      <c r="GU148" s="929">
        <f t="shared" si="499"/>
        <v>9.1121714841555512E-2</v>
      </c>
      <c r="GV148" s="929">
        <f t="shared" si="499"/>
        <v>9.5544276549241802E-2</v>
      </c>
      <c r="GW148" s="929" t="str">
        <f t="shared" si="499"/>
        <v/>
      </c>
      <c r="GX148" s="929" t="str">
        <f t="shared" si="499"/>
        <v/>
      </c>
      <c r="GY148" s="929">
        <f t="shared" si="492"/>
        <v>5.471617634501591E-2</v>
      </c>
      <c r="HA148" s="102">
        <f t="shared" si="502"/>
        <v>-163.60232024000015</v>
      </c>
      <c r="HB148" s="102">
        <f t="shared" si="502"/>
        <v>-32.573462710000058</v>
      </c>
      <c r="HC148" s="102">
        <f t="shared" si="502"/>
        <v>-836.07852633000039</v>
      </c>
      <c r="HD148" s="102">
        <f t="shared" si="500"/>
        <v>-525.5061266900002</v>
      </c>
      <c r="HE148" s="102">
        <f t="shared" si="500"/>
        <v>-426.64933263999956</v>
      </c>
      <c r="HF148" s="102">
        <f t="shared" si="500"/>
        <v>-488.12051598000016</v>
      </c>
      <c r="HG148" s="102" t="e">
        <f t="shared" si="500"/>
        <v>#VALUE!</v>
      </c>
      <c r="HH148" s="102" t="e">
        <f t="shared" si="500"/>
        <v>#VALUE!</v>
      </c>
      <c r="HI148" s="102">
        <f t="shared" si="493"/>
        <v>-306.24433251999926</v>
      </c>
      <c r="HK148" s="973"/>
      <c r="HL148" s="973"/>
      <c r="HM148" s="973"/>
      <c r="HN148" s="973"/>
      <c r="HO148" s="973"/>
      <c r="HP148" s="973"/>
      <c r="HQ148" s="973"/>
      <c r="HR148" s="973"/>
      <c r="HS148" s="973"/>
      <c r="HU148" s="102">
        <f t="shared" si="503"/>
        <v>-2508.54253113</v>
      </c>
      <c r="HV148" s="102">
        <f t="shared" si="503"/>
        <v>-3078.2601932999996</v>
      </c>
      <c r="HW148" s="102">
        <f t="shared" si="503"/>
        <v>-3210.2831842100004</v>
      </c>
      <c r="HX148" s="102">
        <f t="shared" si="503"/>
        <v>-3704.4421827800002</v>
      </c>
      <c r="HY148" s="102">
        <f t="shared" si="462"/>
        <v>-3689.3374993499997</v>
      </c>
      <c r="HZ148" s="102">
        <f t="shared" si="453"/>
        <v>-4436.7589587799994</v>
      </c>
      <c r="IA148" s="102">
        <f t="shared" si="414"/>
        <v>-4891.6215013500005</v>
      </c>
      <c r="IB148" s="102">
        <f t="shared" si="415"/>
        <v>-5361.3374911299998</v>
      </c>
      <c r="IC148" s="102">
        <f t="shared" si="416"/>
        <v>-5870.81237478</v>
      </c>
      <c r="ID148" s="102" t="e">
        <f t="shared" si="417"/>
        <v>#VALUE!</v>
      </c>
      <c r="IE148" s="102" t="e">
        <f t="shared" si="463"/>
        <v>#VALUE!</v>
      </c>
      <c r="IG148" s="102" t="e">
        <f t="shared" si="464"/>
        <v>#VALUE!</v>
      </c>
      <c r="IH148" s="102" t="e">
        <f t="shared" si="465"/>
        <v>#VALUE!</v>
      </c>
      <c r="II148" s="145"/>
      <c r="IJ148" s="929" t="str">
        <f t="shared" si="466"/>
        <v>NA</v>
      </c>
      <c r="IK148" s="930" t="str">
        <f t="shared" si="467"/>
        <v>NA</v>
      </c>
      <c r="IM148" s="973"/>
      <c r="IN148" s="973"/>
      <c r="IP148" s="929">
        <f t="shared" si="477"/>
        <v>4.2888834152926991E-2</v>
      </c>
      <c r="IQ148" s="929">
        <f t="shared" si="477"/>
        <v>0.15393003364954061</v>
      </c>
      <c r="IR148" s="929">
        <f t="shared" si="477"/>
        <v>-4.0774515256882804E-3</v>
      </c>
      <c r="IS148" s="929">
        <f t="shared" si="477"/>
        <v>0.20258961387015506</v>
      </c>
      <c r="IT148" s="929">
        <f t="shared" si="477"/>
        <v>0.10252135552008368</v>
      </c>
      <c r="IU148" s="929">
        <f t="shared" si="477"/>
        <v>9.6024598315786802E-2</v>
      </c>
      <c r="IV148" s="929" t="str">
        <f t="shared" si="478"/>
        <v/>
      </c>
      <c r="IX148" s="102">
        <f t="shared" si="422"/>
        <v>-132.02299091000077</v>
      </c>
      <c r="IY148" s="102">
        <f t="shared" si="422"/>
        <v>-494.15899856999977</v>
      </c>
      <c r="IZ148" s="102">
        <f t="shared" si="422"/>
        <v>15.104683430000478</v>
      </c>
      <c r="JA148" s="102">
        <f t="shared" si="422"/>
        <v>-747.42145942999969</v>
      </c>
      <c r="JB148" s="102">
        <f t="shared" si="422"/>
        <v>-454.8625425700011</v>
      </c>
      <c r="JC148" s="102">
        <f t="shared" si="422"/>
        <v>-469.71598977999929</v>
      </c>
      <c r="JD148" s="102" t="e">
        <f t="shared" si="423"/>
        <v>#VALUE!</v>
      </c>
      <c r="JF148" s="973"/>
      <c r="JG148" s="973"/>
      <c r="JH148" s="973"/>
      <c r="JI148" s="973"/>
      <c r="JJ148" s="973"/>
      <c r="JK148" s="973"/>
      <c r="JL148" s="973"/>
      <c r="JM148" s="973"/>
      <c r="JO148" s="102">
        <f t="shared" si="494"/>
        <v>-2508.54253113</v>
      </c>
      <c r="JP148" s="102">
        <f t="shared" si="494"/>
        <v>-3078.2601932999996</v>
      </c>
      <c r="JQ148" s="102">
        <f t="shared" si="494"/>
        <v>-3210.2831842100004</v>
      </c>
      <c r="JR148" s="102">
        <f t="shared" si="494"/>
        <v>-3704.4421827800002</v>
      </c>
      <c r="JS148" s="102">
        <f t="shared" si="494"/>
        <v>-3689.3374993499997</v>
      </c>
      <c r="JT148" s="102">
        <f t="shared" si="425"/>
        <v>-4436.7589587799994</v>
      </c>
      <c r="JU148" s="102">
        <f t="shared" si="426"/>
        <v>-4891.6215013500005</v>
      </c>
      <c r="JV148" s="102">
        <f t="shared" si="470"/>
        <v>-5361.3374911299998</v>
      </c>
      <c r="JW148" s="102">
        <f t="shared" si="470"/>
        <v>-5870.81237478</v>
      </c>
      <c r="JX148" s="102" t="e">
        <f t="shared" si="428"/>
        <v>#VALUE!</v>
      </c>
      <c r="JY148" s="102" t="e">
        <f t="shared" si="471"/>
        <v>#VALUE!</v>
      </c>
      <c r="KB148" s="32">
        <f t="shared" si="472"/>
        <v>4.2888834152926991E-2</v>
      </c>
      <c r="KC148" s="32">
        <f t="shared" si="472"/>
        <v>0.15393003364954061</v>
      </c>
      <c r="KD148" s="32">
        <f t="shared" si="472"/>
        <v>-4.0774515256882804E-3</v>
      </c>
      <c r="KE148" s="32">
        <f t="shared" si="472"/>
        <v>0.20258961387015506</v>
      </c>
      <c r="KF148" s="32">
        <f t="shared" si="472"/>
        <v>0.10252135552008368</v>
      </c>
      <c r="KG148" s="32">
        <f t="shared" si="472"/>
        <v>9.6024598315786802E-2</v>
      </c>
      <c r="KH148" s="32" t="str">
        <f t="shared" si="431"/>
        <v xml:space="preserve"> </v>
      </c>
      <c r="KJ148" s="102">
        <f t="shared" si="473"/>
        <v>-132.02299091000077</v>
      </c>
      <c r="KK148" s="102">
        <f t="shared" si="473"/>
        <v>-494.15899856999977</v>
      </c>
      <c r="KL148" s="102">
        <f t="shared" si="473"/>
        <v>15.104683430000478</v>
      </c>
      <c r="KM148" s="102">
        <f t="shared" si="473"/>
        <v>-747.42145942999969</v>
      </c>
      <c r="KN148" s="102">
        <f t="shared" si="473"/>
        <v>-454.8625425700011</v>
      </c>
      <c r="KO148" s="102">
        <f t="shared" si="473"/>
        <v>-469.71598977999929</v>
      </c>
      <c r="KP148" s="102" t="e">
        <f t="shared" si="433"/>
        <v>#VALUE!</v>
      </c>
      <c r="KR148" s="973"/>
      <c r="KS148" s="973"/>
      <c r="KT148" s="973"/>
      <c r="KU148" s="973"/>
      <c r="KV148" s="973"/>
      <c r="KW148" s="973"/>
      <c r="KX148" s="973"/>
      <c r="KY148" s="973"/>
      <c r="KZ148" s="973"/>
    </row>
    <row r="149" spans="1:312">
      <c r="A149" s="884">
        <v>12</v>
      </c>
      <c r="B149" s="70">
        <v>1245</v>
      </c>
      <c r="C149" s="17" t="s">
        <v>131</v>
      </c>
      <c r="D149" s="31" t="s">
        <v>59</v>
      </c>
      <c r="E149" s="102">
        <v>284.36164810000002</v>
      </c>
      <c r="F149" s="102">
        <v>285.92607423000004</v>
      </c>
      <c r="G149" s="102">
        <v>288.47852711000002</v>
      </c>
      <c r="H149" s="102">
        <v>286.35503545</v>
      </c>
      <c r="I149" s="102">
        <v>290.29528058</v>
      </c>
      <c r="J149" s="102">
        <v>291.09453861000003</v>
      </c>
      <c r="K149" s="102">
        <v>288.89178681999999</v>
      </c>
      <c r="L149" s="102">
        <v>293.40328036</v>
      </c>
      <c r="M149" s="102">
        <v>15250.1689217</v>
      </c>
      <c r="N149" s="102">
        <v>293.99285276000001</v>
      </c>
      <c r="O149" s="102">
        <v>294.27017958000005</v>
      </c>
      <c r="P149" s="102">
        <v>206.72865598999999</v>
      </c>
      <c r="Q149" s="102">
        <v>207.03874762000001</v>
      </c>
      <c r="R149" s="102">
        <v>208.70579877</v>
      </c>
      <c r="S149" s="102">
        <v>208.78937300999999</v>
      </c>
      <c r="T149" s="102">
        <v>207.84240222000003</v>
      </c>
      <c r="U149" s="102">
        <v>209.28274551000001</v>
      </c>
      <c r="V149" s="102">
        <v>206.45250272000001</v>
      </c>
      <c r="W149" s="102">
        <v>206.53305517000001</v>
      </c>
      <c r="X149" s="102">
        <v>207.12462524</v>
      </c>
      <c r="Y149" s="102">
        <v>207.12462524</v>
      </c>
      <c r="Z149" s="102">
        <v>206.02351662999999</v>
      </c>
      <c r="AA149" s="102">
        <v>206.56755569000001</v>
      </c>
      <c r="AB149" s="102">
        <v>604.69869375000007</v>
      </c>
      <c r="AC149" s="102">
        <v>626.07164426999998</v>
      </c>
      <c r="AD149" s="102">
        <v>637.92347560999997</v>
      </c>
      <c r="AE149" s="102">
        <v>613.38298670999995</v>
      </c>
      <c r="AF149" s="102">
        <v>609.43161251000004</v>
      </c>
      <c r="AG149" s="102">
        <v>606.95571102999997</v>
      </c>
      <c r="AH149" s="102">
        <v>602.22788954999999</v>
      </c>
      <c r="AI149" s="102">
        <v>594.58754157999999</v>
      </c>
      <c r="AJ149" s="102">
        <v>592.17090758999984</v>
      </c>
      <c r="AK149" s="102">
        <v>615.16437662999999</v>
      </c>
      <c r="AL149" s="102">
        <v>626.48825520999992</v>
      </c>
      <c r="AM149" s="102">
        <v>667.26321930999984</v>
      </c>
      <c r="AN149" s="102">
        <v>972.32163301000037</v>
      </c>
      <c r="AO149" s="102">
        <v>979.3529950100002</v>
      </c>
      <c r="AP149" s="145">
        <v>979.35299501000009</v>
      </c>
      <c r="AQ149" s="220">
        <v>979.35299501000009</v>
      </c>
      <c r="AR149" s="220">
        <v>979.35299501000009</v>
      </c>
      <c r="AS149" s="102">
        <v>979.35299500999997</v>
      </c>
      <c r="AT149" s="102">
        <v>979.35299501000009</v>
      </c>
      <c r="AU149" s="102">
        <v>972.32163300999991</v>
      </c>
      <c r="AV149" s="102">
        <v>972.32163300999991</v>
      </c>
      <c r="AW149" s="102">
        <v>972.32163301000003</v>
      </c>
      <c r="AX149" s="102">
        <v>668.41231213000003</v>
      </c>
      <c r="AY149" s="102">
        <v>668.41231213000003</v>
      </c>
      <c r="AZ149" s="102">
        <v>309.62942621000002</v>
      </c>
      <c r="BA149" s="102">
        <v>309.62942613999996</v>
      </c>
      <c r="BB149" s="102">
        <v>309.62942613999996</v>
      </c>
      <c r="BC149" s="102">
        <v>309.62942613999996</v>
      </c>
      <c r="BD149" s="102">
        <v>309.62942613999996</v>
      </c>
      <c r="BE149" s="102">
        <v>578.34742614000004</v>
      </c>
      <c r="BF149" s="102">
        <v>309.62942613999996</v>
      </c>
      <c r="BG149" s="102">
        <v>309.62942613999996</v>
      </c>
      <c r="BH149" s="102">
        <v>309.62942613999996</v>
      </c>
      <c r="BI149" s="102">
        <v>309.62942613999996</v>
      </c>
      <c r="BJ149" s="102">
        <v>309.62942614000002</v>
      </c>
      <c r="BK149" s="102">
        <v>0</v>
      </c>
      <c r="BL149" s="102">
        <v>0</v>
      </c>
      <c r="BM149" s="102">
        <v>0</v>
      </c>
      <c r="BN149" s="102">
        <v>0</v>
      </c>
      <c r="BO149" s="102">
        <v>0</v>
      </c>
      <c r="BP149" s="102">
        <v>0</v>
      </c>
      <c r="BQ149" s="102">
        <v>0</v>
      </c>
      <c r="BR149" s="102">
        <v>0</v>
      </c>
      <c r="BS149" s="102">
        <v>0</v>
      </c>
      <c r="BT149" s="102">
        <v>0</v>
      </c>
      <c r="BU149" s="102">
        <v>0</v>
      </c>
      <c r="BV149" s="102">
        <v>0</v>
      </c>
      <c r="BW149" s="102">
        <v>0</v>
      </c>
      <c r="BX149" s="102">
        <v>0</v>
      </c>
      <c r="BY149" s="102">
        <v>0</v>
      </c>
      <c r="BZ149" s="102">
        <v>0</v>
      </c>
      <c r="CA149" s="102">
        <v>0</v>
      </c>
      <c r="CB149" s="102">
        <v>0</v>
      </c>
      <c r="CC149" s="102">
        <v>0</v>
      </c>
      <c r="CD149" s="102">
        <v>0</v>
      </c>
      <c r="CE149" s="102">
        <v>0</v>
      </c>
      <c r="CF149" s="102">
        <v>0</v>
      </c>
      <c r="CG149" s="102">
        <v>0</v>
      </c>
      <c r="CH149" s="102">
        <v>0</v>
      </c>
      <c r="CI149" s="102">
        <v>0</v>
      </c>
      <c r="CJ149" s="102">
        <v>0</v>
      </c>
      <c r="CK149" s="102">
        <v>0</v>
      </c>
      <c r="CL149" s="102">
        <v>0</v>
      </c>
      <c r="CM149" s="102">
        <v>0</v>
      </c>
      <c r="CN149" s="102">
        <v>0</v>
      </c>
      <c r="CO149" s="102">
        <v>0</v>
      </c>
      <c r="CP149" s="102">
        <v>0</v>
      </c>
      <c r="CQ149" s="102">
        <v>0</v>
      </c>
      <c r="CR149" s="102">
        <v>0</v>
      </c>
      <c r="CS149" s="102">
        <v>0</v>
      </c>
      <c r="CT149" s="102">
        <v>0</v>
      </c>
      <c r="CU149" s="102">
        <v>0</v>
      </c>
      <c r="CV149" s="102">
        <v>0</v>
      </c>
      <c r="CW149" s="102">
        <v>0</v>
      </c>
      <c r="CX149" s="102">
        <v>0</v>
      </c>
      <c r="CY149" s="102">
        <v>0</v>
      </c>
      <c r="CZ149" s="102">
        <v>0</v>
      </c>
      <c r="DA149" s="102">
        <v>0</v>
      </c>
      <c r="DB149" s="102">
        <v>1698.31</v>
      </c>
      <c r="DC149" s="102">
        <v>1698.31</v>
      </c>
      <c r="DD149" s="102">
        <v>1698.31</v>
      </c>
      <c r="DE149" s="102">
        <v>1698.31</v>
      </c>
      <c r="DF149" s="102">
        <v>1698.31</v>
      </c>
      <c r="DG149" s="102">
        <v>1398.31</v>
      </c>
      <c r="DH149" s="102">
        <v>798.31</v>
      </c>
      <c r="DJ149" s="102" t="e">
        <v>#VALUE!</v>
      </c>
      <c r="DK149" s="102" t="e">
        <v>#VALUE!</v>
      </c>
      <c r="DL149" s="102" t="e">
        <v>#VALUE!</v>
      </c>
      <c r="DM149" s="102" t="e">
        <v>#VALUE!</v>
      </c>
      <c r="DN149" s="102" t="e">
        <v>#VALUE!</v>
      </c>
      <c r="DO149" s="102" t="e">
        <v>#VALUE!</v>
      </c>
      <c r="DP149" s="102" t="e">
        <v>#VALUE!</v>
      </c>
      <c r="DQ149" s="102" t="e">
        <v>#VALUE!</v>
      </c>
      <c r="DR149" s="102" t="e">
        <v>#VALUE!</v>
      </c>
      <c r="DS149" s="102" t="e">
        <v>#VALUE!</v>
      </c>
      <c r="DT149" s="102" t="e">
        <v>#VALUE!</v>
      </c>
      <c r="DU149" s="102" t="e">
        <v>#VALUE!</v>
      </c>
      <c r="DW149" s="102">
        <v>667.26321930999995</v>
      </c>
      <c r="DX149" s="102">
        <v>667.26321930999995</v>
      </c>
      <c r="DY149" s="102">
        <v>667.26321930999995</v>
      </c>
      <c r="DZ149" s="102">
        <v>667.26321930999995</v>
      </c>
      <c r="EA149" s="102">
        <v>667.26321930999995</v>
      </c>
      <c r="EB149" s="102">
        <v>667.26321930999995</v>
      </c>
      <c r="EC149" s="102">
        <v>667.26321930999995</v>
      </c>
      <c r="ED149" s="102">
        <v>667.26321930999995</v>
      </c>
      <c r="EE149" s="102">
        <v>667.26321930999995</v>
      </c>
      <c r="EF149" s="102">
        <v>667.26321930999995</v>
      </c>
      <c r="EG149" s="102">
        <v>667.26321930999995</v>
      </c>
      <c r="EH149" s="102">
        <v>667.26321930999995</v>
      </c>
      <c r="EI149" s="102">
        <v>578.23681611999996</v>
      </c>
      <c r="EJ149" s="102">
        <v>578.23681611999996</v>
      </c>
      <c r="EK149" s="102">
        <v>578.23681611999996</v>
      </c>
      <c r="EL149" s="102">
        <v>578.23681611999996</v>
      </c>
      <c r="EM149" s="102">
        <v>578.23681611999996</v>
      </c>
      <c r="EN149" s="102">
        <v>578.23681611999996</v>
      </c>
      <c r="EO149" s="102">
        <v>578.23681611999996</v>
      </c>
      <c r="EP149" s="102">
        <v>578.23681611999996</v>
      </c>
      <c r="EQ149" s="102">
        <v>578.23681611999996</v>
      </c>
      <c r="ER149" s="102">
        <v>578.23681611999996</v>
      </c>
      <c r="ES149" s="102">
        <v>578.23681611999996</v>
      </c>
      <c r="ET149" s="102">
        <v>578.23681611999996</v>
      </c>
      <c r="EU149" s="102"/>
      <c r="EV149" s="102"/>
      <c r="EW149" s="102"/>
      <c r="EX149" s="102"/>
      <c r="EY149" s="102"/>
      <c r="EZ149" s="102"/>
      <c r="FA149" s="102"/>
      <c r="FB149" s="102"/>
      <c r="FC149" s="102"/>
      <c r="FD149" s="102"/>
      <c r="FE149" s="102"/>
      <c r="FF149" s="102"/>
      <c r="FG149" s="102" t="e">
        <v>#VALUE!</v>
      </c>
      <c r="FH149" s="102" t="e">
        <v>#VALUE!</v>
      </c>
      <c r="FI149" s="102" t="e">
        <v>#VALUE!</v>
      </c>
      <c r="FJ149" s="102" t="e">
        <v>#VALUE!</v>
      </c>
      <c r="FK149" s="102" t="e">
        <v>#VALUE!</v>
      </c>
      <c r="FL149" s="102" t="e">
        <v>#VALUE!</v>
      </c>
      <c r="FM149" s="102" t="e">
        <v>#VALUE!</v>
      </c>
      <c r="FN149" s="102" t="e">
        <v>#VALUE!</v>
      </c>
      <c r="FO149" s="102" t="e">
        <v>#VALUE!</v>
      </c>
      <c r="FP149" s="102" t="e">
        <v>#VALUE!</v>
      </c>
      <c r="FQ149" s="102" t="e">
        <v>#VALUE!</v>
      </c>
      <c r="FR149" s="102" t="e">
        <v>#VALUE!</v>
      </c>
      <c r="FS149" s="102" t="e">
        <v>#VALUE!</v>
      </c>
      <c r="FT149" s="102" t="e">
        <v>#VALUE!</v>
      </c>
      <c r="FU149" s="102" t="e">
        <v>#VALUE!</v>
      </c>
      <c r="FV149" s="102" t="e">
        <v>#VALUE!</v>
      </c>
      <c r="FW149" s="102" t="e">
        <v>#VALUE!</v>
      </c>
      <c r="FX149" s="102" t="e">
        <v>#VALUE!</v>
      </c>
      <c r="FY149" s="102" t="e">
        <v>#VALUE!</v>
      </c>
      <c r="FZ149" s="102" t="e">
        <v>#VALUE!</v>
      </c>
      <c r="GA149" s="102" t="e">
        <v>#VALUE!</v>
      </c>
      <c r="GB149" s="102" t="e">
        <v>#VALUE!</v>
      </c>
      <c r="GC149" s="102" t="e">
        <v>#VALUE!</v>
      </c>
      <c r="GD149" s="102" t="e">
        <v>#VALUE!</v>
      </c>
      <c r="GF149" s="102">
        <f t="shared" si="458"/>
        <v>206.72865598999999</v>
      </c>
      <c r="GG149" s="102">
        <f t="shared" si="458"/>
        <v>604.69869375000007</v>
      </c>
      <c r="GH149" s="102">
        <f t="shared" si="458"/>
        <v>972.32163301000037</v>
      </c>
      <c r="GI149" s="102">
        <f t="shared" si="458"/>
        <v>309.62942621000002</v>
      </c>
      <c r="GJ149" s="102">
        <f t="shared" si="434"/>
        <v>0</v>
      </c>
      <c r="GK149" s="102">
        <f t="shared" si="407"/>
        <v>0</v>
      </c>
      <c r="GL149" s="102">
        <f t="shared" si="435"/>
        <v>0</v>
      </c>
      <c r="GM149" s="102">
        <f t="shared" si="408"/>
        <v>0</v>
      </c>
      <c r="GN149" s="102" t="e">
        <f t="shared" si="409"/>
        <v>#VALUE!</v>
      </c>
      <c r="GO149" s="102">
        <v>798.31</v>
      </c>
      <c r="GQ149" s="929">
        <f t="shared" si="501"/>
        <v>0.60794399435561908</v>
      </c>
      <c r="GR149" s="929">
        <f t="shared" si="501"/>
        <v>-0.68155657994414343</v>
      </c>
      <c r="GS149" s="929">
        <f t="shared" si="501"/>
        <v>-1</v>
      </c>
      <c r="GT149" s="929" t="str">
        <f t="shared" si="499"/>
        <v/>
      </c>
      <c r="GU149" s="929" t="str">
        <f t="shared" si="499"/>
        <v/>
      </c>
      <c r="GV149" s="929" t="str">
        <f t="shared" si="499"/>
        <v/>
      </c>
      <c r="GW149" s="929" t="str">
        <f t="shared" si="499"/>
        <v/>
      </c>
      <c r="GX149" s="929" t="str">
        <f t="shared" si="499"/>
        <v/>
      </c>
      <c r="GY149" s="929" t="str">
        <f t="shared" si="492"/>
        <v/>
      </c>
      <c r="HA149" s="102">
        <f t="shared" si="502"/>
        <v>367.62293926000029</v>
      </c>
      <c r="HB149" s="102">
        <f t="shared" si="502"/>
        <v>-662.69220680000035</v>
      </c>
      <c r="HC149" s="102">
        <f t="shared" si="502"/>
        <v>-309.62942621000002</v>
      </c>
      <c r="HD149" s="102">
        <f t="shared" si="500"/>
        <v>0</v>
      </c>
      <c r="HE149" s="102">
        <f t="shared" si="500"/>
        <v>0</v>
      </c>
      <c r="HF149" s="102">
        <f t="shared" si="500"/>
        <v>0</v>
      </c>
      <c r="HG149" s="102" t="e">
        <f t="shared" si="500"/>
        <v>#VALUE!</v>
      </c>
      <c r="HH149" s="102" t="e">
        <f t="shared" si="500"/>
        <v>#VALUE!</v>
      </c>
      <c r="HI149" s="102">
        <f t="shared" si="493"/>
        <v>798.31</v>
      </c>
      <c r="HK149" s="973"/>
      <c r="HL149" s="973"/>
      <c r="HM149" s="973"/>
      <c r="HN149" s="973"/>
      <c r="HO149" s="973"/>
      <c r="HP149" s="973"/>
      <c r="HQ149" s="973"/>
      <c r="HR149" s="973"/>
      <c r="HS149" s="973"/>
      <c r="HU149" s="102">
        <f t="shared" si="503"/>
        <v>291.09453861000003</v>
      </c>
      <c r="HV149" s="102">
        <f t="shared" si="503"/>
        <v>206.45250272000001</v>
      </c>
      <c r="HW149" s="102">
        <f t="shared" si="503"/>
        <v>602.22788954999999</v>
      </c>
      <c r="HX149" s="102">
        <f t="shared" si="503"/>
        <v>979.35299501000009</v>
      </c>
      <c r="HY149" s="102">
        <f t="shared" si="462"/>
        <v>309.62942613999996</v>
      </c>
      <c r="HZ149" s="102">
        <f t="shared" si="453"/>
        <v>0</v>
      </c>
      <c r="IA149" s="102">
        <f t="shared" si="414"/>
        <v>0</v>
      </c>
      <c r="IB149" s="102">
        <f t="shared" si="415"/>
        <v>0</v>
      </c>
      <c r="IC149" s="102">
        <f t="shared" si="416"/>
        <v>1698.31</v>
      </c>
      <c r="ID149" s="102" t="e">
        <f t="shared" si="417"/>
        <v>#VALUE!</v>
      </c>
      <c r="IE149" s="102" t="e">
        <f t="shared" si="463"/>
        <v>#VALUE!</v>
      </c>
      <c r="IG149" s="102" t="e">
        <f t="shared" si="464"/>
        <v>#VALUE!</v>
      </c>
      <c r="IH149" s="102" t="e">
        <f t="shared" si="465"/>
        <v>#VALUE!</v>
      </c>
      <c r="II149" s="145"/>
      <c r="IJ149" s="929" t="str">
        <f t="shared" si="466"/>
        <v>NA</v>
      </c>
      <c r="IK149" s="930" t="str">
        <f t="shared" si="467"/>
        <v>NA</v>
      </c>
      <c r="IM149" s="973"/>
      <c r="IN149" s="973"/>
      <c r="IP149" s="929">
        <f t="shared" si="477"/>
        <v>1.9170287674679729</v>
      </c>
      <c r="IQ149" s="929">
        <f t="shared" si="477"/>
        <v>0.6262166067097914</v>
      </c>
      <c r="IR149" s="929">
        <f t="shared" si="477"/>
        <v>-0.6838428761461659</v>
      </c>
      <c r="IS149" s="929">
        <f t="shared" si="477"/>
        <v>-1</v>
      </c>
      <c r="IT149" s="929" t="str">
        <f t="shared" si="477"/>
        <v/>
      </c>
      <c r="IU149" s="929" t="str">
        <f t="shared" si="477"/>
        <v/>
      </c>
      <c r="IV149" s="929" t="str">
        <f t="shared" si="478"/>
        <v/>
      </c>
      <c r="IX149" s="102">
        <f t="shared" si="422"/>
        <v>395.77538683</v>
      </c>
      <c r="IY149" s="102">
        <f t="shared" si="422"/>
        <v>377.1251054600001</v>
      </c>
      <c r="IZ149" s="102">
        <f t="shared" si="422"/>
        <v>-669.72356887000012</v>
      </c>
      <c r="JA149" s="102">
        <f t="shared" si="422"/>
        <v>-309.62942613999996</v>
      </c>
      <c r="JB149" s="102">
        <f t="shared" si="422"/>
        <v>0</v>
      </c>
      <c r="JC149" s="102">
        <f t="shared" si="422"/>
        <v>0</v>
      </c>
      <c r="JD149" s="102" t="e">
        <f t="shared" si="423"/>
        <v>#VALUE!</v>
      </c>
      <c r="JF149" s="973"/>
      <c r="JG149" s="973"/>
      <c r="JH149" s="973"/>
      <c r="JI149" s="973"/>
      <c r="JJ149" s="973"/>
      <c r="JK149" s="973"/>
      <c r="JL149" s="973"/>
      <c r="JM149" s="973"/>
      <c r="JO149" s="102">
        <f t="shared" ref="JO149:JS156" si="504">+SUMIFS($E149:$BX149,$E$6:$BX$6,JO$7,$E$5:$BX$5,$JQ$5)</f>
        <v>291.09453861000003</v>
      </c>
      <c r="JP149" s="102">
        <f t="shared" si="504"/>
        <v>206.45250272000001</v>
      </c>
      <c r="JQ149" s="102">
        <f t="shared" si="504"/>
        <v>602.22788954999999</v>
      </c>
      <c r="JR149" s="102">
        <f t="shared" si="504"/>
        <v>979.35299501000009</v>
      </c>
      <c r="JS149" s="102">
        <f t="shared" si="504"/>
        <v>309.62942613999996</v>
      </c>
      <c r="JT149" s="102">
        <f t="shared" si="425"/>
        <v>0</v>
      </c>
      <c r="JU149" s="102">
        <f t="shared" si="426"/>
        <v>0</v>
      </c>
      <c r="JV149" s="102">
        <f t="shared" ref="JV149:JW156" si="505">+SUMIFS($E149:$DH149,$E$6:$DH$6,JV$7,$E$5:$DH$5,$JQ$5)</f>
        <v>0</v>
      </c>
      <c r="JW149" s="102">
        <f t="shared" si="505"/>
        <v>1698.31</v>
      </c>
      <c r="JX149" s="102" t="e">
        <f t="shared" si="428"/>
        <v>#VALUE!</v>
      </c>
      <c r="JY149" s="102" t="e">
        <f t="shared" si="471"/>
        <v>#VALUE!</v>
      </c>
      <c r="KB149" s="32">
        <f t="shared" si="472"/>
        <v>1.9170287674679729</v>
      </c>
      <c r="KC149" s="32">
        <f t="shared" si="472"/>
        <v>0.6262166067097914</v>
      </c>
      <c r="KD149" s="32">
        <f t="shared" si="472"/>
        <v>-0.6838428761461659</v>
      </c>
      <c r="KE149" s="32">
        <f t="shared" si="472"/>
        <v>-1</v>
      </c>
      <c r="KF149" s="32" t="str">
        <f t="shared" si="472"/>
        <v xml:space="preserve"> </v>
      </c>
      <c r="KG149" s="32" t="str">
        <f t="shared" si="472"/>
        <v xml:space="preserve"> </v>
      </c>
      <c r="KH149" s="32" t="str">
        <f t="shared" si="431"/>
        <v xml:space="preserve"> </v>
      </c>
      <c r="KJ149" s="102">
        <f t="shared" si="473"/>
        <v>395.77538683</v>
      </c>
      <c r="KK149" s="102">
        <f t="shared" si="473"/>
        <v>377.1251054600001</v>
      </c>
      <c r="KL149" s="102">
        <f t="shared" si="473"/>
        <v>-669.72356887000012</v>
      </c>
      <c r="KM149" s="102">
        <f t="shared" si="473"/>
        <v>-309.62942613999996</v>
      </c>
      <c r="KN149" s="102">
        <f t="shared" si="473"/>
        <v>0</v>
      </c>
      <c r="KO149" s="102">
        <f t="shared" si="473"/>
        <v>0</v>
      </c>
      <c r="KP149" s="102" t="e">
        <f t="shared" si="433"/>
        <v>#VALUE!</v>
      </c>
      <c r="KR149" s="973"/>
      <c r="KS149" s="973"/>
      <c r="KT149" s="973"/>
      <c r="KU149" s="973"/>
      <c r="KV149" s="973"/>
      <c r="KW149" s="973"/>
      <c r="KX149" s="973"/>
      <c r="KY149" s="973"/>
      <c r="KZ149" s="973"/>
    </row>
    <row r="150" spans="1:312">
      <c r="A150" s="884"/>
      <c r="B150" s="70"/>
      <c r="C150" s="17" t="s">
        <v>132</v>
      </c>
      <c r="D150" s="31" t="s">
        <v>59</v>
      </c>
      <c r="E150" s="102">
        <v>310.899745</v>
      </c>
      <c r="F150" s="102">
        <v>307.97609499999999</v>
      </c>
      <c r="G150" s="102">
        <v>305.05244500000003</v>
      </c>
      <c r="H150" s="102">
        <v>302.12879500000003</v>
      </c>
      <c r="I150" s="102">
        <v>299.20514500000002</v>
      </c>
      <c r="J150" s="102">
        <v>668.47162287000003</v>
      </c>
      <c r="K150" s="102">
        <v>662.42032474000007</v>
      </c>
      <c r="L150" s="102">
        <v>656.36902660999999</v>
      </c>
      <c r="M150" s="102">
        <v>650.31772848000003</v>
      </c>
      <c r="N150" s="102">
        <v>644.26643035000006</v>
      </c>
      <c r="O150" s="102">
        <v>865.09181521999994</v>
      </c>
      <c r="P150" s="102">
        <v>859.04051708999998</v>
      </c>
      <c r="Q150" s="102">
        <v>846.68708888000003</v>
      </c>
      <c r="R150" s="102">
        <v>851.51782466999998</v>
      </c>
      <c r="S150" s="102">
        <v>847.82626245999995</v>
      </c>
      <c r="T150" s="102">
        <v>809.62680425000008</v>
      </c>
      <c r="U150" s="102">
        <v>797.27337604000002</v>
      </c>
      <c r="V150" s="102">
        <v>784.91994782999996</v>
      </c>
      <c r="W150" s="102">
        <v>772.56651962000001</v>
      </c>
      <c r="X150" s="102">
        <v>760.21309141000006</v>
      </c>
      <c r="Y150" s="102">
        <v>612.10828919999994</v>
      </c>
      <c r="Z150" s="102">
        <v>599.75486099</v>
      </c>
      <c r="AA150" s="102">
        <v>590.88223677999997</v>
      </c>
      <c r="AB150" s="102">
        <v>580.26921057000004</v>
      </c>
      <c r="AC150" s="102">
        <v>569.28458256999988</v>
      </c>
      <c r="AD150" s="102">
        <v>558.29995456999995</v>
      </c>
      <c r="AE150" s="102">
        <v>547.31532657000002</v>
      </c>
      <c r="AF150" s="102">
        <v>536.33069856999998</v>
      </c>
      <c r="AG150" s="102">
        <v>525.34607056999994</v>
      </c>
      <c r="AH150" s="102">
        <v>417.33530357000006</v>
      </c>
      <c r="AI150" s="102">
        <v>407.53392357000007</v>
      </c>
      <c r="AJ150" s="102">
        <v>896.05829560999996</v>
      </c>
      <c r="AK150" s="102">
        <v>882.0693056099999</v>
      </c>
      <c r="AL150" s="102">
        <v>868.08031560999996</v>
      </c>
      <c r="AM150" s="102">
        <v>854.09132561000001</v>
      </c>
      <c r="AN150" s="220">
        <v>84.625561000000005</v>
      </c>
      <c r="AO150" s="220">
        <v>107.46498501999997</v>
      </c>
      <c r="AP150" s="220">
        <v>151.37296296</v>
      </c>
      <c r="AQ150" s="220">
        <v>217.38490894</v>
      </c>
      <c r="AR150" s="220">
        <v>217.38490894</v>
      </c>
      <c r="AS150" s="220">
        <v>335.02293492999996</v>
      </c>
      <c r="AT150" s="220">
        <v>3732.1816451099999</v>
      </c>
      <c r="AU150" s="220">
        <v>3627.5549191499999</v>
      </c>
      <c r="AV150" s="220">
        <v>3591.15705961</v>
      </c>
      <c r="AW150" s="220">
        <v>3582.7693216100001</v>
      </c>
      <c r="AX150" s="220">
        <v>3536.2781986100003</v>
      </c>
      <c r="AY150" s="220">
        <v>3496.0892056100001</v>
      </c>
      <c r="AZ150" s="220">
        <f>SUM(AZ151:AZ153)</f>
        <v>341.86000000000007</v>
      </c>
      <c r="BA150" s="220">
        <v>378.98136895000005</v>
      </c>
      <c r="BB150" s="220">
        <v>366.35405792000006</v>
      </c>
      <c r="BC150" s="220">
        <v>376.31982989000011</v>
      </c>
      <c r="BD150" s="220">
        <v>363.19680435000009</v>
      </c>
      <c r="BE150" s="102">
        <v>354.39921664999997</v>
      </c>
      <c r="BF150" s="102">
        <v>342.44496190999996</v>
      </c>
      <c r="BG150" s="102">
        <v>330.31086494999994</v>
      </c>
      <c r="BH150" s="102">
        <v>436.04017098999998</v>
      </c>
      <c r="BI150" s="102">
        <v>421.83829502999998</v>
      </c>
      <c r="BJ150" s="102">
        <v>407.42237803</v>
      </c>
      <c r="BK150" s="102">
        <v>393.31015329000002</v>
      </c>
      <c r="BL150" s="102">
        <v>225.39206973000012</v>
      </c>
      <c r="BM150" s="220">
        <f t="shared" ref="BM150:DH150" si="506">SUM(BM151:BM153)</f>
        <v>257.84322932999999</v>
      </c>
      <c r="BN150" s="220">
        <f t="shared" si="506"/>
        <v>268.67377633000001</v>
      </c>
      <c r="BO150" s="220">
        <f t="shared" si="506"/>
        <v>337.49387582000003</v>
      </c>
      <c r="BP150" s="220">
        <f t="shared" si="506"/>
        <v>325.67979382000004</v>
      </c>
      <c r="BQ150" s="102">
        <f t="shared" si="506"/>
        <v>314.08798882000002</v>
      </c>
      <c r="BR150" s="102">
        <f t="shared" si="506"/>
        <v>310.26716866000004</v>
      </c>
      <c r="BS150" s="102">
        <f t="shared" si="506"/>
        <v>297.66325308</v>
      </c>
      <c r="BT150" s="102">
        <f t="shared" si="506"/>
        <v>285.27122508000002</v>
      </c>
      <c r="BU150" s="102">
        <f t="shared" si="506"/>
        <v>274.34080424000001</v>
      </c>
      <c r="BV150" s="102">
        <f t="shared" si="506"/>
        <v>267.55905624000002</v>
      </c>
      <c r="BW150" s="102">
        <f t="shared" si="506"/>
        <v>256.18910923999999</v>
      </c>
      <c r="BX150" s="102">
        <f t="shared" si="506"/>
        <v>247.47654420000001</v>
      </c>
      <c r="BY150" s="102">
        <f t="shared" si="506"/>
        <v>289.82160289000001</v>
      </c>
      <c r="BZ150" s="102">
        <f t="shared" si="506"/>
        <v>278.74183089000002</v>
      </c>
      <c r="CA150" s="102">
        <f t="shared" si="506"/>
        <v>264.87293889</v>
      </c>
      <c r="CB150" s="102">
        <f t="shared" si="506"/>
        <v>252.06910689</v>
      </c>
      <c r="CC150" s="102">
        <f t="shared" si="506"/>
        <v>263.24008589000005</v>
      </c>
      <c r="CD150" s="102">
        <f t="shared" si="506"/>
        <v>254.52428689000004</v>
      </c>
      <c r="CE150" s="102">
        <f t="shared" si="506"/>
        <v>240.74428789000001</v>
      </c>
      <c r="CF150" s="102">
        <f t="shared" si="506"/>
        <v>231.90744089000003</v>
      </c>
      <c r="CG150" s="102">
        <f t="shared" si="506"/>
        <v>219.22648288999994</v>
      </c>
      <c r="CH150" s="102">
        <f t="shared" si="506"/>
        <v>206.00483688999986</v>
      </c>
      <c r="CI150" s="102">
        <f t="shared" si="506"/>
        <v>194.81103948999993</v>
      </c>
      <c r="CJ150" s="102">
        <f t="shared" si="506"/>
        <v>174.41584913999998</v>
      </c>
      <c r="CK150" s="102">
        <f t="shared" si="506"/>
        <v>202.62054413999999</v>
      </c>
      <c r="CL150" s="102">
        <f t="shared" si="506"/>
        <v>219.66867414000001</v>
      </c>
      <c r="CM150" s="102">
        <f t="shared" si="506"/>
        <v>204.64069413999999</v>
      </c>
      <c r="CN150" s="102">
        <f t="shared" si="506"/>
        <v>189.65276114</v>
      </c>
      <c r="CO150" s="102">
        <f t="shared" si="506"/>
        <v>190.79042153999995</v>
      </c>
      <c r="CP150" s="102">
        <f t="shared" si="506"/>
        <v>180.05907053999994</v>
      </c>
      <c r="CQ150" s="102">
        <f t="shared" si="506"/>
        <v>171.24843853999994</v>
      </c>
      <c r="CR150" s="102">
        <f t="shared" si="506"/>
        <v>157.47944153999993</v>
      </c>
      <c r="CS150" s="102">
        <f t="shared" si="506"/>
        <v>143.52777953999993</v>
      </c>
      <c r="CT150" s="102">
        <f t="shared" si="506"/>
        <v>131.02077553999999</v>
      </c>
      <c r="CU150" s="102">
        <f t="shared" si="506"/>
        <v>116.84299953999999</v>
      </c>
      <c r="CV150" s="102">
        <f t="shared" si="506"/>
        <v>104.27844770000002</v>
      </c>
      <c r="CW150" s="102">
        <f t="shared" si="506"/>
        <v>132.85033270000002</v>
      </c>
      <c r="CX150" s="102">
        <f t="shared" si="506"/>
        <v>123.08349170000002</v>
      </c>
      <c r="CY150" s="102">
        <f t="shared" si="506"/>
        <v>157.81324721999999</v>
      </c>
      <c r="CZ150" s="102">
        <f t="shared" si="506"/>
        <v>144.38030321999997</v>
      </c>
      <c r="DA150" s="102">
        <f t="shared" si="506"/>
        <v>150.75422592000001</v>
      </c>
      <c r="DB150" s="102">
        <f t="shared" si="506"/>
        <v>142.40554692000001</v>
      </c>
      <c r="DC150" s="102">
        <f t="shared" si="506"/>
        <v>129.91803218000001</v>
      </c>
      <c r="DD150" s="102">
        <f t="shared" si="506"/>
        <v>137.18496819999996</v>
      </c>
      <c r="DE150" s="102">
        <f t="shared" si="506"/>
        <v>151.81933020000002</v>
      </c>
      <c r="DF150" s="102">
        <f t="shared" si="506"/>
        <v>137.11207753999997</v>
      </c>
      <c r="DG150" s="102">
        <f t="shared" si="506"/>
        <v>118.91652353999996</v>
      </c>
      <c r="DH150" s="102">
        <f t="shared" si="506"/>
        <v>100.90566253999995</v>
      </c>
      <c r="DJ150" s="102" t="e">
        <f t="shared" ref="DJ150:EO150" si="507">+SUM(DJ151:DJ153)</f>
        <v>#VALUE!</v>
      </c>
      <c r="DK150" s="102" t="e">
        <f t="shared" si="507"/>
        <v>#VALUE!</v>
      </c>
      <c r="DL150" s="102" t="e">
        <f t="shared" si="507"/>
        <v>#VALUE!</v>
      </c>
      <c r="DM150" s="102" t="e">
        <f t="shared" si="507"/>
        <v>#VALUE!</v>
      </c>
      <c r="DN150" s="102" t="e">
        <f t="shared" si="507"/>
        <v>#VALUE!</v>
      </c>
      <c r="DO150" s="102" t="e">
        <f t="shared" si="507"/>
        <v>#VALUE!</v>
      </c>
      <c r="DP150" s="102" t="e">
        <f t="shared" si="507"/>
        <v>#VALUE!</v>
      </c>
      <c r="DQ150" s="102" t="e">
        <f t="shared" si="507"/>
        <v>#VALUE!</v>
      </c>
      <c r="DR150" s="102" t="e">
        <f t="shared" si="507"/>
        <v>#VALUE!</v>
      </c>
      <c r="DS150" s="102" t="e">
        <f t="shared" si="507"/>
        <v>#VALUE!</v>
      </c>
      <c r="DT150" s="102" t="e">
        <f t="shared" si="507"/>
        <v>#VALUE!</v>
      </c>
      <c r="DU150" s="102" t="e">
        <f t="shared" si="507"/>
        <v>#VALUE!</v>
      </c>
      <c r="DV150" s="279"/>
      <c r="DW150" s="102">
        <f t="shared" si="507"/>
        <v>815.11849367083323</v>
      </c>
      <c r="DX150" s="102">
        <f t="shared" si="507"/>
        <v>890.13465173166662</v>
      </c>
      <c r="DY150" s="102">
        <f t="shared" si="507"/>
        <v>860.15080979250001</v>
      </c>
      <c r="DZ150" s="102">
        <f t="shared" si="507"/>
        <v>830.16696785333329</v>
      </c>
      <c r="EA150" s="102">
        <f t="shared" si="507"/>
        <v>800.18312591416657</v>
      </c>
      <c r="EB150" s="102">
        <f t="shared" si="507"/>
        <v>770.19928397499996</v>
      </c>
      <c r="EC150" s="102">
        <f t="shared" si="507"/>
        <v>740.21544203583335</v>
      </c>
      <c r="ED150" s="102">
        <f t="shared" si="507"/>
        <v>710.23160009666663</v>
      </c>
      <c r="EE150" s="102">
        <f t="shared" si="507"/>
        <v>680.24775815750002</v>
      </c>
      <c r="EF150" s="102">
        <f t="shared" si="507"/>
        <v>650.26391621833329</v>
      </c>
      <c r="EG150" s="102">
        <f t="shared" si="507"/>
        <v>620.28007427916668</v>
      </c>
      <c r="EH150" s="102">
        <f t="shared" si="507"/>
        <v>590.29623233999996</v>
      </c>
      <c r="EI150" s="102">
        <f t="shared" si="507"/>
        <v>3451.8687632526667</v>
      </c>
      <c r="EJ150" s="102">
        <f t="shared" si="507"/>
        <v>3408.0625718696269</v>
      </c>
      <c r="EK150" s="102">
        <f t="shared" si="507"/>
        <v>3366.0086281419085</v>
      </c>
      <c r="EL150" s="102">
        <f t="shared" si="507"/>
        <v>3327.5115088299654</v>
      </c>
      <c r="EM150" s="102">
        <f t="shared" si="507"/>
        <v>3290.6902742905004</v>
      </c>
      <c r="EN150" s="102">
        <f t="shared" si="507"/>
        <v>3255.2858891326132</v>
      </c>
      <c r="EO150" s="102">
        <f t="shared" si="507"/>
        <v>3221.5216793810423</v>
      </c>
      <c r="EP150" s="102">
        <f t="shared" ref="EP150:FS150" si="508">+SUM(EP151:EP153)</f>
        <v>3186.8040380195339</v>
      </c>
      <c r="EQ150" s="102">
        <f t="shared" si="508"/>
        <v>3153.4751023124859</v>
      </c>
      <c r="ER150" s="102">
        <f t="shared" si="508"/>
        <v>3121.4793240337199</v>
      </c>
      <c r="ES150" s="102">
        <f t="shared" si="508"/>
        <v>3090.7633768861042</v>
      </c>
      <c r="ET150" s="102">
        <f t="shared" si="508"/>
        <v>3061.2760676243938</v>
      </c>
      <c r="EU150" s="102">
        <f t="shared" si="508"/>
        <v>504.54086121</v>
      </c>
      <c r="EV150" s="102">
        <f t="shared" si="508"/>
        <v>513.28581921</v>
      </c>
      <c r="EW150" s="102">
        <f t="shared" si="508"/>
        <v>534.18077721000009</v>
      </c>
      <c r="EX150" s="102">
        <f t="shared" si="508"/>
        <v>542.92573521000008</v>
      </c>
      <c r="EY150" s="102">
        <f t="shared" si="508"/>
        <v>551.67069321000008</v>
      </c>
      <c r="EZ150" s="102">
        <f t="shared" si="508"/>
        <v>560.41565121000008</v>
      </c>
      <c r="FA150" s="102">
        <f t="shared" si="508"/>
        <v>569.16060921000008</v>
      </c>
      <c r="FB150" s="102">
        <f t="shared" si="508"/>
        <v>577.90556721000007</v>
      </c>
      <c r="FC150" s="102">
        <f t="shared" si="508"/>
        <v>586.65052521000007</v>
      </c>
      <c r="FD150" s="102">
        <f t="shared" si="508"/>
        <v>595.39548321000007</v>
      </c>
      <c r="FE150" s="102">
        <f t="shared" si="508"/>
        <v>604.14044121000006</v>
      </c>
      <c r="FF150" s="102">
        <f t="shared" si="508"/>
        <v>608.26074601000005</v>
      </c>
      <c r="FG150" s="102" t="e">
        <f t="shared" si="508"/>
        <v>#VALUE!</v>
      </c>
      <c r="FH150" s="102" t="e">
        <f t="shared" si="508"/>
        <v>#VALUE!</v>
      </c>
      <c r="FI150" s="102" t="e">
        <f t="shared" si="508"/>
        <v>#VALUE!</v>
      </c>
      <c r="FJ150" s="102" t="e">
        <f t="shared" si="508"/>
        <v>#VALUE!</v>
      </c>
      <c r="FK150" s="102" t="e">
        <f t="shared" si="508"/>
        <v>#VALUE!</v>
      </c>
      <c r="FL150" s="102" t="e">
        <f t="shared" si="508"/>
        <v>#VALUE!</v>
      </c>
      <c r="FM150" s="102" t="e">
        <f t="shared" si="508"/>
        <v>#VALUE!</v>
      </c>
      <c r="FN150" s="102" t="e">
        <f t="shared" si="508"/>
        <v>#VALUE!</v>
      </c>
      <c r="FO150" s="102" t="e">
        <f t="shared" si="508"/>
        <v>#VALUE!</v>
      </c>
      <c r="FP150" s="102" t="e">
        <f t="shared" si="508"/>
        <v>#VALUE!</v>
      </c>
      <c r="FQ150" s="102" t="e">
        <f t="shared" si="508"/>
        <v>#VALUE!</v>
      </c>
      <c r="FR150" s="102" t="e">
        <f t="shared" si="508"/>
        <v>#VALUE!</v>
      </c>
      <c r="FS150" s="102" t="e">
        <f t="shared" si="508"/>
        <v>#VALUE!</v>
      </c>
      <c r="FT150" s="102" t="e">
        <f t="shared" ref="FT150:GD150" si="509">+SUM(FT151:FT153)</f>
        <v>#VALUE!</v>
      </c>
      <c r="FU150" s="102" t="e">
        <f t="shared" si="509"/>
        <v>#VALUE!</v>
      </c>
      <c r="FV150" s="102" t="e">
        <f t="shared" si="509"/>
        <v>#VALUE!</v>
      </c>
      <c r="FW150" s="102" t="e">
        <f t="shared" si="509"/>
        <v>#VALUE!</v>
      </c>
      <c r="FX150" s="102" t="e">
        <f t="shared" si="509"/>
        <v>#VALUE!</v>
      </c>
      <c r="FY150" s="102" t="e">
        <f t="shared" si="509"/>
        <v>#VALUE!</v>
      </c>
      <c r="FZ150" s="102" t="e">
        <f t="shared" si="509"/>
        <v>#VALUE!</v>
      </c>
      <c r="GA150" s="102" t="e">
        <f t="shared" si="509"/>
        <v>#VALUE!</v>
      </c>
      <c r="GB150" s="102" t="e">
        <f t="shared" si="509"/>
        <v>#VALUE!</v>
      </c>
      <c r="GC150" s="102" t="e">
        <f t="shared" si="509"/>
        <v>#VALUE!</v>
      </c>
      <c r="GD150" s="102" t="e">
        <f t="shared" si="509"/>
        <v>#VALUE!</v>
      </c>
      <c r="GF150" s="102">
        <f t="shared" si="458"/>
        <v>859.04051708999998</v>
      </c>
      <c r="GG150" s="102">
        <f t="shared" si="458"/>
        <v>580.26921057000004</v>
      </c>
      <c r="GH150" s="102">
        <f t="shared" si="458"/>
        <v>84.625561000000005</v>
      </c>
      <c r="GI150" s="102">
        <f t="shared" si="458"/>
        <v>341.86000000000007</v>
      </c>
      <c r="GJ150" s="102">
        <f t="shared" si="434"/>
        <v>225.39206973000012</v>
      </c>
      <c r="GK150" s="102">
        <f t="shared" si="407"/>
        <v>247.47654420000001</v>
      </c>
      <c r="GL150" s="102">
        <f t="shared" si="435"/>
        <v>174.41584913999998</v>
      </c>
      <c r="GM150" s="102">
        <f t="shared" si="408"/>
        <v>104.27844770000002</v>
      </c>
      <c r="GN150" s="102" t="e">
        <f t="shared" si="409"/>
        <v>#VALUE!</v>
      </c>
      <c r="GO150" s="102">
        <v>100.90566253999995</v>
      </c>
      <c r="GQ150" s="929">
        <f t="shared" si="501"/>
        <v>-0.85416155215805423</v>
      </c>
      <c r="GR150" s="929">
        <f t="shared" si="501"/>
        <v>3.0396777990044885</v>
      </c>
      <c r="GS150" s="929">
        <f t="shared" si="501"/>
        <v>-0.34068896703328833</v>
      </c>
      <c r="GT150" s="929">
        <f t="shared" si="499"/>
        <v>9.7982482242854108E-2</v>
      </c>
      <c r="GU150" s="929">
        <f t="shared" si="499"/>
        <v>-0.29522270603938727</v>
      </c>
      <c r="GV150" s="929">
        <f t="shared" si="499"/>
        <v>-0.40212745450502108</v>
      </c>
      <c r="GW150" s="929" t="str">
        <f t="shared" si="499"/>
        <v/>
      </c>
      <c r="GX150" s="929" t="str">
        <f t="shared" si="499"/>
        <v/>
      </c>
      <c r="GY150" s="929">
        <f t="shared" si="492"/>
        <v>-3.234402922551427E-2</v>
      </c>
      <c r="HA150" s="102">
        <f t="shared" si="502"/>
        <v>-495.64364957000004</v>
      </c>
      <c r="HB150" s="102">
        <f t="shared" si="502"/>
        <v>257.23443900000007</v>
      </c>
      <c r="HC150" s="102">
        <f t="shared" si="502"/>
        <v>-116.46793026999995</v>
      </c>
      <c r="HD150" s="102">
        <f t="shared" si="500"/>
        <v>22.08447446999989</v>
      </c>
      <c r="HE150" s="102">
        <f t="shared" si="500"/>
        <v>-73.060695060000029</v>
      </c>
      <c r="HF150" s="102">
        <f t="shared" si="500"/>
        <v>-70.137401439999962</v>
      </c>
      <c r="HG150" s="102" t="e">
        <f t="shared" si="500"/>
        <v>#VALUE!</v>
      </c>
      <c r="HH150" s="102" t="e">
        <f t="shared" si="500"/>
        <v>#VALUE!</v>
      </c>
      <c r="HI150" s="102">
        <f t="shared" si="493"/>
        <v>-3.3727851600000633</v>
      </c>
      <c r="HK150" s="973"/>
      <c r="HL150" s="973"/>
      <c r="HM150" s="973"/>
      <c r="HN150" s="973"/>
      <c r="HO150" s="973"/>
      <c r="HP150" s="973"/>
      <c r="HQ150" s="973"/>
      <c r="HR150" s="973"/>
      <c r="HS150" s="973"/>
      <c r="HU150" s="102">
        <f t="shared" si="503"/>
        <v>668.47162287000003</v>
      </c>
      <c r="HV150" s="102">
        <f t="shared" si="503"/>
        <v>784.91994782999996</v>
      </c>
      <c r="HW150" s="102">
        <f t="shared" si="503"/>
        <v>417.33530357000006</v>
      </c>
      <c r="HX150" s="102">
        <f t="shared" si="503"/>
        <v>3732.1816451099999</v>
      </c>
      <c r="HY150" s="102">
        <f t="shared" si="462"/>
        <v>342.44496190999996</v>
      </c>
      <c r="HZ150" s="102">
        <f t="shared" si="453"/>
        <v>310.26716866000004</v>
      </c>
      <c r="IA150" s="102">
        <f t="shared" si="414"/>
        <v>254.52428689000004</v>
      </c>
      <c r="IB150" s="102">
        <f t="shared" si="415"/>
        <v>180.05907053999994</v>
      </c>
      <c r="IC150" s="102">
        <f t="shared" si="416"/>
        <v>142.40554692000001</v>
      </c>
      <c r="ID150" s="102" t="e">
        <f t="shared" si="417"/>
        <v>#VALUE!</v>
      </c>
      <c r="IE150" s="102" t="e">
        <f t="shared" si="463"/>
        <v>#VALUE!</v>
      </c>
      <c r="IG150" s="102" t="e">
        <f t="shared" si="464"/>
        <v>#VALUE!</v>
      </c>
      <c r="IH150" s="102" t="e">
        <f t="shared" si="465"/>
        <v>#VALUE!</v>
      </c>
      <c r="II150" s="145"/>
      <c r="IJ150" s="929" t="str">
        <f t="shared" si="466"/>
        <v>NA</v>
      </c>
      <c r="IK150" s="930" t="str">
        <f t="shared" si="467"/>
        <v>NA</v>
      </c>
      <c r="IM150" s="973"/>
      <c r="IN150" s="973"/>
      <c r="IP150" s="929">
        <f t="shared" si="477"/>
        <v>-0.46830845014989009</v>
      </c>
      <c r="IQ150" s="929">
        <f t="shared" si="477"/>
        <v>7.9428850451517032</v>
      </c>
      <c r="IR150" s="929">
        <f t="shared" si="477"/>
        <v>-0.9082453657209637</v>
      </c>
      <c r="IS150" s="929">
        <f t="shared" si="477"/>
        <v>-9.3964861011612055E-2</v>
      </c>
      <c r="IT150" s="929">
        <f t="shared" si="477"/>
        <v>-0.1796609096951689</v>
      </c>
      <c r="IU150" s="929">
        <f t="shared" si="477"/>
        <v>-0.29256625078840659</v>
      </c>
      <c r="IV150" s="929" t="str">
        <f t="shared" si="478"/>
        <v/>
      </c>
      <c r="IX150" s="102">
        <f t="shared" si="422"/>
        <v>-367.58464425999989</v>
      </c>
      <c r="IY150" s="102">
        <f t="shared" si="422"/>
        <v>3314.8463415399997</v>
      </c>
      <c r="IZ150" s="102">
        <f t="shared" si="422"/>
        <v>-3389.7366831999998</v>
      </c>
      <c r="JA150" s="102">
        <f t="shared" si="422"/>
        <v>-32.177793249999922</v>
      </c>
      <c r="JB150" s="102">
        <f t="shared" si="422"/>
        <v>-55.742881769999997</v>
      </c>
      <c r="JC150" s="102">
        <f t="shared" si="422"/>
        <v>-74.465216350000105</v>
      </c>
      <c r="JD150" s="102" t="e">
        <f t="shared" si="423"/>
        <v>#VALUE!</v>
      </c>
      <c r="JF150" s="973"/>
      <c r="JG150" s="973"/>
      <c r="JH150" s="973"/>
      <c r="JI150" s="973"/>
      <c r="JJ150" s="973"/>
      <c r="JK150" s="973"/>
      <c r="JL150" s="973"/>
      <c r="JM150" s="973"/>
      <c r="JO150" s="102">
        <f t="shared" si="504"/>
        <v>668.47162287000003</v>
      </c>
      <c r="JP150" s="102">
        <f t="shared" si="504"/>
        <v>784.91994782999996</v>
      </c>
      <c r="JQ150" s="102">
        <f t="shared" si="504"/>
        <v>417.33530357000006</v>
      </c>
      <c r="JR150" s="102">
        <f t="shared" si="504"/>
        <v>3732.1816451099999</v>
      </c>
      <c r="JS150" s="102">
        <f t="shared" si="504"/>
        <v>342.44496190999996</v>
      </c>
      <c r="JT150" s="102">
        <f t="shared" si="425"/>
        <v>310.26716866000004</v>
      </c>
      <c r="JU150" s="102">
        <f t="shared" si="426"/>
        <v>254.52428689000004</v>
      </c>
      <c r="JV150" s="102">
        <f t="shared" si="505"/>
        <v>180.05907053999994</v>
      </c>
      <c r="JW150" s="102">
        <f t="shared" si="505"/>
        <v>142.40554692000001</v>
      </c>
      <c r="JX150" s="102" t="e">
        <f t="shared" si="428"/>
        <v>#VALUE!</v>
      </c>
      <c r="JY150" s="102" t="e">
        <f t="shared" si="471"/>
        <v>#VALUE!</v>
      </c>
      <c r="KB150" s="32">
        <f t="shared" si="472"/>
        <v>-0.46830845014989009</v>
      </c>
      <c r="KC150" s="32">
        <f t="shared" si="472"/>
        <v>7.9428850451517032</v>
      </c>
      <c r="KD150" s="32">
        <f t="shared" si="472"/>
        <v>-0.9082453657209637</v>
      </c>
      <c r="KE150" s="32">
        <f t="shared" si="472"/>
        <v>-9.3964861011612055E-2</v>
      </c>
      <c r="KF150" s="32">
        <f t="shared" si="472"/>
        <v>-0.1796609096951689</v>
      </c>
      <c r="KG150" s="32">
        <f t="shared" si="472"/>
        <v>-0.29256625078840659</v>
      </c>
      <c r="KH150" s="32" t="str">
        <f t="shared" si="431"/>
        <v xml:space="preserve"> </v>
      </c>
      <c r="KJ150" s="102">
        <f t="shared" si="473"/>
        <v>-367.58464425999989</v>
      </c>
      <c r="KK150" s="102">
        <f t="shared" si="473"/>
        <v>3314.8463415399997</v>
      </c>
      <c r="KL150" s="102">
        <f t="shared" si="473"/>
        <v>-3389.7366831999998</v>
      </c>
      <c r="KM150" s="102">
        <f t="shared" si="473"/>
        <v>-32.177793249999922</v>
      </c>
      <c r="KN150" s="102">
        <f t="shared" si="473"/>
        <v>-55.742881769999997</v>
      </c>
      <c r="KO150" s="102">
        <f t="shared" si="473"/>
        <v>-74.465216350000105</v>
      </c>
      <c r="KP150" s="102" t="e">
        <f t="shared" si="433"/>
        <v>#VALUE!</v>
      </c>
      <c r="KR150" s="973"/>
      <c r="KS150" s="973"/>
      <c r="KT150" s="973"/>
      <c r="KU150" s="973"/>
      <c r="KV150" s="973"/>
      <c r="KW150" s="973"/>
      <c r="KX150" s="973"/>
      <c r="KY150" s="973"/>
      <c r="KZ150" s="973"/>
    </row>
    <row r="151" spans="1:312" outlineLevel="1">
      <c r="A151" s="884">
        <v>1625</v>
      </c>
      <c r="B151" s="70" t="s">
        <v>716</v>
      </c>
      <c r="C151" s="29" t="s">
        <v>133</v>
      </c>
      <c r="D151" s="31"/>
      <c r="E151" s="102">
        <v>359.83782400000001</v>
      </c>
      <c r="F151" s="102">
        <v>359.83782400000001</v>
      </c>
      <c r="G151" s="102">
        <v>359.83782400000001</v>
      </c>
      <c r="H151" s="102">
        <v>359.83782400000001</v>
      </c>
      <c r="I151" s="102">
        <v>359.83782400000001</v>
      </c>
      <c r="J151" s="102">
        <v>735.15560000000005</v>
      </c>
      <c r="K151" s="102">
        <v>735.15560000000005</v>
      </c>
      <c r="L151" s="102">
        <v>735.15560000000005</v>
      </c>
      <c r="M151" s="102">
        <v>735.15560000000005</v>
      </c>
      <c r="N151" s="102">
        <v>735.15560000000005</v>
      </c>
      <c r="O151" s="102">
        <v>962.03228300000001</v>
      </c>
      <c r="P151" s="102">
        <v>962.03228300000001</v>
      </c>
      <c r="Q151" s="102">
        <v>962.03228300000001</v>
      </c>
      <c r="R151" s="102">
        <v>979.21644700000002</v>
      </c>
      <c r="S151" s="102">
        <v>987.87831299999993</v>
      </c>
      <c r="T151" s="102">
        <v>962.03228300000001</v>
      </c>
      <c r="U151" s="102">
        <v>962.03228300000001</v>
      </c>
      <c r="V151" s="102">
        <v>962.03228300000001</v>
      </c>
      <c r="W151" s="102">
        <v>962.03228300000001</v>
      </c>
      <c r="X151" s="102">
        <v>962.03228300000001</v>
      </c>
      <c r="Y151" s="102">
        <v>753.18400799999995</v>
      </c>
      <c r="Z151" s="102">
        <v>753.18400799999995</v>
      </c>
      <c r="AA151" s="102">
        <v>753.18400799999995</v>
      </c>
      <c r="AB151" s="102">
        <v>753.18400799999995</v>
      </c>
      <c r="AC151" s="102">
        <v>753.18400799999995</v>
      </c>
      <c r="AD151" s="102">
        <v>753.18400799999995</v>
      </c>
      <c r="AE151" s="102">
        <v>753.18400799999995</v>
      </c>
      <c r="AF151" s="102">
        <v>753.18400799999995</v>
      </c>
      <c r="AG151" s="102">
        <v>753.18400799999995</v>
      </c>
      <c r="AH151" s="102">
        <v>611.19445900000005</v>
      </c>
      <c r="AI151" s="102">
        <v>611.19445900000005</v>
      </c>
      <c r="AJ151" s="102">
        <v>1113.707825</v>
      </c>
      <c r="AK151" s="102">
        <v>1113.707825</v>
      </c>
      <c r="AL151" s="102">
        <v>1113.707825</v>
      </c>
      <c r="AM151" s="102">
        <v>1113.707825</v>
      </c>
      <c r="AN151" s="102">
        <v>9</v>
      </c>
      <c r="AO151" s="102">
        <v>9</v>
      </c>
      <c r="AP151" s="145">
        <v>9</v>
      </c>
      <c r="AQ151" s="220">
        <v>9</v>
      </c>
      <c r="AR151" s="220">
        <v>9</v>
      </c>
      <c r="AS151" s="102">
        <v>98.108435999999998</v>
      </c>
      <c r="AT151" s="102">
        <v>3448.108436</v>
      </c>
      <c r="AU151" s="102">
        <v>3448.108436</v>
      </c>
      <c r="AV151" s="102">
        <v>3448.108436</v>
      </c>
      <c r="AW151" s="102">
        <v>3448.108436</v>
      </c>
      <c r="AX151" s="102">
        <v>3448.108436</v>
      </c>
      <c r="AY151" s="102">
        <v>3448.108436</v>
      </c>
      <c r="AZ151" s="102">
        <v>9</v>
      </c>
      <c r="BA151" s="102">
        <v>9</v>
      </c>
      <c r="BB151" s="102">
        <v>9</v>
      </c>
      <c r="BC151" s="102">
        <v>9</v>
      </c>
      <c r="BD151" s="102">
        <v>9</v>
      </c>
      <c r="BE151" s="102">
        <v>9</v>
      </c>
      <c r="BF151" s="102">
        <v>9</v>
      </c>
      <c r="BG151" s="102">
        <v>9</v>
      </c>
      <c r="BH151" s="102">
        <v>9</v>
      </c>
      <c r="BI151" s="102">
        <v>9</v>
      </c>
      <c r="BJ151" s="102">
        <v>9</v>
      </c>
      <c r="BK151" s="102">
        <v>9</v>
      </c>
      <c r="BL151" s="102">
        <v>9</v>
      </c>
      <c r="BM151" s="102">
        <v>9</v>
      </c>
      <c r="BN151" s="102">
        <v>9</v>
      </c>
      <c r="BO151" s="102">
        <v>9</v>
      </c>
      <c r="BP151" s="102">
        <v>9</v>
      </c>
      <c r="BQ151" s="102">
        <v>9</v>
      </c>
      <c r="BR151" s="102">
        <v>9</v>
      </c>
      <c r="BS151" s="102">
        <v>9</v>
      </c>
      <c r="BT151" s="102">
        <v>9</v>
      </c>
      <c r="BU151" s="102">
        <v>9</v>
      </c>
      <c r="BV151" s="102">
        <v>9</v>
      </c>
      <c r="BW151" s="102">
        <v>9</v>
      </c>
      <c r="BX151" s="102">
        <v>9</v>
      </c>
      <c r="BY151" s="102">
        <v>9</v>
      </c>
      <c r="BZ151" s="102">
        <v>9</v>
      </c>
      <c r="CA151" s="102">
        <v>9</v>
      </c>
      <c r="CB151" s="102">
        <v>9</v>
      </c>
      <c r="CC151" s="102">
        <v>9</v>
      </c>
      <c r="CD151" s="102">
        <v>9</v>
      </c>
      <c r="CE151" s="102">
        <v>9</v>
      </c>
      <c r="CF151" s="102">
        <v>9</v>
      </c>
      <c r="CG151" s="102">
        <v>9</v>
      </c>
      <c r="CH151" s="102">
        <v>9</v>
      </c>
      <c r="CI151" s="102">
        <v>9</v>
      </c>
      <c r="CJ151" s="102">
        <v>9</v>
      </c>
      <c r="CK151" s="102">
        <v>9</v>
      </c>
      <c r="CL151" s="102">
        <v>9</v>
      </c>
      <c r="CM151" s="102">
        <v>9</v>
      </c>
      <c r="CN151" s="102">
        <v>9</v>
      </c>
      <c r="CO151" s="102">
        <v>9</v>
      </c>
      <c r="CP151" s="102">
        <v>9</v>
      </c>
      <c r="CQ151" s="102">
        <v>9</v>
      </c>
      <c r="CR151" s="102">
        <v>9</v>
      </c>
      <c r="CS151" s="102">
        <v>9</v>
      </c>
      <c r="CT151" s="102">
        <v>9</v>
      </c>
      <c r="CU151" s="102">
        <v>9</v>
      </c>
      <c r="CV151" s="102">
        <v>9</v>
      </c>
      <c r="CW151" s="102">
        <v>9</v>
      </c>
      <c r="CX151" s="102">
        <v>9</v>
      </c>
      <c r="CY151" s="102">
        <v>9</v>
      </c>
      <c r="CZ151" s="102">
        <v>9</v>
      </c>
      <c r="DA151" s="102">
        <v>9</v>
      </c>
      <c r="DB151" s="102">
        <v>9</v>
      </c>
      <c r="DC151" s="102">
        <v>9</v>
      </c>
      <c r="DD151" s="102">
        <v>9</v>
      </c>
      <c r="DE151" s="102">
        <v>9</v>
      </c>
      <c r="DF151" s="102">
        <v>9</v>
      </c>
      <c r="DG151" s="102">
        <v>9</v>
      </c>
      <c r="DH151" s="102">
        <v>9</v>
      </c>
      <c r="DJ151" s="102" t="e">
        <v>#VALUE!</v>
      </c>
      <c r="DK151" s="102" t="e">
        <v>#VALUE!</v>
      </c>
      <c r="DL151" s="102" t="e">
        <v>#VALUE!</v>
      </c>
      <c r="DM151" s="102" t="e">
        <v>#VALUE!</v>
      </c>
      <c r="DN151" s="102" t="e">
        <v>#VALUE!</v>
      </c>
      <c r="DO151" s="102" t="e">
        <v>#VALUE!</v>
      </c>
      <c r="DP151" s="102" t="e">
        <v>#VALUE!</v>
      </c>
      <c r="DQ151" s="102" t="e">
        <v>#VALUE!</v>
      </c>
      <c r="DR151" s="102" t="e">
        <v>#VALUE!</v>
      </c>
      <c r="DS151" s="102" t="e">
        <v>#VALUE!</v>
      </c>
      <c r="DT151" s="102" t="e">
        <v>#VALUE!</v>
      </c>
      <c r="DU151" s="102" t="e">
        <v>#VALUE!</v>
      </c>
      <c r="DW151" s="102">
        <v>1113.707825</v>
      </c>
      <c r="DX151" s="102">
        <v>1213.707825</v>
      </c>
      <c r="DY151" s="102">
        <v>1213.707825</v>
      </c>
      <c r="DZ151" s="102">
        <v>1213.707825</v>
      </c>
      <c r="EA151" s="102">
        <v>1213.707825</v>
      </c>
      <c r="EB151" s="102">
        <v>1213.707825</v>
      </c>
      <c r="EC151" s="102">
        <v>1213.707825</v>
      </c>
      <c r="ED151" s="102">
        <v>1213.707825</v>
      </c>
      <c r="EE151" s="102">
        <v>1213.707825</v>
      </c>
      <c r="EF151" s="102">
        <v>1213.707825</v>
      </c>
      <c r="EG151" s="102">
        <v>1213.707825</v>
      </c>
      <c r="EH151" s="102">
        <v>1213.707825</v>
      </c>
      <c r="EI151" s="102">
        <v>3448.108436</v>
      </c>
      <c r="EJ151" s="102">
        <v>3448.108436</v>
      </c>
      <c r="EK151" s="102">
        <v>3448.108436</v>
      </c>
      <c r="EL151" s="102">
        <v>3448.108436</v>
      </c>
      <c r="EM151" s="102">
        <v>3448.108436</v>
      </c>
      <c r="EN151" s="102">
        <v>3448.108436</v>
      </c>
      <c r="EO151" s="102">
        <v>3448.108436</v>
      </c>
      <c r="EP151" s="102">
        <v>3448.108436</v>
      </c>
      <c r="EQ151" s="102">
        <v>3448.108436</v>
      </c>
      <c r="ER151" s="102">
        <v>3448.108436</v>
      </c>
      <c r="ES151" s="102">
        <v>3448.108436</v>
      </c>
      <c r="ET151" s="102">
        <v>3448.108436</v>
      </c>
      <c r="EU151" s="102">
        <v>9</v>
      </c>
      <c r="EV151" s="102">
        <v>9</v>
      </c>
      <c r="EW151" s="102">
        <v>9</v>
      </c>
      <c r="EX151" s="102">
        <v>9</v>
      </c>
      <c r="EY151" s="102">
        <v>9</v>
      </c>
      <c r="EZ151" s="102">
        <v>9</v>
      </c>
      <c r="FA151" s="102">
        <v>9</v>
      </c>
      <c r="FB151" s="102">
        <v>9</v>
      </c>
      <c r="FC151" s="102">
        <v>9</v>
      </c>
      <c r="FD151" s="102">
        <v>9</v>
      </c>
      <c r="FE151" s="102">
        <v>9</v>
      </c>
      <c r="FF151" s="102">
        <v>9</v>
      </c>
      <c r="FG151" s="102" t="e">
        <v>#VALUE!</v>
      </c>
      <c r="FH151" s="102" t="e">
        <v>#VALUE!</v>
      </c>
      <c r="FI151" s="102" t="e">
        <v>#VALUE!</v>
      </c>
      <c r="FJ151" s="102" t="e">
        <v>#VALUE!</v>
      </c>
      <c r="FK151" s="102" t="e">
        <v>#VALUE!</v>
      </c>
      <c r="FL151" s="102" t="e">
        <v>#VALUE!</v>
      </c>
      <c r="FM151" s="102" t="e">
        <v>#VALUE!</v>
      </c>
      <c r="FN151" s="102" t="e">
        <v>#VALUE!</v>
      </c>
      <c r="FO151" s="102" t="e">
        <v>#VALUE!</v>
      </c>
      <c r="FP151" s="102" t="e">
        <v>#VALUE!</v>
      </c>
      <c r="FQ151" s="102" t="e">
        <v>#VALUE!</v>
      </c>
      <c r="FR151" s="102" t="e">
        <v>#VALUE!</v>
      </c>
      <c r="FS151" s="102" t="e">
        <v>#VALUE!</v>
      </c>
      <c r="FT151" s="102" t="e">
        <v>#VALUE!</v>
      </c>
      <c r="FU151" s="102" t="e">
        <v>#VALUE!</v>
      </c>
      <c r="FV151" s="102" t="e">
        <v>#VALUE!</v>
      </c>
      <c r="FW151" s="102" t="e">
        <v>#VALUE!</v>
      </c>
      <c r="FX151" s="102" t="e">
        <v>#VALUE!</v>
      </c>
      <c r="FY151" s="102" t="e">
        <v>#VALUE!</v>
      </c>
      <c r="FZ151" s="102" t="e">
        <v>#VALUE!</v>
      </c>
      <c r="GA151" s="102" t="e">
        <v>#VALUE!</v>
      </c>
      <c r="GB151" s="102" t="e">
        <v>#VALUE!</v>
      </c>
      <c r="GC151" s="102" t="e">
        <v>#VALUE!</v>
      </c>
      <c r="GD151" s="102" t="e">
        <v>#VALUE!</v>
      </c>
      <c r="GF151" s="102">
        <f t="shared" si="458"/>
        <v>962.03228300000001</v>
      </c>
      <c r="GG151" s="102">
        <f t="shared" si="458"/>
        <v>753.18400799999995</v>
      </c>
      <c r="GH151" s="102">
        <f t="shared" si="458"/>
        <v>9</v>
      </c>
      <c r="GI151" s="102">
        <f t="shared" si="458"/>
        <v>9</v>
      </c>
      <c r="GJ151" s="102">
        <f t="shared" si="434"/>
        <v>9</v>
      </c>
      <c r="GK151" s="102">
        <f t="shared" si="407"/>
        <v>9</v>
      </c>
      <c r="GL151" s="102">
        <f t="shared" si="435"/>
        <v>9</v>
      </c>
      <c r="GM151" s="102">
        <f t="shared" si="408"/>
        <v>9</v>
      </c>
      <c r="GN151" s="102" t="e">
        <f t="shared" si="409"/>
        <v>#VALUE!</v>
      </c>
      <c r="GO151" s="102">
        <v>9</v>
      </c>
      <c r="GQ151" s="929">
        <f t="shared" si="501"/>
        <v>-0.98805072876693367</v>
      </c>
      <c r="GR151" s="929">
        <f t="shared" si="501"/>
        <v>0</v>
      </c>
      <c r="GS151" s="929">
        <f t="shared" si="501"/>
        <v>0</v>
      </c>
      <c r="GT151" s="929">
        <f t="shared" si="499"/>
        <v>0</v>
      </c>
      <c r="GU151" s="929">
        <f t="shared" si="499"/>
        <v>0</v>
      </c>
      <c r="GV151" s="929">
        <f t="shared" si="499"/>
        <v>0</v>
      </c>
      <c r="GW151" s="929" t="str">
        <f t="shared" si="499"/>
        <v/>
      </c>
      <c r="GX151" s="929" t="str">
        <f t="shared" si="499"/>
        <v/>
      </c>
      <c r="GY151" s="929">
        <f t="shared" si="492"/>
        <v>0</v>
      </c>
      <c r="HA151" s="102">
        <f t="shared" si="502"/>
        <v>-744.18400799999995</v>
      </c>
      <c r="HB151" s="102">
        <f t="shared" si="502"/>
        <v>0</v>
      </c>
      <c r="HC151" s="102">
        <f t="shared" si="502"/>
        <v>0</v>
      </c>
      <c r="HD151" s="102">
        <f t="shared" si="500"/>
        <v>0</v>
      </c>
      <c r="HE151" s="102">
        <f t="shared" si="500"/>
        <v>0</v>
      </c>
      <c r="HF151" s="102">
        <f t="shared" si="500"/>
        <v>0</v>
      </c>
      <c r="HG151" s="102" t="e">
        <f t="shared" si="500"/>
        <v>#VALUE!</v>
      </c>
      <c r="HH151" s="102" t="e">
        <f t="shared" si="500"/>
        <v>#VALUE!</v>
      </c>
      <c r="HI151" s="102">
        <f t="shared" si="493"/>
        <v>0</v>
      </c>
      <c r="HK151" s="973"/>
      <c r="HL151" s="973"/>
      <c r="HM151" s="973"/>
      <c r="HN151" s="973"/>
      <c r="HO151" s="973"/>
      <c r="HP151" s="973"/>
      <c r="HQ151" s="973"/>
      <c r="HR151" s="973"/>
      <c r="HS151" s="973"/>
      <c r="HU151" s="102">
        <f t="shared" si="503"/>
        <v>735.15560000000005</v>
      </c>
      <c r="HV151" s="102">
        <f t="shared" si="503"/>
        <v>962.03228300000001</v>
      </c>
      <c r="HW151" s="102">
        <f t="shared" si="503"/>
        <v>611.19445900000005</v>
      </c>
      <c r="HX151" s="102">
        <f t="shared" si="503"/>
        <v>3448.108436</v>
      </c>
      <c r="HY151" s="102">
        <f t="shared" si="462"/>
        <v>9</v>
      </c>
      <c r="HZ151" s="102">
        <f t="shared" si="453"/>
        <v>9</v>
      </c>
      <c r="IA151" s="102">
        <f t="shared" si="414"/>
        <v>9</v>
      </c>
      <c r="IB151" s="102">
        <f t="shared" si="415"/>
        <v>9</v>
      </c>
      <c r="IC151" s="102">
        <f t="shared" si="416"/>
        <v>9</v>
      </c>
      <c r="ID151" s="102" t="e">
        <f t="shared" si="417"/>
        <v>#VALUE!</v>
      </c>
      <c r="IE151" s="102" t="e">
        <f t="shared" si="463"/>
        <v>#VALUE!</v>
      </c>
      <c r="IG151" s="102" t="e">
        <f t="shared" si="464"/>
        <v>#VALUE!</v>
      </c>
      <c r="IH151" s="102" t="e">
        <f t="shared" si="465"/>
        <v>#VALUE!</v>
      </c>
      <c r="II151" s="145"/>
      <c r="IJ151" s="929" t="str">
        <f t="shared" si="466"/>
        <v>NA</v>
      </c>
      <c r="IK151" s="930" t="str">
        <f t="shared" si="467"/>
        <v>NA</v>
      </c>
      <c r="IM151" s="973"/>
      <c r="IN151" s="973"/>
      <c r="IP151" s="929">
        <f t="shared" si="477"/>
        <v>-0.36468404459977977</v>
      </c>
      <c r="IQ151" s="929">
        <f t="shared" si="477"/>
        <v>4.641589816834383</v>
      </c>
      <c r="IR151" s="929">
        <f t="shared" si="477"/>
        <v>-0.99738987326905515</v>
      </c>
      <c r="IS151" s="929">
        <f t="shared" si="477"/>
        <v>0</v>
      </c>
      <c r="IT151" s="929">
        <f t="shared" si="477"/>
        <v>0</v>
      </c>
      <c r="IU151" s="929">
        <f t="shared" si="477"/>
        <v>0</v>
      </c>
      <c r="IV151" s="929" t="str">
        <f t="shared" si="478"/>
        <v/>
      </c>
      <c r="IX151" s="102">
        <f t="shared" si="422"/>
        <v>-350.83782399999996</v>
      </c>
      <c r="IY151" s="102">
        <f t="shared" si="422"/>
        <v>2836.9139770000002</v>
      </c>
      <c r="IZ151" s="102">
        <f t="shared" si="422"/>
        <v>-3439.108436</v>
      </c>
      <c r="JA151" s="102">
        <f t="shared" si="422"/>
        <v>0</v>
      </c>
      <c r="JB151" s="102">
        <f t="shared" si="422"/>
        <v>0</v>
      </c>
      <c r="JC151" s="102">
        <f t="shared" si="422"/>
        <v>0</v>
      </c>
      <c r="JD151" s="102" t="e">
        <f t="shared" si="423"/>
        <v>#VALUE!</v>
      </c>
      <c r="JF151" s="973"/>
      <c r="JG151" s="973"/>
      <c r="JH151" s="973"/>
      <c r="JI151" s="973"/>
      <c r="JJ151" s="973"/>
      <c r="JK151" s="973"/>
      <c r="JL151" s="973"/>
      <c r="JM151" s="973"/>
      <c r="JO151" s="102">
        <f t="shared" si="504"/>
        <v>735.15560000000005</v>
      </c>
      <c r="JP151" s="102">
        <f t="shared" si="504"/>
        <v>962.03228300000001</v>
      </c>
      <c r="JQ151" s="102">
        <f t="shared" si="504"/>
        <v>611.19445900000005</v>
      </c>
      <c r="JR151" s="102">
        <f t="shared" si="504"/>
        <v>3448.108436</v>
      </c>
      <c r="JS151" s="102">
        <f t="shared" si="504"/>
        <v>9</v>
      </c>
      <c r="JT151" s="102">
        <f t="shared" si="425"/>
        <v>9</v>
      </c>
      <c r="JU151" s="102">
        <f t="shared" si="426"/>
        <v>9</v>
      </c>
      <c r="JV151" s="102">
        <f t="shared" si="505"/>
        <v>9</v>
      </c>
      <c r="JW151" s="102">
        <f t="shared" si="505"/>
        <v>9</v>
      </c>
      <c r="JX151" s="102" t="e">
        <f t="shared" si="428"/>
        <v>#VALUE!</v>
      </c>
      <c r="JY151" s="102" t="e">
        <f t="shared" si="471"/>
        <v>#VALUE!</v>
      </c>
      <c r="KB151" s="32">
        <f t="shared" si="472"/>
        <v>-0.36468404459977977</v>
      </c>
      <c r="KC151" s="32">
        <f t="shared" si="472"/>
        <v>4.641589816834383</v>
      </c>
      <c r="KD151" s="32">
        <f t="shared" si="472"/>
        <v>-0.99738987326905515</v>
      </c>
      <c r="KE151" s="32">
        <f t="shared" si="472"/>
        <v>0</v>
      </c>
      <c r="KF151" s="32">
        <f t="shared" si="472"/>
        <v>0</v>
      </c>
      <c r="KG151" s="32">
        <f t="shared" si="472"/>
        <v>0</v>
      </c>
      <c r="KH151" s="32" t="str">
        <f t="shared" si="431"/>
        <v xml:space="preserve"> </v>
      </c>
      <c r="KJ151" s="102">
        <f t="shared" si="473"/>
        <v>-350.83782399999996</v>
      </c>
      <c r="KK151" s="102">
        <f t="shared" si="473"/>
        <v>2836.9139770000002</v>
      </c>
      <c r="KL151" s="102">
        <f t="shared" si="473"/>
        <v>-3439.108436</v>
      </c>
      <c r="KM151" s="102">
        <f t="shared" si="473"/>
        <v>0</v>
      </c>
      <c r="KN151" s="102">
        <f t="shared" si="473"/>
        <v>0</v>
      </c>
      <c r="KO151" s="102">
        <f t="shared" si="473"/>
        <v>0</v>
      </c>
      <c r="KP151" s="102" t="e">
        <f t="shared" si="433"/>
        <v>#VALUE!</v>
      </c>
      <c r="KR151" s="973"/>
      <c r="KS151" s="973"/>
      <c r="KT151" s="973"/>
      <c r="KU151" s="973"/>
      <c r="KV151" s="973"/>
      <c r="KW151" s="973"/>
      <c r="KX151" s="973"/>
      <c r="KY151" s="973"/>
      <c r="KZ151" s="973"/>
    </row>
    <row r="152" spans="1:312" outlineLevel="1">
      <c r="A152" s="884">
        <v>1635</v>
      </c>
      <c r="B152" s="70"/>
      <c r="C152" s="29" t="s">
        <v>717</v>
      </c>
      <c r="D152" s="31"/>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v>226.87668300000001</v>
      </c>
      <c r="AO152" s="102">
        <v>249.71610702000001</v>
      </c>
      <c r="AP152" s="145">
        <v>293.62408496</v>
      </c>
      <c r="AQ152" s="220">
        <v>359.63603094000001</v>
      </c>
      <c r="AR152" s="220">
        <v>359.63603094000001</v>
      </c>
      <c r="AS152" s="102">
        <v>388.16562092999999</v>
      </c>
      <c r="AT152" s="102">
        <v>435.32433111</v>
      </c>
      <c r="AU152" s="102">
        <v>380.36436914999996</v>
      </c>
      <c r="AV152" s="102">
        <v>383.19142361000002</v>
      </c>
      <c r="AW152" s="102">
        <v>415.07120861000004</v>
      </c>
      <c r="AX152" s="102">
        <v>415.07120861000004</v>
      </c>
      <c r="AY152" s="102">
        <v>415.07120861000004</v>
      </c>
      <c r="AZ152" s="102">
        <v>717.61800000000005</v>
      </c>
      <c r="BA152" s="102">
        <v>767.36678859000006</v>
      </c>
      <c r="BB152" s="102">
        <v>767.36678859000006</v>
      </c>
      <c r="BC152" s="102">
        <v>790.60538859000008</v>
      </c>
      <c r="BD152" s="102">
        <v>790.60538859000008</v>
      </c>
      <c r="BE152" s="102">
        <v>793.85224702999994</v>
      </c>
      <c r="BF152" s="102">
        <v>793.85224702999994</v>
      </c>
      <c r="BG152" s="102">
        <v>793.85224702999994</v>
      </c>
      <c r="BH152" s="102">
        <v>913.78342902999998</v>
      </c>
      <c r="BI152" s="102">
        <v>913.78342902999998</v>
      </c>
      <c r="BJ152" s="102">
        <v>913.78342902999998</v>
      </c>
      <c r="BK152" s="102">
        <v>913.78342902999998</v>
      </c>
      <c r="BL152" s="102">
        <v>789.7621352000001</v>
      </c>
      <c r="BM152" s="102">
        <v>381.53629380000001</v>
      </c>
      <c r="BN152" s="102">
        <v>404.74129379999999</v>
      </c>
      <c r="BO152" s="102">
        <v>435.96074629000003</v>
      </c>
      <c r="BP152" s="102">
        <v>435.96074629000003</v>
      </c>
      <c r="BQ152" s="102">
        <v>436.20323029000002</v>
      </c>
      <c r="BR152" s="102">
        <v>444.73610513</v>
      </c>
      <c r="BS152" s="102">
        <v>444.73610513</v>
      </c>
      <c r="BT152" s="102">
        <v>444.73610513</v>
      </c>
      <c r="BU152" s="102">
        <v>445.91010512999998</v>
      </c>
      <c r="BV152" s="102">
        <v>451.71496712999999</v>
      </c>
      <c r="BW152" s="102">
        <v>451.71496712999999</v>
      </c>
      <c r="BX152" s="102">
        <v>419.83991549000001</v>
      </c>
      <c r="BY152" s="102">
        <v>476.86763918000003</v>
      </c>
      <c r="BZ152" s="102">
        <v>478.68852318</v>
      </c>
      <c r="CA152" s="102">
        <v>477.62346317999999</v>
      </c>
      <c r="CB152" s="102">
        <v>479.81005518000001</v>
      </c>
      <c r="CC152" s="102">
        <v>507.11631918</v>
      </c>
      <c r="CD152" s="102">
        <v>514.47509518000004</v>
      </c>
      <c r="CE152" s="102">
        <v>516.76445518000003</v>
      </c>
      <c r="CF152" s="102">
        <v>526.34599118000006</v>
      </c>
      <c r="CG152" s="102">
        <v>537.43639117999999</v>
      </c>
      <c r="CH152" s="102">
        <v>544.07385117999991</v>
      </c>
      <c r="CI152" s="102">
        <v>551.76162277999993</v>
      </c>
      <c r="CJ152" s="102">
        <v>429.84172494000001</v>
      </c>
      <c r="CK152" s="102">
        <v>470.45630793999999</v>
      </c>
      <c r="CL152" s="102">
        <v>502.53241794000002</v>
      </c>
      <c r="CM152" s="102">
        <v>502.53241794000002</v>
      </c>
      <c r="CN152" s="102">
        <v>486.79895074000001</v>
      </c>
      <c r="CO152" s="102">
        <v>462.02817733999996</v>
      </c>
      <c r="CP152" s="102">
        <v>437.69858733999996</v>
      </c>
      <c r="CQ152" s="102">
        <v>442.83961733999996</v>
      </c>
      <c r="CR152" s="102">
        <v>443.02228233999995</v>
      </c>
      <c r="CS152" s="102">
        <v>443.02228233999995</v>
      </c>
      <c r="CT152" s="102">
        <v>444.59827233999999</v>
      </c>
      <c r="CU152" s="102">
        <v>443.36101434</v>
      </c>
      <c r="CV152" s="102">
        <v>402.87904350000002</v>
      </c>
      <c r="CW152" s="102">
        <v>384.68407350000001</v>
      </c>
      <c r="CX152" s="102">
        <v>384.68407350000001</v>
      </c>
      <c r="CY152" s="102">
        <v>412.30250702000001</v>
      </c>
      <c r="CZ152" s="102">
        <v>412.30250702000001</v>
      </c>
      <c r="DA152" s="102">
        <v>432.15989072000002</v>
      </c>
      <c r="DB152" s="102">
        <v>437.25789072000003</v>
      </c>
      <c r="DC152" s="102">
        <v>438.26234098000003</v>
      </c>
      <c r="DD152" s="102">
        <v>460.90841499999999</v>
      </c>
      <c r="DE152" s="102">
        <v>493.68841500000002</v>
      </c>
      <c r="DF152" s="102">
        <v>497.43938033999996</v>
      </c>
      <c r="DG152" s="102">
        <v>497.43938033999996</v>
      </c>
      <c r="DH152" s="102">
        <v>347.34909733999996</v>
      </c>
      <c r="DJ152" s="102" t="e">
        <v>#VALUE!</v>
      </c>
      <c r="DK152" s="102" t="e">
        <v>#VALUE!</v>
      </c>
      <c r="DL152" s="102" t="e">
        <v>#VALUE!</v>
      </c>
      <c r="DM152" s="102" t="e">
        <v>#VALUE!</v>
      </c>
      <c r="DN152" s="102" t="e">
        <v>#VALUE!</v>
      </c>
      <c r="DO152" s="102" t="e">
        <v>#VALUE!</v>
      </c>
      <c r="DP152" s="102" t="e">
        <v>#VALUE!</v>
      </c>
      <c r="DQ152" s="102" t="e">
        <v>#VALUE!</v>
      </c>
      <c r="DR152" s="102" t="e">
        <v>#VALUE!</v>
      </c>
      <c r="DS152" s="102" t="e">
        <v>#VALUE!</v>
      </c>
      <c r="DT152" s="102" t="e">
        <v>#VALUE!</v>
      </c>
      <c r="DU152" s="102" t="e">
        <v>#VALUE!</v>
      </c>
      <c r="DW152" s="102"/>
      <c r="DX152" s="102"/>
      <c r="DY152" s="102"/>
      <c r="DZ152" s="102"/>
      <c r="EA152" s="102"/>
      <c r="EB152" s="102"/>
      <c r="EC152" s="102"/>
      <c r="ED152" s="102"/>
      <c r="EE152" s="102"/>
      <c r="EF152" s="102"/>
      <c r="EG152" s="102"/>
      <c r="EH152" s="102"/>
      <c r="EI152" s="102">
        <v>456.67120861000001</v>
      </c>
      <c r="EJ152" s="102">
        <v>456.67120861000001</v>
      </c>
      <c r="EK152" s="102">
        <v>456.67120861000001</v>
      </c>
      <c r="EL152" s="102">
        <v>458.57120861000004</v>
      </c>
      <c r="EM152" s="102">
        <v>460.67120861000001</v>
      </c>
      <c r="EN152" s="102">
        <v>462.77120861000003</v>
      </c>
      <c r="EO152" s="102">
        <v>465.17120861000001</v>
      </c>
      <c r="EP152" s="102">
        <v>465.17120861000001</v>
      </c>
      <c r="EQ152" s="102">
        <v>465.17120861000001</v>
      </c>
      <c r="ER152" s="102">
        <v>465.17120861000001</v>
      </c>
      <c r="ES152" s="102">
        <v>465.17120861000001</v>
      </c>
      <c r="ET152" s="102">
        <v>465.17120861000001</v>
      </c>
      <c r="EU152" s="102">
        <v>918.0261352</v>
      </c>
      <c r="EV152" s="102">
        <v>934.0261352</v>
      </c>
      <c r="EW152" s="102">
        <v>962.17613520000009</v>
      </c>
      <c r="EX152" s="102">
        <v>978.17613520000009</v>
      </c>
      <c r="EY152" s="102">
        <v>994.17613520000009</v>
      </c>
      <c r="EZ152" s="102">
        <v>1010.1761352000001</v>
      </c>
      <c r="FA152" s="102">
        <v>1026.1761352000001</v>
      </c>
      <c r="FB152" s="102">
        <v>1042.1761352000001</v>
      </c>
      <c r="FC152" s="102">
        <v>1058.1761352000001</v>
      </c>
      <c r="FD152" s="102">
        <v>1074.1761352000001</v>
      </c>
      <c r="FE152" s="102">
        <v>1090.1761352000001</v>
      </c>
      <c r="FF152" s="102">
        <v>1106.1761352000001</v>
      </c>
      <c r="FG152" s="102" t="e">
        <v>#VALUE!</v>
      </c>
      <c r="FH152" s="102" t="e">
        <v>#VALUE!</v>
      </c>
      <c r="FI152" s="102" t="e">
        <v>#VALUE!</v>
      </c>
      <c r="FJ152" s="102" t="e">
        <v>#VALUE!</v>
      </c>
      <c r="FK152" s="102" t="e">
        <v>#VALUE!</v>
      </c>
      <c r="FL152" s="102" t="e">
        <v>#VALUE!</v>
      </c>
      <c r="FM152" s="102" t="e">
        <v>#VALUE!</v>
      </c>
      <c r="FN152" s="102" t="e">
        <v>#VALUE!</v>
      </c>
      <c r="FO152" s="102" t="e">
        <v>#VALUE!</v>
      </c>
      <c r="FP152" s="102" t="e">
        <v>#VALUE!</v>
      </c>
      <c r="FQ152" s="102" t="e">
        <v>#VALUE!</v>
      </c>
      <c r="FR152" s="102" t="e">
        <v>#VALUE!</v>
      </c>
      <c r="FS152" s="102" t="e">
        <v>#VALUE!</v>
      </c>
      <c r="FT152" s="102" t="e">
        <v>#VALUE!</v>
      </c>
      <c r="FU152" s="102" t="e">
        <v>#VALUE!</v>
      </c>
      <c r="FV152" s="102" t="e">
        <v>#VALUE!</v>
      </c>
      <c r="FW152" s="102" t="e">
        <v>#VALUE!</v>
      </c>
      <c r="FX152" s="102" t="e">
        <v>#VALUE!</v>
      </c>
      <c r="FY152" s="102" t="e">
        <v>#VALUE!</v>
      </c>
      <c r="FZ152" s="102" t="e">
        <v>#VALUE!</v>
      </c>
      <c r="GA152" s="102" t="e">
        <v>#VALUE!</v>
      </c>
      <c r="GB152" s="102" t="e">
        <v>#VALUE!</v>
      </c>
      <c r="GC152" s="102" t="e">
        <v>#VALUE!</v>
      </c>
      <c r="GD152" s="102" t="e">
        <v>#VALUE!</v>
      </c>
      <c r="GF152" s="102">
        <f t="shared" si="458"/>
        <v>0</v>
      </c>
      <c r="GG152" s="102">
        <f t="shared" si="458"/>
        <v>0</v>
      </c>
      <c r="GH152" s="102">
        <f t="shared" si="458"/>
        <v>226.87668300000001</v>
      </c>
      <c r="GI152" s="102">
        <f t="shared" si="458"/>
        <v>717.61800000000005</v>
      </c>
      <c r="GJ152" s="102">
        <f t="shared" si="434"/>
        <v>789.7621352000001</v>
      </c>
      <c r="GK152" s="102">
        <f t="shared" si="407"/>
        <v>419.83991549000001</v>
      </c>
      <c r="GL152" s="102">
        <f t="shared" si="435"/>
        <v>429.84172494000001</v>
      </c>
      <c r="GM152" s="102">
        <f t="shared" si="408"/>
        <v>402.87904350000002</v>
      </c>
      <c r="GN152" s="102" t="e">
        <f t="shared" si="409"/>
        <v>#VALUE!</v>
      </c>
      <c r="GO152" s="102">
        <v>347.34909733999996</v>
      </c>
      <c r="GQ152" s="929" t="str">
        <f t="shared" si="501"/>
        <v/>
      </c>
      <c r="GR152" s="929">
        <f t="shared" si="501"/>
        <v>2.1630310815148861</v>
      </c>
      <c r="GS152" s="929">
        <f t="shared" si="501"/>
        <v>0.10053278373730867</v>
      </c>
      <c r="GT152" s="929">
        <f t="shared" si="499"/>
        <v>-0.46839700616480007</v>
      </c>
      <c r="GU152" s="929">
        <f t="shared" si="499"/>
        <v>2.3822912212448255E-2</v>
      </c>
      <c r="GV152" s="929">
        <f t="shared" si="499"/>
        <v>-6.2726998975642934E-2</v>
      </c>
      <c r="GW152" s="929" t="str">
        <f t="shared" si="499"/>
        <v/>
      </c>
      <c r="GX152" s="929" t="str">
        <f t="shared" si="499"/>
        <v/>
      </c>
      <c r="GY152" s="929">
        <f t="shared" si="492"/>
        <v>-0.13783279884102495</v>
      </c>
      <c r="HA152" s="102">
        <f t="shared" si="502"/>
        <v>226.87668300000001</v>
      </c>
      <c r="HB152" s="102">
        <f t="shared" si="502"/>
        <v>490.74131700000004</v>
      </c>
      <c r="HC152" s="102">
        <f t="shared" si="502"/>
        <v>72.144135200000051</v>
      </c>
      <c r="HD152" s="102">
        <f t="shared" si="500"/>
        <v>-369.92221971000009</v>
      </c>
      <c r="HE152" s="102">
        <f t="shared" si="500"/>
        <v>10.001809449999996</v>
      </c>
      <c r="HF152" s="102">
        <f t="shared" si="500"/>
        <v>-26.962681439999983</v>
      </c>
      <c r="HG152" s="102" t="e">
        <f t="shared" si="500"/>
        <v>#VALUE!</v>
      </c>
      <c r="HH152" s="102" t="e">
        <f t="shared" si="500"/>
        <v>#VALUE!</v>
      </c>
      <c r="HI152" s="102">
        <f t="shared" si="493"/>
        <v>-55.529946160000065</v>
      </c>
      <c r="HK152" s="973"/>
      <c r="HL152" s="973"/>
      <c r="HM152" s="973"/>
      <c r="HN152" s="973"/>
      <c r="HO152" s="973"/>
      <c r="HP152" s="973"/>
      <c r="HQ152" s="973"/>
      <c r="HR152" s="973"/>
      <c r="HS152" s="973"/>
      <c r="HU152" s="102">
        <f t="shared" si="503"/>
        <v>0</v>
      </c>
      <c r="HV152" s="102">
        <f t="shared" si="503"/>
        <v>0</v>
      </c>
      <c r="HW152" s="102">
        <f t="shared" si="503"/>
        <v>0</v>
      </c>
      <c r="HX152" s="102">
        <f t="shared" si="503"/>
        <v>435.32433111</v>
      </c>
      <c r="HY152" s="102">
        <f t="shared" si="462"/>
        <v>793.85224702999994</v>
      </c>
      <c r="HZ152" s="102">
        <f t="shared" si="453"/>
        <v>444.73610513</v>
      </c>
      <c r="IA152" s="102">
        <f t="shared" si="414"/>
        <v>514.47509518000004</v>
      </c>
      <c r="IB152" s="102">
        <f t="shared" si="415"/>
        <v>437.69858733999996</v>
      </c>
      <c r="IC152" s="102">
        <f t="shared" si="416"/>
        <v>437.25789072000003</v>
      </c>
      <c r="ID152" s="102" t="e">
        <f t="shared" si="417"/>
        <v>#VALUE!</v>
      </c>
      <c r="IE152" s="102" t="e">
        <f t="shared" si="463"/>
        <v>#VALUE!</v>
      </c>
      <c r="IG152" s="102" t="e">
        <f t="shared" si="464"/>
        <v>#VALUE!</v>
      </c>
      <c r="IH152" s="102" t="e">
        <f t="shared" si="465"/>
        <v>#VALUE!</v>
      </c>
      <c r="II152" s="145"/>
      <c r="IJ152" s="929" t="str">
        <f t="shared" si="466"/>
        <v>NA</v>
      </c>
      <c r="IK152" s="930" t="str">
        <f t="shared" si="467"/>
        <v>NA</v>
      </c>
      <c r="IM152" s="973"/>
      <c r="IN152" s="973"/>
      <c r="IP152" s="929" t="str">
        <f t="shared" si="477"/>
        <v/>
      </c>
      <c r="IQ152" s="929" t="str">
        <f t="shared" si="477"/>
        <v/>
      </c>
      <c r="IR152" s="929">
        <f t="shared" si="477"/>
        <v>0.82358804757321336</v>
      </c>
      <c r="IS152" s="929">
        <f t="shared" si="477"/>
        <v>-0.43977471022615466</v>
      </c>
      <c r="IT152" s="929">
        <f t="shared" si="477"/>
        <v>0.15680982327624315</v>
      </c>
      <c r="IU152" s="929">
        <f t="shared" si="477"/>
        <v>-0.14923270058998328</v>
      </c>
      <c r="IV152" s="929" t="str">
        <f t="shared" si="478"/>
        <v/>
      </c>
      <c r="IX152" s="102">
        <f t="shared" si="422"/>
        <v>0</v>
      </c>
      <c r="IY152" s="102">
        <f t="shared" si="422"/>
        <v>435.32433111</v>
      </c>
      <c r="IZ152" s="102">
        <f t="shared" si="422"/>
        <v>358.52791591999994</v>
      </c>
      <c r="JA152" s="102">
        <f t="shared" ref="JA152:JC156" si="510">+HZ152-HY152</f>
        <v>-349.11614189999995</v>
      </c>
      <c r="JB152" s="102">
        <f t="shared" si="510"/>
        <v>69.738990050000041</v>
      </c>
      <c r="JC152" s="102">
        <f t="shared" si="510"/>
        <v>-76.776507840000079</v>
      </c>
      <c r="JD152" s="102" t="e">
        <f t="shared" si="423"/>
        <v>#VALUE!</v>
      </c>
      <c r="JF152" s="973"/>
      <c r="JG152" s="973"/>
      <c r="JH152" s="973"/>
      <c r="JI152" s="973"/>
      <c r="JJ152" s="973"/>
      <c r="JK152" s="973"/>
      <c r="JL152" s="973"/>
      <c r="JM152" s="973"/>
      <c r="JO152" s="102">
        <f t="shared" si="504"/>
        <v>0</v>
      </c>
      <c r="JP152" s="102">
        <f t="shared" si="504"/>
        <v>0</v>
      </c>
      <c r="JQ152" s="102">
        <f t="shared" si="504"/>
        <v>0</v>
      </c>
      <c r="JR152" s="102">
        <f t="shared" si="504"/>
        <v>435.32433111</v>
      </c>
      <c r="JS152" s="102">
        <f t="shared" si="504"/>
        <v>793.85224702999994</v>
      </c>
      <c r="JT152" s="102">
        <f t="shared" si="425"/>
        <v>444.73610513</v>
      </c>
      <c r="JU152" s="102">
        <f t="shared" si="426"/>
        <v>514.47509518000004</v>
      </c>
      <c r="JV152" s="102">
        <f t="shared" si="505"/>
        <v>437.69858733999996</v>
      </c>
      <c r="JW152" s="102">
        <f t="shared" si="505"/>
        <v>437.25789072000003</v>
      </c>
      <c r="JX152" s="102" t="e">
        <f t="shared" si="428"/>
        <v>#VALUE!</v>
      </c>
      <c r="JY152" s="102" t="e">
        <f t="shared" si="471"/>
        <v>#VALUE!</v>
      </c>
      <c r="KB152" s="32" t="str">
        <f t="shared" si="472"/>
        <v xml:space="preserve"> </v>
      </c>
      <c r="KC152" s="32" t="str">
        <f t="shared" si="472"/>
        <v xml:space="preserve"> </v>
      </c>
      <c r="KD152" s="32">
        <f t="shared" si="472"/>
        <v>0.82358804757321336</v>
      </c>
      <c r="KE152" s="32">
        <f t="shared" si="472"/>
        <v>-0.43977471022615466</v>
      </c>
      <c r="KF152" s="32">
        <f t="shared" si="472"/>
        <v>0.15680982327624315</v>
      </c>
      <c r="KG152" s="32">
        <f t="shared" si="472"/>
        <v>-0.14923270058998328</v>
      </c>
      <c r="KH152" s="32" t="str">
        <f t="shared" si="431"/>
        <v xml:space="preserve"> </v>
      </c>
      <c r="KJ152" s="102">
        <f t="shared" si="473"/>
        <v>0</v>
      </c>
      <c r="KK152" s="102">
        <f t="shared" si="473"/>
        <v>435.32433111</v>
      </c>
      <c r="KL152" s="102">
        <f t="shared" si="473"/>
        <v>358.52791591999994</v>
      </c>
      <c r="KM152" s="102">
        <f t="shared" si="473"/>
        <v>-349.11614189999995</v>
      </c>
      <c r="KN152" s="102">
        <f t="shared" si="473"/>
        <v>69.738990050000041</v>
      </c>
      <c r="KO152" s="102">
        <f t="shared" si="473"/>
        <v>-76.776507840000079</v>
      </c>
      <c r="KP152" s="102" t="e">
        <f t="shared" si="433"/>
        <v>#VALUE!</v>
      </c>
      <c r="KR152" s="973"/>
      <c r="KS152" s="973"/>
      <c r="KT152" s="973"/>
      <c r="KU152" s="973"/>
      <c r="KV152" s="973"/>
      <c r="KW152" s="973"/>
      <c r="KX152" s="973"/>
      <c r="KY152" s="973"/>
      <c r="KZ152" s="973"/>
    </row>
    <row r="153" spans="1:312" outlineLevel="1">
      <c r="A153" s="884">
        <v>1698</v>
      </c>
      <c r="B153" s="70" t="s">
        <v>718</v>
      </c>
      <c r="C153" s="29" t="s">
        <v>135</v>
      </c>
      <c r="D153" s="31"/>
      <c r="E153" s="102">
        <v>-48.938079000000002</v>
      </c>
      <c r="F153" s="102">
        <v>-51.861728999999997</v>
      </c>
      <c r="G153" s="102">
        <v>-54.785378999999999</v>
      </c>
      <c r="H153" s="102">
        <v>-57.709029000000001</v>
      </c>
      <c r="I153" s="102">
        <v>-60.632679000000003</v>
      </c>
      <c r="J153" s="102">
        <v>-66.683977130000002</v>
      </c>
      <c r="K153" s="102">
        <v>-72.735275260000009</v>
      </c>
      <c r="L153" s="102">
        <v>-78.786573390000001</v>
      </c>
      <c r="M153" s="102">
        <v>-84.837871519999993</v>
      </c>
      <c r="N153" s="102">
        <v>-90.889169649999999</v>
      </c>
      <c r="O153" s="102">
        <v>-96.940467780000006</v>
      </c>
      <c r="P153" s="102">
        <v>-102.99176591</v>
      </c>
      <c r="Q153" s="102">
        <v>-115.34519411999999</v>
      </c>
      <c r="R153" s="102">
        <v>-127.69862232999999</v>
      </c>
      <c r="S153" s="102">
        <v>-140.05205054000001</v>
      </c>
      <c r="T153" s="102">
        <v>-152.40547874999999</v>
      </c>
      <c r="U153" s="102">
        <v>-164.75890696000002</v>
      </c>
      <c r="V153" s="102">
        <v>-177.11233516999999</v>
      </c>
      <c r="W153" s="102">
        <v>-189.46576338</v>
      </c>
      <c r="X153" s="102">
        <v>-201.81919159</v>
      </c>
      <c r="Y153" s="102">
        <v>-141.0757188</v>
      </c>
      <c r="Z153" s="102">
        <v>-153.42914701000001</v>
      </c>
      <c r="AA153" s="102">
        <v>-162.30177122000001</v>
      </c>
      <c r="AB153" s="102">
        <v>-172.91479742999996</v>
      </c>
      <c r="AC153" s="102">
        <v>-183.89942543000001</v>
      </c>
      <c r="AD153" s="102">
        <v>-194.88405342999999</v>
      </c>
      <c r="AE153" s="102">
        <v>-205.86868142999998</v>
      </c>
      <c r="AF153" s="102">
        <v>-216.85330943</v>
      </c>
      <c r="AG153" s="102">
        <v>-227.83793742999998</v>
      </c>
      <c r="AH153" s="102">
        <v>-193.85915542999999</v>
      </c>
      <c r="AI153" s="102">
        <v>-203.66053542999998</v>
      </c>
      <c r="AJ153" s="102">
        <v>-217.64952939</v>
      </c>
      <c r="AK153" s="102">
        <v>-231.63851939</v>
      </c>
      <c r="AL153" s="102">
        <v>-245.62750939</v>
      </c>
      <c r="AM153" s="102">
        <v>-259.61649939</v>
      </c>
      <c r="AN153" s="102">
        <v>-151.25112200000001</v>
      </c>
      <c r="AO153" s="102">
        <v>-151.25112200000001</v>
      </c>
      <c r="AP153" s="145">
        <v>-151.25112200000001</v>
      </c>
      <c r="AQ153" s="220">
        <v>-151.25112200000001</v>
      </c>
      <c r="AR153" s="220">
        <v>-151.25112200000001</v>
      </c>
      <c r="AS153" s="102">
        <v>-151.25112200000001</v>
      </c>
      <c r="AT153" s="102">
        <v>-151.25112200000001</v>
      </c>
      <c r="AU153" s="102">
        <v>-200.91788600000001</v>
      </c>
      <c r="AV153" s="102">
        <v>-240.14279999999999</v>
      </c>
      <c r="AW153" s="102">
        <v>-280.41032300000001</v>
      </c>
      <c r="AX153" s="102">
        <v>-326.90144600000002</v>
      </c>
      <c r="AY153" s="102">
        <v>-367.090439</v>
      </c>
      <c r="AZ153" s="102">
        <v>-384.75799999999998</v>
      </c>
      <c r="BA153" s="102">
        <v>-397.38541964000001</v>
      </c>
      <c r="BB153" s="102">
        <v>-410.01273067</v>
      </c>
      <c r="BC153" s="102">
        <v>-423.28555869999997</v>
      </c>
      <c r="BD153" s="102">
        <v>-436.40858423999998</v>
      </c>
      <c r="BE153" s="102">
        <v>-448.45303037999997</v>
      </c>
      <c r="BF153" s="102">
        <v>-460.40728511999998</v>
      </c>
      <c r="BG153" s="102">
        <v>-472.54138208000001</v>
      </c>
      <c r="BH153" s="102">
        <v>-486.74325804</v>
      </c>
      <c r="BI153" s="102">
        <v>-500.945134</v>
      </c>
      <c r="BJ153" s="102">
        <v>-515.36105099999997</v>
      </c>
      <c r="BK153" s="102">
        <v>-529.47327573999996</v>
      </c>
      <c r="BL153" s="102">
        <v>-573.37006546999999</v>
      </c>
      <c r="BM153" s="102">
        <v>-132.69306447</v>
      </c>
      <c r="BN153" s="102">
        <v>-145.06751747000001</v>
      </c>
      <c r="BO153" s="102">
        <v>-107.46687047</v>
      </c>
      <c r="BP153" s="102">
        <v>-119.28095247</v>
      </c>
      <c r="BQ153" s="102">
        <v>-131.11524147</v>
      </c>
      <c r="BR153" s="102">
        <v>-143.46893646999999</v>
      </c>
      <c r="BS153" s="102">
        <v>-156.07285205000002</v>
      </c>
      <c r="BT153" s="102">
        <v>-168.46488005</v>
      </c>
      <c r="BU153" s="102">
        <v>-180.56930088999999</v>
      </c>
      <c r="BV153" s="102">
        <v>-193.15591088999997</v>
      </c>
      <c r="BW153" s="102">
        <v>-204.52585789</v>
      </c>
      <c r="BX153" s="102">
        <v>-181.36337129</v>
      </c>
      <c r="BY153" s="102">
        <v>-196.04603628999999</v>
      </c>
      <c r="BZ153" s="102">
        <v>-208.94669228999999</v>
      </c>
      <c r="CA153" s="102">
        <v>-221.75052428999999</v>
      </c>
      <c r="CB153" s="102">
        <v>-236.74094829000001</v>
      </c>
      <c r="CC153" s="102">
        <v>-252.87623328999999</v>
      </c>
      <c r="CD153" s="102">
        <v>-268.95080829</v>
      </c>
      <c r="CE153" s="102">
        <v>-285.02016729000002</v>
      </c>
      <c r="CF153" s="102">
        <v>-303.43855029000002</v>
      </c>
      <c r="CG153" s="102">
        <v>-327.20990829000004</v>
      </c>
      <c r="CH153" s="102">
        <v>-347.06901429000004</v>
      </c>
      <c r="CI153" s="102">
        <v>-365.95058329</v>
      </c>
      <c r="CJ153" s="102">
        <v>-264.42587580000003</v>
      </c>
      <c r="CK153" s="102">
        <v>-276.8357638</v>
      </c>
      <c r="CL153" s="102">
        <v>-291.86374380000001</v>
      </c>
      <c r="CM153" s="102">
        <v>-306.89172380000002</v>
      </c>
      <c r="CN153" s="102">
        <v>-306.14618960000001</v>
      </c>
      <c r="CO153" s="102">
        <v>-280.2377558</v>
      </c>
      <c r="CP153" s="102">
        <v>-266.63951680000002</v>
      </c>
      <c r="CQ153" s="102">
        <v>-280.59117880000002</v>
      </c>
      <c r="CR153" s="102">
        <v>-294.54284080000002</v>
      </c>
      <c r="CS153" s="102">
        <v>-308.49450280000002</v>
      </c>
      <c r="CT153" s="102">
        <v>-322.57749680000001</v>
      </c>
      <c r="CU153" s="102">
        <v>-335.5180148</v>
      </c>
      <c r="CV153" s="102">
        <v>-307.60059580000001</v>
      </c>
      <c r="CW153" s="102">
        <v>-260.83374079999999</v>
      </c>
      <c r="CX153" s="102">
        <v>-270.60058179999999</v>
      </c>
      <c r="CY153" s="102">
        <v>-263.48925980000001</v>
      </c>
      <c r="CZ153" s="102">
        <v>-276.92220380000003</v>
      </c>
      <c r="DA153" s="102">
        <v>-290.40566480000001</v>
      </c>
      <c r="DB153" s="102">
        <v>-303.85234380000003</v>
      </c>
      <c r="DC153" s="102">
        <v>-317.34430880000002</v>
      </c>
      <c r="DD153" s="102">
        <v>-332.72344680000003</v>
      </c>
      <c r="DE153" s="102">
        <v>-350.8690848</v>
      </c>
      <c r="DF153" s="102">
        <v>-369.32730279999998</v>
      </c>
      <c r="DG153" s="102">
        <v>-387.5228568</v>
      </c>
      <c r="DH153" s="102">
        <v>-255.44343480000001</v>
      </c>
      <c r="DJ153" s="102" t="e">
        <v>#VALUE!</v>
      </c>
      <c r="DK153" s="102" t="e">
        <v>#VALUE!</v>
      </c>
      <c r="DL153" s="102" t="e">
        <v>#VALUE!</v>
      </c>
      <c r="DM153" s="102" t="e">
        <v>#VALUE!</v>
      </c>
      <c r="DN153" s="102" t="e">
        <v>#VALUE!</v>
      </c>
      <c r="DO153" s="102" t="e">
        <v>#VALUE!</v>
      </c>
      <c r="DP153" s="102" t="e">
        <v>#VALUE!</v>
      </c>
      <c r="DQ153" s="102" t="e">
        <v>#VALUE!</v>
      </c>
      <c r="DR153" s="102" t="e">
        <v>#VALUE!</v>
      </c>
      <c r="DS153" s="102" t="e">
        <v>#VALUE!</v>
      </c>
      <c r="DT153" s="102" t="e">
        <v>#VALUE!</v>
      </c>
      <c r="DU153" s="102" t="e">
        <v>#VALUE!</v>
      </c>
      <c r="DW153" s="102">
        <v>-298.58933132916667</v>
      </c>
      <c r="DX153" s="102">
        <v>-323.57317326833333</v>
      </c>
      <c r="DY153" s="102">
        <v>-353.5570152075</v>
      </c>
      <c r="DZ153" s="102">
        <v>-383.54085714666667</v>
      </c>
      <c r="EA153" s="102">
        <v>-413.52469908583333</v>
      </c>
      <c r="EB153" s="102">
        <v>-443.508541025</v>
      </c>
      <c r="EC153" s="102">
        <v>-473.49238296416667</v>
      </c>
      <c r="ED153" s="102">
        <v>-503.47622490333333</v>
      </c>
      <c r="EE153" s="102">
        <v>-533.46006684249994</v>
      </c>
      <c r="EF153" s="102">
        <v>-563.44390878166666</v>
      </c>
      <c r="EG153" s="102">
        <v>-593.42775072083327</v>
      </c>
      <c r="EH153" s="102">
        <v>-623.41159266</v>
      </c>
      <c r="EI153" s="102">
        <v>-452.91088135733332</v>
      </c>
      <c r="EJ153" s="102">
        <v>-496.71707274037334</v>
      </c>
      <c r="EK153" s="102">
        <v>-538.77101646809172</v>
      </c>
      <c r="EL153" s="102">
        <v>-579.16813578003462</v>
      </c>
      <c r="EM153" s="102">
        <v>-618.08937031949995</v>
      </c>
      <c r="EN153" s="102">
        <v>-655.59375547738659</v>
      </c>
      <c r="EO153" s="102">
        <v>-691.7579652289578</v>
      </c>
      <c r="EP153" s="102">
        <v>-726.4756065904661</v>
      </c>
      <c r="EQ153" s="102">
        <v>-759.80454229751422</v>
      </c>
      <c r="ER153" s="102">
        <v>-791.80032057628023</v>
      </c>
      <c r="ES153" s="102">
        <v>-822.51626772389568</v>
      </c>
      <c r="ET153" s="102">
        <v>-852.0035769856064</v>
      </c>
      <c r="EU153" s="102">
        <v>-422.48527399</v>
      </c>
      <c r="EV153" s="102">
        <v>-429.74031599</v>
      </c>
      <c r="EW153" s="102">
        <v>-436.99535799</v>
      </c>
      <c r="EX153" s="102">
        <v>-444.25039999000001</v>
      </c>
      <c r="EY153" s="102">
        <v>-451.50544199000001</v>
      </c>
      <c r="EZ153" s="102">
        <v>-458.76048399000001</v>
      </c>
      <c r="FA153" s="102">
        <v>-466.01552599000001</v>
      </c>
      <c r="FB153" s="102">
        <v>-473.27056799000002</v>
      </c>
      <c r="FC153" s="102">
        <v>-480.52560999000002</v>
      </c>
      <c r="FD153" s="102">
        <v>-487.78065199000002</v>
      </c>
      <c r="FE153" s="102">
        <v>-495.03569399000003</v>
      </c>
      <c r="FF153" s="102">
        <v>-506.91538918999998</v>
      </c>
      <c r="FG153" s="102" t="e">
        <v>#VALUE!</v>
      </c>
      <c r="FH153" s="102" t="e">
        <v>#VALUE!</v>
      </c>
      <c r="FI153" s="102" t="e">
        <v>#VALUE!</v>
      </c>
      <c r="FJ153" s="102" t="e">
        <v>#VALUE!</v>
      </c>
      <c r="FK153" s="102" t="e">
        <v>#VALUE!</v>
      </c>
      <c r="FL153" s="102" t="e">
        <v>#VALUE!</v>
      </c>
      <c r="FM153" s="102" t="e">
        <v>#VALUE!</v>
      </c>
      <c r="FN153" s="102" t="e">
        <v>#VALUE!</v>
      </c>
      <c r="FO153" s="102" t="e">
        <v>#VALUE!</v>
      </c>
      <c r="FP153" s="102" t="e">
        <v>#VALUE!</v>
      </c>
      <c r="FQ153" s="102" t="e">
        <v>#VALUE!</v>
      </c>
      <c r="FR153" s="102" t="e">
        <v>#VALUE!</v>
      </c>
      <c r="FS153" s="102" t="e">
        <v>#VALUE!</v>
      </c>
      <c r="FT153" s="102" t="e">
        <v>#VALUE!</v>
      </c>
      <c r="FU153" s="102" t="e">
        <v>#VALUE!</v>
      </c>
      <c r="FV153" s="102" t="e">
        <v>#VALUE!</v>
      </c>
      <c r="FW153" s="102" t="e">
        <v>#VALUE!</v>
      </c>
      <c r="FX153" s="102" t="e">
        <v>#VALUE!</v>
      </c>
      <c r="FY153" s="102" t="e">
        <v>#VALUE!</v>
      </c>
      <c r="FZ153" s="102" t="e">
        <v>#VALUE!</v>
      </c>
      <c r="GA153" s="102" t="e">
        <v>#VALUE!</v>
      </c>
      <c r="GB153" s="102" t="e">
        <v>#VALUE!</v>
      </c>
      <c r="GC153" s="102" t="e">
        <v>#VALUE!</v>
      </c>
      <c r="GD153" s="102" t="e">
        <v>#VALUE!</v>
      </c>
      <c r="GF153" s="102">
        <f t="shared" si="458"/>
        <v>-102.99176591</v>
      </c>
      <c r="GG153" s="102">
        <f t="shared" si="458"/>
        <v>-172.91479742999996</v>
      </c>
      <c r="GH153" s="102">
        <f t="shared" si="458"/>
        <v>-151.25112200000001</v>
      </c>
      <c r="GI153" s="102">
        <f t="shared" si="458"/>
        <v>-384.75799999999998</v>
      </c>
      <c r="GJ153" s="102">
        <f t="shared" si="434"/>
        <v>-573.37006546999999</v>
      </c>
      <c r="GK153" s="102">
        <f t="shared" si="407"/>
        <v>-181.36337129</v>
      </c>
      <c r="GL153" s="102">
        <f t="shared" si="435"/>
        <v>-264.42587580000003</v>
      </c>
      <c r="GM153" s="102">
        <f t="shared" si="408"/>
        <v>-307.60059580000001</v>
      </c>
      <c r="GN153" s="102" t="e">
        <f t="shared" si="409"/>
        <v>#VALUE!</v>
      </c>
      <c r="GO153" s="102">
        <v>-255.44343480000001</v>
      </c>
      <c r="GQ153" s="929">
        <f t="shared" si="501"/>
        <v>-0.12528526044030397</v>
      </c>
      <c r="GR153" s="929">
        <f t="shared" si="501"/>
        <v>1.5438356748189936</v>
      </c>
      <c r="GS153" s="929">
        <f t="shared" si="501"/>
        <v>0.49020960050213391</v>
      </c>
      <c r="GT153" s="929">
        <f t="shared" si="499"/>
        <v>-0.68368880377224828</v>
      </c>
      <c r="GU153" s="929">
        <f t="shared" si="499"/>
        <v>0.45798941605018517</v>
      </c>
      <c r="GV153" s="929">
        <f t="shared" si="499"/>
        <v>0.1632772128271418</v>
      </c>
      <c r="GW153" s="929" t="str">
        <f t="shared" si="499"/>
        <v/>
      </c>
      <c r="GX153" s="929" t="str">
        <f t="shared" si="499"/>
        <v/>
      </c>
      <c r="GY153" s="929">
        <f t="shared" si="492"/>
        <v>-0.16956131331394519</v>
      </c>
      <c r="HA153" s="102">
        <f t="shared" si="502"/>
        <v>21.663675429999955</v>
      </c>
      <c r="HB153" s="102">
        <f t="shared" si="502"/>
        <v>-233.50687799999997</v>
      </c>
      <c r="HC153" s="102">
        <f t="shared" si="502"/>
        <v>-188.61206547</v>
      </c>
      <c r="HD153" s="102">
        <f t="shared" si="500"/>
        <v>392.00669417999995</v>
      </c>
      <c r="HE153" s="102">
        <f t="shared" si="500"/>
        <v>-83.062504510000025</v>
      </c>
      <c r="HF153" s="102">
        <f t="shared" si="500"/>
        <v>-43.174719999999979</v>
      </c>
      <c r="HG153" s="102" t="e">
        <f t="shared" si="500"/>
        <v>#VALUE!</v>
      </c>
      <c r="HH153" s="102" t="e">
        <f t="shared" si="500"/>
        <v>#VALUE!</v>
      </c>
      <c r="HI153" s="102">
        <f t="shared" si="493"/>
        <v>52.157161000000002</v>
      </c>
      <c r="HK153" s="973"/>
      <c r="HL153" s="973"/>
      <c r="HM153" s="973"/>
      <c r="HN153" s="973"/>
      <c r="HO153" s="973"/>
      <c r="HP153" s="973"/>
      <c r="HQ153" s="973"/>
      <c r="HR153" s="973"/>
      <c r="HS153" s="973"/>
      <c r="HU153" s="102">
        <f t="shared" si="503"/>
        <v>-66.683977130000002</v>
      </c>
      <c r="HV153" s="102">
        <f t="shared" si="503"/>
        <v>-177.11233516999999</v>
      </c>
      <c r="HW153" s="102">
        <f t="shared" si="503"/>
        <v>-193.85915542999999</v>
      </c>
      <c r="HX153" s="102">
        <f t="shared" si="503"/>
        <v>-151.25112200000001</v>
      </c>
      <c r="HY153" s="102">
        <f t="shared" si="462"/>
        <v>-460.40728511999998</v>
      </c>
      <c r="HZ153" s="102">
        <f t="shared" si="453"/>
        <v>-143.46893646999999</v>
      </c>
      <c r="IA153" s="102">
        <f t="shared" si="414"/>
        <v>-268.95080829</v>
      </c>
      <c r="IB153" s="102">
        <f t="shared" si="415"/>
        <v>-266.63951680000002</v>
      </c>
      <c r="IC153" s="102">
        <f t="shared" si="416"/>
        <v>-303.85234380000003</v>
      </c>
      <c r="ID153" s="102" t="e">
        <f t="shared" si="417"/>
        <v>#VALUE!</v>
      </c>
      <c r="IE153" s="102" t="e">
        <f t="shared" si="463"/>
        <v>#VALUE!</v>
      </c>
      <c r="IG153" s="102" t="e">
        <f t="shared" si="464"/>
        <v>#VALUE!</v>
      </c>
      <c r="IH153" s="102" t="e">
        <f t="shared" si="465"/>
        <v>#VALUE!</v>
      </c>
      <c r="II153" s="145"/>
      <c r="IJ153" s="929" t="str">
        <f t="shared" si="466"/>
        <v>NA</v>
      </c>
      <c r="IK153" s="930" t="str">
        <f t="shared" si="467"/>
        <v>NA</v>
      </c>
      <c r="IM153" s="973"/>
      <c r="IN153" s="973"/>
      <c r="IP153" s="929">
        <f t="shared" si="477"/>
        <v>9.4554793396663728E-2</v>
      </c>
      <c r="IQ153" s="929">
        <f t="shared" si="477"/>
        <v>-0.21978860547231249</v>
      </c>
      <c r="IR153" s="929">
        <f t="shared" si="477"/>
        <v>2.0439925273413837</v>
      </c>
      <c r="IS153" s="929">
        <f t="shared" si="477"/>
        <v>-0.68838691066192315</v>
      </c>
      <c r="IT153" s="929">
        <f t="shared" si="477"/>
        <v>0.8746274622746566</v>
      </c>
      <c r="IU153" s="929">
        <f t="shared" si="477"/>
        <v>-8.5937331986293275E-3</v>
      </c>
      <c r="IV153" s="929" t="str">
        <f t="shared" si="478"/>
        <v/>
      </c>
      <c r="IX153" s="102">
        <f t="shared" ref="IX153:IZ158" si="511">+HW153-HV153</f>
        <v>-16.746820259999993</v>
      </c>
      <c r="IY153" s="102">
        <f t="shared" si="511"/>
        <v>42.608033429999978</v>
      </c>
      <c r="IZ153" s="102">
        <f t="shared" si="511"/>
        <v>-309.15616311999997</v>
      </c>
      <c r="JA153" s="102">
        <f t="shared" si="510"/>
        <v>316.93834864999997</v>
      </c>
      <c r="JB153" s="102">
        <f t="shared" si="510"/>
        <v>-125.48187182000001</v>
      </c>
      <c r="JC153" s="102">
        <f t="shared" si="510"/>
        <v>2.3112914899999737</v>
      </c>
      <c r="JD153" s="102" t="e">
        <f t="shared" si="423"/>
        <v>#VALUE!</v>
      </c>
      <c r="JF153" s="973"/>
      <c r="JG153" s="973"/>
      <c r="JH153" s="973"/>
      <c r="JI153" s="973"/>
      <c r="JJ153" s="973"/>
      <c r="JK153" s="973"/>
      <c r="JL153" s="973"/>
      <c r="JM153" s="973"/>
      <c r="JO153" s="102">
        <f t="shared" si="504"/>
        <v>-66.683977130000002</v>
      </c>
      <c r="JP153" s="102">
        <f t="shared" si="504"/>
        <v>-177.11233516999999</v>
      </c>
      <c r="JQ153" s="102">
        <f t="shared" si="504"/>
        <v>-193.85915542999999</v>
      </c>
      <c r="JR153" s="102">
        <f t="shared" si="504"/>
        <v>-151.25112200000001</v>
      </c>
      <c r="JS153" s="102">
        <f t="shared" si="504"/>
        <v>-460.40728511999998</v>
      </c>
      <c r="JT153" s="102">
        <f t="shared" si="425"/>
        <v>-143.46893646999999</v>
      </c>
      <c r="JU153" s="102">
        <f t="shared" si="426"/>
        <v>-268.95080829</v>
      </c>
      <c r="JV153" s="102">
        <f t="shared" si="505"/>
        <v>-266.63951680000002</v>
      </c>
      <c r="JW153" s="102">
        <f t="shared" si="505"/>
        <v>-303.85234380000003</v>
      </c>
      <c r="JX153" s="102" t="e">
        <f t="shared" si="428"/>
        <v>#VALUE!</v>
      </c>
      <c r="JY153" s="102" t="e">
        <f t="shared" si="471"/>
        <v>#VALUE!</v>
      </c>
      <c r="KB153" s="32">
        <f t="shared" si="472"/>
        <v>9.4554793396663728E-2</v>
      </c>
      <c r="KC153" s="32">
        <f t="shared" si="472"/>
        <v>-0.21978860547231249</v>
      </c>
      <c r="KD153" s="32">
        <f t="shared" si="472"/>
        <v>2.0439925273413837</v>
      </c>
      <c r="KE153" s="32">
        <f t="shared" si="472"/>
        <v>-0.68838691066192315</v>
      </c>
      <c r="KF153" s="32">
        <f t="shared" si="472"/>
        <v>0.8746274622746566</v>
      </c>
      <c r="KG153" s="32">
        <f t="shared" si="472"/>
        <v>-8.5937331986293275E-3</v>
      </c>
      <c r="KH153" s="32" t="str">
        <f t="shared" si="431"/>
        <v xml:space="preserve"> </v>
      </c>
      <c r="KJ153" s="102">
        <f t="shared" si="473"/>
        <v>-16.746820259999993</v>
      </c>
      <c r="KK153" s="102">
        <f t="shared" si="473"/>
        <v>42.608033429999978</v>
      </c>
      <c r="KL153" s="102">
        <f t="shared" si="473"/>
        <v>-309.15616311999997</v>
      </c>
      <c r="KM153" s="102">
        <f t="shared" si="473"/>
        <v>316.93834864999997</v>
      </c>
      <c r="KN153" s="102">
        <f t="shared" si="473"/>
        <v>-125.48187182000001</v>
      </c>
      <c r="KO153" s="102">
        <f t="shared" si="473"/>
        <v>2.3112914899999737</v>
      </c>
      <c r="KP153" s="102" t="e">
        <f t="shared" si="433"/>
        <v>#VALUE!</v>
      </c>
      <c r="KR153" s="973"/>
      <c r="KS153" s="973"/>
      <c r="KT153" s="973"/>
      <c r="KU153" s="973"/>
      <c r="KV153" s="973"/>
      <c r="KW153" s="973"/>
      <c r="KX153" s="973"/>
      <c r="KY153" s="973"/>
      <c r="KZ153" s="973"/>
    </row>
    <row r="154" spans="1:312">
      <c r="A154" s="884">
        <v>17</v>
      </c>
      <c r="B154" s="70" t="s">
        <v>719</v>
      </c>
      <c r="C154" s="17" t="s">
        <v>720</v>
      </c>
      <c r="D154" s="31" t="s">
        <v>59</v>
      </c>
      <c r="E154" s="102">
        <v>142.43018852</v>
      </c>
      <c r="F154" s="102">
        <v>137.70739674999999</v>
      </c>
      <c r="G154" s="102">
        <v>130.24830523</v>
      </c>
      <c r="H154" s="102">
        <v>124.21670568</v>
      </c>
      <c r="I154" s="102">
        <v>117.73433838</v>
      </c>
      <c r="J154" s="102">
        <v>116.22263208</v>
      </c>
      <c r="K154" s="102">
        <v>113.75201878</v>
      </c>
      <c r="L154" s="102">
        <v>108.30383248000001</v>
      </c>
      <c r="M154" s="102">
        <v>104.37695918</v>
      </c>
      <c r="N154" s="102">
        <v>100.45453388</v>
      </c>
      <c r="O154" s="102">
        <v>280.86051189</v>
      </c>
      <c r="P154" s="102">
        <v>273.31431781999999</v>
      </c>
      <c r="Q154" s="102">
        <v>264.51944214000002</v>
      </c>
      <c r="R154" s="102">
        <v>243.93247746</v>
      </c>
      <c r="S154" s="102">
        <v>244.18819478</v>
      </c>
      <c r="T154" s="102">
        <v>258.07629096000005</v>
      </c>
      <c r="U154" s="102">
        <v>301.01656982999998</v>
      </c>
      <c r="V154" s="102">
        <v>310.80241723</v>
      </c>
      <c r="W154" s="102">
        <v>298.23979863</v>
      </c>
      <c r="X154" s="102">
        <v>280.53569226000002</v>
      </c>
      <c r="Y154" s="102">
        <v>267.17237866000005</v>
      </c>
      <c r="Z154" s="102">
        <v>254.64163406</v>
      </c>
      <c r="AA154" s="102">
        <v>281.06159403000004</v>
      </c>
      <c r="AB154" s="102">
        <v>231.64966146</v>
      </c>
      <c r="AC154" s="102">
        <v>236.07274107999999</v>
      </c>
      <c r="AD154" s="102">
        <v>228.39553014999998</v>
      </c>
      <c r="AE154" s="102">
        <v>241.40331922000001</v>
      </c>
      <c r="AF154" s="102">
        <v>222.52015928999998</v>
      </c>
      <c r="AG154" s="102">
        <v>197.92594836000001</v>
      </c>
      <c r="AH154" s="102">
        <v>182.33173743</v>
      </c>
      <c r="AI154" s="102">
        <v>307.05069852999998</v>
      </c>
      <c r="AJ154" s="102">
        <v>289.73132264999998</v>
      </c>
      <c r="AK154" s="102">
        <v>272.41194976999998</v>
      </c>
      <c r="AL154" s="102">
        <v>274.85157406000002</v>
      </c>
      <c r="AM154" s="102">
        <v>261.92119934999999</v>
      </c>
      <c r="AN154" s="102">
        <v>1094.20397299</v>
      </c>
      <c r="AO154" s="102">
        <v>1158.1205723800001</v>
      </c>
      <c r="AP154" s="145">
        <v>1183.9698230199999</v>
      </c>
      <c r="AQ154" s="220">
        <v>1173.37965366</v>
      </c>
      <c r="AR154" s="220">
        <v>1163.21293062</v>
      </c>
      <c r="AS154" s="102">
        <v>1148.4689412600001</v>
      </c>
      <c r="AT154" s="102">
        <v>1129.4370149000001</v>
      </c>
      <c r="AU154" s="102">
        <v>1111.0054875399999</v>
      </c>
      <c r="AV154" s="102">
        <v>1092.5739601800001</v>
      </c>
      <c r="AW154" s="102">
        <v>2151.2170200400001</v>
      </c>
      <c r="AX154" s="102">
        <v>2126.7990226800002</v>
      </c>
      <c r="AY154" s="102">
        <v>2105.9796996999999</v>
      </c>
      <c r="AZ154" s="102">
        <v>3400.556</v>
      </c>
      <c r="BA154" s="102">
        <v>3427.4979358999999</v>
      </c>
      <c r="BB154" s="102">
        <v>3423.1667209499997</v>
      </c>
      <c r="BC154" s="102">
        <v>3418.8355059999999</v>
      </c>
      <c r="BD154" s="102">
        <v>3417.7512686100004</v>
      </c>
      <c r="BE154" s="102">
        <v>3410.17307613</v>
      </c>
      <c r="BF154" s="102">
        <v>3527.84082218</v>
      </c>
      <c r="BG154" s="102">
        <v>3521.4423684499998</v>
      </c>
      <c r="BH154" s="102">
        <v>3397.3592737199997</v>
      </c>
      <c r="BI154" s="102">
        <v>3393.0280589200001</v>
      </c>
      <c r="BJ154" s="102">
        <v>3389.0005362299999</v>
      </c>
      <c r="BK154" s="102">
        <v>3384.6693212800001</v>
      </c>
      <c r="BL154" s="102">
        <f>3407.93803741-226</f>
        <v>3181.9380374100001</v>
      </c>
      <c r="BM154" s="102">
        <v>3295.03087246</v>
      </c>
      <c r="BN154" s="102">
        <v>3290.7907735100002</v>
      </c>
      <c r="BO154" s="102">
        <v>3286.5506745600001</v>
      </c>
      <c r="BP154" s="102">
        <v>3282.3105756100003</v>
      </c>
      <c r="BQ154" s="102">
        <v>3278.0704766599997</v>
      </c>
      <c r="BR154" s="102">
        <v>3273.83037771</v>
      </c>
      <c r="BS154" s="102">
        <v>3269.5902787600003</v>
      </c>
      <c r="BT154" s="102">
        <v>3265.3501798100001</v>
      </c>
      <c r="BU154" s="102">
        <v>3261.1100808599999</v>
      </c>
      <c r="BV154" s="102">
        <v>3256.8699819099998</v>
      </c>
      <c r="BW154" s="102">
        <v>3252.62988296</v>
      </c>
      <c r="BX154" s="102">
        <v>2811.0045920100001</v>
      </c>
      <c r="BY154" s="102">
        <v>2782.4459718600001</v>
      </c>
      <c r="BZ154" s="102">
        <v>2778.04387486</v>
      </c>
      <c r="CA154" s="102">
        <v>2773.6417778600003</v>
      </c>
      <c r="CB154" s="102">
        <v>2769.29468086</v>
      </c>
      <c r="CC154" s="102">
        <v>2764.8875848600001</v>
      </c>
      <c r="CD154" s="102">
        <v>2772.8362781399996</v>
      </c>
      <c r="CE154" s="102">
        <v>2767.8919731399997</v>
      </c>
      <c r="CF154" s="102">
        <v>2762.9915401399999</v>
      </c>
      <c r="CG154" s="102">
        <v>2758.0432471399999</v>
      </c>
      <c r="CH154" s="102">
        <v>2753.09495414</v>
      </c>
      <c r="CI154" s="102">
        <v>2748.1466611399997</v>
      </c>
      <c r="CJ154" s="102">
        <v>2596.3167651399999</v>
      </c>
      <c r="CK154" s="102">
        <v>2590.2980891399998</v>
      </c>
      <c r="CL154" s="102">
        <v>2584.2794131400001</v>
      </c>
      <c r="CM154" s="102">
        <v>2578.2607371399999</v>
      </c>
      <c r="CN154" s="102">
        <v>2585.4539471399999</v>
      </c>
      <c r="CO154" s="102">
        <v>2578.23419014</v>
      </c>
      <c r="CP154" s="102">
        <v>2571.0144331399997</v>
      </c>
      <c r="CQ154" s="102">
        <v>2563.7946761399999</v>
      </c>
      <c r="CR154" s="102">
        <v>2556.57491914</v>
      </c>
      <c r="CS154" s="102">
        <v>2550.1487611399998</v>
      </c>
      <c r="CT154" s="102">
        <v>2544.1374285399997</v>
      </c>
      <c r="CU154" s="102">
        <v>2572.8125785399998</v>
      </c>
      <c r="CV154" s="102">
        <v>2050.61077054</v>
      </c>
      <c r="CW154" s="102">
        <v>2045.20243054</v>
      </c>
      <c r="CX154" s="102">
        <v>2039.7940905400001</v>
      </c>
      <c r="CY154" s="102">
        <v>2034.3857505399999</v>
      </c>
      <c r="CZ154" s="102">
        <v>2028.9774105399999</v>
      </c>
      <c r="DA154" s="102">
        <v>2023.56907054</v>
      </c>
      <c r="DB154" s="102">
        <v>2018.16073054</v>
      </c>
      <c r="DC154" s="102">
        <v>2012.7523905399999</v>
      </c>
      <c r="DD154" s="102">
        <v>2007.3440505399999</v>
      </c>
      <c r="DE154" s="102">
        <v>2011.29102754</v>
      </c>
      <c r="DF154" s="102">
        <v>2007.6209765399999</v>
      </c>
      <c r="DG154" s="102">
        <v>2007.10424154</v>
      </c>
      <c r="DH154" s="102">
        <v>1896.5639934799999</v>
      </c>
      <c r="DJ154" s="102" t="e">
        <v>#VALUE!</v>
      </c>
      <c r="DK154" s="102" t="e">
        <v>#VALUE!</v>
      </c>
      <c r="DL154" s="102" t="e">
        <v>#VALUE!</v>
      </c>
      <c r="DM154" s="102" t="e">
        <v>#VALUE!</v>
      </c>
      <c r="DN154" s="102" t="e">
        <v>#VALUE!</v>
      </c>
      <c r="DO154" s="102" t="e">
        <v>#VALUE!</v>
      </c>
      <c r="DP154" s="102" t="e">
        <v>#VALUE!</v>
      </c>
      <c r="DQ154" s="102" t="e">
        <v>#VALUE!</v>
      </c>
      <c r="DR154" s="102" t="e">
        <v>#VALUE!</v>
      </c>
      <c r="DS154" s="102" t="e">
        <v>#VALUE!</v>
      </c>
      <c r="DT154" s="102" t="e">
        <v>#VALUE!</v>
      </c>
      <c r="DU154" s="102" t="e">
        <v>#VALUE!</v>
      </c>
      <c r="DW154" s="102">
        <v>288.86351898999999</v>
      </c>
      <c r="DX154" s="102">
        <v>264.79155907416663</v>
      </c>
      <c r="DY154" s="102">
        <v>220.65963256180558</v>
      </c>
      <c r="DZ154" s="102">
        <v>165.49472442135416</v>
      </c>
      <c r="EA154" s="102">
        <v>110.32981628090278</v>
      </c>
      <c r="EB154" s="102">
        <v>64.359059497193286</v>
      </c>
      <c r="EC154" s="102">
        <v>32.179529748596643</v>
      </c>
      <c r="ED154" s="102">
        <v>13.408137395248602</v>
      </c>
      <c r="EE154" s="102">
        <v>4.4693791317495331</v>
      </c>
      <c r="EF154" s="102">
        <v>1.1173447829373833</v>
      </c>
      <c r="EG154" s="102">
        <v>0.18622413048956388</v>
      </c>
      <c r="EH154" s="102">
        <v>0</v>
      </c>
      <c r="EI154" s="102">
        <v>2077.4630238506666</v>
      </c>
      <c r="EJ154" s="102">
        <v>2063.2260116511784</v>
      </c>
      <c r="EK154" s="102">
        <v>2059.5584799396702</v>
      </c>
      <c r="EL154" s="102">
        <v>2046.4294161632886</v>
      </c>
      <c r="EM154" s="102">
        <v>2043.7800149379623</v>
      </c>
      <c r="EN154" s="102">
        <v>2031.5910897616491</v>
      </c>
      <c r="EO154" s="102">
        <v>2029.8377215923883</v>
      </c>
      <c r="EP154" s="102">
        <v>2018.5544881498984</v>
      </c>
      <c r="EQ154" s="102">
        <v>2017.7225840451074</v>
      </c>
      <c r="ER154" s="102">
        <v>2007.3239561045086</v>
      </c>
      <c r="ES154" s="102">
        <v>2042.3412732815336</v>
      </c>
      <c r="ET154" s="102">
        <v>2032.7578977714775</v>
      </c>
      <c r="EU154" s="102">
        <v>3392.28166341</v>
      </c>
      <c r="EV154" s="102">
        <v>3376.1920744099998</v>
      </c>
      <c r="EW154" s="102">
        <v>3360.1024854099996</v>
      </c>
      <c r="EX154" s="102">
        <v>3344.0128964099999</v>
      </c>
      <c r="EY154" s="102">
        <v>3327.9233074099998</v>
      </c>
      <c r="EZ154" s="102">
        <v>3311.8337184100001</v>
      </c>
      <c r="FA154" s="102">
        <v>3295.7441294099999</v>
      </c>
      <c r="FB154" s="102">
        <v>3279.6545404099998</v>
      </c>
      <c r="FC154" s="102">
        <v>3263.56495141</v>
      </c>
      <c r="FD154" s="102">
        <v>3247.4753624099999</v>
      </c>
      <c r="FE154" s="102">
        <v>3231.3857734099997</v>
      </c>
      <c r="FF154" s="102">
        <v>3227.52487247</v>
      </c>
      <c r="FG154" s="102" t="e">
        <v>#VALUE!</v>
      </c>
      <c r="FH154" s="102" t="e">
        <v>#VALUE!</v>
      </c>
      <c r="FI154" s="102" t="e">
        <v>#VALUE!</v>
      </c>
      <c r="FJ154" s="102" t="e">
        <v>#VALUE!</v>
      </c>
      <c r="FK154" s="102" t="e">
        <v>#VALUE!</v>
      </c>
      <c r="FL154" s="102" t="e">
        <v>#VALUE!</v>
      </c>
      <c r="FM154" s="102" t="e">
        <v>#VALUE!</v>
      </c>
      <c r="FN154" s="102" t="e">
        <v>#VALUE!</v>
      </c>
      <c r="FO154" s="102" t="e">
        <v>#VALUE!</v>
      </c>
      <c r="FP154" s="102" t="e">
        <v>#VALUE!</v>
      </c>
      <c r="FQ154" s="102" t="e">
        <v>#VALUE!</v>
      </c>
      <c r="FR154" s="102" t="e">
        <v>#VALUE!</v>
      </c>
      <c r="FS154" s="102" t="e">
        <v>#VALUE!</v>
      </c>
      <c r="FT154" s="102" t="e">
        <v>#VALUE!</v>
      </c>
      <c r="FU154" s="102" t="e">
        <v>#VALUE!</v>
      </c>
      <c r="FV154" s="102" t="e">
        <v>#VALUE!</v>
      </c>
      <c r="FW154" s="102" t="e">
        <v>#VALUE!</v>
      </c>
      <c r="FX154" s="102" t="e">
        <v>#VALUE!</v>
      </c>
      <c r="FY154" s="102" t="e">
        <v>#VALUE!</v>
      </c>
      <c r="FZ154" s="102" t="e">
        <v>#VALUE!</v>
      </c>
      <c r="GA154" s="102" t="e">
        <v>#VALUE!</v>
      </c>
      <c r="GB154" s="102" t="e">
        <v>#VALUE!</v>
      </c>
      <c r="GC154" s="102" t="e">
        <v>#VALUE!</v>
      </c>
      <c r="GD154" s="102" t="e">
        <v>#VALUE!</v>
      </c>
      <c r="GF154" s="102">
        <f t="shared" si="458"/>
        <v>273.31431781999999</v>
      </c>
      <c r="GG154" s="102">
        <f t="shared" si="458"/>
        <v>231.64966146</v>
      </c>
      <c r="GH154" s="102">
        <f t="shared" si="458"/>
        <v>1094.20397299</v>
      </c>
      <c r="GI154" s="102">
        <f t="shared" si="458"/>
        <v>3400.556</v>
      </c>
      <c r="GJ154" s="102">
        <f t="shared" si="434"/>
        <v>3181.9380374100001</v>
      </c>
      <c r="GK154" s="102">
        <f t="shared" si="407"/>
        <v>2811.0045920100001</v>
      </c>
      <c r="GL154" s="102">
        <f t="shared" si="435"/>
        <v>2596.3167651399999</v>
      </c>
      <c r="GM154" s="102">
        <f t="shared" si="408"/>
        <v>2050.61077054</v>
      </c>
      <c r="GN154" s="102" t="e">
        <f t="shared" si="409"/>
        <v>#VALUE!</v>
      </c>
      <c r="GO154" s="102">
        <v>1896.5639934799999</v>
      </c>
      <c r="GQ154" s="929">
        <f t="shared" si="501"/>
        <v>3.7235293420834168</v>
      </c>
      <c r="GR154" s="929">
        <f t="shared" si="501"/>
        <v>2.1077898490056732</v>
      </c>
      <c r="GS154" s="929">
        <f t="shared" si="501"/>
        <v>-6.4288887637786285E-2</v>
      </c>
      <c r="GT154" s="929">
        <f t="shared" si="499"/>
        <v>-0.11657469159956624</v>
      </c>
      <c r="GU154" s="929">
        <f t="shared" si="499"/>
        <v>-7.6374057687500385E-2</v>
      </c>
      <c r="GV154" s="929">
        <f t="shared" si="499"/>
        <v>-0.21018467466182778</v>
      </c>
      <c r="GW154" s="929" t="str">
        <f t="shared" si="499"/>
        <v/>
      </c>
      <c r="GX154" s="929" t="str">
        <f t="shared" si="499"/>
        <v/>
      </c>
      <c r="GY154" s="929">
        <f t="shared" si="492"/>
        <v>-7.5122387570135452E-2</v>
      </c>
      <c r="HA154" s="102">
        <f t="shared" si="502"/>
        <v>862.55431152999995</v>
      </c>
      <c r="HB154" s="102">
        <f t="shared" si="502"/>
        <v>2306.3520270099998</v>
      </c>
      <c r="HC154" s="102">
        <f t="shared" si="502"/>
        <v>-218.61796258999993</v>
      </c>
      <c r="HD154" s="102">
        <f t="shared" si="500"/>
        <v>-370.93344539999998</v>
      </c>
      <c r="HE154" s="102">
        <f t="shared" si="500"/>
        <v>-214.68782687000021</v>
      </c>
      <c r="HF154" s="102">
        <f t="shared" si="500"/>
        <v>-545.70599459999994</v>
      </c>
      <c r="HG154" s="102" t="e">
        <f t="shared" si="500"/>
        <v>#VALUE!</v>
      </c>
      <c r="HH154" s="102" t="e">
        <f t="shared" si="500"/>
        <v>#VALUE!</v>
      </c>
      <c r="HI154" s="102">
        <f t="shared" si="493"/>
        <v>-154.04677706000007</v>
      </c>
      <c r="HK154" s="973"/>
      <c r="HL154" s="973"/>
      <c r="HM154" s="973"/>
      <c r="HN154" s="973"/>
      <c r="HO154" s="973"/>
      <c r="HP154" s="973"/>
      <c r="HQ154" s="973"/>
      <c r="HR154" s="973"/>
      <c r="HS154" s="973"/>
      <c r="HU154" s="102">
        <f t="shared" si="503"/>
        <v>116.22263208</v>
      </c>
      <c r="HV154" s="102">
        <f t="shared" si="503"/>
        <v>310.80241723</v>
      </c>
      <c r="HW154" s="102">
        <f t="shared" si="503"/>
        <v>182.33173743</v>
      </c>
      <c r="HX154" s="102">
        <f t="shared" si="503"/>
        <v>1129.4370149000001</v>
      </c>
      <c r="HY154" s="102">
        <f t="shared" si="462"/>
        <v>3527.84082218</v>
      </c>
      <c r="HZ154" s="102">
        <f t="shared" si="453"/>
        <v>3273.83037771</v>
      </c>
      <c r="IA154" s="102">
        <f t="shared" si="414"/>
        <v>2772.8362781399996</v>
      </c>
      <c r="IB154" s="102">
        <f t="shared" si="415"/>
        <v>2571.0144331399997</v>
      </c>
      <c r="IC154" s="102">
        <f t="shared" si="416"/>
        <v>2018.16073054</v>
      </c>
      <c r="ID154" s="102" t="e">
        <f t="shared" si="417"/>
        <v>#VALUE!</v>
      </c>
      <c r="IE154" s="102" t="e">
        <f t="shared" si="463"/>
        <v>#VALUE!</v>
      </c>
      <c r="IG154" s="102" t="e">
        <f t="shared" si="464"/>
        <v>#VALUE!</v>
      </c>
      <c r="IH154" s="102" t="e">
        <f t="shared" si="465"/>
        <v>#VALUE!</v>
      </c>
      <c r="II154" s="145"/>
      <c r="IJ154" s="929" t="str">
        <f t="shared" si="466"/>
        <v>NA</v>
      </c>
      <c r="IK154" s="930" t="str">
        <f t="shared" si="467"/>
        <v>NA</v>
      </c>
      <c r="IM154" s="973"/>
      <c r="IN154" s="973"/>
      <c r="IP154" s="929">
        <f t="shared" si="477"/>
        <v>-0.41335161079178195</v>
      </c>
      <c r="IQ154" s="929">
        <f t="shared" si="477"/>
        <v>5.1944071329524215</v>
      </c>
      <c r="IR154" s="929">
        <f t="shared" si="477"/>
        <v>2.1235392285176289</v>
      </c>
      <c r="IS154" s="929">
        <f t="shared" si="477"/>
        <v>-7.200167390575074E-2</v>
      </c>
      <c r="IT154" s="929">
        <f t="shared" si="477"/>
        <v>-0.15302995017122389</v>
      </c>
      <c r="IU154" s="929">
        <f t="shared" si="477"/>
        <v>-7.2785344952057796E-2</v>
      </c>
      <c r="IV154" s="929" t="str">
        <f t="shared" si="478"/>
        <v/>
      </c>
      <c r="IX154" s="102">
        <f t="shared" si="511"/>
        <v>-128.4706798</v>
      </c>
      <c r="IY154" s="102">
        <f t="shared" si="511"/>
        <v>947.10527747000015</v>
      </c>
      <c r="IZ154" s="102">
        <f t="shared" si="511"/>
        <v>2398.4038072799999</v>
      </c>
      <c r="JA154" s="102">
        <f t="shared" si="510"/>
        <v>-254.01044447000004</v>
      </c>
      <c r="JB154" s="102">
        <f t="shared" si="510"/>
        <v>-500.99409957000034</v>
      </c>
      <c r="JC154" s="102">
        <f t="shared" si="510"/>
        <v>-201.82184499999994</v>
      </c>
      <c r="JD154" s="102" t="e">
        <f t="shared" si="423"/>
        <v>#VALUE!</v>
      </c>
      <c r="JF154" s="973"/>
      <c r="JG154" s="973"/>
      <c r="JH154" s="973"/>
      <c r="JI154" s="973"/>
      <c r="JJ154" s="973"/>
      <c r="JK154" s="973"/>
      <c r="JL154" s="973"/>
      <c r="JM154" s="973"/>
      <c r="JO154" s="102">
        <f t="shared" si="504"/>
        <v>116.22263208</v>
      </c>
      <c r="JP154" s="102">
        <f t="shared" si="504"/>
        <v>310.80241723</v>
      </c>
      <c r="JQ154" s="102">
        <f t="shared" si="504"/>
        <v>182.33173743</v>
      </c>
      <c r="JR154" s="102">
        <f t="shared" si="504"/>
        <v>1129.4370149000001</v>
      </c>
      <c r="JS154" s="102">
        <f t="shared" si="504"/>
        <v>3527.84082218</v>
      </c>
      <c r="JT154" s="102">
        <f t="shared" si="425"/>
        <v>3273.83037771</v>
      </c>
      <c r="JU154" s="102">
        <f t="shared" si="426"/>
        <v>2772.8362781399996</v>
      </c>
      <c r="JV154" s="102">
        <f t="shared" si="505"/>
        <v>2571.0144331399997</v>
      </c>
      <c r="JW154" s="102">
        <f t="shared" si="505"/>
        <v>2018.16073054</v>
      </c>
      <c r="JX154" s="102" t="e">
        <f t="shared" si="428"/>
        <v>#VALUE!</v>
      </c>
      <c r="JY154" s="102" t="e">
        <f t="shared" si="471"/>
        <v>#VALUE!</v>
      </c>
      <c r="KB154" s="32">
        <f t="shared" si="472"/>
        <v>-0.41335161079178195</v>
      </c>
      <c r="KC154" s="32">
        <f t="shared" si="472"/>
        <v>5.1944071329524215</v>
      </c>
      <c r="KD154" s="32">
        <f t="shared" si="472"/>
        <v>2.1235392285176289</v>
      </c>
      <c r="KE154" s="32">
        <f t="shared" si="472"/>
        <v>-7.200167390575074E-2</v>
      </c>
      <c r="KF154" s="32">
        <f t="shared" si="472"/>
        <v>-0.15302995017122389</v>
      </c>
      <c r="KG154" s="32">
        <f t="shared" si="472"/>
        <v>-7.2785344952057796E-2</v>
      </c>
      <c r="KH154" s="32" t="str">
        <f t="shared" si="431"/>
        <v xml:space="preserve"> </v>
      </c>
      <c r="KJ154" s="102">
        <f t="shared" si="473"/>
        <v>-128.4706798</v>
      </c>
      <c r="KK154" s="102">
        <f t="shared" si="473"/>
        <v>947.10527747000015</v>
      </c>
      <c r="KL154" s="102">
        <f t="shared" si="473"/>
        <v>2398.4038072799999</v>
      </c>
      <c r="KM154" s="102">
        <f t="shared" si="473"/>
        <v>-254.01044447000004</v>
      </c>
      <c r="KN154" s="102">
        <f t="shared" si="473"/>
        <v>-500.99409957000034</v>
      </c>
      <c r="KO154" s="102">
        <f t="shared" si="473"/>
        <v>-201.82184499999994</v>
      </c>
      <c r="KP154" s="102" t="e">
        <f t="shared" si="433"/>
        <v>#VALUE!</v>
      </c>
      <c r="KR154" s="973"/>
      <c r="KS154" s="973"/>
      <c r="KT154" s="973"/>
      <c r="KU154" s="973"/>
      <c r="KV154" s="973"/>
      <c r="KW154" s="973"/>
      <c r="KX154" s="973"/>
      <c r="KY154" s="973"/>
      <c r="KZ154" s="973"/>
    </row>
    <row r="155" spans="1:312">
      <c r="A155" s="884">
        <v>18</v>
      </c>
      <c r="B155" s="70" t="s">
        <v>721</v>
      </c>
      <c r="C155" s="17" t="s">
        <v>137</v>
      </c>
      <c r="D155" s="31" t="s">
        <v>59</v>
      </c>
      <c r="E155" s="102">
        <v>10.498307</v>
      </c>
      <c r="F155" s="102">
        <v>10.498307</v>
      </c>
      <c r="G155" s="102">
        <v>10.498307</v>
      </c>
      <c r="H155" s="102">
        <v>10.498307</v>
      </c>
      <c r="I155" s="102">
        <v>10.498307</v>
      </c>
      <c r="J155" s="102">
        <v>10.498307</v>
      </c>
      <c r="K155" s="102">
        <v>10.498307</v>
      </c>
      <c r="L155" s="102">
        <v>10.498307</v>
      </c>
      <c r="M155" s="102">
        <v>10.498307</v>
      </c>
      <c r="N155" s="102">
        <v>10.498307</v>
      </c>
      <c r="O155" s="102">
        <v>10.498307</v>
      </c>
      <c r="P155" s="102">
        <v>10.498307</v>
      </c>
      <c r="Q155" s="102">
        <v>10.498307</v>
      </c>
      <c r="R155" s="102">
        <v>10.498307</v>
      </c>
      <c r="S155" s="102">
        <v>10.498307</v>
      </c>
      <c r="T155" s="102">
        <v>10.498307</v>
      </c>
      <c r="U155" s="102">
        <v>10.498307</v>
      </c>
      <c r="V155" s="102">
        <v>10.498307</v>
      </c>
      <c r="W155" s="102">
        <v>10.498307</v>
      </c>
      <c r="X155" s="102">
        <v>10.498307</v>
      </c>
      <c r="Y155" s="102">
        <v>10.498307</v>
      </c>
      <c r="Z155" s="102">
        <v>10.498307</v>
      </c>
      <c r="AA155" s="102">
        <v>0</v>
      </c>
      <c r="AB155" s="102">
        <v>0</v>
      </c>
      <c r="AC155" s="102">
        <v>0</v>
      </c>
      <c r="AD155" s="102">
        <v>0</v>
      </c>
      <c r="AE155" s="102">
        <v>0</v>
      </c>
      <c r="AF155" s="102">
        <v>0</v>
      </c>
      <c r="AG155" s="102">
        <v>0</v>
      </c>
      <c r="AH155" s="102">
        <v>0</v>
      </c>
      <c r="AI155" s="102">
        <v>0</v>
      </c>
      <c r="AJ155" s="102">
        <v>0</v>
      </c>
      <c r="AK155" s="102">
        <v>0</v>
      </c>
      <c r="AL155" s="102">
        <v>0</v>
      </c>
      <c r="AM155" s="102">
        <v>0</v>
      </c>
      <c r="AN155" s="102">
        <v>0</v>
      </c>
      <c r="AO155" s="102">
        <v>0</v>
      </c>
      <c r="AP155" s="145">
        <v>0</v>
      </c>
      <c r="AQ155" s="220">
        <v>0</v>
      </c>
      <c r="AR155" s="220">
        <v>0</v>
      </c>
      <c r="AS155" s="102">
        <v>0</v>
      </c>
      <c r="AT155" s="102">
        <v>0</v>
      </c>
      <c r="AU155" s="102">
        <v>0</v>
      </c>
      <c r="AV155" s="102">
        <v>0</v>
      </c>
      <c r="AW155" s="102">
        <v>0</v>
      </c>
      <c r="AX155" s="102">
        <v>0</v>
      </c>
      <c r="AY155" s="102">
        <v>0</v>
      </c>
      <c r="AZ155" s="102">
        <v>0</v>
      </c>
      <c r="BA155" s="102">
        <v>0</v>
      </c>
      <c r="BB155" s="102">
        <v>0</v>
      </c>
      <c r="BC155" s="102">
        <v>0</v>
      </c>
      <c r="BD155" s="102">
        <v>0</v>
      </c>
      <c r="BE155" s="102">
        <v>0</v>
      </c>
      <c r="BF155" s="102">
        <v>0</v>
      </c>
      <c r="BG155" s="102">
        <v>0</v>
      </c>
      <c r="BH155" s="102">
        <v>0</v>
      </c>
      <c r="BI155" s="102">
        <v>0</v>
      </c>
      <c r="BJ155" s="102">
        <v>0</v>
      </c>
      <c r="BK155" s="102">
        <v>0</v>
      </c>
      <c r="BL155" s="102">
        <v>0</v>
      </c>
      <c r="BM155" s="102">
        <v>0</v>
      </c>
      <c r="BN155" s="102">
        <v>0</v>
      </c>
      <c r="BO155" s="102">
        <v>0</v>
      </c>
      <c r="BP155" s="102">
        <v>0</v>
      </c>
      <c r="BQ155" s="102">
        <v>0</v>
      </c>
      <c r="BR155" s="102">
        <v>0</v>
      </c>
      <c r="BS155" s="102">
        <v>0</v>
      </c>
      <c r="BT155" s="102">
        <v>0</v>
      </c>
      <c r="BU155" s="102">
        <v>0</v>
      </c>
      <c r="BV155" s="102">
        <v>0</v>
      </c>
      <c r="BW155" s="102">
        <v>0</v>
      </c>
      <c r="BX155" s="102">
        <v>0</v>
      </c>
      <c r="BY155" s="102">
        <v>0</v>
      </c>
      <c r="BZ155" s="102">
        <v>0</v>
      </c>
      <c r="CA155" s="102">
        <v>0</v>
      </c>
      <c r="CB155" s="102">
        <v>0</v>
      </c>
      <c r="CC155" s="102">
        <v>0</v>
      </c>
      <c r="CD155" s="102">
        <v>0</v>
      </c>
      <c r="CE155" s="102">
        <v>0</v>
      </c>
      <c r="CF155" s="102">
        <v>0</v>
      </c>
      <c r="CG155" s="102">
        <v>0</v>
      </c>
      <c r="CH155" s="102">
        <v>0</v>
      </c>
      <c r="CI155" s="102">
        <v>0</v>
      </c>
      <c r="CJ155" s="102">
        <v>0</v>
      </c>
      <c r="CK155" s="102">
        <v>0</v>
      </c>
      <c r="CL155" s="102">
        <v>0</v>
      </c>
      <c r="CM155" s="102">
        <v>0</v>
      </c>
      <c r="CN155" s="102">
        <v>0</v>
      </c>
      <c r="CO155" s="102">
        <v>0</v>
      </c>
      <c r="CP155" s="102">
        <v>0</v>
      </c>
      <c r="CQ155" s="102">
        <v>0</v>
      </c>
      <c r="CR155" s="102">
        <v>0</v>
      </c>
      <c r="CS155" s="102">
        <v>0</v>
      </c>
      <c r="CT155" s="102">
        <v>0</v>
      </c>
      <c r="CU155" s="102">
        <v>0</v>
      </c>
      <c r="CV155" s="102">
        <v>0</v>
      </c>
      <c r="CW155" s="102">
        <v>0</v>
      </c>
      <c r="CX155" s="102">
        <v>0</v>
      </c>
      <c r="CY155" s="102">
        <v>0</v>
      </c>
      <c r="CZ155" s="102">
        <v>0</v>
      </c>
      <c r="DA155" s="102">
        <v>0</v>
      </c>
      <c r="DB155" s="102">
        <v>0</v>
      </c>
      <c r="DC155" s="102">
        <v>0</v>
      </c>
      <c r="DD155" s="102">
        <v>0</v>
      </c>
      <c r="DE155" s="102">
        <v>0</v>
      </c>
      <c r="DF155" s="102">
        <v>0</v>
      </c>
      <c r="DG155" s="102">
        <v>0</v>
      </c>
      <c r="DH155" s="102">
        <v>0</v>
      </c>
      <c r="DJ155" s="102" t="e">
        <v>#VALUE!</v>
      </c>
      <c r="DK155" s="102" t="e">
        <v>#VALUE!</v>
      </c>
      <c r="DL155" s="102" t="e">
        <v>#VALUE!</v>
      </c>
      <c r="DM155" s="102" t="e">
        <v>#VALUE!</v>
      </c>
      <c r="DN155" s="102" t="e">
        <v>#VALUE!</v>
      </c>
      <c r="DO155" s="102" t="e">
        <v>#VALUE!</v>
      </c>
      <c r="DP155" s="102" t="e">
        <v>#VALUE!</v>
      </c>
      <c r="DQ155" s="102" t="e">
        <v>#VALUE!</v>
      </c>
      <c r="DR155" s="102" t="e">
        <v>#VALUE!</v>
      </c>
      <c r="DS155" s="102" t="e">
        <v>#VALUE!</v>
      </c>
      <c r="DT155" s="102" t="e">
        <v>#VALUE!</v>
      </c>
      <c r="DU155" s="102" t="e">
        <v>#VALUE!</v>
      </c>
      <c r="DW155" s="102"/>
      <c r="DX155" s="102"/>
      <c r="DY155" s="102"/>
      <c r="DZ155" s="102"/>
      <c r="EA155" s="102"/>
      <c r="EB155" s="102"/>
      <c r="EC155" s="102"/>
      <c r="ED155" s="102"/>
      <c r="EE155" s="102"/>
      <c r="EF155" s="102"/>
      <c r="EG155" s="102"/>
      <c r="EH155" s="102"/>
      <c r="EI155" s="102">
        <v>0</v>
      </c>
      <c r="EJ155" s="102">
        <v>0</v>
      </c>
      <c r="EK155" s="102">
        <v>0</v>
      </c>
      <c r="EL155" s="102">
        <v>0</v>
      </c>
      <c r="EM155" s="102">
        <v>0</v>
      </c>
      <c r="EN155" s="102">
        <v>0</v>
      </c>
      <c r="EO155" s="102">
        <v>0</v>
      </c>
      <c r="EP155" s="102">
        <v>0</v>
      </c>
      <c r="EQ155" s="102">
        <v>0</v>
      </c>
      <c r="ER155" s="102">
        <v>0</v>
      </c>
      <c r="ES155" s="102">
        <v>0</v>
      </c>
      <c r="ET155" s="102">
        <v>0</v>
      </c>
      <c r="EU155" s="102"/>
      <c r="EV155" s="102"/>
      <c r="EW155" s="102"/>
      <c r="EX155" s="102"/>
      <c r="EY155" s="102"/>
      <c r="EZ155" s="102"/>
      <c r="FA155" s="102"/>
      <c r="FB155" s="102"/>
      <c r="FC155" s="102"/>
      <c r="FD155" s="102"/>
      <c r="FE155" s="102"/>
      <c r="FF155" s="102"/>
      <c r="FG155" s="102" t="e">
        <v>#VALUE!</v>
      </c>
      <c r="FH155" s="102" t="e">
        <v>#VALUE!</v>
      </c>
      <c r="FI155" s="102" t="e">
        <v>#VALUE!</v>
      </c>
      <c r="FJ155" s="102" t="e">
        <v>#VALUE!</v>
      </c>
      <c r="FK155" s="102" t="e">
        <v>#VALUE!</v>
      </c>
      <c r="FL155" s="102" t="e">
        <v>#VALUE!</v>
      </c>
      <c r="FM155" s="102" t="e">
        <v>#VALUE!</v>
      </c>
      <c r="FN155" s="102" t="e">
        <v>#VALUE!</v>
      </c>
      <c r="FO155" s="102" t="e">
        <v>#VALUE!</v>
      </c>
      <c r="FP155" s="102" t="e">
        <v>#VALUE!</v>
      </c>
      <c r="FQ155" s="102" t="e">
        <v>#VALUE!</v>
      </c>
      <c r="FR155" s="102" t="e">
        <v>#VALUE!</v>
      </c>
      <c r="FS155" s="102" t="e">
        <v>#VALUE!</v>
      </c>
      <c r="FT155" s="102" t="e">
        <v>#VALUE!</v>
      </c>
      <c r="FU155" s="102" t="e">
        <v>#VALUE!</v>
      </c>
      <c r="FV155" s="102" t="e">
        <v>#VALUE!</v>
      </c>
      <c r="FW155" s="102" t="e">
        <v>#VALUE!</v>
      </c>
      <c r="FX155" s="102" t="e">
        <v>#VALUE!</v>
      </c>
      <c r="FY155" s="102" t="e">
        <v>#VALUE!</v>
      </c>
      <c r="FZ155" s="102" t="e">
        <v>#VALUE!</v>
      </c>
      <c r="GA155" s="102" t="e">
        <v>#VALUE!</v>
      </c>
      <c r="GB155" s="102" t="e">
        <v>#VALUE!</v>
      </c>
      <c r="GC155" s="102" t="e">
        <v>#VALUE!</v>
      </c>
      <c r="GD155" s="102" t="e">
        <v>#VALUE!</v>
      </c>
      <c r="GF155" s="102">
        <f t="shared" si="458"/>
        <v>10.498307</v>
      </c>
      <c r="GG155" s="102">
        <f t="shared" si="458"/>
        <v>0</v>
      </c>
      <c r="GH155" s="102">
        <f t="shared" si="458"/>
        <v>0</v>
      </c>
      <c r="GI155" s="102">
        <f t="shared" si="458"/>
        <v>0</v>
      </c>
      <c r="GJ155" s="102">
        <f t="shared" si="434"/>
        <v>0</v>
      </c>
      <c r="GK155" s="102">
        <f t="shared" si="407"/>
        <v>0</v>
      </c>
      <c r="GL155" s="102">
        <f t="shared" si="435"/>
        <v>0</v>
      </c>
      <c r="GM155" s="102">
        <f t="shared" si="408"/>
        <v>0</v>
      </c>
      <c r="GN155" s="102" t="e">
        <f t="shared" si="409"/>
        <v>#VALUE!</v>
      </c>
      <c r="GO155" s="102">
        <v>0</v>
      </c>
      <c r="GQ155" s="929" t="str">
        <f t="shared" si="501"/>
        <v/>
      </c>
      <c r="GR155" s="929" t="str">
        <f t="shared" si="501"/>
        <v/>
      </c>
      <c r="GS155" s="929" t="str">
        <f t="shared" si="501"/>
        <v/>
      </c>
      <c r="GT155" s="929" t="str">
        <f t="shared" si="499"/>
        <v/>
      </c>
      <c r="GU155" s="929" t="str">
        <f t="shared" si="499"/>
        <v/>
      </c>
      <c r="GV155" s="929" t="str">
        <f t="shared" si="499"/>
        <v/>
      </c>
      <c r="GW155" s="929" t="str">
        <f t="shared" si="499"/>
        <v/>
      </c>
      <c r="GX155" s="929" t="str">
        <f t="shared" si="499"/>
        <v/>
      </c>
      <c r="GY155" s="929" t="str">
        <f t="shared" si="492"/>
        <v/>
      </c>
      <c r="HA155" s="102">
        <f t="shared" si="502"/>
        <v>0</v>
      </c>
      <c r="HB155" s="102">
        <f t="shared" si="502"/>
        <v>0</v>
      </c>
      <c r="HC155" s="102">
        <f t="shared" si="502"/>
        <v>0</v>
      </c>
      <c r="HD155" s="102">
        <f t="shared" si="500"/>
        <v>0</v>
      </c>
      <c r="HE155" s="102">
        <f t="shared" si="500"/>
        <v>0</v>
      </c>
      <c r="HF155" s="102">
        <f t="shared" si="500"/>
        <v>0</v>
      </c>
      <c r="HG155" s="102" t="e">
        <f t="shared" si="500"/>
        <v>#VALUE!</v>
      </c>
      <c r="HH155" s="102" t="e">
        <f t="shared" si="500"/>
        <v>#VALUE!</v>
      </c>
      <c r="HI155" s="102">
        <f t="shared" si="493"/>
        <v>0</v>
      </c>
      <c r="HK155" s="973"/>
      <c r="HL155" s="973"/>
      <c r="HM155" s="973"/>
      <c r="HN155" s="973"/>
      <c r="HO155" s="973"/>
      <c r="HP155" s="973"/>
      <c r="HQ155" s="973"/>
      <c r="HR155" s="973"/>
      <c r="HS155" s="973"/>
      <c r="HU155" s="102">
        <f t="shared" si="503"/>
        <v>10.498307</v>
      </c>
      <c r="HV155" s="102">
        <f t="shared" si="503"/>
        <v>10.498307</v>
      </c>
      <c r="HW155" s="102">
        <f t="shared" si="503"/>
        <v>0</v>
      </c>
      <c r="HX155" s="102">
        <f t="shared" si="503"/>
        <v>0</v>
      </c>
      <c r="HY155" s="102">
        <f t="shared" si="462"/>
        <v>0</v>
      </c>
      <c r="HZ155" s="102">
        <f t="shared" si="453"/>
        <v>0</v>
      </c>
      <c r="IA155" s="102">
        <f t="shared" si="414"/>
        <v>0</v>
      </c>
      <c r="IB155" s="102">
        <f t="shared" si="415"/>
        <v>0</v>
      </c>
      <c r="IC155" s="102">
        <f t="shared" si="416"/>
        <v>0</v>
      </c>
      <c r="ID155" s="102" t="e">
        <f t="shared" si="417"/>
        <v>#VALUE!</v>
      </c>
      <c r="IE155" s="102" t="e">
        <f t="shared" si="463"/>
        <v>#VALUE!</v>
      </c>
      <c r="IG155" s="102" t="e">
        <f t="shared" si="464"/>
        <v>#VALUE!</v>
      </c>
      <c r="IH155" s="102" t="e">
        <f t="shared" si="465"/>
        <v>#VALUE!</v>
      </c>
      <c r="II155" s="145"/>
      <c r="IJ155" s="929" t="str">
        <f t="shared" si="466"/>
        <v>NA</v>
      </c>
      <c r="IK155" s="930" t="str">
        <f t="shared" si="467"/>
        <v>NA</v>
      </c>
      <c r="IM155" s="973"/>
      <c r="IN155" s="973"/>
      <c r="IP155" s="929">
        <f t="shared" si="477"/>
        <v>-1</v>
      </c>
      <c r="IQ155" s="929" t="str">
        <f t="shared" si="477"/>
        <v/>
      </c>
      <c r="IR155" s="929" t="str">
        <f t="shared" si="477"/>
        <v/>
      </c>
      <c r="IS155" s="929" t="str">
        <f t="shared" si="477"/>
        <v/>
      </c>
      <c r="IT155" s="929" t="str">
        <f t="shared" si="477"/>
        <v/>
      </c>
      <c r="IU155" s="929" t="str">
        <f t="shared" si="477"/>
        <v/>
      </c>
      <c r="IV155" s="929" t="str">
        <f t="shared" si="478"/>
        <v/>
      </c>
      <c r="IX155" s="102">
        <f t="shared" si="511"/>
        <v>-10.498307</v>
      </c>
      <c r="IY155" s="102">
        <f t="shared" si="511"/>
        <v>0</v>
      </c>
      <c r="IZ155" s="102">
        <f t="shared" si="511"/>
        <v>0</v>
      </c>
      <c r="JA155" s="102">
        <f t="shared" si="510"/>
        <v>0</v>
      </c>
      <c r="JB155" s="102">
        <f t="shared" si="510"/>
        <v>0</v>
      </c>
      <c r="JC155" s="102">
        <f t="shared" si="510"/>
        <v>0</v>
      </c>
      <c r="JD155" s="102" t="e">
        <f t="shared" si="423"/>
        <v>#VALUE!</v>
      </c>
      <c r="JF155" s="973"/>
      <c r="JG155" s="973"/>
      <c r="JH155" s="973"/>
      <c r="JI155" s="973"/>
      <c r="JJ155" s="973"/>
      <c r="JK155" s="973"/>
      <c r="JL155" s="973"/>
      <c r="JM155" s="973"/>
      <c r="JO155" s="102">
        <f t="shared" si="504"/>
        <v>10.498307</v>
      </c>
      <c r="JP155" s="102">
        <f t="shared" si="504"/>
        <v>10.498307</v>
      </c>
      <c r="JQ155" s="102">
        <f t="shared" si="504"/>
        <v>0</v>
      </c>
      <c r="JR155" s="102">
        <f t="shared" si="504"/>
        <v>0</v>
      </c>
      <c r="JS155" s="102">
        <f t="shared" si="504"/>
        <v>0</v>
      </c>
      <c r="JT155" s="102">
        <f t="shared" si="425"/>
        <v>0</v>
      </c>
      <c r="JU155" s="102">
        <f t="shared" si="426"/>
        <v>0</v>
      </c>
      <c r="JV155" s="102">
        <f t="shared" si="505"/>
        <v>0</v>
      </c>
      <c r="JW155" s="102">
        <f t="shared" si="505"/>
        <v>0</v>
      </c>
      <c r="JX155" s="102" t="e">
        <f t="shared" si="428"/>
        <v>#VALUE!</v>
      </c>
      <c r="JY155" s="102" t="e">
        <f t="shared" si="471"/>
        <v>#VALUE!</v>
      </c>
      <c r="KB155" s="32">
        <f t="shared" si="472"/>
        <v>-1</v>
      </c>
      <c r="KC155" s="32" t="str">
        <f t="shared" si="472"/>
        <v xml:space="preserve"> </v>
      </c>
      <c r="KD155" s="32" t="str">
        <f t="shared" si="472"/>
        <v xml:space="preserve"> </v>
      </c>
      <c r="KE155" s="32" t="str">
        <f t="shared" si="472"/>
        <v xml:space="preserve"> </v>
      </c>
      <c r="KF155" s="32" t="str">
        <f t="shared" si="472"/>
        <v xml:space="preserve"> </v>
      </c>
      <c r="KG155" s="32" t="str">
        <f t="shared" si="472"/>
        <v xml:space="preserve"> </v>
      </c>
      <c r="KH155" s="32" t="str">
        <f t="shared" si="431"/>
        <v xml:space="preserve"> </v>
      </c>
      <c r="KJ155" s="102">
        <f t="shared" si="473"/>
        <v>-10.498307</v>
      </c>
      <c r="KK155" s="102">
        <f t="shared" si="473"/>
        <v>0</v>
      </c>
      <c r="KL155" s="102">
        <f t="shared" si="473"/>
        <v>0</v>
      </c>
      <c r="KM155" s="102">
        <f t="shared" si="473"/>
        <v>0</v>
      </c>
      <c r="KN155" s="102">
        <f t="shared" si="473"/>
        <v>0</v>
      </c>
      <c r="KO155" s="102">
        <f t="shared" si="473"/>
        <v>0</v>
      </c>
      <c r="KP155" s="102" t="e">
        <f t="shared" si="433"/>
        <v>#VALUE!</v>
      </c>
      <c r="KR155" s="973"/>
      <c r="KS155" s="973"/>
      <c r="KT155" s="973"/>
      <c r="KU155" s="973"/>
      <c r="KV155" s="973"/>
      <c r="KW155" s="973"/>
      <c r="KX155" s="973"/>
      <c r="KY155" s="973"/>
      <c r="KZ155" s="973"/>
    </row>
    <row r="156" spans="1:312">
      <c r="A156" s="884">
        <v>19</v>
      </c>
      <c r="B156" s="70" t="s">
        <v>722</v>
      </c>
      <c r="C156" s="186" t="s">
        <v>138</v>
      </c>
      <c r="D156" s="307" t="s">
        <v>59</v>
      </c>
      <c r="E156" s="931">
        <v>0</v>
      </c>
      <c r="F156" s="931">
        <v>0</v>
      </c>
      <c r="G156" s="931">
        <v>0</v>
      </c>
      <c r="H156" s="931">
        <v>0</v>
      </c>
      <c r="I156" s="931">
        <v>0</v>
      </c>
      <c r="J156" s="931">
        <v>0</v>
      </c>
      <c r="K156" s="931">
        <v>0</v>
      </c>
      <c r="L156" s="931">
        <v>0</v>
      </c>
      <c r="M156" s="931">
        <v>0</v>
      </c>
      <c r="N156" s="931">
        <v>0</v>
      </c>
      <c r="O156" s="931">
        <v>83.296999999999997</v>
      </c>
      <c r="P156" s="931">
        <v>224.59211431999998</v>
      </c>
      <c r="Q156" s="931">
        <v>224.59211431999998</v>
      </c>
      <c r="R156" s="931">
        <v>224.59211431999998</v>
      </c>
      <c r="S156" s="931">
        <v>224.59211431999998</v>
      </c>
      <c r="T156" s="931">
        <v>224.59211431999998</v>
      </c>
      <c r="U156" s="931">
        <v>224.59211431999998</v>
      </c>
      <c r="V156" s="931">
        <v>224.59211431999998</v>
      </c>
      <c r="W156" s="931">
        <v>224.59211431999998</v>
      </c>
      <c r="X156" s="931">
        <v>224.59211431999998</v>
      </c>
      <c r="Y156" s="931">
        <v>224.59211431999998</v>
      </c>
      <c r="Z156" s="931">
        <v>224.59211431999998</v>
      </c>
      <c r="AA156" s="931">
        <v>224.59211431999998</v>
      </c>
      <c r="AB156" s="931">
        <v>228.94920134</v>
      </c>
      <c r="AC156" s="931">
        <v>228.94920134</v>
      </c>
      <c r="AD156" s="931">
        <v>228.94920134</v>
      </c>
      <c r="AE156" s="931">
        <v>228.94920134</v>
      </c>
      <c r="AF156" s="931">
        <v>228.94920134</v>
      </c>
      <c r="AG156" s="931">
        <v>228.94920134</v>
      </c>
      <c r="AH156" s="931">
        <v>228.94920134</v>
      </c>
      <c r="AI156" s="931">
        <v>228.94920134</v>
      </c>
      <c r="AJ156" s="931">
        <v>228.94920134</v>
      </c>
      <c r="AK156" s="931">
        <v>228.94920134</v>
      </c>
      <c r="AL156" s="931">
        <v>228.94920134</v>
      </c>
      <c r="AM156" s="931">
        <v>228.94920134</v>
      </c>
      <c r="AN156" s="931">
        <v>566.71302199999991</v>
      </c>
      <c r="AO156" s="931">
        <v>566.71302200000002</v>
      </c>
      <c r="AP156" s="932">
        <v>566.71302200000002</v>
      </c>
      <c r="AQ156" s="951">
        <v>566.71302200000002</v>
      </c>
      <c r="AR156" s="951">
        <v>566.71302200000002</v>
      </c>
      <c r="AS156" s="931">
        <v>566.71302200000002</v>
      </c>
      <c r="AT156" s="931">
        <v>566.71302200000002</v>
      </c>
      <c r="AU156" s="931">
        <v>566.71302200000002</v>
      </c>
      <c r="AV156" s="931">
        <v>566.71302200000002</v>
      </c>
      <c r="AW156" s="931">
        <v>566.71302200000002</v>
      </c>
      <c r="AX156" s="931">
        <v>566.71302200000002</v>
      </c>
      <c r="AY156" s="931">
        <v>566.71302200000002</v>
      </c>
      <c r="AZ156" s="931">
        <v>0</v>
      </c>
      <c r="BA156" s="931">
        <v>0</v>
      </c>
      <c r="BB156" s="931">
        <v>0</v>
      </c>
      <c r="BC156" s="931">
        <v>0</v>
      </c>
      <c r="BD156" s="931">
        <v>0</v>
      </c>
      <c r="BE156" s="931">
        <v>0</v>
      </c>
      <c r="BF156" s="931">
        <v>0</v>
      </c>
      <c r="BG156" s="931">
        <v>0</v>
      </c>
      <c r="BH156" s="931">
        <v>0</v>
      </c>
      <c r="BI156" s="931">
        <v>0</v>
      </c>
      <c r="BJ156" s="931">
        <v>0</v>
      </c>
      <c r="BK156" s="931">
        <v>0</v>
      </c>
      <c r="BL156" s="931">
        <v>0</v>
      </c>
      <c r="BM156" s="102">
        <v>0</v>
      </c>
      <c r="BN156" s="931">
        <v>0</v>
      </c>
      <c r="BO156" s="931">
        <v>0</v>
      </c>
      <c r="BP156" s="931">
        <v>0</v>
      </c>
      <c r="BQ156" s="931">
        <v>0</v>
      </c>
      <c r="BR156" s="931">
        <v>0</v>
      </c>
      <c r="BS156" s="931">
        <v>0</v>
      </c>
      <c r="BT156" s="931">
        <v>0</v>
      </c>
      <c r="BU156" s="931">
        <v>0</v>
      </c>
      <c r="BV156" s="931">
        <v>0</v>
      </c>
      <c r="BW156" s="931">
        <v>0</v>
      </c>
      <c r="BX156" s="931">
        <v>0</v>
      </c>
      <c r="BY156" s="931">
        <v>0</v>
      </c>
      <c r="BZ156" s="931">
        <v>0</v>
      </c>
      <c r="CA156" s="931">
        <v>0</v>
      </c>
      <c r="CB156" s="931">
        <v>0</v>
      </c>
      <c r="CC156" s="931">
        <v>0</v>
      </c>
      <c r="CD156" s="931">
        <v>0</v>
      </c>
      <c r="CE156" s="931">
        <v>0</v>
      </c>
      <c r="CF156" s="931">
        <v>0</v>
      </c>
      <c r="CG156" s="931">
        <v>0</v>
      </c>
      <c r="CH156" s="931">
        <v>0</v>
      </c>
      <c r="CI156" s="931">
        <v>0</v>
      </c>
      <c r="CJ156" s="931">
        <v>0</v>
      </c>
      <c r="CK156" s="931">
        <v>0</v>
      </c>
      <c r="CL156" s="931">
        <v>0</v>
      </c>
      <c r="CM156" s="931">
        <v>0</v>
      </c>
      <c r="CN156" s="931">
        <v>0</v>
      </c>
      <c r="CO156" s="931">
        <v>0</v>
      </c>
      <c r="CP156" s="931">
        <v>0</v>
      </c>
      <c r="CQ156" s="931">
        <v>0</v>
      </c>
      <c r="CR156" s="931">
        <v>0</v>
      </c>
      <c r="CS156" s="931">
        <v>0</v>
      </c>
      <c r="CT156" s="931">
        <v>0</v>
      </c>
      <c r="CU156" s="931">
        <v>0</v>
      </c>
      <c r="CV156" s="931">
        <v>0</v>
      </c>
      <c r="CW156" s="931">
        <v>0</v>
      </c>
      <c r="CX156" s="931">
        <v>0</v>
      </c>
      <c r="CY156" s="931">
        <v>0</v>
      </c>
      <c r="CZ156" s="931">
        <v>0</v>
      </c>
      <c r="DA156" s="931">
        <v>0</v>
      </c>
      <c r="DB156" s="931">
        <v>0</v>
      </c>
      <c r="DC156" s="931">
        <v>0</v>
      </c>
      <c r="DD156" s="931">
        <v>0</v>
      </c>
      <c r="DE156" s="931">
        <v>0</v>
      </c>
      <c r="DF156" s="931">
        <v>0</v>
      </c>
      <c r="DG156" s="931">
        <v>0</v>
      </c>
      <c r="DH156" s="931">
        <v>0</v>
      </c>
      <c r="DJ156" s="931" t="e">
        <v>#VALUE!</v>
      </c>
      <c r="DK156" s="931" t="e">
        <v>#VALUE!</v>
      </c>
      <c r="DL156" s="931" t="e">
        <v>#VALUE!</v>
      </c>
      <c r="DM156" s="931" t="e">
        <v>#VALUE!</v>
      </c>
      <c r="DN156" s="931" t="e">
        <v>#VALUE!</v>
      </c>
      <c r="DO156" s="931" t="e">
        <v>#VALUE!</v>
      </c>
      <c r="DP156" s="931" t="e">
        <v>#VALUE!</v>
      </c>
      <c r="DQ156" s="931" t="e">
        <v>#VALUE!</v>
      </c>
      <c r="DR156" s="931" t="e">
        <v>#VALUE!</v>
      </c>
      <c r="DS156" s="931" t="e">
        <v>#VALUE!</v>
      </c>
      <c r="DT156" s="931" t="e">
        <v>#VALUE!</v>
      </c>
      <c r="DU156" s="931" t="e">
        <v>#VALUE!</v>
      </c>
      <c r="DW156" s="931">
        <v>228.94920134</v>
      </c>
      <c r="DX156" s="931">
        <v>1805.3492013399998</v>
      </c>
      <c r="DY156" s="931">
        <v>1805.3492013399998</v>
      </c>
      <c r="DZ156" s="931">
        <v>1805.3492013399998</v>
      </c>
      <c r="EA156" s="931">
        <v>1805.3492013399998</v>
      </c>
      <c r="EB156" s="931">
        <v>1805.3492013399998</v>
      </c>
      <c r="EC156" s="931">
        <v>1805.3492013399998</v>
      </c>
      <c r="ED156" s="931">
        <v>1805.3492013399998</v>
      </c>
      <c r="EE156" s="931">
        <v>1805.3492013399998</v>
      </c>
      <c r="EF156" s="931">
        <v>1805.3492013399998</v>
      </c>
      <c r="EG156" s="931">
        <v>1805.3492013399998</v>
      </c>
      <c r="EH156" s="931">
        <v>1805.3492013399998</v>
      </c>
      <c r="EI156" s="931">
        <v>566.71302200000002</v>
      </c>
      <c r="EJ156" s="931">
        <v>566.71302200000002</v>
      </c>
      <c r="EK156" s="931">
        <v>566.71302200000002</v>
      </c>
      <c r="EL156" s="931">
        <v>566.71302200000002</v>
      </c>
      <c r="EM156" s="931">
        <v>566.71302200000002</v>
      </c>
      <c r="EN156" s="931">
        <v>566.71302200000002</v>
      </c>
      <c r="EO156" s="931">
        <v>566.71302200000002</v>
      </c>
      <c r="EP156" s="931">
        <v>566.71302200000002</v>
      </c>
      <c r="EQ156" s="931">
        <v>566.71302200000002</v>
      </c>
      <c r="ER156" s="931">
        <v>566.71302200000002</v>
      </c>
      <c r="ES156" s="931">
        <v>566.71302200000002</v>
      </c>
      <c r="ET156" s="931">
        <v>566.71302200000002</v>
      </c>
      <c r="EU156" s="931"/>
      <c r="EV156" s="931"/>
      <c r="EW156" s="931"/>
      <c r="EX156" s="931"/>
      <c r="EY156" s="931"/>
      <c r="EZ156" s="931"/>
      <c r="FA156" s="931"/>
      <c r="FB156" s="931"/>
      <c r="FC156" s="931"/>
      <c r="FD156" s="931"/>
      <c r="FE156" s="931"/>
      <c r="FF156" s="931"/>
      <c r="FG156" s="931" t="e">
        <v>#VALUE!</v>
      </c>
      <c r="FH156" s="931" t="e">
        <v>#VALUE!</v>
      </c>
      <c r="FI156" s="931" t="e">
        <v>#VALUE!</v>
      </c>
      <c r="FJ156" s="931" t="e">
        <v>#VALUE!</v>
      </c>
      <c r="FK156" s="931" t="e">
        <v>#VALUE!</v>
      </c>
      <c r="FL156" s="931" t="e">
        <v>#VALUE!</v>
      </c>
      <c r="FM156" s="931" t="e">
        <v>#VALUE!</v>
      </c>
      <c r="FN156" s="931" t="e">
        <v>#VALUE!</v>
      </c>
      <c r="FO156" s="931" t="e">
        <v>#VALUE!</v>
      </c>
      <c r="FP156" s="931" t="e">
        <v>#VALUE!</v>
      </c>
      <c r="FQ156" s="931" t="e">
        <v>#VALUE!</v>
      </c>
      <c r="FR156" s="931" t="e">
        <v>#VALUE!</v>
      </c>
      <c r="FS156" s="931" t="e">
        <v>#VALUE!</v>
      </c>
      <c r="FT156" s="931" t="e">
        <v>#VALUE!</v>
      </c>
      <c r="FU156" s="931" t="e">
        <v>#VALUE!</v>
      </c>
      <c r="FV156" s="931" t="e">
        <v>#VALUE!</v>
      </c>
      <c r="FW156" s="931" t="e">
        <v>#VALUE!</v>
      </c>
      <c r="FX156" s="931" t="e">
        <v>#VALUE!</v>
      </c>
      <c r="FY156" s="931" t="e">
        <v>#VALUE!</v>
      </c>
      <c r="FZ156" s="931" t="e">
        <v>#VALUE!</v>
      </c>
      <c r="GA156" s="931" t="e">
        <v>#VALUE!</v>
      </c>
      <c r="GB156" s="931" t="e">
        <v>#VALUE!</v>
      </c>
      <c r="GC156" s="931" t="e">
        <v>#VALUE!</v>
      </c>
      <c r="GD156" s="931" t="e">
        <v>#VALUE!</v>
      </c>
      <c r="GF156" s="931">
        <f t="shared" si="458"/>
        <v>224.59211431999998</v>
      </c>
      <c r="GG156" s="931">
        <f t="shared" si="458"/>
        <v>228.94920134</v>
      </c>
      <c r="GH156" s="931">
        <f t="shared" si="458"/>
        <v>566.71302199999991</v>
      </c>
      <c r="GI156" s="931">
        <f t="shared" si="458"/>
        <v>0</v>
      </c>
      <c r="GJ156" s="931">
        <f t="shared" si="434"/>
        <v>0</v>
      </c>
      <c r="GK156" s="931">
        <f t="shared" si="407"/>
        <v>0</v>
      </c>
      <c r="GL156" s="931">
        <f t="shared" si="435"/>
        <v>0</v>
      </c>
      <c r="GM156" s="931">
        <f t="shared" si="408"/>
        <v>0</v>
      </c>
      <c r="GN156" s="931" t="e">
        <f t="shared" si="409"/>
        <v>#VALUE!</v>
      </c>
      <c r="GO156" s="931">
        <v>0</v>
      </c>
      <c r="GQ156" s="934">
        <f t="shared" si="501"/>
        <v>1.4752784402964796</v>
      </c>
      <c r="GR156" s="934">
        <f t="shared" si="501"/>
        <v>-1</v>
      </c>
      <c r="GS156" s="934" t="str">
        <f t="shared" si="501"/>
        <v/>
      </c>
      <c r="GT156" s="934" t="str">
        <f t="shared" si="499"/>
        <v/>
      </c>
      <c r="GU156" s="934" t="str">
        <f t="shared" si="499"/>
        <v/>
      </c>
      <c r="GV156" s="934" t="str">
        <f t="shared" si="499"/>
        <v/>
      </c>
      <c r="GW156" s="934" t="str">
        <f t="shared" si="499"/>
        <v/>
      </c>
      <c r="GX156" s="934" t="str">
        <f t="shared" si="499"/>
        <v/>
      </c>
      <c r="GY156" s="934" t="str">
        <f t="shared" si="492"/>
        <v/>
      </c>
      <c r="HA156" s="931">
        <f t="shared" si="502"/>
        <v>337.76382065999991</v>
      </c>
      <c r="HB156" s="931">
        <f t="shared" si="502"/>
        <v>-566.71302199999991</v>
      </c>
      <c r="HC156" s="931">
        <f t="shared" si="502"/>
        <v>0</v>
      </c>
      <c r="HD156" s="931">
        <f t="shared" si="500"/>
        <v>0</v>
      </c>
      <c r="HE156" s="931">
        <f t="shared" si="500"/>
        <v>0</v>
      </c>
      <c r="HF156" s="931">
        <f t="shared" si="500"/>
        <v>0</v>
      </c>
      <c r="HG156" s="931" t="e">
        <f t="shared" si="500"/>
        <v>#VALUE!</v>
      </c>
      <c r="HH156" s="931" t="e">
        <f t="shared" si="500"/>
        <v>#VALUE!</v>
      </c>
      <c r="HI156" s="931">
        <f t="shared" si="493"/>
        <v>0</v>
      </c>
      <c r="HK156" s="978"/>
      <c r="HL156" s="978"/>
      <c r="HM156" s="978"/>
      <c r="HN156" s="978"/>
      <c r="HO156" s="978"/>
      <c r="HP156" s="978"/>
      <c r="HQ156" s="978"/>
      <c r="HR156" s="978"/>
      <c r="HS156" s="978"/>
      <c r="HU156" s="931">
        <f t="shared" si="503"/>
        <v>0</v>
      </c>
      <c r="HV156" s="931">
        <f t="shared" si="503"/>
        <v>224.59211431999998</v>
      </c>
      <c r="HW156" s="931">
        <f t="shared" si="503"/>
        <v>228.94920134</v>
      </c>
      <c r="HX156" s="931">
        <f t="shared" si="503"/>
        <v>566.71302200000002</v>
      </c>
      <c r="HY156" s="931">
        <f t="shared" si="462"/>
        <v>0</v>
      </c>
      <c r="HZ156" s="931">
        <f t="shared" si="453"/>
        <v>0</v>
      </c>
      <c r="IA156" s="931">
        <f t="shared" si="414"/>
        <v>0</v>
      </c>
      <c r="IB156" s="931">
        <f t="shared" si="415"/>
        <v>0</v>
      </c>
      <c r="IC156" s="931">
        <f t="shared" si="416"/>
        <v>0</v>
      </c>
      <c r="ID156" s="931" t="e">
        <f t="shared" si="417"/>
        <v>#VALUE!</v>
      </c>
      <c r="IE156" s="931" t="e">
        <f t="shared" si="463"/>
        <v>#VALUE!</v>
      </c>
      <c r="IG156" s="931" t="e">
        <f t="shared" si="464"/>
        <v>#VALUE!</v>
      </c>
      <c r="IH156" s="931" t="e">
        <f t="shared" si="465"/>
        <v>#VALUE!</v>
      </c>
      <c r="II156" s="145"/>
      <c r="IJ156" s="934" t="str">
        <f t="shared" si="466"/>
        <v>NA</v>
      </c>
      <c r="IK156" s="935" t="str">
        <f t="shared" si="467"/>
        <v>NA</v>
      </c>
      <c r="IM156" s="973"/>
      <c r="IN156" s="973"/>
      <c r="IP156" s="934">
        <f t="shared" si="477"/>
        <v>1.9400000009760054E-2</v>
      </c>
      <c r="IQ156" s="934">
        <f t="shared" si="477"/>
        <v>1.47527844029648</v>
      </c>
      <c r="IR156" s="934">
        <f t="shared" si="477"/>
        <v>-1</v>
      </c>
      <c r="IS156" s="934" t="str">
        <f t="shared" si="477"/>
        <v/>
      </c>
      <c r="IT156" s="934" t="str">
        <f t="shared" si="477"/>
        <v/>
      </c>
      <c r="IU156" s="934" t="str">
        <f t="shared" si="477"/>
        <v/>
      </c>
      <c r="IV156" s="934" t="str">
        <f t="shared" si="478"/>
        <v/>
      </c>
      <c r="IX156" s="931">
        <f t="shared" si="511"/>
        <v>4.3570870200000229</v>
      </c>
      <c r="IY156" s="931">
        <f t="shared" si="511"/>
        <v>337.76382066000002</v>
      </c>
      <c r="IZ156" s="931">
        <f t="shared" si="511"/>
        <v>-566.71302200000002</v>
      </c>
      <c r="JA156" s="931">
        <f t="shared" si="510"/>
        <v>0</v>
      </c>
      <c r="JB156" s="931">
        <f t="shared" si="510"/>
        <v>0</v>
      </c>
      <c r="JC156" s="931">
        <f t="shared" si="510"/>
        <v>0</v>
      </c>
      <c r="JD156" s="931" t="e">
        <f t="shared" si="423"/>
        <v>#VALUE!</v>
      </c>
      <c r="JF156" s="978"/>
      <c r="JG156" s="978"/>
      <c r="JH156" s="978"/>
      <c r="JI156" s="978"/>
      <c r="JJ156" s="978"/>
      <c r="JK156" s="978"/>
      <c r="JL156" s="978"/>
      <c r="JM156" s="978"/>
      <c r="JO156" s="931">
        <f t="shared" si="504"/>
        <v>0</v>
      </c>
      <c r="JP156" s="931">
        <f t="shared" si="504"/>
        <v>224.59211431999998</v>
      </c>
      <c r="JQ156" s="931">
        <f t="shared" si="504"/>
        <v>228.94920134</v>
      </c>
      <c r="JR156" s="931">
        <f t="shared" si="504"/>
        <v>566.71302200000002</v>
      </c>
      <c r="JS156" s="931">
        <f t="shared" si="504"/>
        <v>0</v>
      </c>
      <c r="JT156" s="931">
        <f t="shared" si="425"/>
        <v>0</v>
      </c>
      <c r="JU156" s="931">
        <f t="shared" si="426"/>
        <v>0</v>
      </c>
      <c r="JV156" s="931">
        <f t="shared" si="505"/>
        <v>0</v>
      </c>
      <c r="JW156" s="931">
        <f t="shared" si="505"/>
        <v>0</v>
      </c>
      <c r="JX156" s="931" t="e">
        <f t="shared" si="428"/>
        <v>#VALUE!</v>
      </c>
      <c r="JY156" s="931" t="e">
        <f t="shared" si="471"/>
        <v>#VALUE!</v>
      </c>
      <c r="KB156" s="230">
        <f t="shared" si="472"/>
        <v>1.9400000009760054E-2</v>
      </c>
      <c r="KC156" s="230">
        <f t="shared" si="472"/>
        <v>1.47527844029648</v>
      </c>
      <c r="KD156" s="230">
        <f t="shared" si="472"/>
        <v>-1</v>
      </c>
      <c r="KE156" s="230" t="str">
        <f t="shared" si="472"/>
        <v xml:space="preserve"> </v>
      </c>
      <c r="KF156" s="230" t="str">
        <f t="shared" si="472"/>
        <v xml:space="preserve"> </v>
      </c>
      <c r="KG156" s="230" t="str">
        <f t="shared" si="472"/>
        <v xml:space="preserve"> </v>
      </c>
      <c r="KH156" s="230" t="str">
        <f t="shared" si="431"/>
        <v xml:space="preserve"> </v>
      </c>
      <c r="KJ156" s="931">
        <f t="shared" si="473"/>
        <v>4.3570870200000229</v>
      </c>
      <c r="KK156" s="931">
        <f t="shared" si="473"/>
        <v>337.76382066000002</v>
      </c>
      <c r="KL156" s="931">
        <f t="shared" si="473"/>
        <v>-566.71302200000002</v>
      </c>
      <c r="KM156" s="931">
        <f t="shared" si="473"/>
        <v>0</v>
      </c>
      <c r="KN156" s="931">
        <f t="shared" si="473"/>
        <v>0</v>
      </c>
      <c r="KO156" s="931">
        <f t="shared" si="473"/>
        <v>0</v>
      </c>
      <c r="KP156" s="931" t="e">
        <f t="shared" si="433"/>
        <v>#VALUE!</v>
      </c>
      <c r="KR156" s="978"/>
      <c r="KS156" s="978"/>
      <c r="KT156" s="978"/>
      <c r="KU156" s="978"/>
      <c r="KV156" s="978"/>
      <c r="KW156" s="978"/>
      <c r="KX156" s="978"/>
      <c r="KY156" s="978"/>
      <c r="KZ156" s="978"/>
    </row>
    <row r="157" spans="1:312">
      <c r="A157" s="884"/>
      <c r="B157" s="70"/>
      <c r="E157" s="66"/>
      <c r="F157" s="66"/>
      <c r="G157" s="66"/>
      <c r="H157" s="66"/>
      <c r="I157" s="66"/>
      <c r="J157" s="66"/>
      <c r="K157" s="66"/>
      <c r="L157" s="66"/>
      <c r="M157" s="66"/>
      <c r="N157" s="66"/>
      <c r="O157" s="66"/>
      <c r="P157" s="66"/>
      <c r="Q157" s="982"/>
      <c r="R157" s="983"/>
      <c r="S157" s="983"/>
      <c r="T157" s="983"/>
      <c r="U157" s="983"/>
      <c r="V157" s="983"/>
      <c r="W157" s="983"/>
      <c r="X157" s="983"/>
      <c r="Y157" s="983"/>
      <c r="Z157" s="983"/>
      <c r="AA157" s="983"/>
      <c r="AB157" s="983"/>
      <c r="AC157" s="102"/>
      <c r="AD157" s="984"/>
      <c r="AE157" s="102"/>
      <c r="AF157" s="102"/>
      <c r="AG157" s="102"/>
      <c r="AH157" s="102"/>
      <c r="AI157" s="102"/>
      <c r="AJ157" s="102"/>
      <c r="AK157" s="102"/>
      <c r="AL157" s="102"/>
      <c r="AM157" s="102"/>
      <c r="AN157" s="102"/>
      <c r="AO157" s="102"/>
      <c r="AP157" s="145"/>
      <c r="AQ157" s="143"/>
      <c r="AR157" s="143"/>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52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J157" s="102"/>
      <c r="DK157" s="102"/>
      <c r="DL157" s="102"/>
      <c r="DM157" s="102"/>
      <c r="DN157" s="102"/>
      <c r="DO157" s="102"/>
      <c r="DP157" s="102"/>
      <c r="DQ157" s="102"/>
      <c r="DR157" s="102"/>
      <c r="DS157" s="102"/>
      <c r="DT157" s="102"/>
      <c r="DU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c r="EX157" s="102"/>
      <c r="EY157" s="102"/>
      <c r="EZ157" s="102"/>
      <c r="FA157" s="102"/>
      <c r="FB157" s="102"/>
      <c r="FC157" s="102"/>
      <c r="FD157" s="102"/>
      <c r="FE157" s="102"/>
      <c r="FF157" s="102"/>
      <c r="FG157" s="102"/>
      <c r="FH157" s="102"/>
      <c r="FI157" s="102"/>
      <c r="FJ157" s="102"/>
      <c r="FK157" s="102"/>
      <c r="FL157" s="102"/>
      <c r="FM157" s="102"/>
      <c r="FN157" s="102"/>
      <c r="FO157" s="102"/>
      <c r="FP157" s="102"/>
      <c r="FQ157" s="102"/>
      <c r="FR157" s="102"/>
      <c r="FS157" s="102"/>
      <c r="FT157" s="102"/>
      <c r="FU157" s="102"/>
      <c r="FV157" s="102"/>
      <c r="FW157" s="102"/>
      <c r="FX157" s="102"/>
      <c r="FY157" s="102"/>
      <c r="FZ157" s="102"/>
      <c r="GA157" s="102"/>
      <c r="GB157" s="102"/>
      <c r="GC157" s="102"/>
      <c r="GD157" s="102"/>
      <c r="GF157" s="102"/>
      <c r="GG157" s="102"/>
      <c r="GH157" s="102"/>
      <c r="GI157" s="102"/>
      <c r="GJ157" s="102"/>
      <c r="GK157" s="102"/>
      <c r="GL157" s="102">
        <f t="shared" si="435"/>
        <v>0</v>
      </c>
      <c r="GM157" s="102">
        <f t="shared" si="408"/>
        <v>0</v>
      </c>
      <c r="GN157" s="102"/>
      <c r="GO157" s="102">
        <v>0</v>
      </c>
      <c r="GQ157" s="32"/>
      <c r="GR157" s="32"/>
      <c r="GS157" s="32"/>
      <c r="GT157" s="929"/>
      <c r="GU157" s="929"/>
      <c r="GV157" s="929"/>
      <c r="GW157" s="929" t="str">
        <f t="shared" si="499"/>
        <v/>
      </c>
      <c r="GX157" s="32"/>
      <c r="GY157" s="929" t="str">
        <f t="shared" si="492"/>
        <v/>
      </c>
      <c r="HA157" s="102"/>
      <c r="HB157" s="102"/>
      <c r="HC157" s="102"/>
      <c r="HD157" s="102"/>
      <c r="HE157" s="102">
        <f t="shared" si="500"/>
        <v>0</v>
      </c>
      <c r="HF157" s="102">
        <f t="shared" si="500"/>
        <v>0</v>
      </c>
      <c r="HG157" s="102">
        <f t="shared" si="500"/>
        <v>0</v>
      </c>
      <c r="HH157" s="102"/>
      <c r="HI157" s="102">
        <f t="shared" si="493"/>
        <v>0</v>
      </c>
      <c r="HU157" s="102"/>
      <c r="HV157" s="102"/>
      <c r="HW157" s="102"/>
      <c r="HX157" s="102"/>
      <c r="HY157" s="102"/>
      <c r="HZ157" s="102"/>
      <c r="IA157" s="102"/>
      <c r="IB157" s="102"/>
      <c r="IC157" s="102"/>
      <c r="ID157" s="102"/>
      <c r="IE157" s="102"/>
      <c r="IG157" s="102"/>
      <c r="IH157" s="102"/>
      <c r="II157" s="145"/>
      <c r="IJ157" s="32"/>
      <c r="IK157" s="102"/>
      <c r="IP157" s="32"/>
      <c r="IQ157" s="32"/>
      <c r="IR157" s="32"/>
      <c r="IS157" s="32"/>
      <c r="IT157" s="32"/>
      <c r="IU157" s="32"/>
      <c r="IV157" s="32"/>
      <c r="IX157" s="102"/>
      <c r="IY157" s="102"/>
      <c r="IZ157" s="102"/>
      <c r="JA157" s="102"/>
      <c r="JB157" s="102"/>
      <c r="JC157" s="102"/>
      <c r="JD157" s="102"/>
      <c r="JO157" s="102"/>
      <c r="JP157" s="102"/>
      <c r="JQ157" s="102"/>
      <c r="JR157" s="102"/>
      <c r="JS157" s="102"/>
      <c r="JT157" s="102"/>
      <c r="JU157" s="102"/>
      <c r="JV157" s="102"/>
      <c r="JW157" s="102"/>
      <c r="JX157" s="102"/>
      <c r="JY157" s="102"/>
      <c r="KB157" s="32"/>
      <c r="KC157" s="32"/>
      <c r="KD157" s="32"/>
      <c r="KE157" s="32"/>
      <c r="KF157" s="32"/>
      <c r="KG157" s="32"/>
      <c r="KH157" s="32" t="str">
        <f t="shared" si="431"/>
        <v xml:space="preserve"> </v>
      </c>
      <c r="KJ157" s="102"/>
      <c r="KK157" s="102"/>
      <c r="KL157" s="102"/>
      <c r="KM157" s="102"/>
      <c r="KN157" s="102"/>
      <c r="KO157" s="102"/>
      <c r="KP157" s="102">
        <f t="shared" si="433"/>
        <v>0</v>
      </c>
    </row>
    <row r="158" spans="1:312">
      <c r="A158" s="884"/>
      <c r="B158" s="70"/>
      <c r="C158" s="1526" t="s">
        <v>723</v>
      </c>
      <c r="D158" s="1526" t="s">
        <v>59</v>
      </c>
      <c r="E158" s="1526">
        <f t="shared" ref="E158:BP158" si="512">+E129+E109</f>
        <v>11282.16584328</v>
      </c>
      <c r="F158" s="1526">
        <f t="shared" si="512"/>
        <v>11308.428056110002</v>
      </c>
      <c r="G158" s="1526">
        <f t="shared" si="512"/>
        <v>12039.035239270002</v>
      </c>
      <c r="H158" s="1526">
        <f t="shared" si="512"/>
        <v>12305.435433840001</v>
      </c>
      <c r="I158" s="1526">
        <f t="shared" si="512"/>
        <v>13993.93087427</v>
      </c>
      <c r="J158" s="1526">
        <f t="shared" si="512"/>
        <v>14400.456024259998</v>
      </c>
      <c r="K158" s="1526">
        <f t="shared" si="512"/>
        <v>15379.566433020002</v>
      </c>
      <c r="L158" s="1526">
        <f t="shared" si="512"/>
        <v>16535.597538909999</v>
      </c>
      <c r="M158" s="1526">
        <f t="shared" si="512"/>
        <v>32561.255233310003</v>
      </c>
      <c r="N158" s="1526">
        <f t="shared" si="512"/>
        <v>17234.365240970001</v>
      </c>
      <c r="O158" s="1526">
        <f t="shared" si="512"/>
        <v>19128.082631570003</v>
      </c>
      <c r="P158" s="1526">
        <f t="shared" si="512"/>
        <v>19139.088902480002</v>
      </c>
      <c r="Q158" s="1526">
        <f t="shared" si="512"/>
        <v>18447.258584890002</v>
      </c>
      <c r="R158" s="1526">
        <f t="shared" si="512"/>
        <v>19092.793929140003</v>
      </c>
      <c r="S158" s="1526">
        <f t="shared" si="512"/>
        <v>18457.871483940002</v>
      </c>
      <c r="T158" s="1526">
        <f t="shared" si="512"/>
        <v>14103.477512609999</v>
      </c>
      <c r="U158" s="1526">
        <f t="shared" si="512"/>
        <v>15829.090129870001</v>
      </c>
      <c r="V158" s="1526">
        <f t="shared" si="512"/>
        <v>16748.041252229999</v>
      </c>
      <c r="W158" s="1526">
        <f t="shared" si="512"/>
        <v>16290.911898680002</v>
      </c>
      <c r="X158" s="1526">
        <f t="shared" si="512"/>
        <v>17349.769600289997</v>
      </c>
      <c r="Y158" s="1526">
        <f t="shared" si="512"/>
        <v>16021.128897559996</v>
      </c>
      <c r="Z158" s="1526">
        <f t="shared" si="512"/>
        <v>16218.027913420001</v>
      </c>
      <c r="AA158" s="1526">
        <f t="shared" si="512"/>
        <v>19152.999620369999</v>
      </c>
      <c r="AB158" s="1526">
        <f t="shared" si="512"/>
        <v>23012.309137389999</v>
      </c>
      <c r="AC158" s="1526">
        <f t="shared" si="512"/>
        <v>21404.771648230002</v>
      </c>
      <c r="AD158" s="1526">
        <f t="shared" si="512"/>
        <v>22918.135748470002</v>
      </c>
      <c r="AE158" s="1526">
        <f t="shared" si="512"/>
        <v>23035.441716059999</v>
      </c>
      <c r="AF158" s="1526">
        <f t="shared" si="512"/>
        <v>20364.702948099999</v>
      </c>
      <c r="AG158" s="1526">
        <f t="shared" si="512"/>
        <v>21193.516277729999</v>
      </c>
      <c r="AH158" s="1526">
        <f t="shared" si="512"/>
        <v>21210.570443199998</v>
      </c>
      <c r="AI158" s="1526">
        <f t="shared" si="512"/>
        <v>21175.384888470002</v>
      </c>
      <c r="AJ158" s="1526">
        <f t="shared" si="512"/>
        <v>23100.979975540002</v>
      </c>
      <c r="AK158" s="1526">
        <f t="shared" si="512"/>
        <v>23689.081248230003</v>
      </c>
      <c r="AL158" s="1526">
        <f t="shared" si="512"/>
        <v>25632.688091099997</v>
      </c>
      <c r="AM158" s="1526">
        <f t="shared" si="512"/>
        <v>32209.378208079997</v>
      </c>
      <c r="AN158" s="1526">
        <f t="shared" si="512"/>
        <v>32909.200578129996</v>
      </c>
      <c r="AO158" s="1526">
        <f t="shared" si="512"/>
        <v>31428.594288719993</v>
      </c>
      <c r="AP158" s="1526">
        <f t="shared" si="512"/>
        <v>34676.181197129998</v>
      </c>
      <c r="AQ158" s="1526">
        <f t="shared" si="512"/>
        <v>31946.737652859993</v>
      </c>
      <c r="AR158" s="1526">
        <f t="shared" si="512"/>
        <v>27813.250589509993</v>
      </c>
      <c r="AS158" s="1526">
        <f t="shared" si="512"/>
        <v>27768.801303549997</v>
      </c>
      <c r="AT158" s="1526">
        <f t="shared" si="512"/>
        <v>27412.102041989994</v>
      </c>
      <c r="AU158" s="1526">
        <f t="shared" si="512"/>
        <v>27060.258511139997</v>
      </c>
      <c r="AV158" s="1526">
        <f t="shared" si="512"/>
        <v>27041.125118389995</v>
      </c>
      <c r="AW158" s="1526">
        <f t="shared" si="512"/>
        <v>27055.913883489993</v>
      </c>
      <c r="AX158" s="1526">
        <f t="shared" si="512"/>
        <v>27879.30157132999</v>
      </c>
      <c r="AY158" s="1526">
        <f t="shared" si="512"/>
        <v>27097.588466279994</v>
      </c>
      <c r="AZ158" s="1526">
        <f t="shared" si="512"/>
        <v>27423.452831980001</v>
      </c>
      <c r="BA158" s="1526">
        <f t="shared" si="512"/>
        <v>26493.447516010005</v>
      </c>
      <c r="BB158" s="1526">
        <f t="shared" si="512"/>
        <v>25764.225645589999</v>
      </c>
      <c r="BC158" s="1526">
        <f t="shared" si="512"/>
        <v>24443.400215430003</v>
      </c>
      <c r="BD158" s="1526">
        <f t="shared" si="512"/>
        <v>22912.716346239999</v>
      </c>
      <c r="BE158" s="1526">
        <f t="shared" si="512"/>
        <v>22231.975632540001</v>
      </c>
      <c r="BF158" s="1526">
        <f t="shared" si="512"/>
        <v>21730.639982009998</v>
      </c>
      <c r="BG158" s="1526">
        <f t="shared" si="512"/>
        <v>21851.275256769997</v>
      </c>
      <c r="BH158" s="1526">
        <f t="shared" si="512"/>
        <v>20644.782020580002</v>
      </c>
      <c r="BI158" s="1526">
        <f t="shared" si="512"/>
        <v>20350.875589129999</v>
      </c>
      <c r="BJ158" s="1526">
        <f t="shared" si="512"/>
        <v>20312.714882699998</v>
      </c>
      <c r="BK158" s="1526">
        <f t="shared" si="512"/>
        <v>19990.656441229999</v>
      </c>
      <c r="BL158" s="1526">
        <f t="shared" si="512"/>
        <v>20677.78330761</v>
      </c>
      <c r="BM158" s="1526">
        <f t="shared" si="512"/>
        <v>21579.606489719998</v>
      </c>
      <c r="BN158" s="1526">
        <f t="shared" si="512"/>
        <v>21554.204260799997</v>
      </c>
      <c r="BO158" s="1526">
        <f t="shared" si="512"/>
        <v>21773.30828895</v>
      </c>
      <c r="BP158" s="1526">
        <f t="shared" si="512"/>
        <v>22190.068717149999</v>
      </c>
      <c r="BQ158" s="1526">
        <f t="shared" ref="BQ158:DH158" si="513">+BQ129+BQ109</f>
        <v>21762.865880849997</v>
      </c>
      <c r="BR158" s="1526">
        <f t="shared" si="513"/>
        <v>21717.630840339996</v>
      </c>
      <c r="BS158" s="1526">
        <f t="shared" si="513"/>
        <v>21817.45362</v>
      </c>
      <c r="BT158" s="1526">
        <f t="shared" si="513"/>
        <v>21787.420731979997</v>
      </c>
      <c r="BU158" s="1526">
        <f t="shared" si="513"/>
        <v>21494.490447059998</v>
      </c>
      <c r="BV158" s="1526">
        <f t="shared" si="513"/>
        <v>21921.8556131</v>
      </c>
      <c r="BW158" s="1526">
        <f t="shared" si="513"/>
        <v>21897.005102889998</v>
      </c>
      <c r="BX158" s="1526">
        <f t="shared" si="513"/>
        <v>21402.20795231</v>
      </c>
      <c r="BY158" s="1526">
        <f t="shared" si="513"/>
        <v>21313.489603990005</v>
      </c>
      <c r="BZ158" s="1526">
        <f t="shared" si="513"/>
        <v>21208.176234399998</v>
      </c>
      <c r="CA158" s="1526">
        <f t="shared" si="513"/>
        <v>21218.394499580001</v>
      </c>
      <c r="CB158" s="1526">
        <f t="shared" si="513"/>
        <v>20764.634235760001</v>
      </c>
      <c r="CC158" s="1526">
        <f t="shared" si="513"/>
        <v>20152.943336460001</v>
      </c>
      <c r="CD158" s="1526">
        <f t="shared" si="513"/>
        <v>20206.772990999998</v>
      </c>
      <c r="CE158" s="1526">
        <f t="shared" si="513"/>
        <v>20275.618270139999</v>
      </c>
      <c r="CF158" s="1526">
        <f t="shared" si="513"/>
        <v>20454.767868259998</v>
      </c>
      <c r="CG158" s="1526">
        <f t="shared" si="513"/>
        <v>20634.91693318</v>
      </c>
      <c r="CH158" s="1526">
        <f t="shared" si="513"/>
        <v>21320.636160410002</v>
      </c>
      <c r="CI158" s="1526">
        <f t="shared" si="513"/>
        <v>22075.67922382</v>
      </c>
      <c r="CJ158" s="1526">
        <f t="shared" si="513"/>
        <v>22007.51954419</v>
      </c>
      <c r="CK158" s="1526">
        <f t="shared" si="513"/>
        <v>22413.750703940001</v>
      </c>
      <c r="CL158" s="1526">
        <f t="shared" si="513"/>
        <v>22241.758410210001</v>
      </c>
      <c r="CM158" s="1526">
        <f t="shared" si="513"/>
        <v>22632.657754780004</v>
      </c>
      <c r="CN158" s="1526">
        <f t="shared" si="513"/>
        <v>22941.920740150003</v>
      </c>
      <c r="CO158" s="1526">
        <f t="shared" si="513"/>
        <v>23078.638255639999</v>
      </c>
      <c r="CP158" s="1526">
        <f t="shared" si="513"/>
        <v>23065.722959399995</v>
      </c>
      <c r="CQ158" s="1526">
        <f t="shared" si="513"/>
        <v>22871.405886839999</v>
      </c>
      <c r="CR158" s="1526">
        <f t="shared" si="513"/>
        <v>23551.901671279997</v>
      </c>
      <c r="CS158" s="1526">
        <f t="shared" si="513"/>
        <v>23675.449670540002</v>
      </c>
      <c r="CT158" s="1526">
        <f t="shared" si="513"/>
        <v>24988.896851520003</v>
      </c>
      <c r="CU158" s="1526">
        <f t="shared" si="513"/>
        <v>25060.551760049995</v>
      </c>
      <c r="CV158" s="1526">
        <f t="shared" si="513"/>
        <v>24646.05642094</v>
      </c>
      <c r="CW158" s="1526">
        <f t="shared" si="513"/>
        <v>24643.36272402</v>
      </c>
      <c r="CX158" s="1526">
        <f t="shared" si="513"/>
        <v>24811.714675859999</v>
      </c>
      <c r="CY158" s="1526">
        <f t="shared" si="513"/>
        <v>26305.246460679999</v>
      </c>
      <c r="CZ158" s="1526">
        <f t="shared" si="513"/>
        <v>25048.102378719999</v>
      </c>
      <c r="DA158" s="1526">
        <f t="shared" si="513"/>
        <v>23213.224559590002</v>
      </c>
      <c r="DB158" s="1526">
        <f t="shared" si="513"/>
        <v>21439.633312589998</v>
      </c>
      <c r="DC158" s="1526">
        <f t="shared" si="513"/>
        <v>20867.431795690001</v>
      </c>
      <c r="DD158" s="1526">
        <f t="shared" si="513"/>
        <v>21373.293048519998</v>
      </c>
      <c r="DE158" s="1526">
        <f t="shared" si="513"/>
        <v>21981.516187369998</v>
      </c>
      <c r="DF158" s="1551">
        <f t="shared" si="513"/>
        <v>22339.82783079</v>
      </c>
      <c r="DG158" s="1526">
        <f t="shared" si="513"/>
        <v>22192.567928620003</v>
      </c>
      <c r="DH158" s="1526">
        <f t="shared" si="513"/>
        <v>22110.090268870001</v>
      </c>
      <c r="DI158" s="985"/>
      <c r="DJ158" s="1526" t="e">
        <f t="shared" ref="DJ158:FU158" si="514">+DJ129+DJ109</f>
        <v>#VALUE!</v>
      </c>
      <c r="DK158" s="1526" t="e">
        <f t="shared" si="514"/>
        <v>#VALUE!</v>
      </c>
      <c r="DL158" s="1526" t="e">
        <f t="shared" si="514"/>
        <v>#VALUE!</v>
      </c>
      <c r="DM158" s="1526" t="e">
        <f t="shared" si="514"/>
        <v>#VALUE!</v>
      </c>
      <c r="DN158" s="1526" t="e">
        <f t="shared" si="514"/>
        <v>#VALUE!</v>
      </c>
      <c r="DO158" s="1526" t="e">
        <f t="shared" si="514"/>
        <v>#VALUE!</v>
      </c>
      <c r="DP158" s="1526" t="e">
        <f t="shared" si="514"/>
        <v>#VALUE!</v>
      </c>
      <c r="DQ158" s="1526" t="e">
        <f t="shared" si="514"/>
        <v>#VALUE!</v>
      </c>
      <c r="DR158" s="1526" t="e">
        <f t="shared" si="514"/>
        <v>#VALUE!</v>
      </c>
      <c r="DS158" s="1526" t="e">
        <f t="shared" si="514"/>
        <v>#VALUE!</v>
      </c>
      <c r="DT158" s="1526" t="e">
        <f t="shared" si="514"/>
        <v>#VALUE!</v>
      </c>
      <c r="DU158" s="1526" t="e">
        <f t="shared" si="514"/>
        <v>#VALUE!</v>
      </c>
      <c r="DV158" s="279"/>
      <c r="DW158" s="1526">
        <f t="shared" si="514"/>
        <v>29174.377210708553</v>
      </c>
      <c r="DX158" s="1526">
        <f t="shared" si="514"/>
        <v>32993.527724701591</v>
      </c>
      <c r="DY158" s="1526">
        <f t="shared" si="514"/>
        <v>32537.969409555975</v>
      </c>
      <c r="DZ158" s="1526">
        <f t="shared" si="514"/>
        <v>28531.213748001101</v>
      </c>
      <c r="EA158" s="1526">
        <f t="shared" si="514"/>
        <v>28484.738744934126</v>
      </c>
      <c r="EB158" s="1526">
        <f t="shared" si="514"/>
        <v>29046.512594084863</v>
      </c>
      <c r="EC158" s="1526">
        <f t="shared" si="514"/>
        <v>27429.459321026421</v>
      </c>
      <c r="ED158" s="1526">
        <f t="shared" si="514"/>
        <v>29972.727795232451</v>
      </c>
      <c r="EE158" s="1526">
        <f t="shared" si="514"/>
        <v>30907.28031593957</v>
      </c>
      <c r="EF158" s="1526">
        <f t="shared" si="514"/>
        <v>32928.125578556275</v>
      </c>
      <c r="EG158" s="1526">
        <f t="shared" si="514"/>
        <v>31038.224297716697</v>
      </c>
      <c r="EH158" s="1526">
        <f t="shared" si="514"/>
        <v>33081.279135422039</v>
      </c>
      <c r="EI158" s="1526">
        <f t="shared" si="514"/>
        <v>24074.515355902371</v>
      </c>
      <c r="EJ158" s="1526">
        <f t="shared" si="514"/>
        <v>23281.855001430347</v>
      </c>
      <c r="EK158" s="1526">
        <f t="shared" si="514"/>
        <v>22823.588487671102</v>
      </c>
      <c r="EL158" s="1526">
        <f t="shared" si="514"/>
        <v>24130.911735460097</v>
      </c>
      <c r="EM158" s="1526">
        <f t="shared" si="514"/>
        <v>23725.12828175004</v>
      </c>
      <c r="EN158" s="1526">
        <f t="shared" si="514"/>
        <v>23755.442434677665</v>
      </c>
      <c r="EO158" s="1526">
        <f t="shared" si="514"/>
        <v>23693.484180220225</v>
      </c>
      <c r="EP158" s="1526">
        <f t="shared" si="514"/>
        <v>24077.018072080857</v>
      </c>
      <c r="EQ158" s="1526">
        <f t="shared" si="514"/>
        <v>24407.024149606696</v>
      </c>
      <c r="ER158" s="1526">
        <f t="shared" si="514"/>
        <v>24750.689583300315</v>
      </c>
      <c r="ES158" s="1526">
        <f t="shared" si="514"/>
        <v>24828.645238349629</v>
      </c>
      <c r="ET158" s="1526">
        <f t="shared" si="514"/>
        <v>24486.487746734307</v>
      </c>
      <c r="EU158" s="1526">
        <f t="shared" si="514"/>
        <v>20469.198356733454</v>
      </c>
      <c r="EV158" s="1526">
        <f t="shared" si="514"/>
        <v>20703.953034798098</v>
      </c>
      <c r="EW158" s="1526">
        <f t="shared" si="514"/>
        <v>21076.487409149868</v>
      </c>
      <c r="EX158" s="1526">
        <f t="shared" si="514"/>
        <v>21194.900873686373</v>
      </c>
      <c r="EY158" s="1526">
        <f t="shared" si="514"/>
        <v>21529.281899294932</v>
      </c>
      <c r="EZ158" s="1526">
        <f t="shared" si="514"/>
        <v>21757.915066483802</v>
      </c>
      <c r="FA158" s="1526">
        <f t="shared" si="514"/>
        <v>22115.82128515737</v>
      </c>
      <c r="FB158" s="1526">
        <f t="shared" si="514"/>
        <v>21962.845179160584</v>
      </c>
      <c r="FC158" s="1526">
        <f t="shared" si="514"/>
        <v>21674.923191638598</v>
      </c>
      <c r="FD158" s="1526">
        <f t="shared" si="514"/>
        <v>21354.099438261994</v>
      </c>
      <c r="FE158" s="1526">
        <f t="shared" si="514"/>
        <v>21172.183268453155</v>
      </c>
      <c r="FF158" s="1526">
        <f t="shared" si="514"/>
        <v>20930.506970366157</v>
      </c>
      <c r="FG158" s="1526" t="e">
        <f t="shared" si="514"/>
        <v>#VALUE!</v>
      </c>
      <c r="FH158" s="1526" t="e">
        <f t="shared" si="514"/>
        <v>#VALUE!</v>
      </c>
      <c r="FI158" s="1526" t="e">
        <f t="shared" si="514"/>
        <v>#VALUE!</v>
      </c>
      <c r="FJ158" s="1526" t="e">
        <f t="shared" si="514"/>
        <v>#VALUE!</v>
      </c>
      <c r="FK158" s="1526" t="e">
        <f t="shared" si="514"/>
        <v>#VALUE!</v>
      </c>
      <c r="FL158" s="1526" t="e">
        <f t="shared" si="514"/>
        <v>#VALUE!</v>
      </c>
      <c r="FM158" s="1526" t="e">
        <f t="shared" si="514"/>
        <v>#VALUE!</v>
      </c>
      <c r="FN158" s="1526" t="e">
        <f t="shared" si="514"/>
        <v>#VALUE!</v>
      </c>
      <c r="FO158" s="1526" t="e">
        <f t="shared" si="514"/>
        <v>#VALUE!</v>
      </c>
      <c r="FP158" s="1526" t="e">
        <f t="shared" si="514"/>
        <v>#VALUE!</v>
      </c>
      <c r="FQ158" s="1526" t="e">
        <f t="shared" si="514"/>
        <v>#VALUE!</v>
      </c>
      <c r="FR158" s="1526" t="e">
        <f t="shared" si="514"/>
        <v>#VALUE!</v>
      </c>
      <c r="FS158" s="1526" t="e">
        <f t="shared" si="514"/>
        <v>#VALUE!</v>
      </c>
      <c r="FT158" s="1526" t="e">
        <f t="shared" si="514"/>
        <v>#VALUE!</v>
      </c>
      <c r="FU158" s="1526" t="e">
        <f t="shared" si="514"/>
        <v>#VALUE!</v>
      </c>
      <c r="FV158" s="1526" t="e">
        <f t="shared" ref="FV158:GD158" si="515">+FV129+FV109</f>
        <v>#VALUE!</v>
      </c>
      <c r="FW158" s="1526" t="e">
        <f t="shared" si="515"/>
        <v>#VALUE!</v>
      </c>
      <c r="FX158" s="1526" t="e">
        <f t="shared" si="515"/>
        <v>#VALUE!</v>
      </c>
      <c r="FY158" s="1526" t="e">
        <f t="shared" si="515"/>
        <v>#VALUE!</v>
      </c>
      <c r="FZ158" s="1526" t="e">
        <f t="shared" si="515"/>
        <v>#VALUE!</v>
      </c>
      <c r="GA158" s="1526" t="e">
        <f t="shared" si="515"/>
        <v>#VALUE!</v>
      </c>
      <c r="GB158" s="1526" t="e">
        <f t="shared" si="515"/>
        <v>#VALUE!</v>
      </c>
      <c r="GC158" s="1526" t="e">
        <f t="shared" si="515"/>
        <v>#VALUE!</v>
      </c>
      <c r="GD158" s="1526" t="e">
        <f t="shared" si="515"/>
        <v>#VALUE!</v>
      </c>
      <c r="GF158" s="1526">
        <f>+SUMIFS($E158:$AZ158,$E$6:$AZ$6,GF$7,$E$5:$AZ$5,12)</f>
        <v>19139.088902480002</v>
      </c>
      <c r="GG158" s="1526">
        <f>+SUMIFS($E158:$AZ158,$E$6:$AZ$6,GG$7,$E$5:$AZ$5,12)</f>
        <v>23012.309137389999</v>
      </c>
      <c r="GH158" s="1526">
        <f>+SUMIFS($E158:$AZ158,$E$6:$AZ$6,GH$7,$E$5:$AZ$5,12)</f>
        <v>32909.200578129996</v>
      </c>
      <c r="GI158" s="1526">
        <f>+SUMIFS($E158:$AZ158,$E$6:$AZ$6,GI$7,$E$5:$AZ$5,12)</f>
        <v>27423.452831980001</v>
      </c>
      <c r="GJ158" s="1526">
        <f t="shared" si="434"/>
        <v>20677.78330761</v>
      </c>
      <c r="GK158" s="1526">
        <f t="shared" si="407"/>
        <v>21402.20795231</v>
      </c>
      <c r="GL158" s="1526">
        <f t="shared" si="435"/>
        <v>22007.51954419</v>
      </c>
      <c r="GM158" s="1526">
        <f t="shared" si="408"/>
        <v>24646.05642094</v>
      </c>
      <c r="GN158" s="1526" t="e">
        <f t="shared" si="409"/>
        <v>#VALUE!</v>
      </c>
      <c r="GO158" s="1526">
        <v>22110.090268870001</v>
      </c>
      <c r="GQ158" s="1528">
        <f t="shared" ref="GQ158:GV158" si="516">+IFERROR(GH158/GG158-1,"")</f>
        <v>0.43006946333167839</v>
      </c>
      <c r="GR158" s="1528">
        <f t="shared" si="516"/>
        <v>-0.16669343678301263</v>
      </c>
      <c r="GS158" s="1528">
        <f t="shared" si="516"/>
        <v>-0.245981772087558</v>
      </c>
      <c r="GT158" s="1528">
        <f t="shared" si="516"/>
        <v>3.5033960551922094E-2</v>
      </c>
      <c r="GU158" s="1528">
        <f t="shared" si="516"/>
        <v>2.8282670331434945E-2</v>
      </c>
      <c r="GV158" s="1528">
        <f t="shared" si="516"/>
        <v>0.11989251544009538</v>
      </c>
      <c r="GW158" s="1528" t="str">
        <f t="shared" si="499"/>
        <v/>
      </c>
      <c r="GX158" s="1528" t="str">
        <f t="shared" si="499"/>
        <v/>
      </c>
      <c r="GY158" s="1528">
        <f t="shared" si="492"/>
        <v>-0.10289541291138848</v>
      </c>
      <c r="HA158" s="1526">
        <f>+GH158-GG158</f>
        <v>9896.8914407399971</v>
      </c>
      <c r="HB158" s="1526">
        <f>+GI158-GH158</f>
        <v>-5485.7477461499948</v>
      </c>
      <c r="HC158" s="1526">
        <f>+GJ158-GI158</f>
        <v>-6745.6695243700015</v>
      </c>
      <c r="HD158" s="1526">
        <f t="shared" si="500"/>
        <v>724.4246447000005</v>
      </c>
      <c r="HE158" s="1526">
        <f t="shared" si="500"/>
        <v>605.31159187999947</v>
      </c>
      <c r="HF158" s="1526">
        <f t="shared" si="500"/>
        <v>2638.5368767500004</v>
      </c>
      <c r="HG158" s="1526" t="e">
        <f t="shared" si="500"/>
        <v>#VALUE!</v>
      </c>
      <c r="HH158" s="1526" t="e">
        <f>+GO158-GN158</f>
        <v>#VALUE!</v>
      </c>
      <c r="HI158" s="1526">
        <f t="shared" si="493"/>
        <v>-2535.9661520699992</v>
      </c>
      <c r="HK158" s="1548"/>
      <c r="HL158" s="1548"/>
      <c r="HM158" s="1548"/>
      <c r="HN158" s="1548"/>
      <c r="HO158" s="1548"/>
      <c r="HP158" s="1548"/>
      <c r="HQ158" s="1548"/>
      <c r="HR158" s="1548"/>
      <c r="HS158" s="1548"/>
      <c r="HU158" s="1526">
        <f>+IFERROR(SUMIFS($E158:$AZ158,$E$6:$AZ$6,HU$7,$E$5:$AZ$5,$HW$5),"NA")</f>
        <v>14400.456024259998</v>
      </c>
      <c r="HV158" s="1526">
        <f>+IFERROR(SUMIFS($E158:$AZ158,$E$6:$AZ$6,HV$7,$E$5:$AZ$5,$HW$5),"NA")</f>
        <v>16748.041252229999</v>
      </c>
      <c r="HW158" s="1526">
        <f>+IFERROR(SUMIFS($E158:$AZ158,$E$6:$AZ$6,HW$7,$E$5:$AZ$5,$HW$5),"NA")</f>
        <v>21210.570443199998</v>
      </c>
      <c r="HX158" s="1526">
        <f>+IFERROR(SUMIFS($E158:$AZ158,$E$6:$AZ$6,HX$7,$E$5:$AZ$5,$HW$5),"NA")</f>
        <v>27412.102041989994</v>
      </c>
      <c r="HY158" s="1526">
        <f>+IFERROR(SUMIFS($E158:$BX158,$E$6:$BX$6,HY$7,$E$5:$BX$5,$HW$5),"NA")</f>
        <v>21730.639982009998</v>
      </c>
      <c r="HZ158" s="1526">
        <f>+IFERROR(SUMIFS($E158:$BX158,$E$6:$BX$6,HZ$7,$E$5:$BX$5,$HW$5),"NA")</f>
        <v>21717.630840339996</v>
      </c>
      <c r="IA158" s="1526">
        <f>+IFERROR(SUMIFS($E158:$CJ158,$E$6:$CJ$6,IA$7,$E$5:$CJ$5,$HW$5),"NA")</f>
        <v>20206.772990999998</v>
      </c>
      <c r="IB158" s="1526">
        <f>+IFERROR(SUMIFS($E158:$CV158,$E$6:$CV$6,IB$7,$E$5:$CV$5,$HW$5),"NA")</f>
        <v>23065.722959399995</v>
      </c>
      <c r="IC158" s="1526">
        <f>+IFERROR(SUMIFS($E158:$DH158,$E$6:$DH$6,IC$7,$E$5:$DH$5,$HW$5),"NA")</f>
        <v>21439.633312589998</v>
      </c>
      <c r="ID158" s="1526" t="e">
        <f t="shared" si="417"/>
        <v>#VALUE!</v>
      </c>
      <c r="IE158" s="1526" t="e">
        <f>+SUMIF($DJ$5:$DU$5,"="&amp;$HW$5,$DJ158:$DU158)</f>
        <v>#VALUE!</v>
      </c>
      <c r="IG158" s="1526" t="e">
        <f t="shared" si="464"/>
        <v>#VALUE!</v>
      </c>
      <c r="IH158" s="1526" t="e">
        <f t="shared" si="465"/>
        <v>#VALUE!</v>
      </c>
      <c r="II158" s="939"/>
      <c r="IJ158" s="1528" t="str">
        <f>+IFERROR(IG158/IH158,"NA")</f>
        <v>NA</v>
      </c>
      <c r="IK158" s="1530" t="str">
        <f>+IFERROR(IG158-IH158,"NA")</f>
        <v>NA</v>
      </c>
      <c r="IM158" s="973"/>
      <c r="IN158" s="973"/>
      <c r="IP158" s="1529">
        <f t="shared" ref="IP158:IU158" si="517">+IFERROR(HW158/HV158-1,"NA")</f>
        <v>0.26645081199425724</v>
      </c>
      <c r="IQ158" s="1529">
        <f t="shared" si="517"/>
        <v>0.29237929339982349</v>
      </c>
      <c r="IR158" s="1529">
        <f t="shared" si="517"/>
        <v>-0.20726108677390387</v>
      </c>
      <c r="IS158" s="1529">
        <f t="shared" si="517"/>
        <v>-5.9865432774974803E-4</v>
      </c>
      <c r="IT158" s="1529">
        <f t="shared" si="517"/>
        <v>-6.9568262783692547E-2</v>
      </c>
      <c r="IU158" s="1529">
        <f t="shared" si="517"/>
        <v>0.14148473730433642</v>
      </c>
      <c r="IV158" s="1529" t="str">
        <f>+IFERROR(IE158/IB158-1,"NA")</f>
        <v>NA</v>
      </c>
      <c r="IX158" s="1526">
        <f t="shared" si="511"/>
        <v>4462.529190969999</v>
      </c>
      <c r="IY158" s="1526">
        <f t="shared" si="511"/>
        <v>6201.5315987899958</v>
      </c>
      <c r="IZ158" s="1526">
        <f>+HY158-HX158</f>
        <v>-5681.4620599799964</v>
      </c>
      <c r="JA158" s="1526">
        <f>+HZ158-HY158</f>
        <v>-13.009141670001554</v>
      </c>
      <c r="JB158" s="1526">
        <f>+IA158-HZ158</f>
        <v>-1510.8578493399982</v>
      </c>
      <c r="JC158" s="1526">
        <f>+IB158-IA158</f>
        <v>2858.9499683999966</v>
      </c>
      <c r="JD158" s="1526" t="e">
        <f>+IE158-IB158</f>
        <v>#VALUE!</v>
      </c>
      <c r="JF158" s="1548"/>
      <c r="JG158" s="1548"/>
      <c r="JH158" s="1548"/>
      <c r="JI158" s="1548"/>
      <c r="JJ158" s="1548"/>
      <c r="JK158" s="1548"/>
      <c r="JL158" s="1548"/>
      <c r="JM158" s="1548"/>
      <c r="JO158" s="1526">
        <f>+SUMIFS($E158:$BX158,$E$6:$BX$6,JO$7,$E$5:$BX$5,$JQ$5)</f>
        <v>14400.456024259998</v>
      </c>
      <c r="JP158" s="1526">
        <f>+SUMIFS($E158:$BX158,$E$6:$BX$6,JP$7,$E$5:$BX$5,$JQ$5)</f>
        <v>16748.041252229999</v>
      </c>
      <c r="JQ158" s="1526">
        <f>+SUMIFS($E158:$BX158,$E$6:$BX$6,JQ$7,$E$5:$BX$5,$JQ$5)</f>
        <v>21210.570443199998</v>
      </c>
      <c r="JR158" s="1526">
        <f>+SUMIFS($E158:$BX158,$E$6:$BX$6,JR$7,$E$5:$BX$5,$JQ$5)</f>
        <v>27412.102041989994</v>
      </c>
      <c r="JS158" s="1526">
        <f>+SUMIFS($E158:$BX158,$E$6:$BX$6,JS$7,$E$5:$BX$5,$JQ$5)</f>
        <v>21730.639982009998</v>
      </c>
      <c r="JT158" s="1526">
        <f>+SUMIFS($E158:$CJ158,$E$6:$CJ$6,JT$7,$E$5:$CJ$5,$JQ$5)</f>
        <v>21717.630840339996</v>
      </c>
      <c r="JU158" s="1526">
        <f>+SUMIFS($E158:$CV158,$E$6:$CV$6,JU$7,$E$5:$CV$5,$JQ$5)</f>
        <v>20206.772990999998</v>
      </c>
      <c r="JV158" s="1526">
        <f>+SUMIFS($E158:$DH158,$E$6:$DH$6,JV$7,$E$5:$DH$5,$JQ$5)</f>
        <v>23065.722959399995</v>
      </c>
      <c r="JW158" s="1526">
        <f>+SUMIFS($E158:$DH158,$E$6:$DH$6,JW$7,$E$5:$DH$5,$JQ$5)</f>
        <v>21439.633312589998</v>
      </c>
      <c r="JX158" s="1526" t="e">
        <f>+SUMIF($FS$5:$GD$5,$JQ$5,$FS158:$GD158)</f>
        <v>#VALUE!</v>
      </c>
      <c r="JY158" s="1526" t="e">
        <f>+SUMIF($DJ$5:$DU$5,$JQ$5,$DJ158:$DU158)</f>
        <v>#VALUE!</v>
      </c>
      <c r="KB158" s="1529">
        <f t="shared" ref="KB158:KG158" si="518">+IFERROR(JQ158/JP158-1," ")</f>
        <v>0.26645081199425724</v>
      </c>
      <c r="KC158" s="1529">
        <f t="shared" si="518"/>
        <v>0.29237929339982349</v>
      </c>
      <c r="KD158" s="1529">
        <f t="shared" si="518"/>
        <v>-0.20726108677390387</v>
      </c>
      <c r="KE158" s="1529">
        <f t="shared" si="518"/>
        <v>-5.9865432774974803E-4</v>
      </c>
      <c r="KF158" s="1529">
        <f t="shared" si="518"/>
        <v>-6.9568262783692547E-2</v>
      </c>
      <c r="KG158" s="1529">
        <f t="shared" si="518"/>
        <v>0.14148473730433642</v>
      </c>
      <c r="KH158" s="1529" t="str">
        <f t="shared" si="431"/>
        <v xml:space="preserve"> </v>
      </c>
      <c r="KJ158" s="1526">
        <f t="shared" ref="KJ158:KO158" si="519">+JQ158-JP158</f>
        <v>4462.529190969999</v>
      </c>
      <c r="KK158" s="1526">
        <f t="shared" si="519"/>
        <v>6201.5315987899958</v>
      </c>
      <c r="KL158" s="1526">
        <f t="shared" si="519"/>
        <v>-5681.4620599799964</v>
      </c>
      <c r="KM158" s="1526">
        <f t="shared" si="519"/>
        <v>-13.009141670001554</v>
      </c>
      <c r="KN158" s="1526">
        <f t="shared" si="519"/>
        <v>-1510.8578493399982</v>
      </c>
      <c r="KO158" s="1526">
        <f t="shared" si="519"/>
        <v>2858.9499683999966</v>
      </c>
      <c r="KP158" s="1526" t="e">
        <f t="shared" si="433"/>
        <v>#VALUE!</v>
      </c>
      <c r="KR158" s="1548"/>
      <c r="KS158" s="1548"/>
      <c r="KT158" s="1548"/>
      <c r="KU158" s="1548"/>
      <c r="KV158" s="1548"/>
      <c r="KW158" s="1548"/>
      <c r="KX158" s="1548"/>
      <c r="KY158" s="1548"/>
      <c r="KZ158" s="1548"/>
    </row>
    <row r="159" spans="1:312">
      <c r="A159" s="884"/>
      <c r="B159" s="70"/>
      <c r="E159" s="66"/>
      <c r="F159" s="66"/>
      <c r="G159" s="66"/>
      <c r="H159" s="66"/>
      <c r="I159" s="66"/>
      <c r="J159" s="66"/>
      <c r="K159" s="66"/>
      <c r="L159" s="66"/>
      <c r="M159" s="66"/>
      <c r="N159" s="66"/>
      <c r="O159" s="66"/>
      <c r="P159" s="66"/>
      <c r="Q159" s="982"/>
      <c r="R159" s="983"/>
      <c r="S159" s="983"/>
      <c r="T159" s="983"/>
      <c r="U159" s="983"/>
      <c r="V159" s="983"/>
      <c r="W159" s="983"/>
      <c r="X159" s="983"/>
      <c r="Y159" s="983"/>
      <c r="Z159" s="983"/>
      <c r="AA159" s="983"/>
      <c r="AB159" s="983"/>
      <c r="AC159" s="102"/>
      <c r="AD159" s="984"/>
      <c r="AE159" s="102"/>
      <c r="AF159" s="102"/>
      <c r="AG159" s="102"/>
      <c r="AH159" s="102"/>
      <c r="AI159" s="102"/>
      <c r="AJ159" s="102"/>
      <c r="AK159" s="102"/>
      <c r="AL159" s="102"/>
      <c r="AM159" s="102"/>
      <c r="AN159" s="143"/>
      <c r="AO159" s="102"/>
      <c r="AP159" s="145"/>
      <c r="AQ159" s="220"/>
      <c r="AR159" s="143"/>
      <c r="AS159" s="102"/>
      <c r="AT159" s="102"/>
      <c r="AU159" s="102"/>
      <c r="AV159" s="102"/>
      <c r="AW159" s="102"/>
      <c r="AX159" s="102"/>
      <c r="AY159" s="102"/>
      <c r="AZ159" s="66"/>
      <c r="BA159" s="971"/>
      <c r="BB159" s="971"/>
      <c r="BC159" s="971"/>
      <c r="BD159" s="971"/>
      <c r="BE159" s="66"/>
      <c r="BF159" s="66"/>
      <c r="BG159" s="66"/>
      <c r="BH159" s="66"/>
      <c r="BI159" s="66"/>
      <c r="BJ159" s="66"/>
      <c r="BK159" s="66"/>
      <c r="BL159" s="66"/>
      <c r="BM159" s="972"/>
      <c r="BN159" s="66"/>
      <c r="BO159" s="66"/>
      <c r="BP159" s="971"/>
      <c r="BQ159" s="66"/>
      <c r="BR159" s="66"/>
      <c r="BS159" s="66"/>
      <c r="BT159" s="873"/>
      <c r="BU159" s="66"/>
      <c r="BV159" s="66"/>
      <c r="BW159" s="931"/>
      <c r="BX159" s="931"/>
      <c r="BY159" s="931"/>
      <c r="BZ159" s="931"/>
      <c r="CA159" s="931"/>
      <c r="CB159" s="931"/>
      <c r="CC159" s="931"/>
      <c r="CD159" s="931"/>
      <c r="CE159" s="931"/>
      <c r="CF159" s="931"/>
      <c r="CG159" s="931"/>
      <c r="CH159" s="931"/>
      <c r="CI159" s="931"/>
      <c r="CJ159" s="931"/>
      <c r="CK159" s="931"/>
      <c r="CL159" s="931"/>
      <c r="CM159" s="931"/>
      <c r="CN159" s="931"/>
      <c r="CO159" s="931"/>
      <c r="CP159" s="931"/>
      <c r="CQ159" s="931"/>
      <c r="CR159" s="931"/>
      <c r="CS159" s="931"/>
      <c r="CT159" s="931"/>
      <c r="CU159" s="931"/>
      <c r="CV159" s="931"/>
      <c r="CW159" s="931"/>
      <c r="CX159" s="931"/>
      <c r="CY159" s="931"/>
      <c r="CZ159" s="931"/>
      <c r="DA159" s="931"/>
      <c r="DB159" s="931"/>
      <c r="DC159" s="931"/>
      <c r="DD159" s="931"/>
      <c r="DE159" s="931"/>
      <c r="DF159" s="931"/>
      <c r="DG159" s="931"/>
      <c r="DH159" s="931"/>
      <c r="DJ159" s="66"/>
      <c r="DK159" s="66"/>
      <c r="DL159" s="66"/>
      <c r="DM159" s="66"/>
      <c r="DN159" s="66"/>
      <c r="DO159" s="66"/>
      <c r="DP159" s="66"/>
      <c r="DQ159" s="66"/>
      <c r="DR159" s="66"/>
      <c r="DS159" s="66"/>
      <c r="DT159" s="66"/>
      <c r="DU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F159" s="102"/>
      <c r="GG159" s="102"/>
      <c r="GH159" s="102"/>
      <c r="GI159" s="102"/>
      <c r="GJ159" s="102"/>
      <c r="GK159" s="102"/>
      <c r="GL159" s="102">
        <f t="shared" si="435"/>
        <v>0</v>
      </c>
      <c r="GM159" s="102">
        <f t="shared" si="408"/>
        <v>0</v>
      </c>
      <c r="GN159" s="102"/>
      <c r="GO159" s="102">
        <v>0</v>
      </c>
      <c r="GQ159" s="32"/>
      <c r="GR159" s="32"/>
      <c r="GS159" s="32"/>
      <c r="GT159" s="929"/>
      <c r="GU159" s="929"/>
      <c r="GV159" s="929"/>
      <c r="GW159" s="929" t="str">
        <f t="shared" si="499"/>
        <v/>
      </c>
      <c r="GX159" s="32"/>
      <c r="GY159" s="929" t="str">
        <f t="shared" si="492"/>
        <v/>
      </c>
      <c r="HA159" s="102"/>
      <c r="HB159" s="102"/>
      <c r="HC159" s="102"/>
      <c r="HD159" s="102"/>
      <c r="HE159" s="102">
        <f t="shared" si="500"/>
        <v>0</v>
      </c>
      <c r="HF159" s="102">
        <f t="shared" si="500"/>
        <v>0</v>
      </c>
      <c r="HG159" s="102">
        <f t="shared" si="500"/>
        <v>0</v>
      </c>
      <c r="HH159" s="102"/>
      <c r="HI159" s="102">
        <f t="shared" si="493"/>
        <v>0</v>
      </c>
      <c r="HU159" s="102"/>
      <c r="HV159" s="102"/>
      <c r="HW159" s="102"/>
      <c r="HX159" s="102"/>
      <c r="HY159" s="102"/>
      <c r="HZ159" s="102"/>
      <c r="IA159" s="102"/>
      <c r="IB159" s="102"/>
      <c r="IC159" s="102"/>
      <c r="ID159" s="32"/>
      <c r="IE159" s="102"/>
      <c r="IG159" s="102"/>
      <c r="IH159" s="102"/>
      <c r="II159" s="145"/>
      <c r="IJ159" s="32"/>
      <c r="IK159" s="102"/>
      <c r="IP159" s="32"/>
      <c r="IQ159" s="32"/>
      <c r="IR159" s="32"/>
      <c r="IS159" s="32"/>
      <c r="IT159" s="32"/>
      <c r="IU159" s="32"/>
      <c r="IV159" s="32"/>
      <c r="IX159" s="102"/>
      <c r="IY159" s="102"/>
      <c r="IZ159" s="102"/>
      <c r="JA159" s="102"/>
      <c r="JB159" s="102"/>
      <c r="JC159" s="102"/>
      <c r="JD159" s="102"/>
      <c r="JO159" s="102"/>
      <c r="JP159" s="102"/>
      <c r="JQ159" s="102"/>
      <c r="JR159" s="102"/>
      <c r="JS159" s="102"/>
      <c r="JT159" s="102"/>
      <c r="JU159" s="102"/>
      <c r="JV159" s="102"/>
      <c r="JW159" s="102"/>
      <c r="JX159" s="102"/>
      <c r="JY159" s="102"/>
      <c r="KB159" s="32"/>
      <c r="KC159" s="32"/>
      <c r="KD159" s="32"/>
      <c r="KE159" s="32"/>
      <c r="KF159" s="32"/>
      <c r="KG159" s="32"/>
      <c r="KH159" s="32" t="str">
        <f t="shared" si="431"/>
        <v xml:space="preserve"> </v>
      </c>
      <c r="KJ159" s="102"/>
      <c r="KK159" s="102"/>
      <c r="KL159" s="102"/>
      <c r="KM159" s="102"/>
      <c r="KN159" s="102"/>
      <c r="KO159" s="102"/>
      <c r="KP159" s="102">
        <f t="shared" si="433"/>
        <v>0</v>
      </c>
    </row>
    <row r="160" spans="1:312">
      <c r="A160" s="884"/>
      <c r="B160" s="70"/>
      <c r="C160" s="1549" t="s">
        <v>139</v>
      </c>
      <c r="D160" s="1550" t="s">
        <v>59</v>
      </c>
      <c r="E160" s="1515">
        <f t="shared" ref="E160:BP160" si="520">+SUM(E161,E165,E166,E167,E168,E171,E174,E175)</f>
        <v>4741.1403895100002</v>
      </c>
      <c r="F160" s="1515">
        <f t="shared" si="520"/>
        <v>3718.2582234100005</v>
      </c>
      <c r="G160" s="1515">
        <f t="shared" si="520"/>
        <v>4531.86659203</v>
      </c>
      <c r="H160" s="1515">
        <f t="shared" si="520"/>
        <v>4630.0474871400002</v>
      </c>
      <c r="I160" s="1515">
        <f t="shared" si="520"/>
        <v>5285.8898607300007</v>
      </c>
      <c r="J160" s="1515">
        <f t="shared" si="520"/>
        <v>5148.3074737100005</v>
      </c>
      <c r="K160" s="1515">
        <f t="shared" si="520"/>
        <v>5382.3753616900003</v>
      </c>
      <c r="L160" s="1515">
        <f t="shared" si="520"/>
        <v>5067.4033840699994</v>
      </c>
      <c r="M160" s="1515">
        <f t="shared" si="520"/>
        <v>4658.2565241900002</v>
      </c>
      <c r="N160" s="1515">
        <f t="shared" si="520"/>
        <v>3504.5624037399998</v>
      </c>
      <c r="O160" s="1515">
        <f t="shared" si="520"/>
        <v>3358.5512602700001</v>
      </c>
      <c r="P160" s="1515">
        <f t="shared" si="520"/>
        <v>3202.5419650700001</v>
      </c>
      <c r="Q160" s="1515">
        <f t="shared" si="520"/>
        <v>4068.1785639</v>
      </c>
      <c r="R160" s="1515">
        <f t="shared" si="520"/>
        <v>3889.2666998100003</v>
      </c>
      <c r="S160" s="1515">
        <f t="shared" si="520"/>
        <v>3602.8427849899999</v>
      </c>
      <c r="T160" s="1515">
        <f t="shared" si="520"/>
        <v>5219.24791878</v>
      </c>
      <c r="U160" s="1515">
        <f t="shared" si="520"/>
        <v>5442.5854579300003</v>
      </c>
      <c r="V160" s="1515">
        <f t="shared" si="520"/>
        <v>5185.2716472100001</v>
      </c>
      <c r="W160" s="1515">
        <f t="shared" si="520"/>
        <v>4293.1809855499996</v>
      </c>
      <c r="X160" s="1515">
        <f t="shared" si="520"/>
        <v>4394.1434863800005</v>
      </c>
      <c r="Y160" s="1515">
        <f t="shared" si="520"/>
        <v>3828.7876733500002</v>
      </c>
      <c r="Z160" s="1515">
        <f t="shared" si="520"/>
        <v>4113.7035271799996</v>
      </c>
      <c r="AA160" s="1515">
        <f t="shared" si="520"/>
        <v>4615.57333948</v>
      </c>
      <c r="AB160" s="1515">
        <f t="shared" si="520"/>
        <v>5319.4332962400003</v>
      </c>
      <c r="AC160" s="1515">
        <f t="shared" si="520"/>
        <v>4253.7288140400005</v>
      </c>
      <c r="AD160" s="1515">
        <f t="shared" si="520"/>
        <v>4168.57104291</v>
      </c>
      <c r="AE160" s="1515">
        <f t="shared" si="520"/>
        <v>3808.3516597899998</v>
      </c>
      <c r="AF160" s="1515">
        <f t="shared" si="520"/>
        <v>7507.6388624899992</v>
      </c>
      <c r="AG160" s="1515">
        <f t="shared" si="520"/>
        <v>7702.4470589700004</v>
      </c>
      <c r="AH160" s="1515">
        <f t="shared" si="520"/>
        <v>7181.5698791599998</v>
      </c>
      <c r="AI160" s="1515">
        <f t="shared" si="520"/>
        <v>6865.5748451300005</v>
      </c>
      <c r="AJ160" s="1515">
        <f t="shared" si="520"/>
        <v>8016.02663321</v>
      </c>
      <c r="AK160" s="1515">
        <f t="shared" si="520"/>
        <v>7656.2300555700003</v>
      </c>
      <c r="AL160" s="1515">
        <f t="shared" si="520"/>
        <v>8243.32757623</v>
      </c>
      <c r="AM160" s="1515">
        <f t="shared" si="520"/>
        <v>11575.536556100002</v>
      </c>
      <c r="AN160" s="1515">
        <f t="shared" si="520"/>
        <v>9567.1712247700016</v>
      </c>
      <c r="AO160" s="1515">
        <f t="shared" si="520"/>
        <v>7442.7422226500012</v>
      </c>
      <c r="AP160" s="1515">
        <f t="shared" si="520"/>
        <v>11402.734654559998</v>
      </c>
      <c r="AQ160" s="1515">
        <f t="shared" si="520"/>
        <v>8899.3434797399987</v>
      </c>
      <c r="AR160" s="1515">
        <f t="shared" si="520"/>
        <v>9829.8284765499993</v>
      </c>
      <c r="AS160" s="1515">
        <f t="shared" si="520"/>
        <v>11099.897719439998</v>
      </c>
      <c r="AT160" s="1515">
        <f t="shared" si="520"/>
        <v>12489.279319209998</v>
      </c>
      <c r="AU160" s="1515">
        <f t="shared" si="520"/>
        <v>12016.87937311</v>
      </c>
      <c r="AV160" s="1515">
        <f t="shared" si="520"/>
        <v>11957.59898615</v>
      </c>
      <c r="AW160" s="1515">
        <f t="shared" si="520"/>
        <v>12393.377959950001</v>
      </c>
      <c r="AX160" s="1515">
        <f t="shared" si="520"/>
        <v>13318.107572649998</v>
      </c>
      <c r="AY160" s="1515">
        <f t="shared" si="520"/>
        <v>13191.382814789999</v>
      </c>
      <c r="AZ160" s="1515">
        <f t="shared" si="520"/>
        <v>11927.19334666</v>
      </c>
      <c r="BA160" s="1515">
        <f t="shared" si="520"/>
        <v>11149.21963057</v>
      </c>
      <c r="BB160" s="1515">
        <f t="shared" si="520"/>
        <v>11043.647465079997</v>
      </c>
      <c r="BC160" s="1515">
        <f t="shared" si="520"/>
        <v>10518.097481680001</v>
      </c>
      <c r="BD160" s="1515">
        <f t="shared" si="520"/>
        <v>9778.8667301600017</v>
      </c>
      <c r="BE160" s="1515">
        <f t="shared" si="520"/>
        <v>9543.9676087499993</v>
      </c>
      <c r="BF160" s="1515">
        <f t="shared" si="520"/>
        <v>9967.2525761999987</v>
      </c>
      <c r="BG160" s="1515">
        <f t="shared" si="520"/>
        <v>10130.84885595</v>
      </c>
      <c r="BH160" s="1515">
        <f t="shared" si="520"/>
        <v>9952.6143386199983</v>
      </c>
      <c r="BI160" s="1515">
        <f t="shared" si="520"/>
        <v>9894.90958503</v>
      </c>
      <c r="BJ160" s="1515">
        <f t="shared" si="520"/>
        <v>10074.914432910002</v>
      </c>
      <c r="BK160" s="1515">
        <f t="shared" si="520"/>
        <v>9792.4610771499993</v>
      </c>
      <c r="BL160" s="1515">
        <f t="shared" si="520"/>
        <v>9861.0725830200008</v>
      </c>
      <c r="BM160" s="1515">
        <f t="shared" si="520"/>
        <v>11329.728185240001</v>
      </c>
      <c r="BN160" s="1515">
        <f t="shared" si="520"/>
        <v>11177.22228202</v>
      </c>
      <c r="BO160" s="1515">
        <f t="shared" si="520"/>
        <v>11270.941245439999</v>
      </c>
      <c r="BP160" s="1515">
        <f t="shared" si="520"/>
        <v>11327.670431569999</v>
      </c>
      <c r="BQ160" s="1515">
        <f t="shared" ref="BQ160:DH160" si="521">+SUM(BQ161,BQ165,BQ166,BQ167,BQ168,BQ171,BQ174,BQ175)</f>
        <v>10939.19890806</v>
      </c>
      <c r="BR160" s="1515">
        <f t="shared" si="521"/>
        <v>10777.802698529998</v>
      </c>
      <c r="BS160" s="1515">
        <f t="shared" si="521"/>
        <v>10814.68476994</v>
      </c>
      <c r="BT160" s="1515">
        <f t="shared" si="521"/>
        <v>10698.52083281</v>
      </c>
      <c r="BU160" s="1515">
        <f t="shared" si="521"/>
        <v>10457.15538097</v>
      </c>
      <c r="BV160" s="1515">
        <f t="shared" si="521"/>
        <v>10598.513204319999</v>
      </c>
      <c r="BW160" s="1515">
        <f t="shared" si="521"/>
        <v>10247.486629930001</v>
      </c>
      <c r="BX160" s="1515">
        <f t="shared" si="521"/>
        <v>10898.69398624</v>
      </c>
      <c r="BY160" s="1515">
        <f t="shared" si="521"/>
        <v>10486.878237450001</v>
      </c>
      <c r="BZ160" s="1515">
        <f t="shared" si="521"/>
        <v>10395.67207825</v>
      </c>
      <c r="CA160" s="1515">
        <f t="shared" si="521"/>
        <v>10466.2156454</v>
      </c>
      <c r="CB160" s="1515">
        <f t="shared" si="521"/>
        <v>10098.47730948</v>
      </c>
      <c r="CC160" s="1515">
        <f t="shared" si="521"/>
        <v>9617.005682320003</v>
      </c>
      <c r="CD160" s="1515">
        <f t="shared" si="521"/>
        <v>9686.6942061400005</v>
      </c>
      <c r="CE160" s="1515">
        <f t="shared" si="521"/>
        <v>9476.8669930699998</v>
      </c>
      <c r="CF160" s="1515">
        <f t="shared" si="521"/>
        <v>9165.9648215399993</v>
      </c>
      <c r="CG160" s="1515">
        <f t="shared" si="521"/>
        <v>9311.287622580001</v>
      </c>
      <c r="CH160" s="1515">
        <f t="shared" si="521"/>
        <v>9825.4378421599977</v>
      </c>
      <c r="CI160" s="1515">
        <f t="shared" si="521"/>
        <v>9941.2516223000002</v>
      </c>
      <c r="CJ160" s="1515">
        <f t="shared" si="521"/>
        <v>10538.597224109999</v>
      </c>
      <c r="CK160" s="1515">
        <f t="shared" si="521"/>
        <v>10351.221468540001</v>
      </c>
      <c r="CL160" s="1515">
        <f t="shared" si="521"/>
        <v>10308.46487645</v>
      </c>
      <c r="CM160" s="1515">
        <f t="shared" si="521"/>
        <v>10362.227155010001</v>
      </c>
      <c r="CN160" s="1515">
        <f t="shared" si="521"/>
        <v>10494.938529340001</v>
      </c>
      <c r="CO160" s="1515">
        <f t="shared" si="521"/>
        <v>10096.454777390001</v>
      </c>
      <c r="CP160" s="1515">
        <f t="shared" si="521"/>
        <v>10158.794386130001</v>
      </c>
      <c r="CQ160" s="1515">
        <f t="shared" si="521"/>
        <v>9820.7248716200011</v>
      </c>
      <c r="CR160" s="1515">
        <f t="shared" si="521"/>
        <v>10109.92331785</v>
      </c>
      <c r="CS160" s="1515">
        <f t="shared" si="521"/>
        <v>10128.131826600002</v>
      </c>
      <c r="CT160" s="1515">
        <f t="shared" si="521"/>
        <v>10696.074240679998</v>
      </c>
      <c r="CU160" s="1515">
        <f t="shared" si="521"/>
        <v>10421.610677159999</v>
      </c>
      <c r="CV160" s="1515">
        <f t="shared" si="521"/>
        <v>11468.787165809999</v>
      </c>
      <c r="CW160" s="1515">
        <f t="shared" si="521"/>
        <v>10490.71887533</v>
      </c>
      <c r="CX160" s="1515">
        <f t="shared" si="521"/>
        <v>10693.250307599999</v>
      </c>
      <c r="CY160" s="1515">
        <f t="shared" si="521"/>
        <v>11188.172406079999</v>
      </c>
      <c r="CZ160" s="1515">
        <f t="shared" si="521"/>
        <v>10530.09462399</v>
      </c>
      <c r="DA160" s="1515">
        <f t="shared" si="521"/>
        <v>9198.6109390799993</v>
      </c>
      <c r="DB160" s="1515">
        <f t="shared" si="521"/>
        <v>7673.4832054699991</v>
      </c>
      <c r="DC160" s="1515">
        <f t="shared" si="521"/>
        <v>7445.1883180600007</v>
      </c>
      <c r="DD160" s="1515">
        <f t="shared" si="521"/>
        <v>7660.8580241299996</v>
      </c>
      <c r="DE160" s="1515">
        <f t="shared" si="521"/>
        <v>8040.3452872800008</v>
      </c>
      <c r="DF160" s="1515">
        <f t="shared" si="521"/>
        <v>8202.9491358300002</v>
      </c>
      <c r="DG160" s="1515">
        <f t="shared" si="521"/>
        <v>8352.4347080399984</v>
      </c>
      <c r="DH160" s="1515">
        <f t="shared" si="521"/>
        <v>8916.292709299998</v>
      </c>
      <c r="DI160" s="985"/>
      <c r="DJ160" s="1515">
        <v>6630.9481822900007</v>
      </c>
      <c r="DK160" s="1515">
        <v>6588.0250469900002</v>
      </c>
      <c r="DL160" s="1515">
        <v>6587.9860389099995</v>
      </c>
      <c r="DM160" s="1515">
        <v>6571.5623665000003</v>
      </c>
      <c r="DN160" s="1515">
        <v>6557.2366651299999</v>
      </c>
      <c r="DO160" s="1515">
        <v>6559.0973828699998</v>
      </c>
      <c r="DP160" s="1515">
        <v>6549.1043284700008</v>
      </c>
      <c r="DQ160" s="1515">
        <v>6542.6764703999997</v>
      </c>
      <c r="DR160" s="1515">
        <v>6542.7424564800003</v>
      </c>
      <c r="DS160" s="1515">
        <v>6549.2434122300001</v>
      </c>
      <c r="DT160" s="1515">
        <v>6433.0045232117227</v>
      </c>
      <c r="DU160" s="1515">
        <v>6433.0045232117227</v>
      </c>
      <c r="DV160" s="279"/>
      <c r="DW160" s="1515">
        <f t="shared" ref="DW160:FU160" si="522">+SUM(DW161,DW165,DW166,DW167,DW168,DW171,DW174,DW175)</f>
        <v>4171.6251833097867</v>
      </c>
      <c r="DX160" s="1515">
        <f t="shared" si="522"/>
        <v>3838.5615076788677</v>
      </c>
      <c r="DY160" s="1515">
        <f t="shared" si="522"/>
        <v>3925.9775027626929</v>
      </c>
      <c r="DZ160" s="1515">
        <f t="shared" si="522"/>
        <v>3527.1527964282441</v>
      </c>
      <c r="EA160" s="1515">
        <f t="shared" si="522"/>
        <v>3537.8793284713388</v>
      </c>
      <c r="EB160" s="1515">
        <f t="shared" si="522"/>
        <v>3950.3552286183458</v>
      </c>
      <c r="EC160" s="1515">
        <f t="shared" si="522"/>
        <v>3837.5373378078989</v>
      </c>
      <c r="ED160" s="1515">
        <f t="shared" si="522"/>
        <v>4564.0460795183153</v>
      </c>
      <c r="EE160" s="1515">
        <f t="shared" si="522"/>
        <v>4494.834471685479</v>
      </c>
      <c r="EF160" s="1515">
        <f t="shared" si="522"/>
        <v>5271.9153540178722</v>
      </c>
      <c r="EG160" s="1515">
        <f t="shared" si="522"/>
        <v>4802.6010804760726</v>
      </c>
      <c r="EH160" s="1515">
        <f t="shared" si="522"/>
        <v>6169.4050739320528</v>
      </c>
      <c r="EI160" s="1515">
        <f t="shared" si="522"/>
        <v>4876.0674476302602</v>
      </c>
      <c r="EJ160" s="1515">
        <f t="shared" si="522"/>
        <v>4551.3897727406365</v>
      </c>
      <c r="EK160" s="1515">
        <f t="shared" si="522"/>
        <v>4052.2836594777009</v>
      </c>
      <c r="EL160" s="1515">
        <f t="shared" si="522"/>
        <v>5947.959979032159</v>
      </c>
      <c r="EM160" s="1515">
        <f t="shared" si="522"/>
        <v>5860.5427022637814</v>
      </c>
      <c r="EN160" s="1515">
        <f t="shared" si="522"/>
        <v>5990.9507426148248</v>
      </c>
      <c r="EO160" s="1515">
        <f t="shared" si="522"/>
        <v>5958.389643796877</v>
      </c>
      <c r="EP160" s="1515">
        <f t="shared" si="522"/>
        <v>6293.4161301999193</v>
      </c>
      <c r="EQ160" s="1515">
        <f t="shared" si="522"/>
        <v>6590.9168045130918</v>
      </c>
      <c r="ER160" s="1515">
        <f t="shared" si="522"/>
        <v>6862.0607503276888</v>
      </c>
      <c r="ES160" s="1515">
        <f t="shared" si="522"/>
        <v>6775.1706170399739</v>
      </c>
      <c r="ET160" s="1515">
        <f t="shared" si="522"/>
        <v>6459.9590854723729</v>
      </c>
      <c r="EU160" s="1515">
        <f t="shared" si="522"/>
        <v>9809.5161911444902</v>
      </c>
      <c r="EV160" s="1515">
        <f t="shared" si="522"/>
        <v>9907.4583141757921</v>
      </c>
      <c r="EW160" s="1515">
        <f t="shared" si="522"/>
        <v>10109.640799230163</v>
      </c>
      <c r="EX160" s="1515">
        <f t="shared" si="522"/>
        <v>10076.32149997659</v>
      </c>
      <c r="EY160" s="1515">
        <f t="shared" si="522"/>
        <v>10269.420013737979</v>
      </c>
      <c r="EZ160" s="1515">
        <f t="shared" si="522"/>
        <v>10353.53465567099</v>
      </c>
      <c r="FA160" s="1515">
        <f t="shared" si="522"/>
        <v>10549.509749939876</v>
      </c>
      <c r="FB160" s="1515">
        <f t="shared" si="522"/>
        <v>10483.958919292234</v>
      </c>
      <c r="FC160" s="1515">
        <f t="shared" si="522"/>
        <v>10342.94142000057</v>
      </c>
      <c r="FD160" s="1515">
        <f t="shared" si="522"/>
        <v>10229.448355514289</v>
      </c>
      <c r="FE160" s="1515">
        <f t="shared" si="522"/>
        <v>10196.814249925557</v>
      </c>
      <c r="FF160" s="1515">
        <f t="shared" si="522"/>
        <v>10160.573537624474</v>
      </c>
      <c r="FG160" s="1515" t="e">
        <f t="shared" si="522"/>
        <v>#VALUE!</v>
      </c>
      <c r="FH160" s="1515" t="e">
        <f t="shared" si="522"/>
        <v>#VALUE!</v>
      </c>
      <c r="FI160" s="1515" t="e">
        <f t="shared" si="522"/>
        <v>#VALUE!</v>
      </c>
      <c r="FJ160" s="1515" t="e">
        <f t="shared" si="522"/>
        <v>#VALUE!</v>
      </c>
      <c r="FK160" s="1515" t="e">
        <f t="shared" si="522"/>
        <v>#VALUE!</v>
      </c>
      <c r="FL160" s="1515" t="e">
        <f t="shared" si="522"/>
        <v>#VALUE!</v>
      </c>
      <c r="FM160" s="1515" t="e">
        <f t="shared" si="522"/>
        <v>#VALUE!</v>
      </c>
      <c r="FN160" s="1515" t="e">
        <f t="shared" si="522"/>
        <v>#VALUE!</v>
      </c>
      <c r="FO160" s="1515" t="e">
        <f t="shared" si="522"/>
        <v>#VALUE!</v>
      </c>
      <c r="FP160" s="1515" t="e">
        <f t="shared" si="522"/>
        <v>#VALUE!</v>
      </c>
      <c r="FQ160" s="1515" t="e">
        <f t="shared" si="522"/>
        <v>#VALUE!</v>
      </c>
      <c r="FR160" s="1515" t="e">
        <f t="shared" si="522"/>
        <v>#VALUE!</v>
      </c>
      <c r="FS160" s="1515" t="e">
        <f t="shared" si="522"/>
        <v>#VALUE!</v>
      </c>
      <c r="FT160" s="1515" t="e">
        <f t="shared" si="522"/>
        <v>#VALUE!</v>
      </c>
      <c r="FU160" s="1515" t="e">
        <f t="shared" si="522"/>
        <v>#VALUE!</v>
      </c>
      <c r="FV160" s="1515" t="e">
        <f t="shared" ref="FV160:GD160" si="523">+SUM(FV161,FV165,FV166,FV167,FV168,FV171,FV174,FV175)</f>
        <v>#VALUE!</v>
      </c>
      <c r="FW160" s="1515" t="e">
        <f t="shared" si="523"/>
        <v>#VALUE!</v>
      </c>
      <c r="FX160" s="1515" t="e">
        <f t="shared" si="523"/>
        <v>#VALUE!</v>
      </c>
      <c r="FY160" s="1515" t="e">
        <f t="shared" si="523"/>
        <v>#VALUE!</v>
      </c>
      <c r="FZ160" s="1515" t="e">
        <f t="shared" si="523"/>
        <v>#VALUE!</v>
      </c>
      <c r="GA160" s="1515" t="e">
        <f t="shared" si="523"/>
        <v>#VALUE!</v>
      </c>
      <c r="GB160" s="1515" t="e">
        <f t="shared" si="523"/>
        <v>#VALUE!</v>
      </c>
      <c r="GC160" s="1515" t="e">
        <f t="shared" si="523"/>
        <v>#VALUE!</v>
      </c>
      <c r="GD160" s="1515" t="e">
        <f t="shared" si="523"/>
        <v>#VALUE!</v>
      </c>
      <c r="GF160" s="1515">
        <f t="shared" ref="GF160:GI175" si="524">+SUMIFS($E160:$AZ160,$E$6:$AZ$6,GF$7,$E$5:$AZ$5,12)</f>
        <v>3202.5419650700001</v>
      </c>
      <c r="GG160" s="1515">
        <f t="shared" si="524"/>
        <v>5319.4332962400003</v>
      </c>
      <c r="GH160" s="1515">
        <f t="shared" si="524"/>
        <v>9567.1712247700016</v>
      </c>
      <c r="GI160" s="1515">
        <f t="shared" si="524"/>
        <v>11927.19334666</v>
      </c>
      <c r="GJ160" s="1515">
        <f t="shared" si="434"/>
        <v>9861.0725830200008</v>
      </c>
      <c r="GK160" s="1515">
        <f t="shared" si="407"/>
        <v>10898.69398624</v>
      </c>
      <c r="GL160" s="1515">
        <f t="shared" si="435"/>
        <v>10538.597224109999</v>
      </c>
      <c r="GM160" s="1515">
        <f t="shared" si="408"/>
        <v>11468.787165809999</v>
      </c>
      <c r="GN160" s="1515" t="e">
        <f t="shared" si="409"/>
        <v>#VALUE!</v>
      </c>
      <c r="GO160" s="1515">
        <v>8916.292709299998</v>
      </c>
      <c r="GQ160" s="1519">
        <f t="shared" ref="GQ160:GV175" si="525">+IFERROR(GH160/GG160-1,"")</f>
        <v>0.7985320412857666</v>
      </c>
      <c r="GR160" s="1519">
        <f t="shared" si="525"/>
        <v>0.24667919769009194</v>
      </c>
      <c r="GS160" s="1519">
        <f t="shared" si="525"/>
        <v>-0.17322774131255114</v>
      </c>
      <c r="GT160" s="1519">
        <f t="shared" si="525"/>
        <v>0.10522399003600302</v>
      </c>
      <c r="GU160" s="1519">
        <f t="shared" si="525"/>
        <v>-3.3040359017753484E-2</v>
      </c>
      <c r="GV160" s="1519">
        <f t="shared" si="525"/>
        <v>8.8265062410007422E-2</v>
      </c>
      <c r="GW160" s="1519" t="str">
        <f t="shared" si="499"/>
        <v/>
      </c>
      <c r="GX160" s="1519" t="str">
        <f t="shared" si="499"/>
        <v/>
      </c>
      <c r="GY160" s="1519">
        <f t="shared" si="492"/>
        <v>-0.2225601033140916</v>
      </c>
      <c r="HA160" s="1515">
        <f t="shared" ref="HA160:HC163" si="526">+GH160-GG160</f>
        <v>4247.7379285300012</v>
      </c>
      <c r="HB160" s="1515">
        <f t="shared" si="526"/>
        <v>2360.0221218899987</v>
      </c>
      <c r="HC160" s="1515">
        <f t="shared" si="526"/>
        <v>-2066.1207636399995</v>
      </c>
      <c r="HD160" s="1515">
        <f t="shared" si="500"/>
        <v>1037.6214032199987</v>
      </c>
      <c r="HE160" s="1515">
        <f t="shared" si="500"/>
        <v>-360.09676213000057</v>
      </c>
      <c r="HF160" s="1515">
        <f t="shared" si="500"/>
        <v>930.18994170000042</v>
      </c>
      <c r="HG160" s="1515" t="e">
        <f t="shared" si="500"/>
        <v>#VALUE!</v>
      </c>
      <c r="HH160" s="1515" t="e">
        <f t="shared" si="500"/>
        <v>#VALUE!</v>
      </c>
      <c r="HI160" s="1515">
        <f t="shared" si="493"/>
        <v>-2552.4944565100013</v>
      </c>
      <c r="HK160" s="986"/>
      <c r="HL160" s="986"/>
      <c r="HM160" s="986"/>
      <c r="HN160" s="986"/>
      <c r="HO160" s="986"/>
      <c r="HP160" s="986"/>
      <c r="HQ160" s="986"/>
      <c r="HR160" s="986"/>
      <c r="HS160" s="986"/>
      <c r="HU160" s="1515">
        <f t="shared" ref="HU160:HX163" si="527">+IFERROR(SUMIFS($E160:$AZ160,$E$6:$AZ$6,HU$7,$E$5:$AZ$5,$HW$5),"NA")</f>
        <v>5148.3074737100005</v>
      </c>
      <c r="HV160" s="1515">
        <f t="shared" si="527"/>
        <v>5185.2716472100001</v>
      </c>
      <c r="HW160" s="1515">
        <f t="shared" si="527"/>
        <v>7181.5698791599998</v>
      </c>
      <c r="HX160" s="1515">
        <f t="shared" si="527"/>
        <v>12489.279319209998</v>
      </c>
      <c r="HY160" s="1515">
        <f t="shared" ref="HY160:HZ180" si="528">+IFERROR(SUMIFS($E160:$BX160,$E$6:$BX$6,HY$7,$E$5:$BX$5,$HW$5),"NA")</f>
        <v>9967.2525761999987</v>
      </c>
      <c r="HZ160" s="1515">
        <f t="shared" si="528"/>
        <v>10777.802698529998</v>
      </c>
      <c r="IA160" s="1515">
        <f t="shared" ref="IA160:IA180" si="529">+IFERROR(SUMIFS($E160:$CJ160,$E$6:$CJ$6,IA$7,$E$5:$CJ$5,$HW$5),"NA")</f>
        <v>9686.6942061400005</v>
      </c>
      <c r="IB160" s="1515">
        <f t="shared" ref="IB160:IB180" si="530">+IFERROR(SUMIFS($E160:$CV160,$E$6:$CV$6,IB$7,$E$5:$CV$5,$HW$5),"NA")</f>
        <v>10158.794386130001</v>
      </c>
      <c r="IC160" s="1515">
        <f t="shared" ref="IC160:IC180" si="531">+IFERROR(SUMIFS($E160:$DH160,$E$6:$DH$6,IC$7,$E$5:$DH$5,$HW$5),"NA")</f>
        <v>7673.4832054699991</v>
      </c>
      <c r="ID160" s="1515" t="e">
        <f t="shared" si="417"/>
        <v>#VALUE!</v>
      </c>
      <c r="IE160" s="1515">
        <f t="shared" ref="IE160:IE180" si="532">+SUMIF($DJ$5:$DU$5,"="&amp;$HW$5,$DJ160:$DU160)</f>
        <v>6559.0973828699998</v>
      </c>
      <c r="IG160" s="1515">
        <f t="shared" ref="IG160:IG210" si="533">+IE160</f>
        <v>6559.0973828699998</v>
      </c>
      <c r="IH160" s="1515" t="e">
        <f t="shared" ref="IH160:IH210" si="534">+ID160</f>
        <v>#VALUE!</v>
      </c>
      <c r="II160" s="939"/>
      <c r="IJ160" s="1519" t="str">
        <f t="shared" ref="IJ160:IJ175" si="535">+IFERROR(IG160/IH160,"NA")</f>
        <v>NA</v>
      </c>
      <c r="IK160" s="1523" t="str">
        <f t="shared" ref="IK160:IK175" si="536">+IFERROR(IG160-IH160,"NA")</f>
        <v>NA</v>
      </c>
      <c r="IM160" s="973"/>
      <c r="IN160" s="973"/>
      <c r="IP160" s="1520">
        <f t="shared" ref="IP160:IR210" si="537">+IFERROR(HW160/HV160-1,"NA")</f>
        <v>0.38499395360012301</v>
      </c>
      <c r="IQ160" s="1520">
        <f t="shared" si="537"/>
        <v>0.73907370245777249</v>
      </c>
      <c r="IR160" s="1520">
        <f t="shared" si="537"/>
        <v>-0.20193533017800491</v>
      </c>
      <c r="IS160" s="1520">
        <f>+IFERROR(HZ160/HY160-1,"NA")</f>
        <v>8.1321318601421444E-2</v>
      </c>
      <c r="IT160" s="1520">
        <f>+IFERROR(IA160/HZ160-1,"NA")</f>
        <v>-0.10123663634507019</v>
      </c>
      <c r="IU160" s="1520">
        <f>+IFERROR(IB160/IA160-1,"NA")</f>
        <v>4.8736975684723793E-2</v>
      </c>
      <c r="IV160" s="1520">
        <f>+IFERROR(IE160/IB160-1,"NA")</f>
        <v>-0.35434293346607515</v>
      </c>
      <c r="IX160" s="1515">
        <f t="shared" ref="IX160:JC194" si="538">+HW160-HV160</f>
        <v>1996.2982319499997</v>
      </c>
      <c r="IY160" s="1515">
        <f t="shared" si="538"/>
        <v>5307.7094400499982</v>
      </c>
      <c r="IZ160" s="1515">
        <f t="shared" si="538"/>
        <v>-2522.0267430099993</v>
      </c>
      <c r="JA160" s="1515">
        <f t="shared" si="538"/>
        <v>810.55012232999979</v>
      </c>
      <c r="JB160" s="1515">
        <f t="shared" si="538"/>
        <v>-1091.108492389998</v>
      </c>
      <c r="JC160" s="1515">
        <f t="shared" si="538"/>
        <v>472.10017999000047</v>
      </c>
      <c r="JD160" s="1515">
        <f t="shared" ref="JD160:JD180" si="539">+IE160-IB160</f>
        <v>-3599.6970032600011</v>
      </c>
      <c r="JF160" s="986"/>
      <c r="JG160" s="986"/>
      <c r="JH160" s="986"/>
      <c r="JI160" s="986"/>
      <c r="JJ160" s="986"/>
      <c r="JK160" s="986"/>
      <c r="JL160" s="986"/>
      <c r="JM160" s="986"/>
      <c r="JO160" s="1515">
        <f t="shared" ref="JO160:JS169" si="540">+SUMIFS($E160:$BX160,$E$6:$BX$6,JO$7,$E$5:$BX$5,$JQ$5)</f>
        <v>5148.3074737100005</v>
      </c>
      <c r="JP160" s="1515">
        <f t="shared" si="540"/>
        <v>5185.2716472100001</v>
      </c>
      <c r="JQ160" s="1515">
        <f t="shared" si="540"/>
        <v>7181.5698791599998</v>
      </c>
      <c r="JR160" s="1515">
        <f t="shared" si="540"/>
        <v>12489.279319209998</v>
      </c>
      <c r="JS160" s="1515">
        <f t="shared" si="540"/>
        <v>9967.2525761999987</v>
      </c>
      <c r="JT160" s="1515">
        <f t="shared" ref="JT160:JT180" si="541">+SUMIFS($E160:$CJ160,$E$6:$CJ$6,JT$7,$E$5:$CJ$5,$JQ$5)</f>
        <v>10777.802698529998</v>
      </c>
      <c r="JU160" s="1515">
        <f t="shared" ref="JU160:JU180" si="542">+SUMIFS($E160:$CV160,$E$6:$CV$6,JU$7,$E$5:$CV$5,$JQ$5)</f>
        <v>9686.6942061400005</v>
      </c>
      <c r="JV160" s="1515">
        <f t="shared" ref="JV160:JW180" si="543">+SUMIFS($E160:$DH160,$E$6:$DH$6,JV$7,$E$5:$DH$5,$JQ$5)</f>
        <v>10158.794386130001</v>
      </c>
      <c r="JW160" s="1515">
        <f t="shared" si="543"/>
        <v>7673.4832054699991</v>
      </c>
      <c r="JX160" s="1515" t="e">
        <f t="shared" ref="JX160:JX180" si="544">+SUMIF($FS$5:$GD$5,$JQ$5,$FS160:$GD160)</f>
        <v>#VALUE!</v>
      </c>
      <c r="JY160" s="1515">
        <f t="shared" ref="JY160:JY180" si="545">+SUMIF($DJ$5:$DU$5,$JQ$5,$DJ160:$DU160)</f>
        <v>6559.0973828699998</v>
      </c>
      <c r="KB160" s="1520">
        <f t="shared" ref="KB160:KG180" si="546">+IFERROR(JQ160/JP160-1," ")</f>
        <v>0.38499395360012301</v>
      </c>
      <c r="KC160" s="1520">
        <f t="shared" si="546"/>
        <v>0.73907370245777249</v>
      </c>
      <c r="KD160" s="1520">
        <f t="shared" si="546"/>
        <v>-0.20193533017800491</v>
      </c>
      <c r="KE160" s="1520">
        <f t="shared" si="546"/>
        <v>8.1321318601421444E-2</v>
      </c>
      <c r="KF160" s="1520">
        <f t="shared" si="546"/>
        <v>-0.10123663634507019</v>
      </c>
      <c r="KG160" s="1520">
        <f t="shared" si="546"/>
        <v>4.8736975684723793E-2</v>
      </c>
      <c r="KH160" s="1520">
        <f t="shared" si="431"/>
        <v>-0.35434293346607515</v>
      </c>
      <c r="KJ160" s="1515">
        <f t="shared" ref="KJ160:KO180" si="547">+JQ160-JP160</f>
        <v>1996.2982319499997</v>
      </c>
      <c r="KK160" s="1515">
        <f t="shared" si="547"/>
        <v>5307.7094400499982</v>
      </c>
      <c r="KL160" s="1515">
        <f t="shared" si="547"/>
        <v>-2522.0267430099993</v>
      </c>
      <c r="KM160" s="1515">
        <f t="shared" si="547"/>
        <v>810.55012232999979</v>
      </c>
      <c r="KN160" s="1515">
        <f t="shared" si="547"/>
        <v>-1091.108492389998</v>
      </c>
      <c r="KO160" s="1515">
        <f t="shared" si="547"/>
        <v>472.10017999000047</v>
      </c>
      <c r="KP160" s="1515">
        <f t="shared" si="433"/>
        <v>-3599.6970032600011</v>
      </c>
      <c r="KR160" s="986"/>
      <c r="KS160" s="986"/>
      <c r="KT160" s="986"/>
      <c r="KU160" s="986"/>
      <c r="KV160" s="986"/>
      <c r="KW160" s="986"/>
      <c r="KX160" s="986"/>
      <c r="KY160" s="986"/>
      <c r="KZ160" s="986"/>
    </row>
    <row r="161" spans="1:312" outlineLevel="1">
      <c r="A161" s="867"/>
      <c r="B161" s="71"/>
      <c r="C161" s="47" t="s">
        <v>140</v>
      </c>
      <c r="D161" s="923" t="s">
        <v>59</v>
      </c>
      <c r="E161" s="924">
        <v>625.37146294000001</v>
      </c>
      <c r="F161" s="924">
        <v>690.46797734000006</v>
      </c>
      <c r="G161" s="924">
        <v>631.50815316000001</v>
      </c>
      <c r="H161" s="924">
        <v>572.47179884000002</v>
      </c>
      <c r="I161" s="924">
        <v>914.17255710000006</v>
      </c>
      <c r="J161" s="924">
        <v>654.98900787000002</v>
      </c>
      <c r="K161" s="924">
        <v>597.27738599999998</v>
      </c>
      <c r="L161" s="924">
        <v>566.52908471000001</v>
      </c>
      <c r="M161" s="924">
        <v>139.29577646000001</v>
      </c>
      <c r="N161" s="924">
        <v>115.23789112</v>
      </c>
      <c r="O161" s="924">
        <v>86.296822980000002</v>
      </c>
      <c r="P161" s="924">
        <v>57.998131560000004</v>
      </c>
      <c r="Q161" s="924">
        <v>652.89602625999999</v>
      </c>
      <c r="R161" s="924">
        <v>1000.76350726</v>
      </c>
      <c r="S161" s="924">
        <v>951.67090725999992</v>
      </c>
      <c r="T161" s="924">
        <v>1874.8927732599998</v>
      </c>
      <c r="U161" s="924">
        <v>1818.8307774999998</v>
      </c>
      <c r="V161" s="924">
        <v>1772.08634046</v>
      </c>
      <c r="W161" s="924">
        <v>1421.3758053000001</v>
      </c>
      <c r="X161" s="924">
        <v>1068.4944425100002</v>
      </c>
      <c r="Y161" s="924">
        <v>1019.3815107299999</v>
      </c>
      <c r="Z161" s="924">
        <v>954.60379601</v>
      </c>
      <c r="AA161" s="924">
        <v>967.24021183000002</v>
      </c>
      <c r="AB161" s="924">
        <v>915.99257815999999</v>
      </c>
      <c r="AC161" s="924">
        <v>449.85835551000002</v>
      </c>
      <c r="AD161" s="924">
        <v>942.21520134000002</v>
      </c>
      <c r="AE161" s="924">
        <v>885.44172481999999</v>
      </c>
      <c r="AF161" s="924">
        <v>3812.5488008599996</v>
      </c>
      <c r="AG161" s="924">
        <v>3612.58173683</v>
      </c>
      <c r="AH161" s="924">
        <v>3413.1654506100003</v>
      </c>
      <c r="AI161" s="924">
        <v>3222.1560262100002</v>
      </c>
      <c r="AJ161" s="924">
        <v>3556.6218415400003</v>
      </c>
      <c r="AK161" s="924">
        <v>3574.27026467</v>
      </c>
      <c r="AL161" s="924">
        <v>3366.6684340000002</v>
      </c>
      <c r="AM161" s="924">
        <v>6264.6603370000003</v>
      </c>
      <c r="AN161" s="926">
        <v>3641.6666666700003</v>
      </c>
      <c r="AO161" s="926">
        <v>3483.3333333400001</v>
      </c>
      <c r="AP161" s="64">
        <v>6325.1189789499995</v>
      </c>
      <c r="AQ161" s="926">
        <v>6084.6301583699997</v>
      </c>
      <c r="AR161" s="926">
        <v>5842.5614820000001</v>
      </c>
      <c r="AS161" s="926">
        <v>7189.0796323199993</v>
      </c>
      <c r="AT161" s="926">
        <v>8823.3663946499983</v>
      </c>
      <c r="AU161" s="926">
        <v>8556.9025239399998</v>
      </c>
      <c r="AV161" s="926">
        <v>8308.8899187099996</v>
      </c>
      <c r="AW161" s="926">
        <v>8563.2907524300008</v>
      </c>
      <c r="AX161" s="926">
        <v>9325.6178120299992</v>
      </c>
      <c r="AY161" s="926">
        <v>9075.6426159799994</v>
      </c>
      <c r="AZ161" s="102">
        <f>SUM(AZ162:AZ164)</f>
        <v>8835.6429530299993</v>
      </c>
      <c r="BA161" s="102">
        <v>8589.03936694</v>
      </c>
      <c r="BB161" s="102">
        <v>8343.5330227400009</v>
      </c>
      <c r="BC161" s="102">
        <v>8100.3240180299999</v>
      </c>
      <c r="BD161" s="102">
        <v>8100.8976456300006</v>
      </c>
      <c r="BE161" s="102">
        <v>8101.43214403</v>
      </c>
      <c r="BF161" s="102">
        <v>8094.6341960299997</v>
      </c>
      <c r="BG161" s="102">
        <v>8448.6599630300007</v>
      </c>
      <c r="BH161" s="102">
        <v>8447.8807433599995</v>
      </c>
      <c r="BI161" s="102">
        <v>8399.66070941</v>
      </c>
      <c r="BJ161" s="102">
        <v>8398.6501444000005</v>
      </c>
      <c r="BK161" s="102">
        <v>8397.2839945699998</v>
      </c>
      <c r="BL161" s="146">
        <f>SUM(BL162:BL164)</f>
        <v>8412.4622080000008</v>
      </c>
      <c r="BM161" s="102">
        <f t="shared" ref="BM161:DH161" si="548">SUM(BM162:BM164)</f>
        <v>8410.9823093100003</v>
      </c>
      <c r="BN161" s="102">
        <f>SUM(BN162:BN164)</f>
        <v>8406.6893455300014</v>
      </c>
      <c r="BO161" s="102">
        <f t="shared" si="548"/>
        <v>8404.1409445999998</v>
      </c>
      <c r="BP161" s="102">
        <f t="shared" si="548"/>
        <v>8396.8589940900001</v>
      </c>
      <c r="BQ161" s="102">
        <f t="shared" si="548"/>
        <v>8398.2173102199995</v>
      </c>
      <c r="BR161" s="102">
        <f t="shared" si="548"/>
        <v>8405.3429713400001</v>
      </c>
      <c r="BS161" s="102">
        <f t="shared" si="548"/>
        <v>8404.3886456100008</v>
      </c>
      <c r="BT161" s="102">
        <f t="shared" si="548"/>
        <v>8309.0938868800004</v>
      </c>
      <c r="BU161" s="102">
        <f t="shared" si="548"/>
        <v>8309.9036976299994</v>
      </c>
      <c r="BV161" s="102">
        <f t="shared" si="548"/>
        <v>8314.3146146600011</v>
      </c>
      <c r="BW161" s="102">
        <f t="shared" si="548"/>
        <v>8241.4385345499995</v>
      </c>
      <c r="BX161" s="102">
        <f t="shared" si="548"/>
        <v>8246.4127042399996</v>
      </c>
      <c r="BY161" s="102">
        <f t="shared" si="548"/>
        <v>8259.2950338600003</v>
      </c>
      <c r="BZ161" s="102">
        <f t="shared" si="548"/>
        <v>7972.8846495099997</v>
      </c>
      <c r="CA161" s="102">
        <f t="shared" si="548"/>
        <v>7962.8472214600006</v>
      </c>
      <c r="CB161" s="102">
        <f t="shared" si="548"/>
        <v>7972.2926703400008</v>
      </c>
      <c r="CC161" s="102">
        <f t="shared" si="548"/>
        <v>7972.0002371600003</v>
      </c>
      <c r="CD161" s="102">
        <f t="shared" si="548"/>
        <v>7973.83261717</v>
      </c>
      <c r="CE161" s="102">
        <f t="shared" si="548"/>
        <v>7607.9886121700001</v>
      </c>
      <c r="CF161" s="102">
        <f t="shared" si="548"/>
        <v>7064.6279898499997</v>
      </c>
      <c r="CG161" s="102">
        <f t="shared" si="548"/>
        <v>7072.0336711800001</v>
      </c>
      <c r="CH161" s="102">
        <f t="shared" si="548"/>
        <v>7085.8985744900001</v>
      </c>
      <c r="CI161" s="102">
        <f t="shared" si="548"/>
        <v>7089.0472235800007</v>
      </c>
      <c r="CJ161" s="102">
        <f t="shared" si="548"/>
        <v>7056.6752209899996</v>
      </c>
      <c r="CK161" s="102">
        <f t="shared" si="548"/>
        <v>7063.4257703700005</v>
      </c>
      <c r="CL161" s="102">
        <f t="shared" si="548"/>
        <v>7074.0422533700003</v>
      </c>
      <c r="CM161" s="102">
        <f t="shared" si="548"/>
        <v>6781.4091004499996</v>
      </c>
      <c r="CN161" s="102">
        <f t="shared" si="548"/>
        <v>6786.1494083100006</v>
      </c>
      <c r="CO161" s="102">
        <f t="shared" si="548"/>
        <v>6713.6768675900003</v>
      </c>
      <c r="CP161" s="102">
        <f t="shared" si="548"/>
        <v>6736.8630257300001</v>
      </c>
      <c r="CQ161" s="102">
        <f t="shared" si="548"/>
        <v>6742.0085922500002</v>
      </c>
      <c r="CR161" s="102">
        <f t="shared" si="548"/>
        <v>6703.2932490100002</v>
      </c>
      <c r="CS161" s="102">
        <f t="shared" si="548"/>
        <v>6697.97919568</v>
      </c>
      <c r="CT161" s="102">
        <f t="shared" si="548"/>
        <v>6680.3240358499997</v>
      </c>
      <c r="CU161" s="102">
        <f t="shared" si="548"/>
        <v>6631.2279086500002</v>
      </c>
      <c r="CV161" s="102">
        <f t="shared" si="548"/>
        <v>6638.9976559200004</v>
      </c>
      <c r="CW161" s="102">
        <f t="shared" si="548"/>
        <v>6630.9481822899997</v>
      </c>
      <c r="CX161" s="102">
        <f t="shared" si="548"/>
        <v>6588.0250469900002</v>
      </c>
      <c r="CY161" s="102">
        <f t="shared" si="548"/>
        <v>6587.9860389099995</v>
      </c>
      <c r="CZ161" s="102">
        <f t="shared" si="548"/>
        <v>6571.5623665000003</v>
      </c>
      <c r="DA161" s="102">
        <f t="shared" si="548"/>
        <v>6557.2366651299999</v>
      </c>
      <c r="DB161" s="102">
        <f t="shared" si="548"/>
        <v>6559.0973828699998</v>
      </c>
      <c r="DC161" s="102">
        <f t="shared" si="548"/>
        <v>6549.1043284699999</v>
      </c>
      <c r="DD161" s="102">
        <f t="shared" si="548"/>
        <v>6542.6764703999997</v>
      </c>
      <c r="DE161" s="102">
        <f t="shared" si="548"/>
        <v>6542.7424564800003</v>
      </c>
      <c r="DF161" s="102">
        <f t="shared" si="548"/>
        <v>6549.2434122300001</v>
      </c>
      <c r="DG161" s="102">
        <f t="shared" si="548"/>
        <v>6441.7578021600002</v>
      </c>
      <c r="DH161" s="102">
        <f t="shared" si="548"/>
        <v>6442.4520322199996</v>
      </c>
      <c r="DI161" s="77"/>
      <c r="DJ161" s="102">
        <f>+DJ160</f>
        <v>6630.9481822900007</v>
      </c>
      <c r="DK161" s="102">
        <f t="shared" ref="DK161:DU161" si="549">+DK160</f>
        <v>6588.0250469900002</v>
      </c>
      <c r="DL161" s="102">
        <f t="shared" si="549"/>
        <v>6587.9860389099995</v>
      </c>
      <c r="DM161" s="102">
        <f t="shared" si="549"/>
        <v>6571.5623665000003</v>
      </c>
      <c r="DN161" s="102">
        <f t="shared" si="549"/>
        <v>6557.2366651299999</v>
      </c>
      <c r="DO161" s="102">
        <f t="shared" si="549"/>
        <v>6559.0973828699998</v>
      </c>
      <c r="DP161" s="102">
        <f t="shared" si="549"/>
        <v>6549.1043284700008</v>
      </c>
      <c r="DQ161" s="102">
        <f t="shared" si="549"/>
        <v>6542.6764703999997</v>
      </c>
      <c r="DR161" s="102">
        <f t="shared" si="549"/>
        <v>6542.7424564800003</v>
      </c>
      <c r="DS161" s="102">
        <f t="shared" si="549"/>
        <v>6549.2434122300001</v>
      </c>
      <c r="DT161" s="102">
        <f t="shared" si="549"/>
        <v>6433.0045232117227</v>
      </c>
      <c r="DU161" s="102">
        <f t="shared" si="549"/>
        <v>6433.0045232117227</v>
      </c>
      <c r="DV161" s="279"/>
      <c r="DW161" s="102">
        <f t="shared" ref="DW161:EO161" si="550">+SUM(DW162:DW163)</f>
        <v>0</v>
      </c>
      <c r="DX161" s="102">
        <f t="shared" si="550"/>
        <v>0</v>
      </c>
      <c r="DY161" s="102">
        <f t="shared" si="550"/>
        <v>0</v>
      </c>
      <c r="DZ161" s="102">
        <f t="shared" si="550"/>
        <v>0</v>
      </c>
      <c r="EA161" s="102">
        <f t="shared" si="550"/>
        <v>0</v>
      </c>
      <c r="EB161" s="102">
        <f t="shared" si="550"/>
        <v>0</v>
      </c>
      <c r="EC161" s="102">
        <f t="shared" si="550"/>
        <v>0</v>
      </c>
      <c r="ED161" s="102">
        <f t="shared" si="550"/>
        <v>0</v>
      </c>
      <c r="EE161" s="102">
        <f t="shared" si="550"/>
        <v>0</v>
      </c>
      <c r="EF161" s="102">
        <f t="shared" si="550"/>
        <v>0</v>
      </c>
      <c r="EG161" s="102">
        <f t="shared" si="550"/>
        <v>0</v>
      </c>
      <c r="EH161" s="102">
        <f t="shared" si="550"/>
        <v>0</v>
      </c>
      <c r="EI161" s="102">
        <f t="shared" si="550"/>
        <v>1503.5</v>
      </c>
      <c r="EJ161" s="102">
        <f t="shared" si="550"/>
        <v>1503.5</v>
      </c>
      <c r="EK161" s="102">
        <f t="shared" si="550"/>
        <v>1503.5</v>
      </c>
      <c r="EL161" s="102">
        <f t="shared" si="550"/>
        <v>3003.5</v>
      </c>
      <c r="EM161" s="102">
        <f t="shared" si="550"/>
        <v>3003.5</v>
      </c>
      <c r="EN161" s="102">
        <f t="shared" si="550"/>
        <v>3003.5</v>
      </c>
      <c r="EO161" s="102">
        <f t="shared" si="550"/>
        <v>3003.5</v>
      </c>
      <c r="EP161" s="102">
        <f t="shared" ref="EP161:FS161" si="551">+SUM(EP162:EP163)</f>
        <v>3003.5</v>
      </c>
      <c r="EQ161" s="102">
        <f t="shared" si="551"/>
        <v>3003.5</v>
      </c>
      <c r="ER161" s="102">
        <f t="shared" si="551"/>
        <v>3003.5</v>
      </c>
      <c r="ES161" s="102">
        <f t="shared" si="551"/>
        <v>3003.5</v>
      </c>
      <c r="ET161" s="102">
        <f t="shared" si="551"/>
        <v>3003.5</v>
      </c>
      <c r="EU161" s="102">
        <f t="shared" si="551"/>
        <v>8411.5148829700011</v>
      </c>
      <c r="EV161" s="102">
        <f t="shared" si="551"/>
        <v>8411.5148829700011</v>
      </c>
      <c r="EW161" s="102">
        <f t="shared" si="551"/>
        <v>8411.5148829700011</v>
      </c>
      <c r="EX161" s="102">
        <f t="shared" si="551"/>
        <v>8411.5148829700011</v>
      </c>
      <c r="EY161" s="102">
        <f t="shared" si="551"/>
        <v>8411.5148829700011</v>
      </c>
      <c r="EZ161" s="102">
        <f t="shared" si="551"/>
        <v>8411.5148829700011</v>
      </c>
      <c r="FA161" s="102">
        <f t="shared" si="551"/>
        <v>8411.5148829700011</v>
      </c>
      <c r="FB161" s="102">
        <f t="shared" si="551"/>
        <v>8281.2074317541192</v>
      </c>
      <c r="FC161" s="102">
        <f t="shared" si="551"/>
        <v>8150.8999805382382</v>
      </c>
      <c r="FD161" s="102">
        <f t="shared" si="551"/>
        <v>8020.5925293223581</v>
      </c>
      <c r="FE161" s="102">
        <f t="shared" si="551"/>
        <v>7890.2850781064781</v>
      </c>
      <c r="FF161" s="102">
        <f t="shared" si="551"/>
        <v>7759.9776268905962</v>
      </c>
      <c r="FG161" s="102" t="e">
        <f t="shared" si="551"/>
        <v>#VALUE!</v>
      </c>
      <c r="FH161" s="102" t="e">
        <f t="shared" si="551"/>
        <v>#VALUE!</v>
      </c>
      <c r="FI161" s="102" t="e">
        <f t="shared" si="551"/>
        <v>#VALUE!</v>
      </c>
      <c r="FJ161" s="102" t="e">
        <f t="shared" si="551"/>
        <v>#VALUE!</v>
      </c>
      <c r="FK161" s="102" t="e">
        <f t="shared" si="551"/>
        <v>#VALUE!</v>
      </c>
      <c r="FL161" s="102" t="e">
        <f t="shared" si="551"/>
        <v>#VALUE!</v>
      </c>
      <c r="FM161" s="102" t="e">
        <f t="shared" si="551"/>
        <v>#VALUE!</v>
      </c>
      <c r="FN161" s="102" t="e">
        <f t="shared" si="551"/>
        <v>#VALUE!</v>
      </c>
      <c r="FO161" s="102" t="e">
        <f t="shared" si="551"/>
        <v>#VALUE!</v>
      </c>
      <c r="FP161" s="102" t="e">
        <f t="shared" si="551"/>
        <v>#VALUE!</v>
      </c>
      <c r="FQ161" s="102" t="e">
        <f t="shared" si="551"/>
        <v>#VALUE!</v>
      </c>
      <c r="FR161" s="102" t="e">
        <f t="shared" si="551"/>
        <v>#VALUE!</v>
      </c>
      <c r="FS161" s="102" t="e">
        <f t="shared" si="551"/>
        <v>#VALUE!</v>
      </c>
      <c r="FT161" s="102" t="e">
        <f t="shared" ref="FT161:GD161" si="552">+SUM(FT162:FT163)</f>
        <v>#VALUE!</v>
      </c>
      <c r="FU161" s="102" t="e">
        <f t="shared" si="552"/>
        <v>#VALUE!</v>
      </c>
      <c r="FV161" s="102" t="e">
        <f t="shared" si="552"/>
        <v>#VALUE!</v>
      </c>
      <c r="FW161" s="102" t="e">
        <f t="shared" si="552"/>
        <v>#VALUE!</v>
      </c>
      <c r="FX161" s="102" t="e">
        <f t="shared" si="552"/>
        <v>#VALUE!</v>
      </c>
      <c r="FY161" s="102" t="e">
        <f t="shared" si="552"/>
        <v>#VALUE!</v>
      </c>
      <c r="FZ161" s="102" t="e">
        <f t="shared" si="552"/>
        <v>#VALUE!</v>
      </c>
      <c r="GA161" s="102" t="e">
        <f t="shared" si="552"/>
        <v>#VALUE!</v>
      </c>
      <c r="GB161" s="102" t="e">
        <f t="shared" si="552"/>
        <v>#VALUE!</v>
      </c>
      <c r="GC161" s="102" t="e">
        <f t="shared" si="552"/>
        <v>#VALUE!</v>
      </c>
      <c r="GD161" s="102" t="e">
        <f t="shared" si="552"/>
        <v>#VALUE!</v>
      </c>
      <c r="GF161" s="924">
        <f t="shared" si="524"/>
        <v>57.998131560000004</v>
      </c>
      <c r="GG161" s="924">
        <f t="shared" si="524"/>
        <v>915.99257815999999</v>
      </c>
      <c r="GH161" s="924">
        <f t="shared" si="524"/>
        <v>3641.6666666700003</v>
      </c>
      <c r="GI161" s="924">
        <f t="shared" si="524"/>
        <v>8835.6429530299993</v>
      </c>
      <c r="GJ161" s="924">
        <f t="shared" si="434"/>
        <v>8412.4622080000008</v>
      </c>
      <c r="GK161" s="924">
        <f t="shared" si="407"/>
        <v>8246.4127042399996</v>
      </c>
      <c r="GL161" s="924">
        <f t="shared" si="435"/>
        <v>7056.6752209899996</v>
      </c>
      <c r="GM161" s="924">
        <f t="shared" si="408"/>
        <v>6638.9976559200004</v>
      </c>
      <c r="GN161" s="924" t="e">
        <f t="shared" si="409"/>
        <v>#VALUE!</v>
      </c>
      <c r="GO161" s="924">
        <v>6442.4520322199996</v>
      </c>
      <c r="GQ161" s="927">
        <f t="shared" si="525"/>
        <v>2.975650844229762</v>
      </c>
      <c r="GR161" s="927">
        <f t="shared" si="525"/>
        <v>1.4262635111272983</v>
      </c>
      <c r="GS161" s="927">
        <f t="shared" si="525"/>
        <v>-4.789473129229127E-2</v>
      </c>
      <c r="GT161" s="927">
        <f t="shared" si="525"/>
        <v>-1.9738514082368597E-2</v>
      </c>
      <c r="GU161" s="927">
        <f t="shared" si="525"/>
        <v>-0.14427333750083615</v>
      </c>
      <c r="GV161" s="927">
        <f t="shared" si="525"/>
        <v>-5.9189002184431239E-2</v>
      </c>
      <c r="GW161" s="927" t="str">
        <f t="shared" si="499"/>
        <v/>
      </c>
      <c r="GX161" s="927" t="str">
        <f t="shared" si="499"/>
        <v/>
      </c>
      <c r="GY161" s="927">
        <f t="shared" si="492"/>
        <v>-2.9604713525503534E-2</v>
      </c>
      <c r="HA161" s="924">
        <f t="shared" si="526"/>
        <v>2725.6740885100003</v>
      </c>
      <c r="HB161" s="924">
        <f t="shared" si="526"/>
        <v>5193.976286359999</v>
      </c>
      <c r="HC161" s="924">
        <f t="shared" si="526"/>
        <v>-423.18074502999843</v>
      </c>
      <c r="HD161" s="924">
        <f t="shared" si="500"/>
        <v>-166.04950376000124</v>
      </c>
      <c r="HE161" s="924">
        <f t="shared" si="500"/>
        <v>-1189.73748325</v>
      </c>
      <c r="HF161" s="924">
        <f t="shared" si="500"/>
        <v>-417.67756506999922</v>
      </c>
      <c r="HG161" s="924" t="e">
        <f t="shared" si="500"/>
        <v>#VALUE!</v>
      </c>
      <c r="HH161" s="924" t="e">
        <f t="shared" si="500"/>
        <v>#VALUE!</v>
      </c>
      <c r="HI161" s="924">
        <f t="shared" si="493"/>
        <v>-196.54562370000076</v>
      </c>
      <c r="HK161" s="973"/>
      <c r="HL161" s="973"/>
      <c r="HM161" s="973"/>
      <c r="HN161" s="973"/>
      <c r="HO161" s="973"/>
      <c r="HP161" s="973"/>
      <c r="HQ161" s="973"/>
      <c r="HR161" s="973"/>
      <c r="HS161" s="973"/>
      <c r="HU161" s="924">
        <f t="shared" si="527"/>
        <v>654.98900787000002</v>
      </c>
      <c r="HV161" s="924">
        <f t="shared" si="527"/>
        <v>1772.08634046</v>
      </c>
      <c r="HW161" s="924">
        <f t="shared" si="527"/>
        <v>3413.1654506100003</v>
      </c>
      <c r="HX161" s="924">
        <f t="shared" si="527"/>
        <v>8823.3663946499983</v>
      </c>
      <c r="HY161" s="924">
        <f t="shared" si="528"/>
        <v>8094.6341960299997</v>
      </c>
      <c r="HZ161" s="924">
        <f t="shared" si="528"/>
        <v>8405.3429713400001</v>
      </c>
      <c r="IA161" s="924">
        <f t="shared" si="529"/>
        <v>7973.83261717</v>
      </c>
      <c r="IB161" s="924">
        <f t="shared" si="530"/>
        <v>6736.8630257300001</v>
      </c>
      <c r="IC161" s="924">
        <f t="shared" si="531"/>
        <v>6559.0973828699998</v>
      </c>
      <c r="ID161" s="924" t="e">
        <f t="shared" si="417"/>
        <v>#VALUE!</v>
      </c>
      <c r="IE161" s="924">
        <f t="shared" si="532"/>
        <v>6559.0973828699998</v>
      </c>
      <c r="IG161" s="924">
        <f t="shared" si="533"/>
        <v>6559.0973828699998</v>
      </c>
      <c r="IH161" s="924" t="e">
        <f t="shared" si="534"/>
        <v>#VALUE!</v>
      </c>
      <c r="II161" s="145"/>
      <c r="IJ161" s="927" t="str">
        <f t="shared" si="535"/>
        <v>NA</v>
      </c>
      <c r="IK161" s="928" t="str">
        <f t="shared" si="536"/>
        <v>NA</v>
      </c>
      <c r="IM161" s="973"/>
      <c r="IN161" s="973"/>
      <c r="IP161" s="927">
        <f t="shared" ref="IP161:IU180" si="553">+IFERROR(HW161/HV161-1,"")</f>
        <v>0.92607175659624308</v>
      </c>
      <c r="IQ161" s="927">
        <f t="shared" si="553"/>
        <v>1.5850977698936592</v>
      </c>
      <c r="IR161" s="927">
        <f t="shared" si="553"/>
        <v>-8.2591175071439982E-2</v>
      </c>
      <c r="IS161" s="927">
        <f t="shared" si="553"/>
        <v>3.838453570420608E-2</v>
      </c>
      <c r="IT161" s="927">
        <f t="shared" si="553"/>
        <v>-5.1337626036360051E-2</v>
      </c>
      <c r="IU161" s="927">
        <f t="shared" si="553"/>
        <v>-0.15512861265440181</v>
      </c>
      <c r="IV161" s="927">
        <f t="shared" ref="IV161:IV180" si="554">+IFERROR(IE161/IB161-1,"")</f>
        <v>-2.6387005670304164E-2</v>
      </c>
      <c r="IX161" s="924">
        <f t="shared" si="538"/>
        <v>1641.0791101500004</v>
      </c>
      <c r="IY161" s="924">
        <f t="shared" si="538"/>
        <v>5410.2009440399979</v>
      </c>
      <c r="IZ161" s="924">
        <f t="shared" si="538"/>
        <v>-728.7321986199986</v>
      </c>
      <c r="JA161" s="924">
        <f t="shared" si="538"/>
        <v>310.70877531000042</v>
      </c>
      <c r="JB161" s="924">
        <f t="shared" si="538"/>
        <v>-431.51035417000003</v>
      </c>
      <c r="JC161" s="924">
        <f t="shared" si="538"/>
        <v>-1236.9695914399999</v>
      </c>
      <c r="JD161" s="924">
        <f t="shared" si="539"/>
        <v>-177.7656428600003</v>
      </c>
      <c r="JF161" s="973"/>
      <c r="JG161" s="973"/>
      <c r="JH161" s="973"/>
      <c r="JI161" s="973"/>
      <c r="JJ161" s="973"/>
      <c r="JK161" s="973"/>
      <c r="JL161" s="973"/>
      <c r="JM161" s="973"/>
      <c r="JO161" s="924">
        <f t="shared" si="540"/>
        <v>654.98900787000002</v>
      </c>
      <c r="JP161" s="924">
        <f t="shared" si="540"/>
        <v>1772.08634046</v>
      </c>
      <c r="JQ161" s="924">
        <f t="shared" si="540"/>
        <v>3413.1654506100003</v>
      </c>
      <c r="JR161" s="924">
        <f t="shared" si="540"/>
        <v>8823.3663946499983</v>
      </c>
      <c r="JS161" s="924">
        <f t="shared" si="540"/>
        <v>8094.6341960299997</v>
      </c>
      <c r="JT161" s="924">
        <f t="shared" si="541"/>
        <v>8405.3429713400001</v>
      </c>
      <c r="JU161" s="924">
        <f t="shared" si="542"/>
        <v>7973.83261717</v>
      </c>
      <c r="JV161" s="924">
        <f t="shared" si="543"/>
        <v>6736.8630257300001</v>
      </c>
      <c r="JW161" s="924">
        <f t="shared" si="543"/>
        <v>6559.0973828699998</v>
      </c>
      <c r="JX161" s="924" t="e">
        <f t="shared" si="544"/>
        <v>#VALUE!</v>
      </c>
      <c r="JY161" s="924">
        <f t="shared" si="545"/>
        <v>6559.0973828699998</v>
      </c>
      <c r="KB161" s="76">
        <f t="shared" si="546"/>
        <v>0.92607175659624308</v>
      </c>
      <c r="KC161" s="76">
        <f t="shared" si="546"/>
        <v>1.5850977698936592</v>
      </c>
      <c r="KD161" s="76">
        <f t="shared" si="546"/>
        <v>-8.2591175071439982E-2</v>
      </c>
      <c r="KE161" s="76">
        <f t="shared" si="546"/>
        <v>3.838453570420608E-2</v>
      </c>
      <c r="KF161" s="76">
        <f t="shared" si="546"/>
        <v>-5.1337626036360051E-2</v>
      </c>
      <c r="KG161" s="76">
        <f t="shared" si="546"/>
        <v>-0.15512861265440181</v>
      </c>
      <c r="KH161" s="76">
        <f t="shared" si="431"/>
        <v>-2.6387005670304164E-2</v>
      </c>
      <c r="KJ161" s="924">
        <f t="shared" si="547"/>
        <v>1641.0791101500004</v>
      </c>
      <c r="KK161" s="924">
        <f t="shared" si="547"/>
        <v>5410.2009440399979</v>
      </c>
      <c r="KL161" s="924">
        <f t="shared" si="547"/>
        <v>-728.7321986199986</v>
      </c>
      <c r="KM161" s="924">
        <f t="shared" si="547"/>
        <v>310.70877531000042</v>
      </c>
      <c r="KN161" s="924">
        <f t="shared" si="547"/>
        <v>-431.51035417000003</v>
      </c>
      <c r="KO161" s="924">
        <f t="shared" si="547"/>
        <v>-1236.9695914399999</v>
      </c>
      <c r="KP161" s="924">
        <f t="shared" si="433"/>
        <v>-177.7656428600003</v>
      </c>
      <c r="KR161" s="973"/>
      <c r="KS161" s="973"/>
      <c r="KT161" s="973"/>
      <c r="KU161" s="973"/>
      <c r="KV161" s="973"/>
      <c r="KW161" s="973"/>
      <c r="KX161" s="973"/>
      <c r="KY161" s="973"/>
      <c r="KZ161" s="973"/>
    </row>
    <row r="162" spans="1:312" outlineLevel="2">
      <c r="A162" s="884">
        <v>2105</v>
      </c>
      <c r="B162" s="70" t="s">
        <v>724</v>
      </c>
      <c r="C162" s="17" t="s">
        <v>725</v>
      </c>
      <c r="D162" s="31" t="s">
        <v>59</v>
      </c>
      <c r="E162" s="102">
        <v>618.85575985000003</v>
      </c>
      <c r="F162" s="102">
        <v>686.08433342000001</v>
      </c>
      <c r="G162" s="102">
        <v>629.29616826999995</v>
      </c>
      <c r="H162" s="102">
        <v>572.47179884000002</v>
      </c>
      <c r="I162" s="102">
        <v>914.17255710000006</v>
      </c>
      <c r="J162" s="102">
        <v>654.98900787000002</v>
      </c>
      <c r="K162" s="102">
        <v>597.27738599999998</v>
      </c>
      <c r="L162" s="102">
        <v>566.52908471000001</v>
      </c>
      <c r="M162" s="102">
        <v>139.29577646000001</v>
      </c>
      <c r="N162" s="102">
        <v>115.23789112</v>
      </c>
      <c r="O162" s="102">
        <v>86.296822980000002</v>
      </c>
      <c r="P162" s="102">
        <v>57.998131560000004</v>
      </c>
      <c r="Q162" s="102">
        <v>28.441068260000002</v>
      </c>
      <c r="R162" s="102">
        <v>392.33622925999998</v>
      </c>
      <c r="S162" s="102">
        <v>359.44516626000001</v>
      </c>
      <c r="T162" s="102">
        <v>1327.1976442599998</v>
      </c>
      <c r="U162" s="102">
        <v>1289.7800814999998</v>
      </c>
      <c r="V162" s="102">
        <v>1261.8387734599999</v>
      </c>
      <c r="W162" s="102">
        <v>930.1318923</v>
      </c>
      <c r="X162" s="102">
        <v>596.38625651000007</v>
      </c>
      <c r="Y162" s="102">
        <v>566.55041372999995</v>
      </c>
      <c r="Z162" s="102">
        <v>521.18222301000003</v>
      </c>
      <c r="AA162" s="102">
        <v>553.37156383000001</v>
      </c>
      <c r="AB162" s="102">
        <v>521.82368315999997</v>
      </c>
      <c r="AC162" s="102">
        <v>75.537676509999997</v>
      </c>
      <c r="AD162" s="102">
        <v>587.89485234000006</v>
      </c>
      <c r="AE162" s="102">
        <v>551.27484582</v>
      </c>
      <c r="AF162" s="102">
        <v>3498.7051898599998</v>
      </c>
      <c r="AG162" s="102">
        <v>3320.62875583</v>
      </c>
      <c r="AH162" s="102">
        <v>3137.2534376100002</v>
      </c>
      <c r="AI162" s="102">
        <v>2962.46439121</v>
      </c>
      <c r="AJ162" s="102">
        <v>2810.7562145400002</v>
      </c>
      <c r="AK162" s="102">
        <v>2869.6338776699999</v>
      </c>
      <c r="AL162" s="102">
        <v>2691.08529</v>
      </c>
      <c r="AM162" s="102">
        <v>6175</v>
      </c>
      <c r="AN162" s="102">
        <v>3641.6666666700003</v>
      </c>
      <c r="AO162" s="102">
        <v>3483.3333333400001</v>
      </c>
      <c r="AP162" s="145">
        <v>6325.1189789499995</v>
      </c>
      <c r="AQ162" s="220">
        <v>6084.6301583699997</v>
      </c>
      <c r="AR162" s="220">
        <v>5842.5614820000001</v>
      </c>
      <c r="AS162" s="102">
        <v>7102.1375443199995</v>
      </c>
      <c r="AT162" s="102">
        <v>5360.6186166499992</v>
      </c>
      <c r="AU162" s="102">
        <v>5124.3382079399998</v>
      </c>
      <c r="AV162" s="102">
        <v>4878.5372337099998</v>
      </c>
      <c r="AW162" s="102">
        <v>5135.1554864300006</v>
      </c>
      <c r="AX162" s="102">
        <v>5899.7230720299995</v>
      </c>
      <c r="AY162" s="102">
        <v>5652.0005139799996</v>
      </c>
      <c r="AZ162" s="102">
        <v>5414.2594560299995</v>
      </c>
      <c r="BA162" s="102">
        <v>5169.9463799399991</v>
      </c>
      <c r="BB162" s="102">
        <v>4926.7197407399999</v>
      </c>
      <c r="BC162" s="102">
        <v>4685.8078580299998</v>
      </c>
      <c r="BD162" s="102">
        <v>4688.70084563</v>
      </c>
      <c r="BE162" s="102">
        <v>4691.5481920299999</v>
      </c>
      <c r="BF162" s="102">
        <v>4687.06309203</v>
      </c>
      <c r="BG162" s="102">
        <v>4683.4410260300001</v>
      </c>
      <c r="BH162" s="102">
        <v>4685.0225593599998</v>
      </c>
      <c r="BI162" s="102">
        <v>4689.6436448500008</v>
      </c>
      <c r="BJ162" s="102">
        <v>4688.6330798400004</v>
      </c>
      <c r="BK162" s="102">
        <v>4687.2669300100006</v>
      </c>
      <c r="BL162" s="102">
        <v>4702.4451434399998</v>
      </c>
      <c r="BM162" s="102">
        <v>4700.9652447500002</v>
      </c>
      <c r="BN162" s="102">
        <v>4696.6722809700004</v>
      </c>
      <c r="BO162" s="102">
        <v>4694.1238800399997</v>
      </c>
      <c r="BP162" s="102">
        <v>4686.84192953</v>
      </c>
      <c r="BQ162" s="102">
        <v>4688.2002456600003</v>
      </c>
      <c r="BR162" s="102">
        <v>4695.32590678</v>
      </c>
      <c r="BS162" s="102">
        <v>4694.3715810499998</v>
      </c>
      <c r="BT162" s="102">
        <v>4599.0768223199993</v>
      </c>
      <c r="BU162" s="102">
        <v>4599.8866330699993</v>
      </c>
      <c r="BV162" s="102">
        <v>4601.1843601</v>
      </c>
      <c r="BW162" s="102">
        <v>4531.4214699899994</v>
      </c>
      <c r="BX162" s="102">
        <v>4536.3956396800004</v>
      </c>
      <c r="BY162" s="102">
        <v>4549.2779693000002</v>
      </c>
      <c r="BZ162" s="102">
        <v>4262.8675849499996</v>
      </c>
      <c r="CA162" s="102">
        <v>4252.8301569000005</v>
      </c>
      <c r="CB162" s="102">
        <v>4262.2756057800007</v>
      </c>
      <c r="CC162" s="102">
        <v>4261.9831726000002</v>
      </c>
      <c r="CD162" s="102">
        <v>4263.8155526099999</v>
      </c>
      <c r="CE162" s="102">
        <v>4257.97154761</v>
      </c>
      <c r="CF162" s="102">
        <v>3714.6109252900001</v>
      </c>
      <c r="CG162" s="102">
        <v>3722.0166066199999</v>
      </c>
      <c r="CH162" s="102">
        <v>3735.88150993</v>
      </c>
      <c r="CI162" s="102">
        <v>3739.0301590200002</v>
      </c>
      <c r="CJ162" s="102">
        <v>3706.6752209899996</v>
      </c>
      <c r="CK162" s="102">
        <v>3713.42577037</v>
      </c>
      <c r="CL162" s="102">
        <v>3724.0422533699998</v>
      </c>
      <c r="CM162" s="102">
        <v>3431.4091004499996</v>
      </c>
      <c r="CN162" s="102">
        <v>3436.1494083100001</v>
      </c>
      <c r="CO162" s="102">
        <v>3363.6768675900003</v>
      </c>
      <c r="CP162" s="102">
        <v>3386.8630257300001</v>
      </c>
      <c r="CQ162" s="102">
        <v>3392.0085922500002</v>
      </c>
      <c r="CR162" s="102">
        <v>3353.2932490100002</v>
      </c>
      <c r="CS162" s="102">
        <v>3347.97919568</v>
      </c>
      <c r="CT162" s="102">
        <v>3330.3240358499997</v>
      </c>
      <c r="CU162" s="102">
        <v>3281.2279086500002</v>
      </c>
      <c r="CV162" s="102">
        <v>3288.9976559199999</v>
      </c>
      <c r="CW162" s="102">
        <v>3280.9481822899997</v>
      </c>
      <c r="CX162" s="102">
        <v>3238.0250469899997</v>
      </c>
      <c r="CY162" s="102">
        <v>3237.9860389099999</v>
      </c>
      <c r="CZ162" s="102">
        <v>3221.5623664999998</v>
      </c>
      <c r="DA162" s="102">
        <v>3207.2366651299999</v>
      </c>
      <c r="DB162" s="102">
        <v>3209.0973828699998</v>
      </c>
      <c r="DC162" s="102">
        <v>3199.1043284699999</v>
      </c>
      <c r="DD162" s="102">
        <v>3192.6764704000002</v>
      </c>
      <c r="DE162" s="102">
        <v>3192.7424564799999</v>
      </c>
      <c r="DF162" s="102">
        <v>3199.2434122300001</v>
      </c>
      <c r="DG162" s="102">
        <v>3091.7578021599998</v>
      </c>
      <c r="DH162" s="102">
        <v>3092.4520322199996</v>
      </c>
      <c r="DI162" s="77"/>
      <c r="DJ162" s="102"/>
      <c r="DK162" s="102"/>
      <c r="DL162" s="102"/>
      <c r="DM162" s="102"/>
      <c r="DN162" s="102"/>
      <c r="DO162" s="102"/>
      <c r="DP162" s="102"/>
      <c r="DQ162" s="102"/>
      <c r="DR162" s="102"/>
      <c r="DS162" s="102"/>
      <c r="DT162" s="102"/>
      <c r="DU162" s="102"/>
      <c r="DW162" s="102">
        <v>0</v>
      </c>
      <c r="DX162" s="102">
        <v>0</v>
      </c>
      <c r="DY162" s="102">
        <v>0</v>
      </c>
      <c r="DZ162" s="102">
        <v>0</v>
      </c>
      <c r="EA162" s="102">
        <v>0</v>
      </c>
      <c r="EB162" s="102">
        <v>0</v>
      </c>
      <c r="EC162" s="102">
        <v>0</v>
      </c>
      <c r="ED162" s="102">
        <v>0</v>
      </c>
      <c r="EE162" s="102">
        <v>0</v>
      </c>
      <c r="EF162" s="102">
        <v>0</v>
      </c>
      <c r="EG162" s="102">
        <v>0</v>
      </c>
      <c r="EH162" s="102">
        <v>0</v>
      </c>
      <c r="EI162" s="102">
        <v>1503.5</v>
      </c>
      <c r="EJ162" s="102">
        <v>1503.5</v>
      </c>
      <c r="EK162" s="102">
        <v>1503.5</v>
      </c>
      <c r="EL162" s="102">
        <v>3003.5</v>
      </c>
      <c r="EM162" s="102">
        <v>3003.5</v>
      </c>
      <c r="EN162" s="102">
        <v>3003.5</v>
      </c>
      <c r="EO162" s="102">
        <v>3003.5</v>
      </c>
      <c r="EP162" s="102">
        <v>3003.5</v>
      </c>
      <c r="EQ162" s="102">
        <v>3003.5</v>
      </c>
      <c r="ER162" s="102">
        <v>3003.5</v>
      </c>
      <c r="ES162" s="102">
        <v>3003.5</v>
      </c>
      <c r="ET162" s="102">
        <v>3003.5</v>
      </c>
      <c r="EU162" s="102">
        <v>8411.5148829700011</v>
      </c>
      <c r="EV162" s="102">
        <v>8411.5148829700011</v>
      </c>
      <c r="EW162" s="102">
        <v>8411.5148829700011</v>
      </c>
      <c r="EX162" s="102">
        <v>8411.5148829700011</v>
      </c>
      <c r="EY162" s="102">
        <v>8411.5148829700011</v>
      </c>
      <c r="EZ162" s="102">
        <v>8411.5148829700011</v>
      </c>
      <c r="FA162" s="102">
        <v>8411.5148829700011</v>
      </c>
      <c r="FB162" s="102">
        <v>8281.2074317541192</v>
      </c>
      <c r="FC162" s="102">
        <v>8150.8999805382382</v>
      </c>
      <c r="FD162" s="102">
        <v>8020.5925293223581</v>
      </c>
      <c r="FE162" s="102">
        <v>7890.2850781064781</v>
      </c>
      <c r="FF162" s="102">
        <v>7759.9776268905962</v>
      </c>
      <c r="FG162" s="102" t="e">
        <v>#VALUE!</v>
      </c>
      <c r="FH162" s="102" t="e">
        <v>#VALUE!</v>
      </c>
      <c r="FI162" s="102" t="e">
        <v>#VALUE!</v>
      </c>
      <c r="FJ162" s="102" t="e">
        <v>#VALUE!</v>
      </c>
      <c r="FK162" s="102" t="e">
        <v>#VALUE!</v>
      </c>
      <c r="FL162" s="102" t="e">
        <v>#VALUE!</v>
      </c>
      <c r="FM162" s="102" t="e">
        <v>#VALUE!</v>
      </c>
      <c r="FN162" s="102" t="e">
        <v>#VALUE!</v>
      </c>
      <c r="FO162" s="102" t="e">
        <v>#VALUE!</v>
      </c>
      <c r="FP162" s="102" t="e">
        <v>#VALUE!</v>
      </c>
      <c r="FQ162" s="102" t="e">
        <v>#VALUE!</v>
      </c>
      <c r="FR162" s="102" t="e">
        <v>#VALUE!</v>
      </c>
      <c r="FS162" s="102" t="e">
        <v>#VALUE!</v>
      </c>
      <c r="FT162" s="102" t="e">
        <v>#VALUE!</v>
      </c>
      <c r="FU162" s="102" t="e">
        <v>#VALUE!</v>
      </c>
      <c r="FV162" s="102" t="e">
        <v>#VALUE!</v>
      </c>
      <c r="FW162" s="102" t="e">
        <v>#VALUE!</v>
      </c>
      <c r="FX162" s="102" t="e">
        <v>#VALUE!</v>
      </c>
      <c r="FY162" s="102" t="e">
        <v>#VALUE!</v>
      </c>
      <c r="FZ162" s="102" t="e">
        <v>#VALUE!</v>
      </c>
      <c r="GA162" s="102" t="e">
        <v>#VALUE!</v>
      </c>
      <c r="GB162" s="102" t="e">
        <v>#VALUE!</v>
      </c>
      <c r="GC162" s="102" t="e">
        <v>#VALUE!</v>
      </c>
      <c r="GD162" s="102" t="e">
        <v>#VALUE!</v>
      </c>
      <c r="GF162" s="102">
        <f t="shared" si="524"/>
        <v>57.998131560000004</v>
      </c>
      <c r="GG162" s="102">
        <f t="shared" si="524"/>
        <v>521.82368315999997</v>
      </c>
      <c r="GH162" s="102">
        <f t="shared" si="524"/>
        <v>3641.6666666700003</v>
      </c>
      <c r="GI162" s="102">
        <f t="shared" si="524"/>
        <v>5414.2594560299995</v>
      </c>
      <c r="GJ162" s="102">
        <f t="shared" si="434"/>
        <v>4702.4451434399998</v>
      </c>
      <c r="GK162" s="102">
        <f t="shared" si="407"/>
        <v>4536.3956396800004</v>
      </c>
      <c r="GL162" s="102">
        <f t="shared" si="435"/>
        <v>3706.6752209899996</v>
      </c>
      <c r="GM162" s="102">
        <f t="shared" si="408"/>
        <v>3288.9976559199999</v>
      </c>
      <c r="GN162" s="102" t="e">
        <f t="shared" si="409"/>
        <v>#VALUE!</v>
      </c>
      <c r="GO162" s="102">
        <v>3092.4520322199996</v>
      </c>
      <c r="GQ162" s="929">
        <f t="shared" si="525"/>
        <v>5.9787301423676542</v>
      </c>
      <c r="GR162" s="929">
        <f t="shared" si="525"/>
        <v>0.48675316870252905</v>
      </c>
      <c r="GS162" s="929">
        <f t="shared" si="525"/>
        <v>-0.13147029956187894</v>
      </c>
      <c r="GT162" s="929">
        <f t="shared" si="525"/>
        <v>-3.531131117853481E-2</v>
      </c>
      <c r="GU162" s="929">
        <f t="shared" si="525"/>
        <v>-0.18290301036188494</v>
      </c>
      <c r="GV162" s="929">
        <f t="shared" si="525"/>
        <v>-0.11268253628070601</v>
      </c>
      <c r="GW162" s="929" t="str">
        <f t="shared" si="499"/>
        <v/>
      </c>
      <c r="GX162" s="929" t="str">
        <f t="shared" si="499"/>
        <v/>
      </c>
      <c r="GY162" s="929">
        <f t="shared" si="492"/>
        <v>-5.9758517415246515E-2</v>
      </c>
      <c r="HA162" s="102">
        <f t="shared" si="526"/>
        <v>3119.8429835100005</v>
      </c>
      <c r="HB162" s="102">
        <f t="shared" si="526"/>
        <v>1772.5927893599992</v>
      </c>
      <c r="HC162" s="102">
        <f t="shared" si="526"/>
        <v>-711.81431258999964</v>
      </c>
      <c r="HD162" s="102">
        <f t="shared" si="500"/>
        <v>-166.04950375999942</v>
      </c>
      <c r="HE162" s="102">
        <f t="shared" si="500"/>
        <v>-829.72041869000077</v>
      </c>
      <c r="HF162" s="102">
        <f t="shared" si="500"/>
        <v>-417.67756506999967</v>
      </c>
      <c r="HG162" s="102" t="e">
        <f t="shared" si="500"/>
        <v>#VALUE!</v>
      </c>
      <c r="HH162" s="102" t="e">
        <f t="shared" si="500"/>
        <v>#VALUE!</v>
      </c>
      <c r="HI162" s="102">
        <f t="shared" si="493"/>
        <v>-196.54562370000031</v>
      </c>
      <c r="HK162" s="973"/>
      <c r="HL162" s="973"/>
      <c r="HM162" s="973"/>
      <c r="HN162" s="973"/>
      <c r="HO162" s="973"/>
      <c r="HP162" s="973"/>
      <c r="HQ162" s="973"/>
      <c r="HR162" s="973"/>
      <c r="HS162" s="973"/>
      <c r="HU162" s="102">
        <f t="shared" si="527"/>
        <v>654.98900787000002</v>
      </c>
      <c r="HV162" s="102">
        <f t="shared" si="527"/>
        <v>1261.8387734599999</v>
      </c>
      <c r="HW162" s="102">
        <f t="shared" si="527"/>
        <v>3137.2534376100002</v>
      </c>
      <c r="HX162" s="102">
        <f t="shared" si="527"/>
        <v>5360.6186166499992</v>
      </c>
      <c r="HY162" s="102">
        <f t="shared" si="528"/>
        <v>4687.06309203</v>
      </c>
      <c r="HZ162" s="102">
        <f t="shared" si="528"/>
        <v>4695.32590678</v>
      </c>
      <c r="IA162" s="102">
        <f t="shared" si="529"/>
        <v>4263.8155526099999</v>
      </c>
      <c r="IB162" s="102">
        <f t="shared" si="530"/>
        <v>3386.8630257300001</v>
      </c>
      <c r="IC162" s="102">
        <f t="shared" si="531"/>
        <v>3209.0973828699998</v>
      </c>
      <c r="ID162" s="102" t="e">
        <f t="shared" si="417"/>
        <v>#VALUE!</v>
      </c>
      <c r="IE162" s="102">
        <f t="shared" si="532"/>
        <v>0</v>
      </c>
      <c r="IG162" s="102">
        <f t="shared" si="533"/>
        <v>0</v>
      </c>
      <c r="IH162" s="102" t="e">
        <f t="shared" si="534"/>
        <v>#VALUE!</v>
      </c>
      <c r="II162" s="145"/>
      <c r="IJ162" s="929" t="str">
        <f t="shared" si="535"/>
        <v>NA</v>
      </c>
      <c r="IK162" s="930" t="str">
        <f t="shared" si="536"/>
        <v>NA</v>
      </c>
      <c r="IM162" s="973"/>
      <c r="IN162" s="973"/>
      <c r="IP162" s="929">
        <f t="shared" si="553"/>
        <v>1.4862553787339703</v>
      </c>
      <c r="IQ162" s="929">
        <f t="shared" si="553"/>
        <v>0.70869798161215414</v>
      </c>
      <c r="IR162" s="929">
        <f t="shared" si="553"/>
        <v>-0.12564884256603259</v>
      </c>
      <c r="IS162" s="929">
        <f t="shared" si="553"/>
        <v>1.7628981278383637E-3</v>
      </c>
      <c r="IT162" s="929">
        <f t="shared" si="553"/>
        <v>-9.1902109190525771E-2</v>
      </c>
      <c r="IU162" s="929">
        <f t="shared" si="553"/>
        <v>-0.20567318545080893</v>
      </c>
      <c r="IV162" s="929">
        <f t="shared" si="554"/>
        <v>-1</v>
      </c>
      <c r="IX162" s="102">
        <f t="shared" si="538"/>
        <v>1875.4146641500004</v>
      </c>
      <c r="IY162" s="102">
        <f t="shared" si="538"/>
        <v>2223.365179039999</v>
      </c>
      <c r="IZ162" s="102">
        <f t="shared" si="538"/>
        <v>-673.55552461999923</v>
      </c>
      <c r="JA162" s="102">
        <f t="shared" si="538"/>
        <v>8.2628147499999614</v>
      </c>
      <c r="JB162" s="102">
        <f t="shared" si="538"/>
        <v>-431.51035417000003</v>
      </c>
      <c r="JC162" s="102">
        <f t="shared" si="538"/>
        <v>-876.95252687999982</v>
      </c>
      <c r="JD162" s="102">
        <f t="shared" si="539"/>
        <v>-3386.8630257300001</v>
      </c>
      <c r="JF162" s="973"/>
      <c r="JG162" s="973"/>
      <c r="JH162" s="973"/>
      <c r="JI162" s="973"/>
      <c r="JJ162" s="973"/>
      <c r="JK162" s="973"/>
      <c r="JL162" s="973"/>
      <c r="JM162" s="973"/>
      <c r="JO162" s="102">
        <f t="shared" si="540"/>
        <v>654.98900787000002</v>
      </c>
      <c r="JP162" s="102">
        <f t="shared" si="540"/>
        <v>1261.8387734599999</v>
      </c>
      <c r="JQ162" s="102">
        <f t="shared" si="540"/>
        <v>3137.2534376100002</v>
      </c>
      <c r="JR162" s="102">
        <f t="shared" si="540"/>
        <v>5360.6186166499992</v>
      </c>
      <c r="JS162" s="102">
        <f t="shared" si="540"/>
        <v>4687.06309203</v>
      </c>
      <c r="JT162" s="102">
        <f t="shared" si="541"/>
        <v>4695.32590678</v>
      </c>
      <c r="JU162" s="102">
        <f t="shared" si="542"/>
        <v>4263.8155526099999</v>
      </c>
      <c r="JV162" s="102">
        <f t="shared" si="543"/>
        <v>3386.8630257300001</v>
      </c>
      <c r="JW162" s="102">
        <f t="shared" si="543"/>
        <v>3209.0973828699998</v>
      </c>
      <c r="JX162" s="102" t="e">
        <f t="shared" si="544"/>
        <v>#VALUE!</v>
      </c>
      <c r="JY162" s="102">
        <f t="shared" si="545"/>
        <v>0</v>
      </c>
      <c r="KB162" s="32">
        <f t="shared" si="546"/>
        <v>1.4862553787339703</v>
      </c>
      <c r="KC162" s="32">
        <f t="shared" si="546"/>
        <v>0.70869798161215414</v>
      </c>
      <c r="KD162" s="32">
        <f t="shared" si="546"/>
        <v>-0.12564884256603259</v>
      </c>
      <c r="KE162" s="32">
        <f t="shared" si="546"/>
        <v>1.7628981278383637E-3</v>
      </c>
      <c r="KF162" s="32">
        <f t="shared" si="546"/>
        <v>-9.1902109190525771E-2</v>
      </c>
      <c r="KG162" s="32">
        <f t="shared" si="546"/>
        <v>-0.20567318545080893</v>
      </c>
      <c r="KH162" s="32">
        <f t="shared" si="431"/>
        <v>-1</v>
      </c>
      <c r="KJ162" s="102">
        <f t="shared" si="547"/>
        <v>1875.4146641500004</v>
      </c>
      <c r="KK162" s="102">
        <f t="shared" si="547"/>
        <v>2223.365179039999</v>
      </c>
      <c r="KL162" s="102">
        <f t="shared" si="547"/>
        <v>-673.55552461999923</v>
      </c>
      <c r="KM162" s="102">
        <f t="shared" si="547"/>
        <v>8.2628147499999614</v>
      </c>
      <c r="KN162" s="102">
        <f t="shared" si="547"/>
        <v>-431.51035417000003</v>
      </c>
      <c r="KO162" s="102">
        <f t="shared" si="547"/>
        <v>-876.95252687999982</v>
      </c>
      <c r="KP162" s="102">
        <f t="shared" si="433"/>
        <v>-3386.8630257300001</v>
      </c>
      <c r="KR162" s="973"/>
      <c r="KS162" s="973"/>
      <c r="KT162" s="973"/>
      <c r="KU162" s="973"/>
      <c r="KV162" s="973"/>
      <c r="KW162" s="973"/>
      <c r="KX162" s="973"/>
      <c r="KY162" s="973"/>
      <c r="KZ162" s="973"/>
    </row>
    <row r="163" spans="1:312" outlineLevel="2">
      <c r="A163" s="884">
        <v>2120</v>
      </c>
      <c r="B163" s="70" t="s">
        <v>726</v>
      </c>
      <c r="C163" s="17" t="s">
        <v>727</v>
      </c>
      <c r="D163" s="31" t="s">
        <v>59</v>
      </c>
      <c r="E163" s="102">
        <v>6.5157030899999997</v>
      </c>
      <c r="F163" s="102">
        <v>4.3836439199999999</v>
      </c>
      <c r="G163" s="102">
        <v>2.2119848900000001</v>
      </c>
      <c r="H163" s="102">
        <v>0</v>
      </c>
      <c r="I163" s="102">
        <v>0</v>
      </c>
      <c r="J163" s="102">
        <v>0</v>
      </c>
      <c r="K163" s="102">
        <v>0</v>
      </c>
      <c r="L163" s="102">
        <v>0</v>
      </c>
      <c r="M163" s="102">
        <v>0</v>
      </c>
      <c r="N163" s="102">
        <v>0</v>
      </c>
      <c r="O163" s="102">
        <v>0</v>
      </c>
      <c r="P163" s="102">
        <v>0</v>
      </c>
      <c r="Q163" s="102">
        <v>624.45495800000003</v>
      </c>
      <c r="R163" s="102">
        <v>608.427278</v>
      </c>
      <c r="S163" s="102">
        <v>592.22574099999997</v>
      </c>
      <c r="T163" s="102">
        <v>547.69512899999995</v>
      </c>
      <c r="U163" s="102">
        <v>529.05069600000002</v>
      </c>
      <c r="V163" s="102">
        <v>510.247567</v>
      </c>
      <c r="W163" s="102">
        <v>491.24391300000002</v>
      </c>
      <c r="X163" s="102">
        <v>472.10818600000005</v>
      </c>
      <c r="Y163" s="102">
        <v>452.831097</v>
      </c>
      <c r="Z163" s="102">
        <v>433.42157299999997</v>
      </c>
      <c r="AA163" s="102">
        <v>413.86864800000001</v>
      </c>
      <c r="AB163" s="102">
        <v>394.16889500000002</v>
      </c>
      <c r="AC163" s="102">
        <v>374.32067900000004</v>
      </c>
      <c r="AD163" s="102">
        <v>354.32034899999996</v>
      </c>
      <c r="AE163" s="102">
        <v>334.16687899999999</v>
      </c>
      <c r="AF163" s="102">
        <v>313.84361100000001</v>
      </c>
      <c r="AG163" s="102">
        <v>291.95298100000002</v>
      </c>
      <c r="AH163" s="102">
        <v>275.912013</v>
      </c>
      <c r="AI163" s="102">
        <v>259.69163500000002</v>
      </c>
      <c r="AJ163" s="102">
        <v>745.86562700000002</v>
      </c>
      <c r="AK163" s="102">
        <v>704.63638700000001</v>
      </c>
      <c r="AL163" s="102">
        <v>675.58314399999995</v>
      </c>
      <c r="AM163" s="102">
        <v>89.660336999999998</v>
      </c>
      <c r="AN163" s="102">
        <v>0</v>
      </c>
      <c r="AO163" s="102">
        <v>0</v>
      </c>
      <c r="AP163" s="145">
        <v>0</v>
      </c>
      <c r="AQ163" s="220">
        <v>0</v>
      </c>
      <c r="AR163" s="220">
        <v>0</v>
      </c>
      <c r="AS163" s="102">
        <v>86.942087999999998</v>
      </c>
      <c r="AT163" s="102">
        <v>3462.7477779999999</v>
      </c>
      <c r="AU163" s="102">
        <v>3432.564316</v>
      </c>
      <c r="AV163" s="102">
        <v>3430.3526849999998</v>
      </c>
      <c r="AW163" s="102">
        <v>3428.1352659999998</v>
      </c>
      <c r="AX163" s="102">
        <v>3425.8947400000002</v>
      </c>
      <c r="AY163" s="102">
        <v>3423.6421019999998</v>
      </c>
      <c r="AZ163" s="102">
        <v>3421.3834969999998</v>
      </c>
      <c r="BA163" s="102">
        <v>3419.092987</v>
      </c>
      <c r="BB163" s="102">
        <v>3416.8132820000001</v>
      </c>
      <c r="BC163" s="102">
        <v>3414.5161600000001</v>
      </c>
      <c r="BD163" s="102">
        <v>3412.1968000000002</v>
      </c>
      <c r="BE163" s="102">
        <v>3409.8839520000001</v>
      </c>
      <c r="BF163" s="102">
        <v>3407.5711040000001</v>
      </c>
      <c r="BG163" s="102">
        <v>3405.2189370000001</v>
      </c>
      <c r="BH163" s="102">
        <v>3402.8581840000002</v>
      </c>
      <c r="BI163" s="102">
        <v>3350.0170645600001</v>
      </c>
      <c r="BJ163" s="102">
        <v>3350.0170645600001</v>
      </c>
      <c r="BK163" s="102">
        <v>3350.0170645600001</v>
      </c>
      <c r="BL163" s="102">
        <v>3350.0170645600001</v>
      </c>
      <c r="BM163" s="145">
        <v>3350.0170645600001</v>
      </c>
      <c r="BN163" s="102">
        <v>3350.0170645600001</v>
      </c>
      <c r="BO163" s="102">
        <v>3350.0170645600001</v>
      </c>
      <c r="BP163" s="102">
        <v>3350.0170645600001</v>
      </c>
      <c r="BQ163" s="102">
        <v>3350.0170645600001</v>
      </c>
      <c r="BR163" s="102">
        <v>3350.0170645600001</v>
      </c>
      <c r="BS163" s="102">
        <v>3350.0170645600001</v>
      </c>
      <c r="BT163" s="102">
        <v>3350.0170645600001</v>
      </c>
      <c r="BU163" s="102">
        <v>3350.0170645600001</v>
      </c>
      <c r="BV163" s="102">
        <v>3353.1302545600001</v>
      </c>
      <c r="BW163" s="102">
        <v>3350.0170645600001</v>
      </c>
      <c r="BX163" s="102">
        <v>3350.0170645600001</v>
      </c>
      <c r="BY163" s="102">
        <v>3350.0170645600001</v>
      </c>
      <c r="BZ163" s="102">
        <v>3350.0170645600001</v>
      </c>
      <c r="CA163" s="102">
        <v>3350.0170645600001</v>
      </c>
      <c r="CB163" s="102">
        <v>3350.0170645600001</v>
      </c>
      <c r="CC163" s="102">
        <v>3350.0170645600001</v>
      </c>
      <c r="CD163" s="102">
        <v>3350.0170645600001</v>
      </c>
      <c r="CE163" s="102">
        <v>3350.0170645600001</v>
      </c>
      <c r="CF163" s="102">
        <v>3350.0170645600001</v>
      </c>
      <c r="CG163" s="102">
        <v>3350.0170645600001</v>
      </c>
      <c r="CH163" s="102">
        <v>3350.0170645600001</v>
      </c>
      <c r="CI163" s="102">
        <v>3350.0170645600001</v>
      </c>
      <c r="CJ163" s="102">
        <v>3350</v>
      </c>
      <c r="CK163" s="102">
        <v>3350</v>
      </c>
      <c r="CL163" s="102">
        <v>3350</v>
      </c>
      <c r="CM163" s="102">
        <v>3350</v>
      </c>
      <c r="CN163" s="102">
        <v>3350</v>
      </c>
      <c r="CO163" s="102">
        <v>3350</v>
      </c>
      <c r="CP163" s="102">
        <v>3350</v>
      </c>
      <c r="CQ163" s="102">
        <v>3350</v>
      </c>
      <c r="CR163" s="102">
        <v>3350</v>
      </c>
      <c r="CS163" s="102">
        <v>3350</v>
      </c>
      <c r="CT163" s="102">
        <v>3350</v>
      </c>
      <c r="CU163" s="102">
        <v>3350</v>
      </c>
      <c r="CV163" s="102">
        <v>3350</v>
      </c>
      <c r="CW163" s="102">
        <v>3350</v>
      </c>
      <c r="CX163" s="102">
        <v>3350</v>
      </c>
      <c r="CY163" s="102">
        <v>3350</v>
      </c>
      <c r="CZ163" s="102">
        <v>3350</v>
      </c>
      <c r="DA163" s="102">
        <v>3350</v>
      </c>
      <c r="DB163" s="102">
        <v>3350</v>
      </c>
      <c r="DC163" s="102">
        <v>3350</v>
      </c>
      <c r="DD163" s="102">
        <v>3350</v>
      </c>
      <c r="DE163" s="102">
        <v>3350</v>
      </c>
      <c r="DF163" s="102">
        <v>3350</v>
      </c>
      <c r="DG163" s="102">
        <v>3350</v>
      </c>
      <c r="DH163" s="102">
        <v>3350</v>
      </c>
      <c r="DI163" s="77"/>
      <c r="DJ163" s="102"/>
      <c r="DK163" s="102"/>
      <c r="DL163" s="102"/>
      <c r="DM163" s="102"/>
      <c r="DN163" s="102"/>
      <c r="DO163" s="102"/>
      <c r="DP163" s="102"/>
      <c r="DQ163" s="102"/>
      <c r="DR163" s="102"/>
      <c r="DS163" s="102"/>
      <c r="DT163" s="102"/>
      <c r="DU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102"/>
      <c r="EY163" s="102"/>
      <c r="EZ163" s="102"/>
      <c r="FA163" s="102"/>
      <c r="FB163" s="102"/>
      <c r="FC163" s="102"/>
      <c r="FD163" s="102"/>
      <c r="FE163" s="102"/>
      <c r="FF163" s="102"/>
      <c r="FG163" s="102" t="e">
        <v>#VALUE!</v>
      </c>
      <c r="FH163" s="102" t="e">
        <v>#VALUE!</v>
      </c>
      <c r="FI163" s="102" t="e">
        <v>#VALUE!</v>
      </c>
      <c r="FJ163" s="102" t="e">
        <v>#VALUE!</v>
      </c>
      <c r="FK163" s="102" t="e">
        <v>#VALUE!</v>
      </c>
      <c r="FL163" s="102" t="e">
        <v>#VALUE!</v>
      </c>
      <c r="FM163" s="102" t="e">
        <v>#VALUE!</v>
      </c>
      <c r="FN163" s="102" t="e">
        <v>#VALUE!</v>
      </c>
      <c r="FO163" s="102" t="e">
        <v>#VALUE!</v>
      </c>
      <c r="FP163" s="102" t="e">
        <v>#VALUE!</v>
      </c>
      <c r="FQ163" s="102" t="e">
        <v>#VALUE!</v>
      </c>
      <c r="FR163" s="102" t="e">
        <v>#VALUE!</v>
      </c>
      <c r="FS163" s="102" t="e">
        <v>#VALUE!</v>
      </c>
      <c r="FT163" s="102" t="e">
        <v>#VALUE!</v>
      </c>
      <c r="FU163" s="102" t="e">
        <v>#VALUE!</v>
      </c>
      <c r="FV163" s="102" t="e">
        <v>#VALUE!</v>
      </c>
      <c r="FW163" s="102" t="e">
        <v>#VALUE!</v>
      </c>
      <c r="FX163" s="102" t="e">
        <v>#VALUE!</v>
      </c>
      <c r="FY163" s="102" t="e">
        <v>#VALUE!</v>
      </c>
      <c r="FZ163" s="102" t="e">
        <v>#VALUE!</v>
      </c>
      <c r="GA163" s="102" t="e">
        <v>#VALUE!</v>
      </c>
      <c r="GB163" s="102" t="e">
        <v>#VALUE!</v>
      </c>
      <c r="GC163" s="102" t="e">
        <v>#VALUE!</v>
      </c>
      <c r="GD163" s="102" t="e">
        <v>#VALUE!</v>
      </c>
      <c r="GF163" s="102">
        <f t="shared" si="524"/>
        <v>0</v>
      </c>
      <c r="GG163" s="102">
        <f t="shared" si="524"/>
        <v>394.16889500000002</v>
      </c>
      <c r="GH163" s="102">
        <f t="shared" si="524"/>
        <v>0</v>
      </c>
      <c r="GI163" s="102">
        <f t="shared" si="524"/>
        <v>3421.3834969999998</v>
      </c>
      <c r="GJ163" s="102">
        <f t="shared" si="434"/>
        <v>3350.0170645600001</v>
      </c>
      <c r="GK163" s="102">
        <f t="shared" si="407"/>
        <v>3350.0170645600001</v>
      </c>
      <c r="GL163" s="102">
        <f t="shared" si="435"/>
        <v>3350</v>
      </c>
      <c r="GM163" s="102">
        <f t="shared" si="408"/>
        <v>3350</v>
      </c>
      <c r="GN163" s="102" t="e">
        <f t="shared" si="409"/>
        <v>#VALUE!</v>
      </c>
      <c r="GO163" s="102">
        <v>3350</v>
      </c>
      <c r="GQ163" s="929">
        <f t="shared" si="525"/>
        <v>-1</v>
      </c>
      <c r="GR163" s="929" t="str">
        <f t="shared" si="525"/>
        <v/>
      </c>
      <c r="GS163" s="929">
        <f t="shared" si="525"/>
        <v>-2.0858939812674171E-2</v>
      </c>
      <c r="GT163" s="929">
        <f t="shared" si="525"/>
        <v>0</v>
      </c>
      <c r="GU163" s="929">
        <f t="shared" si="525"/>
        <v>-5.0938725598692614E-6</v>
      </c>
      <c r="GV163" s="929">
        <f t="shared" si="525"/>
        <v>0</v>
      </c>
      <c r="GW163" s="929" t="str">
        <f t="shared" si="499"/>
        <v/>
      </c>
      <c r="GX163" s="929" t="str">
        <f t="shared" si="499"/>
        <v/>
      </c>
      <c r="GY163" s="929">
        <f t="shared" si="492"/>
        <v>0</v>
      </c>
      <c r="HA163" s="102">
        <f t="shared" si="526"/>
        <v>-394.16889500000002</v>
      </c>
      <c r="HB163" s="102">
        <f t="shared" si="526"/>
        <v>3421.3834969999998</v>
      </c>
      <c r="HC163" s="102">
        <f t="shared" si="526"/>
        <v>-71.366432439999699</v>
      </c>
      <c r="HD163" s="102">
        <f t="shared" si="500"/>
        <v>0</v>
      </c>
      <c r="HE163" s="102">
        <f t="shared" si="500"/>
        <v>-1.7064560000108031E-2</v>
      </c>
      <c r="HF163" s="102">
        <f t="shared" si="500"/>
        <v>0</v>
      </c>
      <c r="HG163" s="102" t="e">
        <f t="shared" si="500"/>
        <v>#VALUE!</v>
      </c>
      <c r="HH163" s="102" t="e">
        <f t="shared" si="500"/>
        <v>#VALUE!</v>
      </c>
      <c r="HI163" s="102">
        <f t="shared" si="493"/>
        <v>0</v>
      </c>
      <c r="HK163" s="973"/>
      <c r="HL163" s="973"/>
      <c r="HM163" s="973"/>
      <c r="HN163" s="973"/>
      <c r="HO163" s="973"/>
      <c r="HP163" s="973"/>
      <c r="HQ163" s="973"/>
      <c r="HR163" s="973"/>
      <c r="HS163" s="973"/>
      <c r="HU163" s="102">
        <f t="shared" si="527"/>
        <v>0</v>
      </c>
      <c r="HV163" s="102">
        <f t="shared" si="527"/>
        <v>510.247567</v>
      </c>
      <c r="HW163" s="102">
        <f t="shared" si="527"/>
        <v>275.912013</v>
      </c>
      <c r="HX163" s="102">
        <f t="shared" si="527"/>
        <v>3462.7477779999999</v>
      </c>
      <c r="HY163" s="102">
        <f t="shared" si="528"/>
        <v>3407.5711040000001</v>
      </c>
      <c r="HZ163" s="102">
        <f t="shared" si="528"/>
        <v>3350.0170645600001</v>
      </c>
      <c r="IA163" s="102">
        <f t="shared" si="529"/>
        <v>3350.0170645600001</v>
      </c>
      <c r="IB163" s="102">
        <f t="shared" si="530"/>
        <v>3350</v>
      </c>
      <c r="IC163" s="102">
        <f t="shared" si="531"/>
        <v>3350</v>
      </c>
      <c r="ID163" s="102" t="e">
        <f t="shared" si="417"/>
        <v>#VALUE!</v>
      </c>
      <c r="IE163" s="102">
        <f t="shared" si="532"/>
        <v>0</v>
      </c>
      <c r="IG163" s="102">
        <f t="shared" si="533"/>
        <v>0</v>
      </c>
      <c r="IH163" s="102" t="e">
        <f t="shared" si="534"/>
        <v>#VALUE!</v>
      </c>
      <c r="II163" s="145"/>
      <c r="IJ163" s="929" t="str">
        <f t="shared" si="535"/>
        <v>NA</v>
      </c>
      <c r="IK163" s="930" t="str">
        <f t="shared" si="536"/>
        <v>NA</v>
      </c>
      <c r="IM163" s="973"/>
      <c r="IN163" s="973"/>
      <c r="IP163" s="929">
        <f t="shared" si="553"/>
        <v>-0.45925854262819055</v>
      </c>
      <c r="IQ163" s="929">
        <f t="shared" si="553"/>
        <v>11.550188519700299</v>
      </c>
      <c r="IR163" s="929">
        <f t="shared" si="553"/>
        <v>-1.5934361246451645E-2</v>
      </c>
      <c r="IS163" s="929">
        <f t="shared" si="553"/>
        <v>-1.6890047979465472E-2</v>
      </c>
      <c r="IT163" s="929">
        <f t="shared" si="553"/>
        <v>0</v>
      </c>
      <c r="IU163" s="929">
        <f t="shared" si="553"/>
        <v>-5.0938725598692614E-6</v>
      </c>
      <c r="IV163" s="929">
        <f t="shared" si="554"/>
        <v>-1</v>
      </c>
      <c r="IX163" s="102">
        <f t="shared" si="538"/>
        <v>-234.335554</v>
      </c>
      <c r="IY163" s="102">
        <f t="shared" si="538"/>
        <v>3186.8357649999998</v>
      </c>
      <c r="IZ163" s="102">
        <f t="shared" si="538"/>
        <v>-55.176673999999821</v>
      </c>
      <c r="JA163" s="102">
        <f t="shared" si="538"/>
        <v>-57.554039439999997</v>
      </c>
      <c r="JB163" s="102">
        <f t="shared" si="538"/>
        <v>0</v>
      </c>
      <c r="JC163" s="102">
        <f t="shared" si="538"/>
        <v>-1.7064560000108031E-2</v>
      </c>
      <c r="JD163" s="102">
        <f t="shared" si="539"/>
        <v>-3350</v>
      </c>
      <c r="JF163" s="973"/>
      <c r="JG163" s="973"/>
      <c r="JH163" s="973"/>
      <c r="JI163" s="973"/>
      <c r="JJ163" s="973"/>
      <c r="JK163" s="973"/>
      <c r="JL163" s="973"/>
      <c r="JM163" s="973"/>
      <c r="JO163" s="102">
        <f t="shared" si="540"/>
        <v>0</v>
      </c>
      <c r="JP163" s="102">
        <f t="shared" si="540"/>
        <v>510.247567</v>
      </c>
      <c r="JQ163" s="102">
        <f t="shared" si="540"/>
        <v>275.912013</v>
      </c>
      <c r="JR163" s="102">
        <f t="shared" si="540"/>
        <v>3462.7477779999999</v>
      </c>
      <c r="JS163" s="102">
        <f t="shared" si="540"/>
        <v>3407.5711040000001</v>
      </c>
      <c r="JT163" s="102">
        <f t="shared" si="541"/>
        <v>3350.0170645600001</v>
      </c>
      <c r="JU163" s="102">
        <f t="shared" si="542"/>
        <v>3350.0170645600001</v>
      </c>
      <c r="JV163" s="102">
        <f t="shared" si="543"/>
        <v>3350</v>
      </c>
      <c r="JW163" s="102">
        <f t="shared" si="543"/>
        <v>3350</v>
      </c>
      <c r="JX163" s="102" t="e">
        <f t="shared" si="544"/>
        <v>#VALUE!</v>
      </c>
      <c r="JY163" s="102">
        <f t="shared" si="545"/>
        <v>0</v>
      </c>
      <c r="KB163" s="32">
        <f t="shared" si="546"/>
        <v>-0.45925854262819055</v>
      </c>
      <c r="KC163" s="32">
        <f t="shared" si="546"/>
        <v>11.550188519700299</v>
      </c>
      <c r="KD163" s="32">
        <f t="shared" si="546"/>
        <v>-1.5934361246451645E-2</v>
      </c>
      <c r="KE163" s="32">
        <f t="shared" si="546"/>
        <v>-1.6890047979465472E-2</v>
      </c>
      <c r="KF163" s="32">
        <f t="shared" si="546"/>
        <v>0</v>
      </c>
      <c r="KG163" s="32">
        <f t="shared" si="546"/>
        <v>-5.0938725598692614E-6</v>
      </c>
      <c r="KH163" s="32">
        <f t="shared" si="431"/>
        <v>-1</v>
      </c>
      <c r="KJ163" s="102">
        <f t="shared" si="547"/>
        <v>-234.335554</v>
      </c>
      <c r="KK163" s="102">
        <f t="shared" si="547"/>
        <v>3186.8357649999998</v>
      </c>
      <c r="KL163" s="102">
        <f t="shared" si="547"/>
        <v>-55.176673999999821</v>
      </c>
      <c r="KM163" s="102">
        <f t="shared" si="547"/>
        <v>-57.554039439999997</v>
      </c>
      <c r="KN163" s="102">
        <f t="shared" si="547"/>
        <v>0</v>
      </c>
      <c r="KO163" s="102">
        <f t="shared" si="547"/>
        <v>-1.7064560000108031E-2</v>
      </c>
      <c r="KP163" s="102">
        <f t="shared" si="433"/>
        <v>-3350</v>
      </c>
      <c r="KR163" s="973"/>
      <c r="KS163" s="973"/>
      <c r="KT163" s="973"/>
      <c r="KU163" s="973"/>
      <c r="KV163" s="973"/>
      <c r="KW163" s="973"/>
      <c r="KX163" s="973"/>
      <c r="KY163" s="973"/>
      <c r="KZ163" s="973"/>
    </row>
    <row r="164" spans="1:312" outlineLevel="2">
      <c r="A164" s="884">
        <v>2195</v>
      </c>
      <c r="B164" s="70"/>
      <c r="C164" s="17" t="s">
        <v>728</v>
      </c>
      <c r="D164" s="31" t="s">
        <v>59</v>
      </c>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45"/>
      <c r="AQ164" s="220"/>
      <c r="AR164" s="220"/>
      <c r="AS164" s="102"/>
      <c r="AT164" s="102"/>
      <c r="AU164" s="102"/>
      <c r="AV164" s="102"/>
      <c r="AW164" s="102"/>
      <c r="AX164" s="102"/>
      <c r="AY164" s="102"/>
      <c r="AZ164" s="102"/>
      <c r="BA164" s="102">
        <v>0</v>
      </c>
      <c r="BB164" s="102">
        <v>0</v>
      </c>
      <c r="BC164" s="102">
        <v>0</v>
      </c>
      <c r="BD164" s="102">
        <v>0</v>
      </c>
      <c r="BE164" s="102">
        <v>0</v>
      </c>
      <c r="BF164" s="102">
        <v>0</v>
      </c>
      <c r="BG164" s="102">
        <v>360</v>
      </c>
      <c r="BH164" s="102">
        <v>360</v>
      </c>
      <c r="BI164" s="102">
        <v>360</v>
      </c>
      <c r="BJ164" s="102">
        <v>360</v>
      </c>
      <c r="BK164" s="102">
        <v>360</v>
      </c>
      <c r="BL164" s="102">
        <v>360</v>
      </c>
      <c r="BM164" s="145">
        <v>360</v>
      </c>
      <c r="BN164" s="102">
        <v>360</v>
      </c>
      <c r="BO164" s="102">
        <v>360</v>
      </c>
      <c r="BP164" s="102">
        <v>360</v>
      </c>
      <c r="BQ164" s="102">
        <v>360</v>
      </c>
      <c r="BR164" s="102">
        <v>360</v>
      </c>
      <c r="BS164" s="102">
        <v>360</v>
      </c>
      <c r="BT164" s="102">
        <v>360</v>
      </c>
      <c r="BU164" s="102">
        <v>360</v>
      </c>
      <c r="BV164" s="102">
        <v>360</v>
      </c>
      <c r="BW164" s="102">
        <v>360</v>
      </c>
      <c r="BX164" s="102">
        <v>360</v>
      </c>
      <c r="BY164" s="102">
        <v>360</v>
      </c>
      <c r="BZ164" s="102">
        <v>360</v>
      </c>
      <c r="CA164" s="102">
        <v>360</v>
      </c>
      <c r="CB164" s="102">
        <v>360</v>
      </c>
      <c r="CC164" s="102">
        <v>360</v>
      </c>
      <c r="CD164" s="102">
        <v>360</v>
      </c>
      <c r="CE164" s="102">
        <v>0</v>
      </c>
      <c r="CF164" s="102">
        <v>0</v>
      </c>
      <c r="CG164" s="102">
        <v>0</v>
      </c>
      <c r="CH164" s="102">
        <v>0</v>
      </c>
      <c r="CI164" s="102">
        <v>0</v>
      </c>
      <c r="CJ164" s="102">
        <v>0</v>
      </c>
      <c r="CK164" s="102">
        <v>0</v>
      </c>
      <c r="CL164" s="102">
        <v>0</v>
      </c>
      <c r="CM164" s="102">
        <v>0</v>
      </c>
      <c r="CN164" s="102">
        <v>0</v>
      </c>
      <c r="CO164" s="102">
        <v>0</v>
      </c>
      <c r="CP164" s="102">
        <v>0</v>
      </c>
      <c r="CQ164" s="102">
        <v>0</v>
      </c>
      <c r="CR164" s="102">
        <v>0</v>
      </c>
      <c r="CS164" s="102">
        <v>0</v>
      </c>
      <c r="CT164" s="102">
        <v>0</v>
      </c>
      <c r="CU164" s="102">
        <v>0</v>
      </c>
      <c r="CV164" s="102">
        <v>0</v>
      </c>
      <c r="CW164" s="102">
        <v>0</v>
      </c>
      <c r="CX164" s="102">
        <v>0</v>
      </c>
      <c r="CY164" s="102">
        <v>0</v>
      </c>
      <c r="CZ164" s="102">
        <v>0</v>
      </c>
      <c r="DA164" s="102">
        <v>0</v>
      </c>
      <c r="DB164" s="102">
        <v>0</v>
      </c>
      <c r="DC164" s="102">
        <v>0</v>
      </c>
      <c r="DD164" s="102">
        <v>0</v>
      </c>
      <c r="DE164" s="102">
        <v>0</v>
      </c>
      <c r="DF164" s="102">
        <v>0</v>
      </c>
      <c r="DG164" s="102">
        <v>0</v>
      </c>
      <c r="DH164" s="102">
        <v>0</v>
      </c>
      <c r="DI164" s="77"/>
      <c r="DJ164" s="102"/>
      <c r="DK164" s="102"/>
      <c r="DL164" s="102"/>
      <c r="DM164" s="102"/>
      <c r="DN164" s="102"/>
      <c r="DO164" s="102"/>
      <c r="DP164" s="102"/>
      <c r="DQ164" s="102"/>
      <c r="DR164" s="102"/>
      <c r="DS164" s="102"/>
      <c r="DT164" s="102"/>
      <c r="DU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102"/>
      <c r="EY164" s="102"/>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F164" s="102"/>
      <c r="GG164" s="102"/>
      <c r="GH164" s="102"/>
      <c r="GI164" s="102"/>
      <c r="GJ164" s="102">
        <f t="shared" si="434"/>
        <v>360</v>
      </c>
      <c r="GK164" s="102">
        <f t="shared" si="407"/>
        <v>360</v>
      </c>
      <c r="GL164" s="102">
        <f t="shared" si="435"/>
        <v>0</v>
      </c>
      <c r="GM164" s="102">
        <f t="shared" si="408"/>
        <v>0</v>
      </c>
      <c r="GN164" s="102">
        <f t="shared" si="409"/>
        <v>0</v>
      </c>
      <c r="GO164" s="102">
        <v>0</v>
      </c>
      <c r="GQ164" s="32"/>
      <c r="GR164" s="32"/>
      <c r="GS164" s="32"/>
      <c r="GT164" s="929">
        <f t="shared" si="525"/>
        <v>0</v>
      </c>
      <c r="GU164" s="929">
        <f t="shared" si="525"/>
        <v>-1</v>
      </c>
      <c r="GV164" s="929" t="str">
        <f t="shared" si="525"/>
        <v/>
      </c>
      <c r="GW164" s="929" t="str">
        <f t="shared" si="499"/>
        <v/>
      </c>
      <c r="GX164" s="32"/>
      <c r="GY164" s="929" t="str">
        <f t="shared" si="492"/>
        <v/>
      </c>
      <c r="HA164" s="102"/>
      <c r="HB164" s="102"/>
      <c r="HC164" s="102"/>
      <c r="HD164" s="102">
        <f t="shared" si="500"/>
        <v>0</v>
      </c>
      <c r="HE164" s="102">
        <f t="shared" si="500"/>
        <v>-360</v>
      </c>
      <c r="HF164" s="102">
        <f t="shared" si="500"/>
        <v>0</v>
      </c>
      <c r="HG164" s="102">
        <f t="shared" si="500"/>
        <v>0</v>
      </c>
      <c r="HH164" s="102"/>
      <c r="HI164" s="102">
        <f t="shared" si="493"/>
        <v>0</v>
      </c>
      <c r="HK164" s="973"/>
      <c r="HL164" s="973"/>
      <c r="HM164" s="973"/>
      <c r="HN164" s="973"/>
      <c r="HO164" s="973"/>
      <c r="HP164" s="973"/>
      <c r="HQ164" s="973"/>
      <c r="HR164" s="973"/>
      <c r="HS164" s="973"/>
      <c r="HU164" s="102"/>
      <c r="HV164" s="102"/>
      <c r="HW164" s="102"/>
      <c r="HX164" s="102"/>
      <c r="HY164" s="102">
        <f t="shared" si="528"/>
        <v>0</v>
      </c>
      <c r="HZ164" s="102">
        <f t="shared" si="528"/>
        <v>360</v>
      </c>
      <c r="IA164" s="102">
        <f t="shared" si="529"/>
        <v>360</v>
      </c>
      <c r="IB164" s="102">
        <f t="shared" si="530"/>
        <v>0</v>
      </c>
      <c r="IC164" s="102">
        <f t="shared" si="531"/>
        <v>0</v>
      </c>
      <c r="ID164" s="102">
        <f t="shared" si="417"/>
        <v>0</v>
      </c>
      <c r="IE164" s="102">
        <f t="shared" si="532"/>
        <v>0</v>
      </c>
      <c r="IG164" s="102">
        <f t="shared" si="533"/>
        <v>0</v>
      </c>
      <c r="IH164" s="102">
        <f t="shared" si="534"/>
        <v>0</v>
      </c>
      <c r="II164" s="145"/>
      <c r="IJ164" s="929"/>
      <c r="IK164" s="930"/>
      <c r="IM164" s="973"/>
      <c r="IN164" s="973"/>
      <c r="IP164" s="929" t="str">
        <f t="shared" si="553"/>
        <v/>
      </c>
      <c r="IQ164" s="929" t="str">
        <f t="shared" si="553"/>
        <v/>
      </c>
      <c r="IR164" s="929" t="str">
        <f t="shared" si="553"/>
        <v/>
      </c>
      <c r="IS164" s="929" t="str">
        <f t="shared" si="553"/>
        <v/>
      </c>
      <c r="IT164" s="929">
        <f t="shared" si="553"/>
        <v>0</v>
      </c>
      <c r="IU164" s="929">
        <f t="shared" si="553"/>
        <v>-1</v>
      </c>
      <c r="IV164" s="929" t="str">
        <f t="shared" si="554"/>
        <v/>
      </c>
      <c r="IX164" s="102">
        <f t="shared" si="538"/>
        <v>0</v>
      </c>
      <c r="IY164" s="102">
        <f t="shared" si="538"/>
        <v>0</v>
      </c>
      <c r="IZ164" s="102">
        <f t="shared" si="538"/>
        <v>0</v>
      </c>
      <c r="JA164" s="102">
        <f t="shared" si="538"/>
        <v>360</v>
      </c>
      <c r="JB164" s="102">
        <f t="shared" si="538"/>
        <v>0</v>
      </c>
      <c r="JC164" s="102">
        <f t="shared" si="538"/>
        <v>-360</v>
      </c>
      <c r="JD164" s="102">
        <f t="shared" si="539"/>
        <v>0</v>
      </c>
      <c r="JF164" s="973"/>
      <c r="JG164" s="973"/>
      <c r="JH164" s="973"/>
      <c r="JI164" s="973"/>
      <c r="JJ164" s="973"/>
      <c r="JK164" s="973"/>
      <c r="JL164" s="973"/>
      <c r="JM164" s="973"/>
      <c r="JO164" s="102">
        <f t="shared" si="540"/>
        <v>0</v>
      </c>
      <c r="JP164" s="102">
        <f t="shared" si="540"/>
        <v>0</v>
      </c>
      <c r="JQ164" s="102">
        <f t="shared" si="540"/>
        <v>0</v>
      </c>
      <c r="JR164" s="102">
        <f t="shared" si="540"/>
        <v>0</v>
      </c>
      <c r="JS164" s="102">
        <f t="shared" si="540"/>
        <v>0</v>
      </c>
      <c r="JT164" s="102">
        <f t="shared" si="541"/>
        <v>360</v>
      </c>
      <c r="JU164" s="102">
        <f t="shared" si="542"/>
        <v>360</v>
      </c>
      <c r="JV164" s="102">
        <f t="shared" si="543"/>
        <v>0</v>
      </c>
      <c r="JW164" s="102">
        <f t="shared" si="543"/>
        <v>0</v>
      </c>
      <c r="JX164" s="102">
        <f t="shared" si="544"/>
        <v>0</v>
      </c>
      <c r="JY164" s="102">
        <f t="shared" si="545"/>
        <v>0</v>
      </c>
      <c r="KB164" s="32" t="str">
        <f t="shared" si="546"/>
        <v xml:space="preserve"> </v>
      </c>
      <c r="KC164" s="32" t="str">
        <f t="shared" si="546"/>
        <v xml:space="preserve"> </v>
      </c>
      <c r="KD164" s="32" t="str">
        <f t="shared" si="546"/>
        <v xml:space="preserve"> </v>
      </c>
      <c r="KE164" s="32" t="str">
        <f t="shared" si="546"/>
        <v xml:space="preserve"> </v>
      </c>
      <c r="KF164" s="32">
        <f t="shared" si="546"/>
        <v>0</v>
      </c>
      <c r="KG164" s="32">
        <f t="shared" si="546"/>
        <v>-1</v>
      </c>
      <c r="KH164" s="32" t="str">
        <f t="shared" si="431"/>
        <v xml:space="preserve"> </v>
      </c>
      <c r="KJ164" s="102">
        <f t="shared" si="547"/>
        <v>0</v>
      </c>
      <c r="KK164" s="102">
        <f t="shared" si="547"/>
        <v>0</v>
      </c>
      <c r="KL164" s="102">
        <f t="shared" si="547"/>
        <v>0</v>
      </c>
      <c r="KM164" s="102">
        <f t="shared" si="547"/>
        <v>360</v>
      </c>
      <c r="KN164" s="102">
        <f t="shared" si="547"/>
        <v>0</v>
      </c>
      <c r="KO164" s="102">
        <f t="shared" si="547"/>
        <v>-360</v>
      </c>
      <c r="KP164" s="102">
        <f t="shared" si="433"/>
        <v>0</v>
      </c>
      <c r="KR164" s="973"/>
      <c r="KS164" s="973"/>
      <c r="KT164" s="973"/>
      <c r="KU164" s="973"/>
      <c r="KV164" s="973"/>
      <c r="KW164" s="973"/>
      <c r="KX164" s="973"/>
      <c r="KY164" s="973"/>
      <c r="KZ164" s="973"/>
    </row>
    <row r="165" spans="1:312" outlineLevel="1">
      <c r="A165" s="884">
        <v>22</v>
      </c>
      <c r="B165" s="70" t="s">
        <v>729</v>
      </c>
      <c r="C165" s="17" t="s">
        <v>278</v>
      </c>
      <c r="D165" s="31" t="s">
        <v>59</v>
      </c>
      <c r="E165" s="102">
        <v>446.81882611999998</v>
      </c>
      <c r="F165" s="102">
        <v>478.38283762000003</v>
      </c>
      <c r="G165" s="102">
        <v>909.55956485000002</v>
      </c>
      <c r="H165" s="102">
        <v>798.45105990999991</v>
      </c>
      <c r="I165" s="102">
        <v>655.09781757000007</v>
      </c>
      <c r="J165" s="102">
        <v>424.41571095</v>
      </c>
      <c r="K165" s="102">
        <v>624.59901160000004</v>
      </c>
      <c r="L165" s="102">
        <v>529.75619758999994</v>
      </c>
      <c r="M165" s="102">
        <v>342.46098605999998</v>
      </c>
      <c r="N165" s="102">
        <v>397.82650623000001</v>
      </c>
      <c r="O165" s="102">
        <v>241.40294219999998</v>
      </c>
      <c r="P165" s="102">
        <v>406.06706401999998</v>
      </c>
      <c r="Q165" s="102">
        <v>582.88535409999997</v>
      </c>
      <c r="R165" s="102">
        <v>351.37775866999999</v>
      </c>
      <c r="S165" s="102">
        <v>306.85436747000006</v>
      </c>
      <c r="T165" s="102">
        <v>557.82603032999998</v>
      </c>
      <c r="U165" s="102">
        <v>592.81061746</v>
      </c>
      <c r="V165" s="102">
        <v>487.11990699</v>
      </c>
      <c r="W165" s="102">
        <v>398.81099258999996</v>
      </c>
      <c r="X165" s="102">
        <v>334.00886738000003</v>
      </c>
      <c r="Y165" s="102">
        <v>264.96264062</v>
      </c>
      <c r="Z165" s="102">
        <v>240.77344244999998</v>
      </c>
      <c r="AA165" s="102">
        <v>238.12130646</v>
      </c>
      <c r="AB165" s="102">
        <v>183.33468015</v>
      </c>
      <c r="AC165" s="102">
        <v>224.71463825000001</v>
      </c>
      <c r="AD165" s="102">
        <v>348.19076526999999</v>
      </c>
      <c r="AE165" s="102">
        <v>199.83247184000001</v>
      </c>
      <c r="AF165" s="102">
        <v>328.31460808999998</v>
      </c>
      <c r="AG165" s="102">
        <v>286.53325985999999</v>
      </c>
      <c r="AH165" s="102">
        <v>231.00588163999998</v>
      </c>
      <c r="AI165" s="102">
        <v>277.32443998000002</v>
      </c>
      <c r="AJ165" s="102">
        <v>386.02493195</v>
      </c>
      <c r="AK165" s="102">
        <v>382.60139297000001</v>
      </c>
      <c r="AL165" s="102">
        <v>514.91900407000003</v>
      </c>
      <c r="AM165" s="102">
        <v>701.1626127699999</v>
      </c>
      <c r="AN165" s="102">
        <v>943.96051063000004</v>
      </c>
      <c r="AO165" s="102">
        <v>648.63107821000006</v>
      </c>
      <c r="AP165" s="145">
        <v>2467.4295416300001</v>
      </c>
      <c r="AQ165" s="220">
        <v>864.49932537999996</v>
      </c>
      <c r="AR165" s="220">
        <v>1167.3455008699998</v>
      </c>
      <c r="AS165" s="102">
        <v>897.43533330999992</v>
      </c>
      <c r="AT165" s="102">
        <v>1179.3235281300001</v>
      </c>
      <c r="AU165" s="102">
        <v>1086.87267535</v>
      </c>
      <c r="AV165" s="102">
        <v>1356.38304584</v>
      </c>
      <c r="AW165" s="102">
        <v>1339.64962674</v>
      </c>
      <c r="AX165" s="102">
        <v>1233.4946373800001</v>
      </c>
      <c r="AY165" s="102">
        <v>1397.5543834699999</v>
      </c>
      <c r="AZ165" s="102">
        <v>948.23800000000006</v>
      </c>
      <c r="BA165" s="102">
        <v>923.15703704999999</v>
      </c>
      <c r="BB165" s="102">
        <v>1062.94420371</v>
      </c>
      <c r="BC165" s="102">
        <v>860.14176454999995</v>
      </c>
      <c r="BD165" s="102">
        <v>595.11765130999993</v>
      </c>
      <c r="BE165" s="102">
        <v>479.95171513999998</v>
      </c>
      <c r="BF165" s="102">
        <v>687.52329745000009</v>
      </c>
      <c r="BG165" s="102">
        <v>726.77019715999995</v>
      </c>
      <c r="BH165" s="102">
        <v>568.00534147000008</v>
      </c>
      <c r="BI165" s="102">
        <v>647.79033258000004</v>
      </c>
      <c r="BJ165" s="102">
        <v>664.5754226900001</v>
      </c>
      <c r="BK165" s="102">
        <v>327.20413239999999</v>
      </c>
      <c r="BL165" s="102">
        <f>408795485.88/1000000</f>
        <v>408.79548588</v>
      </c>
      <c r="BM165" s="145">
        <v>578.86017664999997</v>
      </c>
      <c r="BN165" s="102">
        <v>797.3952936799999</v>
      </c>
      <c r="BO165" s="102">
        <v>760.49114067999994</v>
      </c>
      <c r="BP165" s="102">
        <v>1019.14535441</v>
      </c>
      <c r="BQ165" s="102">
        <v>922.30609883</v>
      </c>
      <c r="BR165" s="102">
        <v>800.05245747000004</v>
      </c>
      <c r="BS165" s="102">
        <v>828.10467915999993</v>
      </c>
      <c r="BT165" s="102">
        <v>705.39458452999997</v>
      </c>
      <c r="BU165" s="102">
        <v>708.82797303999996</v>
      </c>
      <c r="BV165" s="102">
        <v>707.56883950999998</v>
      </c>
      <c r="BW165" s="102">
        <v>536.37635687</v>
      </c>
      <c r="BX165" s="102">
        <v>387.86741648000003</v>
      </c>
      <c r="BY165" s="102">
        <v>525.26366252000003</v>
      </c>
      <c r="BZ165" s="102">
        <v>636.63167572999998</v>
      </c>
      <c r="CA165" s="102">
        <v>846.03168389999996</v>
      </c>
      <c r="CB165" s="102">
        <v>535.82484406000003</v>
      </c>
      <c r="CC165" s="102">
        <v>375.12628452999996</v>
      </c>
      <c r="CD165" s="102">
        <v>233.32952137999999</v>
      </c>
      <c r="CE165" s="102">
        <v>349.58922638999996</v>
      </c>
      <c r="CF165" s="102">
        <v>444.61875402999999</v>
      </c>
      <c r="CG165" s="102">
        <v>592.87995685999999</v>
      </c>
      <c r="CH165" s="102">
        <v>830.36608021000006</v>
      </c>
      <c r="CI165" s="102">
        <v>907.49677660999998</v>
      </c>
      <c r="CJ165" s="102">
        <v>1110.5391087</v>
      </c>
      <c r="CK165" s="102">
        <v>1077.95886991</v>
      </c>
      <c r="CL165" s="102">
        <v>948.77905439999995</v>
      </c>
      <c r="CM165" s="102">
        <v>1141.14389669</v>
      </c>
      <c r="CN165" s="102">
        <v>850.26315550000004</v>
      </c>
      <c r="CO165" s="102">
        <v>607.1697611699999</v>
      </c>
      <c r="CP165" s="102">
        <v>704.89134976000003</v>
      </c>
      <c r="CQ165" s="102">
        <v>821.71705248000001</v>
      </c>
      <c r="CR165" s="102">
        <v>890.7436229299999</v>
      </c>
      <c r="CS165" s="102">
        <v>1049.29900092</v>
      </c>
      <c r="CT165" s="102">
        <v>1128.83874246</v>
      </c>
      <c r="CU165" s="102">
        <v>894.3255978200001</v>
      </c>
      <c r="CV165" s="102">
        <v>1031.1538294700001</v>
      </c>
      <c r="CW165" s="102">
        <v>930.0642557000001</v>
      </c>
      <c r="CX165" s="102">
        <v>1112.11152973</v>
      </c>
      <c r="CY165" s="102">
        <v>1197.19243643</v>
      </c>
      <c r="CZ165" s="102">
        <v>1135.6605262400001</v>
      </c>
      <c r="DA165" s="102">
        <v>516.94381850000002</v>
      </c>
      <c r="DB165" s="102">
        <v>210.91051372000001</v>
      </c>
      <c r="DC165" s="102">
        <v>242.73012815999999</v>
      </c>
      <c r="DD165" s="102">
        <v>325.15038723000004</v>
      </c>
      <c r="DE165" s="102">
        <v>430.77737160000004</v>
      </c>
      <c r="DF165" s="102">
        <v>520.46325873000001</v>
      </c>
      <c r="DG165" s="102">
        <v>617.72007315999997</v>
      </c>
      <c r="DH165" s="102">
        <v>610.44292705999999</v>
      </c>
      <c r="DI165" s="77"/>
      <c r="DJ165" s="102">
        <v>1819.0552516700002</v>
      </c>
      <c r="DK165" s="102">
        <v>2721.64072059</v>
      </c>
      <c r="DL165" s="102">
        <v>2948.3018077500001</v>
      </c>
      <c r="DM165" s="102">
        <v>3235.9829543699998</v>
      </c>
      <c r="DN165" s="102">
        <v>1968.4549537099999</v>
      </c>
      <c r="DO165" s="102">
        <v>780.55491864999999</v>
      </c>
      <c r="DP165" s="102">
        <v>473.09733275000002</v>
      </c>
      <c r="DQ165" s="102">
        <v>644.98408880999989</v>
      </c>
      <c r="DR165" s="102">
        <v>826.23191053999994</v>
      </c>
      <c r="DS165" s="102">
        <v>1114.9119203400001</v>
      </c>
      <c r="DT165" s="102">
        <v>992.56944325526695</v>
      </c>
      <c r="DU165" s="102">
        <v>998.34072965806683</v>
      </c>
      <c r="DW165" s="102">
        <v>1434.1735113008499</v>
      </c>
      <c r="DX165" s="102">
        <v>1500</v>
      </c>
      <c r="DY165" s="102">
        <v>1500</v>
      </c>
      <c r="DZ165" s="102">
        <v>1500</v>
      </c>
      <c r="EA165" s="102">
        <v>1500</v>
      </c>
      <c r="EB165" s="102">
        <v>1500</v>
      </c>
      <c r="EC165" s="102">
        <v>1500</v>
      </c>
      <c r="ED165" s="102">
        <v>1500</v>
      </c>
      <c r="EE165" s="102">
        <v>1500</v>
      </c>
      <c r="EF165" s="102">
        <v>1500</v>
      </c>
      <c r="EG165" s="102">
        <v>1500</v>
      </c>
      <c r="EH165" s="102">
        <v>1500</v>
      </c>
      <c r="EI165" s="102">
        <v>982.93900000000008</v>
      </c>
      <c r="EJ165" s="102">
        <v>785.0674510980034</v>
      </c>
      <c r="EK165" s="102">
        <v>1029.8427179973221</v>
      </c>
      <c r="EL165" s="102">
        <v>1119.773003430771</v>
      </c>
      <c r="EM165" s="102">
        <v>969.90500490720365</v>
      </c>
      <c r="EN165" s="102">
        <v>935.7015226762926</v>
      </c>
      <c r="EO165" s="102">
        <v>966.31230283649825</v>
      </c>
      <c r="EP165" s="102">
        <v>925.42275963414772</v>
      </c>
      <c r="EQ165" s="102">
        <v>1085.6824667332612</v>
      </c>
      <c r="ER165" s="102">
        <v>916.41817290514382</v>
      </c>
      <c r="ES165" s="102">
        <v>926.87632366134653</v>
      </c>
      <c r="ET165" s="102">
        <v>989.63585772801207</v>
      </c>
      <c r="EU165" s="102">
        <v>805.22446135666667</v>
      </c>
      <c r="EV165" s="102">
        <v>903.2648353633333</v>
      </c>
      <c r="EW165" s="102">
        <v>748.51406869666675</v>
      </c>
      <c r="EX165" s="102">
        <v>568.33108836333349</v>
      </c>
      <c r="EY165" s="102">
        <v>567.6631550300001</v>
      </c>
      <c r="EZ165" s="102">
        <v>544.0875316966667</v>
      </c>
      <c r="FA165" s="102">
        <v>533.90549169666667</v>
      </c>
      <c r="FB165" s="102">
        <v>538.74854836333338</v>
      </c>
      <c r="FC165" s="102">
        <v>460.48559836333334</v>
      </c>
      <c r="FD165" s="102">
        <v>422.18659836333336</v>
      </c>
      <c r="FE165" s="102">
        <v>427.61828836333336</v>
      </c>
      <c r="FF165" s="102">
        <v>452.70268836333332</v>
      </c>
      <c r="FG165" s="102" t="e">
        <v>#VALUE!</v>
      </c>
      <c r="FH165" s="102" t="e">
        <v>#VALUE!</v>
      </c>
      <c r="FI165" s="102" t="e">
        <v>#VALUE!</v>
      </c>
      <c r="FJ165" s="102" t="e">
        <v>#VALUE!</v>
      </c>
      <c r="FK165" s="102" t="e">
        <v>#VALUE!</v>
      </c>
      <c r="FL165" s="102" t="e">
        <v>#VALUE!</v>
      </c>
      <c r="FM165" s="102" t="e">
        <v>#VALUE!</v>
      </c>
      <c r="FN165" s="102" t="e">
        <v>#VALUE!</v>
      </c>
      <c r="FO165" s="102" t="e">
        <v>#VALUE!</v>
      </c>
      <c r="FP165" s="102" t="e">
        <v>#VALUE!</v>
      </c>
      <c r="FQ165" s="102" t="e">
        <v>#VALUE!</v>
      </c>
      <c r="FR165" s="102" t="e">
        <v>#VALUE!</v>
      </c>
      <c r="FS165" s="102" t="e">
        <v>#VALUE!</v>
      </c>
      <c r="FT165" s="102" t="e">
        <v>#VALUE!</v>
      </c>
      <c r="FU165" s="102" t="e">
        <v>#VALUE!</v>
      </c>
      <c r="FV165" s="102" t="e">
        <v>#VALUE!</v>
      </c>
      <c r="FW165" s="102" t="e">
        <v>#VALUE!</v>
      </c>
      <c r="FX165" s="102" t="e">
        <v>#VALUE!</v>
      </c>
      <c r="FY165" s="102" t="e">
        <v>#VALUE!</v>
      </c>
      <c r="FZ165" s="102" t="e">
        <v>#VALUE!</v>
      </c>
      <c r="GA165" s="102" t="e">
        <v>#VALUE!</v>
      </c>
      <c r="GB165" s="102" t="e">
        <v>#VALUE!</v>
      </c>
      <c r="GC165" s="102" t="e">
        <v>#VALUE!</v>
      </c>
      <c r="GD165" s="102" t="e">
        <v>#VALUE!</v>
      </c>
      <c r="GF165" s="102">
        <f t="shared" si="524"/>
        <v>406.06706401999998</v>
      </c>
      <c r="GG165" s="102">
        <f t="shared" si="524"/>
        <v>183.33468015</v>
      </c>
      <c r="GH165" s="102">
        <f t="shared" si="524"/>
        <v>943.96051063000004</v>
      </c>
      <c r="GI165" s="102">
        <f t="shared" si="524"/>
        <v>948.23800000000006</v>
      </c>
      <c r="GJ165" s="102">
        <f t="shared" si="434"/>
        <v>408.79548588</v>
      </c>
      <c r="GK165" s="102">
        <f t="shared" si="407"/>
        <v>387.86741648000003</v>
      </c>
      <c r="GL165" s="102">
        <f t="shared" si="435"/>
        <v>1110.5391087</v>
      </c>
      <c r="GM165" s="102">
        <f t="shared" si="408"/>
        <v>1031.1538294700001</v>
      </c>
      <c r="GN165" s="102" t="e">
        <f t="shared" si="409"/>
        <v>#VALUE!</v>
      </c>
      <c r="GO165" s="102">
        <v>610.44292705999999</v>
      </c>
      <c r="GQ165" s="929">
        <f t="shared" ref="GQ165:GS175" si="555">+IFERROR(GH165/GG165-1,"")</f>
        <v>4.1488376877613904</v>
      </c>
      <c r="GR165" s="929">
        <f t="shared" si="555"/>
        <v>4.5314282979329601E-3</v>
      </c>
      <c r="GS165" s="929">
        <f t="shared" si="555"/>
        <v>-0.56888936545466429</v>
      </c>
      <c r="GT165" s="929">
        <f t="shared" si="525"/>
        <v>-5.1194472842450378E-2</v>
      </c>
      <c r="GU165" s="929">
        <f t="shared" si="525"/>
        <v>1.863192579511932</v>
      </c>
      <c r="GV165" s="929">
        <f t="shared" si="525"/>
        <v>-7.1483551194274075E-2</v>
      </c>
      <c r="GW165" s="929" t="str">
        <f t="shared" si="499"/>
        <v/>
      </c>
      <c r="GX165" s="929" t="str">
        <f t="shared" si="499"/>
        <v/>
      </c>
      <c r="GY165" s="929">
        <f t="shared" si="492"/>
        <v>-0.40800013575689298</v>
      </c>
      <c r="HA165" s="102">
        <f t="shared" ref="HA165:HC175" si="556">+GH165-GG165</f>
        <v>760.6258304800001</v>
      </c>
      <c r="HB165" s="102">
        <f t="shared" si="556"/>
        <v>4.2774893700000121</v>
      </c>
      <c r="HC165" s="102">
        <f t="shared" si="556"/>
        <v>-539.44251412000006</v>
      </c>
      <c r="HD165" s="102">
        <f t="shared" si="500"/>
        <v>-20.92806939999997</v>
      </c>
      <c r="HE165" s="102">
        <f t="shared" si="500"/>
        <v>722.67169222000007</v>
      </c>
      <c r="HF165" s="102">
        <f t="shared" si="500"/>
        <v>-79.385279229999924</v>
      </c>
      <c r="HG165" s="102" t="e">
        <f t="shared" si="500"/>
        <v>#VALUE!</v>
      </c>
      <c r="HH165" s="102" t="e">
        <f t="shared" si="500"/>
        <v>#VALUE!</v>
      </c>
      <c r="HI165" s="102">
        <f t="shared" si="493"/>
        <v>-420.71090241000013</v>
      </c>
      <c r="HK165" s="973"/>
      <c r="HL165" s="973"/>
      <c r="HM165" s="973"/>
      <c r="HN165" s="973"/>
      <c r="HO165" s="973"/>
      <c r="HP165" s="973"/>
      <c r="HQ165" s="973"/>
      <c r="HR165" s="973"/>
      <c r="HS165" s="973"/>
      <c r="HU165" s="102">
        <f t="shared" ref="HU165:HX175" si="557">+IFERROR(SUMIFS($E165:$AZ165,$E$6:$AZ$6,HU$7,$E$5:$AZ$5,$HW$5),"NA")</f>
        <v>424.41571095</v>
      </c>
      <c r="HV165" s="102">
        <f t="shared" si="557"/>
        <v>487.11990699</v>
      </c>
      <c r="HW165" s="102">
        <f t="shared" si="557"/>
        <v>231.00588163999998</v>
      </c>
      <c r="HX165" s="102">
        <f t="shared" si="557"/>
        <v>1179.3235281300001</v>
      </c>
      <c r="HY165" s="102">
        <f t="shared" si="528"/>
        <v>687.52329745000009</v>
      </c>
      <c r="HZ165" s="102">
        <f t="shared" si="528"/>
        <v>800.05245747000004</v>
      </c>
      <c r="IA165" s="102">
        <f t="shared" si="529"/>
        <v>233.32952137999999</v>
      </c>
      <c r="IB165" s="102">
        <f t="shared" si="530"/>
        <v>704.89134976000003</v>
      </c>
      <c r="IC165" s="102">
        <f t="shared" si="531"/>
        <v>210.91051372000001</v>
      </c>
      <c r="ID165" s="102" t="e">
        <f t="shared" si="417"/>
        <v>#VALUE!</v>
      </c>
      <c r="IE165" s="102">
        <f t="shared" si="532"/>
        <v>780.55491864999999</v>
      </c>
      <c r="IG165" s="102">
        <f t="shared" si="533"/>
        <v>780.55491864999999</v>
      </c>
      <c r="IH165" s="102" t="e">
        <f t="shared" si="534"/>
        <v>#VALUE!</v>
      </c>
      <c r="II165" s="145"/>
      <c r="IJ165" s="929" t="str">
        <f t="shared" si="535"/>
        <v>NA</v>
      </c>
      <c r="IK165" s="930" t="str">
        <f t="shared" si="536"/>
        <v>NA</v>
      </c>
      <c r="IM165" s="973"/>
      <c r="IN165" s="973"/>
      <c r="IP165" s="929">
        <f t="shared" si="553"/>
        <v>-0.52577203615547941</v>
      </c>
      <c r="IQ165" s="929">
        <f t="shared" si="553"/>
        <v>4.1051666726298341</v>
      </c>
      <c r="IR165" s="929">
        <f t="shared" si="553"/>
        <v>-0.41701892563767073</v>
      </c>
      <c r="IS165" s="929">
        <f t="shared" si="553"/>
        <v>0.1636732317833689</v>
      </c>
      <c r="IT165" s="929">
        <f t="shared" si="553"/>
        <v>-0.70835722182785843</v>
      </c>
      <c r="IU165" s="929">
        <f t="shared" si="553"/>
        <v>2.0210122816478733</v>
      </c>
      <c r="IV165" s="929">
        <f t="shared" si="554"/>
        <v>0.10734075388464026</v>
      </c>
      <c r="IX165" s="102">
        <f t="shared" si="538"/>
        <v>-256.11402535000002</v>
      </c>
      <c r="IY165" s="102">
        <f t="shared" si="538"/>
        <v>948.31764649000013</v>
      </c>
      <c r="IZ165" s="102">
        <f t="shared" si="538"/>
        <v>-491.80023068000003</v>
      </c>
      <c r="JA165" s="102">
        <f t="shared" si="538"/>
        <v>112.52916001999995</v>
      </c>
      <c r="JB165" s="102">
        <f t="shared" si="538"/>
        <v>-566.72293609000008</v>
      </c>
      <c r="JC165" s="102">
        <f t="shared" si="538"/>
        <v>471.56182838000007</v>
      </c>
      <c r="JD165" s="102">
        <f t="shared" si="539"/>
        <v>75.663568889999965</v>
      </c>
      <c r="JF165" s="973"/>
      <c r="JG165" s="973"/>
      <c r="JH165" s="973"/>
      <c r="JI165" s="973"/>
      <c r="JJ165" s="973"/>
      <c r="JK165" s="973"/>
      <c r="JL165" s="973"/>
      <c r="JM165" s="973"/>
      <c r="JO165" s="102">
        <f t="shared" si="540"/>
        <v>424.41571095</v>
      </c>
      <c r="JP165" s="102">
        <f t="shared" si="540"/>
        <v>487.11990699</v>
      </c>
      <c r="JQ165" s="102">
        <f t="shared" si="540"/>
        <v>231.00588163999998</v>
      </c>
      <c r="JR165" s="102">
        <f t="shared" si="540"/>
        <v>1179.3235281300001</v>
      </c>
      <c r="JS165" s="102">
        <f t="shared" si="540"/>
        <v>687.52329745000009</v>
      </c>
      <c r="JT165" s="102">
        <f t="shared" si="541"/>
        <v>800.05245747000004</v>
      </c>
      <c r="JU165" s="102">
        <f t="shared" si="542"/>
        <v>233.32952137999999</v>
      </c>
      <c r="JV165" s="102">
        <f t="shared" si="543"/>
        <v>704.89134976000003</v>
      </c>
      <c r="JW165" s="102">
        <f t="shared" si="543"/>
        <v>210.91051372000001</v>
      </c>
      <c r="JX165" s="102" t="e">
        <f t="shared" si="544"/>
        <v>#VALUE!</v>
      </c>
      <c r="JY165" s="102">
        <f t="shared" si="545"/>
        <v>780.55491864999999</v>
      </c>
      <c r="KB165" s="32">
        <f t="shared" si="546"/>
        <v>-0.52577203615547941</v>
      </c>
      <c r="KC165" s="32">
        <f t="shared" si="546"/>
        <v>4.1051666726298341</v>
      </c>
      <c r="KD165" s="32">
        <f t="shared" si="546"/>
        <v>-0.41701892563767073</v>
      </c>
      <c r="KE165" s="32">
        <f t="shared" si="546"/>
        <v>0.1636732317833689</v>
      </c>
      <c r="KF165" s="32">
        <f t="shared" si="546"/>
        <v>-0.70835722182785843</v>
      </c>
      <c r="KG165" s="32">
        <f t="shared" si="546"/>
        <v>2.0210122816478733</v>
      </c>
      <c r="KH165" s="32">
        <f t="shared" si="431"/>
        <v>0.10734075388464026</v>
      </c>
      <c r="KJ165" s="102">
        <f t="shared" si="547"/>
        <v>-256.11402535000002</v>
      </c>
      <c r="KK165" s="102">
        <f t="shared" si="547"/>
        <v>948.31764649000013</v>
      </c>
      <c r="KL165" s="102">
        <f t="shared" si="547"/>
        <v>-491.80023068000003</v>
      </c>
      <c r="KM165" s="102">
        <f t="shared" si="547"/>
        <v>112.52916001999995</v>
      </c>
      <c r="KN165" s="102">
        <f t="shared" si="547"/>
        <v>-566.72293609000008</v>
      </c>
      <c r="KO165" s="102">
        <f t="shared" si="547"/>
        <v>471.56182838000007</v>
      </c>
      <c r="KP165" s="102">
        <f t="shared" si="433"/>
        <v>75.663568889999965</v>
      </c>
      <c r="KR165" s="973"/>
      <c r="KS165" s="973"/>
      <c r="KT165" s="973"/>
      <c r="KU165" s="973"/>
      <c r="KV165" s="973"/>
      <c r="KW165" s="973"/>
      <c r="KX165" s="973"/>
      <c r="KY165" s="973"/>
      <c r="KZ165" s="973"/>
    </row>
    <row r="166" spans="1:312" outlineLevel="1">
      <c r="A166" s="884">
        <v>2335</v>
      </c>
      <c r="B166" s="70" t="s">
        <v>730</v>
      </c>
      <c r="C166" s="17" t="s">
        <v>731</v>
      </c>
      <c r="D166" s="31" t="s">
        <v>59</v>
      </c>
      <c r="E166" s="102">
        <v>833.87370262000002</v>
      </c>
      <c r="F166" s="102">
        <v>425.46559611000004</v>
      </c>
      <c r="G166" s="102">
        <v>554.54481752999993</v>
      </c>
      <c r="H166" s="102">
        <v>614.53751061000003</v>
      </c>
      <c r="I166" s="102">
        <v>615.38088047000008</v>
      </c>
      <c r="J166" s="102">
        <v>1101.4930338900001</v>
      </c>
      <c r="K166" s="102">
        <v>775.24958847000005</v>
      </c>
      <c r="L166" s="102">
        <v>593.82705224999995</v>
      </c>
      <c r="M166" s="102">
        <v>440.26805521</v>
      </c>
      <c r="N166" s="102">
        <v>340.62085826999999</v>
      </c>
      <c r="O166" s="102">
        <v>239.40693203000001</v>
      </c>
      <c r="P166" s="102">
        <v>234.20071649000002</v>
      </c>
      <c r="Q166" s="102">
        <v>339.21101570999997</v>
      </c>
      <c r="R166" s="102">
        <v>255.68676606</v>
      </c>
      <c r="S166" s="102">
        <v>279.89228869999999</v>
      </c>
      <c r="T166" s="102">
        <v>385.01420221000006</v>
      </c>
      <c r="U166" s="102">
        <v>348.09243884</v>
      </c>
      <c r="V166" s="102">
        <v>248.43290390000001</v>
      </c>
      <c r="W166" s="102">
        <v>275.84127654000008</v>
      </c>
      <c r="X166" s="102">
        <v>240.17013762999997</v>
      </c>
      <c r="Y166" s="102">
        <v>188.15597785</v>
      </c>
      <c r="Z166" s="102">
        <v>150.88372246000003</v>
      </c>
      <c r="AA166" s="102">
        <v>170.27113033000001</v>
      </c>
      <c r="AB166" s="102">
        <v>131.82741253999998</v>
      </c>
      <c r="AC166" s="102">
        <v>220.00164286999998</v>
      </c>
      <c r="AD166" s="102">
        <v>209.80067578000001</v>
      </c>
      <c r="AE166" s="102">
        <v>232.97350301999995</v>
      </c>
      <c r="AF166" s="102">
        <v>178.74975109999997</v>
      </c>
      <c r="AG166" s="102">
        <v>161.30860923</v>
      </c>
      <c r="AH166" s="102">
        <v>167.60353080000002</v>
      </c>
      <c r="AI166" s="102">
        <v>216.43576092999996</v>
      </c>
      <c r="AJ166" s="102">
        <v>222.91734475999996</v>
      </c>
      <c r="AK166" s="102">
        <v>183.56763583999998</v>
      </c>
      <c r="AL166" s="102">
        <v>194.17313098</v>
      </c>
      <c r="AM166" s="102">
        <v>218.26371952999997</v>
      </c>
      <c r="AN166" s="102">
        <v>177.48362533999995</v>
      </c>
      <c r="AO166" s="102">
        <v>56.340919729999996</v>
      </c>
      <c r="AP166" s="145">
        <v>418.93064072999999</v>
      </c>
      <c r="AQ166" s="220">
        <v>188.75445431999998</v>
      </c>
      <c r="AR166" s="220">
        <v>333.53966337000003</v>
      </c>
      <c r="AS166" s="102">
        <v>229.57471579</v>
      </c>
      <c r="AT166" s="102">
        <v>239.35546049999999</v>
      </c>
      <c r="AU166" s="102">
        <v>183.38883149</v>
      </c>
      <c r="AV166" s="102">
        <v>181.03516958</v>
      </c>
      <c r="AW166" s="102">
        <v>137.57506393</v>
      </c>
      <c r="AX166" s="102">
        <v>159.02646168000001</v>
      </c>
      <c r="AY166" s="102">
        <v>372.31961324999997</v>
      </c>
      <c r="AZ166" s="102">
        <v>269.38810932999996</v>
      </c>
      <c r="BA166" s="102">
        <v>151.92203434000001</v>
      </c>
      <c r="BB166" s="102">
        <v>167.33714344000001</v>
      </c>
      <c r="BC166" s="102">
        <v>213.42897049999999</v>
      </c>
      <c r="BD166" s="102">
        <v>210.52037319999999</v>
      </c>
      <c r="BE166" s="102">
        <v>257.52700593999998</v>
      </c>
      <c r="BF166" s="102">
        <v>417.57125207999997</v>
      </c>
      <c r="BG166" s="102">
        <v>370.93235754</v>
      </c>
      <c r="BH166" s="102">
        <v>354.11675113000001</v>
      </c>
      <c r="BI166" s="102">
        <v>226.61722992</v>
      </c>
      <c r="BJ166" s="102">
        <v>203.44712025000001</v>
      </c>
      <c r="BK166" s="102">
        <v>301.15477411000001</v>
      </c>
      <c r="BL166" s="102">
        <v>224</v>
      </c>
      <c r="BM166" s="145">
        <v>1219.47724713</v>
      </c>
      <c r="BN166" s="102">
        <v>772.64378646</v>
      </c>
      <c r="BO166" s="102">
        <v>1073.7267790200001</v>
      </c>
      <c r="BP166" s="102">
        <v>560.18663301999993</v>
      </c>
      <c r="BQ166" s="102">
        <v>541.47221002000003</v>
      </c>
      <c r="BR166" s="102">
        <v>517.92220667000004</v>
      </c>
      <c r="BS166" s="102">
        <v>594.5089107</v>
      </c>
      <c r="BT166" s="102">
        <v>466.17991568999997</v>
      </c>
      <c r="BU166" s="102">
        <v>421.80959718000003</v>
      </c>
      <c r="BV166" s="102">
        <v>326.89998524999999</v>
      </c>
      <c r="BW166" s="102">
        <v>252.03786416999998</v>
      </c>
      <c r="BX166" s="102">
        <v>1342.1771091400001</v>
      </c>
      <c r="BY166" s="102">
        <v>581.89124120000008</v>
      </c>
      <c r="BZ166" s="102">
        <v>689.11475428999995</v>
      </c>
      <c r="CA166" s="102">
        <v>695.95068058000004</v>
      </c>
      <c r="CB166" s="102">
        <v>549.85866055999998</v>
      </c>
      <c r="CC166" s="102">
        <v>414.10823806000002</v>
      </c>
      <c r="CD166" s="102">
        <v>544.67835086000002</v>
      </c>
      <c r="CE166" s="102">
        <v>538.88257357000009</v>
      </c>
      <c r="CF166" s="102">
        <v>614.29593020000004</v>
      </c>
      <c r="CG166" s="102">
        <v>739.69582384</v>
      </c>
      <c r="CH166" s="102">
        <v>909.65571920000002</v>
      </c>
      <c r="CI166" s="102">
        <v>982.76898660000006</v>
      </c>
      <c r="CJ166" s="102">
        <v>1560.20745629</v>
      </c>
      <c r="CK166" s="102">
        <v>1229.6828616300002</v>
      </c>
      <c r="CL166" s="102">
        <v>1559.7576193800001</v>
      </c>
      <c r="CM166" s="102">
        <v>1262.26898996</v>
      </c>
      <c r="CN166" s="102">
        <v>1892.6792779300001</v>
      </c>
      <c r="CO166" s="102">
        <v>1449.3946595</v>
      </c>
      <c r="CP166" s="102">
        <v>1887.3863858</v>
      </c>
      <c r="CQ166" s="102">
        <v>1104.6567105199999</v>
      </c>
      <c r="CR166" s="102">
        <v>1471.24851377</v>
      </c>
      <c r="CS166" s="102">
        <v>894.59691441999996</v>
      </c>
      <c r="CT166" s="102">
        <v>1396.18476422</v>
      </c>
      <c r="CU166" s="102">
        <v>985.77582314999995</v>
      </c>
      <c r="CV166" s="102">
        <v>1994.82668816</v>
      </c>
      <c r="CW166" s="102">
        <v>888.99099597000009</v>
      </c>
      <c r="CX166" s="102">
        <v>1609.52919086</v>
      </c>
      <c r="CY166" s="102">
        <v>1751.10937132</v>
      </c>
      <c r="CZ166" s="102">
        <v>2100.3224281299999</v>
      </c>
      <c r="DA166" s="102">
        <v>1451.51113521</v>
      </c>
      <c r="DB166" s="102">
        <v>569.64440492999995</v>
      </c>
      <c r="DC166" s="102">
        <v>230.36720459</v>
      </c>
      <c r="DD166" s="102">
        <v>319.83370157999997</v>
      </c>
      <c r="DE166" s="102">
        <v>395.45453894000002</v>
      </c>
      <c r="DF166" s="102">
        <v>594.44673595000006</v>
      </c>
      <c r="DG166" s="102">
        <v>445.15482535000001</v>
      </c>
      <c r="DH166" s="102">
        <v>1147.8533564700001</v>
      </c>
      <c r="DI166" s="77"/>
      <c r="DJ166" s="102" t="e">
        <v>#VALUE!</v>
      </c>
      <c r="DK166" s="102" t="e">
        <v>#VALUE!</v>
      </c>
      <c r="DL166" s="102" t="e">
        <v>#VALUE!</v>
      </c>
      <c r="DM166" s="102" t="e">
        <v>#VALUE!</v>
      </c>
      <c r="DN166" s="102" t="e">
        <v>#VALUE!</v>
      </c>
      <c r="DO166" s="102" t="e">
        <v>#VALUE!</v>
      </c>
      <c r="DP166" s="102" t="e">
        <v>#VALUE!</v>
      </c>
      <c r="DQ166" s="102" t="e">
        <v>#VALUE!</v>
      </c>
      <c r="DR166" s="102" t="e">
        <v>#VALUE!</v>
      </c>
      <c r="DS166" s="102" t="e">
        <v>#VALUE!</v>
      </c>
      <c r="DT166" s="102" t="e">
        <v>#VALUE!</v>
      </c>
      <c r="DU166" s="102" t="e">
        <v>#VALUE!</v>
      </c>
      <c r="DW166" s="102">
        <v>0</v>
      </c>
      <c r="DX166" s="102">
        <v>0</v>
      </c>
      <c r="DY166" s="102">
        <v>0</v>
      </c>
      <c r="DZ166" s="102">
        <v>0</v>
      </c>
      <c r="EA166" s="102">
        <v>0</v>
      </c>
      <c r="EB166" s="102">
        <v>0</v>
      </c>
      <c r="EC166" s="102">
        <v>0</v>
      </c>
      <c r="ED166" s="102">
        <v>0</v>
      </c>
      <c r="EE166" s="102">
        <v>0</v>
      </c>
      <c r="EF166" s="102">
        <v>0</v>
      </c>
      <c r="EG166" s="102">
        <v>0</v>
      </c>
      <c r="EH166" s="102">
        <v>0</v>
      </c>
      <c r="EI166" s="102">
        <v>265.06099999999998</v>
      </c>
      <c r="EJ166" s="102">
        <v>266.06099999999998</v>
      </c>
      <c r="EK166" s="102">
        <v>267.06099999999998</v>
      </c>
      <c r="EL166" s="102">
        <v>268.06099999999998</v>
      </c>
      <c r="EM166" s="102">
        <v>269.06099999999998</v>
      </c>
      <c r="EN166" s="102">
        <v>270.06099999999998</v>
      </c>
      <c r="EO166" s="102">
        <v>271.06099999999998</v>
      </c>
      <c r="EP166" s="102">
        <v>272.06099999999998</v>
      </c>
      <c r="EQ166" s="102">
        <v>273.06099999999998</v>
      </c>
      <c r="ER166" s="102">
        <v>274.06099999999998</v>
      </c>
      <c r="ES166" s="102">
        <v>275.06099999999998</v>
      </c>
      <c r="ET166" s="102">
        <v>276.06099999999998</v>
      </c>
      <c r="EU166" s="102"/>
      <c r="EV166" s="102"/>
      <c r="EW166" s="102"/>
      <c r="EX166" s="102"/>
      <c r="EY166" s="102"/>
      <c r="EZ166" s="102"/>
      <c r="FA166" s="102"/>
      <c r="FB166" s="102"/>
      <c r="FC166" s="102"/>
      <c r="FD166" s="102"/>
      <c r="FE166" s="102"/>
      <c r="FF166" s="102"/>
      <c r="FG166" s="102" t="e">
        <v>#VALUE!</v>
      </c>
      <c r="FH166" s="102" t="e">
        <v>#VALUE!</v>
      </c>
      <c r="FI166" s="102" t="e">
        <v>#VALUE!</v>
      </c>
      <c r="FJ166" s="102" t="e">
        <v>#VALUE!</v>
      </c>
      <c r="FK166" s="102" t="e">
        <v>#VALUE!</v>
      </c>
      <c r="FL166" s="102" t="e">
        <v>#VALUE!</v>
      </c>
      <c r="FM166" s="102" t="e">
        <v>#VALUE!</v>
      </c>
      <c r="FN166" s="102" t="e">
        <v>#VALUE!</v>
      </c>
      <c r="FO166" s="102" t="e">
        <v>#VALUE!</v>
      </c>
      <c r="FP166" s="102" t="e">
        <v>#VALUE!</v>
      </c>
      <c r="FQ166" s="102" t="e">
        <v>#VALUE!</v>
      </c>
      <c r="FR166" s="102" t="e">
        <v>#VALUE!</v>
      </c>
      <c r="FS166" s="102" t="e">
        <v>#VALUE!</v>
      </c>
      <c r="FT166" s="102" t="e">
        <v>#VALUE!</v>
      </c>
      <c r="FU166" s="102" t="e">
        <v>#VALUE!</v>
      </c>
      <c r="FV166" s="102" t="e">
        <v>#VALUE!</v>
      </c>
      <c r="FW166" s="102" t="e">
        <v>#VALUE!</v>
      </c>
      <c r="FX166" s="102" t="e">
        <v>#VALUE!</v>
      </c>
      <c r="FY166" s="102" t="e">
        <v>#VALUE!</v>
      </c>
      <c r="FZ166" s="102" t="e">
        <v>#VALUE!</v>
      </c>
      <c r="GA166" s="102" t="e">
        <v>#VALUE!</v>
      </c>
      <c r="GB166" s="102" t="e">
        <v>#VALUE!</v>
      </c>
      <c r="GC166" s="102" t="e">
        <v>#VALUE!</v>
      </c>
      <c r="GD166" s="102" t="e">
        <v>#VALUE!</v>
      </c>
      <c r="GF166" s="102">
        <f t="shared" si="524"/>
        <v>234.20071649000002</v>
      </c>
      <c r="GG166" s="102">
        <f t="shared" si="524"/>
        <v>131.82741253999998</v>
      </c>
      <c r="GH166" s="102">
        <f t="shared" si="524"/>
        <v>177.48362533999995</v>
      </c>
      <c r="GI166" s="102">
        <f t="shared" si="524"/>
        <v>269.38810932999996</v>
      </c>
      <c r="GJ166" s="102">
        <f t="shared" si="434"/>
        <v>224</v>
      </c>
      <c r="GK166" s="102">
        <f t="shared" si="407"/>
        <v>1342.1771091400001</v>
      </c>
      <c r="GL166" s="102">
        <f t="shared" si="435"/>
        <v>1560.20745629</v>
      </c>
      <c r="GM166" s="102">
        <f t="shared" si="408"/>
        <v>1994.82668816</v>
      </c>
      <c r="GN166" s="102" t="e">
        <f t="shared" si="409"/>
        <v>#VALUE!</v>
      </c>
      <c r="GO166" s="102">
        <v>1147.8533564700001</v>
      </c>
      <c r="GQ166" s="929">
        <f t="shared" si="555"/>
        <v>0.34633322402612299</v>
      </c>
      <c r="GR166" s="929">
        <f t="shared" si="555"/>
        <v>0.51781951047000208</v>
      </c>
      <c r="GS166" s="929">
        <f t="shared" si="555"/>
        <v>-0.16848594187355026</v>
      </c>
      <c r="GT166" s="929">
        <f t="shared" si="525"/>
        <v>4.9918620943750005</v>
      </c>
      <c r="GU166" s="929">
        <f t="shared" si="525"/>
        <v>0.16244528808102143</v>
      </c>
      <c r="GV166" s="929">
        <f t="shared" si="525"/>
        <v>0.27856502679680584</v>
      </c>
      <c r="GW166" s="929" t="str">
        <f t="shared" si="499"/>
        <v/>
      </c>
      <c r="GX166" s="929" t="str">
        <f t="shared" si="499"/>
        <v/>
      </c>
      <c r="GY166" s="929">
        <f t="shared" si="492"/>
        <v>-0.42458492094430322</v>
      </c>
      <c r="HA166" s="102">
        <f t="shared" si="556"/>
        <v>45.656212799999963</v>
      </c>
      <c r="HB166" s="102">
        <f t="shared" si="556"/>
        <v>91.904483990000017</v>
      </c>
      <c r="HC166" s="102">
        <f t="shared" si="556"/>
        <v>-45.388109329999963</v>
      </c>
      <c r="HD166" s="102">
        <f t="shared" si="500"/>
        <v>1118.1771091400001</v>
      </c>
      <c r="HE166" s="102">
        <f t="shared" si="500"/>
        <v>218.0303471499999</v>
      </c>
      <c r="HF166" s="102">
        <f t="shared" si="500"/>
        <v>434.61923187000002</v>
      </c>
      <c r="HG166" s="102" t="e">
        <f t="shared" si="500"/>
        <v>#VALUE!</v>
      </c>
      <c r="HH166" s="102" t="e">
        <f t="shared" si="500"/>
        <v>#VALUE!</v>
      </c>
      <c r="HI166" s="102">
        <f t="shared" si="493"/>
        <v>-846.9733316899999</v>
      </c>
      <c r="HK166" s="973"/>
      <c r="HL166" s="973"/>
      <c r="HM166" s="973"/>
      <c r="HN166" s="973"/>
      <c r="HO166" s="973"/>
      <c r="HP166" s="973"/>
      <c r="HQ166" s="973"/>
      <c r="HR166" s="973"/>
      <c r="HS166" s="973"/>
      <c r="HU166" s="102">
        <f t="shared" si="557"/>
        <v>1101.4930338900001</v>
      </c>
      <c r="HV166" s="102">
        <f t="shared" si="557"/>
        <v>248.43290390000001</v>
      </c>
      <c r="HW166" s="102">
        <f t="shared" si="557"/>
        <v>167.60353080000002</v>
      </c>
      <c r="HX166" s="102">
        <f t="shared" si="557"/>
        <v>239.35546049999999</v>
      </c>
      <c r="HY166" s="102">
        <f t="shared" si="528"/>
        <v>417.57125207999997</v>
      </c>
      <c r="HZ166" s="102">
        <f t="shared" si="528"/>
        <v>517.92220667000004</v>
      </c>
      <c r="IA166" s="102">
        <f t="shared" si="529"/>
        <v>544.67835086000002</v>
      </c>
      <c r="IB166" s="102">
        <f t="shared" si="530"/>
        <v>1887.3863858</v>
      </c>
      <c r="IC166" s="102">
        <f t="shared" si="531"/>
        <v>569.64440492999995</v>
      </c>
      <c r="ID166" s="102" t="e">
        <f t="shared" si="417"/>
        <v>#VALUE!</v>
      </c>
      <c r="IE166" s="102" t="e">
        <f t="shared" si="532"/>
        <v>#VALUE!</v>
      </c>
      <c r="IG166" s="102" t="e">
        <f t="shared" si="533"/>
        <v>#VALUE!</v>
      </c>
      <c r="IH166" s="102" t="e">
        <f t="shared" si="534"/>
        <v>#VALUE!</v>
      </c>
      <c r="II166" s="145"/>
      <c r="IJ166" s="929" t="str">
        <f t="shared" si="535"/>
        <v>NA</v>
      </c>
      <c r="IK166" s="930" t="str">
        <f t="shared" si="536"/>
        <v>NA</v>
      </c>
      <c r="IM166" s="973"/>
      <c r="IN166" s="973"/>
      <c r="IP166" s="929">
        <f t="shared" si="553"/>
        <v>-0.3253569548602776</v>
      </c>
      <c r="IQ166" s="929">
        <f t="shared" si="553"/>
        <v>0.4281051202054984</v>
      </c>
      <c r="IR166" s="929">
        <f t="shared" si="553"/>
        <v>0.74456538909836145</v>
      </c>
      <c r="IS166" s="929">
        <f t="shared" si="553"/>
        <v>0.24032055389381646</v>
      </c>
      <c r="IT166" s="929">
        <f t="shared" si="553"/>
        <v>5.1660546401417262E-2</v>
      </c>
      <c r="IU166" s="929">
        <f t="shared" si="553"/>
        <v>2.4651393484245885</v>
      </c>
      <c r="IV166" s="929" t="str">
        <f t="shared" si="554"/>
        <v/>
      </c>
      <c r="IX166" s="102">
        <f t="shared" si="538"/>
        <v>-80.829373099999998</v>
      </c>
      <c r="IY166" s="102">
        <f t="shared" si="538"/>
        <v>71.751929699999977</v>
      </c>
      <c r="IZ166" s="102">
        <f t="shared" si="538"/>
        <v>178.21579157999997</v>
      </c>
      <c r="JA166" s="102">
        <f t="shared" si="538"/>
        <v>100.35095459000007</v>
      </c>
      <c r="JB166" s="102">
        <f t="shared" si="538"/>
        <v>26.756144189999986</v>
      </c>
      <c r="JC166" s="102">
        <f t="shared" si="538"/>
        <v>1342.7080349399998</v>
      </c>
      <c r="JD166" s="102" t="e">
        <f t="shared" si="539"/>
        <v>#VALUE!</v>
      </c>
      <c r="JF166" s="973"/>
      <c r="JG166" s="973"/>
      <c r="JH166" s="973"/>
      <c r="JI166" s="973"/>
      <c r="JJ166" s="973"/>
      <c r="JK166" s="973"/>
      <c r="JL166" s="973"/>
      <c r="JM166" s="973"/>
      <c r="JO166" s="102">
        <f t="shared" si="540"/>
        <v>1101.4930338900001</v>
      </c>
      <c r="JP166" s="102">
        <f t="shared" si="540"/>
        <v>248.43290390000001</v>
      </c>
      <c r="JQ166" s="102">
        <f t="shared" si="540"/>
        <v>167.60353080000002</v>
      </c>
      <c r="JR166" s="102">
        <f t="shared" si="540"/>
        <v>239.35546049999999</v>
      </c>
      <c r="JS166" s="102">
        <f t="shared" si="540"/>
        <v>417.57125207999997</v>
      </c>
      <c r="JT166" s="102">
        <f t="shared" si="541"/>
        <v>517.92220667000004</v>
      </c>
      <c r="JU166" s="102">
        <f t="shared" si="542"/>
        <v>544.67835086000002</v>
      </c>
      <c r="JV166" s="102">
        <f t="shared" si="543"/>
        <v>1887.3863858</v>
      </c>
      <c r="JW166" s="102">
        <f t="shared" si="543"/>
        <v>569.64440492999995</v>
      </c>
      <c r="JX166" s="102" t="e">
        <f t="shared" si="544"/>
        <v>#VALUE!</v>
      </c>
      <c r="JY166" s="102" t="e">
        <f t="shared" si="545"/>
        <v>#VALUE!</v>
      </c>
      <c r="KB166" s="32">
        <f t="shared" si="546"/>
        <v>-0.3253569548602776</v>
      </c>
      <c r="KC166" s="32">
        <f t="shared" si="546"/>
        <v>0.4281051202054984</v>
      </c>
      <c r="KD166" s="32">
        <f t="shared" si="546"/>
        <v>0.74456538909836145</v>
      </c>
      <c r="KE166" s="32">
        <f t="shared" si="546"/>
        <v>0.24032055389381646</v>
      </c>
      <c r="KF166" s="32">
        <f t="shared" si="546"/>
        <v>5.1660546401417262E-2</v>
      </c>
      <c r="KG166" s="32">
        <f t="shared" si="546"/>
        <v>2.4651393484245885</v>
      </c>
      <c r="KH166" s="32" t="str">
        <f t="shared" si="431"/>
        <v xml:space="preserve"> </v>
      </c>
      <c r="KJ166" s="102">
        <f t="shared" si="547"/>
        <v>-80.829373099999998</v>
      </c>
      <c r="KK166" s="102">
        <f t="shared" si="547"/>
        <v>71.751929699999977</v>
      </c>
      <c r="KL166" s="102">
        <f t="shared" si="547"/>
        <v>178.21579157999997</v>
      </c>
      <c r="KM166" s="102">
        <f t="shared" si="547"/>
        <v>100.35095459000007</v>
      </c>
      <c r="KN166" s="102">
        <f t="shared" si="547"/>
        <v>26.756144189999986</v>
      </c>
      <c r="KO166" s="102">
        <f t="shared" si="547"/>
        <v>1342.7080349399998</v>
      </c>
      <c r="KP166" s="102" t="e">
        <f t="shared" si="433"/>
        <v>#VALUE!</v>
      </c>
      <c r="KR166" s="973"/>
      <c r="KS166" s="973"/>
      <c r="KT166" s="973"/>
      <c r="KU166" s="973"/>
      <c r="KV166" s="973"/>
      <c r="KW166" s="973"/>
      <c r="KX166" s="973"/>
      <c r="KY166" s="973"/>
      <c r="KZ166" s="973"/>
    </row>
    <row r="167" spans="1:312" outlineLevel="1">
      <c r="A167" s="884">
        <v>2345</v>
      </c>
      <c r="B167" s="70" t="s">
        <v>732</v>
      </c>
      <c r="C167" s="17" t="s">
        <v>143</v>
      </c>
      <c r="D167" s="31" t="s">
        <v>59</v>
      </c>
      <c r="E167" s="102">
        <v>645.98900000000003</v>
      </c>
      <c r="F167" s="102">
        <v>577.34100000000001</v>
      </c>
      <c r="G167" s="102">
        <v>560.64300000000003</v>
      </c>
      <c r="H167" s="102">
        <v>559.99099999999999</v>
      </c>
      <c r="I167" s="102">
        <v>559.99099999999999</v>
      </c>
      <c r="J167" s="102">
        <v>559.99099999999999</v>
      </c>
      <c r="K167" s="102">
        <v>14.584</v>
      </c>
      <c r="L167" s="102">
        <v>0</v>
      </c>
      <c r="M167" s="102">
        <v>0</v>
      </c>
      <c r="N167" s="102">
        <v>0</v>
      </c>
      <c r="O167" s="102">
        <v>0</v>
      </c>
      <c r="P167" s="102">
        <v>0</v>
      </c>
      <c r="Q167" s="102">
        <v>0</v>
      </c>
      <c r="R167" s="102">
        <v>0</v>
      </c>
      <c r="S167" s="102">
        <v>0</v>
      </c>
      <c r="T167" s="102">
        <v>0</v>
      </c>
      <c r="U167" s="102">
        <v>0</v>
      </c>
      <c r="V167" s="102">
        <v>0</v>
      </c>
      <c r="W167" s="102">
        <v>0</v>
      </c>
      <c r="X167" s="102">
        <v>0</v>
      </c>
      <c r="Y167" s="102">
        <v>0</v>
      </c>
      <c r="Z167" s="102">
        <v>0</v>
      </c>
      <c r="AA167" s="102">
        <v>0</v>
      </c>
      <c r="AB167" s="102">
        <v>0</v>
      </c>
      <c r="AC167" s="102">
        <v>0</v>
      </c>
      <c r="AD167" s="102">
        <v>0</v>
      </c>
      <c r="AE167" s="102">
        <v>0</v>
      </c>
      <c r="AF167" s="102">
        <v>0</v>
      </c>
      <c r="AG167" s="102">
        <v>0</v>
      </c>
      <c r="AH167" s="102">
        <v>0</v>
      </c>
      <c r="AI167" s="102">
        <v>0</v>
      </c>
      <c r="AJ167" s="102">
        <v>0</v>
      </c>
      <c r="AK167" s="102">
        <v>0</v>
      </c>
      <c r="AL167" s="102">
        <v>0</v>
      </c>
      <c r="AM167" s="102">
        <v>0</v>
      </c>
      <c r="AN167" s="102">
        <v>0</v>
      </c>
      <c r="AO167" s="102">
        <v>0</v>
      </c>
      <c r="AP167" s="145">
        <v>0</v>
      </c>
      <c r="AQ167" s="220">
        <v>0</v>
      </c>
      <c r="AR167" s="220">
        <v>0</v>
      </c>
      <c r="AS167" s="102">
        <v>0</v>
      </c>
      <c r="AT167" s="102">
        <v>0</v>
      </c>
      <c r="AU167" s="102">
        <v>0</v>
      </c>
      <c r="AV167" s="102">
        <v>0</v>
      </c>
      <c r="AW167" s="102">
        <v>0</v>
      </c>
      <c r="AX167" s="102">
        <v>0</v>
      </c>
      <c r="AY167" s="102">
        <v>0</v>
      </c>
      <c r="AZ167" s="102">
        <v>0</v>
      </c>
      <c r="BA167" s="102">
        <v>0</v>
      </c>
      <c r="BB167" s="102">
        <v>0</v>
      </c>
      <c r="BC167" s="102">
        <v>0</v>
      </c>
      <c r="BD167" s="102">
        <v>0</v>
      </c>
      <c r="BE167" s="102">
        <v>0</v>
      </c>
      <c r="BF167" s="102">
        <v>0</v>
      </c>
      <c r="BG167" s="102">
        <v>0</v>
      </c>
      <c r="BH167" s="102">
        <v>0</v>
      </c>
      <c r="BI167" s="102">
        <v>0</v>
      </c>
      <c r="BJ167" s="102">
        <v>0</v>
      </c>
      <c r="BK167" s="102">
        <v>0</v>
      </c>
      <c r="BL167" s="102">
        <v>0</v>
      </c>
      <c r="BM167" s="145">
        <v>0</v>
      </c>
      <c r="BN167" s="102">
        <v>0</v>
      </c>
      <c r="BO167" s="102">
        <v>0</v>
      </c>
      <c r="BP167" s="102">
        <v>0</v>
      </c>
      <c r="BQ167" s="102">
        <v>0</v>
      </c>
      <c r="BR167" s="102">
        <v>0</v>
      </c>
      <c r="BS167" s="102">
        <v>0</v>
      </c>
      <c r="BT167" s="102">
        <v>0</v>
      </c>
      <c r="BU167" s="102">
        <v>0</v>
      </c>
      <c r="BV167" s="102">
        <v>0</v>
      </c>
      <c r="BW167" s="102">
        <v>0</v>
      </c>
      <c r="BX167" s="102">
        <v>0</v>
      </c>
      <c r="BY167" s="102">
        <v>0</v>
      </c>
      <c r="BZ167" s="102">
        <v>0</v>
      </c>
      <c r="CA167" s="102">
        <v>0</v>
      </c>
      <c r="CB167" s="102">
        <v>0</v>
      </c>
      <c r="CC167" s="102">
        <v>0</v>
      </c>
      <c r="CD167" s="102">
        <v>0</v>
      </c>
      <c r="CE167" s="102">
        <v>0</v>
      </c>
      <c r="CF167" s="102">
        <v>0</v>
      </c>
      <c r="CG167" s="102">
        <v>0</v>
      </c>
      <c r="CH167" s="102">
        <v>0</v>
      </c>
      <c r="CI167" s="102">
        <v>0</v>
      </c>
      <c r="CJ167" s="102">
        <v>0</v>
      </c>
      <c r="CK167" s="102">
        <v>0</v>
      </c>
      <c r="CL167" s="102">
        <v>0</v>
      </c>
      <c r="CM167" s="102">
        <v>0</v>
      </c>
      <c r="CN167" s="102">
        <v>0</v>
      </c>
      <c r="CO167" s="102">
        <v>0</v>
      </c>
      <c r="CP167" s="102">
        <v>0</v>
      </c>
      <c r="CQ167" s="102">
        <v>0</v>
      </c>
      <c r="CR167" s="102">
        <v>0</v>
      </c>
      <c r="CS167" s="102">
        <v>0</v>
      </c>
      <c r="CT167" s="102">
        <v>0</v>
      </c>
      <c r="CU167" s="102">
        <v>0</v>
      </c>
      <c r="CV167" s="102">
        <v>0</v>
      </c>
      <c r="CW167" s="102">
        <v>0</v>
      </c>
      <c r="CX167" s="102">
        <v>0</v>
      </c>
      <c r="CY167" s="102">
        <v>0</v>
      </c>
      <c r="CZ167" s="102">
        <v>0</v>
      </c>
      <c r="DA167" s="102">
        <v>0</v>
      </c>
      <c r="DB167" s="102">
        <v>0</v>
      </c>
      <c r="DC167" s="102">
        <v>0</v>
      </c>
      <c r="DD167" s="102">
        <v>0</v>
      </c>
      <c r="DE167" s="102">
        <v>0</v>
      </c>
      <c r="DF167" s="102">
        <v>0</v>
      </c>
      <c r="DG167" s="102">
        <v>0</v>
      </c>
      <c r="DH167" s="102">
        <v>0</v>
      </c>
      <c r="DI167" s="77"/>
      <c r="DJ167" s="102" t="e">
        <v>#VALUE!</v>
      </c>
      <c r="DK167" s="102" t="e">
        <v>#VALUE!</v>
      </c>
      <c r="DL167" s="102" t="e">
        <v>#VALUE!</v>
      </c>
      <c r="DM167" s="102" t="e">
        <v>#VALUE!</v>
      </c>
      <c r="DN167" s="102" t="e">
        <v>#VALUE!</v>
      </c>
      <c r="DO167" s="102" t="e">
        <v>#VALUE!</v>
      </c>
      <c r="DP167" s="102" t="e">
        <v>#VALUE!</v>
      </c>
      <c r="DQ167" s="102" t="e">
        <v>#VALUE!</v>
      </c>
      <c r="DR167" s="102" t="e">
        <v>#VALUE!</v>
      </c>
      <c r="DS167" s="102" t="e">
        <v>#VALUE!</v>
      </c>
      <c r="DT167" s="102" t="e">
        <v>#VALUE!</v>
      </c>
      <c r="DU167" s="102" t="e">
        <v>#VALUE!</v>
      </c>
      <c r="DW167" s="102">
        <v>0</v>
      </c>
      <c r="DX167" s="102">
        <v>0</v>
      </c>
      <c r="DY167" s="102">
        <v>0</v>
      </c>
      <c r="DZ167" s="102">
        <v>0</v>
      </c>
      <c r="EA167" s="102">
        <v>0</v>
      </c>
      <c r="EB167" s="102">
        <v>0</v>
      </c>
      <c r="EC167" s="102">
        <v>0</v>
      </c>
      <c r="ED167" s="102">
        <v>0</v>
      </c>
      <c r="EE167" s="102">
        <v>0</v>
      </c>
      <c r="EF167" s="102">
        <v>0</v>
      </c>
      <c r="EG167" s="102">
        <v>0</v>
      </c>
      <c r="EH167" s="102">
        <v>0</v>
      </c>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t="e">
        <v>#VALUE!</v>
      </c>
      <c r="FH167" s="102" t="e">
        <v>#VALUE!</v>
      </c>
      <c r="FI167" s="102" t="e">
        <v>#VALUE!</v>
      </c>
      <c r="FJ167" s="102" t="e">
        <v>#VALUE!</v>
      </c>
      <c r="FK167" s="102" t="e">
        <v>#VALUE!</v>
      </c>
      <c r="FL167" s="102" t="e">
        <v>#VALUE!</v>
      </c>
      <c r="FM167" s="102" t="e">
        <v>#VALUE!</v>
      </c>
      <c r="FN167" s="102" t="e">
        <v>#VALUE!</v>
      </c>
      <c r="FO167" s="102" t="e">
        <v>#VALUE!</v>
      </c>
      <c r="FP167" s="102" t="e">
        <v>#VALUE!</v>
      </c>
      <c r="FQ167" s="102" t="e">
        <v>#VALUE!</v>
      </c>
      <c r="FR167" s="102" t="e">
        <v>#VALUE!</v>
      </c>
      <c r="FS167" s="102" t="e">
        <v>#VALUE!</v>
      </c>
      <c r="FT167" s="102" t="e">
        <v>#VALUE!</v>
      </c>
      <c r="FU167" s="102" t="e">
        <v>#VALUE!</v>
      </c>
      <c r="FV167" s="102" t="e">
        <v>#VALUE!</v>
      </c>
      <c r="FW167" s="102" t="e">
        <v>#VALUE!</v>
      </c>
      <c r="FX167" s="102" t="e">
        <v>#VALUE!</v>
      </c>
      <c r="FY167" s="102" t="e">
        <v>#VALUE!</v>
      </c>
      <c r="FZ167" s="102" t="e">
        <v>#VALUE!</v>
      </c>
      <c r="GA167" s="102" t="e">
        <v>#VALUE!</v>
      </c>
      <c r="GB167" s="102" t="e">
        <v>#VALUE!</v>
      </c>
      <c r="GC167" s="102" t="e">
        <v>#VALUE!</v>
      </c>
      <c r="GD167" s="102" t="e">
        <v>#VALUE!</v>
      </c>
      <c r="GF167" s="102">
        <f t="shared" si="524"/>
        <v>0</v>
      </c>
      <c r="GG167" s="102">
        <f t="shared" si="524"/>
        <v>0</v>
      </c>
      <c r="GH167" s="102">
        <f t="shared" si="524"/>
        <v>0</v>
      </c>
      <c r="GI167" s="102">
        <f t="shared" si="524"/>
        <v>0</v>
      </c>
      <c r="GJ167" s="102">
        <f t="shared" si="434"/>
        <v>0</v>
      </c>
      <c r="GK167" s="102">
        <f t="shared" si="407"/>
        <v>0</v>
      </c>
      <c r="GL167" s="102">
        <f t="shared" si="435"/>
        <v>0</v>
      </c>
      <c r="GM167" s="102">
        <f t="shared" si="408"/>
        <v>0</v>
      </c>
      <c r="GN167" s="102" t="e">
        <f t="shared" si="409"/>
        <v>#VALUE!</v>
      </c>
      <c r="GO167" s="102">
        <v>0</v>
      </c>
      <c r="GQ167" s="929" t="str">
        <f t="shared" si="555"/>
        <v/>
      </c>
      <c r="GR167" s="929" t="str">
        <f t="shared" si="555"/>
        <v/>
      </c>
      <c r="GS167" s="929" t="str">
        <f t="shared" si="555"/>
        <v/>
      </c>
      <c r="GT167" s="929" t="str">
        <f t="shared" si="525"/>
        <v/>
      </c>
      <c r="GU167" s="929" t="str">
        <f t="shared" si="525"/>
        <v/>
      </c>
      <c r="GV167" s="929" t="str">
        <f t="shared" si="525"/>
        <v/>
      </c>
      <c r="GW167" s="929" t="str">
        <f t="shared" si="499"/>
        <v/>
      </c>
      <c r="GX167" s="929" t="str">
        <f t="shared" si="499"/>
        <v/>
      </c>
      <c r="GY167" s="929" t="str">
        <f t="shared" si="492"/>
        <v/>
      </c>
      <c r="HA167" s="102">
        <f t="shared" si="556"/>
        <v>0</v>
      </c>
      <c r="HB167" s="102">
        <f t="shared" si="556"/>
        <v>0</v>
      </c>
      <c r="HC167" s="102">
        <f t="shared" si="556"/>
        <v>0</v>
      </c>
      <c r="HD167" s="102">
        <f t="shared" si="500"/>
        <v>0</v>
      </c>
      <c r="HE167" s="102">
        <f t="shared" si="500"/>
        <v>0</v>
      </c>
      <c r="HF167" s="102">
        <f t="shared" si="500"/>
        <v>0</v>
      </c>
      <c r="HG167" s="102" t="e">
        <f t="shared" si="500"/>
        <v>#VALUE!</v>
      </c>
      <c r="HH167" s="102" t="e">
        <f t="shared" si="500"/>
        <v>#VALUE!</v>
      </c>
      <c r="HI167" s="102">
        <f t="shared" si="493"/>
        <v>0</v>
      </c>
      <c r="HK167" s="973"/>
      <c r="HL167" s="973"/>
      <c r="HM167" s="973"/>
      <c r="HN167" s="973"/>
      <c r="HO167" s="973"/>
      <c r="HP167" s="973"/>
      <c r="HQ167" s="973"/>
      <c r="HR167" s="973"/>
      <c r="HS167" s="973"/>
      <c r="HU167" s="102">
        <f t="shared" si="557"/>
        <v>559.99099999999999</v>
      </c>
      <c r="HV167" s="102">
        <f t="shared" si="557"/>
        <v>0</v>
      </c>
      <c r="HW167" s="102">
        <f t="shared" si="557"/>
        <v>0</v>
      </c>
      <c r="HX167" s="102">
        <f t="shared" si="557"/>
        <v>0</v>
      </c>
      <c r="HY167" s="102">
        <f t="shared" si="528"/>
        <v>0</v>
      </c>
      <c r="HZ167" s="102">
        <f t="shared" si="528"/>
        <v>0</v>
      </c>
      <c r="IA167" s="102">
        <f t="shared" si="529"/>
        <v>0</v>
      </c>
      <c r="IB167" s="102">
        <f t="shared" si="530"/>
        <v>0</v>
      </c>
      <c r="IC167" s="102">
        <f t="shared" si="531"/>
        <v>0</v>
      </c>
      <c r="ID167" s="102" t="e">
        <f t="shared" si="417"/>
        <v>#VALUE!</v>
      </c>
      <c r="IE167" s="102" t="e">
        <f t="shared" si="532"/>
        <v>#VALUE!</v>
      </c>
      <c r="IG167" s="102" t="e">
        <f t="shared" si="533"/>
        <v>#VALUE!</v>
      </c>
      <c r="IH167" s="102" t="e">
        <f t="shared" si="534"/>
        <v>#VALUE!</v>
      </c>
      <c r="II167" s="145"/>
      <c r="IJ167" s="929" t="str">
        <f t="shared" si="535"/>
        <v>NA</v>
      </c>
      <c r="IK167" s="930" t="str">
        <f t="shared" si="536"/>
        <v>NA</v>
      </c>
      <c r="IM167" s="973"/>
      <c r="IN167" s="973"/>
      <c r="IP167" s="929" t="str">
        <f t="shared" si="553"/>
        <v/>
      </c>
      <c r="IQ167" s="929" t="str">
        <f t="shared" si="553"/>
        <v/>
      </c>
      <c r="IR167" s="929" t="str">
        <f t="shared" si="553"/>
        <v/>
      </c>
      <c r="IS167" s="929" t="str">
        <f t="shared" si="553"/>
        <v/>
      </c>
      <c r="IT167" s="929" t="str">
        <f t="shared" si="553"/>
        <v/>
      </c>
      <c r="IU167" s="929" t="str">
        <f t="shared" si="553"/>
        <v/>
      </c>
      <c r="IV167" s="929" t="str">
        <f t="shared" si="554"/>
        <v/>
      </c>
      <c r="IX167" s="102">
        <f t="shared" si="538"/>
        <v>0</v>
      </c>
      <c r="IY167" s="102">
        <f t="shared" si="538"/>
        <v>0</v>
      </c>
      <c r="IZ167" s="102">
        <f t="shared" si="538"/>
        <v>0</v>
      </c>
      <c r="JA167" s="102">
        <f t="shared" si="538"/>
        <v>0</v>
      </c>
      <c r="JB167" s="102">
        <f t="shared" si="538"/>
        <v>0</v>
      </c>
      <c r="JC167" s="102">
        <f t="shared" si="538"/>
        <v>0</v>
      </c>
      <c r="JD167" s="102" t="e">
        <f t="shared" si="539"/>
        <v>#VALUE!</v>
      </c>
      <c r="JF167" s="973"/>
      <c r="JG167" s="973"/>
      <c r="JH167" s="973"/>
      <c r="JI167" s="973"/>
      <c r="JJ167" s="973"/>
      <c r="JK167" s="973"/>
      <c r="JL167" s="973"/>
      <c r="JM167" s="973"/>
      <c r="JO167" s="102">
        <f t="shared" si="540"/>
        <v>559.99099999999999</v>
      </c>
      <c r="JP167" s="102">
        <f t="shared" si="540"/>
        <v>0</v>
      </c>
      <c r="JQ167" s="102">
        <f t="shared" si="540"/>
        <v>0</v>
      </c>
      <c r="JR167" s="102">
        <f t="shared" si="540"/>
        <v>0</v>
      </c>
      <c r="JS167" s="102">
        <f t="shared" si="540"/>
        <v>0</v>
      </c>
      <c r="JT167" s="102">
        <f t="shared" si="541"/>
        <v>0</v>
      </c>
      <c r="JU167" s="102">
        <f t="shared" si="542"/>
        <v>0</v>
      </c>
      <c r="JV167" s="102">
        <f t="shared" si="543"/>
        <v>0</v>
      </c>
      <c r="JW167" s="102">
        <f t="shared" si="543"/>
        <v>0</v>
      </c>
      <c r="JX167" s="102" t="e">
        <f t="shared" si="544"/>
        <v>#VALUE!</v>
      </c>
      <c r="JY167" s="102" t="e">
        <f t="shared" si="545"/>
        <v>#VALUE!</v>
      </c>
      <c r="KB167" s="32" t="str">
        <f t="shared" si="546"/>
        <v xml:space="preserve"> </v>
      </c>
      <c r="KC167" s="32" t="str">
        <f t="shared" si="546"/>
        <v xml:space="preserve"> </v>
      </c>
      <c r="KD167" s="32" t="str">
        <f t="shared" si="546"/>
        <v xml:space="preserve"> </v>
      </c>
      <c r="KE167" s="32" t="str">
        <f t="shared" si="546"/>
        <v xml:space="preserve"> </v>
      </c>
      <c r="KF167" s="32" t="str">
        <f t="shared" si="546"/>
        <v xml:space="preserve"> </v>
      </c>
      <c r="KG167" s="32" t="str">
        <f t="shared" si="546"/>
        <v xml:space="preserve"> </v>
      </c>
      <c r="KH167" s="32" t="str">
        <f t="shared" si="431"/>
        <v xml:space="preserve"> </v>
      </c>
      <c r="KJ167" s="102">
        <f t="shared" si="547"/>
        <v>0</v>
      </c>
      <c r="KK167" s="102">
        <f t="shared" si="547"/>
        <v>0</v>
      </c>
      <c r="KL167" s="102">
        <f t="shared" si="547"/>
        <v>0</v>
      </c>
      <c r="KM167" s="102">
        <f t="shared" si="547"/>
        <v>0</v>
      </c>
      <c r="KN167" s="102">
        <f t="shared" si="547"/>
        <v>0</v>
      </c>
      <c r="KO167" s="102">
        <f t="shared" si="547"/>
        <v>0</v>
      </c>
      <c r="KP167" s="102" t="e">
        <f t="shared" si="433"/>
        <v>#VALUE!</v>
      </c>
      <c r="KR167" s="973"/>
      <c r="KS167" s="973"/>
      <c r="KT167" s="973"/>
      <c r="KU167" s="973"/>
      <c r="KV167" s="973"/>
      <c r="KW167" s="973"/>
      <c r="KX167" s="973"/>
      <c r="KY167" s="973"/>
      <c r="KZ167" s="973"/>
    </row>
    <row r="168" spans="1:312" outlineLevel="1">
      <c r="A168" s="884"/>
      <c r="B168" s="70"/>
      <c r="C168" s="17" t="s">
        <v>144</v>
      </c>
      <c r="D168" s="31" t="s">
        <v>59</v>
      </c>
      <c r="E168" s="102">
        <v>530.74354000000005</v>
      </c>
      <c r="F168" s="102">
        <v>433.26112499999999</v>
      </c>
      <c r="G168" s="102">
        <v>386.045658</v>
      </c>
      <c r="H168" s="102">
        <v>466.32072500000004</v>
      </c>
      <c r="I168" s="102">
        <v>405.92260900000002</v>
      </c>
      <c r="J168" s="102">
        <v>483.63515000000001</v>
      </c>
      <c r="K168" s="102">
        <v>477.052075</v>
      </c>
      <c r="L168" s="102">
        <v>468.15261800000002</v>
      </c>
      <c r="M168" s="102">
        <v>433.97758499999998</v>
      </c>
      <c r="N168" s="102">
        <v>415.49543999999997</v>
      </c>
      <c r="O168" s="102">
        <v>477.59211299999998</v>
      </c>
      <c r="P168" s="102">
        <v>443.16883100000001</v>
      </c>
      <c r="Q168" s="102">
        <v>464.18747000000002</v>
      </c>
      <c r="R168" s="102">
        <v>492.24042300000002</v>
      </c>
      <c r="S168" s="102">
        <v>548.76393399999995</v>
      </c>
      <c r="T168" s="102">
        <v>531.25689199999999</v>
      </c>
      <c r="U168" s="102">
        <v>475.44549700000005</v>
      </c>
      <c r="V168" s="102">
        <v>495.63077400000003</v>
      </c>
      <c r="W168" s="102">
        <v>431.40445799999998</v>
      </c>
      <c r="X168" s="102">
        <v>484.33236599999998</v>
      </c>
      <c r="Y168" s="102">
        <v>435.36238799999995</v>
      </c>
      <c r="Z168" s="102">
        <v>445.11995000000002</v>
      </c>
      <c r="AA168" s="102">
        <v>424.90312399999993</v>
      </c>
      <c r="AB168" s="102">
        <v>410.98695500000002</v>
      </c>
      <c r="AC168" s="102">
        <v>371.73032060000003</v>
      </c>
      <c r="AD168" s="102">
        <v>388.88734762000001</v>
      </c>
      <c r="AE168" s="102">
        <v>379.91873569999996</v>
      </c>
      <c r="AF168" s="102">
        <v>407.45360977999997</v>
      </c>
      <c r="AG168" s="102">
        <v>470.94395886000007</v>
      </c>
      <c r="AH168" s="102">
        <v>413.79353897999999</v>
      </c>
      <c r="AI168" s="102">
        <v>433.19265727000004</v>
      </c>
      <c r="AJ168" s="102">
        <v>497.88483737999996</v>
      </c>
      <c r="AK168" s="102">
        <v>478.82800219999996</v>
      </c>
      <c r="AL168" s="102">
        <v>517.47233024000002</v>
      </c>
      <c r="AM168" s="102">
        <v>669.26870259999998</v>
      </c>
      <c r="AN168" s="143">
        <v>536.001668</v>
      </c>
      <c r="AO168" s="975">
        <v>581.91832107000005</v>
      </c>
      <c r="AP168" s="976">
        <v>-232.58423220000003</v>
      </c>
      <c r="AQ168" s="975">
        <v>-374.21058670000002</v>
      </c>
      <c r="AR168" s="975">
        <v>322.78724963000002</v>
      </c>
      <c r="AS168" s="975">
        <v>454.08529162999997</v>
      </c>
      <c r="AT168" s="975">
        <v>276.08451862999999</v>
      </c>
      <c r="AU168" s="975">
        <v>340.86958762999996</v>
      </c>
      <c r="AV168" s="975">
        <v>256.91808662999995</v>
      </c>
      <c r="AW168" s="975">
        <v>260.26211862999997</v>
      </c>
      <c r="AX168" s="975">
        <v>274.56788762999997</v>
      </c>
      <c r="AY168" s="975">
        <v>290.48159263000002</v>
      </c>
      <c r="AZ168" s="102">
        <f>SUM(AZ169:AZ170)</f>
        <v>223.465464</v>
      </c>
      <c r="BA168" s="102">
        <v>148.465722</v>
      </c>
      <c r="BB168" s="102">
        <v>159.024902</v>
      </c>
      <c r="BC168" s="102">
        <v>218.25161599999998</v>
      </c>
      <c r="BD168" s="102">
        <v>85.566799000000003</v>
      </c>
      <c r="BE168" s="102">
        <v>75.885096000000004</v>
      </c>
      <c r="BF168" s="102">
        <v>245.18224599999999</v>
      </c>
      <c r="BG168" s="102">
        <v>7.4352799999999997</v>
      </c>
      <c r="BH168" s="102">
        <v>4.5566149999999999</v>
      </c>
      <c r="BI168" s="102">
        <v>2.2957109999999998</v>
      </c>
      <c r="BJ168" s="102">
        <v>2.2916410800000002</v>
      </c>
      <c r="BK168" s="102">
        <v>2.2669092800000001</v>
      </c>
      <c r="BL168" s="145">
        <f>SUM(BL169:BL170)</f>
        <v>0.50640128000000006</v>
      </c>
      <c r="BM168" s="145">
        <f t="shared" ref="BM168:DH168" si="558">SUM(BM169:BM170)</f>
        <v>0.63853928000000004</v>
      </c>
      <c r="BN168" s="102">
        <f t="shared" si="558"/>
        <v>1.16658928</v>
      </c>
      <c r="BO168" s="102">
        <f t="shared" si="558"/>
        <v>1.6526092600000002</v>
      </c>
      <c r="BP168" s="102">
        <f t="shared" si="558"/>
        <v>-1.5180767399999999</v>
      </c>
      <c r="BQ168" s="102">
        <f t="shared" si="558"/>
        <v>-2.0384837399999998</v>
      </c>
      <c r="BR168" s="102">
        <f t="shared" si="558"/>
        <v>-2.2901507400000001</v>
      </c>
      <c r="BS168" s="102">
        <f t="shared" si="558"/>
        <v>-4.3364677399999998</v>
      </c>
      <c r="BT168" s="102">
        <f t="shared" si="558"/>
        <v>-6.1991367400000001</v>
      </c>
      <c r="BU168" s="102">
        <f t="shared" si="558"/>
        <v>-6.18004175</v>
      </c>
      <c r="BV168" s="102">
        <f t="shared" si="558"/>
        <v>-6.24161375</v>
      </c>
      <c r="BW168" s="102">
        <f t="shared" si="558"/>
        <v>-6.03735775</v>
      </c>
      <c r="BX168" s="102">
        <f t="shared" si="558"/>
        <v>0</v>
      </c>
      <c r="BY168" s="102">
        <f t="shared" si="558"/>
        <v>1.2118E-2</v>
      </c>
      <c r="BZ168" s="102">
        <f t="shared" si="558"/>
        <v>-7.0792820000000001</v>
      </c>
      <c r="CA168" s="102">
        <f t="shared" si="558"/>
        <v>-13.537917</v>
      </c>
      <c r="CB168" s="102">
        <f t="shared" si="558"/>
        <v>-12.547488999999999</v>
      </c>
      <c r="CC168" s="102">
        <f t="shared" si="558"/>
        <v>-12.742905</v>
      </c>
      <c r="CD168" s="102">
        <f t="shared" si="558"/>
        <v>-10.753875000000001</v>
      </c>
      <c r="CE168" s="102">
        <f t="shared" si="558"/>
        <v>-13.773975</v>
      </c>
      <c r="CF168" s="102">
        <f t="shared" si="558"/>
        <v>0</v>
      </c>
      <c r="CG168" s="102">
        <f t="shared" si="558"/>
        <v>1.2599999900000001</v>
      </c>
      <c r="CH168" s="102">
        <f t="shared" si="558"/>
        <v>0.14000000000000001</v>
      </c>
      <c r="CI168" s="102">
        <f t="shared" si="558"/>
        <v>-2E-8</v>
      </c>
      <c r="CJ168" s="102">
        <f t="shared" si="558"/>
        <v>0</v>
      </c>
      <c r="CK168" s="102">
        <f t="shared" si="558"/>
        <v>0.3</v>
      </c>
      <c r="CL168" s="102">
        <f t="shared" si="558"/>
        <v>0</v>
      </c>
      <c r="CM168" s="102">
        <f t="shared" si="558"/>
        <v>0.5</v>
      </c>
      <c r="CN168" s="102">
        <f t="shared" si="558"/>
        <v>0</v>
      </c>
      <c r="CO168" s="102">
        <f t="shared" si="558"/>
        <v>0</v>
      </c>
      <c r="CP168" s="102">
        <f t="shared" si="558"/>
        <v>2.9999999999999997E-8</v>
      </c>
      <c r="CQ168" s="102">
        <f t="shared" si="558"/>
        <v>2.9999999999999997E-8</v>
      </c>
      <c r="CR168" s="102">
        <f t="shared" si="558"/>
        <v>2.9999999999999997E-8</v>
      </c>
      <c r="CS168" s="102">
        <f t="shared" si="558"/>
        <v>4.4273608699999993</v>
      </c>
      <c r="CT168" s="102">
        <f t="shared" si="558"/>
        <v>2.0498078400000002</v>
      </c>
      <c r="CU168" s="102">
        <f t="shared" si="558"/>
        <v>-1.5424871599999999</v>
      </c>
      <c r="CV168" s="102">
        <f t="shared" si="558"/>
        <v>-1.26</v>
      </c>
      <c r="CW168" s="102">
        <f t="shared" si="558"/>
        <v>0.14000000000000001</v>
      </c>
      <c r="CX168" s="102">
        <f t="shared" si="558"/>
        <v>-2</v>
      </c>
      <c r="CY168" s="102">
        <f t="shared" si="558"/>
        <v>38.97</v>
      </c>
      <c r="CZ168" s="102">
        <f t="shared" si="558"/>
        <v>-3.42</v>
      </c>
      <c r="DA168" s="102">
        <f t="shared" si="558"/>
        <v>0</v>
      </c>
      <c r="DB168" s="102">
        <f t="shared" si="558"/>
        <v>0</v>
      </c>
      <c r="DC168" s="102">
        <f t="shared" si="558"/>
        <v>0</v>
      </c>
      <c r="DD168" s="102">
        <f t="shared" si="558"/>
        <v>0</v>
      </c>
      <c r="DE168" s="102">
        <f t="shared" si="558"/>
        <v>0.02</v>
      </c>
      <c r="DF168" s="102">
        <f t="shared" si="558"/>
        <v>0.56000000000000005</v>
      </c>
      <c r="DG168" s="102">
        <f t="shared" si="558"/>
        <v>0</v>
      </c>
      <c r="DH168" s="102">
        <f t="shared" si="558"/>
        <v>0</v>
      </c>
      <c r="DI168" s="77"/>
      <c r="DJ168" s="102" t="e">
        <f t="shared" ref="DJ168:FU168" si="559">SUM(DJ169:DJ170)</f>
        <v>#VALUE!</v>
      </c>
      <c r="DK168" s="102" t="e">
        <f t="shared" si="559"/>
        <v>#VALUE!</v>
      </c>
      <c r="DL168" s="102" t="e">
        <f t="shared" si="559"/>
        <v>#VALUE!</v>
      </c>
      <c r="DM168" s="102" t="e">
        <f t="shared" si="559"/>
        <v>#VALUE!</v>
      </c>
      <c r="DN168" s="102" t="e">
        <f t="shared" si="559"/>
        <v>#VALUE!</v>
      </c>
      <c r="DO168" s="102" t="e">
        <f t="shared" si="559"/>
        <v>#VALUE!</v>
      </c>
      <c r="DP168" s="102" t="e">
        <f t="shared" si="559"/>
        <v>#VALUE!</v>
      </c>
      <c r="DQ168" s="102" t="e">
        <f t="shared" si="559"/>
        <v>#VALUE!</v>
      </c>
      <c r="DR168" s="102" t="e">
        <f t="shared" si="559"/>
        <v>#VALUE!</v>
      </c>
      <c r="DS168" s="102" t="e">
        <f t="shared" si="559"/>
        <v>#VALUE!</v>
      </c>
      <c r="DT168" s="102" t="e">
        <f t="shared" si="559"/>
        <v>#VALUE!</v>
      </c>
      <c r="DU168" s="102" t="e">
        <f t="shared" si="559"/>
        <v>#VALUE!</v>
      </c>
      <c r="DV168" s="279"/>
      <c r="DW168" s="102">
        <f t="shared" si="559"/>
        <v>216.58224463639331</v>
      </c>
      <c r="DX168" s="102">
        <f t="shared" si="559"/>
        <v>208.29335148114853</v>
      </c>
      <c r="DY168" s="102">
        <f t="shared" si="559"/>
        <v>213.51107015762619</v>
      </c>
      <c r="DZ168" s="102">
        <f t="shared" si="559"/>
        <v>211.55012517092555</v>
      </c>
      <c r="EA168" s="102">
        <f t="shared" si="559"/>
        <v>208.18710158791333</v>
      </c>
      <c r="EB168" s="102">
        <f t="shared" si="559"/>
        <v>209.89874975991188</v>
      </c>
      <c r="EC168" s="102">
        <f t="shared" si="559"/>
        <v>217.41227908562544</v>
      </c>
      <c r="ED168" s="102">
        <f t="shared" si="559"/>
        <v>218.77686029961541</v>
      </c>
      <c r="EE168" s="102">
        <f t="shared" si="559"/>
        <v>216.12981751357714</v>
      </c>
      <c r="EF168" s="102">
        <f t="shared" si="559"/>
        <v>217.98714863933719</v>
      </c>
      <c r="EG168" s="102">
        <f t="shared" si="559"/>
        <v>216.11426205917934</v>
      </c>
      <c r="EH168" s="102">
        <f t="shared" si="559"/>
        <v>228.91231505170376</v>
      </c>
      <c r="EI168" s="102">
        <f t="shared" si="559"/>
        <v>137.26288771328001</v>
      </c>
      <c r="EJ168" s="102">
        <f t="shared" si="559"/>
        <v>173.64492771328</v>
      </c>
      <c r="EK168" s="102">
        <f t="shared" si="559"/>
        <v>174.97772212447998</v>
      </c>
      <c r="EL168" s="102">
        <f t="shared" si="559"/>
        <v>199.12211628984323</v>
      </c>
      <c r="EM168" s="102">
        <f t="shared" si="559"/>
        <v>207.13192620984321</v>
      </c>
      <c r="EN168" s="102">
        <f t="shared" si="559"/>
        <v>242.91053570058239</v>
      </c>
      <c r="EO168" s="102">
        <f t="shared" si="559"/>
        <v>253.9717504205824</v>
      </c>
      <c r="EP168" s="102">
        <f t="shared" si="559"/>
        <v>262.63712514058238</v>
      </c>
      <c r="EQ168" s="102">
        <f t="shared" si="559"/>
        <v>263.8425825022976</v>
      </c>
      <c r="ER168" s="102">
        <f t="shared" si="559"/>
        <v>268.9917460222976</v>
      </c>
      <c r="ES168" s="102">
        <f t="shared" si="559"/>
        <v>254.56932042229755</v>
      </c>
      <c r="ET168" s="102">
        <f t="shared" si="559"/>
        <v>211.65962442229761</v>
      </c>
      <c r="EU168" s="102">
        <f t="shared" si="559"/>
        <v>175.63385084245999</v>
      </c>
      <c r="EV168" s="102">
        <f t="shared" si="559"/>
        <v>170.73100304245997</v>
      </c>
      <c r="EW168" s="102">
        <f t="shared" si="559"/>
        <v>176.37378424245998</v>
      </c>
      <c r="EX168" s="102">
        <f t="shared" si="559"/>
        <v>166.03494824246002</v>
      </c>
      <c r="EY168" s="102">
        <f t="shared" si="559"/>
        <v>174.53269384246002</v>
      </c>
      <c r="EZ168" s="102">
        <f t="shared" si="559"/>
        <v>148.97102184246</v>
      </c>
      <c r="FA168" s="102">
        <f t="shared" si="559"/>
        <v>167.67819224246</v>
      </c>
      <c r="FB168" s="102">
        <f t="shared" si="559"/>
        <v>135.41657504246001</v>
      </c>
      <c r="FC168" s="102">
        <f t="shared" si="559"/>
        <v>124.59294284246002</v>
      </c>
      <c r="FD168" s="102">
        <f t="shared" si="559"/>
        <v>114.82494284246002</v>
      </c>
      <c r="FE168" s="102">
        <f t="shared" si="559"/>
        <v>119.70894284246</v>
      </c>
      <c r="FF168" s="102">
        <f t="shared" si="559"/>
        <v>114.82494284246002</v>
      </c>
      <c r="FG168" s="102" t="e">
        <f t="shared" si="559"/>
        <v>#VALUE!</v>
      </c>
      <c r="FH168" s="102" t="e">
        <f t="shared" si="559"/>
        <v>#VALUE!</v>
      </c>
      <c r="FI168" s="102" t="e">
        <f t="shared" si="559"/>
        <v>#VALUE!</v>
      </c>
      <c r="FJ168" s="102" t="e">
        <f t="shared" si="559"/>
        <v>#VALUE!</v>
      </c>
      <c r="FK168" s="102" t="e">
        <f t="shared" si="559"/>
        <v>#VALUE!</v>
      </c>
      <c r="FL168" s="102" t="e">
        <f t="shared" si="559"/>
        <v>#VALUE!</v>
      </c>
      <c r="FM168" s="102" t="e">
        <f t="shared" si="559"/>
        <v>#VALUE!</v>
      </c>
      <c r="FN168" s="102" t="e">
        <f t="shared" si="559"/>
        <v>#VALUE!</v>
      </c>
      <c r="FO168" s="102" t="e">
        <f t="shared" si="559"/>
        <v>#VALUE!</v>
      </c>
      <c r="FP168" s="102" t="e">
        <f t="shared" si="559"/>
        <v>#VALUE!</v>
      </c>
      <c r="FQ168" s="102" t="e">
        <f t="shared" si="559"/>
        <v>#VALUE!</v>
      </c>
      <c r="FR168" s="102" t="e">
        <f t="shared" si="559"/>
        <v>#VALUE!</v>
      </c>
      <c r="FS168" s="102" t="e">
        <f t="shared" si="559"/>
        <v>#VALUE!</v>
      </c>
      <c r="FT168" s="102" t="e">
        <f t="shared" si="559"/>
        <v>#VALUE!</v>
      </c>
      <c r="FU168" s="102" t="e">
        <f t="shared" si="559"/>
        <v>#VALUE!</v>
      </c>
      <c r="FV168" s="102" t="e">
        <f t="shared" ref="FV168:GD168" si="560">SUM(FV169:FV170)</f>
        <v>#VALUE!</v>
      </c>
      <c r="FW168" s="102" t="e">
        <f t="shared" si="560"/>
        <v>#VALUE!</v>
      </c>
      <c r="FX168" s="102" t="e">
        <f t="shared" si="560"/>
        <v>#VALUE!</v>
      </c>
      <c r="FY168" s="102" t="e">
        <f t="shared" si="560"/>
        <v>#VALUE!</v>
      </c>
      <c r="FZ168" s="102" t="e">
        <f t="shared" si="560"/>
        <v>#VALUE!</v>
      </c>
      <c r="GA168" s="102" t="e">
        <f t="shared" si="560"/>
        <v>#VALUE!</v>
      </c>
      <c r="GB168" s="102" t="e">
        <f t="shared" si="560"/>
        <v>#VALUE!</v>
      </c>
      <c r="GC168" s="102" t="e">
        <f t="shared" si="560"/>
        <v>#VALUE!</v>
      </c>
      <c r="GD168" s="102" t="e">
        <f t="shared" si="560"/>
        <v>#VALUE!</v>
      </c>
      <c r="GF168" s="102">
        <f t="shared" si="524"/>
        <v>443.16883100000001</v>
      </c>
      <c r="GG168" s="102">
        <f t="shared" si="524"/>
        <v>410.98695500000002</v>
      </c>
      <c r="GH168" s="102">
        <f t="shared" si="524"/>
        <v>536.001668</v>
      </c>
      <c r="GI168" s="102">
        <f t="shared" si="524"/>
        <v>223.465464</v>
      </c>
      <c r="GJ168" s="102">
        <f t="shared" si="434"/>
        <v>0.50640128000000006</v>
      </c>
      <c r="GK168" s="102">
        <f t="shared" si="407"/>
        <v>0</v>
      </c>
      <c r="GL168" s="102">
        <f t="shared" si="435"/>
        <v>0</v>
      </c>
      <c r="GM168" s="102">
        <f t="shared" si="408"/>
        <v>-1.26</v>
      </c>
      <c r="GN168" s="102" t="e">
        <f t="shared" si="409"/>
        <v>#VALUE!</v>
      </c>
      <c r="GO168" s="102">
        <v>0</v>
      </c>
      <c r="GQ168" s="929">
        <f t="shared" si="555"/>
        <v>0.3041817057186158</v>
      </c>
      <c r="GR168" s="929">
        <f t="shared" si="555"/>
        <v>-0.58308811830040796</v>
      </c>
      <c r="GS168" s="929">
        <f t="shared" si="555"/>
        <v>-0.99773387229088784</v>
      </c>
      <c r="GT168" s="929">
        <f t="shared" si="525"/>
        <v>-1</v>
      </c>
      <c r="GU168" s="929" t="str">
        <f t="shared" si="525"/>
        <v/>
      </c>
      <c r="GV168" s="929" t="str">
        <f t="shared" si="525"/>
        <v/>
      </c>
      <c r="GW168" s="929" t="str">
        <f t="shared" si="499"/>
        <v/>
      </c>
      <c r="GX168" s="929" t="str">
        <f t="shared" si="499"/>
        <v/>
      </c>
      <c r="GY168" s="929">
        <f t="shared" si="492"/>
        <v>-1</v>
      </c>
      <c r="HA168" s="102">
        <f t="shared" si="556"/>
        <v>125.01471299999997</v>
      </c>
      <c r="HB168" s="102">
        <f t="shared" si="556"/>
        <v>-312.536204</v>
      </c>
      <c r="HC168" s="102">
        <f t="shared" si="556"/>
        <v>-222.95906271999999</v>
      </c>
      <c r="HD168" s="102">
        <f t="shared" si="500"/>
        <v>-0.50640128000000006</v>
      </c>
      <c r="HE168" s="102">
        <f t="shared" si="500"/>
        <v>0</v>
      </c>
      <c r="HF168" s="102">
        <f t="shared" si="500"/>
        <v>-1.26</v>
      </c>
      <c r="HG168" s="102" t="e">
        <f t="shared" si="500"/>
        <v>#VALUE!</v>
      </c>
      <c r="HH168" s="102" t="e">
        <f t="shared" si="500"/>
        <v>#VALUE!</v>
      </c>
      <c r="HI168" s="102">
        <f t="shared" si="493"/>
        <v>1.26</v>
      </c>
      <c r="HK168" s="973"/>
      <c r="HL168" s="973"/>
      <c r="HM168" s="973"/>
      <c r="HN168" s="973"/>
      <c r="HO168" s="973"/>
      <c r="HP168" s="973"/>
      <c r="HQ168" s="973"/>
      <c r="HR168" s="973"/>
      <c r="HS168" s="973"/>
      <c r="HU168" s="102">
        <f t="shared" si="557"/>
        <v>483.63515000000001</v>
      </c>
      <c r="HV168" s="102">
        <f t="shared" si="557"/>
        <v>495.63077400000003</v>
      </c>
      <c r="HW168" s="102">
        <f t="shared" si="557"/>
        <v>413.79353897999999</v>
      </c>
      <c r="HX168" s="102">
        <f t="shared" si="557"/>
        <v>276.08451862999999</v>
      </c>
      <c r="HY168" s="102">
        <f t="shared" si="528"/>
        <v>245.18224599999999</v>
      </c>
      <c r="HZ168" s="102">
        <f t="shared" si="528"/>
        <v>-2.2901507400000001</v>
      </c>
      <c r="IA168" s="102">
        <f t="shared" si="529"/>
        <v>-10.753875000000001</v>
      </c>
      <c r="IB168" s="102">
        <f t="shared" si="530"/>
        <v>2.9999999999999997E-8</v>
      </c>
      <c r="IC168" s="102">
        <f t="shared" si="531"/>
        <v>0</v>
      </c>
      <c r="ID168" s="102" t="e">
        <f t="shared" si="417"/>
        <v>#VALUE!</v>
      </c>
      <c r="IE168" s="102" t="e">
        <f t="shared" si="532"/>
        <v>#VALUE!</v>
      </c>
      <c r="IG168" s="102" t="e">
        <f t="shared" si="533"/>
        <v>#VALUE!</v>
      </c>
      <c r="IH168" s="102" t="e">
        <f t="shared" si="534"/>
        <v>#VALUE!</v>
      </c>
      <c r="II168" s="145"/>
      <c r="IJ168" s="929" t="str">
        <f t="shared" si="535"/>
        <v>NA</v>
      </c>
      <c r="IK168" s="930" t="str">
        <f t="shared" si="536"/>
        <v>NA</v>
      </c>
      <c r="IM168" s="973"/>
      <c r="IN168" s="973"/>
      <c r="IP168" s="929">
        <f t="shared" si="553"/>
        <v>-0.16511733998986922</v>
      </c>
      <c r="IQ168" s="929">
        <f t="shared" si="553"/>
        <v>-0.3327964488992563</v>
      </c>
      <c r="IR168" s="929">
        <f t="shared" si="553"/>
        <v>-0.11193047977968762</v>
      </c>
      <c r="IS168" s="929">
        <f t="shared" si="553"/>
        <v>-1.0093406059262546</v>
      </c>
      <c r="IT168" s="929">
        <f t="shared" si="553"/>
        <v>3.6957061874451114</v>
      </c>
      <c r="IU168" s="929">
        <f t="shared" si="553"/>
        <v>-1.000000002789692</v>
      </c>
      <c r="IV168" s="929" t="str">
        <f t="shared" si="554"/>
        <v/>
      </c>
      <c r="IX168" s="102">
        <f t="shared" si="538"/>
        <v>-81.837235020000037</v>
      </c>
      <c r="IY168" s="102">
        <f t="shared" si="538"/>
        <v>-137.70902035</v>
      </c>
      <c r="IZ168" s="102">
        <f t="shared" si="538"/>
        <v>-30.902272629999999</v>
      </c>
      <c r="JA168" s="102">
        <f t="shared" si="538"/>
        <v>-247.47239673999999</v>
      </c>
      <c r="JB168" s="102">
        <f t="shared" si="538"/>
        <v>-8.4637242600000011</v>
      </c>
      <c r="JC168" s="102">
        <f t="shared" si="538"/>
        <v>10.753875030000001</v>
      </c>
      <c r="JD168" s="102" t="e">
        <f t="shared" si="539"/>
        <v>#VALUE!</v>
      </c>
      <c r="JF168" s="973"/>
      <c r="JG168" s="973"/>
      <c r="JH168" s="973"/>
      <c r="JI168" s="973"/>
      <c r="JJ168" s="973"/>
      <c r="JK168" s="973"/>
      <c r="JL168" s="973"/>
      <c r="JM168" s="973"/>
      <c r="JO168" s="102">
        <f t="shared" si="540"/>
        <v>483.63515000000001</v>
      </c>
      <c r="JP168" s="102">
        <f t="shared" si="540"/>
        <v>495.63077400000003</v>
      </c>
      <c r="JQ168" s="102">
        <f t="shared" si="540"/>
        <v>413.79353897999999</v>
      </c>
      <c r="JR168" s="102">
        <f t="shared" si="540"/>
        <v>276.08451862999999</v>
      </c>
      <c r="JS168" s="102">
        <f t="shared" si="540"/>
        <v>245.18224599999999</v>
      </c>
      <c r="JT168" s="102">
        <f t="shared" si="541"/>
        <v>-2.2901507400000001</v>
      </c>
      <c r="JU168" s="102">
        <f t="shared" si="542"/>
        <v>-10.753875000000001</v>
      </c>
      <c r="JV168" s="102">
        <f t="shared" si="543"/>
        <v>2.9999999999999997E-8</v>
      </c>
      <c r="JW168" s="102">
        <f t="shared" si="543"/>
        <v>0</v>
      </c>
      <c r="JX168" s="102" t="e">
        <f t="shared" si="544"/>
        <v>#VALUE!</v>
      </c>
      <c r="JY168" s="102" t="e">
        <f t="shared" si="545"/>
        <v>#VALUE!</v>
      </c>
      <c r="KB168" s="32">
        <f t="shared" si="546"/>
        <v>-0.16511733998986922</v>
      </c>
      <c r="KC168" s="32">
        <f t="shared" si="546"/>
        <v>-0.3327964488992563</v>
      </c>
      <c r="KD168" s="32">
        <f t="shared" si="546"/>
        <v>-0.11193047977968762</v>
      </c>
      <c r="KE168" s="32">
        <f t="shared" si="546"/>
        <v>-1.0093406059262546</v>
      </c>
      <c r="KF168" s="32">
        <f t="shared" si="546"/>
        <v>3.6957061874451114</v>
      </c>
      <c r="KG168" s="32">
        <f t="shared" si="546"/>
        <v>-1.000000002789692</v>
      </c>
      <c r="KH168" s="32" t="str">
        <f t="shared" si="431"/>
        <v xml:space="preserve"> </v>
      </c>
      <c r="KJ168" s="102">
        <f t="shared" si="547"/>
        <v>-81.837235020000037</v>
      </c>
      <c r="KK168" s="102">
        <f t="shared" si="547"/>
        <v>-137.70902035</v>
      </c>
      <c r="KL168" s="102">
        <f t="shared" si="547"/>
        <v>-30.902272629999999</v>
      </c>
      <c r="KM168" s="102">
        <f t="shared" si="547"/>
        <v>-247.47239673999999</v>
      </c>
      <c r="KN168" s="102">
        <f t="shared" si="547"/>
        <v>-8.4637242600000011</v>
      </c>
      <c r="KO168" s="102">
        <f t="shared" si="547"/>
        <v>10.753875030000001</v>
      </c>
      <c r="KP168" s="102" t="e">
        <f t="shared" si="433"/>
        <v>#VALUE!</v>
      </c>
      <c r="KR168" s="973"/>
      <c r="KS168" s="973"/>
      <c r="KT168" s="973"/>
      <c r="KU168" s="973"/>
      <c r="KV168" s="973"/>
      <c r="KW168" s="973"/>
      <c r="KX168" s="973"/>
      <c r="KY168" s="973"/>
      <c r="KZ168" s="973"/>
    </row>
    <row r="169" spans="1:312" hidden="1" outlineLevel="2">
      <c r="A169" s="884">
        <v>2370</v>
      </c>
      <c r="B169" s="70" t="s">
        <v>733</v>
      </c>
      <c r="D169" s="31"/>
      <c r="E169" s="102">
        <v>384.25884000000002</v>
      </c>
      <c r="F169" s="102">
        <v>319.61672499999997</v>
      </c>
      <c r="G169" s="102">
        <v>287.99975799999999</v>
      </c>
      <c r="H169" s="102">
        <v>338.99866500000002</v>
      </c>
      <c r="I169" s="102">
        <v>292.62710900000002</v>
      </c>
      <c r="J169" s="102">
        <v>353.12815000000001</v>
      </c>
      <c r="K169" s="102">
        <v>351.009075</v>
      </c>
      <c r="L169" s="102">
        <v>345.40621800000002</v>
      </c>
      <c r="M169" s="102">
        <v>317.16778499999998</v>
      </c>
      <c r="N169" s="102">
        <v>293.35163999999997</v>
      </c>
      <c r="O169" s="102">
        <v>346.48591299999998</v>
      </c>
      <c r="P169" s="102">
        <v>318.90383100000003</v>
      </c>
      <c r="Q169" s="102">
        <v>289.39217000000002</v>
      </c>
      <c r="R169" s="102">
        <v>337.07215500000001</v>
      </c>
      <c r="S169" s="102">
        <v>391.96279399999997</v>
      </c>
      <c r="T169" s="102">
        <v>208.315752</v>
      </c>
      <c r="U169" s="102">
        <v>317.85803300000003</v>
      </c>
      <c r="V169" s="102">
        <v>340.08126400000003</v>
      </c>
      <c r="W169" s="102">
        <v>288.37420599999996</v>
      </c>
      <c r="X169" s="102">
        <v>338.27097099999997</v>
      </c>
      <c r="Y169" s="102">
        <v>294.52610799999997</v>
      </c>
      <c r="Z169" s="102">
        <v>301.49129099999999</v>
      </c>
      <c r="AA169" s="102">
        <v>274.89219899999995</v>
      </c>
      <c r="AB169" s="102">
        <v>244.03421500000002</v>
      </c>
      <c r="AC169" s="102">
        <v>229.62072359999999</v>
      </c>
      <c r="AD169" s="102">
        <v>241.71609161999999</v>
      </c>
      <c r="AE169" s="102">
        <v>233.52447569999998</v>
      </c>
      <c r="AF169" s="102">
        <v>264.07981178</v>
      </c>
      <c r="AG169" s="102">
        <v>311.61188786000002</v>
      </c>
      <c r="AH169" s="102">
        <v>261.08146998000001</v>
      </c>
      <c r="AI169" s="102">
        <v>285.87215727</v>
      </c>
      <c r="AJ169" s="102">
        <v>329.17374337999996</v>
      </c>
      <c r="AK169" s="102">
        <v>314.53509019999996</v>
      </c>
      <c r="AL169" s="102">
        <v>363.41145387</v>
      </c>
      <c r="AM169" s="102">
        <v>508.12369059999997</v>
      </c>
      <c r="AN169" s="102">
        <v>356.16862299999997</v>
      </c>
      <c r="AO169" s="102">
        <v>400.78650306999998</v>
      </c>
      <c r="AP169" s="145">
        <v>359.64391879999999</v>
      </c>
      <c r="AQ169" s="220">
        <v>245.12255880000001</v>
      </c>
      <c r="AR169" s="220">
        <v>194.83654063</v>
      </c>
      <c r="AS169" s="102">
        <v>319.50227962999998</v>
      </c>
      <c r="AT169" s="102">
        <v>178.17014162999999</v>
      </c>
      <c r="AU169" s="102">
        <v>237.96611762999999</v>
      </c>
      <c r="AV169" s="102">
        <v>171.98557162999998</v>
      </c>
      <c r="AW169" s="102">
        <v>170.02433862999999</v>
      </c>
      <c r="AX169" s="102">
        <v>176.66927863000001</v>
      </c>
      <c r="AY169" s="102">
        <v>187.02118963000001</v>
      </c>
      <c r="AZ169" s="102">
        <v>222.995464</v>
      </c>
      <c r="BA169" s="102">
        <v>86.133579999999995</v>
      </c>
      <c r="BB169" s="102">
        <v>99.391176000000002</v>
      </c>
      <c r="BC169" s="102">
        <v>218.22983199999999</v>
      </c>
      <c r="BD169" s="102">
        <v>85.217250000000007</v>
      </c>
      <c r="BE169" s="102">
        <v>75.561231000000006</v>
      </c>
      <c r="BF169" s="102">
        <v>244.86752899999999</v>
      </c>
      <c r="BG169" s="102">
        <v>7.1328189999999996</v>
      </c>
      <c r="BH169" s="102">
        <v>4.2541539999999998</v>
      </c>
      <c r="BI169" s="102">
        <v>1.99325</v>
      </c>
      <c r="BJ169" s="102">
        <v>1.98920008</v>
      </c>
      <c r="BK169" s="102">
        <v>1.95384928</v>
      </c>
      <c r="BL169" s="102">
        <v>0.50640128000000006</v>
      </c>
      <c r="BM169" s="145">
        <v>0.64731028000000002</v>
      </c>
      <c r="BN169" s="102">
        <v>0.82056028000000003</v>
      </c>
      <c r="BO169" s="102">
        <v>1.1014932800000001</v>
      </c>
      <c r="BP169" s="102">
        <v>-1.5343697199999999</v>
      </c>
      <c r="BQ169" s="102">
        <v>-1.4242717199999999</v>
      </c>
      <c r="BR169" s="102">
        <v>-0.97294371999999996</v>
      </c>
      <c r="BS169" s="102">
        <v>-2.7377087200000001</v>
      </c>
      <c r="BT169" s="102">
        <v>-4.2898907199999998</v>
      </c>
      <c r="BU169" s="102">
        <v>-4.0240157200000004</v>
      </c>
      <c r="BV169" s="102">
        <v>-3.8519717200000003</v>
      </c>
      <c r="BW169" s="102">
        <v>-3.3829247200000001</v>
      </c>
      <c r="BX169" s="102">
        <v>0</v>
      </c>
      <c r="BY169" s="102">
        <v>1.2118E-2</v>
      </c>
      <c r="BZ169" s="102">
        <v>-6.531682</v>
      </c>
      <c r="CA169" s="102">
        <v>-13.006816000000001</v>
      </c>
      <c r="CB169" s="102">
        <v>-12.573884</v>
      </c>
      <c r="CC169" s="102">
        <v>-12.625491999999999</v>
      </c>
      <c r="CD169" s="102">
        <v>-10.667477</v>
      </c>
      <c r="CE169" s="102">
        <v>-13.595564</v>
      </c>
      <c r="CF169" s="102">
        <v>0</v>
      </c>
      <c r="CG169" s="102">
        <v>1.26</v>
      </c>
      <c r="CH169" s="102">
        <v>0.14000000000000001</v>
      </c>
      <c r="CI169" s="102">
        <v>0</v>
      </c>
      <c r="CJ169" s="102">
        <v>0</v>
      </c>
      <c r="CK169" s="102">
        <v>0.3</v>
      </c>
      <c r="CL169" s="102">
        <v>0</v>
      </c>
      <c r="CM169" s="102">
        <v>0.5</v>
      </c>
      <c r="CN169" s="102">
        <v>0</v>
      </c>
      <c r="CO169" s="102">
        <v>0</v>
      </c>
      <c r="CP169" s="102">
        <v>0</v>
      </c>
      <c r="CQ169" s="102">
        <v>0</v>
      </c>
      <c r="CR169" s="102">
        <v>0</v>
      </c>
      <c r="CS169" s="102">
        <v>3.9029528399999998</v>
      </c>
      <c r="CT169" s="102">
        <v>2.0498078400000002</v>
      </c>
      <c r="CU169" s="102">
        <v>-1.5424871599999999</v>
      </c>
      <c r="CV169" s="102">
        <v>-1.26</v>
      </c>
      <c r="CW169" s="102">
        <v>0.14000000000000001</v>
      </c>
      <c r="CX169" s="102">
        <v>-2</v>
      </c>
      <c r="CY169" s="102">
        <v>38.97</v>
      </c>
      <c r="CZ169" s="102">
        <v>-3.42</v>
      </c>
      <c r="DA169" s="102">
        <v>0</v>
      </c>
      <c r="DB169" s="102">
        <v>0</v>
      </c>
      <c r="DC169" s="102">
        <v>0</v>
      </c>
      <c r="DD169" s="102">
        <v>0</v>
      </c>
      <c r="DE169" s="102">
        <v>0.02</v>
      </c>
      <c r="DF169" s="102">
        <v>0.56000000000000005</v>
      </c>
      <c r="DG169" s="102">
        <v>0</v>
      </c>
      <c r="DH169" s="102">
        <v>0</v>
      </c>
      <c r="DI169" s="77"/>
      <c r="DJ169" s="102" t="e">
        <v>#VALUE!</v>
      </c>
      <c r="DK169" s="102" t="e">
        <v>#VALUE!</v>
      </c>
      <c r="DL169" s="102" t="e">
        <v>#VALUE!</v>
      </c>
      <c r="DM169" s="102" t="e">
        <v>#VALUE!</v>
      </c>
      <c r="DN169" s="102" t="e">
        <v>#VALUE!</v>
      </c>
      <c r="DO169" s="102" t="e">
        <v>#VALUE!</v>
      </c>
      <c r="DP169" s="102" t="e">
        <v>#VALUE!</v>
      </c>
      <c r="DQ169" s="102" t="e">
        <v>#VALUE!</v>
      </c>
      <c r="DR169" s="102" t="e">
        <v>#VALUE!</v>
      </c>
      <c r="DS169" s="102" t="e">
        <v>#VALUE!</v>
      </c>
      <c r="DT169" s="102" t="e">
        <v>#VALUE!</v>
      </c>
      <c r="DU169" s="102" t="e">
        <v>#VALUE!</v>
      </c>
      <c r="DW169" s="102">
        <v>37.64744463639331</v>
      </c>
      <c r="DX169" s="102">
        <v>29.358551481148538</v>
      </c>
      <c r="DY169" s="102">
        <v>34.576270157626197</v>
      </c>
      <c r="DZ169" s="102">
        <v>32.615325170925566</v>
      </c>
      <c r="EA169" s="102">
        <v>29.252301587913323</v>
      </c>
      <c r="EB169" s="102">
        <v>30.963949759911884</v>
      </c>
      <c r="EC169" s="102">
        <v>38.477479085625447</v>
      </c>
      <c r="ED169" s="102">
        <v>39.842060299615426</v>
      </c>
      <c r="EE169" s="102">
        <v>37.195017513577142</v>
      </c>
      <c r="EF169" s="102">
        <v>39.052348639337204</v>
      </c>
      <c r="EG169" s="102">
        <v>37.179462059179343</v>
      </c>
      <c r="EH169" s="102">
        <v>49.977515051703755</v>
      </c>
      <c r="EI169" s="102">
        <v>85.789304820799998</v>
      </c>
      <c r="EJ169" s="102">
        <v>108.5280798208</v>
      </c>
      <c r="EK169" s="102">
        <v>109.36107632779999</v>
      </c>
      <c r="EL169" s="102">
        <v>124.45132268115202</v>
      </c>
      <c r="EM169" s="102">
        <v>129.45745388115202</v>
      </c>
      <c r="EN169" s="102">
        <v>151.81908481286399</v>
      </c>
      <c r="EO169" s="102">
        <v>158.73234401286399</v>
      </c>
      <c r="EP169" s="102">
        <v>164.14820321286399</v>
      </c>
      <c r="EQ169" s="102">
        <v>164.90161406393599</v>
      </c>
      <c r="ER169" s="102">
        <v>168.119841263936</v>
      </c>
      <c r="ES169" s="102">
        <v>159.10582526393597</v>
      </c>
      <c r="ET169" s="102">
        <v>132.28726526393601</v>
      </c>
      <c r="EU169" s="102">
        <v>99.684077505179999</v>
      </c>
      <c r="EV169" s="102">
        <v>96.901380105179982</v>
      </c>
      <c r="EW169" s="102">
        <v>100.10403970517997</v>
      </c>
      <c r="EX169" s="102">
        <v>94.236051705180003</v>
      </c>
      <c r="EY169" s="102">
        <v>99.059096505180008</v>
      </c>
      <c r="EZ169" s="102">
        <v>84.551120505179995</v>
      </c>
      <c r="FA169" s="102">
        <v>95.168703705180008</v>
      </c>
      <c r="FB169" s="102">
        <v>76.858056105180012</v>
      </c>
      <c r="FC169" s="102">
        <v>70.714913505180007</v>
      </c>
      <c r="FD169" s="102">
        <v>65.17091350518001</v>
      </c>
      <c r="FE169" s="102">
        <v>67.942913505180002</v>
      </c>
      <c r="FF169" s="102">
        <v>65.17091350518001</v>
      </c>
      <c r="FG169" s="102" t="e">
        <v>#VALUE!</v>
      </c>
      <c r="FH169" s="102" t="e">
        <v>#VALUE!</v>
      </c>
      <c r="FI169" s="102" t="e">
        <v>#VALUE!</v>
      </c>
      <c r="FJ169" s="102" t="e">
        <v>#VALUE!</v>
      </c>
      <c r="FK169" s="102" t="e">
        <v>#VALUE!</v>
      </c>
      <c r="FL169" s="102" t="e">
        <v>#VALUE!</v>
      </c>
      <c r="FM169" s="102" t="e">
        <v>#VALUE!</v>
      </c>
      <c r="FN169" s="102" t="e">
        <v>#VALUE!</v>
      </c>
      <c r="FO169" s="102" t="e">
        <v>#VALUE!</v>
      </c>
      <c r="FP169" s="102" t="e">
        <v>#VALUE!</v>
      </c>
      <c r="FQ169" s="102" t="e">
        <v>#VALUE!</v>
      </c>
      <c r="FR169" s="102" t="e">
        <v>#VALUE!</v>
      </c>
      <c r="FS169" s="102" t="e">
        <v>#VALUE!</v>
      </c>
      <c r="FT169" s="102" t="e">
        <v>#VALUE!</v>
      </c>
      <c r="FU169" s="102" t="e">
        <v>#VALUE!</v>
      </c>
      <c r="FV169" s="102" t="e">
        <v>#VALUE!</v>
      </c>
      <c r="FW169" s="102" t="e">
        <v>#VALUE!</v>
      </c>
      <c r="FX169" s="102" t="e">
        <v>#VALUE!</v>
      </c>
      <c r="FY169" s="102" t="e">
        <v>#VALUE!</v>
      </c>
      <c r="FZ169" s="102" t="e">
        <v>#VALUE!</v>
      </c>
      <c r="GA169" s="102" t="e">
        <v>#VALUE!</v>
      </c>
      <c r="GB169" s="102" t="e">
        <v>#VALUE!</v>
      </c>
      <c r="GC169" s="102" t="e">
        <v>#VALUE!</v>
      </c>
      <c r="GD169" s="102" t="e">
        <v>#VALUE!</v>
      </c>
      <c r="GF169" s="102">
        <f t="shared" si="524"/>
        <v>318.90383100000003</v>
      </c>
      <c r="GG169" s="102">
        <f t="shared" si="524"/>
        <v>244.03421500000002</v>
      </c>
      <c r="GH169" s="102">
        <f t="shared" si="524"/>
        <v>356.16862299999997</v>
      </c>
      <c r="GI169" s="102">
        <f t="shared" si="524"/>
        <v>222.995464</v>
      </c>
      <c r="GJ169" s="102">
        <f t="shared" si="434"/>
        <v>0.50640128000000006</v>
      </c>
      <c r="GK169" s="102">
        <f t="shared" si="407"/>
        <v>0</v>
      </c>
      <c r="GL169" s="102">
        <f t="shared" si="435"/>
        <v>0</v>
      </c>
      <c r="GM169" s="102">
        <f t="shared" si="408"/>
        <v>-1.26</v>
      </c>
      <c r="GN169" s="102" t="e">
        <f t="shared" si="409"/>
        <v>#VALUE!</v>
      </c>
      <c r="GO169" s="102">
        <v>0</v>
      </c>
      <c r="GQ169" s="929">
        <f t="shared" si="555"/>
        <v>0.45950281193151521</v>
      </c>
      <c r="GR169" s="929">
        <f t="shared" si="555"/>
        <v>-0.3739048035121274</v>
      </c>
      <c r="GS169" s="929">
        <f t="shared" si="555"/>
        <v>-0.99772909605013316</v>
      </c>
      <c r="GT169" s="929">
        <f t="shared" si="525"/>
        <v>-1</v>
      </c>
      <c r="GU169" s="929" t="str">
        <f t="shared" si="525"/>
        <v/>
      </c>
      <c r="GV169" s="929" t="str">
        <f t="shared" si="525"/>
        <v/>
      </c>
      <c r="GW169" s="929" t="str">
        <f t="shared" si="499"/>
        <v/>
      </c>
      <c r="GX169" s="929" t="str">
        <f t="shared" si="499"/>
        <v/>
      </c>
      <c r="GY169" s="929">
        <f t="shared" si="492"/>
        <v>-1</v>
      </c>
      <c r="HA169" s="102">
        <f t="shared" si="556"/>
        <v>112.13440799999995</v>
      </c>
      <c r="HB169" s="102">
        <f t="shared" si="556"/>
        <v>-133.17315899999997</v>
      </c>
      <c r="HC169" s="102">
        <f t="shared" si="556"/>
        <v>-222.48906271999999</v>
      </c>
      <c r="HD169" s="102">
        <f t="shared" si="500"/>
        <v>-0.50640128000000006</v>
      </c>
      <c r="HE169" s="102">
        <f t="shared" si="500"/>
        <v>0</v>
      </c>
      <c r="HF169" s="102">
        <f t="shared" si="500"/>
        <v>-1.26</v>
      </c>
      <c r="HG169" s="102" t="e">
        <f t="shared" si="500"/>
        <v>#VALUE!</v>
      </c>
      <c r="HH169" s="102" t="e">
        <f t="shared" si="500"/>
        <v>#VALUE!</v>
      </c>
      <c r="HI169" s="102">
        <f t="shared" si="493"/>
        <v>1.26</v>
      </c>
      <c r="HK169" s="973"/>
      <c r="HL169" s="973"/>
      <c r="HM169" s="973"/>
      <c r="HN169" s="973"/>
      <c r="HO169" s="973"/>
      <c r="HP169" s="973"/>
      <c r="HQ169" s="973"/>
      <c r="HR169" s="973"/>
      <c r="HS169" s="973"/>
      <c r="HU169" s="102">
        <f t="shared" si="557"/>
        <v>353.12815000000001</v>
      </c>
      <c r="HV169" s="102">
        <f t="shared" si="557"/>
        <v>340.08126400000003</v>
      </c>
      <c r="HW169" s="102">
        <f t="shared" si="557"/>
        <v>261.08146998000001</v>
      </c>
      <c r="HX169" s="102">
        <f t="shared" si="557"/>
        <v>178.17014162999999</v>
      </c>
      <c r="HY169" s="102">
        <f t="shared" si="528"/>
        <v>244.86752899999999</v>
      </c>
      <c r="HZ169" s="102">
        <f t="shared" si="528"/>
        <v>-0.97294371999999996</v>
      </c>
      <c r="IA169" s="102">
        <f t="shared" si="529"/>
        <v>-10.667477</v>
      </c>
      <c r="IB169" s="102">
        <f t="shared" si="530"/>
        <v>0</v>
      </c>
      <c r="IC169" s="102">
        <f t="shared" si="531"/>
        <v>0</v>
      </c>
      <c r="ID169" s="102" t="e">
        <f t="shared" si="417"/>
        <v>#VALUE!</v>
      </c>
      <c r="IE169" s="102" t="e">
        <f t="shared" si="532"/>
        <v>#VALUE!</v>
      </c>
      <c r="IG169" s="102" t="e">
        <f t="shared" si="533"/>
        <v>#VALUE!</v>
      </c>
      <c r="IH169" s="102" t="e">
        <f t="shared" si="534"/>
        <v>#VALUE!</v>
      </c>
      <c r="II169" s="145"/>
      <c r="IJ169" s="929" t="str">
        <f t="shared" si="535"/>
        <v>NA</v>
      </c>
      <c r="IK169" s="930" t="str">
        <f t="shared" si="536"/>
        <v>NA</v>
      </c>
      <c r="IM169" s="973"/>
      <c r="IN169" s="973"/>
      <c r="IP169" s="929">
        <f t="shared" si="553"/>
        <v>-0.23229681368156763</v>
      </c>
      <c r="IQ169" s="929">
        <f t="shared" si="553"/>
        <v>-0.3175687970362332</v>
      </c>
      <c r="IR169" s="929">
        <f t="shared" si="553"/>
        <v>0.37434660353196691</v>
      </c>
      <c r="IS169" s="929">
        <f t="shared" si="553"/>
        <v>-1.0039733472378856</v>
      </c>
      <c r="IT169" s="929">
        <f t="shared" si="553"/>
        <v>9.9641254480783328</v>
      </c>
      <c r="IU169" s="929">
        <f t="shared" si="553"/>
        <v>-1</v>
      </c>
      <c r="IV169" s="929" t="str">
        <f t="shared" si="554"/>
        <v/>
      </c>
      <c r="IX169" s="102">
        <f t="shared" si="538"/>
        <v>-78.999794020000024</v>
      </c>
      <c r="IY169" s="102">
        <f t="shared" si="538"/>
        <v>-82.911328350000019</v>
      </c>
      <c r="IZ169" s="102">
        <f t="shared" si="538"/>
        <v>66.697387370000001</v>
      </c>
      <c r="JA169" s="102">
        <f t="shared" si="538"/>
        <v>-245.84047271999998</v>
      </c>
      <c r="JB169" s="102">
        <f t="shared" si="538"/>
        <v>-9.6945332799999999</v>
      </c>
      <c r="JC169" s="102">
        <f t="shared" si="538"/>
        <v>10.667477</v>
      </c>
      <c r="JD169" s="102" t="e">
        <f t="shared" si="539"/>
        <v>#VALUE!</v>
      </c>
      <c r="JF169" s="973"/>
      <c r="JG169" s="973"/>
      <c r="JH169" s="973"/>
      <c r="JI169" s="973"/>
      <c r="JJ169" s="973"/>
      <c r="JK169" s="973"/>
      <c r="JL169" s="973"/>
      <c r="JM169" s="973"/>
      <c r="JO169" s="102">
        <f t="shared" si="540"/>
        <v>353.12815000000001</v>
      </c>
      <c r="JP169" s="102">
        <f t="shared" si="540"/>
        <v>340.08126400000003</v>
      </c>
      <c r="JQ169" s="102">
        <f t="shared" si="540"/>
        <v>261.08146998000001</v>
      </c>
      <c r="JR169" s="102">
        <f t="shared" si="540"/>
        <v>178.17014162999999</v>
      </c>
      <c r="JS169" s="102">
        <f t="shared" si="540"/>
        <v>244.86752899999999</v>
      </c>
      <c r="JT169" s="102">
        <f t="shared" si="541"/>
        <v>-0.97294371999999996</v>
      </c>
      <c r="JU169" s="102">
        <f t="shared" si="542"/>
        <v>-10.667477</v>
      </c>
      <c r="JV169" s="102">
        <f t="shared" si="543"/>
        <v>0</v>
      </c>
      <c r="JW169" s="102">
        <f t="shared" si="543"/>
        <v>0</v>
      </c>
      <c r="JX169" s="102" t="e">
        <f t="shared" si="544"/>
        <v>#VALUE!</v>
      </c>
      <c r="JY169" s="102" t="e">
        <f t="shared" si="545"/>
        <v>#VALUE!</v>
      </c>
      <c r="KB169" s="32">
        <f t="shared" si="546"/>
        <v>-0.23229681368156763</v>
      </c>
      <c r="KC169" s="32">
        <f t="shared" si="546"/>
        <v>-0.3175687970362332</v>
      </c>
      <c r="KD169" s="32">
        <f t="shared" si="546"/>
        <v>0.37434660353196691</v>
      </c>
      <c r="KE169" s="32">
        <f t="shared" si="546"/>
        <v>-1.0039733472378856</v>
      </c>
      <c r="KF169" s="32">
        <f t="shared" si="546"/>
        <v>9.9641254480783328</v>
      </c>
      <c r="KG169" s="32">
        <f t="shared" si="546"/>
        <v>-1</v>
      </c>
      <c r="KH169" s="32" t="str">
        <f t="shared" si="431"/>
        <v xml:space="preserve"> </v>
      </c>
      <c r="KJ169" s="102">
        <f t="shared" si="547"/>
        <v>-78.999794020000024</v>
      </c>
      <c r="KK169" s="102">
        <f t="shared" si="547"/>
        <v>-82.911328350000019</v>
      </c>
      <c r="KL169" s="102">
        <f t="shared" si="547"/>
        <v>66.697387370000001</v>
      </c>
      <c r="KM169" s="102">
        <f t="shared" si="547"/>
        <v>-245.84047271999998</v>
      </c>
      <c r="KN169" s="102">
        <f t="shared" si="547"/>
        <v>-9.6945332799999999</v>
      </c>
      <c r="KO169" s="102">
        <f t="shared" si="547"/>
        <v>10.667477</v>
      </c>
      <c r="KP169" s="102" t="e">
        <f t="shared" si="433"/>
        <v>#VALUE!</v>
      </c>
      <c r="KR169" s="973"/>
      <c r="KS169" s="973"/>
      <c r="KT169" s="973"/>
      <c r="KU169" s="973"/>
      <c r="KV169" s="973"/>
      <c r="KW169" s="973"/>
      <c r="KX169" s="973"/>
      <c r="KY169" s="973"/>
      <c r="KZ169" s="973"/>
    </row>
    <row r="170" spans="1:312" hidden="1" outlineLevel="2">
      <c r="A170" s="884">
        <v>2380</v>
      </c>
      <c r="B170" s="70" t="s">
        <v>734</v>
      </c>
      <c r="D170" s="31"/>
      <c r="E170" s="102">
        <v>146.4847</v>
      </c>
      <c r="F170" s="102">
        <v>113.6444</v>
      </c>
      <c r="G170" s="102">
        <v>98.045900000000003</v>
      </c>
      <c r="H170" s="102">
        <v>127.32205999999999</v>
      </c>
      <c r="I170" s="102">
        <v>113.2955</v>
      </c>
      <c r="J170" s="102">
        <v>130.50700000000001</v>
      </c>
      <c r="K170" s="102">
        <v>126.04300000000001</v>
      </c>
      <c r="L170" s="102">
        <v>122.74639999999999</v>
      </c>
      <c r="M170" s="102">
        <v>116.8098</v>
      </c>
      <c r="N170" s="102">
        <v>122.1438</v>
      </c>
      <c r="O170" s="102">
        <v>131.1062</v>
      </c>
      <c r="P170" s="102">
        <v>124.265</v>
      </c>
      <c r="Q170" s="102">
        <v>174.7953</v>
      </c>
      <c r="R170" s="102">
        <v>155.16826800000001</v>
      </c>
      <c r="S170" s="102">
        <v>156.80114</v>
      </c>
      <c r="T170" s="102">
        <v>322.94114000000002</v>
      </c>
      <c r="U170" s="102">
        <v>157.58746400000001</v>
      </c>
      <c r="V170" s="102">
        <v>155.54951</v>
      </c>
      <c r="W170" s="102">
        <v>143.03025199999999</v>
      </c>
      <c r="X170" s="102">
        <v>146.061395</v>
      </c>
      <c r="Y170" s="102">
        <v>140.83627999999999</v>
      </c>
      <c r="Z170" s="102">
        <v>143.628659</v>
      </c>
      <c r="AA170" s="102">
        <v>150.01092499999999</v>
      </c>
      <c r="AB170" s="102">
        <v>166.95274000000001</v>
      </c>
      <c r="AC170" s="102">
        <v>142.10959700000001</v>
      </c>
      <c r="AD170" s="102">
        <v>147.171256</v>
      </c>
      <c r="AE170" s="102">
        <v>146.39425999999997</v>
      </c>
      <c r="AF170" s="102">
        <v>143.37379799999999</v>
      </c>
      <c r="AG170" s="102">
        <v>159.33207100000001</v>
      </c>
      <c r="AH170" s="102">
        <v>152.71206900000001</v>
      </c>
      <c r="AI170" s="102">
        <v>147.32050000000001</v>
      </c>
      <c r="AJ170" s="102">
        <v>168.711094</v>
      </c>
      <c r="AK170" s="102">
        <v>164.292912</v>
      </c>
      <c r="AL170" s="102">
        <v>154.06087636999999</v>
      </c>
      <c r="AM170" s="102">
        <v>161.14501200000001</v>
      </c>
      <c r="AN170" s="102">
        <v>179.833045</v>
      </c>
      <c r="AO170" s="102">
        <v>181.13181800000001</v>
      </c>
      <c r="AP170" s="145">
        <v>-592.22815100000003</v>
      </c>
      <c r="AQ170" s="220">
        <v>-619.3331455</v>
      </c>
      <c r="AR170" s="220">
        <v>127.950709</v>
      </c>
      <c r="AS170" s="102">
        <v>134.583012</v>
      </c>
      <c r="AT170" s="102">
        <v>97.914377000000002</v>
      </c>
      <c r="AU170" s="102">
        <v>102.90347</v>
      </c>
      <c r="AV170" s="102">
        <v>84.932514999999995</v>
      </c>
      <c r="AW170" s="102">
        <v>90.237780000000001</v>
      </c>
      <c r="AX170" s="102">
        <v>97.898608999999993</v>
      </c>
      <c r="AY170" s="102">
        <v>103.460403</v>
      </c>
      <c r="AZ170" s="102">
        <v>0.47</v>
      </c>
      <c r="BA170" s="102">
        <v>62.332141999999997</v>
      </c>
      <c r="BB170" s="102">
        <v>59.633726000000003</v>
      </c>
      <c r="BC170" s="102">
        <v>2.1784000000000001E-2</v>
      </c>
      <c r="BD170" s="102">
        <v>0.349549</v>
      </c>
      <c r="BE170" s="102">
        <v>0.32386500000000001</v>
      </c>
      <c r="BF170" s="102">
        <v>0.31471700000000002</v>
      </c>
      <c r="BG170" s="102">
        <v>0.30246099999999998</v>
      </c>
      <c r="BH170" s="102">
        <v>0.30246099999999998</v>
      </c>
      <c r="BI170" s="102">
        <v>0.30246099999999998</v>
      </c>
      <c r="BJ170" s="102">
        <v>0.30244100000000002</v>
      </c>
      <c r="BK170" s="102">
        <v>0.31306</v>
      </c>
      <c r="BL170" s="102">
        <v>0</v>
      </c>
      <c r="BM170" s="145">
        <v>-8.7709999999999993E-3</v>
      </c>
      <c r="BN170" s="102">
        <v>0.34602899999999998</v>
      </c>
      <c r="BO170" s="102">
        <v>0.55111597999999995</v>
      </c>
      <c r="BP170" s="102">
        <v>1.6292979999999999E-2</v>
      </c>
      <c r="BQ170" s="102">
        <v>-0.61421201999999997</v>
      </c>
      <c r="BR170" s="102">
        <v>-1.3172070200000001</v>
      </c>
      <c r="BS170" s="102">
        <v>-1.5987590199999999</v>
      </c>
      <c r="BT170" s="102">
        <v>-1.9092460200000001</v>
      </c>
      <c r="BU170" s="102">
        <v>-2.1560260299999996</v>
      </c>
      <c r="BV170" s="102">
        <v>-2.3896420299999996</v>
      </c>
      <c r="BW170" s="102">
        <v>-2.6544330299999999</v>
      </c>
      <c r="BX170" s="102">
        <v>0</v>
      </c>
      <c r="BY170" s="102">
        <v>0</v>
      </c>
      <c r="BZ170" s="102">
        <v>-0.54759999999999998</v>
      </c>
      <c r="CA170" s="102">
        <v>-0.53110100000000005</v>
      </c>
      <c r="CB170" s="102">
        <v>2.6394999999999998E-2</v>
      </c>
      <c r="CC170" s="102">
        <v>-0.117413</v>
      </c>
      <c r="CD170" s="102">
        <v>-8.6398000000000003E-2</v>
      </c>
      <c r="CE170" s="102">
        <v>-0.17841099999999999</v>
      </c>
      <c r="CF170" s="102">
        <v>0</v>
      </c>
      <c r="CG170" s="102">
        <v>-1E-8</v>
      </c>
      <c r="CH170" s="102">
        <v>0</v>
      </c>
      <c r="CI170" s="102">
        <v>-2E-8</v>
      </c>
      <c r="CJ170" s="102">
        <v>0</v>
      </c>
      <c r="CK170" s="102">
        <v>0</v>
      </c>
      <c r="CL170" s="102">
        <v>0</v>
      </c>
      <c r="CM170" s="102">
        <v>0</v>
      </c>
      <c r="CN170" s="102">
        <v>0</v>
      </c>
      <c r="CO170" s="102">
        <v>0</v>
      </c>
      <c r="CP170" s="102">
        <v>2.9999999999999997E-8</v>
      </c>
      <c r="CQ170" s="102">
        <v>2.9999999999999997E-8</v>
      </c>
      <c r="CR170" s="102">
        <v>2.9999999999999997E-8</v>
      </c>
      <c r="CS170" s="102">
        <v>0.52440803000000002</v>
      </c>
      <c r="CT170" s="102">
        <v>0</v>
      </c>
      <c r="CU170" s="102">
        <v>0</v>
      </c>
      <c r="CV170" s="102">
        <v>0</v>
      </c>
      <c r="CW170" s="102">
        <v>0</v>
      </c>
      <c r="CX170" s="102">
        <v>0</v>
      </c>
      <c r="CY170" s="102">
        <v>0</v>
      </c>
      <c r="CZ170" s="102">
        <v>0</v>
      </c>
      <c r="DA170" s="102">
        <v>0</v>
      </c>
      <c r="DB170" s="102">
        <v>0</v>
      </c>
      <c r="DC170" s="102">
        <v>0</v>
      </c>
      <c r="DD170" s="102">
        <v>0</v>
      </c>
      <c r="DE170" s="102">
        <v>0</v>
      </c>
      <c r="DF170" s="102">
        <v>0</v>
      </c>
      <c r="DG170" s="102">
        <v>0</v>
      </c>
      <c r="DH170" s="102">
        <v>0</v>
      </c>
      <c r="DI170" s="77"/>
      <c r="DJ170" s="102" t="e">
        <v>#VALUE!</v>
      </c>
      <c r="DK170" s="102" t="e">
        <v>#VALUE!</v>
      </c>
      <c r="DL170" s="102" t="e">
        <v>#VALUE!</v>
      </c>
      <c r="DM170" s="102" t="e">
        <v>#VALUE!</v>
      </c>
      <c r="DN170" s="102" t="e">
        <v>#VALUE!</v>
      </c>
      <c r="DO170" s="102" t="e">
        <v>#VALUE!</v>
      </c>
      <c r="DP170" s="102" t="e">
        <v>#VALUE!</v>
      </c>
      <c r="DQ170" s="102" t="e">
        <v>#VALUE!</v>
      </c>
      <c r="DR170" s="102" t="e">
        <v>#VALUE!</v>
      </c>
      <c r="DS170" s="102" t="e">
        <v>#VALUE!</v>
      </c>
      <c r="DT170" s="102" t="e">
        <v>#VALUE!</v>
      </c>
      <c r="DU170" s="102" t="e">
        <v>#VALUE!</v>
      </c>
      <c r="DW170" s="102">
        <v>178.9348</v>
      </c>
      <c r="DX170" s="102">
        <v>178.9348</v>
      </c>
      <c r="DY170" s="102">
        <v>178.9348</v>
      </c>
      <c r="DZ170" s="102">
        <v>178.9348</v>
      </c>
      <c r="EA170" s="102">
        <v>178.9348</v>
      </c>
      <c r="EB170" s="102">
        <v>178.9348</v>
      </c>
      <c r="EC170" s="102">
        <v>178.9348</v>
      </c>
      <c r="ED170" s="102">
        <v>178.9348</v>
      </c>
      <c r="EE170" s="102">
        <v>178.9348</v>
      </c>
      <c r="EF170" s="102">
        <v>178.9348</v>
      </c>
      <c r="EG170" s="102">
        <v>178.9348</v>
      </c>
      <c r="EH170" s="102">
        <v>178.9348</v>
      </c>
      <c r="EI170" s="102">
        <v>51.473582892479996</v>
      </c>
      <c r="EJ170" s="102">
        <v>65.116847892479996</v>
      </c>
      <c r="EK170" s="102">
        <v>65.61664579667999</v>
      </c>
      <c r="EL170" s="102">
        <v>74.670793608691199</v>
      </c>
      <c r="EM170" s="102">
        <v>77.674472328691195</v>
      </c>
      <c r="EN170" s="102">
        <v>91.091450887718395</v>
      </c>
      <c r="EO170" s="102">
        <v>95.239406407718391</v>
      </c>
      <c r="EP170" s="102">
        <v>98.488921927718394</v>
      </c>
      <c r="EQ170" s="102">
        <v>98.940968438361594</v>
      </c>
      <c r="ER170" s="102">
        <v>100.87190475836159</v>
      </c>
      <c r="ES170" s="102">
        <v>95.463495158361596</v>
      </c>
      <c r="ET170" s="102">
        <v>79.372359158361604</v>
      </c>
      <c r="EU170" s="102">
        <v>75.949773337280007</v>
      </c>
      <c r="EV170" s="102">
        <v>73.829622937279979</v>
      </c>
      <c r="EW170" s="102">
        <v>76.26974453727999</v>
      </c>
      <c r="EX170" s="102">
        <v>71.798896537280015</v>
      </c>
      <c r="EY170" s="102">
        <v>75.473597337280012</v>
      </c>
      <c r="EZ170" s="102">
        <v>64.41990133728001</v>
      </c>
      <c r="FA170" s="102">
        <v>72.509488537280006</v>
      </c>
      <c r="FB170" s="102">
        <v>58.558518937280006</v>
      </c>
      <c r="FC170" s="102">
        <v>53.878029337280005</v>
      </c>
      <c r="FD170" s="102">
        <v>49.654029337280008</v>
      </c>
      <c r="FE170" s="102">
        <v>51.766029337280003</v>
      </c>
      <c r="FF170" s="102">
        <v>49.654029337280008</v>
      </c>
      <c r="FG170" s="102" t="e">
        <v>#VALUE!</v>
      </c>
      <c r="FH170" s="102" t="e">
        <v>#VALUE!</v>
      </c>
      <c r="FI170" s="102" t="e">
        <v>#VALUE!</v>
      </c>
      <c r="FJ170" s="102" t="e">
        <v>#VALUE!</v>
      </c>
      <c r="FK170" s="102" t="e">
        <v>#VALUE!</v>
      </c>
      <c r="FL170" s="102" t="e">
        <v>#VALUE!</v>
      </c>
      <c r="FM170" s="102" t="e">
        <v>#VALUE!</v>
      </c>
      <c r="FN170" s="102" t="e">
        <v>#VALUE!</v>
      </c>
      <c r="FO170" s="102" t="e">
        <v>#VALUE!</v>
      </c>
      <c r="FP170" s="102" t="e">
        <v>#VALUE!</v>
      </c>
      <c r="FQ170" s="102" t="e">
        <v>#VALUE!</v>
      </c>
      <c r="FR170" s="102" t="e">
        <v>#VALUE!</v>
      </c>
      <c r="FS170" s="102" t="e">
        <v>#VALUE!</v>
      </c>
      <c r="FT170" s="102" t="e">
        <v>#VALUE!</v>
      </c>
      <c r="FU170" s="102" t="e">
        <v>#VALUE!</v>
      </c>
      <c r="FV170" s="102" t="e">
        <v>#VALUE!</v>
      </c>
      <c r="FW170" s="102" t="e">
        <v>#VALUE!</v>
      </c>
      <c r="FX170" s="102" t="e">
        <v>#VALUE!</v>
      </c>
      <c r="FY170" s="102" t="e">
        <v>#VALUE!</v>
      </c>
      <c r="FZ170" s="102" t="e">
        <v>#VALUE!</v>
      </c>
      <c r="GA170" s="102" t="e">
        <v>#VALUE!</v>
      </c>
      <c r="GB170" s="102" t="e">
        <v>#VALUE!</v>
      </c>
      <c r="GC170" s="102" t="e">
        <v>#VALUE!</v>
      </c>
      <c r="GD170" s="102" t="e">
        <v>#VALUE!</v>
      </c>
      <c r="GF170" s="102">
        <f t="shared" si="524"/>
        <v>124.265</v>
      </c>
      <c r="GG170" s="102">
        <f t="shared" si="524"/>
        <v>166.95274000000001</v>
      </c>
      <c r="GH170" s="102">
        <f t="shared" si="524"/>
        <v>179.833045</v>
      </c>
      <c r="GI170" s="102">
        <f t="shared" si="524"/>
        <v>0.47</v>
      </c>
      <c r="GJ170" s="102">
        <f t="shared" si="434"/>
        <v>0</v>
      </c>
      <c r="GK170" s="102">
        <f t="shared" si="407"/>
        <v>0</v>
      </c>
      <c r="GL170" s="102">
        <f t="shared" si="435"/>
        <v>0</v>
      </c>
      <c r="GM170" s="102">
        <f t="shared" si="408"/>
        <v>0</v>
      </c>
      <c r="GN170" s="102" t="e">
        <f t="shared" si="409"/>
        <v>#VALUE!</v>
      </c>
      <c r="GO170" s="102">
        <v>0</v>
      </c>
      <c r="GQ170" s="929">
        <f t="shared" si="555"/>
        <v>7.7149407670697556E-2</v>
      </c>
      <c r="GR170" s="929">
        <f t="shared" si="555"/>
        <v>-0.99738646476235782</v>
      </c>
      <c r="GS170" s="929">
        <f t="shared" si="555"/>
        <v>-1</v>
      </c>
      <c r="GT170" s="929" t="str">
        <f t="shared" si="525"/>
        <v/>
      </c>
      <c r="GU170" s="929" t="str">
        <f t="shared" si="525"/>
        <v/>
      </c>
      <c r="GV170" s="929" t="str">
        <f t="shared" si="525"/>
        <v/>
      </c>
      <c r="GW170" s="929" t="str">
        <f t="shared" si="499"/>
        <v/>
      </c>
      <c r="GX170" s="929" t="str">
        <f t="shared" si="499"/>
        <v/>
      </c>
      <c r="GY170" s="929" t="str">
        <f t="shared" si="492"/>
        <v/>
      </c>
      <c r="HA170" s="102">
        <f t="shared" si="556"/>
        <v>12.880304999999993</v>
      </c>
      <c r="HB170" s="102">
        <f t="shared" si="556"/>
        <v>-179.363045</v>
      </c>
      <c r="HC170" s="102">
        <f t="shared" si="556"/>
        <v>-0.47</v>
      </c>
      <c r="HD170" s="102">
        <f t="shared" si="500"/>
        <v>0</v>
      </c>
      <c r="HE170" s="102">
        <f t="shared" si="500"/>
        <v>0</v>
      </c>
      <c r="HF170" s="102">
        <f t="shared" si="500"/>
        <v>0</v>
      </c>
      <c r="HG170" s="102" t="e">
        <f t="shared" si="500"/>
        <v>#VALUE!</v>
      </c>
      <c r="HH170" s="102" t="e">
        <f t="shared" si="500"/>
        <v>#VALUE!</v>
      </c>
      <c r="HI170" s="102">
        <f t="shared" si="493"/>
        <v>0</v>
      </c>
      <c r="HK170" s="973"/>
      <c r="HL170" s="973"/>
      <c r="HM170" s="973"/>
      <c r="HN170" s="973"/>
      <c r="HO170" s="973"/>
      <c r="HP170" s="973"/>
      <c r="HQ170" s="973"/>
      <c r="HR170" s="973"/>
      <c r="HS170" s="973"/>
      <c r="HU170" s="102">
        <f t="shared" si="557"/>
        <v>130.50700000000001</v>
      </c>
      <c r="HV170" s="102">
        <f t="shared" si="557"/>
        <v>155.54951</v>
      </c>
      <c r="HW170" s="102">
        <f t="shared" si="557"/>
        <v>152.71206900000001</v>
      </c>
      <c r="HX170" s="102">
        <f t="shared" si="557"/>
        <v>97.914377000000002</v>
      </c>
      <c r="HY170" s="102">
        <f t="shared" si="528"/>
        <v>0.31471700000000002</v>
      </c>
      <c r="HZ170" s="102">
        <f t="shared" si="528"/>
        <v>-1.3172070200000001</v>
      </c>
      <c r="IA170" s="102">
        <f t="shared" si="529"/>
        <v>-8.6398000000000003E-2</v>
      </c>
      <c r="IB170" s="102">
        <f t="shared" si="530"/>
        <v>2.9999999999999997E-8</v>
      </c>
      <c r="IC170" s="102">
        <f t="shared" si="531"/>
        <v>0</v>
      </c>
      <c r="ID170" s="102" t="e">
        <f t="shared" si="417"/>
        <v>#VALUE!</v>
      </c>
      <c r="IE170" s="102" t="e">
        <f t="shared" si="532"/>
        <v>#VALUE!</v>
      </c>
      <c r="IG170" s="102" t="e">
        <f t="shared" si="533"/>
        <v>#VALUE!</v>
      </c>
      <c r="IH170" s="102" t="e">
        <f t="shared" si="534"/>
        <v>#VALUE!</v>
      </c>
      <c r="II170" s="145"/>
      <c r="IJ170" s="929" t="str">
        <f t="shared" si="535"/>
        <v>NA</v>
      </c>
      <c r="IK170" s="930" t="str">
        <f t="shared" si="536"/>
        <v>NA</v>
      </c>
      <c r="IM170" s="973"/>
      <c r="IN170" s="973"/>
      <c r="IP170" s="929">
        <f t="shared" si="553"/>
        <v>-1.8241401081880548E-2</v>
      </c>
      <c r="IQ170" s="929">
        <f t="shared" si="553"/>
        <v>-0.35883013280371445</v>
      </c>
      <c r="IR170" s="929">
        <f t="shared" si="553"/>
        <v>-0.99678579377571896</v>
      </c>
      <c r="IS170" s="929">
        <f t="shared" si="553"/>
        <v>-5.1853697766564881</v>
      </c>
      <c r="IT170" s="929">
        <f t="shared" si="553"/>
        <v>-0.93440818437180817</v>
      </c>
      <c r="IU170" s="929">
        <f t="shared" si="553"/>
        <v>-1.0000003472302599</v>
      </c>
      <c r="IV170" s="929" t="str">
        <f t="shared" si="554"/>
        <v/>
      </c>
      <c r="IX170" s="102">
        <f t="shared" si="538"/>
        <v>-2.8374409999999841</v>
      </c>
      <c r="IY170" s="102">
        <f t="shared" si="538"/>
        <v>-54.797692000000012</v>
      </c>
      <c r="IZ170" s="102">
        <f t="shared" si="538"/>
        <v>-97.59966</v>
      </c>
      <c r="JA170" s="102">
        <f t="shared" si="538"/>
        <v>-1.63192402</v>
      </c>
      <c r="JB170" s="102">
        <f t="shared" si="538"/>
        <v>1.2308090200000001</v>
      </c>
      <c r="JC170" s="102">
        <f t="shared" si="538"/>
        <v>8.6398030000000001E-2</v>
      </c>
      <c r="JD170" s="102" t="e">
        <f t="shared" si="539"/>
        <v>#VALUE!</v>
      </c>
      <c r="JF170" s="973"/>
      <c r="JG170" s="973"/>
      <c r="JH170" s="973"/>
      <c r="JI170" s="973"/>
      <c r="JJ170" s="973"/>
      <c r="JK170" s="973"/>
      <c r="JL170" s="973"/>
      <c r="JM170" s="973"/>
      <c r="JO170" s="102">
        <f t="shared" ref="JO170:JS180" si="561">+SUMIFS($E170:$BX170,$E$6:$BX$6,JO$7,$E$5:$BX$5,$JQ$5)</f>
        <v>130.50700000000001</v>
      </c>
      <c r="JP170" s="102">
        <f t="shared" si="561"/>
        <v>155.54951</v>
      </c>
      <c r="JQ170" s="102">
        <f t="shared" si="561"/>
        <v>152.71206900000001</v>
      </c>
      <c r="JR170" s="102">
        <f t="shared" si="561"/>
        <v>97.914377000000002</v>
      </c>
      <c r="JS170" s="102">
        <f t="shared" si="561"/>
        <v>0.31471700000000002</v>
      </c>
      <c r="JT170" s="102">
        <f t="shared" si="541"/>
        <v>-1.3172070200000001</v>
      </c>
      <c r="JU170" s="102">
        <f t="shared" si="542"/>
        <v>-8.6398000000000003E-2</v>
      </c>
      <c r="JV170" s="102">
        <f t="shared" si="543"/>
        <v>2.9999999999999997E-8</v>
      </c>
      <c r="JW170" s="102">
        <f t="shared" si="543"/>
        <v>0</v>
      </c>
      <c r="JX170" s="102" t="e">
        <f t="shared" si="544"/>
        <v>#VALUE!</v>
      </c>
      <c r="JY170" s="102" t="e">
        <f t="shared" si="545"/>
        <v>#VALUE!</v>
      </c>
      <c r="KB170" s="32">
        <f t="shared" si="546"/>
        <v>-1.8241401081880548E-2</v>
      </c>
      <c r="KC170" s="32">
        <f t="shared" si="546"/>
        <v>-0.35883013280371445</v>
      </c>
      <c r="KD170" s="32">
        <f t="shared" si="546"/>
        <v>-0.99678579377571896</v>
      </c>
      <c r="KE170" s="32">
        <f t="shared" si="546"/>
        <v>-5.1853697766564881</v>
      </c>
      <c r="KF170" s="32">
        <f t="shared" si="546"/>
        <v>-0.93440818437180817</v>
      </c>
      <c r="KG170" s="32">
        <f t="shared" si="546"/>
        <v>-1.0000003472302599</v>
      </c>
      <c r="KH170" s="32" t="str">
        <f t="shared" si="431"/>
        <v xml:space="preserve"> </v>
      </c>
      <c r="KJ170" s="102">
        <f t="shared" si="547"/>
        <v>-2.8374409999999841</v>
      </c>
      <c r="KK170" s="102">
        <f t="shared" si="547"/>
        <v>-54.797692000000012</v>
      </c>
      <c r="KL170" s="102">
        <f t="shared" si="547"/>
        <v>-97.59966</v>
      </c>
      <c r="KM170" s="102">
        <f t="shared" si="547"/>
        <v>-1.63192402</v>
      </c>
      <c r="KN170" s="102">
        <f t="shared" si="547"/>
        <v>1.2308090200000001</v>
      </c>
      <c r="KO170" s="102">
        <f t="shared" si="547"/>
        <v>8.6398030000000001E-2</v>
      </c>
      <c r="KP170" s="102" t="e">
        <f t="shared" si="433"/>
        <v>#VALUE!</v>
      </c>
      <c r="KR170" s="973"/>
      <c r="KS170" s="973"/>
      <c r="KT170" s="973"/>
      <c r="KU170" s="973"/>
      <c r="KV170" s="973"/>
      <c r="KW170" s="973"/>
      <c r="KX170" s="973"/>
      <c r="KY170" s="973"/>
      <c r="KZ170" s="973"/>
    </row>
    <row r="171" spans="1:312" outlineLevel="1" collapsed="1">
      <c r="A171" s="884"/>
      <c r="B171" s="70"/>
      <c r="C171" s="17" t="s">
        <v>145</v>
      </c>
      <c r="D171" s="31" t="s">
        <v>59</v>
      </c>
      <c r="E171" s="102">
        <v>1451.6021561500002</v>
      </c>
      <c r="F171" s="102">
        <v>839.22648934000006</v>
      </c>
      <c r="G171" s="102">
        <v>906.20820950000007</v>
      </c>
      <c r="H171" s="102">
        <v>1010.13539278</v>
      </c>
      <c r="I171" s="102">
        <v>1142.94364655</v>
      </c>
      <c r="J171" s="102">
        <v>940.92157100000009</v>
      </c>
      <c r="K171" s="102">
        <v>1224.11013908</v>
      </c>
      <c r="L171" s="102">
        <v>1192.72661152</v>
      </c>
      <c r="M171" s="102">
        <v>1535.9869751199999</v>
      </c>
      <c r="N171" s="102">
        <v>1462.69868812</v>
      </c>
      <c r="O171" s="102">
        <v>1389.3353931199999</v>
      </c>
      <c r="P171" s="102">
        <v>1321.6532219999999</v>
      </c>
      <c r="Q171" s="102">
        <v>1406.4341848199997</v>
      </c>
      <c r="R171" s="102">
        <v>929.73824481999998</v>
      </c>
      <c r="S171" s="102">
        <v>1095.8058418199998</v>
      </c>
      <c r="T171" s="102">
        <v>1314.1723409799999</v>
      </c>
      <c r="U171" s="102">
        <v>1514.82748898</v>
      </c>
      <c r="V171" s="102">
        <v>1191.3884069799999</v>
      </c>
      <c r="W171" s="102">
        <v>1306.7962069799999</v>
      </c>
      <c r="X171" s="102">
        <v>1491.15795798</v>
      </c>
      <c r="Y171" s="102">
        <v>1655.7502309800002</v>
      </c>
      <c r="Z171" s="102">
        <v>1807.30890198</v>
      </c>
      <c r="AA171" s="102">
        <v>1945.7118619799999</v>
      </c>
      <c r="AB171" s="102">
        <v>2169.0181703899998</v>
      </c>
      <c r="AC171" s="102">
        <v>2265.0150416500001</v>
      </c>
      <c r="AD171" s="102">
        <v>1480.2283169899999</v>
      </c>
      <c r="AE171" s="102">
        <v>1663.3803002899999</v>
      </c>
      <c r="AF171" s="102">
        <v>1660.50109266</v>
      </c>
      <c r="AG171" s="102">
        <v>1701.0979070399999</v>
      </c>
      <c r="AH171" s="102">
        <v>1375.05147713</v>
      </c>
      <c r="AI171" s="102">
        <v>1537.9439896599999</v>
      </c>
      <c r="AJ171" s="102">
        <v>1670.32867758</v>
      </c>
      <c r="AK171" s="102">
        <v>1759.0858635</v>
      </c>
      <c r="AL171" s="102">
        <v>1924.1173269400001</v>
      </c>
      <c r="AM171" s="102">
        <v>2152.0581225200003</v>
      </c>
      <c r="AN171" s="143">
        <v>2217.12162175</v>
      </c>
      <c r="AO171" s="975">
        <v>2200.9014086699999</v>
      </c>
      <c r="AP171" s="976">
        <v>2079.22100675</v>
      </c>
      <c r="AQ171" s="975">
        <v>2077.06449535</v>
      </c>
      <c r="AR171" s="975">
        <v>1453.1165111600001</v>
      </c>
      <c r="AS171" s="975">
        <v>1431.1615551799998</v>
      </c>
      <c r="AT171" s="975">
        <v>1521.27912283</v>
      </c>
      <c r="AU171" s="975">
        <v>1402.8595965599998</v>
      </c>
      <c r="AV171" s="975">
        <v>1317.44065568</v>
      </c>
      <c r="AW171" s="975">
        <v>1346.1369835099999</v>
      </c>
      <c r="AX171" s="975">
        <v>1433.6406390100001</v>
      </c>
      <c r="AY171" s="975">
        <v>1333.12109467</v>
      </c>
      <c r="AZ171" s="102">
        <f>SUM(AZ172:AZ173)</f>
        <v>615.31073474000004</v>
      </c>
      <c r="BA171" s="102">
        <v>597.78709355000001</v>
      </c>
      <c r="BB171" s="102">
        <v>254.04111164</v>
      </c>
      <c r="BC171" s="102">
        <v>230.25267589000001</v>
      </c>
      <c r="BD171" s="102">
        <v>278.79381287999996</v>
      </c>
      <c r="BE171" s="102">
        <v>356.63593699</v>
      </c>
      <c r="BF171" s="102">
        <v>222.22325815000002</v>
      </c>
      <c r="BG171" s="102">
        <v>270.0075104</v>
      </c>
      <c r="BH171" s="102">
        <v>298.45514530999998</v>
      </c>
      <c r="BI171" s="102">
        <v>286.60233011000003</v>
      </c>
      <c r="BJ171" s="102">
        <v>411.92884967999998</v>
      </c>
      <c r="BK171" s="102">
        <v>429.71687927000005</v>
      </c>
      <c r="BL171" s="145">
        <f>SUM(BL172:BL173)</f>
        <v>452.98258534000001</v>
      </c>
      <c r="BM171" s="145">
        <f t="shared" ref="BM171:DH171" si="562">SUM(BM172:BM173)</f>
        <v>558.36609449000002</v>
      </c>
      <c r="BN171" s="102">
        <f>SUM(BN172:BN173)</f>
        <v>441.80495393000007</v>
      </c>
      <c r="BO171" s="102">
        <f t="shared" si="562"/>
        <v>462.14203792999996</v>
      </c>
      <c r="BP171" s="102">
        <f t="shared" si="562"/>
        <v>575.67582099000003</v>
      </c>
      <c r="BQ171" s="102">
        <f t="shared" si="562"/>
        <v>566.74853724000002</v>
      </c>
      <c r="BR171" s="102">
        <f t="shared" si="562"/>
        <v>389.89134810000002</v>
      </c>
      <c r="BS171" s="102">
        <f t="shared" si="562"/>
        <v>457.20289888999997</v>
      </c>
      <c r="BT171" s="102">
        <f t="shared" si="562"/>
        <v>487.95574206999999</v>
      </c>
      <c r="BU171" s="102">
        <f t="shared" si="562"/>
        <v>546.65882904</v>
      </c>
      <c r="BV171" s="102">
        <f t="shared" si="562"/>
        <v>576.65705795999997</v>
      </c>
      <c r="BW171" s="102">
        <f t="shared" si="562"/>
        <v>639.87048456000002</v>
      </c>
      <c r="BX171" s="102">
        <f t="shared" si="562"/>
        <v>562.82319022000001</v>
      </c>
      <c r="BY171" s="102">
        <f t="shared" si="562"/>
        <v>598.04436246</v>
      </c>
      <c r="BZ171" s="102">
        <f t="shared" si="562"/>
        <v>389.13640406000002</v>
      </c>
      <c r="CA171" s="102">
        <f t="shared" si="562"/>
        <v>473.95663898999999</v>
      </c>
      <c r="CB171" s="102">
        <f t="shared" si="562"/>
        <v>497.54382715000003</v>
      </c>
      <c r="CC171" s="102">
        <f t="shared" si="562"/>
        <v>494.60958761000001</v>
      </c>
      <c r="CD171" s="102">
        <f t="shared" si="562"/>
        <v>436.37237492999998</v>
      </c>
      <c r="CE171" s="102">
        <f t="shared" si="562"/>
        <v>520.40429962999997</v>
      </c>
      <c r="CF171" s="102">
        <f t="shared" si="562"/>
        <v>591.17061236999996</v>
      </c>
      <c r="CG171" s="102">
        <f t="shared" si="562"/>
        <v>670.76392764000002</v>
      </c>
      <c r="CH171" s="102">
        <f t="shared" si="562"/>
        <v>792.01835979000009</v>
      </c>
      <c r="CI171" s="102">
        <f t="shared" si="562"/>
        <v>837.56700169999999</v>
      </c>
      <c r="CJ171" s="102">
        <f t="shared" si="562"/>
        <v>702.95443762000002</v>
      </c>
      <c r="CK171" s="102">
        <f t="shared" si="562"/>
        <v>747.20767510999997</v>
      </c>
      <c r="CL171" s="102">
        <f t="shared" si="562"/>
        <v>616.68947675000004</v>
      </c>
      <c r="CM171" s="102">
        <f t="shared" si="562"/>
        <v>779.45180318999996</v>
      </c>
      <c r="CN171" s="102">
        <f t="shared" si="562"/>
        <v>830.61447031000012</v>
      </c>
      <c r="CO171" s="102">
        <f t="shared" si="562"/>
        <v>961.05056234000006</v>
      </c>
      <c r="CP171" s="102">
        <f t="shared" si="562"/>
        <v>829.65220587999988</v>
      </c>
      <c r="CQ171" s="102">
        <f t="shared" si="562"/>
        <v>934.42183305999993</v>
      </c>
      <c r="CR171" s="102">
        <f t="shared" si="562"/>
        <v>1037.1772972599999</v>
      </c>
      <c r="CS171" s="102">
        <f t="shared" si="562"/>
        <v>1078.0825925199999</v>
      </c>
      <c r="CT171" s="102">
        <f t="shared" si="562"/>
        <v>1203.55786698</v>
      </c>
      <c r="CU171" s="102">
        <f t="shared" si="562"/>
        <v>1237.30828711</v>
      </c>
      <c r="CV171" s="102">
        <f t="shared" si="562"/>
        <v>1175.3563469999999</v>
      </c>
      <c r="CW171" s="102">
        <f t="shared" si="562"/>
        <v>1161.219769</v>
      </c>
      <c r="CX171" s="102">
        <f t="shared" si="562"/>
        <v>755.87277500000005</v>
      </c>
      <c r="CY171" s="102">
        <f t="shared" si="562"/>
        <v>730.564616</v>
      </c>
      <c r="CZ171" s="102">
        <f t="shared" si="562"/>
        <v>578.99790899999994</v>
      </c>
      <c r="DA171" s="102">
        <f t="shared" si="562"/>
        <v>428.37293899999997</v>
      </c>
      <c r="DB171" s="102">
        <f t="shared" si="562"/>
        <v>333.13090399999999</v>
      </c>
      <c r="DC171" s="102">
        <f t="shared" si="562"/>
        <v>408.60870899999998</v>
      </c>
      <c r="DD171" s="102">
        <f t="shared" si="562"/>
        <v>472.49746499999998</v>
      </c>
      <c r="DE171" s="102">
        <f t="shared" si="562"/>
        <v>504.18599499999999</v>
      </c>
      <c r="DF171" s="102">
        <f t="shared" si="562"/>
        <v>537.53572899999995</v>
      </c>
      <c r="DG171" s="102">
        <f t="shared" si="562"/>
        <v>569.53993200000002</v>
      </c>
      <c r="DH171" s="102">
        <f t="shared" si="562"/>
        <v>583.59713899999997</v>
      </c>
      <c r="DI171" s="77"/>
      <c r="DJ171" s="102" t="e">
        <f t="shared" ref="DJ171:FU171" si="563">SUM(DJ172:DJ173)</f>
        <v>#VALUE!</v>
      </c>
      <c r="DK171" s="102" t="e">
        <f t="shared" si="563"/>
        <v>#VALUE!</v>
      </c>
      <c r="DL171" s="102" t="e">
        <f t="shared" si="563"/>
        <v>#VALUE!</v>
      </c>
      <c r="DM171" s="102" t="e">
        <f t="shared" si="563"/>
        <v>#VALUE!</v>
      </c>
      <c r="DN171" s="102" t="e">
        <f t="shared" si="563"/>
        <v>#VALUE!</v>
      </c>
      <c r="DO171" s="102" t="e">
        <f t="shared" si="563"/>
        <v>#VALUE!</v>
      </c>
      <c r="DP171" s="102" t="e">
        <f t="shared" si="563"/>
        <v>#VALUE!</v>
      </c>
      <c r="DQ171" s="102" t="e">
        <f t="shared" si="563"/>
        <v>#VALUE!</v>
      </c>
      <c r="DR171" s="102" t="e">
        <f t="shared" si="563"/>
        <v>#VALUE!</v>
      </c>
      <c r="DS171" s="102" t="e">
        <f t="shared" si="563"/>
        <v>#VALUE!</v>
      </c>
      <c r="DT171" s="102" t="e">
        <f t="shared" si="563"/>
        <v>#VALUE!</v>
      </c>
      <c r="DU171" s="102" t="e">
        <f t="shared" si="563"/>
        <v>#VALUE!</v>
      </c>
      <c r="DV171" s="279"/>
      <c r="DW171" s="102">
        <f t="shared" si="563"/>
        <v>2211.6462707299997</v>
      </c>
      <c r="DX171" s="102">
        <f t="shared" si="563"/>
        <v>1606.9166572899999</v>
      </c>
      <c r="DY171" s="102">
        <f t="shared" si="563"/>
        <v>1786.9166572899999</v>
      </c>
      <c r="DZ171" s="102">
        <f t="shared" si="563"/>
        <v>1266.9166572899999</v>
      </c>
      <c r="EA171" s="102">
        <f t="shared" si="563"/>
        <v>1446.9166572899999</v>
      </c>
      <c r="EB171" s="102">
        <f t="shared" si="563"/>
        <v>1557.9166572899999</v>
      </c>
      <c r="EC171" s="102">
        <f t="shared" si="563"/>
        <v>1737.9166572899999</v>
      </c>
      <c r="ED171" s="102">
        <f t="shared" si="563"/>
        <v>1917.9166572899999</v>
      </c>
      <c r="EE171" s="102">
        <f t="shared" si="563"/>
        <v>2097.9166572899999</v>
      </c>
      <c r="EF171" s="102">
        <f t="shared" si="563"/>
        <v>2277.9166572899999</v>
      </c>
      <c r="EG171" s="102">
        <f t="shared" si="563"/>
        <v>2457.9166572899999</v>
      </c>
      <c r="EH171" s="102">
        <f t="shared" si="563"/>
        <v>2568.9166572900003</v>
      </c>
      <c r="EI171" s="102">
        <f t="shared" si="563"/>
        <v>673.61966050190324</v>
      </c>
      <c r="EJ171" s="102">
        <f t="shared" si="563"/>
        <v>426.40532298630637</v>
      </c>
      <c r="EK171" s="102">
        <f t="shared" si="563"/>
        <v>523.93898897310009</v>
      </c>
      <c r="EL171" s="102">
        <f t="shared" si="563"/>
        <v>646.64960767957757</v>
      </c>
      <c r="EM171" s="102">
        <f t="shared" si="563"/>
        <v>804.08041859085495</v>
      </c>
      <c r="EN171" s="102">
        <f t="shared" si="563"/>
        <v>750.60929115307113</v>
      </c>
      <c r="EO171" s="102">
        <f t="shared" si="563"/>
        <v>930.39667023061224</v>
      </c>
      <c r="EP171" s="102">
        <f t="shared" si="563"/>
        <v>1127.0124340374532</v>
      </c>
      <c r="EQ171" s="102">
        <f t="shared" si="563"/>
        <v>1307.6745457882394</v>
      </c>
      <c r="ER171" s="102">
        <f t="shared" si="563"/>
        <v>1501.5453525278253</v>
      </c>
      <c r="ES171" s="102">
        <f t="shared" si="563"/>
        <v>1646.1693608034116</v>
      </c>
      <c r="ET171" s="102">
        <f t="shared" si="563"/>
        <v>1068.1280295979514</v>
      </c>
      <c r="EU171" s="102">
        <f t="shared" si="563"/>
        <v>103.6239719970514</v>
      </c>
      <c r="EV171" s="102">
        <f t="shared" si="563"/>
        <v>-70.391731424948617</v>
      </c>
      <c r="EW171" s="102">
        <f t="shared" si="563"/>
        <v>104.06053270305138</v>
      </c>
      <c r="EX171" s="102">
        <f t="shared" si="563"/>
        <v>97.960619463051415</v>
      </c>
      <c r="EY171" s="102">
        <f t="shared" si="563"/>
        <v>102.97428936705141</v>
      </c>
      <c r="EZ171" s="102">
        <f t="shared" si="563"/>
        <v>87.892902887051406</v>
      </c>
      <c r="FA171" s="102">
        <f t="shared" si="563"/>
        <v>98.930133423051402</v>
      </c>
      <c r="FB171" s="102">
        <f t="shared" si="563"/>
        <v>79.895779275051396</v>
      </c>
      <c r="FC171" s="102">
        <f t="shared" si="563"/>
        <v>73.509836277051406</v>
      </c>
      <c r="FD171" s="102">
        <f t="shared" si="563"/>
        <v>67.746716277051405</v>
      </c>
      <c r="FE171" s="102">
        <f t="shared" si="563"/>
        <v>70.628276277051398</v>
      </c>
      <c r="FF171" s="102">
        <f t="shared" si="563"/>
        <v>67.746716277051405</v>
      </c>
      <c r="FG171" s="102" t="e">
        <f t="shared" si="563"/>
        <v>#VALUE!</v>
      </c>
      <c r="FH171" s="102" t="e">
        <f t="shared" si="563"/>
        <v>#VALUE!</v>
      </c>
      <c r="FI171" s="102" t="e">
        <f t="shared" si="563"/>
        <v>#VALUE!</v>
      </c>
      <c r="FJ171" s="102" t="e">
        <f t="shared" si="563"/>
        <v>#VALUE!</v>
      </c>
      <c r="FK171" s="102" t="e">
        <f t="shared" si="563"/>
        <v>#VALUE!</v>
      </c>
      <c r="FL171" s="102" t="e">
        <f t="shared" si="563"/>
        <v>#VALUE!</v>
      </c>
      <c r="FM171" s="102" t="e">
        <f t="shared" si="563"/>
        <v>#VALUE!</v>
      </c>
      <c r="FN171" s="102" t="e">
        <f t="shared" si="563"/>
        <v>#VALUE!</v>
      </c>
      <c r="FO171" s="102" t="e">
        <f t="shared" si="563"/>
        <v>#VALUE!</v>
      </c>
      <c r="FP171" s="102" t="e">
        <f t="shared" si="563"/>
        <v>#VALUE!</v>
      </c>
      <c r="FQ171" s="102" t="e">
        <f t="shared" si="563"/>
        <v>#VALUE!</v>
      </c>
      <c r="FR171" s="102" t="e">
        <f t="shared" si="563"/>
        <v>#VALUE!</v>
      </c>
      <c r="FS171" s="102" t="e">
        <f t="shared" si="563"/>
        <v>#VALUE!</v>
      </c>
      <c r="FT171" s="102" t="e">
        <f t="shared" si="563"/>
        <v>#VALUE!</v>
      </c>
      <c r="FU171" s="102" t="e">
        <f t="shared" si="563"/>
        <v>#VALUE!</v>
      </c>
      <c r="FV171" s="102" t="e">
        <f t="shared" ref="FV171:GD171" si="564">SUM(FV172:FV173)</f>
        <v>#VALUE!</v>
      </c>
      <c r="FW171" s="102" t="e">
        <f t="shared" si="564"/>
        <v>#VALUE!</v>
      </c>
      <c r="FX171" s="102" t="e">
        <f t="shared" si="564"/>
        <v>#VALUE!</v>
      </c>
      <c r="FY171" s="102" t="e">
        <f t="shared" si="564"/>
        <v>#VALUE!</v>
      </c>
      <c r="FZ171" s="102" t="e">
        <f t="shared" si="564"/>
        <v>#VALUE!</v>
      </c>
      <c r="GA171" s="102" t="e">
        <f t="shared" si="564"/>
        <v>#VALUE!</v>
      </c>
      <c r="GB171" s="102" t="e">
        <f t="shared" si="564"/>
        <v>#VALUE!</v>
      </c>
      <c r="GC171" s="102" t="e">
        <f t="shared" si="564"/>
        <v>#VALUE!</v>
      </c>
      <c r="GD171" s="102" t="e">
        <f t="shared" si="564"/>
        <v>#VALUE!</v>
      </c>
      <c r="GF171" s="102">
        <f t="shared" si="524"/>
        <v>1321.6532219999999</v>
      </c>
      <c r="GG171" s="102">
        <f t="shared" si="524"/>
        <v>2169.0181703899998</v>
      </c>
      <c r="GH171" s="102">
        <f t="shared" si="524"/>
        <v>2217.12162175</v>
      </c>
      <c r="GI171" s="102">
        <f t="shared" si="524"/>
        <v>615.31073474000004</v>
      </c>
      <c r="GJ171" s="102">
        <f t="shared" si="434"/>
        <v>452.98258534000001</v>
      </c>
      <c r="GK171" s="102">
        <f t="shared" si="407"/>
        <v>562.82319022000001</v>
      </c>
      <c r="GL171" s="102">
        <f t="shared" si="435"/>
        <v>702.95443762000002</v>
      </c>
      <c r="GM171" s="102">
        <f t="shared" si="408"/>
        <v>1175.3563469999999</v>
      </c>
      <c r="GN171" s="102" t="e">
        <f t="shared" si="409"/>
        <v>#VALUE!</v>
      </c>
      <c r="GO171" s="102">
        <v>583.59713899999997</v>
      </c>
      <c r="GQ171" s="929">
        <f t="shared" si="555"/>
        <v>2.2177523460465531E-2</v>
      </c>
      <c r="GR171" s="929">
        <f t="shared" si="555"/>
        <v>-0.72247317030162372</v>
      </c>
      <c r="GS171" s="929">
        <f t="shared" si="555"/>
        <v>-0.26381491535100865</v>
      </c>
      <c r="GT171" s="929">
        <f t="shared" si="525"/>
        <v>0.24248306322318269</v>
      </c>
      <c r="GU171" s="929">
        <f t="shared" si="525"/>
        <v>0.24897916403413412</v>
      </c>
      <c r="GV171" s="929">
        <f t="shared" si="525"/>
        <v>0.67202351119571246</v>
      </c>
      <c r="GW171" s="929" t="str">
        <f t="shared" si="499"/>
        <v/>
      </c>
      <c r="GX171" s="929" t="str">
        <f t="shared" si="499"/>
        <v/>
      </c>
      <c r="GY171" s="929">
        <f t="shared" si="492"/>
        <v>-0.50347216783268878</v>
      </c>
      <c r="HA171" s="102">
        <f t="shared" si="556"/>
        <v>48.103451360000236</v>
      </c>
      <c r="HB171" s="102">
        <f t="shared" si="556"/>
        <v>-1601.81088701</v>
      </c>
      <c r="HC171" s="102">
        <f t="shared" si="556"/>
        <v>-162.32814940000003</v>
      </c>
      <c r="HD171" s="102">
        <f t="shared" si="500"/>
        <v>109.84060488</v>
      </c>
      <c r="HE171" s="102">
        <f t="shared" si="500"/>
        <v>140.13124740000001</v>
      </c>
      <c r="HF171" s="102">
        <f t="shared" si="500"/>
        <v>472.40190937999989</v>
      </c>
      <c r="HG171" s="102" t="e">
        <f t="shared" si="500"/>
        <v>#VALUE!</v>
      </c>
      <c r="HH171" s="102" t="e">
        <f t="shared" si="500"/>
        <v>#VALUE!</v>
      </c>
      <c r="HI171" s="102">
        <f t="shared" si="493"/>
        <v>-591.75920799999994</v>
      </c>
      <c r="HK171" s="973"/>
      <c r="HL171" s="973"/>
      <c r="HM171" s="973"/>
      <c r="HN171" s="973"/>
      <c r="HO171" s="973"/>
      <c r="HP171" s="973"/>
      <c r="HQ171" s="973"/>
      <c r="HR171" s="973"/>
      <c r="HS171" s="973"/>
      <c r="HU171" s="102">
        <f t="shared" si="557"/>
        <v>940.92157100000009</v>
      </c>
      <c r="HV171" s="102">
        <f t="shared" si="557"/>
        <v>1191.3884069799999</v>
      </c>
      <c r="HW171" s="102">
        <f t="shared" si="557"/>
        <v>1375.05147713</v>
      </c>
      <c r="HX171" s="102">
        <f t="shared" si="557"/>
        <v>1521.27912283</v>
      </c>
      <c r="HY171" s="102">
        <f t="shared" si="528"/>
        <v>222.22325815000002</v>
      </c>
      <c r="HZ171" s="102">
        <f t="shared" si="528"/>
        <v>389.89134810000002</v>
      </c>
      <c r="IA171" s="102">
        <f t="shared" si="529"/>
        <v>436.37237492999998</v>
      </c>
      <c r="IB171" s="102">
        <f t="shared" si="530"/>
        <v>829.65220587999988</v>
      </c>
      <c r="IC171" s="102">
        <f t="shared" si="531"/>
        <v>333.13090399999999</v>
      </c>
      <c r="ID171" s="102" t="e">
        <f t="shared" si="417"/>
        <v>#VALUE!</v>
      </c>
      <c r="IE171" s="102" t="e">
        <f t="shared" si="532"/>
        <v>#VALUE!</v>
      </c>
      <c r="IG171" s="102" t="e">
        <f t="shared" si="533"/>
        <v>#VALUE!</v>
      </c>
      <c r="IH171" s="102" t="e">
        <f t="shared" si="534"/>
        <v>#VALUE!</v>
      </c>
      <c r="II171" s="145"/>
      <c r="IJ171" s="929" t="str">
        <f t="shared" si="535"/>
        <v>NA</v>
      </c>
      <c r="IK171" s="930" t="str">
        <f t="shared" si="536"/>
        <v>NA</v>
      </c>
      <c r="IM171" s="973"/>
      <c r="IN171" s="973"/>
      <c r="IP171" s="929">
        <f t="shared" si="553"/>
        <v>0.15415885287616637</v>
      </c>
      <c r="IQ171" s="929">
        <f t="shared" si="553"/>
        <v>0.10634339741607746</v>
      </c>
      <c r="IR171" s="929">
        <f t="shared" si="553"/>
        <v>-0.85392341562105756</v>
      </c>
      <c r="IS171" s="929">
        <f t="shared" si="553"/>
        <v>0.75450288752775174</v>
      </c>
      <c r="IT171" s="929">
        <f t="shared" si="553"/>
        <v>0.11921533282671981</v>
      </c>
      <c r="IU171" s="929">
        <f t="shared" si="553"/>
        <v>0.90124823097036622</v>
      </c>
      <c r="IV171" s="929" t="str">
        <f t="shared" si="554"/>
        <v/>
      </c>
      <c r="IX171" s="102">
        <f t="shared" si="538"/>
        <v>183.66307015000007</v>
      </c>
      <c r="IY171" s="102">
        <f t="shared" si="538"/>
        <v>146.22764570000004</v>
      </c>
      <c r="IZ171" s="102">
        <f t="shared" si="538"/>
        <v>-1299.05586468</v>
      </c>
      <c r="JA171" s="102">
        <f t="shared" si="538"/>
        <v>167.66808995</v>
      </c>
      <c r="JB171" s="102">
        <f t="shared" si="538"/>
        <v>46.481026829999962</v>
      </c>
      <c r="JC171" s="102">
        <f t="shared" si="538"/>
        <v>393.2798309499999</v>
      </c>
      <c r="JD171" s="102" t="e">
        <f t="shared" si="539"/>
        <v>#VALUE!</v>
      </c>
      <c r="JF171" s="973"/>
      <c r="JG171" s="973"/>
      <c r="JH171" s="973"/>
      <c r="JI171" s="973"/>
      <c r="JJ171" s="973"/>
      <c r="JK171" s="973"/>
      <c r="JL171" s="973"/>
      <c r="JM171" s="973"/>
      <c r="JO171" s="102">
        <f t="shared" si="561"/>
        <v>940.92157100000009</v>
      </c>
      <c r="JP171" s="102">
        <f t="shared" si="561"/>
        <v>1191.3884069799999</v>
      </c>
      <c r="JQ171" s="102">
        <f t="shared" si="561"/>
        <v>1375.05147713</v>
      </c>
      <c r="JR171" s="102">
        <f t="shared" si="561"/>
        <v>1521.27912283</v>
      </c>
      <c r="JS171" s="102">
        <f t="shared" si="561"/>
        <v>222.22325815000002</v>
      </c>
      <c r="JT171" s="102">
        <f t="shared" si="541"/>
        <v>389.89134810000002</v>
      </c>
      <c r="JU171" s="102">
        <f t="shared" si="542"/>
        <v>436.37237492999998</v>
      </c>
      <c r="JV171" s="102">
        <f t="shared" si="543"/>
        <v>829.65220587999988</v>
      </c>
      <c r="JW171" s="102">
        <f t="shared" si="543"/>
        <v>333.13090399999999</v>
      </c>
      <c r="JX171" s="102" t="e">
        <f t="shared" si="544"/>
        <v>#VALUE!</v>
      </c>
      <c r="JY171" s="102" t="e">
        <f t="shared" si="545"/>
        <v>#VALUE!</v>
      </c>
      <c r="KB171" s="32">
        <f t="shared" si="546"/>
        <v>0.15415885287616637</v>
      </c>
      <c r="KC171" s="32">
        <f t="shared" si="546"/>
        <v>0.10634339741607746</v>
      </c>
      <c r="KD171" s="32">
        <f t="shared" si="546"/>
        <v>-0.85392341562105756</v>
      </c>
      <c r="KE171" s="32">
        <f t="shared" si="546"/>
        <v>0.75450288752775174</v>
      </c>
      <c r="KF171" s="32">
        <f t="shared" si="546"/>
        <v>0.11921533282671981</v>
      </c>
      <c r="KG171" s="32">
        <f t="shared" si="546"/>
        <v>0.90124823097036622</v>
      </c>
      <c r="KH171" s="32" t="str">
        <f t="shared" si="431"/>
        <v xml:space="preserve"> </v>
      </c>
      <c r="KJ171" s="102">
        <f t="shared" si="547"/>
        <v>183.66307015000007</v>
      </c>
      <c r="KK171" s="102">
        <f t="shared" si="547"/>
        <v>146.22764570000004</v>
      </c>
      <c r="KL171" s="102">
        <f t="shared" si="547"/>
        <v>-1299.05586468</v>
      </c>
      <c r="KM171" s="102">
        <f t="shared" si="547"/>
        <v>167.66808995</v>
      </c>
      <c r="KN171" s="102">
        <f t="shared" si="547"/>
        <v>46.481026829999962</v>
      </c>
      <c r="KO171" s="102">
        <f t="shared" si="547"/>
        <v>393.2798309499999</v>
      </c>
      <c r="KP171" s="102" t="e">
        <f t="shared" si="433"/>
        <v>#VALUE!</v>
      </c>
      <c r="KR171" s="973"/>
      <c r="KS171" s="973"/>
      <c r="KT171" s="973"/>
      <c r="KU171" s="973"/>
      <c r="KV171" s="973"/>
      <c r="KW171" s="973"/>
      <c r="KX171" s="973"/>
      <c r="KY171" s="973"/>
      <c r="KZ171" s="973"/>
    </row>
    <row r="172" spans="1:312" ht="15.75" hidden="1" customHeight="1" outlineLevel="2">
      <c r="A172" s="884">
        <v>2610</v>
      </c>
      <c r="B172" s="70" t="s">
        <v>735</v>
      </c>
      <c r="C172" s="17" t="s">
        <v>736</v>
      </c>
      <c r="D172" s="31" t="s">
        <v>59</v>
      </c>
      <c r="E172" s="102">
        <v>177.546966</v>
      </c>
      <c r="F172" s="102">
        <v>281.24761999999998</v>
      </c>
      <c r="G172" s="102">
        <v>364.16555899999997</v>
      </c>
      <c r="H172" s="102">
        <v>483.51404100000002</v>
      </c>
      <c r="I172" s="102">
        <v>612.98262899999997</v>
      </c>
      <c r="J172" s="102">
        <v>418.81715400000002</v>
      </c>
      <c r="K172" s="102">
        <v>721.75611500000002</v>
      </c>
      <c r="L172" s="102">
        <v>693.02912200000003</v>
      </c>
      <c r="M172" s="102">
        <v>813.71417199999996</v>
      </c>
      <c r="N172" s="102">
        <v>907.44640400000003</v>
      </c>
      <c r="O172" s="102">
        <v>849.23733900000002</v>
      </c>
      <c r="P172" s="102">
        <v>0</v>
      </c>
      <c r="Q172" s="102">
        <v>218.65159800000004</v>
      </c>
      <c r="R172" s="102">
        <v>379.23841900000002</v>
      </c>
      <c r="S172" s="102">
        <v>550.15525300000002</v>
      </c>
      <c r="T172" s="102">
        <v>754.03184599999997</v>
      </c>
      <c r="U172" s="102">
        <v>957.15806299999997</v>
      </c>
      <c r="V172" s="102">
        <v>627.52063999999996</v>
      </c>
      <c r="W172" s="102">
        <v>746.5096289999999</v>
      </c>
      <c r="X172" s="102">
        <v>931.30103600000007</v>
      </c>
      <c r="Y172" s="102">
        <v>1100.6268420000001</v>
      </c>
      <c r="Z172" s="102">
        <v>1276.0733279999999</v>
      </c>
      <c r="AA172" s="102">
        <v>1389.8362929999998</v>
      </c>
      <c r="AB172" s="102">
        <v>573.68939399999999</v>
      </c>
      <c r="AC172" s="102">
        <v>810.44950116999996</v>
      </c>
      <c r="AD172" s="102">
        <v>931.27847923000002</v>
      </c>
      <c r="AE172" s="102">
        <v>1128.2223559499998</v>
      </c>
      <c r="AF172" s="102">
        <v>1132.5477862600001</v>
      </c>
      <c r="AG172" s="102">
        <v>1174.1597675099999</v>
      </c>
      <c r="AH172" s="102">
        <v>849.19190657000001</v>
      </c>
      <c r="AI172" s="102">
        <v>1011.25521366</v>
      </c>
      <c r="AJ172" s="102">
        <v>1146.59261681</v>
      </c>
      <c r="AK172" s="102">
        <v>1288.8047466799999</v>
      </c>
      <c r="AL172" s="102">
        <v>1495.3734210700002</v>
      </c>
      <c r="AM172" s="102">
        <v>1723.3142166500002</v>
      </c>
      <c r="AN172" s="102">
        <v>640</v>
      </c>
      <c r="AO172" s="102">
        <v>749.39717524000002</v>
      </c>
      <c r="AP172" s="145">
        <v>662.92493810000008</v>
      </c>
      <c r="AQ172" s="220">
        <v>663.32714959999998</v>
      </c>
      <c r="AR172" s="220">
        <v>1453.2240264100001</v>
      </c>
      <c r="AS172" s="102">
        <v>1431.2689696099999</v>
      </c>
      <c r="AT172" s="102">
        <v>1498.02431409</v>
      </c>
      <c r="AU172" s="102">
        <v>1247.5123398699998</v>
      </c>
      <c r="AV172" s="102">
        <v>1320.0553376099999</v>
      </c>
      <c r="AW172" s="102">
        <v>1348.86081079</v>
      </c>
      <c r="AX172" s="102">
        <v>1436.10153446</v>
      </c>
      <c r="AY172" s="102">
        <v>1333.1203984000001</v>
      </c>
      <c r="AZ172" s="102">
        <v>0</v>
      </c>
      <c r="BA172" s="102">
        <v>-17.52368397</v>
      </c>
      <c r="BB172" s="102">
        <v>253.31453897</v>
      </c>
      <c r="BC172" s="102">
        <v>231.96607144000001</v>
      </c>
      <c r="BD172" s="102">
        <v>278.79364888999999</v>
      </c>
      <c r="BE172" s="102">
        <v>356.63593699</v>
      </c>
      <c r="BF172" s="102">
        <v>203.23740205000001</v>
      </c>
      <c r="BG172" s="102">
        <v>270.0075104</v>
      </c>
      <c r="BH172" s="102">
        <v>298.45514530999998</v>
      </c>
      <c r="BI172" s="102">
        <v>286.60233011000003</v>
      </c>
      <c r="BJ172" s="102">
        <v>411.92884967999998</v>
      </c>
      <c r="BK172" s="102">
        <v>429.71687860000003</v>
      </c>
      <c r="BL172" s="102">
        <v>151.24971513</v>
      </c>
      <c r="BM172" s="145">
        <v>557.14822679999997</v>
      </c>
      <c r="BN172" s="102">
        <v>435.02550411000004</v>
      </c>
      <c r="BO172" s="102">
        <v>458.31766693999998</v>
      </c>
      <c r="BP172" s="102">
        <v>575.23678698000003</v>
      </c>
      <c r="BQ172" s="102">
        <v>551.50118879000001</v>
      </c>
      <c r="BR172" s="102">
        <v>381.76884443</v>
      </c>
      <c r="BS172" s="102">
        <v>455.58536920999995</v>
      </c>
      <c r="BT172" s="102">
        <v>486.58411805999998</v>
      </c>
      <c r="BU172" s="102">
        <v>545.48220583</v>
      </c>
      <c r="BV172" s="102">
        <v>575.48043474999997</v>
      </c>
      <c r="BW172" s="102">
        <v>638.69386135000002</v>
      </c>
      <c r="BX172" s="102">
        <v>137.26173401</v>
      </c>
      <c r="BY172" s="102">
        <v>343.83590624999999</v>
      </c>
      <c r="BZ172" s="102">
        <v>359.14362208</v>
      </c>
      <c r="CA172" s="102">
        <v>438.53462768999998</v>
      </c>
      <c r="CB172" s="102">
        <v>462.93504517000002</v>
      </c>
      <c r="CC172" s="102">
        <v>460.00080563</v>
      </c>
      <c r="CD172" s="102">
        <v>401.76359294999997</v>
      </c>
      <c r="CE172" s="102">
        <v>485.89294364999995</v>
      </c>
      <c r="CF172" s="102">
        <v>560.29114615999993</v>
      </c>
      <c r="CG172" s="102">
        <v>639.88446142999999</v>
      </c>
      <c r="CH172" s="102">
        <v>759.13601958000004</v>
      </c>
      <c r="CI172" s="102">
        <v>805.31303536999997</v>
      </c>
      <c r="CJ172" s="102">
        <v>125.864136</v>
      </c>
      <c r="CK172" s="102">
        <v>200.67612274999999</v>
      </c>
      <c r="CL172" s="102">
        <v>372.77475239</v>
      </c>
      <c r="CM172" s="102">
        <v>535.53707882999993</v>
      </c>
      <c r="CN172" s="102">
        <v>586.69974595000008</v>
      </c>
      <c r="CO172" s="102">
        <v>717.13583798000002</v>
      </c>
      <c r="CP172" s="102">
        <v>595.35792802999993</v>
      </c>
      <c r="CQ172" s="102">
        <v>697.43457880999995</v>
      </c>
      <c r="CR172" s="102">
        <v>802.88301940999997</v>
      </c>
      <c r="CS172" s="102">
        <v>843.51999515</v>
      </c>
      <c r="CT172" s="102">
        <v>966.50250627999992</v>
      </c>
      <c r="CU172" s="102">
        <v>999.43055509999999</v>
      </c>
      <c r="CV172" s="102">
        <v>358.01983300000001</v>
      </c>
      <c r="CW172" s="102">
        <v>341.28545800000001</v>
      </c>
      <c r="CX172" s="102">
        <v>407.754975</v>
      </c>
      <c r="CY172" s="102">
        <v>381.89817599999998</v>
      </c>
      <c r="CZ172" s="102">
        <v>230.88012699999999</v>
      </c>
      <c r="DA172" s="102">
        <v>94.050661000000005</v>
      </c>
      <c r="DB172" s="102">
        <v>-1.1913739999999999</v>
      </c>
      <c r="DC172" s="102">
        <v>74.286430999999993</v>
      </c>
      <c r="DD172" s="102">
        <v>138.17518699999999</v>
      </c>
      <c r="DE172" s="102">
        <v>169.86371700000001</v>
      </c>
      <c r="DF172" s="102">
        <v>203.21345099999999</v>
      </c>
      <c r="DG172" s="102">
        <v>235.21765400000001</v>
      </c>
      <c r="DH172" s="102">
        <v>147.403706</v>
      </c>
      <c r="DI172" s="77"/>
      <c r="DJ172" s="102" t="e">
        <v>#VALUE!</v>
      </c>
      <c r="DK172" s="102" t="e">
        <v>#VALUE!</v>
      </c>
      <c r="DL172" s="102" t="e">
        <v>#VALUE!</v>
      </c>
      <c r="DM172" s="102" t="e">
        <v>#VALUE!</v>
      </c>
      <c r="DN172" s="102" t="e">
        <v>#VALUE!</v>
      </c>
      <c r="DO172" s="102" t="e">
        <v>#VALUE!</v>
      </c>
      <c r="DP172" s="102" t="e">
        <v>#VALUE!</v>
      </c>
      <c r="DQ172" s="102" t="e">
        <v>#VALUE!</v>
      </c>
      <c r="DR172" s="102" t="e">
        <v>#VALUE!</v>
      </c>
      <c r="DS172" s="102" t="e">
        <v>#VALUE!</v>
      </c>
      <c r="DT172" s="102" t="e">
        <v>#VALUE!</v>
      </c>
      <c r="DU172" s="102" t="e">
        <v>#VALUE!</v>
      </c>
      <c r="DW172" s="102">
        <v>1782.9023648599998</v>
      </c>
      <c r="DX172" s="102">
        <v>1178.1727514199999</v>
      </c>
      <c r="DY172" s="102">
        <v>1358.1727514199999</v>
      </c>
      <c r="DZ172" s="102">
        <v>838.17275141999983</v>
      </c>
      <c r="EA172" s="102">
        <v>1018.1727514199998</v>
      </c>
      <c r="EB172" s="102">
        <v>1129.1727514199999</v>
      </c>
      <c r="EC172" s="102">
        <v>1309.1727514199999</v>
      </c>
      <c r="ED172" s="102">
        <v>1489.1727514199999</v>
      </c>
      <c r="EE172" s="102">
        <v>1669.1727514199999</v>
      </c>
      <c r="EF172" s="102">
        <v>1849.1727514199999</v>
      </c>
      <c r="EG172" s="102">
        <v>2029.1727514199999</v>
      </c>
      <c r="EH172" s="102">
        <v>2140.1727514200002</v>
      </c>
      <c r="EI172" s="102">
        <v>165.39902621190319</v>
      </c>
      <c r="EJ172" s="102">
        <v>358.73742533630639</v>
      </c>
      <c r="EK172" s="102">
        <v>490.10504014810016</v>
      </c>
      <c r="EL172" s="102">
        <v>612.81565885457758</v>
      </c>
      <c r="EM172" s="102">
        <v>770.24646976585495</v>
      </c>
      <c r="EN172" s="102">
        <v>716.77534232807113</v>
      </c>
      <c r="EO172" s="102">
        <v>913.47969581811219</v>
      </c>
      <c r="EP172" s="102">
        <v>1110.0954596249533</v>
      </c>
      <c r="EQ172" s="102">
        <v>1290.7575713757394</v>
      </c>
      <c r="ER172" s="102">
        <v>1484.6283781153254</v>
      </c>
      <c r="ES172" s="102">
        <v>1629.2523863909116</v>
      </c>
      <c r="ET172" s="102">
        <v>1068.1280295979514</v>
      </c>
      <c r="EU172" s="102">
        <v>103.6239719970514</v>
      </c>
      <c r="EV172" s="102">
        <v>-70.391731424948617</v>
      </c>
      <c r="EW172" s="102">
        <v>104.06053270305138</v>
      </c>
      <c r="EX172" s="102">
        <v>97.960619463051415</v>
      </c>
      <c r="EY172" s="102">
        <v>102.97428936705141</v>
      </c>
      <c r="EZ172" s="102">
        <v>87.892902887051406</v>
      </c>
      <c r="FA172" s="102">
        <v>98.930133423051402</v>
      </c>
      <c r="FB172" s="102">
        <v>79.895779275051396</v>
      </c>
      <c r="FC172" s="102">
        <v>73.509836277051406</v>
      </c>
      <c r="FD172" s="102">
        <v>67.746716277051405</v>
      </c>
      <c r="FE172" s="102">
        <v>70.628276277051398</v>
      </c>
      <c r="FF172" s="102">
        <v>67.746716277051405</v>
      </c>
      <c r="FG172" s="102" t="e">
        <v>#VALUE!</v>
      </c>
      <c r="FH172" s="102" t="e">
        <v>#VALUE!</v>
      </c>
      <c r="FI172" s="102" t="e">
        <v>#VALUE!</v>
      </c>
      <c r="FJ172" s="102" t="e">
        <v>#VALUE!</v>
      </c>
      <c r="FK172" s="102" t="e">
        <v>#VALUE!</v>
      </c>
      <c r="FL172" s="102" t="e">
        <v>#VALUE!</v>
      </c>
      <c r="FM172" s="102" t="e">
        <v>#VALUE!</v>
      </c>
      <c r="FN172" s="102" t="e">
        <v>#VALUE!</v>
      </c>
      <c r="FO172" s="102" t="e">
        <v>#VALUE!</v>
      </c>
      <c r="FP172" s="102" t="e">
        <v>#VALUE!</v>
      </c>
      <c r="FQ172" s="102" t="e">
        <v>#VALUE!</v>
      </c>
      <c r="FR172" s="102" t="e">
        <v>#VALUE!</v>
      </c>
      <c r="FS172" s="102" t="e">
        <v>#VALUE!</v>
      </c>
      <c r="FT172" s="102" t="e">
        <v>#VALUE!</v>
      </c>
      <c r="FU172" s="102" t="e">
        <v>#VALUE!</v>
      </c>
      <c r="FV172" s="102" t="e">
        <v>#VALUE!</v>
      </c>
      <c r="FW172" s="102" t="e">
        <v>#VALUE!</v>
      </c>
      <c r="FX172" s="102" t="e">
        <v>#VALUE!</v>
      </c>
      <c r="FY172" s="102" t="e">
        <v>#VALUE!</v>
      </c>
      <c r="FZ172" s="102" t="e">
        <v>#VALUE!</v>
      </c>
      <c r="GA172" s="102" t="e">
        <v>#VALUE!</v>
      </c>
      <c r="GB172" s="102" t="e">
        <v>#VALUE!</v>
      </c>
      <c r="GC172" s="102" t="e">
        <v>#VALUE!</v>
      </c>
      <c r="GD172" s="102" t="e">
        <v>#VALUE!</v>
      </c>
      <c r="GF172" s="102">
        <f t="shared" si="524"/>
        <v>0</v>
      </c>
      <c r="GG172" s="102">
        <f t="shared" si="524"/>
        <v>573.68939399999999</v>
      </c>
      <c r="GH172" s="102">
        <f t="shared" si="524"/>
        <v>640</v>
      </c>
      <c r="GI172" s="102">
        <f t="shared" si="524"/>
        <v>0</v>
      </c>
      <c r="GJ172" s="102">
        <f t="shared" si="434"/>
        <v>151.24971513</v>
      </c>
      <c r="GK172" s="102">
        <f t="shared" si="407"/>
        <v>137.26173401</v>
      </c>
      <c r="GL172" s="102">
        <f t="shared" si="435"/>
        <v>125.864136</v>
      </c>
      <c r="GM172" s="102">
        <f t="shared" si="408"/>
        <v>358.01983300000001</v>
      </c>
      <c r="GN172" s="102" t="e">
        <f t="shared" si="409"/>
        <v>#VALUE!</v>
      </c>
      <c r="GO172" s="102">
        <v>147.403706</v>
      </c>
      <c r="GQ172" s="929">
        <f t="shared" si="555"/>
        <v>0.11558625049289306</v>
      </c>
      <c r="GR172" s="929">
        <f t="shared" si="555"/>
        <v>-1</v>
      </c>
      <c r="GS172" s="929" t="str">
        <f t="shared" si="555"/>
        <v/>
      </c>
      <c r="GT172" s="929">
        <f t="shared" si="525"/>
        <v>-9.2482693987074649E-2</v>
      </c>
      <c r="GU172" s="929">
        <f t="shared" si="525"/>
        <v>-8.3035509438993738E-2</v>
      </c>
      <c r="GV172" s="929">
        <f t="shared" si="525"/>
        <v>1.8444944237332228</v>
      </c>
      <c r="GW172" s="929" t="str">
        <f t="shared" si="499"/>
        <v/>
      </c>
      <c r="GX172" s="929" t="str">
        <f t="shared" si="499"/>
        <v/>
      </c>
      <c r="GY172" s="929">
        <f t="shared" si="492"/>
        <v>-0.58828061349327543</v>
      </c>
      <c r="HA172" s="102">
        <f t="shared" si="556"/>
        <v>66.310606000000007</v>
      </c>
      <c r="HB172" s="102">
        <f t="shared" si="556"/>
        <v>-640</v>
      </c>
      <c r="HC172" s="102">
        <f t="shared" si="556"/>
        <v>151.24971513</v>
      </c>
      <c r="HD172" s="102">
        <f t="shared" si="500"/>
        <v>-13.987981120000001</v>
      </c>
      <c r="HE172" s="102">
        <f t="shared" si="500"/>
        <v>-11.397598009999996</v>
      </c>
      <c r="HF172" s="102">
        <f t="shared" si="500"/>
        <v>232.155697</v>
      </c>
      <c r="HG172" s="102" t="e">
        <f t="shared" si="500"/>
        <v>#VALUE!</v>
      </c>
      <c r="HH172" s="102" t="e">
        <f t="shared" si="500"/>
        <v>#VALUE!</v>
      </c>
      <c r="HI172" s="102">
        <f t="shared" si="493"/>
        <v>-210.61612700000001</v>
      </c>
      <c r="HK172" s="973"/>
      <c r="HL172" s="973"/>
      <c r="HM172" s="973"/>
      <c r="HN172" s="973"/>
      <c r="HO172" s="973"/>
      <c r="HP172" s="973"/>
      <c r="HQ172" s="973"/>
      <c r="HR172" s="973"/>
      <c r="HS172" s="973"/>
      <c r="HU172" s="102">
        <f t="shared" si="557"/>
        <v>418.81715400000002</v>
      </c>
      <c r="HV172" s="102">
        <f t="shared" si="557"/>
        <v>627.52063999999996</v>
      </c>
      <c r="HW172" s="102">
        <f t="shared" si="557"/>
        <v>849.19190657000001</v>
      </c>
      <c r="HX172" s="102">
        <f t="shared" si="557"/>
        <v>1498.02431409</v>
      </c>
      <c r="HY172" s="102">
        <f t="shared" si="528"/>
        <v>203.23740205000001</v>
      </c>
      <c r="HZ172" s="102">
        <f t="shared" si="528"/>
        <v>381.76884443</v>
      </c>
      <c r="IA172" s="102">
        <f t="shared" si="529"/>
        <v>401.76359294999997</v>
      </c>
      <c r="IB172" s="102">
        <f t="shared" si="530"/>
        <v>595.35792802999993</v>
      </c>
      <c r="IC172" s="102">
        <f t="shared" si="531"/>
        <v>-1.1913739999999999</v>
      </c>
      <c r="ID172" s="102" t="e">
        <f t="shared" si="417"/>
        <v>#VALUE!</v>
      </c>
      <c r="IE172" s="102" t="e">
        <f t="shared" si="532"/>
        <v>#VALUE!</v>
      </c>
      <c r="IG172" s="102" t="e">
        <f t="shared" si="533"/>
        <v>#VALUE!</v>
      </c>
      <c r="IH172" s="102" t="e">
        <f t="shared" si="534"/>
        <v>#VALUE!</v>
      </c>
      <c r="II172" s="145"/>
      <c r="IJ172" s="929" t="str">
        <f t="shared" si="535"/>
        <v>NA</v>
      </c>
      <c r="IK172" s="930" t="str">
        <f t="shared" si="536"/>
        <v>NA</v>
      </c>
      <c r="IM172" s="973"/>
      <c r="IN172" s="973"/>
      <c r="IP172" s="929">
        <f t="shared" si="553"/>
        <v>0.35324936335161827</v>
      </c>
      <c r="IQ172" s="929">
        <f t="shared" si="553"/>
        <v>0.7640586332725674</v>
      </c>
      <c r="IR172" s="929">
        <f t="shared" si="553"/>
        <v>-0.86432970403857567</v>
      </c>
      <c r="IS172" s="929">
        <f t="shared" si="553"/>
        <v>0.87843792815299859</v>
      </c>
      <c r="IT172" s="929">
        <f t="shared" si="553"/>
        <v>5.2373966109919623E-2</v>
      </c>
      <c r="IU172" s="929">
        <f t="shared" si="553"/>
        <v>0.48186131963453693</v>
      </c>
      <c r="IV172" s="929" t="str">
        <f t="shared" si="554"/>
        <v/>
      </c>
      <c r="IX172" s="102">
        <f t="shared" si="538"/>
        <v>221.67126657000006</v>
      </c>
      <c r="IY172" s="102">
        <f t="shared" si="538"/>
        <v>648.83240751999995</v>
      </c>
      <c r="IZ172" s="102">
        <f t="shared" si="538"/>
        <v>-1294.7869120400001</v>
      </c>
      <c r="JA172" s="102">
        <f t="shared" si="538"/>
        <v>178.53144237999999</v>
      </c>
      <c r="JB172" s="102">
        <f t="shared" si="538"/>
        <v>19.994748519999973</v>
      </c>
      <c r="JC172" s="102">
        <f t="shared" si="538"/>
        <v>193.59433507999995</v>
      </c>
      <c r="JD172" s="102" t="e">
        <f t="shared" si="539"/>
        <v>#VALUE!</v>
      </c>
      <c r="JF172" s="973"/>
      <c r="JG172" s="973"/>
      <c r="JH172" s="973"/>
      <c r="JI172" s="973"/>
      <c r="JJ172" s="973"/>
      <c r="JK172" s="973"/>
      <c r="JL172" s="973"/>
      <c r="JM172" s="973"/>
      <c r="JO172" s="102">
        <f t="shared" si="561"/>
        <v>418.81715400000002</v>
      </c>
      <c r="JP172" s="102">
        <f t="shared" si="561"/>
        <v>627.52063999999996</v>
      </c>
      <c r="JQ172" s="102">
        <f t="shared" si="561"/>
        <v>849.19190657000001</v>
      </c>
      <c r="JR172" s="102">
        <f t="shared" si="561"/>
        <v>1498.02431409</v>
      </c>
      <c r="JS172" s="102">
        <f t="shared" si="561"/>
        <v>203.23740205000001</v>
      </c>
      <c r="JT172" s="102">
        <f t="shared" si="541"/>
        <v>381.76884443</v>
      </c>
      <c r="JU172" s="102">
        <f t="shared" si="542"/>
        <v>401.76359294999997</v>
      </c>
      <c r="JV172" s="102">
        <f t="shared" si="543"/>
        <v>595.35792802999993</v>
      </c>
      <c r="JW172" s="102">
        <f t="shared" si="543"/>
        <v>-1.1913739999999999</v>
      </c>
      <c r="JX172" s="102" t="e">
        <f t="shared" si="544"/>
        <v>#VALUE!</v>
      </c>
      <c r="JY172" s="102" t="e">
        <f t="shared" si="545"/>
        <v>#VALUE!</v>
      </c>
      <c r="KB172" s="32">
        <f t="shared" si="546"/>
        <v>0.35324936335161827</v>
      </c>
      <c r="KC172" s="32">
        <f t="shared" si="546"/>
        <v>0.7640586332725674</v>
      </c>
      <c r="KD172" s="32">
        <f t="shared" si="546"/>
        <v>-0.86432970403857567</v>
      </c>
      <c r="KE172" s="32">
        <f t="shared" si="546"/>
        <v>0.87843792815299859</v>
      </c>
      <c r="KF172" s="32">
        <f t="shared" si="546"/>
        <v>5.2373966109919623E-2</v>
      </c>
      <c r="KG172" s="32">
        <f t="shared" si="546"/>
        <v>0.48186131963453693</v>
      </c>
      <c r="KH172" s="32" t="str">
        <f t="shared" si="431"/>
        <v xml:space="preserve"> </v>
      </c>
      <c r="KJ172" s="102">
        <f t="shared" si="547"/>
        <v>221.67126657000006</v>
      </c>
      <c r="KK172" s="102">
        <f t="shared" si="547"/>
        <v>648.83240751999995</v>
      </c>
      <c r="KL172" s="102">
        <f t="shared" si="547"/>
        <v>-1294.7869120400001</v>
      </c>
      <c r="KM172" s="102">
        <f t="shared" si="547"/>
        <v>178.53144237999999</v>
      </c>
      <c r="KN172" s="102">
        <f t="shared" si="547"/>
        <v>19.994748519999973</v>
      </c>
      <c r="KO172" s="102">
        <f t="shared" si="547"/>
        <v>193.59433507999995</v>
      </c>
      <c r="KP172" s="102" t="e">
        <f t="shared" si="433"/>
        <v>#VALUE!</v>
      </c>
      <c r="KR172" s="973"/>
      <c r="KS172" s="973"/>
      <c r="KT172" s="973"/>
      <c r="KU172" s="973"/>
      <c r="KV172" s="973"/>
      <c r="KW172" s="973"/>
      <c r="KX172" s="973"/>
      <c r="KY172" s="973"/>
      <c r="KZ172" s="973"/>
    </row>
    <row r="173" spans="1:312" hidden="1" outlineLevel="2">
      <c r="A173" s="884">
        <v>25</v>
      </c>
      <c r="B173" s="70" t="s">
        <v>737</v>
      </c>
      <c r="C173" s="17" t="s">
        <v>736</v>
      </c>
      <c r="D173" s="31" t="s">
        <v>59</v>
      </c>
      <c r="E173" s="102">
        <v>1274.05519015</v>
      </c>
      <c r="F173" s="102">
        <v>557.97886934000007</v>
      </c>
      <c r="G173" s="102">
        <v>542.04265050000004</v>
      </c>
      <c r="H173" s="102">
        <v>526.62135177999994</v>
      </c>
      <c r="I173" s="102">
        <v>529.96101755000007</v>
      </c>
      <c r="J173" s="102">
        <v>522.10441700000001</v>
      </c>
      <c r="K173" s="102">
        <v>502.35402407999999</v>
      </c>
      <c r="L173" s="102">
        <v>499.69748951999998</v>
      </c>
      <c r="M173" s="102">
        <v>722.27280312000005</v>
      </c>
      <c r="N173" s="102">
        <v>555.25228412000001</v>
      </c>
      <c r="O173" s="102">
        <v>540.09805412000003</v>
      </c>
      <c r="P173" s="102">
        <v>1321.6532219999999</v>
      </c>
      <c r="Q173" s="102">
        <v>1187.7825868199998</v>
      </c>
      <c r="R173" s="102">
        <v>550.49982581999996</v>
      </c>
      <c r="S173" s="102">
        <v>545.65058881999994</v>
      </c>
      <c r="T173" s="102">
        <v>560.14049497999997</v>
      </c>
      <c r="U173" s="102">
        <v>557.66942597999991</v>
      </c>
      <c r="V173" s="102">
        <v>563.86776697999994</v>
      </c>
      <c r="W173" s="102">
        <v>560.28657797999995</v>
      </c>
      <c r="X173" s="102">
        <v>559.85692197999992</v>
      </c>
      <c r="Y173" s="102">
        <v>555.12338897999996</v>
      </c>
      <c r="Z173" s="102">
        <v>531.23557397999991</v>
      </c>
      <c r="AA173" s="102">
        <v>555.87556898000003</v>
      </c>
      <c r="AB173" s="102">
        <v>1595.3287763899998</v>
      </c>
      <c r="AC173" s="102">
        <v>1454.56554048</v>
      </c>
      <c r="AD173" s="102">
        <v>548.94983775999992</v>
      </c>
      <c r="AE173" s="102">
        <v>535.15794433999997</v>
      </c>
      <c r="AF173" s="102">
        <v>527.95330639999997</v>
      </c>
      <c r="AG173" s="102">
        <v>526.93813952999994</v>
      </c>
      <c r="AH173" s="102">
        <v>525.85957055999995</v>
      </c>
      <c r="AI173" s="102">
        <v>526.68877599999996</v>
      </c>
      <c r="AJ173" s="102">
        <v>523.73606076999999</v>
      </c>
      <c r="AK173" s="102">
        <v>470.28111681999997</v>
      </c>
      <c r="AL173" s="102">
        <v>428.74390586999999</v>
      </c>
      <c r="AM173" s="102">
        <v>428.74390586999999</v>
      </c>
      <c r="AN173" s="102">
        <v>1577.12162175</v>
      </c>
      <c r="AO173" s="102">
        <v>1451.5042334300001</v>
      </c>
      <c r="AP173" s="145">
        <v>1416.2960686500001</v>
      </c>
      <c r="AQ173" s="220">
        <v>1413.73734575</v>
      </c>
      <c r="AR173" s="220">
        <v>-0.10751525000000001</v>
      </c>
      <c r="AS173" s="102">
        <v>-0.10741442999999999</v>
      </c>
      <c r="AT173" s="102">
        <v>23.254808739999998</v>
      </c>
      <c r="AU173" s="102">
        <v>155.34725668999999</v>
      </c>
      <c r="AV173" s="102">
        <v>-2.6146819300000002</v>
      </c>
      <c r="AW173" s="102">
        <v>-2.7238272799999996</v>
      </c>
      <c r="AX173" s="102">
        <v>-2.4608954500000002</v>
      </c>
      <c r="AY173" s="102">
        <v>6.9627000000000003E-4</v>
      </c>
      <c r="AZ173" s="102">
        <v>615.31073474000004</v>
      </c>
      <c r="BA173" s="102">
        <v>615.31077751999999</v>
      </c>
      <c r="BB173" s="102">
        <v>0.72657267000000003</v>
      </c>
      <c r="BC173" s="102">
        <v>-1.71339555</v>
      </c>
      <c r="BD173" s="102">
        <v>1.6399000000000001E-4</v>
      </c>
      <c r="BE173" s="102">
        <v>0</v>
      </c>
      <c r="BF173" s="102">
        <v>18.985856100000003</v>
      </c>
      <c r="BG173" s="102">
        <v>0</v>
      </c>
      <c r="BH173" s="102">
        <v>0</v>
      </c>
      <c r="BI173" s="102">
        <v>0</v>
      </c>
      <c r="BJ173" s="102">
        <v>0</v>
      </c>
      <c r="BK173" s="102">
        <v>6.7000000000000004E-7</v>
      </c>
      <c r="BL173" s="102">
        <v>301.73287020999999</v>
      </c>
      <c r="BM173" s="145">
        <v>1.2178676899999998</v>
      </c>
      <c r="BN173" s="102">
        <v>6.77944982</v>
      </c>
      <c r="BO173" s="102">
        <v>3.8243709900000002</v>
      </c>
      <c r="BP173" s="102">
        <v>0.43903401000000003</v>
      </c>
      <c r="BQ173" s="102">
        <v>15.247348449999999</v>
      </c>
      <c r="BR173" s="102">
        <v>8.1225036700000004</v>
      </c>
      <c r="BS173" s="102">
        <v>1.6175296799999999</v>
      </c>
      <c r="BT173" s="102">
        <v>1.3716240100000001</v>
      </c>
      <c r="BU173" s="102">
        <v>1.17662321</v>
      </c>
      <c r="BV173" s="102">
        <v>1.17662321</v>
      </c>
      <c r="BW173" s="102">
        <v>1.17662321</v>
      </c>
      <c r="BX173" s="102">
        <v>425.56145620999996</v>
      </c>
      <c r="BY173" s="102">
        <v>254.20845621000001</v>
      </c>
      <c r="BZ173" s="102">
        <v>29.99278198</v>
      </c>
      <c r="CA173" s="102">
        <v>35.422011299999994</v>
      </c>
      <c r="CB173" s="102">
        <v>34.608781979999996</v>
      </c>
      <c r="CC173" s="102">
        <v>34.608781979999996</v>
      </c>
      <c r="CD173" s="102">
        <v>34.608781979999996</v>
      </c>
      <c r="CE173" s="102">
        <v>34.511355979999998</v>
      </c>
      <c r="CF173" s="102">
        <v>30.87946621</v>
      </c>
      <c r="CG173" s="102">
        <v>30.87946621</v>
      </c>
      <c r="CH173" s="102">
        <v>32.882340210000002</v>
      </c>
      <c r="CI173" s="102">
        <v>32.253966329999997</v>
      </c>
      <c r="CJ173" s="102">
        <v>577.09030161999999</v>
      </c>
      <c r="CK173" s="102">
        <v>546.53155235999998</v>
      </c>
      <c r="CL173" s="102">
        <v>243.91472436000001</v>
      </c>
      <c r="CM173" s="102">
        <v>243.91472436000001</v>
      </c>
      <c r="CN173" s="102">
        <v>243.91472436000001</v>
      </c>
      <c r="CO173" s="102">
        <v>243.91472436000001</v>
      </c>
      <c r="CP173" s="102">
        <v>234.29427784999999</v>
      </c>
      <c r="CQ173" s="102">
        <v>236.98725425000001</v>
      </c>
      <c r="CR173" s="102">
        <v>234.29427784999999</v>
      </c>
      <c r="CS173" s="102">
        <v>234.56259736999999</v>
      </c>
      <c r="CT173" s="102">
        <v>237.05536069999999</v>
      </c>
      <c r="CU173" s="102">
        <v>237.87773200999999</v>
      </c>
      <c r="CV173" s="102">
        <v>817.33651399999997</v>
      </c>
      <c r="CW173" s="102">
        <v>819.93431099999998</v>
      </c>
      <c r="CX173" s="102">
        <v>348.11779999999999</v>
      </c>
      <c r="CY173" s="102">
        <v>348.66644000000002</v>
      </c>
      <c r="CZ173" s="102">
        <v>348.11778199999998</v>
      </c>
      <c r="DA173" s="102">
        <v>334.32227799999998</v>
      </c>
      <c r="DB173" s="102">
        <v>334.32227799999998</v>
      </c>
      <c r="DC173" s="102">
        <v>334.32227799999998</v>
      </c>
      <c r="DD173" s="102">
        <v>334.32227799999998</v>
      </c>
      <c r="DE173" s="102">
        <v>334.32227799999998</v>
      </c>
      <c r="DF173" s="102">
        <v>334.32227799999998</v>
      </c>
      <c r="DG173" s="102">
        <v>334.32227799999998</v>
      </c>
      <c r="DH173" s="102">
        <v>436.19343300000003</v>
      </c>
      <c r="DI173" s="77"/>
      <c r="DJ173" s="102" t="e">
        <v>#VALUE!</v>
      </c>
      <c r="DK173" s="102" t="e">
        <v>#VALUE!</v>
      </c>
      <c r="DL173" s="102" t="e">
        <v>#VALUE!</v>
      </c>
      <c r="DM173" s="102" t="e">
        <v>#VALUE!</v>
      </c>
      <c r="DN173" s="102" t="e">
        <v>#VALUE!</v>
      </c>
      <c r="DO173" s="102" t="e">
        <v>#VALUE!</v>
      </c>
      <c r="DP173" s="102" t="e">
        <v>#VALUE!</v>
      </c>
      <c r="DQ173" s="102" t="e">
        <v>#VALUE!</v>
      </c>
      <c r="DR173" s="102" t="e">
        <v>#VALUE!</v>
      </c>
      <c r="DS173" s="102" t="e">
        <v>#VALUE!</v>
      </c>
      <c r="DT173" s="102" t="e">
        <v>#VALUE!</v>
      </c>
      <c r="DU173" s="102" t="e">
        <v>#VALUE!</v>
      </c>
      <c r="DW173" s="102">
        <v>428.74390586999999</v>
      </c>
      <c r="DX173" s="102">
        <v>428.74390586999999</v>
      </c>
      <c r="DY173" s="102">
        <v>428.74390586999999</v>
      </c>
      <c r="DZ173" s="102">
        <v>428.74390586999999</v>
      </c>
      <c r="EA173" s="102">
        <v>428.74390586999999</v>
      </c>
      <c r="EB173" s="102">
        <v>428.74390586999999</v>
      </c>
      <c r="EC173" s="102">
        <v>428.74390586999999</v>
      </c>
      <c r="ED173" s="102">
        <v>428.74390586999999</v>
      </c>
      <c r="EE173" s="102">
        <v>428.74390586999999</v>
      </c>
      <c r="EF173" s="102">
        <v>428.74390586999999</v>
      </c>
      <c r="EG173" s="102">
        <v>428.74390586999999</v>
      </c>
      <c r="EH173" s="102">
        <v>428.74390586999999</v>
      </c>
      <c r="EI173" s="102">
        <v>508.22063429000002</v>
      </c>
      <c r="EJ173" s="102">
        <v>67.66789765</v>
      </c>
      <c r="EK173" s="102">
        <v>33.833948824999986</v>
      </c>
      <c r="EL173" s="102">
        <v>33.833948824999986</v>
      </c>
      <c r="EM173" s="102">
        <v>33.833948824999986</v>
      </c>
      <c r="EN173" s="102">
        <v>33.833948824999986</v>
      </c>
      <c r="EO173" s="102">
        <v>16.916974412500004</v>
      </c>
      <c r="EP173" s="102">
        <v>16.916974412500004</v>
      </c>
      <c r="EQ173" s="102">
        <v>16.916974412500004</v>
      </c>
      <c r="ER173" s="102">
        <v>16.916974412500004</v>
      </c>
      <c r="ES173" s="102">
        <v>16.916974412500004</v>
      </c>
      <c r="ET173" s="102">
        <v>0</v>
      </c>
      <c r="EU173" s="102"/>
      <c r="EV173" s="102"/>
      <c r="EW173" s="102"/>
      <c r="EX173" s="102"/>
      <c r="EY173" s="102"/>
      <c r="EZ173" s="102"/>
      <c r="FA173" s="102"/>
      <c r="FB173" s="102"/>
      <c r="FC173" s="102"/>
      <c r="FD173" s="102"/>
      <c r="FE173" s="102"/>
      <c r="FF173" s="102"/>
      <c r="FG173" s="102" t="e">
        <v>#VALUE!</v>
      </c>
      <c r="FH173" s="102" t="e">
        <v>#VALUE!</v>
      </c>
      <c r="FI173" s="102" t="e">
        <v>#VALUE!</v>
      </c>
      <c r="FJ173" s="102" t="e">
        <v>#VALUE!</v>
      </c>
      <c r="FK173" s="102" t="e">
        <v>#VALUE!</v>
      </c>
      <c r="FL173" s="102" t="e">
        <v>#VALUE!</v>
      </c>
      <c r="FM173" s="102" t="e">
        <v>#VALUE!</v>
      </c>
      <c r="FN173" s="102" t="e">
        <v>#VALUE!</v>
      </c>
      <c r="FO173" s="102" t="e">
        <v>#VALUE!</v>
      </c>
      <c r="FP173" s="102" t="e">
        <v>#VALUE!</v>
      </c>
      <c r="FQ173" s="102" t="e">
        <v>#VALUE!</v>
      </c>
      <c r="FR173" s="102" t="e">
        <v>#VALUE!</v>
      </c>
      <c r="FS173" s="102" t="e">
        <v>#VALUE!</v>
      </c>
      <c r="FT173" s="102" t="e">
        <v>#VALUE!</v>
      </c>
      <c r="FU173" s="102" t="e">
        <v>#VALUE!</v>
      </c>
      <c r="FV173" s="102" t="e">
        <v>#VALUE!</v>
      </c>
      <c r="FW173" s="102" t="e">
        <v>#VALUE!</v>
      </c>
      <c r="FX173" s="102" t="e">
        <v>#VALUE!</v>
      </c>
      <c r="FY173" s="102" t="e">
        <v>#VALUE!</v>
      </c>
      <c r="FZ173" s="102" t="e">
        <v>#VALUE!</v>
      </c>
      <c r="GA173" s="102" t="e">
        <v>#VALUE!</v>
      </c>
      <c r="GB173" s="102" t="e">
        <v>#VALUE!</v>
      </c>
      <c r="GC173" s="102" t="e">
        <v>#VALUE!</v>
      </c>
      <c r="GD173" s="102" t="e">
        <v>#VALUE!</v>
      </c>
      <c r="GF173" s="102">
        <f t="shared" si="524"/>
        <v>1321.6532219999999</v>
      </c>
      <c r="GG173" s="102">
        <f t="shared" si="524"/>
        <v>1595.3287763899998</v>
      </c>
      <c r="GH173" s="102">
        <f t="shared" si="524"/>
        <v>1577.12162175</v>
      </c>
      <c r="GI173" s="102">
        <f t="shared" si="524"/>
        <v>615.31073474000004</v>
      </c>
      <c r="GJ173" s="102">
        <f t="shared" si="434"/>
        <v>301.73287020999999</v>
      </c>
      <c r="GK173" s="102">
        <f t="shared" ref="GK173:GK210" si="565">+SUMIFS($E173:$BX173,$E$6:$BX$6,GK$7,$E$5:$BX$5,12)</f>
        <v>425.56145620999996</v>
      </c>
      <c r="GL173" s="102">
        <f t="shared" si="435"/>
        <v>577.09030161999999</v>
      </c>
      <c r="GM173" s="102">
        <f t="shared" ref="GM173:GM210" si="566">+SUMIFS($E173:$CV173,$E$6:$CV$6,GM$7,$E$5:$CV$5,12)</f>
        <v>817.33651399999997</v>
      </c>
      <c r="GN173" s="102" t="e">
        <f t="shared" ref="GN173:GN210" si="567">+FR173</f>
        <v>#VALUE!</v>
      </c>
      <c r="GO173" s="102">
        <v>436.19343300000003</v>
      </c>
      <c r="GQ173" s="929">
        <f t="shared" si="555"/>
        <v>-1.141279146308638E-2</v>
      </c>
      <c r="GR173" s="929">
        <f t="shared" si="555"/>
        <v>-0.60985207085218884</v>
      </c>
      <c r="GS173" s="929">
        <f t="shared" si="555"/>
        <v>-0.50962521345008316</v>
      </c>
      <c r="GT173" s="929">
        <f t="shared" si="525"/>
        <v>0.41039143635169006</v>
      </c>
      <c r="GU173" s="929">
        <f t="shared" si="525"/>
        <v>0.3560680677228103</v>
      </c>
      <c r="GV173" s="929">
        <f t="shared" si="525"/>
        <v>0.41630609924579232</v>
      </c>
      <c r="GW173" s="929" t="str">
        <f t="shared" si="499"/>
        <v/>
      </c>
      <c r="GX173" s="929" t="str">
        <f t="shared" si="499"/>
        <v/>
      </c>
      <c r="GY173" s="929">
        <f t="shared" si="492"/>
        <v>-0.46632332518059993</v>
      </c>
      <c r="HA173" s="102">
        <f t="shared" si="556"/>
        <v>-18.207154639999771</v>
      </c>
      <c r="HB173" s="102">
        <f t="shared" si="556"/>
        <v>-961.81088700999999</v>
      </c>
      <c r="HC173" s="102">
        <f t="shared" si="556"/>
        <v>-313.57786453000006</v>
      </c>
      <c r="HD173" s="102">
        <f t="shared" si="500"/>
        <v>123.82858599999997</v>
      </c>
      <c r="HE173" s="102">
        <f t="shared" si="500"/>
        <v>151.52884541000003</v>
      </c>
      <c r="HF173" s="102">
        <f t="shared" si="500"/>
        <v>240.24621237999997</v>
      </c>
      <c r="HG173" s="102" t="e">
        <f t="shared" si="500"/>
        <v>#VALUE!</v>
      </c>
      <c r="HH173" s="102" t="e">
        <f t="shared" si="500"/>
        <v>#VALUE!</v>
      </c>
      <c r="HI173" s="102">
        <f t="shared" si="493"/>
        <v>-381.14308099999994</v>
      </c>
      <c r="HK173" s="973"/>
      <c r="HL173" s="973"/>
      <c r="HM173" s="973"/>
      <c r="HN173" s="973"/>
      <c r="HO173" s="973"/>
      <c r="HP173" s="973"/>
      <c r="HQ173" s="973"/>
      <c r="HR173" s="973"/>
      <c r="HS173" s="973"/>
      <c r="HU173" s="102">
        <f t="shared" si="557"/>
        <v>522.10441700000001</v>
      </c>
      <c r="HV173" s="102">
        <f t="shared" si="557"/>
        <v>563.86776697999994</v>
      </c>
      <c r="HW173" s="102">
        <f t="shared" si="557"/>
        <v>525.85957055999995</v>
      </c>
      <c r="HX173" s="102">
        <f t="shared" si="557"/>
        <v>23.254808739999998</v>
      </c>
      <c r="HY173" s="102">
        <f t="shared" si="528"/>
        <v>18.985856100000003</v>
      </c>
      <c r="HZ173" s="102">
        <f t="shared" si="528"/>
        <v>8.1225036700000004</v>
      </c>
      <c r="IA173" s="102">
        <f t="shared" si="529"/>
        <v>34.608781979999996</v>
      </c>
      <c r="IB173" s="102">
        <f t="shared" si="530"/>
        <v>234.29427784999999</v>
      </c>
      <c r="IC173" s="102">
        <f t="shared" si="531"/>
        <v>334.32227799999998</v>
      </c>
      <c r="ID173" s="102" t="e">
        <f t="shared" ref="ID173:ID210" si="568">+SUMIF($FG$5:$FR$5,"="&amp;$HW$5,$FG173:$FR173)</f>
        <v>#VALUE!</v>
      </c>
      <c r="IE173" s="102" t="e">
        <f t="shared" si="532"/>
        <v>#VALUE!</v>
      </c>
      <c r="IG173" s="102" t="e">
        <f t="shared" si="533"/>
        <v>#VALUE!</v>
      </c>
      <c r="IH173" s="102" t="e">
        <f t="shared" si="534"/>
        <v>#VALUE!</v>
      </c>
      <c r="II173" s="145"/>
      <c r="IJ173" s="929" t="str">
        <f t="shared" si="535"/>
        <v>NA</v>
      </c>
      <c r="IK173" s="930" t="str">
        <f t="shared" si="536"/>
        <v>NA</v>
      </c>
      <c r="IM173" s="973"/>
      <c r="IN173" s="973"/>
      <c r="IP173" s="929">
        <f t="shared" si="553"/>
        <v>-6.7406222958206641E-2</v>
      </c>
      <c r="IQ173" s="929">
        <f t="shared" si="553"/>
        <v>-0.95577753065284066</v>
      </c>
      <c r="IR173" s="929">
        <f t="shared" si="553"/>
        <v>-0.18357289830799939</v>
      </c>
      <c r="IS173" s="929">
        <f t="shared" si="553"/>
        <v>-0.57218133187051812</v>
      </c>
      <c r="IT173" s="929">
        <f t="shared" si="553"/>
        <v>3.2608515041766664</v>
      </c>
      <c r="IU173" s="929">
        <f t="shared" si="553"/>
        <v>5.7697926493164617</v>
      </c>
      <c r="IV173" s="929" t="str">
        <f t="shared" si="554"/>
        <v/>
      </c>
      <c r="IX173" s="102">
        <f t="shared" si="538"/>
        <v>-38.00819641999999</v>
      </c>
      <c r="IY173" s="102">
        <f t="shared" si="538"/>
        <v>-502.60476181999996</v>
      </c>
      <c r="IZ173" s="102">
        <f t="shared" si="538"/>
        <v>-4.2689526399999949</v>
      </c>
      <c r="JA173" s="102">
        <f t="shared" si="538"/>
        <v>-10.863352430000003</v>
      </c>
      <c r="JB173" s="102">
        <f t="shared" si="538"/>
        <v>26.486278309999996</v>
      </c>
      <c r="JC173" s="102">
        <f t="shared" si="538"/>
        <v>199.68549586999998</v>
      </c>
      <c r="JD173" s="102" t="e">
        <f t="shared" si="539"/>
        <v>#VALUE!</v>
      </c>
      <c r="JF173" s="973"/>
      <c r="JG173" s="973"/>
      <c r="JH173" s="973"/>
      <c r="JI173" s="973"/>
      <c r="JJ173" s="973"/>
      <c r="JK173" s="973"/>
      <c r="JL173" s="973"/>
      <c r="JM173" s="973"/>
      <c r="JO173" s="102">
        <f t="shared" si="561"/>
        <v>522.10441700000001</v>
      </c>
      <c r="JP173" s="102">
        <f t="shared" si="561"/>
        <v>563.86776697999994</v>
      </c>
      <c r="JQ173" s="102">
        <f t="shared" si="561"/>
        <v>525.85957055999995</v>
      </c>
      <c r="JR173" s="102">
        <f t="shared" si="561"/>
        <v>23.254808739999998</v>
      </c>
      <c r="JS173" s="102">
        <f t="shared" si="561"/>
        <v>18.985856100000003</v>
      </c>
      <c r="JT173" s="102">
        <f t="shared" si="541"/>
        <v>8.1225036700000004</v>
      </c>
      <c r="JU173" s="102">
        <f t="shared" si="542"/>
        <v>34.608781979999996</v>
      </c>
      <c r="JV173" s="102">
        <f t="shared" si="543"/>
        <v>234.29427784999999</v>
      </c>
      <c r="JW173" s="102">
        <f t="shared" si="543"/>
        <v>334.32227799999998</v>
      </c>
      <c r="JX173" s="102" t="e">
        <f t="shared" si="544"/>
        <v>#VALUE!</v>
      </c>
      <c r="JY173" s="102" t="e">
        <f t="shared" si="545"/>
        <v>#VALUE!</v>
      </c>
      <c r="KB173" s="32">
        <f t="shared" si="546"/>
        <v>-6.7406222958206641E-2</v>
      </c>
      <c r="KC173" s="32">
        <f t="shared" si="546"/>
        <v>-0.95577753065284066</v>
      </c>
      <c r="KD173" s="32">
        <f t="shared" si="546"/>
        <v>-0.18357289830799939</v>
      </c>
      <c r="KE173" s="32">
        <f t="shared" si="546"/>
        <v>-0.57218133187051812</v>
      </c>
      <c r="KF173" s="32">
        <f t="shared" si="546"/>
        <v>3.2608515041766664</v>
      </c>
      <c r="KG173" s="32">
        <f t="shared" si="546"/>
        <v>5.7697926493164617</v>
      </c>
      <c r="KH173" s="32" t="str">
        <f t="shared" ref="KH173:KH210" si="569">+IFERROR(JY173/JV173-1," ")</f>
        <v xml:space="preserve"> </v>
      </c>
      <c r="KJ173" s="102">
        <f t="shared" si="547"/>
        <v>-38.00819641999999</v>
      </c>
      <c r="KK173" s="102">
        <f t="shared" si="547"/>
        <v>-502.60476181999996</v>
      </c>
      <c r="KL173" s="102">
        <f t="shared" si="547"/>
        <v>-4.2689526399999949</v>
      </c>
      <c r="KM173" s="102">
        <f t="shared" si="547"/>
        <v>-10.863352430000003</v>
      </c>
      <c r="KN173" s="102">
        <f t="shared" si="547"/>
        <v>26.486278309999996</v>
      </c>
      <c r="KO173" s="102">
        <f t="shared" si="547"/>
        <v>199.68549586999998</v>
      </c>
      <c r="KP173" s="102" t="e">
        <f t="shared" ref="KP173:KP211" si="570">+JY173-JV173</f>
        <v>#VALUE!</v>
      </c>
      <c r="KR173" s="973"/>
      <c r="KS173" s="973"/>
      <c r="KT173" s="973"/>
      <c r="KU173" s="973"/>
      <c r="KV173" s="973"/>
      <c r="KW173" s="973"/>
      <c r="KX173" s="973"/>
      <c r="KY173" s="973"/>
      <c r="KZ173" s="973"/>
    </row>
    <row r="174" spans="1:312" outlineLevel="1" collapsed="1">
      <c r="A174" s="884">
        <v>28</v>
      </c>
      <c r="B174" s="70" t="s">
        <v>738</v>
      </c>
      <c r="C174" s="17" t="s">
        <v>146</v>
      </c>
      <c r="D174" s="31" t="s">
        <v>59</v>
      </c>
      <c r="E174" s="102">
        <v>45.896962000000002</v>
      </c>
      <c r="F174" s="102">
        <v>16.979198</v>
      </c>
      <c r="G174" s="102">
        <v>16.979198</v>
      </c>
      <c r="H174" s="102">
        <v>0</v>
      </c>
      <c r="I174" s="102">
        <v>0</v>
      </c>
      <c r="J174" s="102">
        <v>0</v>
      </c>
      <c r="K174" s="102">
        <v>0</v>
      </c>
      <c r="L174" s="102">
        <v>17.5518</v>
      </c>
      <c r="M174" s="102">
        <v>0</v>
      </c>
      <c r="N174" s="102">
        <v>0</v>
      </c>
      <c r="O174" s="102">
        <v>0</v>
      </c>
      <c r="P174" s="102">
        <v>0</v>
      </c>
      <c r="Q174" s="102">
        <v>0</v>
      </c>
      <c r="R174" s="102">
        <v>0</v>
      </c>
      <c r="S174" s="102">
        <v>0</v>
      </c>
      <c r="T174" s="102">
        <v>0</v>
      </c>
      <c r="U174" s="102">
        <v>0</v>
      </c>
      <c r="V174" s="102">
        <v>0</v>
      </c>
      <c r="W174" s="102">
        <v>0</v>
      </c>
      <c r="X174" s="102">
        <v>0</v>
      </c>
      <c r="Y174" s="102">
        <v>0</v>
      </c>
      <c r="Z174" s="102">
        <v>0</v>
      </c>
      <c r="AA174" s="102">
        <v>0</v>
      </c>
      <c r="AB174" s="102">
        <v>0</v>
      </c>
      <c r="AC174" s="102">
        <v>0</v>
      </c>
      <c r="AD174" s="102">
        <v>0</v>
      </c>
      <c r="AE174" s="102">
        <v>0</v>
      </c>
      <c r="AF174" s="102">
        <v>0</v>
      </c>
      <c r="AG174" s="102">
        <v>0</v>
      </c>
      <c r="AH174" s="102">
        <v>0</v>
      </c>
      <c r="AI174" s="102">
        <v>0</v>
      </c>
      <c r="AJ174" s="102">
        <v>0</v>
      </c>
      <c r="AK174" s="102">
        <v>0</v>
      </c>
      <c r="AL174" s="102">
        <v>0</v>
      </c>
      <c r="AM174" s="102">
        <v>0</v>
      </c>
      <c r="AN174" s="102">
        <v>98.663510000000002</v>
      </c>
      <c r="AO174" s="102">
        <v>98.663510000000002</v>
      </c>
      <c r="AP174" s="145">
        <v>98.663510000000002</v>
      </c>
      <c r="AQ174" s="220">
        <v>0.1071</v>
      </c>
      <c r="AR174" s="220">
        <v>0</v>
      </c>
      <c r="AS174" s="102">
        <v>37.662309999999998</v>
      </c>
      <c r="AT174" s="102">
        <v>53.435445899999998</v>
      </c>
      <c r="AU174" s="102">
        <v>113.86801896999999</v>
      </c>
      <c r="AV174" s="102">
        <v>105.64888254</v>
      </c>
      <c r="AW174" s="102">
        <v>67.986572540000012</v>
      </c>
      <c r="AX174" s="102">
        <v>67.986572540000012</v>
      </c>
      <c r="AY174" s="102">
        <v>161.26909454</v>
      </c>
      <c r="AZ174" s="102">
        <v>411.26909454000003</v>
      </c>
      <c r="BA174" s="102">
        <v>411.26909454000003</v>
      </c>
      <c r="BB174" s="102">
        <v>617.53147694000006</v>
      </c>
      <c r="BC174" s="102">
        <v>617.57247694</v>
      </c>
      <c r="BD174" s="102">
        <v>243.14505288000001</v>
      </c>
      <c r="BE174" s="102">
        <v>243.14505288000001</v>
      </c>
      <c r="BF174" s="102">
        <v>243.14505288000001</v>
      </c>
      <c r="BG174" s="102">
        <v>243.14505288000001</v>
      </c>
      <c r="BH174" s="102">
        <v>243.14505288000001</v>
      </c>
      <c r="BI174" s="102">
        <v>243.14505288000001</v>
      </c>
      <c r="BJ174" s="102">
        <v>243.14505288000001</v>
      </c>
      <c r="BK174" s="102">
        <v>243.14505288000001</v>
      </c>
      <c r="BL174" s="102">
        <v>243.14505288000001</v>
      </c>
      <c r="BM174" s="102">
        <v>243.14505288000001</v>
      </c>
      <c r="BN174" s="102">
        <v>243.14505288000001</v>
      </c>
      <c r="BO174" s="102">
        <v>264.22280447999998</v>
      </c>
      <c r="BP174" s="102">
        <v>264.22280447999998</v>
      </c>
      <c r="BQ174" s="102">
        <v>264.22280447999998</v>
      </c>
      <c r="BR174" s="102">
        <v>264.22280447999998</v>
      </c>
      <c r="BS174" s="102">
        <v>264.22280447999998</v>
      </c>
      <c r="BT174" s="102">
        <v>264.22280447999998</v>
      </c>
      <c r="BU174" s="102">
        <v>269.92655447999999</v>
      </c>
      <c r="BV174" s="102">
        <v>268.02530447999999</v>
      </c>
      <c r="BW174" s="102">
        <v>266.12405447999998</v>
      </c>
      <c r="BX174" s="102">
        <v>243.14505288000001</v>
      </c>
      <c r="BY174" s="102">
        <v>243.14505288000001</v>
      </c>
      <c r="BZ174" s="102">
        <v>243.14505288000001</v>
      </c>
      <c r="CA174" s="102">
        <v>243.14505288000001</v>
      </c>
      <c r="CB174" s="102">
        <v>243.14505288000001</v>
      </c>
      <c r="CC174" s="102">
        <v>243.14505288000001</v>
      </c>
      <c r="CD174" s="102">
        <v>243.14505288000001</v>
      </c>
      <c r="CE174" s="102">
        <v>243.14505288000001</v>
      </c>
      <c r="CF174" s="102">
        <v>1.1487580100000001</v>
      </c>
      <c r="CG174" s="102">
        <v>1.1487580100000001</v>
      </c>
      <c r="CH174" s="102">
        <v>3.5941160099999996</v>
      </c>
      <c r="CI174" s="102">
        <v>3.5941160099999996</v>
      </c>
      <c r="CJ174" s="102">
        <v>1E-8</v>
      </c>
      <c r="CK174" s="102">
        <v>1E-8</v>
      </c>
      <c r="CL174" s="102">
        <v>1.77545416</v>
      </c>
      <c r="CM174" s="102">
        <v>113.64000001000001</v>
      </c>
      <c r="CN174" s="102">
        <v>135.23160000999999</v>
      </c>
      <c r="CO174" s="102">
        <v>1E-8</v>
      </c>
      <c r="CP174" s="102">
        <v>1E-8</v>
      </c>
      <c r="CQ174" s="102">
        <v>1E-8</v>
      </c>
      <c r="CR174" s="102">
        <v>1E-8</v>
      </c>
      <c r="CS174" s="102">
        <v>285.02501197000004</v>
      </c>
      <c r="CT174" s="102">
        <v>285.02501197000004</v>
      </c>
      <c r="CU174" s="102">
        <v>285.02501197000004</v>
      </c>
      <c r="CV174" s="102">
        <v>406.12876557999999</v>
      </c>
      <c r="CW174" s="102">
        <v>406.12876549000003</v>
      </c>
      <c r="CX174" s="102">
        <v>406.12876549000003</v>
      </c>
      <c r="CY174" s="102">
        <v>406.82876549000002</v>
      </c>
      <c r="CZ174" s="102">
        <v>140.96999293000002</v>
      </c>
      <c r="DA174" s="102">
        <v>0.69999992</v>
      </c>
      <c r="DB174" s="102">
        <v>0.69999992</v>
      </c>
      <c r="DC174" s="102">
        <v>0.69999992</v>
      </c>
      <c r="DD174" s="102">
        <v>0.69999992</v>
      </c>
      <c r="DE174" s="102">
        <v>0.69999992</v>
      </c>
      <c r="DF174" s="102">
        <v>0.69999992</v>
      </c>
      <c r="DG174" s="102">
        <v>0.69999992</v>
      </c>
      <c r="DH174" s="102">
        <v>0.69999992</v>
      </c>
      <c r="DI174" s="77"/>
      <c r="DJ174" s="102" t="e">
        <v>#VALUE!</v>
      </c>
      <c r="DK174" s="102" t="e">
        <v>#VALUE!</v>
      </c>
      <c r="DL174" s="102" t="e">
        <v>#VALUE!</v>
      </c>
      <c r="DM174" s="102" t="e">
        <v>#VALUE!</v>
      </c>
      <c r="DN174" s="102" t="e">
        <v>#VALUE!</v>
      </c>
      <c r="DO174" s="102" t="e">
        <v>#VALUE!</v>
      </c>
      <c r="DP174" s="102" t="e">
        <v>#VALUE!</v>
      </c>
      <c r="DQ174" s="102" t="e">
        <v>#VALUE!</v>
      </c>
      <c r="DR174" s="102" t="e">
        <v>#VALUE!</v>
      </c>
      <c r="DS174" s="102" t="e">
        <v>#VALUE!</v>
      </c>
      <c r="DT174" s="102" t="e">
        <v>#VALUE!</v>
      </c>
      <c r="DU174" s="102" t="e">
        <v>#VALUE!</v>
      </c>
      <c r="DW174" s="102">
        <v>98.663510000000002</v>
      </c>
      <c r="DX174" s="102">
        <v>78.663510000000002</v>
      </c>
      <c r="DY174" s="102">
        <v>58.663510000000002</v>
      </c>
      <c r="DZ174" s="102">
        <v>0</v>
      </c>
      <c r="EA174" s="102">
        <v>0</v>
      </c>
      <c r="EB174" s="102">
        <v>0</v>
      </c>
      <c r="EC174" s="102">
        <v>0</v>
      </c>
      <c r="ED174" s="102">
        <v>0</v>
      </c>
      <c r="EE174" s="102">
        <v>0</v>
      </c>
      <c r="EF174" s="102">
        <v>0</v>
      </c>
      <c r="EG174" s="102">
        <v>0</v>
      </c>
      <c r="EH174" s="102">
        <v>0</v>
      </c>
      <c r="EI174" s="102">
        <v>411.26909454000003</v>
      </c>
      <c r="EJ174" s="102">
        <v>411.26909454000003</v>
      </c>
      <c r="EK174" s="102">
        <v>36.269094540000019</v>
      </c>
      <c r="EL174" s="102">
        <v>29.015275632000019</v>
      </c>
      <c r="EM174" s="102">
        <v>23.212220505600015</v>
      </c>
      <c r="EN174" s="102">
        <v>18.569776404480013</v>
      </c>
      <c r="EO174" s="102">
        <v>14.855821123584011</v>
      </c>
      <c r="EP174" s="102">
        <v>11.88465689886721</v>
      </c>
      <c r="EQ174" s="102">
        <v>9.5077255190937695</v>
      </c>
      <c r="ER174" s="102">
        <v>7.6061804152750145</v>
      </c>
      <c r="ES174" s="102">
        <v>6.0849443322200125</v>
      </c>
      <c r="ET174" s="102">
        <v>4.86795546577601</v>
      </c>
      <c r="EU174" s="102"/>
      <c r="EV174" s="102"/>
      <c r="EW174" s="102"/>
      <c r="EX174" s="102"/>
      <c r="EY174" s="102"/>
      <c r="EZ174" s="102"/>
      <c r="FA174" s="102"/>
      <c r="FB174" s="102"/>
      <c r="FC174" s="102"/>
      <c r="FD174" s="102"/>
      <c r="FE174" s="102"/>
      <c r="FF174" s="102"/>
      <c r="FG174" s="102" t="e">
        <v>#VALUE!</v>
      </c>
      <c r="FH174" s="102" t="e">
        <v>#VALUE!</v>
      </c>
      <c r="FI174" s="102" t="e">
        <v>#VALUE!</v>
      </c>
      <c r="FJ174" s="102" t="e">
        <v>#VALUE!</v>
      </c>
      <c r="FK174" s="102" t="e">
        <v>#VALUE!</v>
      </c>
      <c r="FL174" s="102" t="e">
        <v>#VALUE!</v>
      </c>
      <c r="FM174" s="102" t="e">
        <v>#VALUE!</v>
      </c>
      <c r="FN174" s="102" t="e">
        <v>#VALUE!</v>
      </c>
      <c r="FO174" s="102" t="e">
        <v>#VALUE!</v>
      </c>
      <c r="FP174" s="102" t="e">
        <v>#VALUE!</v>
      </c>
      <c r="FQ174" s="102" t="e">
        <v>#VALUE!</v>
      </c>
      <c r="FR174" s="102" t="e">
        <v>#VALUE!</v>
      </c>
      <c r="FS174" s="102" t="e">
        <v>#VALUE!</v>
      </c>
      <c r="FT174" s="102" t="e">
        <v>#VALUE!</v>
      </c>
      <c r="FU174" s="102" t="e">
        <v>#VALUE!</v>
      </c>
      <c r="FV174" s="102" t="e">
        <v>#VALUE!</v>
      </c>
      <c r="FW174" s="102" t="e">
        <v>#VALUE!</v>
      </c>
      <c r="FX174" s="102" t="e">
        <v>#VALUE!</v>
      </c>
      <c r="FY174" s="102" t="e">
        <v>#VALUE!</v>
      </c>
      <c r="FZ174" s="102" t="e">
        <v>#VALUE!</v>
      </c>
      <c r="GA174" s="102" t="e">
        <v>#VALUE!</v>
      </c>
      <c r="GB174" s="102" t="e">
        <v>#VALUE!</v>
      </c>
      <c r="GC174" s="102" t="e">
        <v>#VALUE!</v>
      </c>
      <c r="GD174" s="102" t="e">
        <v>#VALUE!</v>
      </c>
      <c r="GF174" s="102">
        <f t="shared" si="524"/>
        <v>0</v>
      </c>
      <c r="GG174" s="102">
        <f t="shared" si="524"/>
        <v>0</v>
      </c>
      <c r="GH174" s="102">
        <f t="shared" si="524"/>
        <v>98.663510000000002</v>
      </c>
      <c r="GI174" s="102">
        <f t="shared" si="524"/>
        <v>411.26909454000003</v>
      </c>
      <c r="GJ174" s="102">
        <f t="shared" si="434"/>
        <v>243.14505288000001</v>
      </c>
      <c r="GK174" s="102">
        <f t="shared" si="565"/>
        <v>243.14505288000001</v>
      </c>
      <c r="GL174" s="102">
        <f t="shared" ref="GL174:GL210" si="571">+SUMIFS($E174:$CJ174,$E$6:$CJ$6,GL$7,$E$5:$CJ$5,12)</f>
        <v>1E-8</v>
      </c>
      <c r="GM174" s="102">
        <f t="shared" si="566"/>
        <v>406.12876557999999</v>
      </c>
      <c r="GN174" s="102" t="e">
        <f t="shared" si="567"/>
        <v>#VALUE!</v>
      </c>
      <c r="GO174" s="102">
        <v>0.69999992</v>
      </c>
      <c r="GQ174" s="929" t="str">
        <f t="shared" si="555"/>
        <v/>
      </c>
      <c r="GR174" s="929">
        <f t="shared" si="555"/>
        <v>3.1684012107414388</v>
      </c>
      <c r="GS174" s="929">
        <f t="shared" si="555"/>
        <v>-0.40879327888239425</v>
      </c>
      <c r="GT174" s="929">
        <f t="shared" si="525"/>
        <v>0</v>
      </c>
      <c r="GU174" s="929">
        <f t="shared" si="525"/>
        <v>-0.99999999995887223</v>
      </c>
      <c r="GV174" s="987">
        <f t="shared" si="525"/>
        <v>40612876557</v>
      </c>
      <c r="GW174" s="929" t="str">
        <f t="shared" si="499"/>
        <v/>
      </c>
      <c r="GX174" s="929" t="str">
        <f t="shared" si="499"/>
        <v/>
      </c>
      <c r="GY174" s="929">
        <f t="shared" si="492"/>
        <v>-0.99827640891430003</v>
      </c>
      <c r="HA174" s="102">
        <f t="shared" si="556"/>
        <v>98.663510000000002</v>
      </c>
      <c r="HB174" s="102">
        <f t="shared" si="556"/>
        <v>312.60558454</v>
      </c>
      <c r="HC174" s="102">
        <f t="shared" si="556"/>
        <v>-168.12404166000002</v>
      </c>
      <c r="HD174" s="102">
        <f t="shared" si="500"/>
        <v>0</v>
      </c>
      <c r="HE174" s="102">
        <f t="shared" si="500"/>
        <v>-243.14505287</v>
      </c>
      <c r="HF174" s="102">
        <f t="shared" si="500"/>
        <v>406.12876556999998</v>
      </c>
      <c r="HG174" s="102" t="e">
        <f t="shared" si="500"/>
        <v>#VALUE!</v>
      </c>
      <c r="HH174" s="102" t="e">
        <f t="shared" si="500"/>
        <v>#VALUE!</v>
      </c>
      <c r="HI174" s="102">
        <f t="shared" si="493"/>
        <v>-405.42876566000001</v>
      </c>
      <c r="HK174" s="973"/>
      <c r="HL174" s="973"/>
      <c r="HM174" s="973"/>
      <c r="HN174" s="973"/>
      <c r="HO174" s="973"/>
      <c r="HP174" s="973"/>
      <c r="HQ174" s="973"/>
      <c r="HR174" s="973"/>
      <c r="HS174" s="973"/>
      <c r="HU174" s="102">
        <f t="shared" si="557"/>
        <v>0</v>
      </c>
      <c r="HV174" s="102">
        <f t="shared" si="557"/>
        <v>0</v>
      </c>
      <c r="HW174" s="102">
        <f t="shared" si="557"/>
        <v>0</v>
      </c>
      <c r="HX174" s="102">
        <f t="shared" si="557"/>
        <v>53.435445899999998</v>
      </c>
      <c r="HY174" s="102">
        <f t="shared" si="528"/>
        <v>243.14505288000001</v>
      </c>
      <c r="HZ174" s="102">
        <f t="shared" si="528"/>
        <v>264.22280447999998</v>
      </c>
      <c r="IA174" s="102">
        <f t="shared" si="529"/>
        <v>243.14505288000001</v>
      </c>
      <c r="IB174" s="102">
        <f t="shared" si="530"/>
        <v>1E-8</v>
      </c>
      <c r="IC174" s="102">
        <f t="shared" si="531"/>
        <v>0.69999992</v>
      </c>
      <c r="ID174" s="102" t="e">
        <f t="shared" si="568"/>
        <v>#VALUE!</v>
      </c>
      <c r="IE174" s="102" t="e">
        <f t="shared" si="532"/>
        <v>#VALUE!</v>
      </c>
      <c r="IG174" s="102" t="e">
        <f t="shared" si="533"/>
        <v>#VALUE!</v>
      </c>
      <c r="IH174" s="102" t="e">
        <f t="shared" si="534"/>
        <v>#VALUE!</v>
      </c>
      <c r="II174" s="145"/>
      <c r="IJ174" s="929" t="str">
        <f t="shared" si="535"/>
        <v>NA</v>
      </c>
      <c r="IK174" s="930" t="str">
        <f t="shared" si="536"/>
        <v>NA</v>
      </c>
      <c r="IM174" s="973"/>
      <c r="IN174" s="973"/>
      <c r="IP174" s="929" t="str">
        <f t="shared" si="553"/>
        <v/>
      </c>
      <c r="IQ174" s="929" t="str">
        <f t="shared" si="553"/>
        <v/>
      </c>
      <c r="IR174" s="929">
        <f t="shared" si="553"/>
        <v>3.5502577696277822</v>
      </c>
      <c r="IS174" s="929">
        <f t="shared" si="553"/>
        <v>8.668797226321745E-2</v>
      </c>
      <c r="IT174" s="929">
        <f t="shared" si="553"/>
        <v>-7.9772643551648592E-2</v>
      </c>
      <c r="IU174" s="929">
        <f t="shared" si="553"/>
        <v>-0.99999999995887223</v>
      </c>
      <c r="IV174" s="929" t="str">
        <f t="shared" si="554"/>
        <v/>
      </c>
      <c r="IX174" s="102">
        <f t="shared" si="538"/>
        <v>0</v>
      </c>
      <c r="IY174" s="102">
        <f t="shared" si="538"/>
        <v>53.435445899999998</v>
      </c>
      <c r="IZ174" s="102">
        <f t="shared" si="538"/>
        <v>189.70960698000002</v>
      </c>
      <c r="JA174" s="102">
        <f t="shared" si="538"/>
        <v>21.077751599999971</v>
      </c>
      <c r="JB174" s="102">
        <f t="shared" si="538"/>
        <v>-21.077751599999971</v>
      </c>
      <c r="JC174" s="102">
        <f t="shared" si="538"/>
        <v>-243.14505287</v>
      </c>
      <c r="JD174" s="102" t="e">
        <f t="shared" si="539"/>
        <v>#VALUE!</v>
      </c>
      <c r="JF174" s="973"/>
      <c r="JG174" s="973"/>
      <c r="JH174" s="973"/>
      <c r="JI174" s="973"/>
      <c r="JJ174" s="973"/>
      <c r="JK174" s="973"/>
      <c r="JL174" s="973"/>
      <c r="JM174" s="973"/>
      <c r="JO174" s="102">
        <f t="shared" si="561"/>
        <v>0</v>
      </c>
      <c r="JP174" s="102">
        <f t="shared" si="561"/>
        <v>0</v>
      </c>
      <c r="JQ174" s="102">
        <f t="shared" si="561"/>
        <v>0</v>
      </c>
      <c r="JR174" s="102">
        <f t="shared" si="561"/>
        <v>53.435445899999998</v>
      </c>
      <c r="JS174" s="102">
        <f t="shared" si="561"/>
        <v>243.14505288000001</v>
      </c>
      <c r="JT174" s="102">
        <f t="shared" si="541"/>
        <v>264.22280447999998</v>
      </c>
      <c r="JU174" s="102">
        <f t="shared" si="542"/>
        <v>243.14505288000001</v>
      </c>
      <c r="JV174" s="102">
        <f t="shared" si="543"/>
        <v>1E-8</v>
      </c>
      <c r="JW174" s="102">
        <f t="shared" si="543"/>
        <v>0.69999992</v>
      </c>
      <c r="JX174" s="102" t="e">
        <f t="shared" si="544"/>
        <v>#VALUE!</v>
      </c>
      <c r="JY174" s="102" t="e">
        <f t="shared" si="545"/>
        <v>#VALUE!</v>
      </c>
      <c r="KB174" s="32" t="str">
        <f t="shared" si="546"/>
        <v xml:space="preserve"> </v>
      </c>
      <c r="KC174" s="32" t="str">
        <f t="shared" si="546"/>
        <v xml:space="preserve"> </v>
      </c>
      <c r="KD174" s="32">
        <f t="shared" si="546"/>
        <v>3.5502577696277822</v>
      </c>
      <c r="KE174" s="32">
        <f t="shared" si="546"/>
        <v>8.668797226321745E-2</v>
      </c>
      <c r="KF174" s="32">
        <f t="shared" si="546"/>
        <v>-7.9772643551648592E-2</v>
      </c>
      <c r="KG174" s="32">
        <f t="shared" si="546"/>
        <v>-0.99999999995887223</v>
      </c>
      <c r="KH174" s="32" t="str">
        <f t="shared" si="569"/>
        <v xml:space="preserve"> </v>
      </c>
      <c r="KJ174" s="102">
        <f t="shared" si="547"/>
        <v>0</v>
      </c>
      <c r="KK174" s="102">
        <f t="shared" si="547"/>
        <v>53.435445899999998</v>
      </c>
      <c r="KL174" s="102">
        <f t="shared" si="547"/>
        <v>189.70960698000002</v>
      </c>
      <c r="KM174" s="102">
        <f t="shared" si="547"/>
        <v>21.077751599999971</v>
      </c>
      <c r="KN174" s="102">
        <f t="shared" si="547"/>
        <v>-21.077751599999971</v>
      </c>
      <c r="KO174" s="102">
        <f t="shared" si="547"/>
        <v>-243.14505287</v>
      </c>
      <c r="KP174" s="102" t="e">
        <f t="shared" si="570"/>
        <v>#VALUE!</v>
      </c>
      <c r="KR174" s="973"/>
      <c r="KS174" s="973"/>
      <c r="KT174" s="973"/>
      <c r="KU174" s="973"/>
      <c r="KV174" s="973"/>
      <c r="KW174" s="973"/>
      <c r="KX174" s="973"/>
      <c r="KY174" s="973"/>
      <c r="KZ174" s="973"/>
    </row>
    <row r="175" spans="1:312" outlineLevel="1">
      <c r="A175" s="884"/>
      <c r="B175" s="70"/>
      <c r="C175" s="186" t="s">
        <v>147</v>
      </c>
      <c r="D175" s="307" t="s">
        <v>59</v>
      </c>
      <c r="E175" s="931">
        <v>160.84473967999998</v>
      </c>
      <c r="F175" s="931">
        <v>257.13399999999996</v>
      </c>
      <c r="G175" s="931">
        <v>566.37799099000006</v>
      </c>
      <c r="H175" s="931">
        <v>608.13999999999987</v>
      </c>
      <c r="I175" s="931">
        <v>992.38135004000003</v>
      </c>
      <c r="J175" s="931">
        <v>982.86200000000008</v>
      </c>
      <c r="K175" s="931">
        <v>1669.5031615400001</v>
      </c>
      <c r="L175" s="931">
        <v>1698.8600200000001</v>
      </c>
      <c r="M175" s="931">
        <v>1766.26714634</v>
      </c>
      <c r="N175" s="931">
        <v>772.68302000000006</v>
      </c>
      <c r="O175" s="931">
        <v>924.51705694000009</v>
      </c>
      <c r="P175" s="931">
        <v>739.45400000000006</v>
      </c>
      <c r="Q175" s="931">
        <v>622.56451301000004</v>
      </c>
      <c r="R175" s="931">
        <v>859.46</v>
      </c>
      <c r="S175" s="931">
        <v>419.85544574000005</v>
      </c>
      <c r="T175" s="931">
        <v>556.08567999999991</v>
      </c>
      <c r="U175" s="931">
        <v>692.57863814999996</v>
      </c>
      <c r="V175" s="931">
        <v>990.61331487999996</v>
      </c>
      <c r="W175" s="931">
        <v>458.95224614000006</v>
      </c>
      <c r="X175" s="931">
        <v>775.97971487999996</v>
      </c>
      <c r="Y175" s="931">
        <v>265.17492516999999</v>
      </c>
      <c r="Z175" s="931">
        <v>515.01371427999993</v>
      </c>
      <c r="AA175" s="931">
        <v>869.32570487999999</v>
      </c>
      <c r="AB175" s="931">
        <v>1508.2735000000002</v>
      </c>
      <c r="AC175" s="931">
        <v>722.40881516000013</v>
      </c>
      <c r="AD175" s="931">
        <v>799.24873590999994</v>
      </c>
      <c r="AE175" s="931">
        <v>446.80492412000001</v>
      </c>
      <c r="AF175" s="931">
        <v>1120.0710000000001</v>
      </c>
      <c r="AG175" s="931">
        <v>1469.9815871500002</v>
      </c>
      <c r="AH175" s="931">
        <v>1580.9499999999998</v>
      </c>
      <c r="AI175" s="931">
        <v>1178.52197108</v>
      </c>
      <c r="AJ175" s="931">
        <v>1682.2489999999998</v>
      </c>
      <c r="AK175" s="931">
        <v>1277.87689639</v>
      </c>
      <c r="AL175" s="931">
        <v>1725.9773500000001</v>
      </c>
      <c r="AM175" s="931">
        <v>1570.1230616799999</v>
      </c>
      <c r="AN175" s="936">
        <v>1952.2736223799998</v>
      </c>
      <c r="AO175" s="988">
        <v>372.95365163000002</v>
      </c>
      <c r="AP175" s="632">
        <v>245.95520870000001</v>
      </c>
      <c r="AQ175" s="988">
        <v>58.498533020000004</v>
      </c>
      <c r="AR175" s="988">
        <v>710.47806951999996</v>
      </c>
      <c r="AS175" s="988">
        <v>860.89888121000001</v>
      </c>
      <c r="AT175" s="988">
        <v>396.43484856999999</v>
      </c>
      <c r="AU175" s="988">
        <v>332.11813917000001</v>
      </c>
      <c r="AV175" s="988">
        <v>431.28322717000003</v>
      </c>
      <c r="AW175" s="988">
        <v>678.47684217000005</v>
      </c>
      <c r="AX175" s="988">
        <v>823.77356238000016</v>
      </c>
      <c r="AY175" s="988">
        <v>560.99442025000008</v>
      </c>
      <c r="AZ175" s="988">
        <f>SUM(AZ176:AZ180)</f>
        <v>623.87899101999994</v>
      </c>
      <c r="BA175" s="988">
        <v>327.57928215000004</v>
      </c>
      <c r="BB175" s="988">
        <v>439.23560461</v>
      </c>
      <c r="BC175" s="988">
        <v>278.12595977000001</v>
      </c>
      <c r="BD175" s="988">
        <v>264.82539525999999</v>
      </c>
      <c r="BE175" s="933">
        <v>29.390657770000004</v>
      </c>
      <c r="BF175" s="933">
        <v>56.97327361</v>
      </c>
      <c r="BG175" s="933">
        <v>63.898494939999999</v>
      </c>
      <c r="BH175" s="933">
        <v>36.454689469999998</v>
      </c>
      <c r="BI175" s="933">
        <v>88.798219130000007</v>
      </c>
      <c r="BJ175" s="933">
        <v>150.87620193000001</v>
      </c>
      <c r="BK175" s="933">
        <v>91.689334639999998</v>
      </c>
      <c r="BL175" s="988">
        <f>SUM(BL176:BL180)</f>
        <v>119.18084964000001</v>
      </c>
      <c r="BM175" s="936">
        <f t="shared" ref="BM175:DH175" si="572">SUM(BM176:BM180)</f>
        <v>318.25876549999998</v>
      </c>
      <c r="BN175" s="936">
        <f>SUM(BN176:BN180)</f>
        <v>514.37726025999996</v>
      </c>
      <c r="BO175" s="936">
        <f t="shared" si="572"/>
        <v>304.56492947000004</v>
      </c>
      <c r="BP175" s="988">
        <f t="shared" si="572"/>
        <v>513.09890131999987</v>
      </c>
      <c r="BQ175" s="933">
        <f t="shared" si="572"/>
        <v>248.27043100999998</v>
      </c>
      <c r="BR175" s="933">
        <f t="shared" si="572"/>
        <v>402.66106121000001</v>
      </c>
      <c r="BS175" s="933">
        <f t="shared" si="572"/>
        <v>270.59329884000005</v>
      </c>
      <c r="BT175" s="933">
        <f t="shared" si="572"/>
        <v>471.87303589999999</v>
      </c>
      <c r="BU175" s="933">
        <f t="shared" si="572"/>
        <v>206.20877135000003</v>
      </c>
      <c r="BV175" s="933">
        <f t="shared" si="572"/>
        <v>411.28901621</v>
      </c>
      <c r="BW175" s="933">
        <f t="shared" si="572"/>
        <v>317.67669304999998</v>
      </c>
      <c r="BX175" s="933">
        <f t="shared" si="572"/>
        <v>116.26851327999999</v>
      </c>
      <c r="BY175" s="933">
        <f t="shared" si="572"/>
        <v>279.22676653000002</v>
      </c>
      <c r="BZ175" s="933">
        <f t="shared" si="572"/>
        <v>471.83882378000004</v>
      </c>
      <c r="CA175" s="933">
        <f t="shared" si="572"/>
        <v>257.82228458999998</v>
      </c>
      <c r="CB175" s="933">
        <f t="shared" si="572"/>
        <v>312.35974348999997</v>
      </c>
      <c r="CC175" s="933">
        <f t="shared" si="572"/>
        <v>130.75918708</v>
      </c>
      <c r="CD175" s="933">
        <f t="shared" si="572"/>
        <v>266.09016392000001</v>
      </c>
      <c r="CE175" s="933">
        <f t="shared" si="572"/>
        <v>230.63120343000003</v>
      </c>
      <c r="CF175" s="933">
        <f t="shared" si="572"/>
        <v>450.10277708000001</v>
      </c>
      <c r="CG175" s="933">
        <f t="shared" si="572"/>
        <v>233.50548505999998</v>
      </c>
      <c r="CH175" s="933">
        <f t="shared" si="572"/>
        <v>203.76499246000003</v>
      </c>
      <c r="CI175" s="933">
        <f t="shared" si="572"/>
        <v>120.77751782</v>
      </c>
      <c r="CJ175" s="933">
        <f t="shared" si="572"/>
        <v>108.2210005</v>
      </c>
      <c r="CK175" s="933">
        <f t="shared" si="572"/>
        <v>232.64629151</v>
      </c>
      <c r="CL175" s="933">
        <f t="shared" si="572"/>
        <v>107.42101839</v>
      </c>
      <c r="CM175" s="933">
        <f t="shared" si="572"/>
        <v>283.81336470999997</v>
      </c>
      <c r="CN175" s="933">
        <f t="shared" si="572"/>
        <v>6.1728E-4</v>
      </c>
      <c r="CO175" s="933">
        <f t="shared" si="572"/>
        <v>365.16292677999996</v>
      </c>
      <c r="CP175" s="933">
        <f t="shared" si="572"/>
        <v>1.4189200000000002E-3</v>
      </c>
      <c r="CQ175" s="933">
        <f t="shared" si="572"/>
        <v>217.92068327000001</v>
      </c>
      <c r="CR175" s="933">
        <f t="shared" si="572"/>
        <v>7.46063484</v>
      </c>
      <c r="CS175" s="933">
        <f t="shared" si="572"/>
        <v>118.72175021999999</v>
      </c>
      <c r="CT175" s="933">
        <f t="shared" si="572"/>
        <v>9.4011360000000002E-2</v>
      </c>
      <c r="CU175" s="933">
        <f t="shared" si="572"/>
        <v>389.49053561999995</v>
      </c>
      <c r="CV175" s="933">
        <f t="shared" si="572"/>
        <v>223.58387968000002</v>
      </c>
      <c r="CW175" s="933">
        <f t="shared" si="572"/>
        <v>473.22690687999994</v>
      </c>
      <c r="CX175" s="933">
        <f t="shared" si="572"/>
        <v>223.58299953</v>
      </c>
      <c r="CY175" s="933">
        <f t="shared" si="572"/>
        <v>475.52117793000002</v>
      </c>
      <c r="CZ175" s="933">
        <f t="shared" si="572"/>
        <v>6.0014011900000002</v>
      </c>
      <c r="DA175" s="933">
        <f t="shared" si="572"/>
        <v>243.84638132000001</v>
      </c>
      <c r="DB175" s="933">
        <f t="shared" si="572"/>
        <v>2.9999999999999997E-8</v>
      </c>
      <c r="DC175" s="933">
        <f t="shared" si="572"/>
        <v>13.677947920000001</v>
      </c>
      <c r="DD175" s="933">
        <f t="shared" si="572"/>
        <v>0</v>
      </c>
      <c r="DE175" s="933">
        <f t="shared" si="572"/>
        <v>166.46492534000001</v>
      </c>
      <c r="DF175" s="933">
        <f t="shared" si="572"/>
        <v>0</v>
      </c>
      <c r="DG175" s="933">
        <f t="shared" si="572"/>
        <v>277.56207545000001</v>
      </c>
      <c r="DH175" s="933">
        <f t="shared" si="572"/>
        <v>131.24725462999999</v>
      </c>
      <c r="DI175" s="985"/>
      <c r="DJ175" s="933" t="e">
        <f t="shared" ref="DJ175:FU175" si="573">SUM(DJ176:DJ180)</f>
        <v>#VALUE!</v>
      </c>
      <c r="DK175" s="933" t="e">
        <f t="shared" si="573"/>
        <v>#VALUE!</v>
      </c>
      <c r="DL175" s="933" t="e">
        <f t="shared" si="573"/>
        <v>#VALUE!</v>
      </c>
      <c r="DM175" s="933" t="e">
        <f t="shared" si="573"/>
        <v>#VALUE!</v>
      </c>
      <c r="DN175" s="933" t="e">
        <f t="shared" si="573"/>
        <v>#VALUE!</v>
      </c>
      <c r="DO175" s="933" t="e">
        <f t="shared" si="573"/>
        <v>#VALUE!</v>
      </c>
      <c r="DP175" s="933" t="e">
        <f t="shared" si="573"/>
        <v>#VALUE!</v>
      </c>
      <c r="DQ175" s="933" t="e">
        <f t="shared" si="573"/>
        <v>#VALUE!</v>
      </c>
      <c r="DR175" s="933" t="e">
        <f t="shared" si="573"/>
        <v>#VALUE!</v>
      </c>
      <c r="DS175" s="933" t="e">
        <f t="shared" si="573"/>
        <v>#VALUE!</v>
      </c>
      <c r="DT175" s="933" t="e">
        <f t="shared" si="573"/>
        <v>#VALUE!</v>
      </c>
      <c r="DU175" s="933" t="e">
        <f t="shared" si="573"/>
        <v>#VALUE!</v>
      </c>
      <c r="DV175" s="279"/>
      <c r="DW175" s="931">
        <f t="shared" si="573"/>
        <v>210.55964664254356</v>
      </c>
      <c r="DX175" s="931">
        <f t="shared" si="573"/>
        <v>444.68798890771956</v>
      </c>
      <c r="DY175" s="931">
        <f t="shared" si="573"/>
        <v>366.88626531506691</v>
      </c>
      <c r="DZ175" s="931">
        <f t="shared" si="573"/>
        <v>548.68601396731856</v>
      </c>
      <c r="EA175" s="931">
        <f t="shared" si="573"/>
        <v>382.77556959342559</v>
      </c>
      <c r="EB175" s="931">
        <f t="shared" si="573"/>
        <v>682.53982156843426</v>
      </c>
      <c r="EC175" s="931">
        <f t="shared" si="573"/>
        <v>382.20840143227372</v>
      </c>
      <c r="ED175" s="931">
        <f t="shared" si="573"/>
        <v>927.35256192869997</v>
      </c>
      <c r="EE175" s="931">
        <f t="shared" si="573"/>
        <v>680.78799688190236</v>
      </c>
      <c r="EF175" s="931">
        <f t="shared" si="573"/>
        <v>1276.0115480885356</v>
      </c>
      <c r="EG175" s="931">
        <f t="shared" si="573"/>
        <v>628.57016112689359</v>
      </c>
      <c r="EH175" s="931">
        <f t="shared" si="573"/>
        <v>1871.5761015903488</v>
      </c>
      <c r="EI175" s="931">
        <f t="shared" si="573"/>
        <v>902.41580487507667</v>
      </c>
      <c r="EJ175" s="931">
        <f t="shared" si="573"/>
        <v>985.44197640304674</v>
      </c>
      <c r="EK175" s="931">
        <f t="shared" si="573"/>
        <v>516.69413584279869</v>
      </c>
      <c r="EL175" s="931">
        <f t="shared" si="573"/>
        <v>681.83897599996601</v>
      </c>
      <c r="EM175" s="931">
        <f t="shared" si="573"/>
        <v>583.65213205028022</v>
      </c>
      <c r="EN175" s="931">
        <f t="shared" si="573"/>
        <v>769.59861668039912</v>
      </c>
      <c r="EO175" s="931">
        <f t="shared" si="573"/>
        <v>518.29209918560014</v>
      </c>
      <c r="EP175" s="931">
        <f t="shared" si="573"/>
        <v>690.89815448886861</v>
      </c>
      <c r="EQ175" s="931">
        <f t="shared" si="573"/>
        <v>647.64848397020023</v>
      </c>
      <c r="ER175" s="931">
        <f t="shared" si="573"/>
        <v>889.9382984571464</v>
      </c>
      <c r="ES175" s="931">
        <f t="shared" si="573"/>
        <v>662.90966782069927</v>
      </c>
      <c r="ET175" s="931">
        <f t="shared" si="573"/>
        <v>906.10661825833597</v>
      </c>
      <c r="EU175" s="931">
        <f t="shared" si="573"/>
        <v>313.5190239783123</v>
      </c>
      <c r="EV175" s="931">
        <f t="shared" si="573"/>
        <v>492.33932422494632</v>
      </c>
      <c r="EW175" s="931">
        <f t="shared" si="573"/>
        <v>669.1775306179843</v>
      </c>
      <c r="EX175" s="931">
        <f t="shared" si="573"/>
        <v>832.47996093774373</v>
      </c>
      <c r="EY175" s="931">
        <f t="shared" si="573"/>
        <v>1012.7349925284656</v>
      </c>
      <c r="EZ175" s="931">
        <f t="shared" si="573"/>
        <v>1161.0683162748098</v>
      </c>
      <c r="FA175" s="931">
        <f t="shared" si="573"/>
        <v>1337.481049607698</v>
      </c>
      <c r="FB175" s="931">
        <f t="shared" si="573"/>
        <v>1448.6905848572694</v>
      </c>
      <c r="FC175" s="931">
        <f t="shared" si="573"/>
        <v>1533.4530619794853</v>
      </c>
      <c r="FD175" s="931">
        <f t="shared" si="573"/>
        <v>1604.0975687090852</v>
      </c>
      <c r="FE175" s="931">
        <f t="shared" si="573"/>
        <v>1688.5736643362338</v>
      </c>
      <c r="FF175" s="931">
        <f t="shared" si="573"/>
        <v>1765.3215632510337</v>
      </c>
      <c r="FG175" s="931" t="e">
        <f t="shared" si="573"/>
        <v>#VALUE!</v>
      </c>
      <c r="FH175" s="931" t="e">
        <f t="shared" si="573"/>
        <v>#VALUE!</v>
      </c>
      <c r="FI175" s="931" t="e">
        <f t="shared" si="573"/>
        <v>#VALUE!</v>
      </c>
      <c r="FJ175" s="931" t="e">
        <f t="shared" si="573"/>
        <v>#VALUE!</v>
      </c>
      <c r="FK175" s="931" t="e">
        <f t="shared" si="573"/>
        <v>#VALUE!</v>
      </c>
      <c r="FL175" s="931" t="e">
        <f t="shared" si="573"/>
        <v>#VALUE!</v>
      </c>
      <c r="FM175" s="931" t="e">
        <f t="shared" si="573"/>
        <v>#VALUE!</v>
      </c>
      <c r="FN175" s="931" t="e">
        <f t="shared" si="573"/>
        <v>#VALUE!</v>
      </c>
      <c r="FO175" s="931" t="e">
        <f t="shared" si="573"/>
        <v>#VALUE!</v>
      </c>
      <c r="FP175" s="931" t="e">
        <f t="shared" si="573"/>
        <v>#VALUE!</v>
      </c>
      <c r="FQ175" s="931" t="e">
        <f t="shared" si="573"/>
        <v>#VALUE!</v>
      </c>
      <c r="FR175" s="931" t="e">
        <f t="shared" si="573"/>
        <v>#VALUE!</v>
      </c>
      <c r="FS175" s="931" t="e">
        <f t="shared" si="573"/>
        <v>#VALUE!</v>
      </c>
      <c r="FT175" s="931" t="e">
        <f t="shared" si="573"/>
        <v>#VALUE!</v>
      </c>
      <c r="FU175" s="931" t="e">
        <f t="shared" si="573"/>
        <v>#VALUE!</v>
      </c>
      <c r="FV175" s="931" t="e">
        <f t="shared" ref="FV175:GD175" si="574">SUM(FV176:FV180)</f>
        <v>#VALUE!</v>
      </c>
      <c r="FW175" s="931" t="e">
        <f t="shared" si="574"/>
        <v>#VALUE!</v>
      </c>
      <c r="FX175" s="931" t="e">
        <f t="shared" si="574"/>
        <v>#VALUE!</v>
      </c>
      <c r="FY175" s="931" t="e">
        <f t="shared" si="574"/>
        <v>#VALUE!</v>
      </c>
      <c r="FZ175" s="931" t="e">
        <f t="shared" si="574"/>
        <v>#VALUE!</v>
      </c>
      <c r="GA175" s="931" t="e">
        <f t="shared" si="574"/>
        <v>#VALUE!</v>
      </c>
      <c r="GB175" s="931" t="e">
        <f t="shared" si="574"/>
        <v>#VALUE!</v>
      </c>
      <c r="GC175" s="931" t="e">
        <f t="shared" si="574"/>
        <v>#VALUE!</v>
      </c>
      <c r="GD175" s="931" t="e">
        <f t="shared" si="574"/>
        <v>#VALUE!</v>
      </c>
      <c r="GF175" s="931">
        <f t="shared" si="524"/>
        <v>739.45400000000006</v>
      </c>
      <c r="GG175" s="931">
        <f t="shared" si="524"/>
        <v>1508.2735000000002</v>
      </c>
      <c r="GH175" s="931">
        <f t="shared" si="524"/>
        <v>1952.2736223799998</v>
      </c>
      <c r="GI175" s="931">
        <f t="shared" si="524"/>
        <v>623.87899101999994</v>
      </c>
      <c r="GJ175" s="931">
        <f t="shared" ref="GJ175:GK212" si="575">+SUMIFS($E175:$BL175,$E$6:$BL$6,GJ$7,$E$5:$BL$5,12)</f>
        <v>119.18084964000001</v>
      </c>
      <c r="GK175" s="931">
        <f t="shared" si="565"/>
        <v>116.26851327999999</v>
      </c>
      <c r="GL175" s="931">
        <f t="shared" si="571"/>
        <v>108.2210005</v>
      </c>
      <c r="GM175" s="931">
        <f t="shared" si="566"/>
        <v>223.58387968000002</v>
      </c>
      <c r="GN175" s="931" t="e">
        <f t="shared" si="567"/>
        <v>#VALUE!</v>
      </c>
      <c r="GO175" s="931">
        <v>131.24725462999999</v>
      </c>
      <c r="GQ175" s="934">
        <f t="shared" si="555"/>
        <v>0.29437639949253191</v>
      </c>
      <c r="GR175" s="934">
        <f t="shared" si="555"/>
        <v>-0.6804346563575272</v>
      </c>
      <c r="GS175" s="934">
        <f t="shared" si="555"/>
        <v>-0.80896800284114811</v>
      </c>
      <c r="GT175" s="934">
        <f t="shared" si="525"/>
        <v>-2.4436277881866642E-2</v>
      </c>
      <c r="GU175" s="934">
        <f t="shared" si="525"/>
        <v>-6.9214893636937003E-2</v>
      </c>
      <c r="GV175" s="934">
        <f t="shared" si="525"/>
        <v>1.0659934638101967</v>
      </c>
      <c r="GW175" s="934" t="str">
        <f t="shared" si="499"/>
        <v/>
      </c>
      <c r="GX175" s="934" t="str">
        <f t="shared" si="499"/>
        <v/>
      </c>
      <c r="GY175" s="934">
        <f t="shared" si="492"/>
        <v>-0.41298426873241034</v>
      </c>
      <c r="HA175" s="931">
        <f t="shared" si="556"/>
        <v>444.00012237999954</v>
      </c>
      <c r="HB175" s="931">
        <f t="shared" si="556"/>
        <v>-1328.3946313599999</v>
      </c>
      <c r="HC175" s="931">
        <f t="shared" si="556"/>
        <v>-504.69814137999992</v>
      </c>
      <c r="HD175" s="931">
        <f t="shared" si="500"/>
        <v>-2.9123363600000118</v>
      </c>
      <c r="HE175" s="931">
        <f t="shared" si="500"/>
        <v>-8.047512779999991</v>
      </c>
      <c r="HF175" s="931">
        <f t="shared" si="500"/>
        <v>115.36287918000002</v>
      </c>
      <c r="HG175" s="931" t="e">
        <f t="shared" si="500"/>
        <v>#VALUE!</v>
      </c>
      <c r="HH175" s="931" t="e">
        <f t="shared" si="500"/>
        <v>#VALUE!</v>
      </c>
      <c r="HI175" s="931">
        <f t="shared" si="493"/>
        <v>-92.336625050000038</v>
      </c>
      <c r="HK175" s="978"/>
      <c r="HL175" s="978"/>
      <c r="HM175" s="978"/>
      <c r="HN175" s="978"/>
      <c r="HO175" s="978"/>
      <c r="HP175" s="978"/>
      <c r="HQ175" s="978"/>
      <c r="HR175" s="978"/>
      <c r="HS175" s="978"/>
      <c r="HU175" s="931">
        <f t="shared" si="557"/>
        <v>982.86200000000008</v>
      </c>
      <c r="HV175" s="931">
        <f t="shared" si="557"/>
        <v>990.61331487999996</v>
      </c>
      <c r="HW175" s="931">
        <f t="shared" si="557"/>
        <v>1580.9499999999998</v>
      </c>
      <c r="HX175" s="931">
        <f t="shared" si="557"/>
        <v>396.43484856999999</v>
      </c>
      <c r="HY175" s="931">
        <f t="shared" si="528"/>
        <v>56.97327361</v>
      </c>
      <c r="HZ175" s="931">
        <f t="shared" si="528"/>
        <v>402.66106121000001</v>
      </c>
      <c r="IA175" s="931">
        <f t="shared" si="529"/>
        <v>266.09016392000001</v>
      </c>
      <c r="IB175" s="931">
        <f t="shared" si="530"/>
        <v>1.4189200000000002E-3</v>
      </c>
      <c r="IC175" s="931">
        <f t="shared" si="531"/>
        <v>2.9999999999999997E-8</v>
      </c>
      <c r="ID175" s="931" t="e">
        <f t="shared" si="568"/>
        <v>#VALUE!</v>
      </c>
      <c r="IE175" s="931" t="e">
        <f t="shared" si="532"/>
        <v>#VALUE!</v>
      </c>
      <c r="IG175" s="931" t="e">
        <f t="shared" si="533"/>
        <v>#VALUE!</v>
      </c>
      <c r="IH175" s="931" t="e">
        <f t="shared" si="534"/>
        <v>#VALUE!</v>
      </c>
      <c r="II175" s="145"/>
      <c r="IJ175" s="934" t="str">
        <f t="shared" si="535"/>
        <v>NA</v>
      </c>
      <c r="IK175" s="935" t="str">
        <f t="shared" si="536"/>
        <v>NA</v>
      </c>
      <c r="IM175" s="973"/>
      <c r="IN175" s="973"/>
      <c r="IP175" s="934">
        <f t="shared" si="553"/>
        <v>0.59593049704920587</v>
      </c>
      <c r="IQ175" s="934">
        <f t="shared" si="553"/>
        <v>-0.74924263982415629</v>
      </c>
      <c r="IR175" s="934">
        <f t="shared" si="553"/>
        <v>-0.85628590973898699</v>
      </c>
      <c r="IS175" s="934">
        <f t="shared" si="553"/>
        <v>6.0675430021160759</v>
      </c>
      <c r="IT175" s="934">
        <f t="shared" si="553"/>
        <v>-0.33917085719588391</v>
      </c>
      <c r="IU175" s="934">
        <f t="shared" si="553"/>
        <v>-0.99999466752179378</v>
      </c>
      <c r="IV175" s="934" t="str">
        <f t="shared" si="554"/>
        <v/>
      </c>
      <c r="IX175" s="931">
        <f t="shared" si="538"/>
        <v>590.33668511999986</v>
      </c>
      <c r="IY175" s="931">
        <f t="shared" si="538"/>
        <v>-1184.5151514299998</v>
      </c>
      <c r="IZ175" s="931">
        <f t="shared" si="538"/>
        <v>-339.46157496000001</v>
      </c>
      <c r="JA175" s="931">
        <f t="shared" si="538"/>
        <v>345.68778760000004</v>
      </c>
      <c r="JB175" s="931">
        <f t="shared" si="538"/>
        <v>-136.57089729</v>
      </c>
      <c r="JC175" s="931">
        <f t="shared" si="538"/>
        <v>-266.08874500000002</v>
      </c>
      <c r="JD175" s="931" t="e">
        <f t="shared" si="539"/>
        <v>#VALUE!</v>
      </c>
      <c r="JF175" s="978"/>
      <c r="JG175" s="978"/>
      <c r="JH175" s="978"/>
      <c r="JI175" s="978"/>
      <c r="JJ175" s="978"/>
      <c r="JK175" s="978"/>
      <c r="JL175" s="978"/>
      <c r="JM175" s="978"/>
      <c r="JO175" s="931">
        <f t="shared" si="561"/>
        <v>982.86200000000008</v>
      </c>
      <c r="JP175" s="931">
        <f t="shared" si="561"/>
        <v>990.61331487999996</v>
      </c>
      <c r="JQ175" s="931">
        <f t="shared" si="561"/>
        <v>1580.9499999999998</v>
      </c>
      <c r="JR175" s="931">
        <f t="shared" si="561"/>
        <v>396.43484856999999</v>
      </c>
      <c r="JS175" s="931">
        <f t="shared" si="561"/>
        <v>56.97327361</v>
      </c>
      <c r="JT175" s="931">
        <f t="shared" si="541"/>
        <v>402.66106121000001</v>
      </c>
      <c r="JU175" s="931">
        <f t="shared" si="542"/>
        <v>266.09016392000001</v>
      </c>
      <c r="JV175" s="931">
        <f t="shared" si="543"/>
        <v>1.4189200000000002E-3</v>
      </c>
      <c r="JW175" s="931">
        <f t="shared" si="543"/>
        <v>2.9999999999999997E-8</v>
      </c>
      <c r="JX175" s="931" t="e">
        <f t="shared" si="544"/>
        <v>#VALUE!</v>
      </c>
      <c r="JY175" s="931" t="e">
        <f t="shared" si="545"/>
        <v>#VALUE!</v>
      </c>
      <c r="KB175" s="230">
        <f t="shared" si="546"/>
        <v>0.59593049704920587</v>
      </c>
      <c r="KC175" s="230">
        <f t="shared" si="546"/>
        <v>-0.74924263982415629</v>
      </c>
      <c r="KD175" s="230">
        <f t="shared" si="546"/>
        <v>-0.85628590973898699</v>
      </c>
      <c r="KE175" s="230">
        <f t="shared" si="546"/>
        <v>6.0675430021160759</v>
      </c>
      <c r="KF175" s="230">
        <f t="shared" si="546"/>
        <v>-0.33917085719588391</v>
      </c>
      <c r="KG175" s="230">
        <f t="shared" si="546"/>
        <v>-0.99999466752179378</v>
      </c>
      <c r="KH175" s="230" t="str">
        <f t="shared" si="569"/>
        <v xml:space="preserve"> </v>
      </c>
      <c r="KJ175" s="931">
        <f t="shared" si="547"/>
        <v>590.33668511999986</v>
      </c>
      <c r="KK175" s="931">
        <f t="shared" si="547"/>
        <v>-1184.5151514299998</v>
      </c>
      <c r="KL175" s="931">
        <f t="shared" si="547"/>
        <v>-339.46157496000001</v>
      </c>
      <c r="KM175" s="931">
        <f t="shared" si="547"/>
        <v>345.68778760000004</v>
      </c>
      <c r="KN175" s="931">
        <f t="shared" si="547"/>
        <v>-136.57089729</v>
      </c>
      <c r="KO175" s="931">
        <f t="shared" si="547"/>
        <v>-266.08874500000002</v>
      </c>
      <c r="KP175" s="931" t="e">
        <f t="shared" si="570"/>
        <v>#VALUE!</v>
      </c>
      <c r="KR175" s="978"/>
      <c r="KS175" s="978"/>
      <c r="KT175" s="978"/>
      <c r="KU175" s="978"/>
      <c r="KV175" s="978"/>
      <c r="KW175" s="978"/>
      <c r="KX175" s="978"/>
      <c r="KY175" s="978"/>
      <c r="KZ175" s="978"/>
    </row>
    <row r="176" spans="1:312" hidden="1" outlineLevel="2">
      <c r="A176" s="884">
        <v>24</v>
      </c>
      <c r="B176" s="70" t="s">
        <v>739</v>
      </c>
      <c r="D176" s="31"/>
      <c r="E176" s="924">
        <v>86.123867180000005</v>
      </c>
      <c r="F176" s="924">
        <v>203.27199999999999</v>
      </c>
      <c r="G176" s="924">
        <v>501.15003777999999</v>
      </c>
      <c r="H176" s="924">
        <v>528.15599999999995</v>
      </c>
      <c r="I176" s="924">
        <v>936.52242609000007</v>
      </c>
      <c r="J176" s="924">
        <v>873.64300000000003</v>
      </c>
      <c r="K176" s="924">
        <v>1610.43223025</v>
      </c>
      <c r="L176" s="924">
        <v>1630.4450200000001</v>
      </c>
      <c r="M176" s="924">
        <v>1706.6005970899998</v>
      </c>
      <c r="N176" s="924">
        <v>698.58101999999997</v>
      </c>
      <c r="O176" s="924">
        <v>813.85364512000001</v>
      </c>
      <c r="P176" s="924">
        <v>644.13599999999997</v>
      </c>
      <c r="Q176" s="924">
        <v>544.95413194000002</v>
      </c>
      <c r="R176" s="924">
        <v>797.07100000000003</v>
      </c>
      <c r="S176" s="924">
        <v>358.47854408000001</v>
      </c>
      <c r="T176" s="924">
        <v>481.78167999999999</v>
      </c>
      <c r="U176" s="924">
        <v>609.92901687000005</v>
      </c>
      <c r="V176" s="924">
        <v>912.84131487999991</v>
      </c>
      <c r="W176" s="924">
        <v>409.51275807000002</v>
      </c>
      <c r="X176" s="924">
        <v>693.65771487999996</v>
      </c>
      <c r="Y176" s="924">
        <v>193.42601414999999</v>
      </c>
      <c r="Z176" s="924">
        <v>408.25271427999996</v>
      </c>
      <c r="AA176" s="924">
        <v>732.4173882</v>
      </c>
      <c r="AB176" s="924">
        <v>1346.6424999999999</v>
      </c>
      <c r="AC176" s="924">
        <v>609.61256460000004</v>
      </c>
      <c r="AD176" s="924">
        <v>673.70749999999998</v>
      </c>
      <c r="AE176" s="924">
        <v>347.17327736000004</v>
      </c>
      <c r="AF176" s="924">
        <v>977.27600000000007</v>
      </c>
      <c r="AG176" s="924">
        <v>1328.50684062</v>
      </c>
      <c r="AH176" s="924">
        <v>1477.0540000000001</v>
      </c>
      <c r="AI176" s="924">
        <v>1065.28958526</v>
      </c>
      <c r="AJ176" s="924">
        <v>1507.6379999999999</v>
      </c>
      <c r="AK176" s="924">
        <v>1142.2094638899998</v>
      </c>
      <c r="AL176" s="924">
        <v>1654.3633500000001</v>
      </c>
      <c r="AM176" s="924">
        <v>1563.73365453</v>
      </c>
      <c r="AN176" s="102">
        <v>1682.5939999999998</v>
      </c>
      <c r="AO176" s="924">
        <v>271.49935242000004</v>
      </c>
      <c r="AP176" s="925">
        <v>226.50755334999999</v>
      </c>
      <c r="AQ176" s="143">
        <v>38.222500920000002</v>
      </c>
      <c r="AR176" s="143">
        <v>662.97699911999996</v>
      </c>
      <c r="AS176" s="924">
        <v>749.72246585000005</v>
      </c>
      <c r="AT176" s="924">
        <v>298.00735350999997</v>
      </c>
      <c r="AU176" s="924">
        <v>203.66718935</v>
      </c>
      <c r="AV176" s="924">
        <v>340.00480966000003</v>
      </c>
      <c r="AW176" s="924">
        <v>585.73745991999999</v>
      </c>
      <c r="AX176" s="924">
        <v>741.11552552000001</v>
      </c>
      <c r="AY176" s="924">
        <v>483.38804835000002</v>
      </c>
      <c r="AZ176" s="102">
        <v>558.43499999999995</v>
      </c>
      <c r="BA176" s="102">
        <v>285.54828566000003</v>
      </c>
      <c r="BB176" s="102">
        <v>392.93395380999999</v>
      </c>
      <c r="BC176" s="102">
        <v>243.86685711000001</v>
      </c>
      <c r="BD176" s="102">
        <v>233.88231159999998</v>
      </c>
      <c r="BE176" s="924">
        <v>3.7954370900000001</v>
      </c>
      <c r="BF176" s="924">
        <v>26.817633309999998</v>
      </c>
      <c r="BG176" s="924">
        <v>45.17342755</v>
      </c>
      <c r="BH176" s="924">
        <v>12.02935742</v>
      </c>
      <c r="BI176" s="924">
        <v>65.601411830000004</v>
      </c>
      <c r="BJ176" s="924">
        <v>127.93458762</v>
      </c>
      <c r="BK176" s="924">
        <v>63.898679250000001</v>
      </c>
      <c r="BL176" s="924">
        <f>51060265/1000000</f>
        <v>51.060265000000001</v>
      </c>
      <c r="BM176" s="102">
        <v>275.07606552999999</v>
      </c>
      <c r="BN176" s="102">
        <v>471.62338948000001</v>
      </c>
      <c r="BO176" s="102">
        <v>227.68469077</v>
      </c>
      <c r="BP176" s="102">
        <v>458.77820951999996</v>
      </c>
      <c r="BQ176" s="924">
        <v>205.27719074999999</v>
      </c>
      <c r="BR176" s="924">
        <v>376.80045823</v>
      </c>
      <c r="BS176" s="924">
        <v>233.92252628</v>
      </c>
      <c r="BT176" s="924">
        <v>429.90452289000001</v>
      </c>
      <c r="BU176" s="924">
        <v>169.91215808000001</v>
      </c>
      <c r="BV176" s="924">
        <v>366.81673355999999</v>
      </c>
      <c r="BW176" s="924">
        <v>273.37028206000002</v>
      </c>
      <c r="BX176" s="924">
        <v>116.26838348</v>
      </c>
      <c r="BY176" s="924">
        <v>276.64369687999999</v>
      </c>
      <c r="BZ176" s="924">
        <v>419.38981848000003</v>
      </c>
      <c r="CA176" s="924">
        <v>211.86819690999999</v>
      </c>
      <c r="CB176" s="924">
        <v>271.00130894</v>
      </c>
      <c r="CC176" s="924">
        <v>94.962866340000005</v>
      </c>
      <c r="CD176" s="924">
        <v>225.60682968</v>
      </c>
      <c r="CE176" s="924">
        <v>181.20391387000001</v>
      </c>
      <c r="CF176" s="924">
        <v>389.85251091000003</v>
      </c>
      <c r="CG176" s="924">
        <v>182.18979680999999</v>
      </c>
      <c r="CH176" s="924">
        <v>138.46204703000001</v>
      </c>
      <c r="CI176" s="924">
        <v>51.301023539999996</v>
      </c>
      <c r="CJ176" s="924">
        <v>108.2210005</v>
      </c>
      <c r="CK176" s="924">
        <v>230.93585450999998</v>
      </c>
      <c r="CL176" s="924">
        <v>107.21300026999999</v>
      </c>
      <c r="CM176" s="924">
        <v>280.89620248</v>
      </c>
      <c r="CN176" s="924">
        <v>2.7000000000000001E-7</v>
      </c>
      <c r="CO176" s="924">
        <v>362.55934194999998</v>
      </c>
      <c r="CP176" s="924">
        <v>2.1299999999999999E-5</v>
      </c>
      <c r="CQ176" s="924">
        <v>215.01388337</v>
      </c>
      <c r="CR176" s="924">
        <v>2.0209099999999999E-3</v>
      </c>
      <c r="CS176" s="924">
        <v>113.74972552</v>
      </c>
      <c r="CT176" s="924">
        <v>2.6833899999999999E-3</v>
      </c>
      <c r="CU176" s="924">
        <v>385.90993283999995</v>
      </c>
      <c r="CV176" s="924">
        <v>223.58382396000002</v>
      </c>
      <c r="CW176" s="924">
        <v>471.80164401999997</v>
      </c>
      <c r="CX176" s="924">
        <v>223.58294395999999</v>
      </c>
      <c r="CY176" s="924">
        <v>472.33985832000002</v>
      </c>
      <c r="CZ176" s="924">
        <v>6.0014011900000002</v>
      </c>
      <c r="DA176" s="924">
        <v>243.01405278000001</v>
      </c>
      <c r="DB176" s="924">
        <v>2.9999999999999997E-8</v>
      </c>
      <c r="DC176" s="924">
        <v>12.606824570000001</v>
      </c>
      <c r="DD176" s="924">
        <v>0</v>
      </c>
      <c r="DE176" s="924">
        <v>164.16195718</v>
      </c>
      <c r="DF176" s="924">
        <v>0</v>
      </c>
      <c r="DG176" s="924">
        <v>275.70492257000001</v>
      </c>
      <c r="DH176" s="924">
        <v>131.24725462999999</v>
      </c>
      <c r="DI176" s="145"/>
      <c r="DJ176" s="102" t="e">
        <v>#VALUE!</v>
      </c>
      <c r="DK176" s="102" t="e">
        <v>#VALUE!</v>
      </c>
      <c r="DL176" s="102" t="e">
        <v>#VALUE!</v>
      </c>
      <c r="DM176" s="102" t="e">
        <v>#VALUE!</v>
      </c>
      <c r="DN176" s="102" t="e">
        <v>#VALUE!</v>
      </c>
      <c r="DO176" s="102" t="e">
        <v>#VALUE!</v>
      </c>
      <c r="DP176" s="102" t="e">
        <v>#VALUE!</v>
      </c>
      <c r="DQ176" s="102" t="e">
        <v>#VALUE!</v>
      </c>
      <c r="DR176" s="102" t="e">
        <v>#VALUE!</v>
      </c>
      <c r="DS176" s="102" t="e">
        <v>#VALUE!</v>
      </c>
      <c r="DT176" s="102" t="e">
        <v>#VALUE!</v>
      </c>
      <c r="DU176" s="102" t="e">
        <v>#VALUE!</v>
      </c>
      <c r="DW176" s="924">
        <v>183.49833670382137</v>
      </c>
      <c r="DX176" s="924">
        <v>419.20615750191689</v>
      </c>
      <c r="DY176" s="924">
        <v>342.0325422457459</v>
      </c>
      <c r="DZ176" s="924">
        <v>521.22038351726917</v>
      </c>
      <c r="EA176" s="924">
        <v>361.74876133759346</v>
      </c>
      <c r="EB176" s="924">
        <v>656.88042727642494</v>
      </c>
      <c r="EC176" s="924">
        <v>354.55045552775289</v>
      </c>
      <c r="ED176" s="924">
        <v>894.23855483777697</v>
      </c>
      <c r="EE176" s="924">
        <v>654.05189548557826</v>
      </c>
      <c r="EF176" s="924">
        <v>1243.6143514577514</v>
      </c>
      <c r="EG176" s="924">
        <v>601.84524112619306</v>
      </c>
      <c r="EH176" s="924">
        <v>1831.3276097286507</v>
      </c>
      <c r="EI176" s="924">
        <v>868.78626601240012</v>
      </c>
      <c r="EJ176" s="924">
        <v>931.81244815976015</v>
      </c>
      <c r="EK176" s="924">
        <v>465.28090023536004</v>
      </c>
      <c r="EL176" s="924">
        <v>624.30212244116001</v>
      </c>
      <c r="EM176" s="924">
        <v>535.62113317480009</v>
      </c>
      <c r="EN176" s="924">
        <v>706.64884920072006</v>
      </c>
      <c r="EO176" s="924">
        <v>459.30212314480002</v>
      </c>
      <c r="EP176" s="924">
        <v>624.53545309720005</v>
      </c>
      <c r="EQ176" s="924">
        <v>584.38032645743999</v>
      </c>
      <c r="ER176" s="924">
        <v>822.07180918671997</v>
      </c>
      <c r="ES176" s="924">
        <v>604.66589468908001</v>
      </c>
      <c r="ET176" s="924">
        <v>853.31137001612001</v>
      </c>
      <c r="EU176" s="924">
        <v>280.12278108599997</v>
      </c>
      <c r="EV176" s="924">
        <v>459.79663708599998</v>
      </c>
      <c r="EW176" s="924">
        <v>635.10825957999987</v>
      </c>
      <c r="EX176" s="924">
        <v>801.90183853999997</v>
      </c>
      <c r="EY176" s="924">
        <v>979.75132562800002</v>
      </c>
      <c r="EZ176" s="924">
        <v>1133.1001015640002</v>
      </c>
      <c r="FA176" s="924">
        <v>1305.852220124</v>
      </c>
      <c r="FB176" s="924">
        <v>1422.6923161240002</v>
      </c>
      <c r="FC176" s="924">
        <v>1510.8083161240002</v>
      </c>
      <c r="FD176" s="924">
        <v>1582.4987161240001</v>
      </c>
      <c r="FE176" s="924">
        <v>1666.191036124</v>
      </c>
      <c r="FF176" s="924">
        <v>1742.366556124</v>
      </c>
      <c r="FG176" s="102" t="e">
        <v>#VALUE!</v>
      </c>
      <c r="FH176" s="102" t="e">
        <v>#VALUE!</v>
      </c>
      <c r="FI176" s="102" t="e">
        <v>#VALUE!</v>
      </c>
      <c r="FJ176" s="102" t="e">
        <v>#VALUE!</v>
      </c>
      <c r="FK176" s="102" t="e">
        <v>#VALUE!</v>
      </c>
      <c r="FL176" s="102" t="e">
        <v>#VALUE!</v>
      </c>
      <c r="FM176" s="102" t="e">
        <v>#VALUE!</v>
      </c>
      <c r="FN176" s="102" t="e">
        <v>#VALUE!</v>
      </c>
      <c r="FO176" s="102" t="e">
        <v>#VALUE!</v>
      </c>
      <c r="FP176" s="102" t="e">
        <v>#VALUE!</v>
      </c>
      <c r="FQ176" s="102" t="e">
        <v>#VALUE!</v>
      </c>
      <c r="FR176" s="102" t="e">
        <v>#VALUE!</v>
      </c>
      <c r="FS176" s="102" t="e">
        <v>#VALUE!</v>
      </c>
      <c r="FT176" s="102" t="e">
        <v>#VALUE!</v>
      </c>
      <c r="FU176" s="102" t="e">
        <v>#VALUE!</v>
      </c>
      <c r="FV176" s="102" t="e">
        <v>#VALUE!</v>
      </c>
      <c r="FW176" s="102" t="e">
        <v>#VALUE!</v>
      </c>
      <c r="FX176" s="102" t="e">
        <v>#VALUE!</v>
      </c>
      <c r="FY176" s="102" t="e">
        <v>#VALUE!</v>
      </c>
      <c r="FZ176" s="102" t="e">
        <v>#VALUE!</v>
      </c>
      <c r="GA176" s="102" t="e">
        <v>#VALUE!</v>
      </c>
      <c r="GB176" s="102" t="e">
        <v>#VALUE!</v>
      </c>
      <c r="GC176" s="102" t="e">
        <v>#VALUE!</v>
      </c>
      <c r="GD176" s="102" t="e">
        <v>#VALUE!</v>
      </c>
      <c r="GF176" s="924">
        <v>644.13599999999997</v>
      </c>
      <c r="GG176" s="924">
        <v>1346.6424999999999</v>
      </c>
      <c r="GH176" s="924">
        <v>1682.5939999999998</v>
      </c>
      <c r="GI176" s="924">
        <v>0</v>
      </c>
      <c r="GJ176" s="924">
        <f t="shared" si="575"/>
        <v>51.060265000000001</v>
      </c>
      <c r="GK176" s="924">
        <f t="shared" si="565"/>
        <v>116.26838348</v>
      </c>
      <c r="GL176" s="924">
        <f t="shared" si="571"/>
        <v>108.2210005</v>
      </c>
      <c r="GM176" s="924">
        <f t="shared" si="566"/>
        <v>223.58382396000002</v>
      </c>
      <c r="GN176" s="924" t="e">
        <f t="shared" si="567"/>
        <v>#VALUE!</v>
      </c>
      <c r="GO176" s="924">
        <v>131.24725462999999</v>
      </c>
      <c r="GQ176" s="76">
        <v>1.0906182855794428</v>
      </c>
      <c r="GR176" s="76">
        <v>0.24947341257980482</v>
      </c>
      <c r="GS176" s="76">
        <v>0.24947341257980482</v>
      </c>
      <c r="GT176" s="927">
        <f t="shared" ref="GT176:GV180" si="576">+IFERROR(GK176/GJ176-1,"")</f>
        <v>1.277081473823138</v>
      </c>
      <c r="GU176" s="927">
        <f t="shared" si="576"/>
        <v>-6.9213854524641905E-2</v>
      </c>
      <c r="GV176" s="927">
        <f t="shared" si="576"/>
        <v>1.0659929489378546</v>
      </c>
      <c r="GW176" s="927" t="str">
        <f t="shared" si="499"/>
        <v/>
      </c>
      <c r="GX176" s="76">
        <v>0.24947341257980482</v>
      </c>
      <c r="GY176" s="927">
        <f t="shared" si="492"/>
        <v>-0.41298412244044713</v>
      </c>
      <c r="HA176" s="924">
        <v>702.50649999999996</v>
      </c>
      <c r="HB176" s="924">
        <v>702.50649999999996</v>
      </c>
      <c r="HC176" s="924">
        <v>702.50649999999996</v>
      </c>
      <c r="HD176" s="924">
        <f t="shared" si="500"/>
        <v>65.208118479999996</v>
      </c>
      <c r="HE176" s="924">
        <f t="shared" si="500"/>
        <v>-8.0473829799999947</v>
      </c>
      <c r="HF176" s="924">
        <f t="shared" si="500"/>
        <v>115.36282346000002</v>
      </c>
      <c r="HG176" s="924" t="e">
        <f t="shared" si="500"/>
        <v>#VALUE!</v>
      </c>
      <c r="HH176" s="924">
        <v>702.50649999999996</v>
      </c>
      <c r="HI176" s="924">
        <f t="shared" si="493"/>
        <v>-92.336569330000032</v>
      </c>
      <c r="HU176" s="924"/>
      <c r="HV176" s="924"/>
      <c r="HW176" s="924"/>
      <c r="HX176" s="924"/>
      <c r="HY176" s="924">
        <f t="shared" si="528"/>
        <v>26.817633309999998</v>
      </c>
      <c r="HZ176" s="924">
        <f t="shared" si="528"/>
        <v>376.80045823</v>
      </c>
      <c r="IA176" s="924">
        <f t="shared" si="529"/>
        <v>225.60682968</v>
      </c>
      <c r="IB176" s="924">
        <f t="shared" si="530"/>
        <v>2.1299999999999999E-5</v>
      </c>
      <c r="IC176" s="924">
        <f t="shared" si="531"/>
        <v>2.9999999999999997E-8</v>
      </c>
      <c r="ID176" s="924" t="e">
        <f t="shared" si="568"/>
        <v>#VALUE!</v>
      </c>
      <c r="IE176" s="924" t="e">
        <f t="shared" si="532"/>
        <v>#VALUE!</v>
      </c>
      <c r="IG176" s="924" t="e">
        <f t="shared" si="533"/>
        <v>#VALUE!</v>
      </c>
      <c r="IH176" s="924" t="e">
        <f t="shared" si="534"/>
        <v>#VALUE!</v>
      </c>
      <c r="II176" s="145"/>
      <c r="IJ176" s="76">
        <v>10.311975446579737</v>
      </c>
      <c r="IK176" s="924">
        <v>-313.50627736000001</v>
      </c>
      <c r="IM176" s="973"/>
      <c r="IN176" s="973"/>
      <c r="IP176" s="927" t="str">
        <f t="shared" si="553"/>
        <v/>
      </c>
      <c r="IQ176" s="927" t="str">
        <f t="shared" si="553"/>
        <v/>
      </c>
      <c r="IR176" s="927" t="str">
        <f t="shared" si="553"/>
        <v/>
      </c>
      <c r="IS176" s="927">
        <f t="shared" si="553"/>
        <v>13.050473950268209</v>
      </c>
      <c r="IT176" s="927">
        <f t="shared" si="553"/>
        <v>-0.40125648801018976</v>
      </c>
      <c r="IU176" s="927">
        <f t="shared" si="553"/>
        <v>-0.99999990558796459</v>
      </c>
      <c r="IV176" s="927" t="str">
        <f t="shared" si="554"/>
        <v/>
      </c>
      <c r="IX176" s="924">
        <f t="shared" si="538"/>
        <v>0</v>
      </c>
      <c r="IY176" s="924">
        <f t="shared" si="538"/>
        <v>0</v>
      </c>
      <c r="IZ176" s="924">
        <f t="shared" si="538"/>
        <v>26.817633309999998</v>
      </c>
      <c r="JA176" s="924">
        <f t="shared" si="538"/>
        <v>349.98282491999998</v>
      </c>
      <c r="JB176" s="924">
        <f t="shared" si="538"/>
        <v>-151.19362855</v>
      </c>
      <c r="JC176" s="924">
        <f t="shared" si="538"/>
        <v>-225.60680838000002</v>
      </c>
      <c r="JD176" s="924" t="e">
        <f t="shared" si="539"/>
        <v>#VALUE!</v>
      </c>
      <c r="JO176" s="924">
        <f t="shared" si="561"/>
        <v>873.64300000000003</v>
      </c>
      <c r="JP176" s="924">
        <f t="shared" si="561"/>
        <v>912.84131487999991</v>
      </c>
      <c r="JQ176" s="924">
        <f t="shared" si="561"/>
        <v>1477.0540000000001</v>
      </c>
      <c r="JR176" s="924">
        <f t="shared" si="561"/>
        <v>298.00735350999997</v>
      </c>
      <c r="JS176" s="924">
        <f t="shared" si="561"/>
        <v>26.817633309999998</v>
      </c>
      <c r="JT176" s="924">
        <f t="shared" si="541"/>
        <v>376.80045823</v>
      </c>
      <c r="JU176" s="924">
        <f t="shared" si="542"/>
        <v>225.60682968</v>
      </c>
      <c r="JV176" s="924">
        <f t="shared" si="543"/>
        <v>2.1299999999999999E-5</v>
      </c>
      <c r="JW176" s="924">
        <f t="shared" si="543"/>
        <v>2.9999999999999997E-8</v>
      </c>
      <c r="JX176" s="924" t="e">
        <f t="shared" si="544"/>
        <v>#VALUE!</v>
      </c>
      <c r="JY176" s="924" t="e">
        <f t="shared" si="545"/>
        <v>#VALUE!</v>
      </c>
      <c r="KB176" s="76">
        <f t="shared" si="546"/>
        <v>0.61808408090531075</v>
      </c>
      <c r="KC176" s="76">
        <f t="shared" si="546"/>
        <v>-0.79824207272719894</v>
      </c>
      <c r="KD176" s="76">
        <f t="shared" si="546"/>
        <v>-0.91001016252070399</v>
      </c>
      <c r="KE176" s="76">
        <f t="shared" si="546"/>
        <v>13.050473950268209</v>
      </c>
      <c r="KF176" s="76">
        <f t="shared" si="546"/>
        <v>-0.40125648801018976</v>
      </c>
      <c r="KG176" s="76">
        <f t="shared" si="546"/>
        <v>-0.99999990558796459</v>
      </c>
      <c r="KH176" s="76" t="str">
        <f t="shared" si="569"/>
        <v xml:space="preserve"> </v>
      </c>
      <c r="KJ176" s="924">
        <f t="shared" si="547"/>
        <v>564.21268512000017</v>
      </c>
      <c r="KK176" s="924">
        <f t="shared" si="547"/>
        <v>-1179.0466464900001</v>
      </c>
      <c r="KL176" s="924">
        <f t="shared" si="547"/>
        <v>-271.18972019999995</v>
      </c>
      <c r="KM176" s="924">
        <f t="shared" si="547"/>
        <v>349.98282491999998</v>
      </c>
      <c r="KN176" s="924">
        <f t="shared" si="547"/>
        <v>-151.19362855</v>
      </c>
      <c r="KO176" s="924">
        <f t="shared" si="547"/>
        <v>-225.60680838000002</v>
      </c>
      <c r="KP176" s="924" t="e">
        <f t="shared" si="570"/>
        <v>#VALUE!</v>
      </c>
    </row>
    <row r="177" spans="1:312" hidden="1" outlineLevel="2">
      <c r="A177" s="884">
        <v>2365</v>
      </c>
      <c r="B177" s="70" t="s">
        <v>740</v>
      </c>
      <c r="D177" s="31"/>
      <c r="E177" s="102">
        <v>72.988</v>
      </c>
      <c r="F177" s="102">
        <v>50.018000000000001</v>
      </c>
      <c r="G177" s="102">
        <v>60.145000000000003</v>
      </c>
      <c r="H177" s="102">
        <v>72.826999999999998</v>
      </c>
      <c r="I177" s="102">
        <v>52.545000000000002</v>
      </c>
      <c r="J177" s="102">
        <v>102.96599999999999</v>
      </c>
      <c r="K177" s="102">
        <v>56.232999999999997</v>
      </c>
      <c r="L177" s="102">
        <v>60.204999999999998</v>
      </c>
      <c r="M177" s="102">
        <v>51</v>
      </c>
      <c r="N177" s="102">
        <v>59.411999999999999</v>
      </c>
      <c r="O177" s="102">
        <v>106.917</v>
      </c>
      <c r="P177" s="102">
        <v>89.494</v>
      </c>
      <c r="Q177" s="102">
        <v>76.718000000000004</v>
      </c>
      <c r="R177" s="102">
        <v>60.927999999999997</v>
      </c>
      <c r="S177" s="102">
        <v>60.237000000000002</v>
      </c>
      <c r="T177" s="102">
        <v>73.484999999999999</v>
      </c>
      <c r="U177" s="102">
        <v>75.055000000000007</v>
      </c>
      <c r="V177" s="102">
        <v>71.162999999999997</v>
      </c>
      <c r="W177" s="102">
        <v>46.738</v>
      </c>
      <c r="X177" s="102">
        <v>76.822000000000003</v>
      </c>
      <c r="Y177" s="102">
        <v>47.673000000000002</v>
      </c>
      <c r="Z177" s="102">
        <v>65.367999999999995</v>
      </c>
      <c r="AA177" s="102">
        <v>58.338000000000001</v>
      </c>
      <c r="AB177" s="102">
        <v>70.015000000000001</v>
      </c>
      <c r="AC177" s="102">
        <v>48.286999999999999</v>
      </c>
      <c r="AD177" s="102">
        <v>55.334000000000003</v>
      </c>
      <c r="AE177" s="102">
        <v>51.256</v>
      </c>
      <c r="AF177" s="102">
        <v>83.739000000000004</v>
      </c>
      <c r="AG177" s="102">
        <v>82.352000000000004</v>
      </c>
      <c r="AH177" s="102">
        <v>52.465000000000003</v>
      </c>
      <c r="AI177" s="102">
        <v>60.673000000000002</v>
      </c>
      <c r="AJ177" s="102">
        <v>80.531000000000006</v>
      </c>
      <c r="AK177" s="102">
        <v>70.662000000000006</v>
      </c>
      <c r="AL177" s="102">
        <v>61.512999999999998</v>
      </c>
      <c r="AM177" s="102">
        <v>0</v>
      </c>
      <c r="AN177" s="102">
        <v>143.261</v>
      </c>
      <c r="AO177" s="102">
        <v>83.470441370000003</v>
      </c>
      <c r="AP177" s="145">
        <v>0.62170473999999998</v>
      </c>
      <c r="AQ177" s="143">
        <v>-2.25349866</v>
      </c>
      <c r="AR177" s="143">
        <v>29.81010478</v>
      </c>
      <c r="AS177" s="102">
        <v>78.382963219999993</v>
      </c>
      <c r="AT177" s="102">
        <v>60.688178499999999</v>
      </c>
      <c r="AU177" s="102">
        <v>106.43299186</v>
      </c>
      <c r="AV177" s="102">
        <v>63.752228299999999</v>
      </c>
      <c r="AW177" s="102">
        <v>84.307143230000008</v>
      </c>
      <c r="AX177" s="102">
        <v>67.013063380000006</v>
      </c>
      <c r="AY177" s="102">
        <v>71.394006869999998</v>
      </c>
      <c r="AZ177" s="102">
        <v>61.211385440000001</v>
      </c>
      <c r="BA177" s="102">
        <v>37.44102754</v>
      </c>
      <c r="BB177" s="102">
        <v>39.00288493</v>
      </c>
      <c r="BC177" s="102">
        <v>31.935546219999999</v>
      </c>
      <c r="BD177" s="102">
        <v>25.680876050000002</v>
      </c>
      <c r="BE177" s="102">
        <v>18.044286710000002</v>
      </c>
      <c r="BF177" s="102">
        <v>26.450300890000001</v>
      </c>
      <c r="BG177" s="102">
        <v>17.722752</v>
      </c>
      <c r="BH177" s="102">
        <v>23.42829703</v>
      </c>
      <c r="BI177" s="102">
        <v>20.381144859999999</v>
      </c>
      <c r="BJ177" s="102">
        <v>19.520821309999999</v>
      </c>
      <c r="BK177" s="102">
        <v>24.390340780000002</v>
      </c>
      <c r="BL177" s="102">
        <v>61.313670569999999</v>
      </c>
      <c r="BM177" s="145">
        <v>38.316666869999999</v>
      </c>
      <c r="BN177" s="102">
        <v>36.039250060000001</v>
      </c>
      <c r="BO177" s="102">
        <v>57.694406610000001</v>
      </c>
      <c r="BP177" s="102">
        <v>44.293233479999998</v>
      </c>
      <c r="BQ177" s="102">
        <v>35.995865780000003</v>
      </c>
      <c r="BR177" s="102">
        <v>17.97339419</v>
      </c>
      <c r="BS177" s="102">
        <v>31.880884699999999</v>
      </c>
      <c r="BT177" s="102">
        <v>35.835466429999997</v>
      </c>
      <c r="BU177" s="102">
        <v>30.70581984</v>
      </c>
      <c r="BV177" s="102">
        <v>36.935808049999999</v>
      </c>
      <c r="BW177" s="102">
        <v>38.73271613</v>
      </c>
      <c r="BX177" s="102">
        <v>1.2618000000000002E-4</v>
      </c>
      <c r="BY177" s="102">
        <v>1.3937000000000002E-4</v>
      </c>
      <c r="BZ177" s="102">
        <v>38.88980583</v>
      </c>
      <c r="CA177" s="102">
        <v>35.974842259999996</v>
      </c>
      <c r="CB177" s="102">
        <v>33.567850719999996</v>
      </c>
      <c r="CC177" s="102">
        <v>29.40620646</v>
      </c>
      <c r="CD177" s="102">
        <v>34.83678243</v>
      </c>
      <c r="CE177" s="102">
        <v>42.259602700000002</v>
      </c>
      <c r="CF177" s="102">
        <v>49.522460299999999</v>
      </c>
      <c r="CG177" s="102">
        <v>41.559078720000002</v>
      </c>
      <c r="CH177" s="102">
        <v>49.326557399999999</v>
      </c>
      <c r="CI177" s="102">
        <v>57.970514139999999</v>
      </c>
      <c r="CJ177" s="102">
        <v>0</v>
      </c>
      <c r="CK177" s="102">
        <v>0</v>
      </c>
      <c r="CL177" s="102">
        <v>-4.9999999999999998E-7</v>
      </c>
      <c r="CM177" s="102">
        <v>0</v>
      </c>
      <c r="CN177" s="102">
        <v>-8.1000000000000008E-7</v>
      </c>
      <c r="CO177" s="102">
        <v>0</v>
      </c>
      <c r="CP177" s="102">
        <v>-2E-8</v>
      </c>
      <c r="CQ177" s="102">
        <v>5.0000000000000004E-8</v>
      </c>
      <c r="CR177" s="102">
        <v>5.0000000000000004E-8</v>
      </c>
      <c r="CS177" s="102">
        <v>5.5399999999999998E-5</v>
      </c>
      <c r="CT177" s="102">
        <v>5.5829999999999999E-5</v>
      </c>
      <c r="CU177" s="102">
        <v>4.8680000000000001E-5</v>
      </c>
      <c r="CV177" s="102">
        <v>5.5720000000000002E-5</v>
      </c>
      <c r="CW177" s="102">
        <v>5.5720000000000002E-5</v>
      </c>
      <c r="CX177" s="102">
        <v>5.5720000000000002E-5</v>
      </c>
      <c r="CY177" s="102">
        <v>0</v>
      </c>
      <c r="CZ177" s="102">
        <v>0</v>
      </c>
      <c r="DA177" s="102">
        <v>2E-8</v>
      </c>
      <c r="DB177" s="102">
        <v>0</v>
      </c>
      <c r="DC177" s="102">
        <v>0</v>
      </c>
      <c r="DD177" s="102">
        <v>0</v>
      </c>
      <c r="DE177" s="102">
        <v>-4.0000000000000003E-7</v>
      </c>
      <c r="DF177" s="102">
        <v>0</v>
      </c>
      <c r="DG177" s="102">
        <v>0</v>
      </c>
      <c r="DH177" s="102">
        <v>0</v>
      </c>
      <c r="DI177" s="145"/>
      <c r="DJ177" s="102" t="e">
        <v>#VALUE!</v>
      </c>
      <c r="DK177" s="102" t="e">
        <v>#VALUE!</v>
      </c>
      <c r="DL177" s="102" t="e">
        <v>#VALUE!</v>
      </c>
      <c r="DM177" s="102" t="e">
        <v>#VALUE!</v>
      </c>
      <c r="DN177" s="102" t="e">
        <v>#VALUE!</v>
      </c>
      <c r="DO177" s="102" t="e">
        <v>#VALUE!</v>
      </c>
      <c r="DP177" s="102" t="e">
        <v>#VALUE!</v>
      </c>
      <c r="DQ177" s="102" t="e">
        <v>#VALUE!</v>
      </c>
      <c r="DR177" s="102" t="e">
        <v>#VALUE!</v>
      </c>
      <c r="DS177" s="102" t="e">
        <v>#VALUE!</v>
      </c>
      <c r="DT177" s="102" t="e">
        <v>#VALUE!</v>
      </c>
      <c r="DU177" s="102" t="e">
        <v>#VALUE!</v>
      </c>
      <c r="DW177" s="102">
        <v>22.682660134129144</v>
      </c>
      <c r="DX177" s="102">
        <v>17.688585552324046</v>
      </c>
      <c r="DY177" s="102">
        <v>20.832271413532052</v>
      </c>
      <c r="DZ177" s="102">
        <v>19.650798166020934</v>
      </c>
      <c r="EA177" s="102">
        <v>17.62456978071409</v>
      </c>
      <c r="EB177" s="102">
        <v>18.655841202443348</v>
      </c>
      <c r="EC177" s="102">
        <v>23.18275753764193</v>
      </c>
      <c r="ED177" s="102">
        <v>24.004920428146082</v>
      </c>
      <c r="EE177" s="102">
        <v>22.410071894438087</v>
      </c>
      <c r="EF177" s="102">
        <v>23.529117585030036</v>
      </c>
      <c r="EG177" s="102">
        <v>22.400699702281486</v>
      </c>
      <c r="EH177" s="102">
        <v>30.111552037990407</v>
      </c>
      <c r="EI177" s="102">
        <v>28.379357690022413</v>
      </c>
      <c r="EJ177" s="102">
        <v>42.263382727454655</v>
      </c>
      <c r="EK177" s="102">
        <v>43.386696715138129</v>
      </c>
      <c r="EL177" s="102">
        <v>43.977651029041148</v>
      </c>
      <c r="EM177" s="102">
        <v>40.532488502514873</v>
      </c>
      <c r="EN177" s="102">
        <v>48.846587693556614</v>
      </c>
      <c r="EO177" s="102">
        <v>49.780570498565524</v>
      </c>
      <c r="EP177" s="102">
        <v>50.751164623922215</v>
      </c>
      <c r="EQ177" s="102">
        <v>53.390850221738674</v>
      </c>
      <c r="ER177" s="102">
        <v>51.639352736463316</v>
      </c>
      <c r="ES177" s="102">
        <v>49.150863402210305</v>
      </c>
      <c r="ET177" s="102">
        <v>39.368261870835106</v>
      </c>
      <c r="EU177" s="102">
        <v>31.108672228972871</v>
      </c>
      <c r="EV177" s="102">
        <v>30.305597502305442</v>
      </c>
      <c r="EW177" s="102">
        <v>31.681587586724458</v>
      </c>
      <c r="EX177" s="102">
        <v>28.584331020516743</v>
      </c>
      <c r="EY177" s="102">
        <v>30.744973434949902</v>
      </c>
      <c r="EZ177" s="102">
        <v>26.088793381875842</v>
      </c>
      <c r="FA177" s="102">
        <v>29.488162227039886</v>
      </c>
      <c r="FB177" s="102">
        <v>24.19215698217808</v>
      </c>
      <c r="FC177" s="102">
        <v>21.199782157298081</v>
      </c>
      <c r="FD177" s="102">
        <v>20.143197229298082</v>
      </c>
      <c r="FE177" s="102">
        <v>20.887988066061762</v>
      </c>
      <c r="FF177" s="102">
        <v>21.268859102061761</v>
      </c>
      <c r="FG177" s="102" t="e">
        <v>#VALUE!</v>
      </c>
      <c r="FH177" s="102" t="e">
        <v>#VALUE!</v>
      </c>
      <c r="FI177" s="102" t="e">
        <v>#VALUE!</v>
      </c>
      <c r="FJ177" s="102" t="e">
        <v>#VALUE!</v>
      </c>
      <c r="FK177" s="102" t="e">
        <v>#VALUE!</v>
      </c>
      <c r="FL177" s="102" t="e">
        <v>#VALUE!</v>
      </c>
      <c r="FM177" s="102" t="e">
        <v>#VALUE!</v>
      </c>
      <c r="FN177" s="102" t="e">
        <v>#VALUE!</v>
      </c>
      <c r="FO177" s="102" t="e">
        <v>#VALUE!</v>
      </c>
      <c r="FP177" s="102" t="e">
        <v>#VALUE!</v>
      </c>
      <c r="FQ177" s="102" t="e">
        <v>#VALUE!</v>
      </c>
      <c r="FR177" s="102" t="e">
        <v>#VALUE!</v>
      </c>
      <c r="FS177" s="102" t="e">
        <v>#VALUE!</v>
      </c>
      <c r="FT177" s="102" t="e">
        <v>#VALUE!</v>
      </c>
      <c r="FU177" s="102" t="e">
        <v>#VALUE!</v>
      </c>
      <c r="FV177" s="102" t="e">
        <v>#VALUE!</v>
      </c>
      <c r="FW177" s="102" t="e">
        <v>#VALUE!</v>
      </c>
      <c r="FX177" s="102" t="e">
        <v>#VALUE!</v>
      </c>
      <c r="FY177" s="102" t="e">
        <v>#VALUE!</v>
      </c>
      <c r="FZ177" s="102" t="e">
        <v>#VALUE!</v>
      </c>
      <c r="GA177" s="102" t="e">
        <v>#VALUE!</v>
      </c>
      <c r="GB177" s="102" t="e">
        <v>#VALUE!</v>
      </c>
      <c r="GC177" s="102" t="e">
        <v>#VALUE!</v>
      </c>
      <c r="GD177" s="102" t="e">
        <v>#VALUE!</v>
      </c>
      <c r="GF177" s="102">
        <v>89.494</v>
      </c>
      <c r="GG177" s="102">
        <v>70.015000000000001</v>
      </c>
      <c r="GH177" s="102">
        <v>143.261</v>
      </c>
      <c r="GI177" s="102">
        <v>0</v>
      </c>
      <c r="GJ177" s="102">
        <f t="shared" si="575"/>
        <v>61.313670569999999</v>
      </c>
      <c r="GK177" s="102">
        <f t="shared" si="565"/>
        <v>1.2618000000000002E-4</v>
      </c>
      <c r="GL177" s="102">
        <f t="shared" si="571"/>
        <v>0</v>
      </c>
      <c r="GM177" s="102">
        <f t="shared" si="566"/>
        <v>5.5720000000000002E-5</v>
      </c>
      <c r="GN177" s="102" t="e">
        <f t="shared" si="567"/>
        <v>#VALUE!</v>
      </c>
      <c r="GO177" s="102">
        <v>0</v>
      </c>
      <c r="GQ177" s="32">
        <v>-0.21765704963461241</v>
      </c>
      <c r="GR177" s="32">
        <v>1.0461472541598229</v>
      </c>
      <c r="GS177" s="32">
        <v>1.0461472541598229</v>
      </c>
      <c r="GT177" s="929">
        <f t="shared" si="576"/>
        <v>-0.99999794205763859</v>
      </c>
      <c r="GU177" s="929">
        <f t="shared" si="576"/>
        <v>-1</v>
      </c>
      <c r="GV177" s="929" t="str">
        <f t="shared" si="576"/>
        <v/>
      </c>
      <c r="GW177" s="929" t="str">
        <f t="shared" si="499"/>
        <v/>
      </c>
      <c r="GX177" s="32">
        <v>1.0461472541598229</v>
      </c>
      <c r="GY177" s="929">
        <f t="shared" si="492"/>
        <v>-1</v>
      </c>
      <c r="HA177" s="102">
        <v>-19.478999999999999</v>
      </c>
      <c r="HB177" s="102">
        <v>-19.478999999999999</v>
      </c>
      <c r="HC177" s="102">
        <v>-19.478999999999999</v>
      </c>
      <c r="HD177" s="102">
        <f t="shared" si="500"/>
        <v>-61.313544389999997</v>
      </c>
      <c r="HE177" s="102">
        <f t="shared" si="500"/>
        <v>-1.2618000000000002E-4</v>
      </c>
      <c r="HF177" s="102">
        <f t="shared" si="500"/>
        <v>5.5720000000000002E-5</v>
      </c>
      <c r="HG177" s="102" t="e">
        <f t="shared" si="500"/>
        <v>#VALUE!</v>
      </c>
      <c r="HH177" s="102">
        <v>-19.478999999999999</v>
      </c>
      <c r="HI177" s="102">
        <f t="shared" si="493"/>
        <v>-5.5720000000000002E-5</v>
      </c>
      <c r="HU177" s="102"/>
      <c r="HV177" s="102"/>
      <c r="HW177" s="102"/>
      <c r="HX177" s="102"/>
      <c r="HY177" s="102">
        <f t="shared" si="528"/>
        <v>26.450300890000001</v>
      </c>
      <c r="HZ177" s="102">
        <f t="shared" si="528"/>
        <v>17.97339419</v>
      </c>
      <c r="IA177" s="102">
        <f t="shared" si="529"/>
        <v>34.83678243</v>
      </c>
      <c r="IB177" s="102">
        <f t="shared" si="530"/>
        <v>-2E-8</v>
      </c>
      <c r="IC177" s="102">
        <f t="shared" si="531"/>
        <v>0</v>
      </c>
      <c r="ID177" s="102" t="e">
        <f t="shared" si="568"/>
        <v>#VALUE!</v>
      </c>
      <c r="IE177" s="102" t="e">
        <f t="shared" si="532"/>
        <v>#VALUE!</v>
      </c>
      <c r="IG177" s="102" t="e">
        <f t="shared" si="533"/>
        <v>#VALUE!</v>
      </c>
      <c r="IH177" s="102" t="e">
        <f t="shared" si="534"/>
        <v>#VALUE!</v>
      </c>
      <c r="II177" s="145"/>
      <c r="IJ177" s="32">
        <v>0</v>
      </c>
      <c r="IK177" s="102">
        <v>-51.256</v>
      </c>
      <c r="IM177" s="973"/>
      <c r="IN177" s="973"/>
      <c r="IP177" s="929" t="str">
        <f t="shared" si="553"/>
        <v/>
      </c>
      <c r="IQ177" s="929" t="str">
        <f t="shared" si="553"/>
        <v/>
      </c>
      <c r="IR177" s="929" t="str">
        <f t="shared" si="553"/>
        <v/>
      </c>
      <c r="IS177" s="929">
        <f t="shared" si="553"/>
        <v>-0.32048432020691464</v>
      </c>
      <c r="IT177" s="929">
        <f t="shared" si="553"/>
        <v>0.93824171782658694</v>
      </c>
      <c r="IU177" s="929">
        <f t="shared" si="553"/>
        <v>-1.0000000005741059</v>
      </c>
      <c r="IV177" s="929" t="str">
        <f t="shared" si="554"/>
        <v/>
      </c>
      <c r="IX177" s="102">
        <f t="shared" si="538"/>
        <v>0</v>
      </c>
      <c r="IY177" s="102">
        <f t="shared" si="538"/>
        <v>0</v>
      </c>
      <c r="IZ177" s="102">
        <f t="shared" si="538"/>
        <v>26.450300890000001</v>
      </c>
      <c r="JA177" s="102">
        <f t="shared" si="538"/>
        <v>-8.4769067000000007</v>
      </c>
      <c r="JB177" s="102">
        <f t="shared" si="538"/>
        <v>16.863388239999999</v>
      </c>
      <c r="JC177" s="102">
        <f t="shared" si="538"/>
        <v>-34.836782450000001</v>
      </c>
      <c r="JD177" s="102" t="e">
        <f t="shared" si="539"/>
        <v>#VALUE!</v>
      </c>
      <c r="JO177" s="102">
        <f t="shared" si="561"/>
        <v>102.96599999999999</v>
      </c>
      <c r="JP177" s="102">
        <f t="shared" si="561"/>
        <v>71.162999999999997</v>
      </c>
      <c r="JQ177" s="102">
        <f t="shared" si="561"/>
        <v>52.465000000000003</v>
      </c>
      <c r="JR177" s="102">
        <f t="shared" si="561"/>
        <v>60.688178499999999</v>
      </c>
      <c r="JS177" s="102">
        <f t="shared" si="561"/>
        <v>26.450300890000001</v>
      </c>
      <c r="JT177" s="102">
        <f t="shared" si="541"/>
        <v>17.97339419</v>
      </c>
      <c r="JU177" s="102">
        <f t="shared" si="542"/>
        <v>34.83678243</v>
      </c>
      <c r="JV177" s="102">
        <f t="shared" si="543"/>
        <v>-2E-8</v>
      </c>
      <c r="JW177" s="102">
        <f t="shared" si="543"/>
        <v>0</v>
      </c>
      <c r="JX177" s="102" t="e">
        <f t="shared" si="544"/>
        <v>#VALUE!</v>
      </c>
      <c r="JY177" s="102" t="e">
        <f t="shared" si="545"/>
        <v>#VALUE!</v>
      </c>
      <c r="KB177" s="32">
        <f t="shared" si="546"/>
        <v>-0.26274890041173071</v>
      </c>
      <c r="KC177" s="32">
        <f t="shared" si="546"/>
        <v>0.15673646240350703</v>
      </c>
      <c r="KD177" s="32">
        <f t="shared" si="546"/>
        <v>-0.56416057387519047</v>
      </c>
      <c r="KE177" s="32">
        <f t="shared" si="546"/>
        <v>-0.32048432020691464</v>
      </c>
      <c r="KF177" s="32">
        <f t="shared" si="546"/>
        <v>0.93824171782658694</v>
      </c>
      <c r="KG177" s="32">
        <f t="shared" si="546"/>
        <v>-1.0000000005741059</v>
      </c>
      <c r="KH177" s="32" t="str">
        <f t="shared" si="569"/>
        <v xml:space="preserve"> </v>
      </c>
      <c r="KJ177" s="102">
        <f t="shared" si="547"/>
        <v>-18.697999999999993</v>
      </c>
      <c r="KK177" s="102">
        <f t="shared" si="547"/>
        <v>8.2231784999999959</v>
      </c>
      <c r="KL177" s="102">
        <f t="shared" si="547"/>
        <v>-34.237877609999998</v>
      </c>
      <c r="KM177" s="102">
        <f t="shared" si="547"/>
        <v>-8.4769067000000007</v>
      </c>
      <c r="KN177" s="102">
        <f t="shared" si="547"/>
        <v>16.863388239999999</v>
      </c>
      <c r="KO177" s="102">
        <f t="shared" si="547"/>
        <v>-34.836782450000001</v>
      </c>
      <c r="KP177" s="102" t="e">
        <f t="shared" si="570"/>
        <v>#VALUE!</v>
      </c>
    </row>
    <row r="178" spans="1:312" hidden="1" outlineLevel="2">
      <c r="A178" s="884">
        <v>2367</v>
      </c>
      <c r="B178" s="70" t="s">
        <v>741</v>
      </c>
      <c r="D178" s="31"/>
      <c r="E178" s="102">
        <v>1.3140000000000001</v>
      </c>
      <c r="F178" s="102">
        <v>2.8580000000000001</v>
      </c>
      <c r="G178" s="102">
        <v>4.2460000000000004</v>
      </c>
      <c r="H178" s="102">
        <v>5.1840000000000002</v>
      </c>
      <c r="I178" s="102">
        <v>2.645</v>
      </c>
      <c r="J178" s="102">
        <v>4.673</v>
      </c>
      <c r="K178" s="102">
        <v>2.3130000000000002</v>
      </c>
      <c r="L178" s="102">
        <v>6.6849999999999996</v>
      </c>
      <c r="M178" s="102">
        <v>7.5339999999999998</v>
      </c>
      <c r="N178" s="102">
        <v>11.772</v>
      </c>
      <c r="O178" s="102">
        <v>3.1379999999999999</v>
      </c>
      <c r="P178" s="102">
        <v>4.5229999999999997</v>
      </c>
      <c r="Q178" s="102">
        <v>0.442</v>
      </c>
      <c r="R178" s="102">
        <v>0.66700000000000004</v>
      </c>
      <c r="S178" s="102">
        <v>0.84499999999999997</v>
      </c>
      <c r="T178" s="102">
        <v>0.81899999999999995</v>
      </c>
      <c r="U178" s="102">
        <v>3.63</v>
      </c>
      <c r="V178" s="102">
        <v>2.246</v>
      </c>
      <c r="W178" s="102">
        <v>0.94399999999999995</v>
      </c>
      <c r="X178" s="102">
        <v>2.0449999999999999</v>
      </c>
      <c r="Y178" s="102">
        <v>1.3540000000000001</v>
      </c>
      <c r="Z178" s="102">
        <v>4.0720000000000001</v>
      </c>
      <c r="AA178" s="102">
        <v>4.2190000000000003</v>
      </c>
      <c r="AB178" s="102">
        <v>4.6399999999999997</v>
      </c>
      <c r="AC178" s="102">
        <v>1.8736000000000002</v>
      </c>
      <c r="AD178" s="102">
        <v>9.0676000000000005</v>
      </c>
      <c r="AE178" s="102">
        <v>7.1655999999999995</v>
      </c>
      <c r="AF178" s="102">
        <v>5.7380000000000004</v>
      </c>
      <c r="AG178" s="102">
        <v>8.9589999999999996</v>
      </c>
      <c r="AH178" s="102">
        <v>5.0490000000000004</v>
      </c>
      <c r="AI178" s="102">
        <v>8.6229999999999993</v>
      </c>
      <c r="AJ178" s="102">
        <v>7.3470000000000004</v>
      </c>
      <c r="AK178" s="102">
        <v>7.0670000000000002</v>
      </c>
      <c r="AL178" s="102">
        <v>10.101000000000001</v>
      </c>
      <c r="AM178" s="102">
        <v>0</v>
      </c>
      <c r="AN178" s="102">
        <v>28.916</v>
      </c>
      <c r="AO178" s="102">
        <v>11.22399785</v>
      </c>
      <c r="AP178" s="145">
        <v>0.21931701000000001</v>
      </c>
      <c r="AQ178" s="143">
        <v>0</v>
      </c>
      <c r="AR178" s="143">
        <v>8.6000000000000002E-7</v>
      </c>
      <c r="AS178" s="102">
        <v>10.02984451</v>
      </c>
      <c r="AT178" s="102">
        <v>8.7272421700000002</v>
      </c>
      <c r="AU178" s="102">
        <v>3.2</v>
      </c>
      <c r="AV178" s="102">
        <v>5.7767614000000007</v>
      </c>
      <c r="AW178" s="102">
        <v>4.3036639900000004</v>
      </c>
      <c r="AX178" s="102">
        <v>7.6604675899999997</v>
      </c>
      <c r="AY178" s="102">
        <v>3.74913016</v>
      </c>
      <c r="AZ178" s="102">
        <v>3.6110000000000002</v>
      </c>
      <c r="BA178" s="102">
        <v>3.2984082200000002</v>
      </c>
      <c r="BB178" s="102">
        <v>4.0279999999999996</v>
      </c>
      <c r="BC178" s="102">
        <v>1.6852694699999999</v>
      </c>
      <c r="BD178" s="102">
        <v>3.26955361</v>
      </c>
      <c r="BE178" s="102">
        <v>5.12664103</v>
      </c>
      <c r="BF178" s="102">
        <v>0.76897486000000004</v>
      </c>
      <c r="BG178" s="102">
        <v>0.61199285999999997</v>
      </c>
      <c r="BH178" s="102">
        <v>0.32182304</v>
      </c>
      <c r="BI178" s="102">
        <v>1.3951886299999998</v>
      </c>
      <c r="BJ178" s="102">
        <v>1.0443358</v>
      </c>
      <c r="BK178" s="102">
        <v>1.4286259699999999</v>
      </c>
      <c r="BL178" s="102">
        <v>2.8252226899999999</v>
      </c>
      <c r="BM178" s="145">
        <v>2.9863946100000001</v>
      </c>
      <c r="BN178" s="102">
        <v>3.1154171800000001</v>
      </c>
      <c r="BO178" s="102">
        <v>17.313212119999999</v>
      </c>
      <c r="BP178" s="102">
        <v>5.5116836300000003</v>
      </c>
      <c r="BQ178" s="102">
        <v>4.4280961599999999</v>
      </c>
      <c r="BR178" s="102">
        <v>3.4586138900000001</v>
      </c>
      <c r="BS178" s="102">
        <v>3.0014367900000001</v>
      </c>
      <c r="BT178" s="102">
        <v>2.86938906</v>
      </c>
      <c r="BU178" s="102">
        <v>3.5914275400000002</v>
      </c>
      <c r="BV178" s="102">
        <v>3.9161581499999998</v>
      </c>
      <c r="BW178" s="102">
        <v>3.6947588900000001</v>
      </c>
      <c r="BX178" s="102">
        <v>1.4999999999999999E-7</v>
      </c>
      <c r="BY178" s="102">
        <v>1.4999999999999999E-7</v>
      </c>
      <c r="BZ178" s="102">
        <v>7.5223014500000005</v>
      </c>
      <c r="CA178" s="102">
        <v>6.7665044000000005</v>
      </c>
      <c r="CB178" s="102">
        <v>3.1179111000000002</v>
      </c>
      <c r="CC178" s="102">
        <v>5.0101452499999999</v>
      </c>
      <c r="CD178" s="102">
        <v>2.8790702700000002</v>
      </c>
      <c r="CE178" s="102">
        <v>4.5707628600000003</v>
      </c>
      <c r="CF178" s="102">
        <v>5.3994509100000005</v>
      </c>
      <c r="CG178" s="102">
        <v>6.48871208</v>
      </c>
      <c r="CH178" s="102">
        <v>8.5799794700000014</v>
      </c>
      <c r="CI178" s="102">
        <v>7.5635404800000003</v>
      </c>
      <c r="CJ178" s="102">
        <v>0</v>
      </c>
      <c r="CK178" s="102">
        <v>0</v>
      </c>
      <c r="CL178" s="102">
        <v>0</v>
      </c>
      <c r="CM178" s="102">
        <v>0</v>
      </c>
      <c r="CN178" s="102">
        <v>0</v>
      </c>
      <c r="CO178" s="102">
        <v>0</v>
      </c>
      <c r="CP178" s="102">
        <v>0</v>
      </c>
      <c r="CQ178" s="102">
        <v>0</v>
      </c>
      <c r="CR178" s="102">
        <v>0</v>
      </c>
      <c r="CS178" s="102">
        <v>0</v>
      </c>
      <c r="CT178" s="102">
        <v>0</v>
      </c>
      <c r="CU178" s="102">
        <v>0</v>
      </c>
      <c r="CV178" s="102">
        <v>0</v>
      </c>
      <c r="CW178" s="102">
        <v>0</v>
      </c>
      <c r="CX178" s="102">
        <v>0</v>
      </c>
      <c r="CY178" s="102">
        <v>0</v>
      </c>
      <c r="CZ178" s="102">
        <v>0</v>
      </c>
      <c r="DA178" s="102">
        <v>0</v>
      </c>
      <c r="DB178" s="102">
        <v>0</v>
      </c>
      <c r="DC178" s="102">
        <v>0</v>
      </c>
      <c r="DD178" s="102">
        <v>0</v>
      </c>
      <c r="DE178" s="102">
        <v>0</v>
      </c>
      <c r="DF178" s="102">
        <v>0</v>
      </c>
      <c r="DG178" s="102">
        <v>0</v>
      </c>
      <c r="DH178" s="102">
        <v>0</v>
      </c>
      <c r="DI178" s="145"/>
      <c r="DJ178" s="102" t="e">
        <v>#VALUE!</v>
      </c>
      <c r="DK178" s="102" t="e">
        <v>#VALUE!</v>
      </c>
      <c r="DL178" s="102" t="e">
        <v>#VALUE!</v>
      </c>
      <c r="DM178" s="102" t="e">
        <v>#VALUE!</v>
      </c>
      <c r="DN178" s="102" t="e">
        <v>#VALUE!</v>
      </c>
      <c r="DO178" s="102" t="e">
        <v>#VALUE!</v>
      </c>
      <c r="DP178" s="102" t="e">
        <v>#VALUE!</v>
      </c>
      <c r="DQ178" s="102" t="e">
        <v>#VALUE!</v>
      </c>
      <c r="DR178" s="102" t="e">
        <v>#VALUE!</v>
      </c>
      <c r="DS178" s="102" t="e">
        <v>#VALUE!</v>
      </c>
      <c r="DT178" s="102" t="e">
        <v>#VALUE!</v>
      </c>
      <c r="DU178" s="102" t="e">
        <v>#VALUE!</v>
      </c>
      <c r="DW178" s="102">
        <v>2.9190998697286847</v>
      </c>
      <c r="DX178" s="102">
        <v>5.1954972356523719</v>
      </c>
      <c r="DY178" s="102">
        <v>2.6809677705259487</v>
      </c>
      <c r="DZ178" s="102">
        <v>5.2098881893522444</v>
      </c>
      <c r="EA178" s="102">
        <v>2.2681589834120159</v>
      </c>
      <c r="EB178" s="102">
        <v>4.6690353930440383</v>
      </c>
      <c r="EC178" s="102">
        <v>2.9834589112526246</v>
      </c>
      <c r="ED178" s="102">
        <v>6.0727244418512472</v>
      </c>
      <c r="EE178" s="102">
        <v>2.8840196679240266</v>
      </c>
      <c r="EF178" s="102">
        <v>5.9120526971694769</v>
      </c>
      <c r="EG178" s="102">
        <v>2.88281353227937</v>
      </c>
      <c r="EH178" s="102">
        <v>6.7579598824718188</v>
      </c>
      <c r="EI178" s="102">
        <v>1.7027614614013444</v>
      </c>
      <c r="EJ178" s="102">
        <v>2.5358029636472796</v>
      </c>
      <c r="EK178" s="102">
        <v>2.6032018029082873</v>
      </c>
      <c r="EL178" s="102">
        <v>2.6386590617424686</v>
      </c>
      <c r="EM178" s="102">
        <v>2.4319493101508924</v>
      </c>
      <c r="EN178" s="102">
        <v>2.9307952616133965</v>
      </c>
      <c r="EO178" s="102">
        <v>2.986834229913931</v>
      </c>
      <c r="EP178" s="102">
        <v>3.0450698774353326</v>
      </c>
      <c r="EQ178" s="102">
        <v>3.2034510133043201</v>
      </c>
      <c r="ER178" s="102">
        <v>3.0983611641877986</v>
      </c>
      <c r="ES178" s="102">
        <v>2.9490518041326181</v>
      </c>
      <c r="ET178" s="102">
        <v>2.3620957122501061</v>
      </c>
      <c r="EU178" s="102">
        <v>0.63839181302496395</v>
      </c>
      <c r="EV178" s="102">
        <v>0.62430408464396792</v>
      </c>
      <c r="EW178" s="102">
        <v>0.66633026546791185</v>
      </c>
      <c r="EX178" s="102">
        <v>0.55640689597032789</v>
      </c>
      <c r="EY178" s="102">
        <v>0.62475166479507982</v>
      </c>
      <c r="EZ178" s="102">
        <v>0.52448967319084794</v>
      </c>
      <c r="FA178" s="102">
        <v>0.59739551348593589</v>
      </c>
      <c r="FB178" s="102">
        <v>0.50403118635097588</v>
      </c>
      <c r="FC178" s="102">
        <v>0.40324568321497589</v>
      </c>
      <c r="FD178" s="102">
        <v>0.40622940161497589</v>
      </c>
      <c r="FE178" s="102">
        <v>0.41710887800147195</v>
      </c>
      <c r="FF178" s="102">
        <v>0.4705529372014719</v>
      </c>
      <c r="FG178" s="102" t="e">
        <v>#VALUE!</v>
      </c>
      <c r="FH178" s="102" t="e">
        <v>#VALUE!</v>
      </c>
      <c r="FI178" s="102" t="e">
        <v>#VALUE!</v>
      </c>
      <c r="FJ178" s="102" t="e">
        <v>#VALUE!</v>
      </c>
      <c r="FK178" s="102" t="e">
        <v>#VALUE!</v>
      </c>
      <c r="FL178" s="102" t="e">
        <v>#VALUE!</v>
      </c>
      <c r="FM178" s="102" t="e">
        <v>#VALUE!</v>
      </c>
      <c r="FN178" s="102" t="e">
        <v>#VALUE!</v>
      </c>
      <c r="FO178" s="102" t="e">
        <v>#VALUE!</v>
      </c>
      <c r="FP178" s="102" t="e">
        <v>#VALUE!</v>
      </c>
      <c r="FQ178" s="102" t="e">
        <v>#VALUE!</v>
      </c>
      <c r="FR178" s="102" t="e">
        <v>#VALUE!</v>
      </c>
      <c r="FS178" s="102" t="e">
        <v>#VALUE!</v>
      </c>
      <c r="FT178" s="102" t="e">
        <v>#VALUE!</v>
      </c>
      <c r="FU178" s="102" t="e">
        <v>#VALUE!</v>
      </c>
      <c r="FV178" s="102" t="e">
        <v>#VALUE!</v>
      </c>
      <c r="FW178" s="102" t="e">
        <v>#VALUE!</v>
      </c>
      <c r="FX178" s="102" t="e">
        <v>#VALUE!</v>
      </c>
      <c r="FY178" s="102" t="e">
        <v>#VALUE!</v>
      </c>
      <c r="FZ178" s="102" t="e">
        <v>#VALUE!</v>
      </c>
      <c r="GA178" s="102" t="e">
        <v>#VALUE!</v>
      </c>
      <c r="GB178" s="102" t="e">
        <v>#VALUE!</v>
      </c>
      <c r="GC178" s="102" t="e">
        <v>#VALUE!</v>
      </c>
      <c r="GD178" s="102" t="e">
        <v>#VALUE!</v>
      </c>
      <c r="GF178" s="102">
        <v>4.5229999999999997</v>
      </c>
      <c r="GG178" s="102">
        <v>4.6399999999999997</v>
      </c>
      <c r="GH178" s="102">
        <v>28.916</v>
      </c>
      <c r="GI178" s="102">
        <v>0</v>
      </c>
      <c r="GJ178" s="102">
        <f t="shared" si="575"/>
        <v>2.8252226899999999</v>
      </c>
      <c r="GK178" s="102">
        <f t="shared" si="565"/>
        <v>1.4999999999999999E-7</v>
      </c>
      <c r="GL178" s="102">
        <f t="shared" si="571"/>
        <v>0</v>
      </c>
      <c r="GM178" s="102">
        <f t="shared" si="566"/>
        <v>0</v>
      </c>
      <c r="GN178" s="102" t="e">
        <f t="shared" si="567"/>
        <v>#VALUE!</v>
      </c>
      <c r="GO178" s="102">
        <v>0</v>
      </c>
      <c r="GQ178" s="32">
        <v>2.5867786867123543E-2</v>
      </c>
      <c r="GR178" s="32">
        <v>5.2318965517241383</v>
      </c>
      <c r="GS178" s="32">
        <v>5.2318965517241383</v>
      </c>
      <c r="GT178" s="929">
        <f t="shared" si="576"/>
        <v>-0.99999994690684013</v>
      </c>
      <c r="GU178" s="929">
        <f t="shared" si="576"/>
        <v>-1</v>
      </c>
      <c r="GV178" s="929" t="str">
        <f t="shared" si="576"/>
        <v/>
      </c>
      <c r="GW178" s="929" t="str">
        <f t="shared" si="499"/>
        <v/>
      </c>
      <c r="GX178" s="32">
        <v>5.2318965517241383</v>
      </c>
      <c r="GY178" s="929" t="str">
        <f t="shared" si="492"/>
        <v/>
      </c>
      <c r="HA178" s="102">
        <v>0.11699999999999999</v>
      </c>
      <c r="HB178" s="102">
        <v>0.11699999999999999</v>
      </c>
      <c r="HC178" s="102">
        <v>0.11699999999999999</v>
      </c>
      <c r="HD178" s="102">
        <f t="shared" ref="HD178:HH209" si="577">+GK178-GJ178</f>
        <v>-2.8252225399999999</v>
      </c>
      <c r="HE178" s="102">
        <f t="shared" si="577"/>
        <v>-1.4999999999999999E-7</v>
      </c>
      <c r="HF178" s="102">
        <f t="shared" si="577"/>
        <v>0</v>
      </c>
      <c r="HG178" s="102" t="e">
        <f t="shared" si="577"/>
        <v>#VALUE!</v>
      </c>
      <c r="HH178" s="102">
        <v>0.11699999999999999</v>
      </c>
      <c r="HI178" s="102">
        <f t="shared" si="493"/>
        <v>0</v>
      </c>
      <c r="HU178" s="102"/>
      <c r="HV178" s="102"/>
      <c r="HW178" s="102"/>
      <c r="HX178" s="102"/>
      <c r="HY178" s="102">
        <f t="shared" si="528"/>
        <v>0.76897486000000004</v>
      </c>
      <c r="HZ178" s="102">
        <f t="shared" si="528"/>
        <v>3.4586138900000001</v>
      </c>
      <c r="IA178" s="102">
        <f t="shared" si="529"/>
        <v>2.8790702700000002</v>
      </c>
      <c r="IB178" s="102">
        <f t="shared" si="530"/>
        <v>0</v>
      </c>
      <c r="IC178" s="102">
        <f t="shared" si="531"/>
        <v>0</v>
      </c>
      <c r="ID178" s="102" t="e">
        <f t="shared" si="568"/>
        <v>#VALUE!</v>
      </c>
      <c r="IE178" s="102" t="e">
        <f t="shared" si="532"/>
        <v>#VALUE!</v>
      </c>
      <c r="IG178" s="102" t="e">
        <f t="shared" si="533"/>
        <v>#VALUE!</v>
      </c>
      <c r="IH178" s="102" t="e">
        <f t="shared" si="534"/>
        <v>#VALUE!</v>
      </c>
      <c r="II178" s="145"/>
      <c r="IJ178" s="32">
        <v>0</v>
      </c>
      <c r="IK178" s="102">
        <v>-7.1655999999999995</v>
      </c>
      <c r="IM178" s="973"/>
      <c r="IN178" s="973"/>
      <c r="IP178" s="929" t="str">
        <f t="shared" si="553"/>
        <v/>
      </c>
      <c r="IQ178" s="929" t="str">
        <f t="shared" si="553"/>
        <v/>
      </c>
      <c r="IR178" s="929" t="str">
        <f t="shared" si="553"/>
        <v/>
      </c>
      <c r="IS178" s="929">
        <f t="shared" si="553"/>
        <v>3.4976943589547256</v>
      </c>
      <c r="IT178" s="929">
        <f t="shared" si="553"/>
        <v>-0.16756528436887763</v>
      </c>
      <c r="IU178" s="929">
        <f t="shared" si="553"/>
        <v>-1</v>
      </c>
      <c r="IV178" s="929" t="str">
        <f t="shared" si="554"/>
        <v/>
      </c>
      <c r="IX178" s="102">
        <f t="shared" si="538"/>
        <v>0</v>
      </c>
      <c r="IY178" s="102">
        <f t="shared" si="538"/>
        <v>0</v>
      </c>
      <c r="IZ178" s="102">
        <f t="shared" si="538"/>
        <v>0.76897486000000004</v>
      </c>
      <c r="JA178" s="102">
        <f t="shared" si="538"/>
        <v>2.6896390299999999</v>
      </c>
      <c r="JB178" s="102">
        <f t="shared" si="538"/>
        <v>-0.57954361999999993</v>
      </c>
      <c r="JC178" s="102">
        <f t="shared" si="538"/>
        <v>-2.8790702700000002</v>
      </c>
      <c r="JD178" s="102" t="e">
        <f t="shared" si="539"/>
        <v>#VALUE!</v>
      </c>
      <c r="JO178" s="102">
        <f t="shared" si="561"/>
        <v>4.673</v>
      </c>
      <c r="JP178" s="102">
        <f t="shared" si="561"/>
        <v>2.246</v>
      </c>
      <c r="JQ178" s="102">
        <f t="shared" si="561"/>
        <v>5.0490000000000004</v>
      </c>
      <c r="JR178" s="102">
        <f t="shared" si="561"/>
        <v>8.7272421700000002</v>
      </c>
      <c r="JS178" s="102">
        <f t="shared" si="561"/>
        <v>0.76897486000000004</v>
      </c>
      <c r="JT178" s="102">
        <f t="shared" si="541"/>
        <v>3.4586138900000001</v>
      </c>
      <c r="JU178" s="102">
        <f t="shared" si="542"/>
        <v>2.8790702700000002</v>
      </c>
      <c r="JV178" s="102">
        <f t="shared" si="543"/>
        <v>0</v>
      </c>
      <c r="JW178" s="102">
        <f t="shared" si="543"/>
        <v>0</v>
      </c>
      <c r="JX178" s="102" t="e">
        <f t="shared" si="544"/>
        <v>#VALUE!</v>
      </c>
      <c r="JY178" s="102" t="e">
        <f t="shared" si="545"/>
        <v>#VALUE!</v>
      </c>
      <c r="KB178" s="32">
        <f t="shared" si="546"/>
        <v>1.2479964381121995</v>
      </c>
      <c r="KC178" s="32">
        <f t="shared" si="546"/>
        <v>0.72850904535551586</v>
      </c>
      <c r="KD178" s="32">
        <f t="shared" si="546"/>
        <v>-0.91188798878030908</v>
      </c>
      <c r="KE178" s="32">
        <f t="shared" si="546"/>
        <v>3.4976943589547256</v>
      </c>
      <c r="KF178" s="32">
        <f t="shared" si="546"/>
        <v>-0.16756528436887763</v>
      </c>
      <c r="KG178" s="32">
        <f t="shared" si="546"/>
        <v>-1</v>
      </c>
      <c r="KH178" s="32" t="str">
        <f t="shared" si="569"/>
        <v xml:space="preserve"> </v>
      </c>
      <c r="KJ178" s="102">
        <f t="shared" si="547"/>
        <v>2.8030000000000004</v>
      </c>
      <c r="KK178" s="102">
        <f t="shared" si="547"/>
        <v>3.6782421699999999</v>
      </c>
      <c r="KL178" s="102">
        <f t="shared" si="547"/>
        <v>-7.9582673100000001</v>
      </c>
      <c r="KM178" s="102">
        <f t="shared" si="547"/>
        <v>2.6896390299999999</v>
      </c>
      <c r="KN178" s="102">
        <f t="shared" si="547"/>
        <v>-0.57954361999999993</v>
      </c>
      <c r="KO178" s="102">
        <f t="shared" si="547"/>
        <v>-2.8790702700000002</v>
      </c>
      <c r="KP178" s="102" t="e">
        <f t="shared" si="570"/>
        <v>#VALUE!</v>
      </c>
    </row>
    <row r="179" spans="1:312" hidden="1" outlineLevel="2">
      <c r="A179" s="884">
        <v>2368</v>
      </c>
      <c r="B179" s="70" t="s">
        <v>742</v>
      </c>
      <c r="D179" s="31"/>
      <c r="E179" s="102">
        <v>0.41887249999999998</v>
      </c>
      <c r="F179" s="102">
        <v>0.98599999999999999</v>
      </c>
      <c r="G179" s="102">
        <v>0.83695321</v>
      </c>
      <c r="H179" s="102">
        <v>1.9730000000000001</v>
      </c>
      <c r="I179" s="102">
        <v>0.66892394999999993</v>
      </c>
      <c r="J179" s="102">
        <v>1.58</v>
      </c>
      <c r="K179" s="102">
        <v>0.52493129000000005</v>
      </c>
      <c r="L179" s="102">
        <v>1.5249999999999999</v>
      </c>
      <c r="M179" s="102">
        <v>1.1325492500000001</v>
      </c>
      <c r="N179" s="102">
        <v>2.9180000000000001</v>
      </c>
      <c r="O179" s="102">
        <v>0.60841181999999994</v>
      </c>
      <c r="P179" s="102">
        <v>1.3009999999999999</v>
      </c>
      <c r="Q179" s="102">
        <v>0.45038106999999999</v>
      </c>
      <c r="R179" s="102">
        <v>0.79400000000000004</v>
      </c>
      <c r="S179" s="102">
        <v>0.29490165999999995</v>
      </c>
      <c r="T179" s="102">
        <v>0</v>
      </c>
      <c r="U179" s="102">
        <v>2.05962128</v>
      </c>
      <c r="V179" s="102">
        <v>2.9420000000000002</v>
      </c>
      <c r="W179" s="102">
        <v>0.67648807</v>
      </c>
      <c r="X179" s="102">
        <v>1.45</v>
      </c>
      <c r="Y179" s="102">
        <v>0.68091102000000003</v>
      </c>
      <c r="Z179" s="102">
        <v>2.5150000000000001</v>
      </c>
      <c r="AA179" s="102">
        <v>1.9333166799999999</v>
      </c>
      <c r="AB179" s="102">
        <v>4.0190000000000001</v>
      </c>
      <c r="AC179" s="102">
        <v>0.55701464999999994</v>
      </c>
      <c r="AD179" s="102">
        <v>4.8280000000000003</v>
      </c>
      <c r="AE179" s="102">
        <v>3.6804108500000003</v>
      </c>
      <c r="AF179" s="102">
        <v>6.2750000000000004</v>
      </c>
      <c r="AG179" s="102">
        <v>4.0977465300000002</v>
      </c>
      <c r="AH179" s="102">
        <v>6.2149999999999999</v>
      </c>
      <c r="AI179" s="102">
        <v>4.7333858199999996</v>
      </c>
      <c r="AJ179" s="102">
        <v>36.099000000000004</v>
      </c>
      <c r="AK179" s="102">
        <v>11.3034325</v>
      </c>
      <c r="AL179" s="102">
        <v>0</v>
      </c>
      <c r="AM179" s="102">
        <v>6.3894071499999994</v>
      </c>
      <c r="AN179" s="102">
        <v>15.33362238</v>
      </c>
      <c r="AO179" s="102">
        <v>6.7598599899999998</v>
      </c>
      <c r="AP179" s="145">
        <v>18.606633600000002</v>
      </c>
      <c r="AQ179" s="143">
        <v>22.52953076</v>
      </c>
      <c r="AR179" s="143">
        <v>17.69096476</v>
      </c>
      <c r="AS179" s="102">
        <v>22.763607629999999</v>
      </c>
      <c r="AT179" s="102">
        <v>29.012074390000002</v>
      </c>
      <c r="AU179" s="102">
        <v>18.817957960000001</v>
      </c>
      <c r="AV179" s="102">
        <v>21.74942781</v>
      </c>
      <c r="AW179" s="102">
        <v>4.1285750299999995</v>
      </c>
      <c r="AX179" s="102">
        <v>7.9845058899999994</v>
      </c>
      <c r="AY179" s="102">
        <v>2.46323487</v>
      </c>
      <c r="AZ179" s="102">
        <v>0.62160557999999999</v>
      </c>
      <c r="BA179" s="102">
        <v>1.29156073</v>
      </c>
      <c r="BB179" s="102">
        <v>3.27076587</v>
      </c>
      <c r="BC179" s="102">
        <v>0.63828697000000001</v>
      </c>
      <c r="BD179" s="102">
        <v>1.9926539999999999</v>
      </c>
      <c r="BE179" s="102">
        <v>2.42429294</v>
      </c>
      <c r="BF179" s="102">
        <v>2.93636455</v>
      </c>
      <c r="BG179" s="102">
        <v>0.39032253</v>
      </c>
      <c r="BH179" s="102">
        <v>0.67521197999999993</v>
      </c>
      <c r="BI179" s="102">
        <v>1.4204738100000001</v>
      </c>
      <c r="BJ179" s="102">
        <v>2.3764572000000004</v>
      </c>
      <c r="BK179" s="102">
        <v>1.97168864</v>
      </c>
      <c r="BL179" s="102">
        <v>3.98169138</v>
      </c>
      <c r="BM179" s="145">
        <v>1.8796384900000001</v>
      </c>
      <c r="BN179" s="102">
        <v>3.59920354</v>
      </c>
      <c r="BO179" s="102">
        <v>1.8726199699999999</v>
      </c>
      <c r="BP179" s="102">
        <v>4.5157746900000006</v>
      </c>
      <c r="BQ179" s="102">
        <v>2.56927832</v>
      </c>
      <c r="BR179" s="102">
        <v>4.4285949000000002</v>
      </c>
      <c r="BS179" s="102">
        <v>1.78845107</v>
      </c>
      <c r="BT179" s="102">
        <v>3.2636575200000002</v>
      </c>
      <c r="BU179" s="102">
        <v>1.99936589</v>
      </c>
      <c r="BV179" s="102">
        <v>3.6203164500000002</v>
      </c>
      <c r="BW179" s="102">
        <v>1.8789359699999999</v>
      </c>
      <c r="BX179" s="102">
        <v>3.4700000000000002E-6</v>
      </c>
      <c r="BY179" s="102">
        <v>2.5829301299999998</v>
      </c>
      <c r="BZ179" s="102">
        <v>6.0368980199999998</v>
      </c>
      <c r="CA179" s="102">
        <v>3.2127410200000002</v>
      </c>
      <c r="CB179" s="102">
        <v>4.6726727300000004</v>
      </c>
      <c r="CC179" s="102">
        <v>1.37996903</v>
      </c>
      <c r="CD179" s="102">
        <v>2.7674815399999999</v>
      </c>
      <c r="CE179" s="102">
        <v>2.596924</v>
      </c>
      <c r="CF179" s="102">
        <v>5.3283549599999995</v>
      </c>
      <c r="CG179" s="102">
        <v>3.26789745</v>
      </c>
      <c r="CH179" s="102">
        <v>7.3964085599999994</v>
      </c>
      <c r="CI179" s="102">
        <v>3.9424396600000002</v>
      </c>
      <c r="CJ179" s="102">
        <v>0</v>
      </c>
      <c r="CK179" s="102">
        <v>1.710437</v>
      </c>
      <c r="CL179" s="102">
        <v>0.20801861999999999</v>
      </c>
      <c r="CM179" s="102">
        <v>2.9171622300000002</v>
      </c>
      <c r="CN179" s="102">
        <v>6.1782000000000004E-4</v>
      </c>
      <c r="CO179" s="102">
        <v>2.60358483</v>
      </c>
      <c r="CP179" s="102">
        <v>1.3976400000000001E-3</v>
      </c>
      <c r="CQ179" s="102">
        <v>2.9067998500000001</v>
      </c>
      <c r="CR179" s="102">
        <v>7.4586138799999997</v>
      </c>
      <c r="CS179" s="102">
        <v>4.9719692999999996</v>
      </c>
      <c r="CT179" s="102">
        <v>9.1272140000000002E-2</v>
      </c>
      <c r="CU179" s="102">
        <v>3.5805541000000001</v>
      </c>
      <c r="CV179" s="102">
        <v>0</v>
      </c>
      <c r="CW179" s="102">
        <v>1.4252071399999999</v>
      </c>
      <c r="CX179" s="102">
        <v>-1.4999999999999999E-7</v>
      </c>
      <c r="CY179" s="102">
        <v>3.1813196100000001</v>
      </c>
      <c r="CZ179" s="102">
        <v>0</v>
      </c>
      <c r="DA179" s="102">
        <v>0.83232852000000002</v>
      </c>
      <c r="DB179" s="102">
        <v>0</v>
      </c>
      <c r="DC179" s="102">
        <v>1.0711233500000001</v>
      </c>
      <c r="DD179" s="102">
        <v>0</v>
      </c>
      <c r="DE179" s="102">
        <v>2.3029685600000001</v>
      </c>
      <c r="DF179" s="102">
        <v>0</v>
      </c>
      <c r="DG179" s="102">
        <v>1.8571528799999999</v>
      </c>
      <c r="DH179" s="102">
        <v>0</v>
      </c>
      <c r="DI179" s="145"/>
      <c r="DJ179" s="102" t="e">
        <v>#VALUE!</v>
      </c>
      <c r="DK179" s="102" t="e">
        <v>#VALUE!</v>
      </c>
      <c r="DL179" s="102" t="e">
        <v>#VALUE!</v>
      </c>
      <c r="DM179" s="102" t="e">
        <v>#VALUE!</v>
      </c>
      <c r="DN179" s="102" t="e">
        <v>#VALUE!</v>
      </c>
      <c r="DO179" s="102" t="e">
        <v>#VALUE!</v>
      </c>
      <c r="DP179" s="102" t="e">
        <v>#VALUE!</v>
      </c>
      <c r="DQ179" s="102" t="e">
        <v>#VALUE!</v>
      </c>
      <c r="DR179" s="102" t="e">
        <v>#VALUE!</v>
      </c>
      <c r="DS179" s="102" t="e">
        <v>#VALUE!</v>
      </c>
      <c r="DT179" s="102" t="e">
        <v>#VALUE!</v>
      </c>
      <c r="DU179" s="102" t="e">
        <v>#VALUE!</v>
      </c>
      <c r="DW179" s="102">
        <v>1.4595499348643424</v>
      </c>
      <c r="DX179" s="102">
        <v>2.5977486178261859</v>
      </c>
      <c r="DY179" s="102">
        <v>1.3404838852629744</v>
      </c>
      <c r="DZ179" s="102">
        <v>2.6049440946761222</v>
      </c>
      <c r="EA179" s="102">
        <v>1.134079491706008</v>
      </c>
      <c r="EB179" s="102">
        <v>2.3345176965220191</v>
      </c>
      <c r="EC179" s="102">
        <v>1.4917294556263123</v>
      </c>
      <c r="ED179" s="102">
        <v>3.0363622209256236</v>
      </c>
      <c r="EE179" s="102">
        <v>1.4420098339620133</v>
      </c>
      <c r="EF179" s="102">
        <v>2.9560263485847385</v>
      </c>
      <c r="EG179" s="102">
        <v>1.441406766139685</v>
      </c>
      <c r="EH179" s="102">
        <v>3.3789799412359094</v>
      </c>
      <c r="EI179" s="102">
        <v>3.5474197112528016</v>
      </c>
      <c r="EJ179" s="102">
        <v>8.8303425521846339</v>
      </c>
      <c r="EK179" s="102">
        <v>5.4233370893922661</v>
      </c>
      <c r="EL179" s="102">
        <v>10.92054346802241</v>
      </c>
      <c r="EM179" s="102">
        <v>5.0665610628143591</v>
      </c>
      <c r="EN179" s="102">
        <v>11.172384524508937</v>
      </c>
      <c r="EO179" s="102">
        <v>6.2225713123206905</v>
      </c>
      <c r="EP179" s="102">
        <v>12.566466890310968</v>
      </c>
      <c r="EQ179" s="102">
        <v>6.6738562777173343</v>
      </c>
      <c r="ER179" s="102">
        <v>13.128775369775248</v>
      </c>
      <c r="ES179" s="102">
        <v>6.1438579252762882</v>
      </c>
      <c r="ET179" s="102">
        <v>11.064890659130675</v>
      </c>
      <c r="EU179" s="102">
        <v>1.6491788503144902</v>
      </c>
      <c r="EV179" s="102">
        <v>1.6127855519969172</v>
      </c>
      <c r="EW179" s="102">
        <v>1.7213531857921058</v>
      </c>
      <c r="EX179" s="102">
        <v>1.4373844812566805</v>
      </c>
      <c r="EY179" s="102">
        <v>1.6139418007206232</v>
      </c>
      <c r="EZ179" s="102">
        <v>1.3549316557430238</v>
      </c>
      <c r="FA179" s="102">
        <v>1.5432717431720013</v>
      </c>
      <c r="FB179" s="102">
        <v>1.3020805647400211</v>
      </c>
      <c r="FC179" s="102">
        <v>1.0417180149720211</v>
      </c>
      <c r="FD179" s="102">
        <v>1.049425954172021</v>
      </c>
      <c r="FE179" s="102">
        <v>1.0775312681704692</v>
      </c>
      <c r="FF179" s="102">
        <v>1.2155950877704693</v>
      </c>
      <c r="FG179" s="102" t="e">
        <v>#VALUE!</v>
      </c>
      <c r="FH179" s="102" t="e">
        <v>#VALUE!</v>
      </c>
      <c r="FI179" s="102" t="e">
        <v>#VALUE!</v>
      </c>
      <c r="FJ179" s="102" t="e">
        <v>#VALUE!</v>
      </c>
      <c r="FK179" s="102" t="e">
        <v>#VALUE!</v>
      </c>
      <c r="FL179" s="102" t="e">
        <v>#VALUE!</v>
      </c>
      <c r="FM179" s="102" t="e">
        <v>#VALUE!</v>
      </c>
      <c r="FN179" s="102" t="e">
        <v>#VALUE!</v>
      </c>
      <c r="FO179" s="102" t="e">
        <v>#VALUE!</v>
      </c>
      <c r="FP179" s="102" t="e">
        <v>#VALUE!</v>
      </c>
      <c r="FQ179" s="102" t="e">
        <v>#VALUE!</v>
      </c>
      <c r="FR179" s="102" t="e">
        <v>#VALUE!</v>
      </c>
      <c r="FS179" s="102" t="e">
        <v>#VALUE!</v>
      </c>
      <c r="FT179" s="102" t="e">
        <v>#VALUE!</v>
      </c>
      <c r="FU179" s="102" t="e">
        <v>#VALUE!</v>
      </c>
      <c r="FV179" s="102" t="e">
        <v>#VALUE!</v>
      </c>
      <c r="FW179" s="102" t="e">
        <v>#VALUE!</v>
      </c>
      <c r="FX179" s="102" t="e">
        <v>#VALUE!</v>
      </c>
      <c r="FY179" s="102" t="e">
        <v>#VALUE!</v>
      </c>
      <c r="FZ179" s="102" t="e">
        <v>#VALUE!</v>
      </c>
      <c r="GA179" s="102" t="e">
        <v>#VALUE!</v>
      </c>
      <c r="GB179" s="102" t="e">
        <v>#VALUE!</v>
      </c>
      <c r="GC179" s="102" t="e">
        <v>#VALUE!</v>
      </c>
      <c r="GD179" s="102" t="e">
        <v>#VALUE!</v>
      </c>
      <c r="GF179" s="102">
        <v>1.3009999999999999</v>
      </c>
      <c r="GG179" s="102">
        <v>4.0190000000000001</v>
      </c>
      <c r="GH179" s="102">
        <v>15.33362238</v>
      </c>
      <c r="GI179" s="102">
        <v>0</v>
      </c>
      <c r="GJ179" s="102">
        <f t="shared" si="575"/>
        <v>3.98169138</v>
      </c>
      <c r="GK179" s="102">
        <f t="shared" si="565"/>
        <v>3.4700000000000002E-6</v>
      </c>
      <c r="GL179" s="102">
        <f t="shared" si="571"/>
        <v>0</v>
      </c>
      <c r="GM179" s="102">
        <f t="shared" si="566"/>
        <v>0</v>
      </c>
      <c r="GN179" s="102" t="e">
        <f t="shared" si="567"/>
        <v>#VALUE!</v>
      </c>
      <c r="GO179" s="102">
        <v>0</v>
      </c>
      <c r="GQ179" s="32">
        <v>2.089162182936203</v>
      </c>
      <c r="GR179" s="32">
        <v>2.815283000746454</v>
      </c>
      <c r="GS179" s="32">
        <v>2.815283000746454</v>
      </c>
      <c r="GT179" s="929">
        <f t="shared" si="576"/>
        <v>-0.99999912851105999</v>
      </c>
      <c r="GU179" s="929">
        <f t="shared" si="576"/>
        <v>-1</v>
      </c>
      <c r="GV179" s="929" t="str">
        <f t="shared" si="576"/>
        <v/>
      </c>
      <c r="GW179" s="929" t="str">
        <f t="shared" si="499"/>
        <v/>
      </c>
      <c r="GX179" s="32">
        <v>2.815283000746454</v>
      </c>
      <c r="GY179" s="929" t="str">
        <f t="shared" si="492"/>
        <v/>
      </c>
      <c r="HA179" s="102">
        <v>2.718</v>
      </c>
      <c r="HB179" s="102">
        <v>2.718</v>
      </c>
      <c r="HC179" s="102">
        <v>2.718</v>
      </c>
      <c r="HD179" s="102">
        <f t="shared" si="577"/>
        <v>-3.9816879100000002</v>
      </c>
      <c r="HE179" s="102">
        <f t="shared" si="577"/>
        <v>-3.4700000000000002E-6</v>
      </c>
      <c r="HF179" s="102">
        <f t="shared" si="577"/>
        <v>0</v>
      </c>
      <c r="HG179" s="102" t="e">
        <f t="shared" si="577"/>
        <v>#VALUE!</v>
      </c>
      <c r="HH179" s="102">
        <v>2.718</v>
      </c>
      <c r="HI179" s="102">
        <f t="shared" si="493"/>
        <v>0</v>
      </c>
      <c r="HU179" s="102"/>
      <c r="HV179" s="102"/>
      <c r="HW179" s="102"/>
      <c r="HX179" s="102"/>
      <c r="HY179" s="102">
        <f t="shared" si="528"/>
        <v>2.93636455</v>
      </c>
      <c r="HZ179" s="102">
        <f t="shared" si="528"/>
        <v>4.4285949000000002</v>
      </c>
      <c r="IA179" s="102">
        <f t="shared" si="529"/>
        <v>2.7674815399999999</v>
      </c>
      <c r="IB179" s="102">
        <f t="shared" si="530"/>
        <v>1.3976400000000001E-3</v>
      </c>
      <c r="IC179" s="102">
        <f t="shared" si="531"/>
        <v>0</v>
      </c>
      <c r="ID179" s="102" t="e">
        <f t="shared" si="568"/>
        <v>#VALUE!</v>
      </c>
      <c r="IE179" s="102" t="e">
        <f t="shared" si="532"/>
        <v>#VALUE!</v>
      </c>
      <c r="IG179" s="102" t="e">
        <f t="shared" si="533"/>
        <v>#VALUE!</v>
      </c>
      <c r="IH179" s="102" t="e">
        <f t="shared" si="534"/>
        <v>#VALUE!</v>
      </c>
      <c r="II179" s="145"/>
      <c r="IJ179" s="32">
        <v>0</v>
      </c>
      <c r="IK179" s="102">
        <v>-3.6804108500000003</v>
      </c>
      <c r="IM179" s="973"/>
      <c r="IN179" s="973"/>
      <c r="IP179" s="929" t="str">
        <f t="shared" si="553"/>
        <v/>
      </c>
      <c r="IQ179" s="929" t="str">
        <f t="shared" si="553"/>
        <v/>
      </c>
      <c r="IR179" s="929" t="str">
        <f t="shared" si="553"/>
        <v/>
      </c>
      <c r="IS179" s="929">
        <f t="shared" si="553"/>
        <v>0.50818974435582276</v>
      </c>
      <c r="IT179" s="929">
        <f t="shared" si="553"/>
        <v>-0.37508812558132154</v>
      </c>
      <c r="IU179" s="929">
        <f t="shared" si="553"/>
        <v>-0.9994949776611699</v>
      </c>
      <c r="IV179" s="929" t="str">
        <f t="shared" si="554"/>
        <v/>
      </c>
      <c r="IX179" s="102">
        <f t="shared" si="538"/>
        <v>0</v>
      </c>
      <c r="IY179" s="102">
        <f t="shared" si="538"/>
        <v>0</v>
      </c>
      <c r="IZ179" s="102">
        <f t="shared" si="538"/>
        <v>2.93636455</v>
      </c>
      <c r="JA179" s="102">
        <f t="shared" si="538"/>
        <v>1.4922303500000003</v>
      </c>
      <c r="JB179" s="102">
        <f t="shared" si="538"/>
        <v>-1.6611133600000003</v>
      </c>
      <c r="JC179" s="102">
        <f t="shared" si="538"/>
        <v>-2.7660838999999999</v>
      </c>
      <c r="JD179" s="102" t="e">
        <f t="shared" si="539"/>
        <v>#VALUE!</v>
      </c>
      <c r="JO179" s="102">
        <f t="shared" si="561"/>
        <v>1.58</v>
      </c>
      <c r="JP179" s="102">
        <f t="shared" si="561"/>
        <v>2.9420000000000002</v>
      </c>
      <c r="JQ179" s="102">
        <f t="shared" si="561"/>
        <v>6.2149999999999999</v>
      </c>
      <c r="JR179" s="102">
        <f t="shared" si="561"/>
        <v>29.012074390000002</v>
      </c>
      <c r="JS179" s="102">
        <f t="shared" si="561"/>
        <v>2.93636455</v>
      </c>
      <c r="JT179" s="102">
        <f t="shared" si="541"/>
        <v>4.4285949000000002</v>
      </c>
      <c r="JU179" s="102">
        <f t="shared" si="542"/>
        <v>2.7674815399999999</v>
      </c>
      <c r="JV179" s="102">
        <f t="shared" si="543"/>
        <v>1.3976400000000001E-3</v>
      </c>
      <c r="JW179" s="102">
        <f t="shared" si="543"/>
        <v>0</v>
      </c>
      <c r="JX179" s="102" t="e">
        <f t="shared" si="544"/>
        <v>#VALUE!</v>
      </c>
      <c r="JY179" s="102" t="e">
        <f t="shared" si="545"/>
        <v>#VALUE!</v>
      </c>
      <c r="KB179" s="32">
        <f t="shared" si="546"/>
        <v>1.1125084976206661</v>
      </c>
      <c r="KC179" s="32">
        <f t="shared" si="546"/>
        <v>3.6680731118262271</v>
      </c>
      <c r="KD179" s="32">
        <f t="shared" si="546"/>
        <v>-0.89878819037455249</v>
      </c>
      <c r="KE179" s="32">
        <f t="shared" si="546"/>
        <v>0.50818974435582276</v>
      </c>
      <c r="KF179" s="32">
        <f t="shared" si="546"/>
        <v>-0.37508812558132154</v>
      </c>
      <c r="KG179" s="32">
        <f t="shared" si="546"/>
        <v>-0.9994949776611699</v>
      </c>
      <c r="KH179" s="32" t="str">
        <f t="shared" si="569"/>
        <v xml:space="preserve"> </v>
      </c>
      <c r="KJ179" s="102">
        <f t="shared" si="547"/>
        <v>3.2729999999999997</v>
      </c>
      <c r="KK179" s="102">
        <f t="shared" si="547"/>
        <v>22.797074390000002</v>
      </c>
      <c r="KL179" s="102">
        <f t="shared" si="547"/>
        <v>-26.075709840000002</v>
      </c>
      <c r="KM179" s="102">
        <f t="shared" si="547"/>
        <v>1.4922303500000003</v>
      </c>
      <c r="KN179" s="102">
        <f t="shared" si="547"/>
        <v>-1.6611133600000003</v>
      </c>
      <c r="KO179" s="102">
        <f t="shared" si="547"/>
        <v>-2.7660838999999999</v>
      </c>
      <c r="KP179" s="102" t="e">
        <f t="shared" si="570"/>
        <v>#VALUE!</v>
      </c>
    </row>
    <row r="180" spans="1:312" hidden="1" outlineLevel="2">
      <c r="A180" s="884">
        <v>2369</v>
      </c>
      <c r="B180" s="70" t="s">
        <v>743</v>
      </c>
      <c r="C180" s="186"/>
      <c r="D180" s="307"/>
      <c r="E180" s="931">
        <v>0</v>
      </c>
      <c r="F180" s="931">
        <v>0</v>
      </c>
      <c r="G180" s="931">
        <v>0</v>
      </c>
      <c r="H180" s="931">
        <v>0</v>
      </c>
      <c r="I180" s="931">
        <v>0</v>
      </c>
      <c r="J180" s="931">
        <v>0</v>
      </c>
      <c r="K180" s="931">
        <v>0</v>
      </c>
      <c r="L180" s="931">
        <v>0</v>
      </c>
      <c r="M180" s="931">
        <v>0</v>
      </c>
      <c r="N180" s="931">
        <v>0</v>
      </c>
      <c r="O180" s="931">
        <v>0</v>
      </c>
      <c r="P180" s="931">
        <v>0</v>
      </c>
      <c r="Q180" s="931">
        <v>0</v>
      </c>
      <c r="R180" s="931">
        <v>0</v>
      </c>
      <c r="S180" s="931">
        <v>0</v>
      </c>
      <c r="T180" s="931">
        <v>0</v>
      </c>
      <c r="U180" s="931">
        <v>1.905</v>
      </c>
      <c r="V180" s="931">
        <v>1.421</v>
      </c>
      <c r="W180" s="931">
        <v>1.081</v>
      </c>
      <c r="X180" s="931">
        <v>2.0049999999999999</v>
      </c>
      <c r="Y180" s="931">
        <v>22.041</v>
      </c>
      <c r="Z180" s="931">
        <v>34.805999999999997</v>
      </c>
      <c r="AA180" s="931">
        <v>72.418000000000006</v>
      </c>
      <c r="AB180" s="931">
        <v>82.956999999999994</v>
      </c>
      <c r="AC180" s="931">
        <v>62.078635909999996</v>
      </c>
      <c r="AD180" s="931">
        <v>56.31163591</v>
      </c>
      <c r="AE180" s="931">
        <v>37.529635909999996</v>
      </c>
      <c r="AF180" s="931">
        <v>47.042999999999999</v>
      </c>
      <c r="AG180" s="931">
        <v>46.066000000000003</v>
      </c>
      <c r="AH180" s="931">
        <v>40.167000000000002</v>
      </c>
      <c r="AI180" s="931">
        <v>39.203000000000003</v>
      </c>
      <c r="AJ180" s="931">
        <v>50.634</v>
      </c>
      <c r="AK180" s="931">
        <v>46.634999999999998</v>
      </c>
      <c r="AL180" s="931">
        <v>0</v>
      </c>
      <c r="AM180" s="931">
        <v>0</v>
      </c>
      <c r="AN180" s="931">
        <v>82.168999999999997</v>
      </c>
      <c r="AO180" s="931">
        <v>0</v>
      </c>
      <c r="AP180" s="932">
        <v>0</v>
      </c>
      <c r="AQ180" s="936">
        <v>0</v>
      </c>
      <c r="AR180" s="936">
        <v>0</v>
      </c>
      <c r="AS180" s="931">
        <v>0</v>
      </c>
      <c r="AT180" s="931">
        <v>0</v>
      </c>
      <c r="AU180" s="931">
        <v>0</v>
      </c>
      <c r="AV180" s="931">
        <v>0</v>
      </c>
      <c r="AW180" s="931">
        <v>0</v>
      </c>
      <c r="AX180" s="931">
        <v>0</v>
      </c>
      <c r="AY180" s="931">
        <v>0</v>
      </c>
      <c r="AZ180" s="931">
        <v>0</v>
      </c>
      <c r="BA180" s="931">
        <v>0</v>
      </c>
      <c r="BB180" s="931">
        <v>0</v>
      </c>
      <c r="BC180" s="931">
        <v>0</v>
      </c>
      <c r="BD180" s="931">
        <v>0</v>
      </c>
      <c r="BE180" s="931">
        <v>0</v>
      </c>
      <c r="BF180" s="931">
        <v>0</v>
      </c>
      <c r="BG180" s="931">
        <v>0</v>
      </c>
      <c r="BH180" s="931">
        <v>0</v>
      </c>
      <c r="BI180" s="931">
        <v>0</v>
      </c>
      <c r="BJ180" s="931">
        <v>0</v>
      </c>
      <c r="BK180" s="931">
        <v>0</v>
      </c>
      <c r="BL180" s="931">
        <v>0</v>
      </c>
      <c r="BM180" s="145">
        <v>0</v>
      </c>
      <c r="BN180" s="931">
        <v>0</v>
      </c>
      <c r="BO180" s="931">
        <v>0</v>
      </c>
      <c r="BP180" s="931">
        <v>0</v>
      </c>
      <c r="BQ180" s="931">
        <v>0</v>
      </c>
      <c r="BR180" s="931">
        <v>0</v>
      </c>
      <c r="BS180" s="931">
        <v>0</v>
      </c>
      <c r="BT180" s="931">
        <v>0</v>
      </c>
      <c r="BU180" s="931">
        <v>0</v>
      </c>
      <c r="BV180" s="931">
        <v>0</v>
      </c>
      <c r="BW180" s="931">
        <v>0</v>
      </c>
      <c r="BX180" s="931">
        <v>0</v>
      </c>
      <c r="BY180" s="931">
        <v>0</v>
      </c>
      <c r="BZ180" s="931">
        <v>0</v>
      </c>
      <c r="CA180" s="931">
        <v>0</v>
      </c>
      <c r="CB180" s="931">
        <v>0</v>
      </c>
      <c r="CC180" s="931">
        <v>0</v>
      </c>
      <c r="CD180" s="931">
        <v>0</v>
      </c>
      <c r="CE180" s="931">
        <v>0</v>
      </c>
      <c r="CF180" s="931">
        <v>0</v>
      </c>
      <c r="CG180" s="931">
        <v>0</v>
      </c>
      <c r="CH180" s="931">
        <v>0</v>
      </c>
      <c r="CI180" s="931">
        <v>0</v>
      </c>
      <c r="CJ180" s="931">
        <v>0</v>
      </c>
      <c r="CK180" s="931">
        <v>0</v>
      </c>
      <c r="CL180" s="931">
        <v>0</v>
      </c>
      <c r="CM180" s="931">
        <v>0</v>
      </c>
      <c r="CN180" s="931">
        <v>0</v>
      </c>
      <c r="CO180" s="931">
        <v>0</v>
      </c>
      <c r="CP180" s="931">
        <v>0</v>
      </c>
      <c r="CQ180" s="931">
        <v>0</v>
      </c>
      <c r="CR180" s="931">
        <v>0</v>
      </c>
      <c r="CS180" s="931">
        <v>0</v>
      </c>
      <c r="CT180" s="931">
        <v>0</v>
      </c>
      <c r="CU180" s="931">
        <v>0</v>
      </c>
      <c r="CV180" s="931">
        <v>0</v>
      </c>
      <c r="CW180" s="931">
        <v>0</v>
      </c>
      <c r="CX180" s="931">
        <v>0</v>
      </c>
      <c r="CY180" s="931">
        <v>0</v>
      </c>
      <c r="CZ180" s="931">
        <v>0</v>
      </c>
      <c r="DA180" s="931">
        <v>0</v>
      </c>
      <c r="DB180" s="931">
        <v>0</v>
      </c>
      <c r="DC180" s="931">
        <v>0</v>
      </c>
      <c r="DD180" s="931">
        <v>0</v>
      </c>
      <c r="DE180" s="931">
        <v>0</v>
      </c>
      <c r="DF180" s="931">
        <v>0</v>
      </c>
      <c r="DG180" s="931">
        <v>0</v>
      </c>
      <c r="DH180" s="931">
        <v>0</v>
      </c>
      <c r="DI180" s="145"/>
      <c r="DJ180" s="931" t="e">
        <v>#VALUE!</v>
      </c>
      <c r="DK180" s="931" t="e">
        <v>#VALUE!</v>
      </c>
      <c r="DL180" s="931" t="e">
        <v>#VALUE!</v>
      </c>
      <c r="DM180" s="931" t="e">
        <v>#VALUE!</v>
      </c>
      <c r="DN180" s="931" t="e">
        <v>#VALUE!</v>
      </c>
      <c r="DO180" s="931" t="e">
        <v>#VALUE!</v>
      </c>
      <c r="DP180" s="931" t="e">
        <v>#VALUE!</v>
      </c>
      <c r="DQ180" s="931" t="e">
        <v>#VALUE!</v>
      </c>
      <c r="DR180" s="931" t="e">
        <v>#VALUE!</v>
      </c>
      <c r="DS180" s="931" t="e">
        <v>#VALUE!</v>
      </c>
      <c r="DT180" s="931" t="e">
        <v>#VALUE!</v>
      </c>
      <c r="DU180" s="931" t="e">
        <v>#VALUE!</v>
      </c>
      <c r="DW180" s="931">
        <v>0</v>
      </c>
      <c r="DX180" s="931">
        <v>0</v>
      </c>
      <c r="DY180" s="931">
        <v>0</v>
      </c>
      <c r="DZ180" s="931">
        <v>0</v>
      </c>
      <c r="EA180" s="931">
        <v>0</v>
      </c>
      <c r="EB180" s="931">
        <v>0</v>
      </c>
      <c r="EC180" s="931">
        <v>0</v>
      </c>
      <c r="ED180" s="931">
        <v>0</v>
      </c>
      <c r="EE180" s="931">
        <v>0</v>
      </c>
      <c r="EF180" s="931">
        <v>0</v>
      </c>
      <c r="EG180" s="931">
        <v>0</v>
      </c>
      <c r="EH180" s="931">
        <v>0</v>
      </c>
      <c r="EI180" s="931">
        <v>0</v>
      </c>
      <c r="EJ180" s="931">
        <v>0</v>
      </c>
      <c r="EK180" s="931">
        <v>0</v>
      </c>
      <c r="EL180" s="931">
        <v>0</v>
      </c>
      <c r="EM180" s="931">
        <v>0</v>
      </c>
      <c r="EN180" s="931">
        <v>0</v>
      </c>
      <c r="EO180" s="931">
        <v>0</v>
      </c>
      <c r="EP180" s="931">
        <v>0</v>
      </c>
      <c r="EQ180" s="931">
        <v>0</v>
      </c>
      <c r="ER180" s="931">
        <v>0</v>
      </c>
      <c r="ES180" s="931">
        <v>0</v>
      </c>
      <c r="ET180" s="931">
        <v>0</v>
      </c>
      <c r="EU180" s="931"/>
      <c r="EV180" s="931"/>
      <c r="EW180" s="931"/>
      <c r="EX180" s="931"/>
      <c r="EY180" s="931"/>
      <c r="EZ180" s="931"/>
      <c r="FA180" s="931"/>
      <c r="FB180" s="931"/>
      <c r="FC180" s="931"/>
      <c r="FD180" s="931"/>
      <c r="FE180" s="931"/>
      <c r="FF180" s="931"/>
      <c r="FG180" s="931" t="e">
        <v>#VALUE!</v>
      </c>
      <c r="FH180" s="931" t="e">
        <v>#VALUE!</v>
      </c>
      <c r="FI180" s="931" t="e">
        <v>#VALUE!</v>
      </c>
      <c r="FJ180" s="931" t="e">
        <v>#VALUE!</v>
      </c>
      <c r="FK180" s="931" t="e">
        <v>#VALUE!</v>
      </c>
      <c r="FL180" s="931" t="e">
        <v>#VALUE!</v>
      </c>
      <c r="FM180" s="931" t="e">
        <v>#VALUE!</v>
      </c>
      <c r="FN180" s="931" t="e">
        <v>#VALUE!</v>
      </c>
      <c r="FO180" s="931" t="e">
        <v>#VALUE!</v>
      </c>
      <c r="FP180" s="931" t="e">
        <v>#VALUE!</v>
      </c>
      <c r="FQ180" s="931" t="e">
        <v>#VALUE!</v>
      </c>
      <c r="FR180" s="931" t="e">
        <v>#VALUE!</v>
      </c>
      <c r="FS180" s="931" t="e">
        <v>#VALUE!</v>
      </c>
      <c r="FT180" s="931" t="e">
        <v>#VALUE!</v>
      </c>
      <c r="FU180" s="931" t="e">
        <v>#VALUE!</v>
      </c>
      <c r="FV180" s="931" t="e">
        <v>#VALUE!</v>
      </c>
      <c r="FW180" s="931" t="e">
        <v>#VALUE!</v>
      </c>
      <c r="FX180" s="931" t="e">
        <v>#VALUE!</v>
      </c>
      <c r="FY180" s="931" t="e">
        <v>#VALUE!</v>
      </c>
      <c r="FZ180" s="931" t="e">
        <v>#VALUE!</v>
      </c>
      <c r="GA180" s="931" t="e">
        <v>#VALUE!</v>
      </c>
      <c r="GB180" s="931" t="e">
        <v>#VALUE!</v>
      </c>
      <c r="GC180" s="931" t="e">
        <v>#VALUE!</v>
      </c>
      <c r="GD180" s="931" t="e">
        <v>#VALUE!</v>
      </c>
      <c r="GF180" s="931">
        <v>0</v>
      </c>
      <c r="GG180" s="931">
        <v>82.956999999999994</v>
      </c>
      <c r="GH180" s="931">
        <v>82.168999999999997</v>
      </c>
      <c r="GI180" s="931">
        <v>0</v>
      </c>
      <c r="GJ180" s="931">
        <f t="shared" si="575"/>
        <v>0</v>
      </c>
      <c r="GK180" s="931">
        <f t="shared" si="565"/>
        <v>0</v>
      </c>
      <c r="GL180" s="931">
        <f t="shared" si="571"/>
        <v>0</v>
      </c>
      <c r="GM180" s="931">
        <f t="shared" si="566"/>
        <v>0</v>
      </c>
      <c r="GN180" s="931" t="e">
        <f t="shared" si="567"/>
        <v>#VALUE!</v>
      </c>
      <c r="GO180" s="931">
        <v>0</v>
      </c>
      <c r="GQ180" s="230" t="s">
        <v>744</v>
      </c>
      <c r="GR180" s="230">
        <v>-9.4988970189374689E-3</v>
      </c>
      <c r="GS180" s="230">
        <v>-9.4988970189374689E-3</v>
      </c>
      <c r="GT180" s="934" t="str">
        <f t="shared" si="576"/>
        <v/>
      </c>
      <c r="GU180" s="934" t="str">
        <f t="shared" si="576"/>
        <v/>
      </c>
      <c r="GV180" s="934" t="str">
        <f t="shared" si="576"/>
        <v/>
      </c>
      <c r="GW180" s="934" t="str">
        <f t="shared" si="499"/>
        <v/>
      </c>
      <c r="GX180" s="230">
        <v>-9.4988970189374689E-3</v>
      </c>
      <c r="GY180" s="934" t="str">
        <f t="shared" si="492"/>
        <v/>
      </c>
      <c r="HA180" s="931">
        <v>82.956999999999994</v>
      </c>
      <c r="HB180" s="931">
        <v>82.956999999999994</v>
      </c>
      <c r="HC180" s="931">
        <v>82.956999999999994</v>
      </c>
      <c r="HD180" s="931">
        <f t="shared" si="577"/>
        <v>0</v>
      </c>
      <c r="HE180" s="931">
        <f t="shared" si="577"/>
        <v>0</v>
      </c>
      <c r="HF180" s="931">
        <f t="shared" si="577"/>
        <v>0</v>
      </c>
      <c r="HG180" s="931" t="e">
        <f t="shared" si="577"/>
        <v>#VALUE!</v>
      </c>
      <c r="HH180" s="931">
        <v>82.956999999999994</v>
      </c>
      <c r="HI180" s="931">
        <f t="shared" si="493"/>
        <v>0</v>
      </c>
      <c r="HK180" s="186"/>
      <c r="HL180" s="186"/>
      <c r="HM180" s="186"/>
      <c r="HN180" s="186"/>
      <c r="HO180" s="186"/>
      <c r="HP180" s="186"/>
      <c r="HQ180" s="186"/>
      <c r="HR180" s="186"/>
      <c r="HS180" s="186"/>
      <c r="HU180" s="931"/>
      <c r="HV180" s="931"/>
      <c r="HW180" s="931"/>
      <c r="HX180" s="931"/>
      <c r="HY180" s="931">
        <f t="shared" si="528"/>
        <v>0</v>
      </c>
      <c r="HZ180" s="931">
        <f t="shared" si="528"/>
        <v>0</v>
      </c>
      <c r="IA180" s="931">
        <f t="shared" si="529"/>
        <v>0</v>
      </c>
      <c r="IB180" s="931">
        <f t="shared" si="530"/>
        <v>0</v>
      </c>
      <c r="IC180" s="931">
        <f t="shared" si="531"/>
        <v>0</v>
      </c>
      <c r="ID180" s="931" t="e">
        <f t="shared" si="568"/>
        <v>#VALUE!</v>
      </c>
      <c r="IE180" s="931" t="e">
        <f t="shared" si="532"/>
        <v>#VALUE!</v>
      </c>
      <c r="IG180" s="931" t="e">
        <f t="shared" si="533"/>
        <v>#VALUE!</v>
      </c>
      <c r="IH180" s="931" t="e">
        <f t="shared" si="534"/>
        <v>#VALUE!</v>
      </c>
      <c r="II180" s="145"/>
      <c r="IJ180" s="230">
        <v>0</v>
      </c>
      <c r="IK180" s="931">
        <v>-37.529635909999996</v>
      </c>
      <c r="IM180" s="973"/>
      <c r="IN180" s="973"/>
      <c r="IP180" s="934" t="str">
        <f t="shared" si="553"/>
        <v/>
      </c>
      <c r="IQ180" s="934" t="str">
        <f t="shared" si="553"/>
        <v/>
      </c>
      <c r="IR180" s="934" t="str">
        <f t="shared" si="553"/>
        <v/>
      </c>
      <c r="IS180" s="934" t="str">
        <f t="shared" si="553"/>
        <v/>
      </c>
      <c r="IT180" s="934" t="str">
        <f t="shared" si="553"/>
        <v/>
      </c>
      <c r="IU180" s="934" t="str">
        <f t="shared" si="553"/>
        <v/>
      </c>
      <c r="IV180" s="934" t="str">
        <f t="shared" si="554"/>
        <v/>
      </c>
      <c r="IX180" s="931">
        <f t="shared" si="538"/>
        <v>0</v>
      </c>
      <c r="IY180" s="931">
        <f t="shared" si="538"/>
        <v>0</v>
      </c>
      <c r="IZ180" s="931">
        <f t="shared" si="538"/>
        <v>0</v>
      </c>
      <c r="JA180" s="931">
        <f t="shared" si="538"/>
        <v>0</v>
      </c>
      <c r="JB180" s="931">
        <f t="shared" si="538"/>
        <v>0</v>
      </c>
      <c r="JC180" s="931">
        <f t="shared" si="538"/>
        <v>0</v>
      </c>
      <c r="JD180" s="931" t="e">
        <f t="shared" si="539"/>
        <v>#VALUE!</v>
      </c>
      <c r="JF180" s="186"/>
      <c r="JG180" s="186"/>
      <c r="JH180" s="186"/>
      <c r="JI180" s="186"/>
      <c r="JJ180" s="186"/>
      <c r="JK180" s="186"/>
      <c r="JL180" s="186"/>
      <c r="JM180" s="186"/>
      <c r="JO180" s="931">
        <f t="shared" si="561"/>
        <v>0</v>
      </c>
      <c r="JP180" s="931">
        <f t="shared" si="561"/>
        <v>1.421</v>
      </c>
      <c r="JQ180" s="931">
        <f t="shared" si="561"/>
        <v>40.167000000000002</v>
      </c>
      <c r="JR180" s="931">
        <f t="shared" si="561"/>
        <v>0</v>
      </c>
      <c r="JS180" s="931">
        <f t="shared" si="561"/>
        <v>0</v>
      </c>
      <c r="JT180" s="931">
        <f t="shared" si="541"/>
        <v>0</v>
      </c>
      <c r="JU180" s="931">
        <f t="shared" si="542"/>
        <v>0</v>
      </c>
      <c r="JV180" s="931">
        <f t="shared" si="543"/>
        <v>0</v>
      </c>
      <c r="JW180" s="931">
        <f t="shared" si="543"/>
        <v>0</v>
      </c>
      <c r="JX180" s="931" t="e">
        <f t="shared" si="544"/>
        <v>#VALUE!</v>
      </c>
      <c r="JY180" s="931" t="e">
        <f t="shared" si="545"/>
        <v>#VALUE!</v>
      </c>
      <c r="KB180" s="230">
        <f t="shared" si="546"/>
        <v>27.266713581984519</v>
      </c>
      <c r="KC180" s="230">
        <f t="shared" si="546"/>
        <v>-1</v>
      </c>
      <c r="KD180" s="230" t="str">
        <f t="shared" si="546"/>
        <v xml:space="preserve"> </v>
      </c>
      <c r="KE180" s="230" t="str">
        <f t="shared" si="546"/>
        <v xml:space="preserve"> </v>
      </c>
      <c r="KF180" s="230" t="str">
        <f t="shared" si="546"/>
        <v xml:space="preserve"> </v>
      </c>
      <c r="KG180" s="230" t="str">
        <f t="shared" si="546"/>
        <v xml:space="preserve"> </v>
      </c>
      <c r="KH180" s="230" t="str">
        <f t="shared" si="569"/>
        <v xml:space="preserve"> </v>
      </c>
      <c r="KJ180" s="931">
        <f t="shared" si="547"/>
        <v>38.746000000000002</v>
      </c>
      <c r="KK180" s="931">
        <f t="shared" si="547"/>
        <v>-40.167000000000002</v>
      </c>
      <c r="KL180" s="931">
        <f t="shared" si="547"/>
        <v>0</v>
      </c>
      <c r="KM180" s="931">
        <f t="shared" si="547"/>
        <v>0</v>
      </c>
      <c r="KN180" s="931">
        <f t="shared" si="547"/>
        <v>0</v>
      </c>
      <c r="KO180" s="931">
        <f t="shared" si="547"/>
        <v>0</v>
      </c>
      <c r="KP180" s="931" t="e">
        <f t="shared" si="570"/>
        <v>#VALUE!</v>
      </c>
      <c r="KR180" s="186"/>
      <c r="KS180" s="186"/>
      <c r="KT180" s="186"/>
      <c r="KU180" s="186"/>
      <c r="KV180" s="186"/>
      <c r="KW180" s="186"/>
      <c r="KX180" s="186"/>
      <c r="KY180" s="186"/>
      <c r="KZ180" s="186"/>
    </row>
    <row r="181" spans="1:312" outlineLevel="1" collapsed="1">
      <c r="A181" s="884"/>
      <c r="B181" s="70"/>
      <c r="E181" s="66"/>
      <c r="F181" s="66"/>
      <c r="G181" s="66"/>
      <c r="H181" s="66"/>
      <c r="I181" s="66"/>
      <c r="J181" s="66"/>
      <c r="K181" s="66"/>
      <c r="L181" s="66"/>
      <c r="M181" s="66"/>
      <c r="N181" s="66"/>
      <c r="O181" s="66"/>
      <c r="P181" s="66"/>
      <c r="Q181" s="102"/>
      <c r="R181" s="66"/>
      <c r="S181" s="66"/>
      <c r="T181" s="66"/>
      <c r="U181" s="66"/>
      <c r="V181" s="66"/>
      <c r="W181" s="66"/>
      <c r="X181" s="66"/>
      <c r="Y181" s="66"/>
      <c r="Z181" s="66"/>
      <c r="AA181" s="66"/>
      <c r="AB181" s="66"/>
      <c r="AC181" s="102"/>
      <c r="AD181" s="102"/>
      <c r="AE181" s="102"/>
      <c r="AF181" s="102"/>
      <c r="AG181" s="102"/>
      <c r="AH181" s="102"/>
      <c r="AI181" s="102"/>
      <c r="AJ181" s="102"/>
      <c r="AK181" s="102"/>
      <c r="AL181" s="102"/>
      <c r="AM181" s="102"/>
      <c r="AN181" s="102"/>
      <c r="AO181" s="102"/>
      <c r="AP181" s="145"/>
      <c r="AQ181" s="143"/>
      <c r="AR181" s="143"/>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52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J181" s="102"/>
      <c r="DK181" s="102"/>
      <c r="DL181" s="102"/>
      <c r="DM181" s="102"/>
      <c r="DN181" s="102"/>
      <c r="DO181" s="102"/>
      <c r="DP181" s="102"/>
      <c r="DQ181" s="102"/>
      <c r="DR181" s="102"/>
      <c r="DS181" s="102"/>
      <c r="DT181" s="102"/>
      <c r="DU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F181" s="102"/>
      <c r="GG181" s="102"/>
      <c r="GH181" s="102"/>
      <c r="GI181" s="102"/>
      <c r="GJ181" s="102"/>
      <c r="GK181" s="102"/>
      <c r="GL181" s="102">
        <f t="shared" si="571"/>
        <v>0</v>
      </c>
      <c r="GM181" s="102">
        <f t="shared" si="566"/>
        <v>0</v>
      </c>
      <c r="GN181" s="102"/>
      <c r="GO181" s="102">
        <v>0</v>
      </c>
      <c r="GQ181" s="32"/>
      <c r="GR181" s="32"/>
      <c r="GS181" s="32"/>
      <c r="GT181" s="929"/>
      <c r="GU181" s="929"/>
      <c r="GV181" s="929"/>
      <c r="GW181" s="929" t="str">
        <f t="shared" si="499"/>
        <v/>
      </c>
      <c r="GX181" s="32"/>
      <c r="GY181" s="929" t="str">
        <f t="shared" si="492"/>
        <v/>
      </c>
      <c r="HA181" s="102"/>
      <c r="HB181" s="102"/>
      <c r="HC181" s="102"/>
      <c r="HD181" s="102"/>
      <c r="HE181" s="102">
        <f t="shared" si="577"/>
        <v>0</v>
      </c>
      <c r="HF181" s="102">
        <f t="shared" si="577"/>
        <v>0</v>
      </c>
      <c r="HG181" s="102">
        <f t="shared" si="577"/>
        <v>0</v>
      </c>
      <c r="HH181" s="102"/>
      <c r="HI181" s="102">
        <f t="shared" si="493"/>
        <v>0</v>
      </c>
      <c r="HU181" s="102"/>
      <c r="HV181" s="102"/>
      <c r="HW181" s="102"/>
      <c r="HX181" s="102"/>
      <c r="HY181" s="102"/>
      <c r="HZ181" s="102"/>
      <c r="IA181" s="102"/>
      <c r="IB181" s="102"/>
      <c r="IC181" s="102"/>
      <c r="ID181" s="102"/>
      <c r="IE181" s="102"/>
      <c r="IG181" s="102"/>
      <c r="IH181" s="102"/>
      <c r="II181" s="145"/>
      <c r="IJ181" s="32"/>
      <c r="IK181" s="102"/>
      <c r="IP181" s="32"/>
      <c r="IQ181" s="32"/>
      <c r="IR181" s="32"/>
      <c r="IS181" s="32"/>
      <c r="IT181" s="32"/>
      <c r="IU181" s="32"/>
      <c r="IV181" s="32"/>
      <c r="IX181" s="102"/>
      <c r="IY181" s="102"/>
      <c r="IZ181" s="102"/>
      <c r="JA181" s="102"/>
      <c r="JB181" s="102"/>
      <c r="JC181" s="102"/>
      <c r="JD181" s="102"/>
      <c r="JO181" s="102"/>
      <c r="JP181" s="102"/>
      <c r="JQ181" s="102"/>
      <c r="JR181" s="102"/>
      <c r="JS181" s="102"/>
      <c r="JT181" s="102"/>
      <c r="JU181" s="102"/>
      <c r="JV181" s="102"/>
      <c r="JW181" s="102"/>
      <c r="JX181" s="102"/>
      <c r="JY181" s="102"/>
      <c r="KB181" s="32"/>
      <c r="KC181" s="32"/>
      <c r="KD181" s="32"/>
      <c r="KE181" s="32"/>
      <c r="KF181" s="32"/>
      <c r="KG181" s="32"/>
      <c r="KH181" s="32" t="str">
        <f t="shared" si="569"/>
        <v xml:space="preserve"> </v>
      </c>
      <c r="KJ181" s="102"/>
      <c r="KK181" s="102"/>
      <c r="KL181" s="102"/>
      <c r="KM181" s="102"/>
      <c r="KN181" s="102"/>
      <c r="KO181" s="102"/>
      <c r="KP181" s="102">
        <f t="shared" si="570"/>
        <v>0</v>
      </c>
    </row>
    <row r="182" spans="1:312">
      <c r="A182" s="884"/>
      <c r="B182" s="70"/>
      <c r="C182" s="1549" t="s">
        <v>148</v>
      </c>
      <c r="D182" s="1550" t="s">
        <v>59</v>
      </c>
      <c r="E182" s="1515">
        <f t="shared" ref="E182:BP182" si="578">+SUM(E183:E185,E188)</f>
        <v>1313.6539667172001</v>
      </c>
      <c r="F182" s="1515">
        <f t="shared" si="578"/>
        <v>1653.5488994841</v>
      </c>
      <c r="G182" s="1515">
        <f t="shared" si="578"/>
        <v>1351.7822683622999</v>
      </c>
      <c r="H182" s="1515">
        <f t="shared" si="578"/>
        <v>1132.8581796741</v>
      </c>
      <c r="I182" s="1515">
        <f t="shared" si="578"/>
        <v>1199.1442466013004</v>
      </c>
      <c r="J182" s="1515">
        <f t="shared" si="578"/>
        <v>1389.9778773146004</v>
      </c>
      <c r="K182" s="1515">
        <f t="shared" si="578"/>
        <v>1623.8064573019997</v>
      </c>
      <c r="L182" s="1515">
        <f t="shared" si="578"/>
        <v>2097.0908458703007</v>
      </c>
      <c r="M182" s="1515">
        <f t="shared" si="578"/>
        <v>2571.5245478827014</v>
      </c>
      <c r="N182" s="1515">
        <f t="shared" si="578"/>
        <v>2818.7869996390018</v>
      </c>
      <c r="O182" s="1515">
        <f t="shared" si="578"/>
        <v>3603.9346962220989</v>
      </c>
      <c r="P182" s="1515">
        <f t="shared" si="578"/>
        <v>4799.1225999999997</v>
      </c>
      <c r="Q182" s="1515">
        <f t="shared" si="578"/>
        <v>3576.3416871402997</v>
      </c>
      <c r="R182" s="1515">
        <f t="shared" si="578"/>
        <v>3542.1459992350997</v>
      </c>
      <c r="S182" s="1515">
        <f t="shared" si="578"/>
        <v>3243.2857136783</v>
      </c>
      <c r="T182" s="1515">
        <f t="shared" si="578"/>
        <v>175.49530790130075</v>
      </c>
      <c r="U182" s="1515">
        <f t="shared" si="578"/>
        <v>678.80278794790081</v>
      </c>
      <c r="V182" s="1515">
        <f t="shared" si="578"/>
        <v>1077.9067843460987</v>
      </c>
      <c r="W182" s="1515">
        <f t="shared" si="578"/>
        <v>1291.5445826576984</v>
      </c>
      <c r="X182" s="1515">
        <f t="shared" si="578"/>
        <v>1754.9091125373004</v>
      </c>
      <c r="Y182" s="1515">
        <f t="shared" si="578"/>
        <v>1424.9535813961015</v>
      </c>
      <c r="Z182" s="1515">
        <f t="shared" si="578"/>
        <v>1448.7155633570999</v>
      </c>
      <c r="AA182" s="1515">
        <f t="shared" si="578"/>
        <v>2300.4712146313</v>
      </c>
      <c r="AB182" s="1515">
        <f t="shared" si="578"/>
        <v>3470.2798959299998</v>
      </c>
      <c r="AC182" s="1515">
        <f t="shared" si="578"/>
        <v>3380.9587838299999</v>
      </c>
      <c r="AD182" s="1515">
        <f t="shared" si="578"/>
        <v>3696.0696568099997</v>
      </c>
      <c r="AE182" s="1515">
        <f t="shared" si="578"/>
        <v>8149.9701348419994</v>
      </c>
      <c r="AF182" s="1515">
        <f t="shared" si="578"/>
        <v>1286.8748577699998</v>
      </c>
      <c r="AG182" s="1515">
        <f t="shared" si="578"/>
        <v>1492.4771436199999</v>
      </c>
      <c r="AH182" s="1515">
        <f t="shared" si="578"/>
        <v>1750.7357493538</v>
      </c>
      <c r="AI182" s="1515">
        <f t="shared" si="578"/>
        <v>1858.4241727900001</v>
      </c>
      <c r="AJ182" s="1515">
        <f t="shared" si="578"/>
        <v>2178.8456283400001</v>
      </c>
      <c r="AK182" s="1515">
        <f t="shared" si="578"/>
        <v>2573.2569188699999</v>
      </c>
      <c r="AL182" s="1515">
        <f t="shared" si="578"/>
        <v>3152.9604056199996</v>
      </c>
      <c r="AM182" s="1515">
        <f t="shared" si="578"/>
        <v>4297.7435941599997</v>
      </c>
      <c r="AN182" s="1515">
        <f t="shared" si="578"/>
        <v>6118.2493911000001</v>
      </c>
      <c r="AO182" s="1515">
        <f t="shared" si="578"/>
        <v>5981.14335407</v>
      </c>
      <c r="AP182" s="1515">
        <f t="shared" si="578"/>
        <v>5624.6589532699991</v>
      </c>
      <c r="AQ182" s="1515">
        <f t="shared" si="578"/>
        <v>5439.8771048500003</v>
      </c>
      <c r="AR182" s="1515">
        <f t="shared" si="578"/>
        <v>1279.5724204600001</v>
      </c>
      <c r="AS182" s="1515">
        <f t="shared" si="578"/>
        <v>549.76006367999992</v>
      </c>
      <c r="AT182" s="1515">
        <f t="shared" si="578"/>
        <v>262.05008780000003</v>
      </c>
      <c r="AU182" s="1515">
        <f t="shared" si="578"/>
        <v>328.87395050000009</v>
      </c>
      <c r="AV182" s="1515">
        <f t="shared" si="578"/>
        <v>399.91897891000008</v>
      </c>
      <c r="AW182" s="1515">
        <f t="shared" si="578"/>
        <v>132.33247664999999</v>
      </c>
      <c r="AX182" s="1515">
        <f t="shared" si="578"/>
        <v>1343.5889562300001</v>
      </c>
      <c r="AY182" s="1515">
        <f t="shared" si="578"/>
        <v>1346.3226199799999</v>
      </c>
      <c r="AZ182" s="1515">
        <f t="shared" si="578"/>
        <v>2303.2292436299999</v>
      </c>
      <c r="BA182" s="1515">
        <f t="shared" si="578"/>
        <v>2126.4975594100001</v>
      </c>
      <c r="BB182" s="1515">
        <f t="shared" si="578"/>
        <v>2153.2149492799999</v>
      </c>
      <c r="BC182" s="1515">
        <f t="shared" si="578"/>
        <v>2273.30236066</v>
      </c>
      <c r="BD182" s="1515">
        <f t="shared" si="578"/>
        <v>2183.8283346900002</v>
      </c>
      <c r="BE182" s="1515">
        <f t="shared" si="578"/>
        <v>2192.4998673999999</v>
      </c>
      <c r="BF182" s="1515">
        <f t="shared" si="578"/>
        <v>2176.7772751699999</v>
      </c>
      <c r="BG182" s="1515">
        <f t="shared" si="578"/>
        <v>2302.77961125</v>
      </c>
      <c r="BH182" s="1515">
        <f t="shared" si="578"/>
        <v>1688.61527733</v>
      </c>
      <c r="BI182" s="1515">
        <f t="shared" si="578"/>
        <v>1728.1918284400001</v>
      </c>
      <c r="BJ182" s="1515">
        <f t="shared" si="578"/>
        <v>1747.7865568000002</v>
      </c>
      <c r="BK182" s="1515">
        <f t="shared" si="578"/>
        <v>1779.3331585400001</v>
      </c>
      <c r="BL182" s="1515">
        <f t="shared" si="578"/>
        <v>1915.99864789</v>
      </c>
      <c r="BM182" s="1515">
        <f t="shared" si="578"/>
        <v>915.30386747</v>
      </c>
      <c r="BN182" s="1515">
        <f>+SUM(BN183:BN185,BN188)</f>
        <v>902.05935989</v>
      </c>
      <c r="BO182" s="1515">
        <f t="shared" si="578"/>
        <v>935.51967638000008</v>
      </c>
      <c r="BP182" s="1515">
        <f t="shared" si="578"/>
        <v>939.47885371000007</v>
      </c>
      <c r="BQ182" s="1515">
        <f t="shared" ref="BQ182:DH182" si="579">+SUM(BQ183:BQ185,BQ188)</f>
        <v>912.22980105000011</v>
      </c>
      <c r="BR182" s="1515">
        <f t="shared" si="579"/>
        <v>938.25538805000008</v>
      </c>
      <c r="BS182" s="1515">
        <f t="shared" si="579"/>
        <v>940.13896827999997</v>
      </c>
      <c r="BT182" s="1515">
        <f t="shared" si="579"/>
        <v>982.24784893000015</v>
      </c>
      <c r="BU182" s="1515">
        <f t="shared" si="579"/>
        <v>973.83622768000009</v>
      </c>
      <c r="BV182" s="1515">
        <f t="shared" si="579"/>
        <v>997.86276423000004</v>
      </c>
      <c r="BW182" s="1515">
        <f t="shared" si="579"/>
        <v>1135.1839753200002</v>
      </c>
      <c r="BX182" s="1515">
        <f t="shared" si="579"/>
        <v>30.439543</v>
      </c>
      <c r="BY182" s="1515">
        <f t="shared" si="579"/>
        <v>508.93349866999995</v>
      </c>
      <c r="BZ182" s="1515">
        <f t="shared" si="579"/>
        <v>472.75083882000001</v>
      </c>
      <c r="CA182" s="1515">
        <f t="shared" si="579"/>
        <v>473.93830601999997</v>
      </c>
      <c r="CB182" s="1515">
        <f t="shared" si="579"/>
        <v>478.26979646000001</v>
      </c>
      <c r="CC182" s="1515">
        <f t="shared" si="579"/>
        <v>485.27811426</v>
      </c>
      <c r="CD182" s="1515">
        <f t="shared" si="579"/>
        <v>487.50264566999999</v>
      </c>
      <c r="CE182" s="1515">
        <f t="shared" si="579"/>
        <v>444.25055479999997</v>
      </c>
      <c r="CF182" s="1515">
        <f t="shared" si="579"/>
        <v>444.98902465000003</v>
      </c>
      <c r="CG182" s="1515">
        <f t="shared" si="579"/>
        <v>523.62375358999998</v>
      </c>
      <c r="CH182" s="1515">
        <f t="shared" si="579"/>
        <v>538.66110790000005</v>
      </c>
      <c r="CI182" s="1515">
        <f t="shared" si="579"/>
        <v>647.37613271999999</v>
      </c>
      <c r="CJ182" s="1515">
        <f t="shared" si="579"/>
        <v>205.67228679000002</v>
      </c>
      <c r="CK182" s="1515">
        <f t="shared" si="579"/>
        <v>684.66766968000002</v>
      </c>
      <c r="CL182" s="1515">
        <f t="shared" si="579"/>
        <v>722.61953683000002</v>
      </c>
      <c r="CM182" s="1515">
        <f t="shared" si="579"/>
        <v>652.88472963000004</v>
      </c>
      <c r="CN182" s="1515">
        <f t="shared" si="579"/>
        <v>697.39534562999995</v>
      </c>
      <c r="CO182" s="1515">
        <f t="shared" si="579"/>
        <v>802.62871964999999</v>
      </c>
      <c r="CP182" s="1515">
        <f t="shared" si="579"/>
        <v>775.40064902999995</v>
      </c>
      <c r="CQ182" s="1515">
        <f t="shared" si="579"/>
        <v>859.34255704999998</v>
      </c>
      <c r="CR182" s="1515">
        <f t="shared" si="579"/>
        <v>955.01922137999998</v>
      </c>
      <c r="CS182" s="1515">
        <f t="shared" si="579"/>
        <v>833.49341229000004</v>
      </c>
      <c r="CT182" s="1515">
        <f t="shared" si="579"/>
        <v>911.37385372999995</v>
      </c>
      <c r="CU182" s="1515">
        <f t="shared" si="579"/>
        <v>942.82960832999993</v>
      </c>
      <c r="CV182" s="1515">
        <f t="shared" si="579"/>
        <v>373.91695800000002</v>
      </c>
      <c r="CW182" s="1515">
        <f t="shared" si="579"/>
        <v>1037.6344999500002</v>
      </c>
      <c r="CX182" s="1515">
        <f t="shared" si="579"/>
        <v>873.04733697000006</v>
      </c>
      <c r="CY182" s="1515">
        <f t="shared" si="579"/>
        <v>969.26553166999997</v>
      </c>
      <c r="CZ182" s="1515">
        <f t="shared" si="579"/>
        <v>715.87135927000008</v>
      </c>
      <c r="DA182" s="1515">
        <f t="shared" si="579"/>
        <v>714.7139889</v>
      </c>
      <c r="DB182" s="1515">
        <f t="shared" si="579"/>
        <v>809.71072804000005</v>
      </c>
      <c r="DC182" s="1515">
        <f t="shared" si="579"/>
        <v>941.41717631999995</v>
      </c>
      <c r="DD182" s="1515">
        <f t="shared" si="579"/>
        <v>993.26331260000006</v>
      </c>
      <c r="DE182" s="1515">
        <f t="shared" si="579"/>
        <v>1045.1664056</v>
      </c>
      <c r="DF182" s="1515">
        <f t="shared" si="579"/>
        <v>979.05924660000005</v>
      </c>
      <c r="DG182" s="1515">
        <f t="shared" si="579"/>
        <v>963.92095946999996</v>
      </c>
      <c r="DH182" s="1515">
        <f t="shared" si="579"/>
        <v>590.95609141</v>
      </c>
      <c r="DI182" s="77"/>
      <c r="DJ182" s="1515" t="e">
        <f t="shared" ref="DJ182:FU182" si="580">+SUM(DJ183:DJ185,DJ188)</f>
        <v>#VALUE!</v>
      </c>
      <c r="DK182" s="1515" t="e">
        <f t="shared" si="580"/>
        <v>#VALUE!</v>
      </c>
      <c r="DL182" s="1515" t="e">
        <f t="shared" si="580"/>
        <v>#VALUE!</v>
      </c>
      <c r="DM182" s="1515" t="e">
        <f t="shared" si="580"/>
        <v>#VALUE!</v>
      </c>
      <c r="DN182" s="1515" t="e">
        <f t="shared" si="580"/>
        <v>#VALUE!</v>
      </c>
      <c r="DO182" s="1515" t="e">
        <f t="shared" si="580"/>
        <v>#VALUE!</v>
      </c>
      <c r="DP182" s="1515" t="e">
        <f t="shared" si="580"/>
        <v>#VALUE!</v>
      </c>
      <c r="DQ182" s="1515" t="e">
        <f t="shared" si="580"/>
        <v>#VALUE!</v>
      </c>
      <c r="DR182" s="1515" t="e">
        <f t="shared" si="580"/>
        <v>#VALUE!</v>
      </c>
      <c r="DS182" s="1515" t="e">
        <f t="shared" si="580"/>
        <v>#VALUE!</v>
      </c>
      <c r="DT182" s="1515" t="e">
        <f t="shared" si="580"/>
        <v>#VALUE!</v>
      </c>
      <c r="DU182" s="1515" t="e">
        <f t="shared" si="580"/>
        <v>#VALUE!</v>
      </c>
      <c r="DV182" s="279"/>
      <c r="DW182" s="1515">
        <f t="shared" si="580"/>
        <v>7560.2515317890156</v>
      </c>
      <c r="DX182" s="1515">
        <f t="shared" si="580"/>
        <v>10359.23573241106</v>
      </c>
      <c r="DY182" s="1515">
        <f t="shared" si="580"/>
        <v>9984.8090849602795</v>
      </c>
      <c r="DZ182" s="1515">
        <f t="shared" si="580"/>
        <v>6053.2523457286161</v>
      </c>
      <c r="EA182" s="1515">
        <f t="shared" si="580"/>
        <v>5868.2770805743867</v>
      </c>
      <c r="EB182" s="1515">
        <f t="shared" si="580"/>
        <v>5763.8366142245404</v>
      </c>
      <c r="EC182" s="1515">
        <f t="shared" si="580"/>
        <v>5988.33622474599</v>
      </c>
      <c r="ED182" s="1515">
        <f t="shared" si="580"/>
        <v>6534.2058539579803</v>
      </c>
      <c r="EE182" s="1515">
        <f t="shared" si="580"/>
        <v>6763.0071976272611</v>
      </c>
      <c r="EF182" s="1515">
        <f t="shared" si="580"/>
        <v>7085.4086394768437</v>
      </c>
      <c r="EG182" s="1515">
        <f t="shared" si="580"/>
        <v>7342.5311162288745</v>
      </c>
      <c r="EH182" s="1515">
        <f t="shared" si="580"/>
        <v>7443.6022790248235</v>
      </c>
      <c r="EI182" s="1515">
        <f t="shared" si="580"/>
        <v>9017.9813584813892</v>
      </c>
      <c r="EJ182" s="1515">
        <f t="shared" si="580"/>
        <v>8788.6226341198108</v>
      </c>
      <c r="EK182" s="1515">
        <f t="shared" si="580"/>
        <v>8529.6529716859077</v>
      </c>
      <c r="EL182" s="1515">
        <f t="shared" si="580"/>
        <v>8270.8942163246938</v>
      </c>
      <c r="EM182" s="1515">
        <f t="shared" si="580"/>
        <v>8012.3641803466608</v>
      </c>
      <c r="EN182" s="1515">
        <f t="shared" si="580"/>
        <v>7753.6804655718224</v>
      </c>
      <c r="EO182" s="1515">
        <f t="shared" si="580"/>
        <v>7494.6734357811029</v>
      </c>
      <c r="EP182" s="1515">
        <f t="shared" si="580"/>
        <v>7235.9535060933049</v>
      </c>
      <c r="EQ182" s="1515">
        <f t="shared" si="580"/>
        <v>7083.8223935156138</v>
      </c>
      <c r="ER182" s="1515">
        <f t="shared" si="580"/>
        <v>6954.562863386338</v>
      </c>
      <c r="ES182" s="1515">
        <f t="shared" si="580"/>
        <v>6967.65429891445</v>
      </c>
      <c r="ET182" s="1515">
        <f t="shared" si="580"/>
        <v>6905.8858930605238</v>
      </c>
      <c r="EU182" s="1515">
        <f t="shared" si="580"/>
        <v>1852.9902804612484</v>
      </c>
      <c r="EV182" s="1515">
        <f t="shared" si="580"/>
        <v>1805.9995454212485</v>
      </c>
      <c r="EW182" s="1515">
        <f t="shared" si="580"/>
        <v>1813.9241358045583</v>
      </c>
      <c r="EX182" s="1515">
        <f t="shared" si="580"/>
        <v>1821.1171088972085</v>
      </c>
      <c r="EY182" s="1515">
        <f t="shared" si="580"/>
        <v>1828.7868680278784</v>
      </c>
      <c r="EZ182" s="1515">
        <f t="shared" si="580"/>
        <v>1835.4000339901186</v>
      </c>
      <c r="FA182" s="1515">
        <f t="shared" si="580"/>
        <v>1842.8499691030183</v>
      </c>
      <c r="FB182" s="1515">
        <f t="shared" si="580"/>
        <v>1847.8886982430186</v>
      </c>
      <c r="FC182" s="1515">
        <f t="shared" si="580"/>
        <v>1851.6887007430184</v>
      </c>
      <c r="FD182" s="1515">
        <f t="shared" si="580"/>
        <v>1854.7803492430185</v>
      </c>
      <c r="FE182" s="1515">
        <f t="shared" si="580"/>
        <v>1858.3895805430184</v>
      </c>
      <c r="FF182" s="1515">
        <f t="shared" si="580"/>
        <v>1861.6746498430184</v>
      </c>
      <c r="FG182" s="1515" t="e">
        <f t="shared" si="580"/>
        <v>#VALUE!</v>
      </c>
      <c r="FH182" s="1515" t="e">
        <f t="shared" si="580"/>
        <v>#VALUE!</v>
      </c>
      <c r="FI182" s="1515" t="e">
        <f t="shared" si="580"/>
        <v>#VALUE!</v>
      </c>
      <c r="FJ182" s="1515" t="e">
        <f t="shared" si="580"/>
        <v>#VALUE!</v>
      </c>
      <c r="FK182" s="1515" t="e">
        <f t="shared" si="580"/>
        <v>#VALUE!</v>
      </c>
      <c r="FL182" s="1515" t="e">
        <f t="shared" si="580"/>
        <v>#VALUE!</v>
      </c>
      <c r="FM182" s="1515" t="e">
        <f t="shared" si="580"/>
        <v>#VALUE!</v>
      </c>
      <c r="FN182" s="1515" t="e">
        <f t="shared" si="580"/>
        <v>#VALUE!</v>
      </c>
      <c r="FO182" s="1515" t="e">
        <f t="shared" si="580"/>
        <v>#VALUE!</v>
      </c>
      <c r="FP182" s="1515" t="e">
        <f t="shared" si="580"/>
        <v>#VALUE!</v>
      </c>
      <c r="FQ182" s="1515" t="e">
        <f t="shared" si="580"/>
        <v>#VALUE!</v>
      </c>
      <c r="FR182" s="1515" t="e">
        <f t="shared" si="580"/>
        <v>#VALUE!</v>
      </c>
      <c r="FS182" s="1515" t="e">
        <f t="shared" si="580"/>
        <v>#VALUE!</v>
      </c>
      <c r="FT182" s="1515" t="e">
        <f t="shared" si="580"/>
        <v>#VALUE!</v>
      </c>
      <c r="FU182" s="1515" t="e">
        <f t="shared" si="580"/>
        <v>#VALUE!</v>
      </c>
      <c r="FV182" s="1515" t="e">
        <f t="shared" ref="FV182:GD182" si="581">+SUM(FV183:FV185,FV188)</f>
        <v>#VALUE!</v>
      </c>
      <c r="FW182" s="1515" t="e">
        <f t="shared" si="581"/>
        <v>#VALUE!</v>
      </c>
      <c r="FX182" s="1515" t="e">
        <f t="shared" si="581"/>
        <v>#VALUE!</v>
      </c>
      <c r="FY182" s="1515" t="e">
        <f t="shared" si="581"/>
        <v>#VALUE!</v>
      </c>
      <c r="FZ182" s="1515" t="e">
        <f t="shared" si="581"/>
        <v>#VALUE!</v>
      </c>
      <c r="GA182" s="1515" t="e">
        <f t="shared" si="581"/>
        <v>#VALUE!</v>
      </c>
      <c r="GB182" s="1515" t="e">
        <f t="shared" si="581"/>
        <v>#VALUE!</v>
      </c>
      <c r="GC182" s="1515" t="e">
        <f t="shared" si="581"/>
        <v>#VALUE!</v>
      </c>
      <c r="GD182" s="1515" t="e">
        <f t="shared" si="581"/>
        <v>#VALUE!</v>
      </c>
      <c r="GF182" s="1515">
        <f t="shared" ref="GF182:GI192" si="582">+SUMIFS($E182:$AZ182,$E$6:$AZ$6,GF$7,$E$5:$AZ$5,12)</f>
        <v>4799.1225999999997</v>
      </c>
      <c r="GG182" s="1515">
        <f t="shared" si="582"/>
        <v>3470.2798959299998</v>
      </c>
      <c r="GH182" s="1515">
        <f t="shared" si="582"/>
        <v>6118.2493911000001</v>
      </c>
      <c r="GI182" s="1515">
        <f t="shared" si="582"/>
        <v>2303.2292436299999</v>
      </c>
      <c r="GJ182" s="1515">
        <f t="shared" si="575"/>
        <v>1915.99864789</v>
      </c>
      <c r="GK182" s="1515">
        <f t="shared" si="565"/>
        <v>30.439543</v>
      </c>
      <c r="GL182" s="1515">
        <f t="shared" si="571"/>
        <v>205.67228679000002</v>
      </c>
      <c r="GM182" s="1515">
        <f t="shared" si="566"/>
        <v>373.91695800000002</v>
      </c>
      <c r="GN182" s="1515" t="e">
        <f t="shared" si="567"/>
        <v>#VALUE!</v>
      </c>
      <c r="GO182" s="1515">
        <v>590.95609141</v>
      </c>
      <c r="GQ182" s="1519">
        <f t="shared" ref="GQ182:GX197" si="583">+IFERROR(GH182/GG182-1,"")</f>
        <v>0.76304205268156666</v>
      </c>
      <c r="GR182" s="1519">
        <f t="shared" si="583"/>
        <v>-0.62354766921066906</v>
      </c>
      <c r="GS182" s="1519">
        <f t="shared" si="583"/>
        <v>-0.1681250777841401</v>
      </c>
      <c r="GT182" s="1519">
        <f t="shared" si="583"/>
        <v>-0.98411296217065625</v>
      </c>
      <c r="GU182" s="1519">
        <f t="shared" si="583"/>
        <v>5.75674686673187</v>
      </c>
      <c r="GV182" s="1519">
        <f t="shared" si="583"/>
        <v>0.81802304936583337</v>
      </c>
      <c r="GW182" s="1519" t="str">
        <f t="shared" si="499"/>
        <v/>
      </c>
      <c r="GX182" s="1519" t="str">
        <f t="shared" si="499"/>
        <v/>
      </c>
      <c r="GY182" s="1519">
        <f t="shared" si="492"/>
        <v>0.58044741958453772</v>
      </c>
      <c r="HA182" s="1515">
        <f t="shared" ref="HA182:HC192" si="584">+GH182-GG182</f>
        <v>2647.9694951700003</v>
      </c>
      <c r="HB182" s="1515">
        <f t="shared" si="584"/>
        <v>-3815.0201474700002</v>
      </c>
      <c r="HC182" s="1515">
        <f t="shared" si="584"/>
        <v>-387.2305957399999</v>
      </c>
      <c r="HD182" s="1515">
        <f t="shared" si="577"/>
        <v>-1885.5591048900001</v>
      </c>
      <c r="HE182" s="1515">
        <f t="shared" si="577"/>
        <v>175.23274379000003</v>
      </c>
      <c r="HF182" s="1515">
        <f t="shared" si="577"/>
        <v>168.24467121000001</v>
      </c>
      <c r="HG182" s="1515" t="e">
        <f t="shared" si="577"/>
        <v>#VALUE!</v>
      </c>
      <c r="HH182" s="1515" t="e">
        <f t="shared" si="577"/>
        <v>#VALUE!</v>
      </c>
      <c r="HI182" s="1515">
        <f t="shared" si="493"/>
        <v>217.03913340999998</v>
      </c>
      <c r="HK182" s="1548"/>
      <c r="HL182" s="1548"/>
      <c r="HM182" s="1548"/>
      <c r="HN182" s="1548"/>
      <c r="HO182" s="1548"/>
      <c r="HP182" s="1548"/>
      <c r="HQ182" s="1548"/>
      <c r="HR182" s="1548"/>
      <c r="HS182" s="1548"/>
      <c r="HU182" s="1515">
        <f t="shared" ref="HU182:HX192" si="585">+IFERROR(SUMIFS($E182:$AZ182,$E$6:$AZ$6,HU$7,$E$5:$AZ$5,$HW$5),"NA")</f>
        <v>1389.9778773146004</v>
      </c>
      <c r="HV182" s="1515">
        <f t="shared" si="585"/>
        <v>1077.9067843460987</v>
      </c>
      <c r="HW182" s="1515">
        <f t="shared" si="585"/>
        <v>1750.7357493538</v>
      </c>
      <c r="HX182" s="1515">
        <f t="shared" si="585"/>
        <v>262.05008780000003</v>
      </c>
      <c r="HY182" s="1515">
        <f t="shared" ref="HY182:HZ192" si="586">+IFERROR(SUMIFS($E182:$BX182,$E$6:$BX$6,HY$7,$E$5:$BX$5,$HW$5),"NA")</f>
        <v>2176.7772751699999</v>
      </c>
      <c r="HZ182" s="1515">
        <f t="shared" si="586"/>
        <v>938.25538805000008</v>
      </c>
      <c r="IA182" s="1515">
        <f t="shared" ref="IA182:IA192" si="587">+IFERROR(SUMIFS($E182:$CJ182,$E$6:$CJ$6,IA$7,$E$5:$CJ$5,$HW$5),"NA")</f>
        <v>487.50264566999999</v>
      </c>
      <c r="IB182" s="1515">
        <f t="shared" ref="IB182:IB192" si="588">+IFERROR(SUMIFS($E182:$CV182,$E$6:$CV$6,IB$7,$E$5:$CV$5,$HW$5),"NA")</f>
        <v>775.40064902999995</v>
      </c>
      <c r="IC182" s="1515">
        <f t="shared" ref="IC182:IC192" si="589">+IFERROR(SUMIFS($E182:$DH182,$E$6:$DH$6,IC$7,$E$5:$DH$5,$HW$5),"NA")</f>
        <v>809.71072804000005</v>
      </c>
      <c r="ID182" s="1515" t="e">
        <f t="shared" si="568"/>
        <v>#VALUE!</v>
      </c>
      <c r="IE182" s="1515" t="e">
        <f t="shared" ref="IE182:IE208" si="590">+SUMIF($DJ$5:$DU$5,"="&amp;$HW$5,$DJ182:$DU182)</f>
        <v>#VALUE!</v>
      </c>
      <c r="IG182" s="1515" t="e">
        <f t="shared" si="533"/>
        <v>#VALUE!</v>
      </c>
      <c r="IH182" s="1515" t="e">
        <f t="shared" si="534"/>
        <v>#VALUE!</v>
      </c>
      <c r="II182" s="939"/>
      <c r="IJ182" s="1519" t="str">
        <f t="shared" ref="IJ182:IJ192" si="591">+IFERROR(IG182/IH182,"NA")</f>
        <v>NA</v>
      </c>
      <c r="IK182" s="1523" t="str">
        <f t="shared" ref="IK182:IK192" si="592">+IFERROR(IG182-IH182,"NA")</f>
        <v>NA</v>
      </c>
      <c r="IM182" s="973"/>
      <c r="IN182" s="973"/>
      <c r="IP182" s="1520">
        <f t="shared" si="537"/>
        <v>0.62419958272724507</v>
      </c>
      <c r="IQ182" s="1520">
        <f t="shared" si="537"/>
        <v>-0.85032002236961046</v>
      </c>
      <c r="IR182" s="1520">
        <f t="shared" si="537"/>
        <v>7.3067221745460511</v>
      </c>
      <c r="IS182" s="1520">
        <f>+IFERROR(HZ182/HY182-1,"NA")</f>
        <v>-0.56897042304122492</v>
      </c>
      <c r="IT182" s="1520">
        <f>+IFERROR(IA182/HZ182-1,"NA")</f>
        <v>-0.48041583146866962</v>
      </c>
      <c r="IU182" s="1520">
        <f>+IFERROR(IB182/IA182-1,"NA")</f>
        <v>0.59055680193145799</v>
      </c>
      <c r="IV182" s="1520" t="str">
        <f>+IFERROR(IE182/IB182-1,"NA")</f>
        <v>NA</v>
      </c>
      <c r="IX182" s="1515">
        <f t="shared" si="538"/>
        <v>672.8289650077013</v>
      </c>
      <c r="IY182" s="1515">
        <f t="shared" si="538"/>
        <v>-1488.6856615537999</v>
      </c>
      <c r="IZ182" s="1515">
        <f t="shared" si="538"/>
        <v>1914.7271873699999</v>
      </c>
      <c r="JA182" s="1515">
        <f t="shared" si="538"/>
        <v>-1238.52188712</v>
      </c>
      <c r="JB182" s="1515">
        <f t="shared" si="538"/>
        <v>-450.75274238000009</v>
      </c>
      <c r="JC182" s="1515">
        <f t="shared" si="538"/>
        <v>287.89800335999996</v>
      </c>
      <c r="JD182" s="1515" t="e">
        <f t="shared" ref="JD182:JD192" si="593">+IE182-IB182</f>
        <v>#VALUE!</v>
      </c>
      <c r="JF182" s="1548"/>
      <c r="JG182" s="1548"/>
      <c r="JH182" s="1548"/>
      <c r="JI182" s="1548"/>
      <c r="JJ182" s="1548"/>
      <c r="JK182" s="1548"/>
      <c r="JL182" s="1548"/>
      <c r="JM182" s="1548"/>
      <c r="JO182" s="1515">
        <f t="shared" ref="JO182:JS192" si="594">+SUMIFS($E182:$BX182,$E$6:$BX$6,JO$7,$E$5:$BX$5,$JQ$5)</f>
        <v>1389.9778773146004</v>
      </c>
      <c r="JP182" s="1515">
        <f t="shared" si="594"/>
        <v>1077.9067843460987</v>
      </c>
      <c r="JQ182" s="1515">
        <f t="shared" si="594"/>
        <v>1750.7357493538</v>
      </c>
      <c r="JR182" s="1515">
        <f t="shared" si="594"/>
        <v>262.05008780000003</v>
      </c>
      <c r="JS182" s="1515">
        <f t="shared" si="594"/>
        <v>2176.7772751699999</v>
      </c>
      <c r="JT182" s="1515">
        <f t="shared" ref="JT182:JT192" si="595">+SUMIFS($E182:$CJ182,$E$6:$CJ$6,JT$7,$E$5:$CJ$5,$JQ$5)</f>
        <v>938.25538805000008</v>
      </c>
      <c r="JU182" s="1515">
        <f t="shared" ref="JU182:JU192" si="596">+SUMIFS($E182:$CV182,$E$6:$CV$6,JU$7,$E$5:$CV$5,$JQ$5)</f>
        <v>487.50264566999999</v>
      </c>
      <c r="JV182" s="1515">
        <f t="shared" ref="JV182:JW192" si="597">+SUMIFS($E182:$DH182,$E$6:$DH$6,JV$7,$E$5:$DH$5,$JQ$5)</f>
        <v>775.40064902999995</v>
      </c>
      <c r="JW182" s="1515">
        <f t="shared" si="597"/>
        <v>809.71072804000005</v>
      </c>
      <c r="JX182" s="1515" t="e">
        <f t="shared" ref="JX182:JX192" si="598">+SUMIF($FS$5:$GD$5,$JQ$5,$FS182:$GD182)</f>
        <v>#VALUE!</v>
      </c>
      <c r="JY182" s="1515" t="e">
        <f t="shared" ref="JY182:JY192" si="599">+SUMIF($DJ$5:$DU$5,$JQ$5,$DJ182:$DU182)</f>
        <v>#VALUE!</v>
      </c>
      <c r="KB182" s="1520">
        <f t="shared" ref="KB182:KG192" si="600">+IFERROR(JQ182/JP182-1," ")</f>
        <v>0.62419958272724507</v>
      </c>
      <c r="KC182" s="1520">
        <f t="shared" si="600"/>
        <v>-0.85032002236961046</v>
      </c>
      <c r="KD182" s="1520">
        <f t="shared" si="600"/>
        <v>7.3067221745460511</v>
      </c>
      <c r="KE182" s="1520">
        <f t="shared" si="600"/>
        <v>-0.56897042304122492</v>
      </c>
      <c r="KF182" s="1520">
        <f t="shared" si="600"/>
        <v>-0.48041583146866962</v>
      </c>
      <c r="KG182" s="1520">
        <f t="shared" si="600"/>
        <v>0.59055680193145799</v>
      </c>
      <c r="KH182" s="1520" t="str">
        <f t="shared" si="569"/>
        <v xml:space="preserve"> </v>
      </c>
      <c r="KJ182" s="1515">
        <f t="shared" ref="KJ182:KO192" si="601">+JQ182-JP182</f>
        <v>672.8289650077013</v>
      </c>
      <c r="KK182" s="1515">
        <f t="shared" si="601"/>
        <v>-1488.6856615537999</v>
      </c>
      <c r="KL182" s="1515">
        <f t="shared" si="601"/>
        <v>1914.7271873699999</v>
      </c>
      <c r="KM182" s="1515">
        <f t="shared" si="601"/>
        <v>-1238.52188712</v>
      </c>
      <c r="KN182" s="1515">
        <f t="shared" si="601"/>
        <v>-450.75274238000009</v>
      </c>
      <c r="KO182" s="1515">
        <f t="shared" si="601"/>
        <v>287.89800335999996</v>
      </c>
      <c r="KP182" s="1515" t="e">
        <f t="shared" si="570"/>
        <v>#VALUE!</v>
      </c>
      <c r="KR182" s="1548"/>
      <c r="KS182" s="1548"/>
      <c r="KT182" s="1548"/>
      <c r="KU182" s="1548"/>
      <c r="KV182" s="1548"/>
      <c r="KW182" s="1548"/>
      <c r="KX182" s="1548"/>
      <c r="KY182" s="1548"/>
      <c r="KZ182" s="1548"/>
    </row>
    <row r="183" spans="1:312" outlineLevel="1">
      <c r="A183" s="884">
        <v>2115</v>
      </c>
      <c r="B183" s="70" t="s">
        <v>745</v>
      </c>
      <c r="C183" s="17" t="s">
        <v>149</v>
      </c>
      <c r="D183" s="31" t="s">
        <v>59</v>
      </c>
      <c r="E183" s="924">
        <v>210.29515699999999</v>
      </c>
      <c r="F183" s="924">
        <v>200.858273</v>
      </c>
      <c r="G183" s="924">
        <v>191.341497</v>
      </c>
      <c r="H183" s="924">
        <v>181.73484400000001</v>
      </c>
      <c r="I183" s="924">
        <v>172.049105</v>
      </c>
      <c r="J183" s="924">
        <v>537.59135300000003</v>
      </c>
      <c r="K183" s="924">
        <v>519.62799199999995</v>
      </c>
      <c r="L183" s="924">
        <v>501.498695</v>
      </c>
      <c r="M183" s="924">
        <v>483.212425</v>
      </c>
      <c r="N183" s="924">
        <v>464.73046900000003</v>
      </c>
      <c r="O183" s="924">
        <v>672.977171</v>
      </c>
      <c r="P183" s="924">
        <v>648.83004700000004</v>
      </c>
      <c r="Q183" s="924">
        <v>0</v>
      </c>
      <c r="R183" s="924">
        <v>0</v>
      </c>
      <c r="S183" s="924">
        <v>0</v>
      </c>
      <c r="T183" s="924">
        <v>0</v>
      </c>
      <c r="U183" s="924">
        <v>0</v>
      </c>
      <c r="V183" s="924">
        <v>0</v>
      </c>
      <c r="W183" s="924">
        <v>0</v>
      </c>
      <c r="X183" s="924">
        <v>0</v>
      </c>
      <c r="Y183" s="924">
        <v>0</v>
      </c>
      <c r="Z183" s="924">
        <v>0</v>
      </c>
      <c r="AA183" s="924">
        <v>0</v>
      </c>
      <c r="AB183" s="924">
        <v>0</v>
      </c>
      <c r="AC183" s="924">
        <v>0</v>
      </c>
      <c r="AD183" s="924">
        <v>0</v>
      </c>
      <c r="AE183" s="924">
        <v>0</v>
      </c>
      <c r="AF183" s="924">
        <v>0</v>
      </c>
      <c r="AG183" s="924">
        <v>0</v>
      </c>
      <c r="AH183" s="924">
        <v>0</v>
      </c>
      <c r="AI183" s="924">
        <v>0</v>
      </c>
      <c r="AJ183" s="924">
        <v>0</v>
      </c>
      <c r="AK183" s="924">
        <v>0</v>
      </c>
      <c r="AL183" s="924">
        <v>0</v>
      </c>
      <c r="AM183" s="924">
        <v>0</v>
      </c>
      <c r="AN183" s="102">
        <v>0</v>
      </c>
      <c r="AO183" s="924">
        <v>0</v>
      </c>
      <c r="AP183" s="925">
        <v>0</v>
      </c>
      <c r="AQ183" s="220">
        <v>0</v>
      </c>
      <c r="AR183" s="220">
        <v>0</v>
      </c>
      <c r="AS183" s="924">
        <v>0</v>
      </c>
      <c r="AT183" s="924">
        <v>0</v>
      </c>
      <c r="AU183" s="924">
        <v>0</v>
      </c>
      <c r="AV183" s="924">
        <v>0</v>
      </c>
      <c r="AW183" s="924">
        <v>0</v>
      </c>
      <c r="AX183" s="924">
        <v>0</v>
      </c>
      <c r="AY183" s="924">
        <v>0</v>
      </c>
      <c r="AZ183" s="102">
        <v>0</v>
      </c>
      <c r="BA183" s="102">
        <v>0</v>
      </c>
      <c r="BB183" s="102">
        <v>0</v>
      </c>
      <c r="BC183" s="102">
        <v>0</v>
      </c>
      <c r="BD183" s="102">
        <v>0</v>
      </c>
      <c r="BE183" s="102">
        <v>0</v>
      </c>
      <c r="BF183" s="102">
        <v>0</v>
      </c>
      <c r="BG183" s="102">
        <v>0</v>
      </c>
      <c r="BH183" s="102">
        <v>0</v>
      </c>
      <c r="BI183" s="102">
        <v>0</v>
      </c>
      <c r="BJ183" s="102">
        <v>0</v>
      </c>
      <c r="BK183" s="102">
        <v>0</v>
      </c>
      <c r="BL183" s="102">
        <v>0</v>
      </c>
      <c r="BM183" s="102">
        <v>0</v>
      </c>
      <c r="BN183" s="102">
        <v>0</v>
      </c>
      <c r="BO183" s="102">
        <v>0</v>
      </c>
      <c r="BP183" s="102">
        <v>0</v>
      </c>
      <c r="BQ183" s="102">
        <v>0</v>
      </c>
      <c r="BR183" s="102">
        <v>0</v>
      </c>
      <c r="BS183" s="102">
        <v>0</v>
      </c>
      <c r="BT183" s="102">
        <v>0</v>
      </c>
      <c r="BU183" s="102">
        <v>0</v>
      </c>
      <c r="BV183" s="102">
        <v>0</v>
      </c>
      <c r="BW183" s="102">
        <v>0</v>
      </c>
      <c r="BX183" s="102">
        <v>0</v>
      </c>
      <c r="BY183" s="102">
        <v>0</v>
      </c>
      <c r="BZ183" s="102">
        <v>0</v>
      </c>
      <c r="CA183" s="102">
        <v>0</v>
      </c>
      <c r="CB183" s="102">
        <v>0</v>
      </c>
      <c r="CC183" s="102">
        <v>0</v>
      </c>
      <c r="CD183" s="102">
        <v>0</v>
      </c>
      <c r="CE183" s="102">
        <v>0</v>
      </c>
      <c r="CF183" s="102">
        <v>0</v>
      </c>
      <c r="CG183" s="102">
        <v>0</v>
      </c>
      <c r="CH183" s="102">
        <v>0</v>
      </c>
      <c r="CI183" s="102">
        <v>0</v>
      </c>
      <c r="CJ183" s="102">
        <v>0</v>
      </c>
      <c r="CK183" s="102">
        <v>0</v>
      </c>
      <c r="CL183" s="102">
        <v>0</v>
      </c>
      <c r="CM183" s="102">
        <v>0</v>
      </c>
      <c r="CN183" s="102">
        <v>0</v>
      </c>
      <c r="CO183" s="102">
        <v>0</v>
      </c>
      <c r="CP183" s="102">
        <v>0</v>
      </c>
      <c r="CQ183" s="102">
        <v>0</v>
      </c>
      <c r="CR183" s="102">
        <v>0</v>
      </c>
      <c r="CS183" s="102">
        <v>0</v>
      </c>
      <c r="CT183" s="102">
        <v>0</v>
      </c>
      <c r="CU183" s="102">
        <v>0</v>
      </c>
      <c r="CV183" s="102">
        <v>0</v>
      </c>
      <c r="CW183" s="102">
        <v>0</v>
      </c>
      <c r="CX183" s="102">
        <v>0</v>
      </c>
      <c r="CY183" s="102">
        <v>0</v>
      </c>
      <c r="CZ183" s="102">
        <v>0</v>
      </c>
      <c r="DA183" s="102">
        <v>0</v>
      </c>
      <c r="DB183" s="102">
        <v>0</v>
      </c>
      <c r="DC183" s="102">
        <v>0</v>
      </c>
      <c r="DD183" s="102">
        <v>0</v>
      </c>
      <c r="DE183" s="102">
        <v>0</v>
      </c>
      <c r="DF183" s="102">
        <v>0</v>
      </c>
      <c r="DG183" s="102">
        <v>0</v>
      </c>
      <c r="DH183" s="102">
        <v>0</v>
      </c>
      <c r="DJ183" s="102" t="e">
        <v>#VALUE!</v>
      </c>
      <c r="DK183" s="102" t="e">
        <v>#VALUE!</v>
      </c>
      <c r="DL183" s="102" t="e">
        <v>#VALUE!</v>
      </c>
      <c r="DM183" s="102" t="e">
        <v>#VALUE!</v>
      </c>
      <c r="DN183" s="102" t="e">
        <v>#VALUE!</v>
      </c>
      <c r="DO183" s="102" t="e">
        <v>#VALUE!</v>
      </c>
      <c r="DP183" s="102" t="e">
        <v>#VALUE!</v>
      </c>
      <c r="DQ183" s="102" t="e">
        <v>#VALUE!</v>
      </c>
      <c r="DR183" s="102" t="e">
        <v>#VALUE!</v>
      </c>
      <c r="DS183" s="102" t="e">
        <v>#VALUE!</v>
      </c>
      <c r="DT183" s="102" t="e">
        <v>#VALUE!</v>
      </c>
      <c r="DU183" s="102" t="e">
        <v>#VALUE!</v>
      </c>
      <c r="DW183" s="102">
        <v>3483.3333333400001</v>
      </c>
      <c r="DX183" s="102">
        <v>6425.0000000099999</v>
      </c>
      <c r="DY183" s="102">
        <v>6158.3333336800006</v>
      </c>
      <c r="DZ183" s="102">
        <v>5891.6666673500004</v>
      </c>
      <c r="EA183" s="102">
        <v>5625.0000010200001</v>
      </c>
      <c r="EB183" s="102">
        <v>5358.3333346900008</v>
      </c>
      <c r="EC183" s="102">
        <v>5091.6666683600006</v>
      </c>
      <c r="ED183" s="102">
        <v>4825.0000020300004</v>
      </c>
      <c r="EE183" s="102">
        <v>4558.333335700001</v>
      </c>
      <c r="EF183" s="102">
        <v>4291.6666693700008</v>
      </c>
      <c r="EG183" s="102">
        <v>4025.000003040001</v>
      </c>
      <c r="EH183" s="102">
        <v>3758.3333367100008</v>
      </c>
      <c r="EI183" s="102">
        <v>7067.1775719999996</v>
      </c>
      <c r="EJ183" s="102">
        <v>6807.4249339999997</v>
      </c>
      <c r="EK183" s="102">
        <v>6547.6722959999997</v>
      </c>
      <c r="EL183" s="102">
        <v>6287.9196579999998</v>
      </c>
      <c r="EM183" s="102">
        <v>6028.1670199999999</v>
      </c>
      <c r="EN183" s="102">
        <v>5768.4143819999999</v>
      </c>
      <c r="EO183" s="102">
        <v>5508.661744</v>
      </c>
      <c r="EP183" s="102">
        <v>5248.9091060000001</v>
      </c>
      <c r="EQ183" s="102">
        <v>4989.1564680000001</v>
      </c>
      <c r="ER183" s="102">
        <v>4729.4038300000002</v>
      </c>
      <c r="ES183" s="102">
        <v>4643.8178589999998</v>
      </c>
      <c r="ET183" s="102">
        <v>4558.2318880000003</v>
      </c>
      <c r="EU183" s="102"/>
      <c r="EV183" s="102"/>
      <c r="EW183" s="102"/>
      <c r="EX183" s="102"/>
      <c r="EY183" s="102"/>
      <c r="EZ183" s="102"/>
      <c r="FA183" s="102"/>
      <c r="FB183" s="102"/>
      <c r="FC183" s="102"/>
      <c r="FD183" s="102"/>
      <c r="FE183" s="102"/>
      <c r="FF183" s="102"/>
      <c r="FG183" s="102" t="e">
        <v>#VALUE!</v>
      </c>
      <c r="FH183" s="102" t="e">
        <v>#VALUE!</v>
      </c>
      <c r="FI183" s="102" t="e">
        <v>#VALUE!</v>
      </c>
      <c r="FJ183" s="102" t="e">
        <v>#VALUE!</v>
      </c>
      <c r="FK183" s="102" t="e">
        <v>#VALUE!</v>
      </c>
      <c r="FL183" s="102" t="e">
        <v>#VALUE!</v>
      </c>
      <c r="FM183" s="102" t="e">
        <v>#VALUE!</v>
      </c>
      <c r="FN183" s="102" t="e">
        <v>#VALUE!</v>
      </c>
      <c r="FO183" s="102" t="e">
        <v>#VALUE!</v>
      </c>
      <c r="FP183" s="102" t="e">
        <v>#VALUE!</v>
      </c>
      <c r="FQ183" s="102" t="e">
        <v>#VALUE!</v>
      </c>
      <c r="FR183" s="102" t="e">
        <v>#VALUE!</v>
      </c>
      <c r="FS183" s="102" t="e">
        <v>#VALUE!</v>
      </c>
      <c r="FT183" s="102" t="e">
        <v>#VALUE!</v>
      </c>
      <c r="FU183" s="102" t="e">
        <v>#VALUE!</v>
      </c>
      <c r="FV183" s="102" t="e">
        <v>#VALUE!</v>
      </c>
      <c r="FW183" s="102" t="e">
        <v>#VALUE!</v>
      </c>
      <c r="FX183" s="102" t="e">
        <v>#VALUE!</v>
      </c>
      <c r="FY183" s="102" t="e">
        <v>#VALUE!</v>
      </c>
      <c r="FZ183" s="102" t="e">
        <v>#VALUE!</v>
      </c>
      <c r="GA183" s="102" t="e">
        <v>#VALUE!</v>
      </c>
      <c r="GB183" s="102" t="e">
        <v>#VALUE!</v>
      </c>
      <c r="GC183" s="102" t="e">
        <v>#VALUE!</v>
      </c>
      <c r="GD183" s="102" t="e">
        <v>#VALUE!</v>
      </c>
      <c r="GF183" s="924">
        <f t="shared" si="582"/>
        <v>648.83004700000004</v>
      </c>
      <c r="GG183" s="924">
        <f t="shared" si="582"/>
        <v>0</v>
      </c>
      <c r="GH183" s="924">
        <f t="shared" si="582"/>
        <v>0</v>
      </c>
      <c r="GI183" s="924">
        <f t="shared" si="582"/>
        <v>0</v>
      </c>
      <c r="GJ183" s="924">
        <f t="shared" si="575"/>
        <v>0</v>
      </c>
      <c r="GK183" s="924">
        <f t="shared" si="565"/>
        <v>0</v>
      </c>
      <c r="GL183" s="924">
        <f t="shared" si="571"/>
        <v>0</v>
      </c>
      <c r="GM183" s="924">
        <f t="shared" si="566"/>
        <v>0</v>
      </c>
      <c r="GN183" s="924" t="e">
        <f t="shared" si="567"/>
        <v>#VALUE!</v>
      </c>
      <c r="GO183" s="924">
        <v>0</v>
      </c>
      <c r="GQ183" s="927" t="str">
        <f t="shared" si="583"/>
        <v/>
      </c>
      <c r="GR183" s="927" t="str">
        <f t="shared" si="583"/>
        <v/>
      </c>
      <c r="GS183" s="927" t="str">
        <f t="shared" si="583"/>
        <v/>
      </c>
      <c r="GT183" s="927" t="str">
        <f t="shared" si="583"/>
        <v/>
      </c>
      <c r="GU183" s="927" t="str">
        <f t="shared" si="583"/>
        <v/>
      </c>
      <c r="GV183" s="927" t="str">
        <f t="shared" si="583"/>
        <v/>
      </c>
      <c r="GW183" s="927" t="str">
        <f t="shared" si="499"/>
        <v/>
      </c>
      <c r="GX183" s="927" t="str">
        <f t="shared" si="499"/>
        <v/>
      </c>
      <c r="GY183" s="927" t="str">
        <f t="shared" si="492"/>
        <v/>
      </c>
      <c r="HA183" s="924">
        <f t="shared" si="584"/>
        <v>0</v>
      </c>
      <c r="HB183" s="924">
        <f t="shared" si="584"/>
        <v>0</v>
      </c>
      <c r="HC183" s="924">
        <f t="shared" si="584"/>
        <v>0</v>
      </c>
      <c r="HD183" s="924">
        <f t="shared" si="577"/>
        <v>0</v>
      </c>
      <c r="HE183" s="924">
        <f t="shared" si="577"/>
        <v>0</v>
      </c>
      <c r="HF183" s="924">
        <f t="shared" si="577"/>
        <v>0</v>
      </c>
      <c r="HG183" s="924" t="e">
        <f t="shared" si="577"/>
        <v>#VALUE!</v>
      </c>
      <c r="HH183" s="924" t="e">
        <f t="shared" si="577"/>
        <v>#VALUE!</v>
      </c>
      <c r="HI183" s="924">
        <f t="shared" si="493"/>
        <v>0</v>
      </c>
      <c r="HK183" s="973"/>
      <c r="HL183" s="973"/>
      <c r="HM183" s="973"/>
      <c r="HN183" s="973"/>
      <c r="HO183" s="973"/>
      <c r="HP183" s="973"/>
      <c r="HQ183" s="973"/>
      <c r="HR183" s="973"/>
      <c r="HS183" s="973"/>
      <c r="HU183" s="924">
        <f t="shared" si="585"/>
        <v>537.59135300000003</v>
      </c>
      <c r="HV183" s="924">
        <f t="shared" si="585"/>
        <v>0</v>
      </c>
      <c r="HW183" s="924">
        <f t="shared" si="585"/>
        <v>0</v>
      </c>
      <c r="HX183" s="924">
        <f t="shared" si="585"/>
        <v>0</v>
      </c>
      <c r="HY183" s="924">
        <f t="shared" si="586"/>
        <v>0</v>
      </c>
      <c r="HZ183" s="924">
        <f t="shared" si="586"/>
        <v>0</v>
      </c>
      <c r="IA183" s="924">
        <f t="shared" si="587"/>
        <v>0</v>
      </c>
      <c r="IB183" s="924">
        <f t="shared" si="588"/>
        <v>0</v>
      </c>
      <c r="IC183" s="924">
        <f t="shared" si="589"/>
        <v>0</v>
      </c>
      <c r="ID183" s="924" t="e">
        <f t="shared" si="568"/>
        <v>#VALUE!</v>
      </c>
      <c r="IE183" s="924" t="e">
        <f t="shared" si="590"/>
        <v>#VALUE!</v>
      </c>
      <c r="IG183" s="924" t="e">
        <f t="shared" si="533"/>
        <v>#VALUE!</v>
      </c>
      <c r="IH183" s="924" t="e">
        <f t="shared" si="534"/>
        <v>#VALUE!</v>
      </c>
      <c r="II183" s="145"/>
      <c r="IJ183" s="927" t="str">
        <f t="shared" si="591"/>
        <v>NA</v>
      </c>
      <c r="IK183" s="928" t="str">
        <f t="shared" si="592"/>
        <v>NA</v>
      </c>
      <c r="IM183" s="973"/>
      <c r="IN183" s="973"/>
      <c r="IP183" s="927" t="str">
        <f t="shared" ref="IP183:IU192" si="602">+IFERROR(HW183/HV183-1,"")</f>
        <v/>
      </c>
      <c r="IQ183" s="927" t="str">
        <f t="shared" si="602"/>
        <v/>
      </c>
      <c r="IR183" s="927" t="str">
        <f t="shared" si="602"/>
        <v/>
      </c>
      <c r="IS183" s="927" t="str">
        <f t="shared" si="602"/>
        <v/>
      </c>
      <c r="IT183" s="927" t="str">
        <f t="shared" si="602"/>
        <v/>
      </c>
      <c r="IU183" s="927" t="str">
        <f t="shared" si="602"/>
        <v/>
      </c>
      <c r="IV183" s="927" t="str">
        <f t="shared" ref="IV183:IV192" si="603">+IFERROR(IE183/IB183-1,"")</f>
        <v/>
      </c>
      <c r="IX183" s="924">
        <f t="shared" si="538"/>
        <v>0</v>
      </c>
      <c r="IY183" s="924">
        <f t="shared" si="538"/>
        <v>0</v>
      </c>
      <c r="IZ183" s="924">
        <f t="shared" si="538"/>
        <v>0</v>
      </c>
      <c r="JA183" s="924">
        <f t="shared" si="538"/>
        <v>0</v>
      </c>
      <c r="JB183" s="924">
        <f t="shared" si="538"/>
        <v>0</v>
      </c>
      <c r="JC183" s="924">
        <f t="shared" si="538"/>
        <v>0</v>
      </c>
      <c r="JD183" s="924" t="e">
        <f t="shared" si="593"/>
        <v>#VALUE!</v>
      </c>
      <c r="JF183" s="973"/>
      <c r="JG183" s="973"/>
      <c r="JH183" s="973"/>
      <c r="JI183" s="973"/>
      <c r="JJ183" s="973"/>
      <c r="JK183" s="973"/>
      <c r="JL183" s="973"/>
      <c r="JM183" s="973"/>
      <c r="JO183" s="924">
        <f t="shared" si="594"/>
        <v>537.59135300000003</v>
      </c>
      <c r="JP183" s="924">
        <f t="shared" si="594"/>
        <v>0</v>
      </c>
      <c r="JQ183" s="924">
        <f t="shared" si="594"/>
        <v>0</v>
      </c>
      <c r="JR183" s="924">
        <f t="shared" si="594"/>
        <v>0</v>
      </c>
      <c r="JS183" s="924">
        <f t="shared" si="594"/>
        <v>0</v>
      </c>
      <c r="JT183" s="924">
        <f t="shared" si="595"/>
        <v>0</v>
      </c>
      <c r="JU183" s="924">
        <f t="shared" si="596"/>
        <v>0</v>
      </c>
      <c r="JV183" s="924">
        <f t="shared" si="597"/>
        <v>0</v>
      </c>
      <c r="JW183" s="924">
        <f t="shared" si="597"/>
        <v>0</v>
      </c>
      <c r="JX183" s="924" t="e">
        <f t="shared" si="598"/>
        <v>#VALUE!</v>
      </c>
      <c r="JY183" s="924" t="e">
        <f t="shared" si="599"/>
        <v>#VALUE!</v>
      </c>
      <c r="KB183" s="76" t="str">
        <f t="shared" si="600"/>
        <v xml:space="preserve"> </v>
      </c>
      <c r="KC183" s="76" t="str">
        <f t="shared" si="600"/>
        <v xml:space="preserve"> </v>
      </c>
      <c r="KD183" s="76" t="str">
        <f t="shared" si="600"/>
        <v xml:space="preserve"> </v>
      </c>
      <c r="KE183" s="76" t="str">
        <f t="shared" si="600"/>
        <v xml:space="preserve"> </v>
      </c>
      <c r="KF183" s="76" t="str">
        <f t="shared" si="600"/>
        <v xml:space="preserve"> </v>
      </c>
      <c r="KG183" s="76" t="str">
        <f t="shared" si="600"/>
        <v xml:space="preserve"> </v>
      </c>
      <c r="KH183" s="76" t="str">
        <f t="shared" si="569"/>
        <v xml:space="preserve"> </v>
      </c>
      <c r="KJ183" s="924">
        <f t="shared" si="601"/>
        <v>0</v>
      </c>
      <c r="KK183" s="924">
        <f t="shared" si="601"/>
        <v>0</v>
      </c>
      <c r="KL183" s="924">
        <f t="shared" si="601"/>
        <v>0</v>
      </c>
      <c r="KM183" s="924">
        <f t="shared" si="601"/>
        <v>0</v>
      </c>
      <c r="KN183" s="924">
        <f t="shared" si="601"/>
        <v>0</v>
      </c>
      <c r="KO183" s="924">
        <f t="shared" si="601"/>
        <v>0</v>
      </c>
      <c r="KP183" s="924" t="e">
        <f t="shared" si="570"/>
        <v>#VALUE!</v>
      </c>
      <c r="KR183" s="973"/>
      <c r="KS183" s="973"/>
      <c r="KT183" s="973"/>
      <c r="KU183" s="973"/>
      <c r="KV183" s="973"/>
      <c r="KW183" s="973"/>
      <c r="KX183" s="973"/>
      <c r="KY183" s="973"/>
      <c r="KZ183" s="973"/>
    </row>
    <row r="184" spans="1:312" outlineLevel="1">
      <c r="A184" s="884">
        <v>27</v>
      </c>
      <c r="B184" s="70"/>
      <c r="C184" s="17" t="s">
        <v>68</v>
      </c>
      <c r="D184" s="31" t="s">
        <v>59</v>
      </c>
      <c r="E184" s="102">
        <v>0</v>
      </c>
      <c r="F184" s="102">
        <v>0</v>
      </c>
      <c r="G184" s="102">
        <v>0</v>
      </c>
      <c r="H184" s="102">
        <v>0</v>
      </c>
      <c r="I184" s="102">
        <v>0</v>
      </c>
      <c r="J184" s="102">
        <v>0</v>
      </c>
      <c r="K184" s="102">
        <v>0</v>
      </c>
      <c r="L184" s="102">
        <v>0</v>
      </c>
      <c r="M184" s="102">
        <v>0</v>
      </c>
      <c r="N184" s="102">
        <v>0</v>
      </c>
      <c r="O184" s="102">
        <v>0</v>
      </c>
      <c r="P184" s="102">
        <v>0</v>
      </c>
      <c r="Q184" s="102">
        <v>0</v>
      </c>
      <c r="R184" s="102">
        <v>0</v>
      </c>
      <c r="S184" s="102">
        <v>0</v>
      </c>
      <c r="T184" s="102">
        <v>0</v>
      </c>
      <c r="U184" s="102">
        <v>0</v>
      </c>
      <c r="V184" s="102">
        <v>0</v>
      </c>
      <c r="W184" s="102">
        <v>0</v>
      </c>
      <c r="X184" s="102">
        <v>0</v>
      </c>
      <c r="Y184" s="102">
        <v>0</v>
      </c>
      <c r="Z184" s="102">
        <v>0</v>
      </c>
      <c r="AA184" s="102">
        <v>0</v>
      </c>
      <c r="AB184" s="102">
        <v>0</v>
      </c>
      <c r="AC184" s="102">
        <v>0</v>
      </c>
      <c r="AD184" s="102">
        <v>0</v>
      </c>
      <c r="AE184" s="102">
        <v>0</v>
      </c>
      <c r="AF184" s="102">
        <v>0</v>
      </c>
      <c r="AG184" s="102">
        <v>0</v>
      </c>
      <c r="AH184" s="102">
        <v>0</v>
      </c>
      <c r="AI184" s="102">
        <v>0</v>
      </c>
      <c r="AJ184" s="102">
        <v>0</v>
      </c>
      <c r="AK184" s="102">
        <v>0</v>
      </c>
      <c r="AL184" s="102">
        <v>0</v>
      </c>
      <c r="AM184" s="102">
        <v>0</v>
      </c>
      <c r="AN184" s="102">
        <v>0</v>
      </c>
      <c r="AO184" s="102">
        <v>0</v>
      </c>
      <c r="AP184" s="145">
        <v>0</v>
      </c>
      <c r="AQ184" s="220">
        <v>0</v>
      </c>
      <c r="AR184" s="220">
        <v>0</v>
      </c>
      <c r="AS184" s="102">
        <v>0</v>
      </c>
      <c r="AT184" s="102">
        <v>0</v>
      </c>
      <c r="AU184" s="102">
        <v>0</v>
      </c>
      <c r="AV184" s="102">
        <v>0</v>
      </c>
      <c r="AW184" s="102">
        <v>0</v>
      </c>
      <c r="AX184" s="102">
        <v>0</v>
      </c>
      <c r="AY184" s="102">
        <v>0</v>
      </c>
      <c r="AZ184" s="102">
        <v>1469.84</v>
      </c>
      <c r="BA184" s="102">
        <v>1469.8408690000001</v>
      </c>
      <c r="BB184" s="102">
        <v>1469.8408690000001</v>
      </c>
      <c r="BC184" s="102">
        <v>1469.8408690000001</v>
      </c>
      <c r="BD184" s="102">
        <v>1469.8408690000001</v>
      </c>
      <c r="BE184" s="102">
        <v>1469.8408690000001</v>
      </c>
      <c r="BF184" s="102">
        <v>1469.8408690000001</v>
      </c>
      <c r="BG184" s="102">
        <v>1469.8408690000001</v>
      </c>
      <c r="BH184" s="102">
        <v>1469.8408690000001</v>
      </c>
      <c r="BI184" s="102">
        <v>1469.8408690000001</v>
      </c>
      <c r="BJ184" s="102">
        <v>1469.8408690000001</v>
      </c>
      <c r="BK184" s="102">
        <v>1469.8408690000001</v>
      </c>
      <c r="BL184" s="102">
        <v>1469.8408690000001</v>
      </c>
      <c r="BM184" s="102">
        <v>581.46832600000005</v>
      </c>
      <c r="BN184" s="102">
        <v>581.46832600000005</v>
      </c>
      <c r="BO184" s="102">
        <v>581.46832600000005</v>
      </c>
      <c r="BP184" s="102">
        <v>581.46832600000005</v>
      </c>
      <c r="BQ184" s="102">
        <v>581.46832600000005</v>
      </c>
      <c r="BR184" s="102">
        <v>581.46832600000005</v>
      </c>
      <c r="BS184" s="102">
        <v>581.46832600000005</v>
      </c>
      <c r="BT184" s="102">
        <v>581.46832600000005</v>
      </c>
      <c r="BU184" s="102">
        <v>581.46832600000005</v>
      </c>
      <c r="BV184" s="102">
        <v>581.46832600000005</v>
      </c>
      <c r="BW184" s="102">
        <v>581.46832600000005</v>
      </c>
      <c r="BX184" s="102">
        <v>30.439543</v>
      </c>
      <c r="BY184" s="102">
        <v>30.439543</v>
      </c>
      <c r="BZ184" s="102">
        <v>30.439543</v>
      </c>
      <c r="CA184" s="102">
        <v>30.439543</v>
      </c>
      <c r="CB184" s="102">
        <v>30.439543</v>
      </c>
      <c r="CC184" s="102">
        <v>30.439543</v>
      </c>
      <c r="CD184" s="102">
        <v>30.439543</v>
      </c>
      <c r="CE184" s="102">
        <v>30.439543</v>
      </c>
      <c r="CF184" s="102">
        <v>30.439543</v>
      </c>
      <c r="CG184" s="102">
        <v>30.439543</v>
      </c>
      <c r="CH184" s="102">
        <v>30.439543</v>
      </c>
      <c r="CI184" s="102">
        <v>30.439543</v>
      </c>
      <c r="CJ184" s="102">
        <v>205.67228700000001</v>
      </c>
      <c r="CK184" s="102">
        <v>205.67228700000001</v>
      </c>
      <c r="CL184" s="102">
        <v>205.67228700000001</v>
      </c>
      <c r="CM184" s="102">
        <v>205.67228700000001</v>
      </c>
      <c r="CN184" s="102">
        <v>205.67228700000001</v>
      </c>
      <c r="CO184" s="102">
        <v>205.67228700000001</v>
      </c>
      <c r="CP184" s="102">
        <v>205.67228700000001</v>
      </c>
      <c r="CQ184" s="102">
        <v>205.67228700000001</v>
      </c>
      <c r="CR184" s="102">
        <v>205.67228700000001</v>
      </c>
      <c r="CS184" s="102">
        <v>205.67228700000001</v>
      </c>
      <c r="CT184" s="102">
        <v>205.67228700000001</v>
      </c>
      <c r="CU184" s="102">
        <v>205.67228700000001</v>
      </c>
      <c r="CV184" s="102">
        <v>373.91695800000002</v>
      </c>
      <c r="CW184" s="102">
        <v>373.91695800000002</v>
      </c>
      <c r="CX184" s="102">
        <v>373.91695800000002</v>
      </c>
      <c r="CY184" s="102">
        <v>373.91695800000002</v>
      </c>
      <c r="CZ184" s="102">
        <v>373.91695800000002</v>
      </c>
      <c r="DA184" s="102">
        <v>373.91695800000002</v>
      </c>
      <c r="DB184" s="102">
        <v>373.91695800000002</v>
      </c>
      <c r="DC184" s="102">
        <v>373.91695800000002</v>
      </c>
      <c r="DD184" s="102">
        <v>373.91695800000002</v>
      </c>
      <c r="DE184" s="102">
        <v>373.91695800000002</v>
      </c>
      <c r="DF184" s="102">
        <v>373.91695800000002</v>
      </c>
      <c r="DG184" s="102">
        <v>373.91695800000002</v>
      </c>
      <c r="DH184" s="102">
        <v>565.51911299999995</v>
      </c>
      <c r="DJ184" s="102" t="e">
        <v>#VALUE!</v>
      </c>
      <c r="DK184" s="102" t="e">
        <v>#VALUE!</v>
      </c>
      <c r="DL184" s="102" t="e">
        <v>#VALUE!</v>
      </c>
      <c r="DM184" s="102" t="e">
        <v>#VALUE!</v>
      </c>
      <c r="DN184" s="102" t="e">
        <v>#VALUE!</v>
      </c>
      <c r="DO184" s="102" t="e">
        <v>#VALUE!</v>
      </c>
      <c r="DP184" s="102" t="e">
        <v>#VALUE!</v>
      </c>
      <c r="DQ184" s="102" t="e">
        <v>#VALUE!</v>
      </c>
      <c r="DR184" s="102" t="e">
        <v>#VALUE!</v>
      </c>
      <c r="DS184" s="102" t="e">
        <v>#VALUE!</v>
      </c>
      <c r="DT184" s="102" t="e">
        <v>#VALUE!</v>
      </c>
      <c r="DU184" s="102" t="e">
        <v>#VALUE!</v>
      </c>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v>1469.8408690000001</v>
      </c>
      <c r="EV184" s="102">
        <v>1469.8408690000001</v>
      </c>
      <c r="EW184" s="102">
        <v>1469.8408690000001</v>
      </c>
      <c r="EX184" s="102">
        <v>1469.8408690000001</v>
      </c>
      <c r="EY184" s="102">
        <v>1469.8408690000001</v>
      </c>
      <c r="EZ184" s="102">
        <v>1469.8408690000001</v>
      </c>
      <c r="FA184" s="102">
        <v>1469.8408690000001</v>
      </c>
      <c r="FB184" s="102">
        <v>1469.8408690000001</v>
      </c>
      <c r="FC184" s="102">
        <v>1469.8408690000001</v>
      </c>
      <c r="FD184" s="102">
        <v>1469.8408690000001</v>
      </c>
      <c r="FE184" s="102">
        <v>1469.8408690000001</v>
      </c>
      <c r="FF184" s="102">
        <v>1469.8408690000001</v>
      </c>
      <c r="FG184" s="102" t="e">
        <v>#VALUE!</v>
      </c>
      <c r="FH184" s="102" t="e">
        <v>#VALUE!</v>
      </c>
      <c r="FI184" s="102" t="e">
        <v>#VALUE!</v>
      </c>
      <c r="FJ184" s="102" t="e">
        <v>#VALUE!</v>
      </c>
      <c r="FK184" s="102" t="e">
        <v>#VALUE!</v>
      </c>
      <c r="FL184" s="102" t="e">
        <v>#VALUE!</v>
      </c>
      <c r="FM184" s="102" t="e">
        <v>#VALUE!</v>
      </c>
      <c r="FN184" s="102" t="e">
        <v>#VALUE!</v>
      </c>
      <c r="FO184" s="102" t="e">
        <v>#VALUE!</v>
      </c>
      <c r="FP184" s="102" t="e">
        <v>#VALUE!</v>
      </c>
      <c r="FQ184" s="102" t="e">
        <v>#VALUE!</v>
      </c>
      <c r="FR184" s="102" t="e">
        <v>#VALUE!</v>
      </c>
      <c r="FS184" s="102" t="e">
        <v>#VALUE!</v>
      </c>
      <c r="FT184" s="102" t="e">
        <v>#VALUE!</v>
      </c>
      <c r="FU184" s="102" t="e">
        <v>#VALUE!</v>
      </c>
      <c r="FV184" s="102" t="e">
        <v>#VALUE!</v>
      </c>
      <c r="FW184" s="102" t="e">
        <v>#VALUE!</v>
      </c>
      <c r="FX184" s="102" t="e">
        <v>#VALUE!</v>
      </c>
      <c r="FY184" s="102" t="e">
        <v>#VALUE!</v>
      </c>
      <c r="FZ184" s="102" t="e">
        <v>#VALUE!</v>
      </c>
      <c r="GA184" s="102" t="e">
        <v>#VALUE!</v>
      </c>
      <c r="GB184" s="102" t="e">
        <v>#VALUE!</v>
      </c>
      <c r="GC184" s="102" t="e">
        <v>#VALUE!</v>
      </c>
      <c r="GD184" s="102" t="e">
        <v>#VALUE!</v>
      </c>
      <c r="GF184" s="102">
        <f t="shared" si="582"/>
        <v>0</v>
      </c>
      <c r="GG184" s="102">
        <f t="shared" si="582"/>
        <v>0</v>
      </c>
      <c r="GH184" s="102">
        <f t="shared" si="582"/>
        <v>0</v>
      </c>
      <c r="GI184" s="102">
        <f t="shared" si="582"/>
        <v>1469.84</v>
      </c>
      <c r="GJ184" s="102">
        <f t="shared" si="575"/>
        <v>1469.8408690000001</v>
      </c>
      <c r="GK184" s="102">
        <f t="shared" si="565"/>
        <v>30.439543</v>
      </c>
      <c r="GL184" s="102">
        <f t="shared" si="571"/>
        <v>205.67228700000001</v>
      </c>
      <c r="GM184" s="102">
        <f t="shared" si="566"/>
        <v>373.91695800000002</v>
      </c>
      <c r="GN184" s="102" t="e">
        <f t="shared" si="567"/>
        <v>#VALUE!</v>
      </c>
      <c r="GO184" s="102">
        <v>565.51911299999995</v>
      </c>
      <c r="GQ184" s="929" t="str">
        <f t="shared" si="583"/>
        <v/>
      </c>
      <c r="GR184" s="929" t="str">
        <f t="shared" si="583"/>
        <v/>
      </c>
      <c r="GS184" s="929">
        <f t="shared" si="583"/>
        <v>5.9122081319529229E-7</v>
      </c>
      <c r="GT184" s="929">
        <f t="shared" si="583"/>
        <v>-0.97929058604778796</v>
      </c>
      <c r="GU184" s="929">
        <f t="shared" si="583"/>
        <v>5.7567468736307905</v>
      </c>
      <c r="GV184" s="929">
        <f t="shared" si="583"/>
        <v>0.81802304750955579</v>
      </c>
      <c r="GW184" s="929" t="str">
        <f t="shared" si="499"/>
        <v/>
      </c>
      <c r="GX184" s="929" t="str">
        <f t="shared" si="499"/>
        <v/>
      </c>
      <c r="GY184" s="929">
        <f t="shared" si="492"/>
        <v>0.5124190034729581</v>
      </c>
      <c r="HA184" s="102">
        <f t="shared" si="584"/>
        <v>0</v>
      </c>
      <c r="HB184" s="102">
        <f t="shared" si="584"/>
        <v>1469.84</v>
      </c>
      <c r="HC184" s="102">
        <f t="shared" si="584"/>
        <v>8.6900000019340951E-4</v>
      </c>
      <c r="HD184" s="102">
        <f t="shared" si="577"/>
        <v>-1439.4013260000002</v>
      </c>
      <c r="HE184" s="102">
        <f t="shared" si="577"/>
        <v>175.23274400000003</v>
      </c>
      <c r="HF184" s="102">
        <f t="shared" si="577"/>
        <v>168.24467100000001</v>
      </c>
      <c r="HG184" s="102" t="e">
        <f t="shared" si="577"/>
        <v>#VALUE!</v>
      </c>
      <c r="HH184" s="102" t="e">
        <f t="shared" si="577"/>
        <v>#VALUE!</v>
      </c>
      <c r="HI184" s="102">
        <f t="shared" si="493"/>
        <v>191.60215499999993</v>
      </c>
      <c r="HK184" s="973"/>
      <c r="HL184" s="973"/>
      <c r="HM184" s="973"/>
      <c r="HN184" s="973"/>
      <c r="HO184" s="973"/>
      <c r="HP184" s="973"/>
      <c r="HQ184" s="973"/>
      <c r="HR184" s="973"/>
      <c r="HS184" s="973"/>
      <c r="HU184" s="102">
        <f t="shared" si="585"/>
        <v>0</v>
      </c>
      <c r="HV184" s="102">
        <f t="shared" si="585"/>
        <v>0</v>
      </c>
      <c r="HW184" s="102">
        <f t="shared" si="585"/>
        <v>0</v>
      </c>
      <c r="HX184" s="102">
        <f t="shared" si="585"/>
        <v>0</v>
      </c>
      <c r="HY184" s="102">
        <f t="shared" si="586"/>
        <v>1469.8408690000001</v>
      </c>
      <c r="HZ184" s="102">
        <f t="shared" si="586"/>
        <v>581.46832600000005</v>
      </c>
      <c r="IA184" s="102">
        <f t="shared" si="587"/>
        <v>30.439543</v>
      </c>
      <c r="IB184" s="102">
        <f t="shared" si="588"/>
        <v>205.67228700000001</v>
      </c>
      <c r="IC184" s="102">
        <f t="shared" si="589"/>
        <v>373.91695800000002</v>
      </c>
      <c r="ID184" s="102" t="e">
        <f t="shared" si="568"/>
        <v>#VALUE!</v>
      </c>
      <c r="IE184" s="102" t="e">
        <f t="shared" si="590"/>
        <v>#VALUE!</v>
      </c>
      <c r="IG184" s="102" t="e">
        <f t="shared" si="533"/>
        <v>#VALUE!</v>
      </c>
      <c r="IH184" s="102" t="e">
        <f t="shared" si="534"/>
        <v>#VALUE!</v>
      </c>
      <c r="II184" s="145"/>
      <c r="IJ184" s="929" t="str">
        <f t="shared" si="591"/>
        <v>NA</v>
      </c>
      <c r="IK184" s="930" t="str">
        <f t="shared" si="592"/>
        <v>NA</v>
      </c>
      <c r="IM184" s="973"/>
      <c r="IN184" s="973"/>
      <c r="IP184" s="929" t="str">
        <f t="shared" si="602"/>
        <v/>
      </c>
      <c r="IQ184" s="929" t="str">
        <f t="shared" si="602"/>
        <v/>
      </c>
      <c r="IR184" s="929" t="str">
        <f t="shared" si="602"/>
        <v/>
      </c>
      <c r="IS184" s="929">
        <f t="shared" si="602"/>
        <v>-0.60440049105751181</v>
      </c>
      <c r="IT184" s="929">
        <f t="shared" si="602"/>
        <v>-0.94765055697977951</v>
      </c>
      <c r="IU184" s="929">
        <f t="shared" si="602"/>
        <v>5.7567468736307905</v>
      </c>
      <c r="IV184" s="929" t="str">
        <f t="shared" si="603"/>
        <v/>
      </c>
      <c r="IX184" s="102">
        <f t="shared" si="538"/>
        <v>0</v>
      </c>
      <c r="IY184" s="102">
        <f t="shared" si="538"/>
        <v>0</v>
      </c>
      <c r="IZ184" s="102">
        <f t="shared" si="538"/>
        <v>1469.8408690000001</v>
      </c>
      <c r="JA184" s="102">
        <f t="shared" si="538"/>
        <v>-888.37254300000006</v>
      </c>
      <c r="JB184" s="102">
        <f t="shared" si="538"/>
        <v>-551.02878300000009</v>
      </c>
      <c r="JC184" s="102">
        <f t="shared" si="538"/>
        <v>175.23274400000003</v>
      </c>
      <c r="JD184" s="102" t="e">
        <f t="shared" si="593"/>
        <v>#VALUE!</v>
      </c>
      <c r="JF184" s="973"/>
      <c r="JG184" s="973"/>
      <c r="JH184" s="973"/>
      <c r="JI184" s="973"/>
      <c r="JJ184" s="973"/>
      <c r="JK184" s="973"/>
      <c r="JL184" s="973"/>
      <c r="JM184" s="973"/>
      <c r="JO184" s="102">
        <f t="shared" si="594"/>
        <v>0</v>
      </c>
      <c r="JP184" s="102">
        <f t="shared" si="594"/>
        <v>0</v>
      </c>
      <c r="JQ184" s="102">
        <f t="shared" si="594"/>
        <v>0</v>
      </c>
      <c r="JR184" s="102">
        <f t="shared" si="594"/>
        <v>0</v>
      </c>
      <c r="JS184" s="102">
        <f t="shared" si="594"/>
        <v>1469.8408690000001</v>
      </c>
      <c r="JT184" s="102">
        <f t="shared" si="595"/>
        <v>581.46832600000005</v>
      </c>
      <c r="JU184" s="102">
        <f t="shared" si="596"/>
        <v>30.439543</v>
      </c>
      <c r="JV184" s="102">
        <f t="shared" si="597"/>
        <v>205.67228700000001</v>
      </c>
      <c r="JW184" s="102">
        <f t="shared" si="597"/>
        <v>373.91695800000002</v>
      </c>
      <c r="JX184" s="102" t="e">
        <f t="shared" si="598"/>
        <v>#VALUE!</v>
      </c>
      <c r="JY184" s="102" t="e">
        <f t="shared" si="599"/>
        <v>#VALUE!</v>
      </c>
      <c r="KB184" s="32" t="str">
        <f t="shared" si="600"/>
        <v xml:space="preserve"> </v>
      </c>
      <c r="KC184" s="32" t="str">
        <f t="shared" si="600"/>
        <v xml:space="preserve"> </v>
      </c>
      <c r="KD184" s="32" t="str">
        <f t="shared" si="600"/>
        <v xml:space="preserve"> </v>
      </c>
      <c r="KE184" s="32">
        <f t="shared" si="600"/>
        <v>-0.60440049105751181</v>
      </c>
      <c r="KF184" s="32">
        <f t="shared" si="600"/>
        <v>-0.94765055697977951</v>
      </c>
      <c r="KG184" s="32">
        <f t="shared" si="600"/>
        <v>5.7567468736307905</v>
      </c>
      <c r="KH184" s="32" t="str">
        <f t="shared" si="569"/>
        <v xml:space="preserve"> </v>
      </c>
      <c r="KJ184" s="102">
        <f t="shared" si="601"/>
        <v>0</v>
      </c>
      <c r="KK184" s="102">
        <f t="shared" si="601"/>
        <v>0</v>
      </c>
      <c r="KL184" s="102">
        <f t="shared" si="601"/>
        <v>1469.8408690000001</v>
      </c>
      <c r="KM184" s="102">
        <f t="shared" si="601"/>
        <v>-888.37254300000006</v>
      </c>
      <c r="KN184" s="102">
        <f t="shared" si="601"/>
        <v>-551.02878300000009</v>
      </c>
      <c r="KO184" s="102">
        <f t="shared" si="601"/>
        <v>175.23274400000003</v>
      </c>
      <c r="KP184" s="102" t="e">
        <f t="shared" si="570"/>
        <v>#VALUE!</v>
      </c>
      <c r="KR184" s="973"/>
      <c r="KS184" s="973"/>
      <c r="KT184" s="973"/>
      <c r="KU184" s="973"/>
      <c r="KV184" s="973"/>
      <c r="KW184" s="973"/>
      <c r="KX184" s="973"/>
      <c r="KY184" s="973"/>
      <c r="KZ184" s="973"/>
    </row>
    <row r="185" spans="1:312" outlineLevel="1">
      <c r="A185" s="884"/>
      <c r="B185" s="70"/>
      <c r="C185" s="17" t="s">
        <v>150</v>
      </c>
      <c r="D185" s="31" t="s">
        <v>59</v>
      </c>
      <c r="E185" s="102">
        <v>1548.709198</v>
      </c>
      <c r="F185" s="102">
        <v>1548.709198</v>
      </c>
      <c r="G185" s="102">
        <v>1148.709198</v>
      </c>
      <c r="H185" s="102">
        <v>748.70919800000001</v>
      </c>
      <c r="I185" s="102">
        <v>348.70919800000001</v>
      </c>
      <c r="J185" s="102">
        <v>0</v>
      </c>
      <c r="K185" s="102">
        <v>0</v>
      </c>
      <c r="L185" s="102">
        <v>0</v>
      </c>
      <c r="M185" s="102">
        <v>0</v>
      </c>
      <c r="N185" s="102">
        <v>0</v>
      </c>
      <c r="O185" s="102">
        <v>0</v>
      </c>
      <c r="P185" s="102">
        <v>1308.802553</v>
      </c>
      <c r="Q185" s="102">
        <v>654.40127500000006</v>
      </c>
      <c r="R185" s="102">
        <v>10</v>
      </c>
      <c r="S185" s="102">
        <v>10</v>
      </c>
      <c r="T185" s="102">
        <v>0</v>
      </c>
      <c r="U185" s="102">
        <v>0</v>
      </c>
      <c r="V185" s="102">
        <v>0</v>
      </c>
      <c r="W185" s="102">
        <v>0</v>
      </c>
      <c r="X185" s="102">
        <v>133.33333400000001</v>
      </c>
      <c r="Y185" s="102">
        <v>0</v>
      </c>
      <c r="Z185" s="102">
        <v>0</v>
      </c>
      <c r="AA185" s="102">
        <v>0</v>
      </c>
      <c r="AB185" s="102">
        <v>133.33333400000001</v>
      </c>
      <c r="AC185" s="102">
        <v>0</v>
      </c>
      <c r="AD185" s="102">
        <v>0</v>
      </c>
      <c r="AE185" s="102">
        <v>4235.1222726599999</v>
      </c>
      <c r="AF185" s="102">
        <v>86.707424219999993</v>
      </c>
      <c r="AG185" s="102">
        <v>0</v>
      </c>
      <c r="AH185" s="102">
        <v>0</v>
      </c>
      <c r="AI185" s="102">
        <v>0</v>
      </c>
      <c r="AJ185" s="102">
        <v>0</v>
      </c>
      <c r="AK185" s="102">
        <v>0</v>
      </c>
      <c r="AL185" s="102">
        <v>0</v>
      </c>
      <c r="AM185" s="102">
        <v>0</v>
      </c>
      <c r="AN185" s="143">
        <v>0</v>
      </c>
      <c r="AO185" s="975">
        <v>0</v>
      </c>
      <c r="AP185" s="976">
        <v>0</v>
      </c>
      <c r="AQ185" s="975">
        <v>0</v>
      </c>
      <c r="AR185" s="975">
        <v>0</v>
      </c>
      <c r="AS185" s="975">
        <v>0</v>
      </c>
      <c r="AT185" s="975">
        <v>0</v>
      </c>
      <c r="AU185" s="975">
        <v>0</v>
      </c>
      <c r="AV185" s="975">
        <v>0</v>
      </c>
      <c r="AW185" s="975">
        <v>0</v>
      </c>
      <c r="AX185" s="975">
        <v>0</v>
      </c>
      <c r="AY185" s="975">
        <v>0</v>
      </c>
      <c r="AZ185" s="102">
        <f>SUM(AZ186:AZ187)</f>
        <v>0</v>
      </c>
      <c r="BA185" s="102">
        <v>0</v>
      </c>
      <c r="BB185" s="102">
        <v>0</v>
      </c>
      <c r="BC185" s="102">
        <v>0</v>
      </c>
      <c r="BD185" s="102">
        <v>0</v>
      </c>
      <c r="BE185" s="102">
        <v>0</v>
      </c>
      <c r="BF185" s="102">
        <v>0</v>
      </c>
      <c r="BG185" s="102">
        <v>0</v>
      </c>
      <c r="BH185" s="102">
        <v>0</v>
      </c>
      <c r="BI185" s="102">
        <v>0</v>
      </c>
      <c r="BJ185" s="102">
        <v>0</v>
      </c>
      <c r="BK185" s="102">
        <v>0</v>
      </c>
      <c r="BL185" s="102">
        <v>0</v>
      </c>
      <c r="BM185" s="145">
        <f t="shared" ref="BM185:DH185" si="604">SUM(BM186:BM187)</f>
        <v>0</v>
      </c>
      <c r="BN185" s="102">
        <f t="shared" si="604"/>
        <v>0</v>
      </c>
      <c r="BO185" s="102">
        <f t="shared" si="604"/>
        <v>0</v>
      </c>
      <c r="BP185" s="102">
        <f t="shared" si="604"/>
        <v>0</v>
      </c>
      <c r="BQ185" s="102">
        <f t="shared" si="604"/>
        <v>0</v>
      </c>
      <c r="BR185" s="102">
        <f t="shared" si="604"/>
        <v>0</v>
      </c>
      <c r="BS185" s="102">
        <f t="shared" si="604"/>
        <v>0</v>
      </c>
      <c r="BT185" s="102">
        <f t="shared" si="604"/>
        <v>0</v>
      </c>
      <c r="BU185" s="102">
        <f t="shared" si="604"/>
        <v>0</v>
      </c>
      <c r="BV185" s="102">
        <f t="shared" si="604"/>
        <v>0</v>
      </c>
      <c r="BW185" s="102">
        <f t="shared" si="604"/>
        <v>0</v>
      </c>
      <c r="BX185" s="102">
        <f t="shared" si="604"/>
        <v>0</v>
      </c>
      <c r="BY185" s="102">
        <f t="shared" si="604"/>
        <v>0</v>
      </c>
      <c r="BZ185" s="102">
        <f t="shared" si="604"/>
        <v>0</v>
      </c>
      <c r="CA185" s="102">
        <f t="shared" si="604"/>
        <v>0</v>
      </c>
      <c r="CB185" s="102">
        <f t="shared" si="604"/>
        <v>0</v>
      </c>
      <c r="CC185" s="102">
        <f t="shared" si="604"/>
        <v>0</v>
      </c>
      <c r="CD185" s="102">
        <f t="shared" si="604"/>
        <v>0</v>
      </c>
      <c r="CE185" s="102">
        <f t="shared" si="604"/>
        <v>0</v>
      </c>
      <c r="CF185" s="102">
        <f t="shared" si="604"/>
        <v>0</v>
      </c>
      <c r="CG185" s="102">
        <f t="shared" si="604"/>
        <v>0</v>
      </c>
      <c r="CH185" s="102">
        <f t="shared" si="604"/>
        <v>0</v>
      </c>
      <c r="CI185" s="102">
        <f t="shared" si="604"/>
        <v>0</v>
      </c>
      <c r="CJ185" s="102">
        <f t="shared" si="604"/>
        <v>0</v>
      </c>
      <c r="CK185" s="102">
        <f t="shared" si="604"/>
        <v>0</v>
      </c>
      <c r="CL185" s="102">
        <f t="shared" si="604"/>
        <v>0</v>
      </c>
      <c r="CM185" s="102">
        <f t="shared" si="604"/>
        <v>0</v>
      </c>
      <c r="CN185" s="102">
        <f t="shared" si="604"/>
        <v>0</v>
      </c>
      <c r="CO185" s="102">
        <f t="shared" si="604"/>
        <v>0</v>
      </c>
      <c r="CP185" s="102">
        <f t="shared" si="604"/>
        <v>0</v>
      </c>
      <c r="CQ185" s="102">
        <f t="shared" si="604"/>
        <v>0</v>
      </c>
      <c r="CR185" s="102">
        <f t="shared" si="604"/>
        <v>0</v>
      </c>
      <c r="CS185" s="102">
        <f t="shared" si="604"/>
        <v>0</v>
      </c>
      <c r="CT185" s="102">
        <f t="shared" si="604"/>
        <v>0</v>
      </c>
      <c r="CU185" s="102">
        <f t="shared" si="604"/>
        <v>0</v>
      </c>
      <c r="CV185" s="102">
        <f t="shared" si="604"/>
        <v>0</v>
      </c>
      <c r="CW185" s="102">
        <f t="shared" si="604"/>
        <v>0</v>
      </c>
      <c r="CX185" s="102">
        <f t="shared" si="604"/>
        <v>0</v>
      </c>
      <c r="CY185" s="102">
        <f t="shared" si="604"/>
        <v>0</v>
      </c>
      <c r="CZ185" s="102">
        <f t="shared" si="604"/>
        <v>0</v>
      </c>
      <c r="DA185" s="102">
        <f t="shared" si="604"/>
        <v>0</v>
      </c>
      <c r="DB185" s="102">
        <f t="shared" si="604"/>
        <v>0</v>
      </c>
      <c r="DC185" s="102">
        <f t="shared" si="604"/>
        <v>0</v>
      </c>
      <c r="DD185" s="102">
        <f t="shared" si="604"/>
        <v>0</v>
      </c>
      <c r="DE185" s="102">
        <f t="shared" si="604"/>
        <v>0</v>
      </c>
      <c r="DF185" s="102">
        <f t="shared" si="604"/>
        <v>0</v>
      </c>
      <c r="DG185" s="102">
        <f t="shared" si="604"/>
        <v>0</v>
      </c>
      <c r="DH185" s="102">
        <f t="shared" si="604"/>
        <v>0</v>
      </c>
      <c r="DJ185" s="102" t="e">
        <f t="shared" ref="DJ185:EO185" si="605">+SUM(DJ186:DJ187)</f>
        <v>#VALUE!</v>
      </c>
      <c r="DK185" s="102" t="e">
        <f t="shared" si="605"/>
        <v>#VALUE!</v>
      </c>
      <c r="DL185" s="102" t="e">
        <f t="shared" si="605"/>
        <v>#VALUE!</v>
      </c>
      <c r="DM185" s="102" t="e">
        <f t="shared" si="605"/>
        <v>#VALUE!</v>
      </c>
      <c r="DN185" s="102" t="e">
        <f t="shared" si="605"/>
        <v>#VALUE!</v>
      </c>
      <c r="DO185" s="102" t="e">
        <f t="shared" si="605"/>
        <v>#VALUE!</v>
      </c>
      <c r="DP185" s="102" t="e">
        <f t="shared" si="605"/>
        <v>#VALUE!</v>
      </c>
      <c r="DQ185" s="102" t="e">
        <f t="shared" si="605"/>
        <v>#VALUE!</v>
      </c>
      <c r="DR185" s="102" t="e">
        <f t="shared" si="605"/>
        <v>#VALUE!</v>
      </c>
      <c r="DS185" s="102" t="e">
        <f t="shared" si="605"/>
        <v>#VALUE!</v>
      </c>
      <c r="DT185" s="102" t="e">
        <f t="shared" si="605"/>
        <v>#VALUE!</v>
      </c>
      <c r="DU185" s="102" t="e">
        <f t="shared" si="605"/>
        <v>#VALUE!</v>
      </c>
      <c r="DV185" s="279"/>
      <c r="DW185" s="102">
        <f t="shared" si="605"/>
        <v>0</v>
      </c>
      <c r="DX185" s="102">
        <f t="shared" si="605"/>
        <v>0</v>
      </c>
      <c r="DY185" s="102">
        <f t="shared" si="605"/>
        <v>0</v>
      </c>
      <c r="DZ185" s="102">
        <f t="shared" si="605"/>
        <v>0</v>
      </c>
      <c r="EA185" s="102">
        <f t="shared" si="605"/>
        <v>0</v>
      </c>
      <c r="EB185" s="102">
        <f t="shared" si="605"/>
        <v>0</v>
      </c>
      <c r="EC185" s="102">
        <f t="shared" si="605"/>
        <v>0</v>
      </c>
      <c r="ED185" s="102">
        <f t="shared" si="605"/>
        <v>0</v>
      </c>
      <c r="EE185" s="102">
        <f t="shared" si="605"/>
        <v>0</v>
      </c>
      <c r="EF185" s="102">
        <f t="shared" si="605"/>
        <v>0</v>
      </c>
      <c r="EG185" s="102">
        <f t="shared" si="605"/>
        <v>0</v>
      </c>
      <c r="EH185" s="102">
        <f t="shared" si="605"/>
        <v>0</v>
      </c>
      <c r="EI185" s="102">
        <f t="shared" si="605"/>
        <v>1216.711241</v>
      </c>
      <c r="EJ185" s="102">
        <f t="shared" si="605"/>
        <v>1216.711241</v>
      </c>
      <c r="EK185" s="102">
        <f t="shared" si="605"/>
        <v>1216.711241</v>
      </c>
      <c r="EL185" s="102">
        <f t="shared" si="605"/>
        <v>1216.711241</v>
      </c>
      <c r="EM185" s="102">
        <f t="shared" si="605"/>
        <v>1216.711241</v>
      </c>
      <c r="EN185" s="102">
        <f t="shared" si="605"/>
        <v>1216.711241</v>
      </c>
      <c r="EO185" s="102">
        <f t="shared" si="605"/>
        <v>1216.711241</v>
      </c>
      <c r="EP185" s="102">
        <f t="shared" ref="EP185:FS185" si="606">+SUM(EP186:EP187)</f>
        <v>1216.711241</v>
      </c>
      <c r="EQ185" s="102">
        <f t="shared" si="606"/>
        <v>1216.711241</v>
      </c>
      <c r="ER185" s="102">
        <f t="shared" si="606"/>
        <v>1216.711241</v>
      </c>
      <c r="ES185" s="102">
        <f t="shared" si="606"/>
        <v>1216.711241</v>
      </c>
      <c r="ET185" s="102">
        <f t="shared" si="606"/>
        <v>1216.711241</v>
      </c>
      <c r="EU185" s="102">
        <f t="shared" si="606"/>
        <v>0</v>
      </c>
      <c r="EV185" s="102">
        <f t="shared" si="606"/>
        <v>0</v>
      </c>
      <c r="EW185" s="102">
        <f t="shared" si="606"/>
        <v>0</v>
      </c>
      <c r="EX185" s="102">
        <f t="shared" si="606"/>
        <v>0</v>
      </c>
      <c r="EY185" s="102">
        <f t="shared" si="606"/>
        <v>0</v>
      </c>
      <c r="EZ185" s="102">
        <f t="shared" si="606"/>
        <v>0</v>
      </c>
      <c r="FA185" s="102">
        <f t="shared" si="606"/>
        <v>0</v>
      </c>
      <c r="FB185" s="102">
        <f t="shared" si="606"/>
        <v>0</v>
      </c>
      <c r="FC185" s="102">
        <f t="shared" si="606"/>
        <v>0</v>
      </c>
      <c r="FD185" s="102">
        <f t="shared" si="606"/>
        <v>0</v>
      </c>
      <c r="FE185" s="102">
        <f t="shared" si="606"/>
        <v>0</v>
      </c>
      <c r="FF185" s="102">
        <f t="shared" si="606"/>
        <v>0</v>
      </c>
      <c r="FG185" s="102" t="e">
        <f t="shared" si="606"/>
        <v>#VALUE!</v>
      </c>
      <c r="FH185" s="102" t="e">
        <f t="shared" si="606"/>
        <v>#VALUE!</v>
      </c>
      <c r="FI185" s="102" t="e">
        <f t="shared" si="606"/>
        <v>#VALUE!</v>
      </c>
      <c r="FJ185" s="102" t="e">
        <f t="shared" si="606"/>
        <v>#VALUE!</v>
      </c>
      <c r="FK185" s="102" t="e">
        <f t="shared" si="606"/>
        <v>#VALUE!</v>
      </c>
      <c r="FL185" s="102" t="e">
        <f t="shared" si="606"/>
        <v>#VALUE!</v>
      </c>
      <c r="FM185" s="102" t="e">
        <f t="shared" si="606"/>
        <v>#VALUE!</v>
      </c>
      <c r="FN185" s="102" t="e">
        <f t="shared" si="606"/>
        <v>#VALUE!</v>
      </c>
      <c r="FO185" s="102" t="e">
        <f t="shared" si="606"/>
        <v>#VALUE!</v>
      </c>
      <c r="FP185" s="102" t="e">
        <f t="shared" si="606"/>
        <v>#VALUE!</v>
      </c>
      <c r="FQ185" s="102" t="e">
        <f t="shared" si="606"/>
        <v>#VALUE!</v>
      </c>
      <c r="FR185" s="102" t="e">
        <f t="shared" si="606"/>
        <v>#VALUE!</v>
      </c>
      <c r="FS185" s="102" t="e">
        <f t="shared" si="606"/>
        <v>#VALUE!</v>
      </c>
      <c r="FT185" s="102" t="e">
        <f t="shared" ref="FT185:GD185" si="607">+SUM(FT186:FT187)</f>
        <v>#VALUE!</v>
      </c>
      <c r="FU185" s="102" t="e">
        <f t="shared" si="607"/>
        <v>#VALUE!</v>
      </c>
      <c r="FV185" s="102" t="e">
        <f t="shared" si="607"/>
        <v>#VALUE!</v>
      </c>
      <c r="FW185" s="102" t="e">
        <f t="shared" si="607"/>
        <v>#VALUE!</v>
      </c>
      <c r="FX185" s="102" t="e">
        <f t="shared" si="607"/>
        <v>#VALUE!</v>
      </c>
      <c r="FY185" s="102" t="e">
        <f t="shared" si="607"/>
        <v>#VALUE!</v>
      </c>
      <c r="FZ185" s="102" t="e">
        <f t="shared" si="607"/>
        <v>#VALUE!</v>
      </c>
      <c r="GA185" s="102" t="e">
        <f t="shared" si="607"/>
        <v>#VALUE!</v>
      </c>
      <c r="GB185" s="102" t="e">
        <f t="shared" si="607"/>
        <v>#VALUE!</v>
      </c>
      <c r="GC185" s="102" t="e">
        <f t="shared" si="607"/>
        <v>#VALUE!</v>
      </c>
      <c r="GD185" s="102" t="e">
        <f t="shared" si="607"/>
        <v>#VALUE!</v>
      </c>
      <c r="GF185" s="102">
        <f t="shared" si="582"/>
        <v>1308.802553</v>
      </c>
      <c r="GG185" s="102">
        <f t="shared" si="582"/>
        <v>133.33333400000001</v>
      </c>
      <c r="GH185" s="102">
        <f t="shared" si="582"/>
        <v>0</v>
      </c>
      <c r="GI185" s="102">
        <f t="shared" si="582"/>
        <v>0</v>
      </c>
      <c r="GJ185" s="102">
        <f t="shared" si="575"/>
        <v>0</v>
      </c>
      <c r="GK185" s="102">
        <f t="shared" si="565"/>
        <v>0</v>
      </c>
      <c r="GL185" s="102">
        <f t="shared" si="571"/>
        <v>0</v>
      </c>
      <c r="GM185" s="102">
        <f t="shared" si="566"/>
        <v>0</v>
      </c>
      <c r="GN185" s="102" t="e">
        <f t="shared" si="567"/>
        <v>#VALUE!</v>
      </c>
      <c r="GO185" s="102">
        <v>0</v>
      </c>
      <c r="GQ185" s="929">
        <f t="shared" si="583"/>
        <v>-1</v>
      </c>
      <c r="GR185" s="929" t="str">
        <f t="shared" si="583"/>
        <v/>
      </c>
      <c r="GS185" s="929" t="str">
        <f t="shared" si="583"/>
        <v/>
      </c>
      <c r="GT185" s="929" t="str">
        <f t="shared" si="583"/>
        <v/>
      </c>
      <c r="GU185" s="929" t="str">
        <f t="shared" si="583"/>
        <v/>
      </c>
      <c r="GV185" s="929" t="str">
        <f t="shared" si="583"/>
        <v/>
      </c>
      <c r="GW185" s="929" t="str">
        <f t="shared" si="499"/>
        <v/>
      </c>
      <c r="GX185" s="929" t="str">
        <f t="shared" si="499"/>
        <v/>
      </c>
      <c r="GY185" s="929" t="str">
        <f t="shared" si="492"/>
        <v/>
      </c>
      <c r="HA185" s="102">
        <f t="shared" si="584"/>
        <v>-133.33333400000001</v>
      </c>
      <c r="HB185" s="102">
        <f t="shared" si="584"/>
        <v>0</v>
      </c>
      <c r="HC185" s="102">
        <f t="shared" si="584"/>
        <v>0</v>
      </c>
      <c r="HD185" s="102">
        <f t="shared" si="577"/>
        <v>0</v>
      </c>
      <c r="HE185" s="102">
        <f t="shared" si="577"/>
        <v>0</v>
      </c>
      <c r="HF185" s="102">
        <f t="shared" si="577"/>
        <v>0</v>
      </c>
      <c r="HG185" s="102" t="e">
        <f t="shared" si="577"/>
        <v>#VALUE!</v>
      </c>
      <c r="HH185" s="102" t="e">
        <f t="shared" si="577"/>
        <v>#VALUE!</v>
      </c>
      <c r="HI185" s="102">
        <f t="shared" si="493"/>
        <v>0</v>
      </c>
      <c r="HK185" s="973"/>
      <c r="HL185" s="973"/>
      <c r="HM185" s="973"/>
      <c r="HN185" s="973"/>
      <c r="HO185" s="973"/>
      <c r="HP185" s="973"/>
      <c r="HQ185" s="973"/>
      <c r="HR185" s="973"/>
      <c r="HS185" s="973"/>
      <c r="HU185" s="102">
        <f t="shared" si="585"/>
        <v>0</v>
      </c>
      <c r="HV185" s="102">
        <f t="shared" si="585"/>
        <v>0</v>
      </c>
      <c r="HW185" s="102">
        <f t="shared" si="585"/>
        <v>0</v>
      </c>
      <c r="HX185" s="102">
        <f t="shared" si="585"/>
        <v>0</v>
      </c>
      <c r="HY185" s="102">
        <f t="shared" si="586"/>
        <v>0</v>
      </c>
      <c r="HZ185" s="102">
        <f t="shared" si="586"/>
        <v>0</v>
      </c>
      <c r="IA185" s="102">
        <f t="shared" si="587"/>
        <v>0</v>
      </c>
      <c r="IB185" s="102">
        <f t="shared" si="588"/>
        <v>0</v>
      </c>
      <c r="IC185" s="102">
        <f t="shared" si="589"/>
        <v>0</v>
      </c>
      <c r="ID185" s="102" t="e">
        <f t="shared" si="568"/>
        <v>#VALUE!</v>
      </c>
      <c r="IE185" s="102" t="e">
        <f t="shared" si="590"/>
        <v>#VALUE!</v>
      </c>
      <c r="IG185" s="102" t="e">
        <f t="shared" si="533"/>
        <v>#VALUE!</v>
      </c>
      <c r="IH185" s="102" t="e">
        <f t="shared" si="534"/>
        <v>#VALUE!</v>
      </c>
      <c r="II185" s="145"/>
      <c r="IJ185" s="929" t="str">
        <f t="shared" si="591"/>
        <v>NA</v>
      </c>
      <c r="IK185" s="930" t="str">
        <f t="shared" si="592"/>
        <v>NA</v>
      </c>
      <c r="IM185" s="973"/>
      <c r="IN185" s="973"/>
      <c r="IP185" s="929" t="str">
        <f t="shared" si="602"/>
        <v/>
      </c>
      <c r="IQ185" s="929" t="str">
        <f t="shared" si="602"/>
        <v/>
      </c>
      <c r="IR185" s="929" t="str">
        <f t="shared" si="602"/>
        <v/>
      </c>
      <c r="IS185" s="929" t="str">
        <f t="shared" si="602"/>
        <v/>
      </c>
      <c r="IT185" s="929" t="str">
        <f t="shared" si="602"/>
        <v/>
      </c>
      <c r="IU185" s="929" t="str">
        <f t="shared" si="602"/>
        <v/>
      </c>
      <c r="IV185" s="929" t="str">
        <f t="shared" si="603"/>
        <v/>
      </c>
      <c r="IX185" s="102">
        <f t="shared" si="538"/>
        <v>0</v>
      </c>
      <c r="IY185" s="102">
        <f t="shared" si="538"/>
        <v>0</v>
      </c>
      <c r="IZ185" s="102">
        <f t="shared" si="538"/>
        <v>0</v>
      </c>
      <c r="JA185" s="102">
        <f t="shared" si="538"/>
        <v>0</v>
      </c>
      <c r="JB185" s="102">
        <f t="shared" si="538"/>
        <v>0</v>
      </c>
      <c r="JC185" s="102">
        <f t="shared" si="538"/>
        <v>0</v>
      </c>
      <c r="JD185" s="102" t="e">
        <f t="shared" si="593"/>
        <v>#VALUE!</v>
      </c>
      <c r="JF185" s="973"/>
      <c r="JG185" s="973"/>
      <c r="JH185" s="973"/>
      <c r="JI185" s="973"/>
      <c r="JJ185" s="973"/>
      <c r="JK185" s="973"/>
      <c r="JL185" s="973"/>
      <c r="JM185" s="973"/>
      <c r="JO185" s="102">
        <f t="shared" si="594"/>
        <v>0</v>
      </c>
      <c r="JP185" s="102">
        <f t="shared" si="594"/>
        <v>0</v>
      </c>
      <c r="JQ185" s="102">
        <f t="shared" si="594"/>
        <v>0</v>
      </c>
      <c r="JR185" s="102">
        <f t="shared" si="594"/>
        <v>0</v>
      </c>
      <c r="JS185" s="102">
        <f t="shared" si="594"/>
        <v>0</v>
      </c>
      <c r="JT185" s="102">
        <f t="shared" si="595"/>
        <v>0</v>
      </c>
      <c r="JU185" s="102">
        <f t="shared" si="596"/>
        <v>0</v>
      </c>
      <c r="JV185" s="102">
        <f t="shared" si="597"/>
        <v>0</v>
      </c>
      <c r="JW185" s="102">
        <f t="shared" si="597"/>
        <v>0</v>
      </c>
      <c r="JX185" s="102" t="e">
        <f t="shared" si="598"/>
        <v>#VALUE!</v>
      </c>
      <c r="JY185" s="102" t="e">
        <f t="shared" si="599"/>
        <v>#VALUE!</v>
      </c>
      <c r="KB185" s="32" t="str">
        <f t="shared" si="600"/>
        <v xml:space="preserve"> </v>
      </c>
      <c r="KC185" s="32" t="str">
        <f t="shared" si="600"/>
        <v xml:space="preserve"> </v>
      </c>
      <c r="KD185" s="32" t="str">
        <f t="shared" si="600"/>
        <v xml:space="preserve"> </v>
      </c>
      <c r="KE185" s="32" t="str">
        <f t="shared" si="600"/>
        <v xml:space="preserve"> </v>
      </c>
      <c r="KF185" s="32" t="str">
        <f t="shared" si="600"/>
        <v xml:space="preserve"> </v>
      </c>
      <c r="KG185" s="32" t="str">
        <f t="shared" si="600"/>
        <v xml:space="preserve"> </v>
      </c>
      <c r="KH185" s="32" t="str">
        <f t="shared" si="569"/>
        <v xml:space="preserve"> </v>
      </c>
      <c r="KJ185" s="102">
        <f t="shared" si="601"/>
        <v>0</v>
      </c>
      <c r="KK185" s="102">
        <f t="shared" si="601"/>
        <v>0</v>
      </c>
      <c r="KL185" s="102">
        <f t="shared" si="601"/>
        <v>0</v>
      </c>
      <c r="KM185" s="102">
        <f t="shared" si="601"/>
        <v>0</v>
      </c>
      <c r="KN185" s="102">
        <f t="shared" si="601"/>
        <v>0</v>
      </c>
      <c r="KO185" s="102">
        <f t="shared" si="601"/>
        <v>0</v>
      </c>
      <c r="KP185" s="102" t="e">
        <f t="shared" si="570"/>
        <v>#VALUE!</v>
      </c>
      <c r="KR185" s="973"/>
      <c r="KS185" s="973"/>
      <c r="KT185" s="973"/>
      <c r="KU185" s="973"/>
      <c r="KV185" s="973"/>
      <c r="KW185" s="973"/>
      <c r="KX185" s="973"/>
      <c r="KY185" s="973"/>
      <c r="KZ185" s="973"/>
    </row>
    <row r="186" spans="1:312" hidden="1" outlineLevel="2">
      <c r="A186" s="884">
        <v>2355</v>
      </c>
      <c r="B186" s="70" t="s">
        <v>746</v>
      </c>
      <c r="D186" s="31"/>
      <c r="E186" s="102">
        <v>0</v>
      </c>
      <c r="F186" s="102">
        <v>0</v>
      </c>
      <c r="G186" s="102">
        <v>0</v>
      </c>
      <c r="H186" s="102">
        <v>0</v>
      </c>
      <c r="I186" s="102">
        <v>0</v>
      </c>
      <c r="J186" s="102">
        <v>0</v>
      </c>
      <c r="K186" s="102">
        <v>0</v>
      </c>
      <c r="L186" s="102">
        <v>0</v>
      </c>
      <c r="M186" s="102">
        <v>0</v>
      </c>
      <c r="N186" s="102">
        <v>0</v>
      </c>
      <c r="O186" s="102">
        <v>0</v>
      </c>
      <c r="P186" s="102">
        <v>0</v>
      </c>
      <c r="Q186" s="102">
        <v>0</v>
      </c>
      <c r="R186" s="102">
        <v>0</v>
      </c>
      <c r="S186" s="102">
        <v>0</v>
      </c>
      <c r="T186" s="102">
        <v>0</v>
      </c>
      <c r="U186" s="102">
        <v>0</v>
      </c>
      <c r="V186" s="102">
        <v>0</v>
      </c>
      <c r="W186" s="102">
        <v>0</v>
      </c>
      <c r="X186" s="102">
        <v>0</v>
      </c>
      <c r="Y186" s="102">
        <v>0</v>
      </c>
      <c r="Z186" s="102">
        <v>0</v>
      </c>
      <c r="AA186" s="102">
        <v>0</v>
      </c>
      <c r="AB186" s="102">
        <v>0</v>
      </c>
      <c r="AC186" s="102">
        <v>0</v>
      </c>
      <c r="AD186" s="102">
        <v>0</v>
      </c>
      <c r="AE186" s="102">
        <v>0</v>
      </c>
      <c r="AF186" s="102">
        <v>0</v>
      </c>
      <c r="AG186" s="102">
        <v>0</v>
      </c>
      <c r="AH186" s="102">
        <v>0</v>
      </c>
      <c r="AI186" s="102">
        <v>0</v>
      </c>
      <c r="AJ186" s="102">
        <v>0</v>
      </c>
      <c r="AK186" s="102">
        <v>0</v>
      </c>
      <c r="AL186" s="102">
        <v>0</v>
      </c>
      <c r="AM186" s="102">
        <v>0</v>
      </c>
      <c r="AN186" s="102">
        <v>0</v>
      </c>
      <c r="AO186" s="102">
        <v>0</v>
      </c>
      <c r="AP186" s="145">
        <v>0</v>
      </c>
      <c r="AQ186" s="220">
        <v>0</v>
      </c>
      <c r="AR186" s="220">
        <v>0</v>
      </c>
      <c r="AS186" s="102">
        <v>0</v>
      </c>
      <c r="AT186" s="102">
        <v>0</v>
      </c>
      <c r="AU186" s="102">
        <v>0</v>
      </c>
      <c r="AV186" s="102">
        <v>0</v>
      </c>
      <c r="AW186" s="102">
        <v>0</v>
      </c>
      <c r="AX186" s="102">
        <v>0</v>
      </c>
      <c r="AY186" s="102">
        <v>0</v>
      </c>
      <c r="AZ186" s="102">
        <v>0</v>
      </c>
      <c r="BA186" s="102">
        <v>0</v>
      </c>
      <c r="BB186" s="102">
        <v>0</v>
      </c>
      <c r="BC186" s="102">
        <v>0</v>
      </c>
      <c r="BD186" s="102">
        <v>0</v>
      </c>
      <c r="BE186" s="102">
        <v>0</v>
      </c>
      <c r="BF186" s="102">
        <v>0</v>
      </c>
      <c r="BG186" s="102">
        <v>0</v>
      </c>
      <c r="BH186" s="102">
        <v>0</v>
      </c>
      <c r="BI186" s="102">
        <v>0</v>
      </c>
      <c r="BJ186" s="102">
        <v>0</v>
      </c>
      <c r="BK186" s="102">
        <v>0</v>
      </c>
      <c r="BL186" s="102">
        <v>0</v>
      </c>
      <c r="BM186" s="145">
        <v>0</v>
      </c>
      <c r="BN186" s="102">
        <v>0</v>
      </c>
      <c r="BO186" s="102">
        <v>0</v>
      </c>
      <c r="BP186" s="102">
        <v>0</v>
      </c>
      <c r="BQ186" s="102">
        <v>0</v>
      </c>
      <c r="BR186" s="102">
        <v>0</v>
      </c>
      <c r="BS186" s="102">
        <v>0</v>
      </c>
      <c r="BT186" s="102">
        <v>0</v>
      </c>
      <c r="BU186" s="102">
        <v>0</v>
      </c>
      <c r="BV186" s="102">
        <v>0</v>
      </c>
      <c r="BW186" s="102">
        <v>0</v>
      </c>
      <c r="BX186" s="102">
        <v>0</v>
      </c>
      <c r="BY186" s="102">
        <v>0</v>
      </c>
      <c r="BZ186" s="102">
        <v>0</v>
      </c>
      <c r="CA186" s="102">
        <v>0</v>
      </c>
      <c r="CB186" s="102">
        <v>0</v>
      </c>
      <c r="CC186" s="102">
        <v>0</v>
      </c>
      <c r="CD186" s="102">
        <v>0</v>
      </c>
      <c r="CE186" s="102">
        <v>0</v>
      </c>
      <c r="CF186" s="102">
        <v>0</v>
      </c>
      <c r="CG186" s="102">
        <v>0</v>
      </c>
      <c r="CH186" s="102">
        <v>0</v>
      </c>
      <c r="CI186" s="102">
        <v>0</v>
      </c>
      <c r="CJ186" s="102">
        <v>0</v>
      </c>
      <c r="CK186" s="102">
        <v>0</v>
      </c>
      <c r="CL186" s="102">
        <v>0</v>
      </c>
      <c r="CM186" s="102">
        <v>0</v>
      </c>
      <c r="CN186" s="102">
        <v>0</v>
      </c>
      <c r="CO186" s="102">
        <v>0</v>
      </c>
      <c r="CP186" s="102">
        <v>0</v>
      </c>
      <c r="CQ186" s="102">
        <v>0</v>
      </c>
      <c r="CR186" s="102">
        <v>0</v>
      </c>
      <c r="CS186" s="102">
        <v>0</v>
      </c>
      <c r="CT186" s="102">
        <v>0</v>
      </c>
      <c r="CU186" s="102">
        <v>0</v>
      </c>
      <c r="CV186" s="102">
        <v>0</v>
      </c>
      <c r="CW186" s="102">
        <v>0</v>
      </c>
      <c r="CX186" s="102">
        <v>0</v>
      </c>
      <c r="CY186" s="102">
        <v>0</v>
      </c>
      <c r="CZ186" s="102">
        <v>0</v>
      </c>
      <c r="DA186" s="102">
        <v>0</v>
      </c>
      <c r="DB186" s="102">
        <v>0</v>
      </c>
      <c r="DC186" s="102">
        <v>0</v>
      </c>
      <c r="DD186" s="102">
        <v>0</v>
      </c>
      <c r="DE186" s="102">
        <v>0</v>
      </c>
      <c r="DF186" s="102">
        <v>0</v>
      </c>
      <c r="DG186" s="102">
        <v>0</v>
      </c>
      <c r="DH186" s="102">
        <v>0</v>
      </c>
      <c r="DJ186" s="102" t="e">
        <v>#VALUE!</v>
      </c>
      <c r="DK186" s="102" t="e">
        <v>#VALUE!</v>
      </c>
      <c r="DL186" s="102" t="e">
        <v>#VALUE!</v>
      </c>
      <c r="DM186" s="102" t="e">
        <v>#VALUE!</v>
      </c>
      <c r="DN186" s="102" t="e">
        <v>#VALUE!</v>
      </c>
      <c r="DO186" s="102" t="e">
        <v>#VALUE!</v>
      </c>
      <c r="DP186" s="102" t="e">
        <v>#VALUE!</v>
      </c>
      <c r="DQ186" s="102" t="e">
        <v>#VALUE!</v>
      </c>
      <c r="DR186" s="102" t="e">
        <v>#VALUE!</v>
      </c>
      <c r="DS186" s="102" t="e">
        <v>#VALUE!</v>
      </c>
      <c r="DT186" s="102" t="e">
        <v>#VALUE!</v>
      </c>
      <c r="DU186" s="102" t="e">
        <v>#VALUE!</v>
      </c>
      <c r="DW186" s="102"/>
      <c r="DX186" s="102"/>
      <c r="DY186" s="102"/>
      <c r="DZ186" s="102"/>
      <c r="EA186" s="102"/>
      <c r="EB186" s="102"/>
      <c r="EC186" s="102"/>
      <c r="ED186" s="102"/>
      <c r="EE186" s="102"/>
      <c r="EF186" s="102"/>
      <c r="EG186" s="102"/>
      <c r="EH186" s="102"/>
      <c r="EI186" s="102">
        <v>0</v>
      </c>
      <c r="EJ186" s="102">
        <v>0</v>
      </c>
      <c r="EK186" s="102">
        <v>0</v>
      </c>
      <c r="EL186" s="102">
        <v>0</v>
      </c>
      <c r="EM186" s="102">
        <v>0</v>
      </c>
      <c r="EN186" s="102">
        <v>0</v>
      </c>
      <c r="EO186" s="102">
        <v>0</v>
      </c>
      <c r="EP186" s="102">
        <v>0</v>
      </c>
      <c r="EQ186" s="102">
        <v>0</v>
      </c>
      <c r="ER186" s="102">
        <v>0</v>
      </c>
      <c r="ES186" s="102">
        <v>0</v>
      </c>
      <c r="ET186" s="102">
        <v>0</v>
      </c>
      <c r="EU186" s="102"/>
      <c r="EV186" s="102"/>
      <c r="EW186" s="102"/>
      <c r="EX186" s="102"/>
      <c r="EY186" s="102"/>
      <c r="EZ186" s="102"/>
      <c r="FA186" s="102"/>
      <c r="FB186" s="102"/>
      <c r="FC186" s="102"/>
      <c r="FD186" s="102"/>
      <c r="FE186" s="102"/>
      <c r="FF186" s="102"/>
      <c r="FG186" s="102" t="e">
        <v>#VALUE!</v>
      </c>
      <c r="FH186" s="102" t="e">
        <v>#VALUE!</v>
      </c>
      <c r="FI186" s="102" t="e">
        <v>#VALUE!</v>
      </c>
      <c r="FJ186" s="102" t="e">
        <v>#VALUE!</v>
      </c>
      <c r="FK186" s="102" t="e">
        <v>#VALUE!</v>
      </c>
      <c r="FL186" s="102" t="e">
        <v>#VALUE!</v>
      </c>
      <c r="FM186" s="102" t="e">
        <v>#VALUE!</v>
      </c>
      <c r="FN186" s="102" t="e">
        <v>#VALUE!</v>
      </c>
      <c r="FO186" s="102" t="e">
        <v>#VALUE!</v>
      </c>
      <c r="FP186" s="102" t="e">
        <v>#VALUE!</v>
      </c>
      <c r="FQ186" s="102" t="e">
        <v>#VALUE!</v>
      </c>
      <c r="FR186" s="102" t="e">
        <v>#VALUE!</v>
      </c>
      <c r="FS186" s="102" t="e">
        <v>#VALUE!</v>
      </c>
      <c r="FT186" s="102" t="e">
        <v>#VALUE!</v>
      </c>
      <c r="FU186" s="102" t="e">
        <v>#VALUE!</v>
      </c>
      <c r="FV186" s="102" t="e">
        <v>#VALUE!</v>
      </c>
      <c r="FW186" s="102" t="e">
        <v>#VALUE!</v>
      </c>
      <c r="FX186" s="102" t="e">
        <v>#VALUE!</v>
      </c>
      <c r="FY186" s="102" t="e">
        <v>#VALUE!</v>
      </c>
      <c r="FZ186" s="102" t="e">
        <v>#VALUE!</v>
      </c>
      <c r="GA186" s="102" t="e">
        <v>#VALUE!</v>
      </c>
      <c r="GB186" s="102" t="e">
        <v>#VALUE!</v>
      </c>
      <c r="GC186" s="102" t="e">
        <v>#VALUE!</v>
      </c>
      <c r="GD186" s="102" t="e">
        <v>#VALUE!</v>
      </c>
      <c r="GF186" s="102">
        <f t="shared" si="582"/>
        <v>0</v>
      </c>
      <c r="GG186" s="102">
        <f t="shared" si="582"/>
        <v>0</v>
      </c>
      <c r="GH186" s="102">
        <f t="shared" si="582"/>
        <v>0</v>
      </c>
      <c r="GI186" s="102">
        <f t="shared" si="582"/>
        <v>0</v>
      </c>
      <c r="GJ186" s="102">
        <f t="shared" si="575"/>
        <v>0</v>
      </c>
      <c r="GK186" s="102">
        <f t="shared" si="565"/>
        <v>0</v>
      </c>
      <c r="GL186" s="102">
        <f t="shared" si="571"/>
        <v>0</v>
      </c>
      <c r="GM186" s="102">
        <f t="shared" si="566"/>
        <v>0</v>
      </c>
      <c r="GN186" s="102" t="e">
        <f t="shared" si="567"/>
        <v>#VALUE!</v>
      </c>
      <c r="GO186" s="102">
        <v>0</v>
      </c>
      <c r="GQ186" s="929" t="str">
        <f t="shared" si="583"/>
        <v/>
      </c>
      <c r="GR186" s="929" t="str">
        <f t="shared" si="583"/>
        <v/>
      </c>
      <c r="GS186" s="929" t="str">
        <f t="shared" si="583"/>
        <v/>
      </c>
      <c r="GT186" s="929" t="str">
        <f t="shared" si="583"/>
        <v/>
      </c>
      <c r="GU186" s="929" t="str">
        <f t="shared" si="583"/>
        <v/>
      </c>
      <c r="GV186" s="929" t="str">
        <f t="shared" si="583"/>
        <v/>
      </c>
      <c r="GW186" s="929" t="str">
        <f t="shared" si="499"/>
        <v/>
      </c>
      <c r="GX186" s="929" t="str">
        <f t="shared" si="499"/>
        <v/>
      </c>
      <c r="GY186" s="929" t="str">
        <f t="shared" si="492"/>
        <v/>
      </c>
      <c r="HA186" s="102">
        <f t="shared" si="584"/>
        <v>0</v>
      </c>
      <c r="HB186" s="102">
        <f t="shared" si="584"/>
        <v>0</v>
      </c>
      <c r="HC186" s="102">
        <f t="shared" si="584"/>
        <v>0</v>
      </c>
      <c r="HD186" s="102">
        <f t="shared" si="577"/>
        <v>0</v>
      </c>
      <c r="HE186" s="102">
        <f t="shared" si="577"/>
        <v>0</v>
      </c>
      <c r="HF186" s="102">
        <f t="shared" si="577"/>
        <v>0</v>
      </c>
      <c r="HG186" s="102" t="e">
        <f t="shared" si="577"/>
        <v>#VALUE!</v>
      </c>
      <c r="HH186" s="102" t="e">
        <f t="shared" si="577"/>
        <v>#VALUE!</v>
      </c>
      <c r="HI186" s="102">
        <f t="shared" si="493"/>
        <v>0</v>
      </c>
      <c r="HK186" s="973"/>
      <c r="HL186" s="973"/>
      <c r="HM186" s="973"/>
      <c r="HN186" s="973"/>
      <c r="HO186" s="973"/>
      <c r="HP186" s="973"/>
      <c r="HQ186" s="973"/>
      <c r="HR186" s="973"/>
      <c r="HS186" s="973"/>
      <c r="HU186" s="102">
        <f t="shared" si="585"/>
        <v>0</v>
      </c>
      <c r="HV186" s="102">
        <f t="shared" si="585"/>
        <v>0</v>
      </c>
      <c r="HW186" s="102">
        <f t="shared" si="585"/>
        <v>0</v>
      </c>
      <c r="HX186" s="102">
        <f t="shared" si="585"/>
        <v>0</v>
      </c>
      <c r="HY186" s="102">
        <f t="shared" si="586"/>
        <v>0</v>
      </c>
      <c r="HZ186" s="102">
        <f t="shared" si="586"/>
        <v>0</v>
      </c>
      <c r="IA186" s="102">
        <f t="shared" si="587"/>
        <v>0</v>
      </c>
      <c r="IB186" s="102">
        <f t="shared" si="588"/>
        <v>0</v>
      </c>
      <c r="IC186" s="102">
        <f t="shared" si="589"/>
        <v>0</v>
      </c>
      <c r="ID186" s="102" t="e">
        <f t="shared" si="568"/>
        <v>#VALUE!</v>
      </c>
      <c r="IE186" s="102" t="e">
        <f t="shared" si="590"/>
        <v>#VALUE!</v>
      </c>
      <c r="IG186" s="102" t="e">
        <f t="shared" si="533"/>
        <v>#VALUE!</v>
      </c>
      <c r="IH186" s="102" t="e">
        <f t="shared" si="534"/>
        <v>#VALUE!</v>
      </c>
      <c r="II186" s="145"/>
      <c r="IJ186" s="929" t="str">
        <f t="shared" si="591"/>
        <v>NA</v>
      </c>
      <c r="IK186" s="930" t="str">
        <f t="shared" si="592"/>
        <v>NA</v>
      </c>
      <c r="IM186" s="973"/>
      <c r="IN186" s="973"/>
      <c r="IP186" s="929" t="str">
        <f t="shared" si="602"/>
        <v/>
      </c>
      <c r="IQ186" s="929" t="str">
        <f t="shared" si="602"/>
        <v/>
      </c>
      <c r="IR186" s="929" t="str">
        <f t="shared" si="602"/>
        <v/>
      </c>
      <c r="IS186" s="929" t="str">
        <f t="shared" si="602"/>
        <v/>
      </c>
      <c r="IT186" s="929" t="str">
        <f t="shared" si="602"/>
        <v/>
      </c>
      <c r="IU186" s="929" t="str">
        <f t="shared" si="602"/>
        <v/>
      </c>
      <c r="IV186" s="929" t="str">
        <f t="shared" si="603"/>
        <v/>
      </c>
      <c r="IX186" s="102">
        <f t="shared" si="538"/>
        <v>0</v>
      </c>
      <c r="IY186" s="102">
        <f t="shared" si="538"/>
        <v>0</v>
      </c>
      <c r="IZ186" s="102">
        <f t="shared" si="538"/>
        <v>0</v>
      </c>
      <c r="JA186" s="102">
        <f t="shared" si="538"/>
        <v>0</v>
      </c>
      <c r="JB186" s="102">
        <f t="shared" si="538"/>
        <v>0</v>
      </c>
      <c r="JC186" s="102">
        <f t="shared" si="538"/>
        <v>0</v>
      </c>
      <c r="JD186" s="102" t="e">
        <f t="shared" si="593"/>
        <v>#VALUE!</v>
      </c>
      <c r="JF186" s="973"/>
      <c r="JG186" s="973"/>
      <c r="JH186" s="973"/>
      <c r="JI186" s="973"/>
      <c r="JJ186" s="973"/>
      <c r="JK186" s="973"/>
      <c r="JL186" s="973"/>
      <c r="JM186" s="973"/>
      <c r="JO186" s="102">
        <f t="shared" si="594"/>
        <v>0</v>
      </c>
      <c r="JP186" s="102">
        <f t="shared" si="594"/>
        <v>0</v>
      </c>
      <c r="JQ186" s="102">
        <f t="shared" si="594"/>
        <v>0</v>
      </c>
      <c r="JR186" s="102">
        <f t="shared" si="594"/>
        <v>0</v>
      </c>
      <c r="JS186" s="102">
        <f t="shared" si="594"/>
        <v>0</v>
      </c>
      <c r="JT186" s="102">
        <f t="shared" si="595"/>
        <v>0</v>
      </c>
      <c r="JU186" s="102">
        <f t="shared" si="596"/>
        <v>0</v>
      </c>
      <c r="JV186" s="102">
        <f t="shared" si="597"/>
        <v>0</v>
      </c>
      <c r="JW186" s="102">
        <f t="shared" si="597"/>
        <v>0</v>
      </c>
      <c r="JX186" s="102" t="e">
        <f t="shared" si="598"/>
        <v>#VALUE!</v>
      </c>
      <c r="JY186" s="102" t="e">
        <f t="shared" si="599"/>
        <v>#VALUE!</v>
      </c>
      <c r="KB186" s="32" t="str">
        <f t="shared" si="600"/>
        <v xml:space="preserve"> </v>
      </c>
      <c r="KC186" s="32" t="str">
        <f t="shared" si="600"/>
        <v xml:space="preserve"> </v>
      </c>
      <c r="KD186" s="32" t="str">
        <f t="shared" si="600"/>
        <v xml:space="preserve"> </v>
      </c>
      <c r="KE186" s="32" t="str">
        <f t="shared" si="600"/>
        <v xml:space="preserve"> </v>
      </c>
      <c r="KF186" s="32" t="str">
        <f t="shared" si="600"/>
        <v xml:space="preserve"> </v>
      </c>
      <c r="KG186" s="32" t="str">
        <f t="shared" si="600"/>
        <v xml:space="preserve"> </v>
      </c>
      <c r="KH186" s="32" t="str">
        <f t="shared" si="569"/>
        <v xml:space="preserve"> </v>
      </c>
      <c r="KJ186" s="102">
        <f t="shared" si="601"/>
        <v>0</v>
      </c>
      <c r="KK186" s="102">
        <f t="shared" si="601"/>
        <v>0</v>
      </c>
      <c r="KL186" s="102">
        <f t="shared" si="601"/>
        <v>0</v>
      </c>
      <c r="KM186" s="102">
        <f t="shared" si="601"/>
        <v>0</v>
      </c>
      <c r="KN186" s="102">
        <f t="shared" si="601"/>
        <v>0</v>
      </c>
      <c r="KO186" s="102">
        <f t="shared" si="601"/>
        <v>0</v>
      </c>
      <c r="KP186" s="102" t="e">
        <f t="shared" si="570"/>
        <v>#VALUE!</v>
      </c>
      <c r="KR186" s="973"/>
      <c r="KS186" s="973"/>
      <c r="KT186" s="973"/>
      <c r="KU186" s="973"/>
      <c r="KV186" s="973"/>
      <c r="KW186" s="973"/>
      <c r="KX186" s="973"/>
      <c r="KY186" s="973"/>
      <c r="KZ186" s="973"/>
    </row>
    <row r="187" spans="1:312" hidden="1" outlineLevel="2">
      <c r="A187" s="884">
        <v>2360</v>
      </c>
      <c r="B187" s="70" t="s">
        <v>747</v>
      </c>
      <c r="D187" s="31"/>
      <c r="E187" s="102">
        <v>1548.709198</v>
      </c>
      <c r="F187" s="102">
        <v>1548.709198</v>
      </c>
      <c r="G187" s="102">
        <v>1148.709198</v>
      </c>
      <c r="H187" s="102">
        <v>748.70919800000001</v>
      </c>
      <c r="I187" s="102">
        <v>348.70919800000001</v>
      </c>
      <c r="J187" s="102">
        <v>0</v>
      </c>
      <c r="K187" s="102">
        <v>0</v>
      </c>
      <c r="L187" s="102">
        <v>0</v>
      </c>
      <c r="M187" s="102">
        <v>0</v>
      </c>
      <c r="N187" s="102">
        <v>0</v>
      </c>
      <c r="O187" s="102">
        <v>0</v>
      </c>
      <c r="P187" s="102">
        <v>1308.802553</v>
      </c>
      <c r="Q187" s="102">
        <v>654.40127500000006</v>
      </c>
      <c r="R187" s="102">
        <v>10</v>
      </c>
      <c r="S187" s="102">
        <v>10</v>
      </c>
      <c r="T187" s="102">
        <v>0</v>
      </c>
      <c r="U187" s="102">
        <v>0</v>
      </c>
      <c r="V187" s="102">
        <v>0</v>
      </c>
      <c r="W187" s="102">
        <v>0</v>
      </c>
      <c r="X187" s="102">
        <v>133.33333400000001</v>
      </c>
      <c r="Y187" s="102">
        <v>0</v>
      </c>
      <c r="Z187" s="102">
        <v>0</v>
      </c>
      <c r="AA187" s="102">
        <v>0</v>
      </c>
      <c r="AB187" s="102">
        <v>133.33333400000001</v>
      </c>
      <c r="AC187" s="102">
        <v>0</v>
      </c>
      <c r="AD187" s="102">
        <v>0</v>
      </c>
      <c r="AE187" s="102">
        <v>4235.1222726599999</v>
      </c>
      <c r="AF187" s="102">
        <v>86.707424219999993</v>
      </c>
      <c r="AG187" s="102">
        <v>0</v>
      </c>
      <c r="AH187" s="102">
        <v>0</v>
      </c>
      <c r="AI187" s="102">
        <v>0</v>
      </c>
      <c r="AJ187" s="102">
        <v>0</v>
      </c>
      <c r="AK187" s="102">
        <v>0</v>
      </c>
      <c r="AL187" s="102">
        <v>0</v>
      </c>
      <c r="AM187" s="102">
        <v>0</v>
      </c>
      <c r="AN187" s="102">
        <v>0</v>
      </c>
      <c r="AO187" s="102">
        <v>0</v>
      </c>
      <c r="AP187" s="145">
        <v>0</v>
      </c>
      <c r="AQ187" s="220">
        <v>0</v>
      </c>
      <c r="AR187" s="220">
        <v>0</v>
      </c>
      <c r="AS187" s="102">
        <v>0</v>
      </c>
      <c r="AT187" s="102">
        <v>0</v>
      </c>
      <c r="AU187" s="102">
        <v>0</v>
      </c>
      <c r="AV187" s="102">
        <v>0</v>
      </c>
      <c r="AW187" s="102">
        <v>0</v>
      </c>
      <c r="AX187" s="102">
        <v>0</v>
      </c>
      <c r="AY187" s="102">
        <v>0</v>
      </c>
      <c r="AZ187" s="102">
        <v>0</v>
      </c>
      <c r="BA187" s="102">
        <v>0</v>
      </c>
      <c r="BB187" s="102">
        <v>0</v>
      </c>
      <c r="BC187" s="102">
        <v>0</v>
      </c>
      <c r="BD187" s="102">
        <v>0</v>
      </c>
      <c r="BE187" s="102">
        <v>0</v>
      </c>
      <c r="BF187" s="102">
        <v>0</v>
      </c>
      <c r="BG187" s="102">
        <v>0</v>
      </c>
      <c r="BH187" s="102">
        <v>0</v>
      </c>
      <c r="BI187" s="102">
        <v>0</v>
      </c>
      <c r="BJ187" s="102">
        <v>0</v>
      </c>
      <c r="BK187" s="102">
        <v>0</v>
      </c>
      <c r="BL187" s="102">
        <v>0</v>
      </c>
      <c r="BM187" s="145">
        <v>0</v>
      </c>
      <c r="BN187" s="102">
        <v>0</v>
      </c>
      <c r="BO187" s="102">
        <v>0</v>
      </c>
      <c r="BP187" s="102">
        <v>0</v>
      </c>
      <c r="BQ187" s="102">
        <v>0</v>
      </c>
      <c r="BR187" s="102">
        <v>0</v>
      </c>
      <c r="BS187" s="102">
        <v>0</v>
      </c>
      <c r="BT187" s="102">
        <v>0</v>
      </c>
      <c r="BU187" s="102">
        <v>0</v>
      </c>
      <c r="BV187" s="102">
        <v>0</v>
      </c>
      <c r="BW187" s="102">
        <v>0</v>
      </c>
      <c r="BX187" s="102">
        <v>0</v>
      </c>
      <c r="BY187" s="102">
        <v>0</v>
      </c>
      <c r="BZ187" s="102">
        <v>0</v>
      </c>
      <c r="CA187" s="102">
        <v>0</v>
      </c>
      <c r="CB187" s="102">
        <v>0</v>
      </c>
      <c r="CC187" s="102">
        <v>0</v>
      </c>
      <c r="CD187" s="102">
        <v>0</v>
      </c>
      <c r="CE187" s="102">
        <v>0</v>
      </c>
      <c r="CF187" s="102">
        <v>0</v>
      </c>
      <c r="CG187" s="102">
        <v>0</v>
      </c>
      <c r="CH187" s="102">
        <v>0</v>
      </c>
      <c r="CI187" s="102">
        <v>0</v>
      </c>
      <c r="CJ187" s="102">
        <v>0</v>
      </c>
      <c r="CK187" s="102">
        <v>0</v>
      </c>
      <c r="CL187" s="102">
        <v>0</v>
      </c>
      <c r="CM187" s="102">
        <v>0</v>
      </c>
      <c r="CN187" s="102">
        <v>0</v>
      </c>
      <c r="CO187" s="102">
        <v>0</v>
      </c>
      <c r="CP187" s="102">
        <v>0</v>
      </c>
      <c r="CQ187" s="102">
        <v>0</v>
      </c>
      <c r="CR187" s="102">
        <v>0</v>
      </c>
      <c r="CS187" s="102">
        <v>0</v>
      </c>
      <c r="CT187" s="102">
        <v>0</v>
      </c>
      <c r="CU187" s="102">
        <v>0</v>
      </c>
      <c r="CV187" s="102">
        <v>0</v>
      </c>
      <c r="CW187" s="102">
        <v>0</v>
      </c>
      <c r="CX187" s="102">
        <v>0</v>
      </c>
      <c r="CY187" s="102">
        <v>0</v>
      </c>
      <c r="CZ187" s="102">
        <v>0</v>
      </c>
      <c r="DA187" s="102">
        <v>0</v>
      </c>
      <c r="DB187" s="102">
        <v>0</v>
      </c>
      <c r="DC187" s="102">
        <v>0</v>
      </c>
      <c r="DD187" s="102">
        <v>0</v>
      </c>
      <c r="DE187" s="102">
        <v>0</v>
      </c>
      <c r="DF187" s="102">
        <v>0</v>
      </c>
      <c r="DG187" s="102">
        <v>0</v>
      </c>
      <c r="DH187" s="102">
        <v>0</v>
      </c>
      <c r="DJ187" s="102" t="e">
        <v>#VALUE!</v>
      </c>
      <c r="DK187" s="102" t="e">
        <v>#VALUE!</v>
      </c>
      <c r="DL187" s="102" t="e">
        <v>#VALUE!</v>
      </c>
      <c r="DM187" s="102" t="e">
        <v>#VALUE!</v>
      </c>
      <c r="DN187" s="102" t="e">
        <v>#VALUE!</v>
      </c>
      <c r="DO187" s="102" t="e">
        <v>#VALUE!</v>
      </c>
      <c r="DP187" s="102" t="e">
        <v>#VALUE!</v>
      </c>
      <c r="DQ187" s="102" t="e">
        <v>#VALUE!</v>
      </c>
      <c r="DR187" s="102" t="e">
        <v>#VALUE!</v>
      </c>
      <c r="DS187" s="102" t="e">
        <v>#VALUE!</v>
      </c>
      <c r="DT187" s="102" t="e">
        <v>#VALUE!</v>
      </c>
      <c r="DU187" s="102" t="e">
        <v>#VALUE!</v>
      </c>
      <c r="DW187" s="102"/>
      <c r="DX187" s="102"/>
      <c r="DY187" s="102"/>
      <c r="DZ187" s="102"/>
      <c r="EA187" s="102"/>
      <c r="EB187" s="102"/>
      <c r="EC187" s="102"/>
      <c r="ED187" s="102"/>
      <c r="EE187" s="102"/>
      <c r="EF187" s="102"/>
      <c r="EG187" s="102"/>
      <c r="EH187" s="102"/>
      <c r="EI187" s="102">
        <v>1216.711241</v>
      </c>
      <c r="EJ187" s="102">
        <v>1216.711241</v>
      </c>
      <c r="EK187" s="102">
        <v>1216.711241</v>
      </c>
      <c r="EL187" s="102">
        <v>1216.711241</v>
      </c>
      <c r="EM187" s="102">
        <v>1216.711241</v>
      </c>
      <c r="EN187" s="102">
        <v>1216.711241</v>
      </c>
      <c r="EO187" s="102">
        <v>1216.711241</v>
      </c>
      <c r="EP187" s="102">
        <v>1216.711241</v>
      </c>
      <c r="EQ187" s="102">
        <v>1216.711241</v>
      </c>
      <c r="ER187" s="102">
        <v>1216.711241</v>
      </c>
      <c r="ES187" s="102">
        <v>1216.711241</v>
      </c>
      <c r="ET187" s="102">
        <v>1216.711241</v>
      </c>
      <c r="EU187" s="102"/>
      <c r="EV187" s="102"/>
      <c r="EW187" s="102"/>
      <c r="EX187" s="102"/>
      <c r="EY187" s="102"/>
      <c r="EZ187" s="102"/>
      <c r="FA187" s="102"/>
      <c r="FB187" s="102"/>
      <c r="FC187" s="102"/>
      <c r="FD187" s="102"/>
      <c r="FE187" s="102"/>
      <c r="FF187" s="102"/>
      <c r="FG187" s="102" t="e">
        <v>#VALUE!</v>
      </c>
      <c r="FH187" s="102" t="e">
        <v>#VALUE!</v>
      </c>
      <c r="FI187" s="102" t="e">
        <v>#VALUE!</v>
      </c>
      <c r="FJ187" s="102" t="e">
        <v>#VALUE!</v>
      </c>
      <c r="FK187" s="102" t="e">
        <v>#VALUE!</v>
      </c>
      <c r="FL187" s="102" t="e">
        <v>#VALUE!</v>
      </c>
      <c r="FM187" s="102" t="e">
        <v>#VALUE!</v>
      </c>
      <c r="FN187" s="102" t="e">
        <v>#VALUE!</v>
      </c>
      <c r="FO187" s="102" t="e">
        <v>#VALUE!</v>
      </c>
      <c r="FP187" s="102" t="e">
        <v>#VALUE!</v>
      </c>
      <c r="FQ187" s="102" t="e">
        <v>#VALUE!</v>
      </c>
      <c r="FR187" s="102" t="e">
        <v>#VALUE!</v>
      </c>
      <c r="FS187" s="102" t="e">
        <v>#VALUE!</v>
      </c>
      <c r="FT187" s="102" t="e">
        <v>#VALUE!</v>
      </c>
      <c r="FU187" s="102" t="e">
        <v>#VALUE!</v>
      </c>
      <c r="FV187" s="102" t="e">
        <v>#VALUE!</v>
      </c>
      <c r="FW187" s="102" t="e">
        <v>#VALUE!</v>
      </c>
      <c r="FX187" s="102" t="e">
        <v>#VALUE!</v>
      </c>
      <c r="FY187" s="102" t="e">
        <v>#VALUE!</v>
      </c>
      <c r="FZ187" s="102" t="e">
        <v>#VALUE!</v>
      </c>
      <c r="GA187" s="102" t="e">
        <v>#VALUE!</v>
      </c>
      <c r="GB187" s="102" t="e">
        <v>#VALUE!</v>
      </c>
      <c r="GC187" s="102" t="e">
        <v>#VALUE!</v>
      </c>
      <c r="GD187" s="102" t="e">
        <v>#VALUE!</v>
      </c>
      <c r="GF187" s="102">
        <f t="shared" si="582"/>
        <v>1308.802553</v>
      </c>
      <c r="GG187" s="102">
        <f t="shared" si="582"/>
        <v>133.33333400000001</v>
      </c>
      <c r="GH187" s="102">
        <f t="shared" si="582"/>
        <v>0</v>
      </c>
      <c r="GI187" s="102">
        <f t="shared" si="582"/>
        <v>0</v>
      </c>
      <c r="GJ187" s="102">
        <f t="shared" si="575"/>
        <v>0</v>
      </c>
      <c r="GK187" s="102">
        <f t="shared" si="565"/>
        <v>0</v>
      </c>
      <c r="GL187" s="102">
        <f t="shared" si="571"/>
        <v>0</v>
      </c>
      <c r="GM187" s="102">
        <f t="shared" si="566"/>
        <v>0</v>
      </c>
      <c r="GN187" s="102" t="e">
        <f t="shared" si="567"/>
        <v>#VALUE!</v>
      </c>
      <c r="GO187" s="102">
        <v>0</v>
      </c>
      <c r="GQ187" s="929">
        <f t="shared" si="583"/>
        <v>-1</v>
      </c>
      <c r="GR187" s="929" t="str">
        <f t="shared" si="583"/>
        <v/>
      </c>
      <c r="GS187" s="929" t="str">
        <f t="shared" si="583"/>
        <v/>
      </c>
      <c r="GT187" s="929" t="str">
        <f t="shared" si="583"/>
        <v/>
      </c>
      <c r="GU187" s="929" t="str">
        <f t="shared" si="583"/>
        <v/>
      </c>
      <c r="GV187" s="929" t="str">
        <f t="shared" si="583"/>
        <v/>
      </c>
      <c r="GW187" s="929" t="str">
        <f t="shared" si="499"/>
        <v/>
      </c>
      <c r="GX187" s="929" t="str">
        <f t="shared" si="499"/>
        <v/>
      </c>
      <c r="GY187" s="929" t="str">
        <f t="shared" si="492"/>
        <v/>
      </c>
      <c r="HA187" s="102">
        <f t="shared" si="584"/>
        <v>-133.33333400000001</v>
      </c>
      <c r="HB187" s="102">
        <f t="shared" si="584"/>
        <v>0</v>
      </c>
      <c r="HC187" s="102">
        <f t="shared" si="584"/>
        <v>0</v>
      </c>
      <c r="HD187" s="102">
        <f t="shared" si="577"/>
        <v>0</v>
      </c>
      <c r="HE187" s="102">
        <f t="shared" si="577"/>
        <v>0</v>
      </c>
      <c r="HF187" s="102">
        <f t="shared" si="577"/>
        <v>0</v>
      </c>
      <c r="HG187" s="102" t="e">
        <f t="shared" si="577"/>
        <v>#VALUE!</v>
      </c>
      <c r="HH187" s="102" t="e">
        <f t="shared" si="577"/>
        <v>#VALUE!</v>
      </c>
      <c r="HI187" s="102">
        <f t="shared" si="493"/>
        <v>0</v>
      </c>
      <c r="HK187" s="973"/>
      <c r="HL187" s="973"/>
      <c r="HM187" s="973"/>
      <c r="HN187" s="973"/>
      <c r="HO187" s="973"/>
      <c r="HP187" s="973"/>
      <c r="HQ187" s="973"/>
      <c r="HR187" s="973"/>
      <c r="HS187" s="973"/>
      <c r="HU187" s="102">
        <f t="shared" si="585"/>
        <v>0</v>
      </c>
      <c r="HV187" s="102">
        <f t="shared" si="585"/>
        <v>0</v>
      </c>
      <c r="HW187" s="102">
        <f t="shared" si="585"/>
        <v>0</v>
      </c>
      <c r="HX187" s="102">
        <f t="shared" si="585"/>
        <v>0</v>
      </c>
      <c r="HY187" s="102">
        <f t="shared" si="586"/>
        <v>0</v>
      </c>
      <c r="HZ187" s="102">
        <f t="shared" si="586"/>
        <v>0</v>
      </c>
      <c r="IA187" s="102">
        <f t="shared" si="587"/>
        <v>0</v>
      </c>
      <c r="IB187" s="102">
        <f t="shared" si="588"/>
        <v>0</v>
      </c>
      <c r="IC187" s="102">
        <f t="shared" si="589"/>
        <v>0</v>
      </c>
      <c r="ID187" s="102" t="e">
        <f t="shared" si="568"/>
        <v>#VALUE!</v>
      </c>
      <c r="IE187" s="102" t="e">
        <f t="shared" si="590"/>
        <v>#VALUE!</v>
      </c>
      <c r="IG187" s="102" t="e">
        <f t="shared" si="533"/>
        <v>#VALUE!</v>
      </c>
      <c r="IH187" s="102" t="e">
        <f t="shared" si="534"/>
        <v>#VALUE!</v>
      </c>
      <c r="II187" s="145"/>
      <c r="IJ187" s="929" t="str">
        <f t="shared" si="591"/>
        <v>NA</v>
      </c>
      <c r="IK187" s="930" t="str">
        <f t="shared" si="592"/>
        <v>NA</v>
      </c>
      <c r="IM187" s="973"/>
      <c r="IN187" s="973"/>
      <c r="IP187" s="929" t="str">
        <f t="shared" si="602"/>
        <v/>
      </c>
      <c r="IQ187" s="929" t="str">
        <f t="shared" si="602"/>
        <v/>
      </c>
      <c r="IR187" s="929" t="str">
        <f t="shared" si="602"/>
        <v/>
      </c>
      <c r="IS187" s="929" t="str">
        <f t="shared" si="602"/>
        <v/>
      </c>
      <c r="IT187" s="929" t="str">
        <f t="shared" si="602"/>
        <v/>
      </c>
      <c r="IU187" s="929" t="str">
        <f t="shared" si="602"/>
        <v/>
      </c>
      <c r="IV187" s="929" t="str">
        <f t="shared" si="603"/>
        <v/>
      </c>
      <c r="IX187" s="102">
        <f t="shared" si="538"/>
        <v>0</v>
      </c>
      <c r="IY187" s="102">
        <f t="shared" si="538"/>
        <v>0</v>
      </c>
      <c r="IZ187" s="102">
        <f t="shared" si="538"/>
        <v>0</v>
      </c>
      <c r="JA187" s="102">
        <f t="shared" si="538"/>
        <v>0</v>
      </c>
      <c r="JB187" s="102">
        <f t="shared" si="538"/>
        <v>0</v>
      </c>
      <c r="JC187" s="102">
        <f t="shared" si="538"/>
        <v>0</v>
      </c>
      <c r="JD187" s="102" t="e">
        <f t="shared" si="593"/>
        <v>#VALUE!</v>
      </c>
      <c r="JF187" s="973"/>
      <c r="JG187" s="973"/>
      <c r="JH187" s="973"/>
      <c r="JI187" s="973"/>
      <c r="JJ187" s="973"/>
      <c r="JK187" s="973"/>
      <c r="JL187" s="973"/>
      <c r="JM187" s="973"/>
      <c r="JO187" s="102">
        <f t="shared" si="594"/>
        <v>0</v>
      </c>
      <c r="JP187" s="102">
        <f t="shared" si="594"/>
        <v>0</v>
      </c>
      <c r="JQ187" s="102">
        <f t="shared" si="594"/>
        <v>0</v>
      </c>
      <c r="JR187" s="102">
        <f t="shared" si="594"/>
        <v>0</v>
      </c>
      <c r="JS187" s="102">
        <f t="shared" si="594"/>
        <v>0</v>
      </c>
      <c r="JT187" s="102">
        <f t="shared" si="595"/>
        <v>0</v>
      </c>
      <c r="JU187" s="102">
        <f t="shared" si="596"/>
        <v>0</v>
      </c>
      <c r="JV187" s="102">
        <f t="shared" si="597"/>
        <v>0</v>
      </c>
      <c r="JW187" s="102">
        <f t="shared" si="597"/>
        <v>0</v>
      </c>
      <c r="JX187" s="102" t="e">
        <f t="shared" si="598"/>
        <v>#VALUE!</v>
      </c>
      <c r="JY187" s="102" t="e">
        <f t="shared" si="599"/>
        <v>#VALUE!</v>
      </c>
      <c r="KB187" s="32" t="str">
        <f t="shared" si="600"/>
        <v xml:space="preserve"> </v>
      </c>
      <c r="KC187" s="32" t="str">
        <f t="shared" si="600"/>
        <v xml:space="preserve"> </v>
      </c>
      <c r="KD187" s="32" t="str">
        <f t="shared" si="600"/>
        <v xml:space="preserve"> </v>
      </c>
      <c r="KE187" s="32" t="str">
        <f t="shared" si="600"/>
        <v xml:space="preserve"> </v>
      </c>
      <c r="KF187" s="32" t="str">
        <f t="shared" si="600"/>
        <v xml:space="preserve"> </v>
      </c>
      <c r="KG187" s="32" t="str">
        <f t="shared" si="600"/>
        <v xml:space="preserve"> </v>
      </c>
      <c r="KH187" s="32" t="str">
        <f t="shared" si="569"/>
        <v xml:space="preserve"> </v>
      </c>
      <c r="KJ187" s="102">
        <f t="shared" si="601"/>
        <v>0</v>
      </c>
      <c r="KK187" s="102">
        <f t="shared" si="601"/>
        <v>0</v>
      </c>
      <c r="KL187" s="102">
        <f t="shared" si="601"/>
        <v>0</v>
      </c>
      <c r="KM187" s="102">
        <f t="shared" si="601"/>
        <v>0</v>
      </c>
      <c r="KN187" s="102">
        <f t="shared" si="601"/>
        <v>0</v>
      </c>
      <c r="KO187" s="102">
        <f t="shared" si="601"/>
        <v>0</v>
      </c>
      <c r="KP187" s="102" t="e">
        <f t="shared" si="570"/>
        <v>#VALUE!</v>
      </c>
      <c r="KR187" s="973"/>
      <c r="KS187" s="973"/>
      <c r="KT187" s="973"/>
      <c r="KU187" s="973"/>
      <c r="KV187" s="973"/>
      <c r="KW187" s="973"/>
      <c r="KX187" s="973"/>
      <c r="KY187" s="973"/>
      <c r="KZ187" s="973"/>
    </row>
    <row r="188" spans="1:312" outlineLevel="1" collapsed="1">
      <c r="A188" s="884"/>
      <c r="B188" s="70"/>
      <c r="C188" s="17" t="s">
        <v>93</v>
      </c>
      <c r="D188" s="31"/>
      <c r="E188" s="102">
        <v>-445.35038828280005</v>
      </c>
      <c r="F188" s="102">
        <v>-96.018571515900021</v>
      </c>
      <c r="G188" s="102">
        <v>11.731573362299898</v>
      </c>
      <c r="H188" s="102">
        <v>202.4141376741</v>
      </c>
      <c r="I188" s="102">
        <v>678.38594360130037</v>
      </c>
      <c r="J188" s="102">
        <v>852.38652431460036</v>
      </c>
      <c r="K188" s="102">
        <v>1104.1784653019997</v>
      </c>
      <c r="L188" s="102">
        <v>1595.5921508703009</v>
      </c>
      <c r="M188" s="102">
        <v>2088.3121228827013</v>
      </c>
      <c r="N188" s="102">
        <v>2354.0565306390017</v>
      </c>
      <c r="O188" s="102">
        <v>2930.9575252220989</v>
      </c>
      <c r="P188" s="102">
        <v>2841.49</v>
      </c>
      <c r="Q188" s="102">
        <v>2921.9404121402995</v>
      </c>
      <c r="R188" s="102">
        <v>3532.1459992350997</v>
      </c>
      <c r="S188" s="102">
        <v>3233.2857136783</v>
      </c>
      <c r="T188" s="102">
        <v>175.49530790130075</v>
      </c>
      <c r="U188" s="102">
        <v>678.80278794790081</v>
      </c>
      <c r="V188" s="102">
        <v>1077.9067843460987</v>
      </c>
      <c r="W188" s="102">
        <v>1291.5445826576984</v>
      </c>
      <c r="X188" s="102">
        <v>1621.5757785373005</v>
      </c>
      <c r="Y188" s="102">
        <v>1424.9535813961015</v>
      </c>
      <c r="Z188" s="102">
        <v>1448.7155633570999</v>
      </c>
      <c r="AA188" s="102">
        <v>2300.4712146313</v>
      </c>
      <c r="AB188" s="102">
        <v>3336.9465619299999</v>
      </c>
      <c r="AC188" s="102">
        <v>3380.9587838299999</v>
      </c>
      <c r="AD188" s="102">
        <v>3696.0696568099997</v>
      </c>
      <c r="AE188" s="102">
        <v>3914.8478621819995</v>
      </c>
      <c r="AF188" s="102">
        <v>1200.1674335499999</v>
      </c>
      <c r="AG188" s="102">
        <v>1492.4771436199999</v>
      </c>
      <c r="AH188" s="102">
        <v>1750.7357493538</v>
      </c>
      <c r="AI188" s="102">
        <v>1858.4241727900001</v>
      </c>
      <c r="AJ188" s="102">
        <v>2178.8456283400001</v>
      </c>
      <c r="AK188" s="102">
        <v>2573.2569188699999</v>
      </c>
      <c r="AL188" s="102">
        <v>3152.9604056199996</v>
      </c>
      <c r="AM188" s="102">
        <v>4297.7435941599997</v>
      </c>
      <c r="AN188" s="143">
        <v>6118.2493911000001</v>
      </c>
      <c r="AO188" s="975">
        <v>5981.14335407</v>
      </c>
      <c r="AP188" s="976">
        <v>5624.6589532699991</v>
      </c>
      <c r="AQ188" s="975">
        <v>5439.8771048500003</v>
      </c>
      <c r="AR188" s="975">
        <v>1279.5724204600001</v>
      </c>
      <c r="AS188" s="975">
        <v>549.76006367999992</v>
      </c>
      <c r="AT188" s="975">
        <v>262.05008780000003</v>
      </c>
      <c r="AU188" s="975">
        <v>328.87395050000009</v>
      </c>
      <c r="AV188" s="975">
        <v>399.91897891000008</v>
      </c>
      <c r="AW188" s="975">
        <v>132.33247664999999</v>
      </c>
      <c r="AX188" s="975">
        <v>1343.5889562300001</v>
      </c>
      <c r="AY188" s="975">
        <v>1346.3226199799999</v>
      </c>
      <c r="AZ188" s="102">
        <f>SUM(AZ189:AZ191)</f>
        <v>833.38924363000001</v>
      </c>
      <c r="BA188" s="102">
        <v>656.6566904099999</v>
      </c>
      <c r="BB188" s="102">
        <v>683.37408027999993</v>
      </c>
      <c r="BC188" s="102">
        <v>803.46149165999998</v>
      </c>
      <c r="BD188" s="102">
        <v>713.98746569000002</v>
      </c>
      <c r="BE188" s="102">
        <v>722.65899839999997</v>
      </c>
      <c r="BF188" s="102">
        <v>706.93640616999994</v>
      </c>
      <c r="BG188" s="102">
        <v>832.9387422499999</v>
      </c>
      <c r="BH188" s="102">
        <v>218.77440833</v>
      </c>
      <c r="BI188" s="102">
        <v>258.35095944</v>
      </c>
      <c r="BJ188" s="102">
        <v>277.94568779999997</v>
      </c>
      <c r="BK188" s="102">
        <v>309.49228954</v>
      </c>
      <c r="BL188" s="145">
        <f>SUM(BL189:BL191)</f>
        <v>446.15777888999997</v>
      </c>
      <c r="BM188" s="145">
        <f t="shared" ref="BM188:DH188" si="608">SUM(BM189:BM191)</f>
        <v>333.83554146999995</v>
      </c>
      <c r="BN188" s="102">
        <f t="shared" si="608"/>
        <v>320.59103389000001</v>
      </c>
      <c r="BO188" s="102">
        <f t="shared" si="608"/>
        <v>354.05135038000003</v>
      </c>
      <c r="BP188" s="102">
        <f t="shared" si="608"/>
        <v>358.01052771000002</v>
      </c>
      <c r="BQ188" s="102">
        <f t="shared" si="608"/>
        <v>330.76147505000006</v>
      </c>
      <c r="BR188" s="102">
        <f t="shared" si="608"/>
        <v>356.78706205000003</v>
      </c>
      <c r="BS188" s="102">
        <f t="shared" si="608"/>
        <v>358.67064227999992</v>
      </c>
      <c r="BT188" s="102">
        <f t="shared" si="608"/>
        <v>400.77952293000004</v>
      </c>
      <c r="BU188" s="102">
        <f t="shared" si="608"/>
        <v>392.36790167999999</v>
      </c>
      <c r="BV188" s="102">
        <f t="shared" si="608"/>
        <v>416.39443822999999</v>
      </c>
      <c r="BW188" s="102">
        <f t="shared" si="608"/>
        <v>553.71564932000001</v>
      </c>
      <c r="BX188" s="102">
        <f t="shared" si="608"/>
        <v>0</v>
      </c>
      <c r="BY188" s="102">
        <f t="shared" si="608"/>
        <v>478.49395566999993</v>
      </c>
      <c r="BZ188" s="102">
        <f t="shared" si="608"/>
        <v>442.31129582</v>
      </c>
      <c r="CA188" s="102">
        <f t="shared" si="608"/>
        <v>443.49876301999996</v>
      </c>
      <c r="CB188" s="102">
        <f t="shared" si="608"/>
        <v>447.83025345999999</v>
      </c>
      <c r="CC188" s="102">
        <f t="shared" si="608"/>
        <v>454.83857125999998</v>
      </c>
      <c r="CD188" s="102">
        <f t="shared" si="608"/>
        <v>457.06310266999998</v>
      </c>
      <c r="CE188" s="102">
        <f t="shared" si="608"/>
        <v>413.81101179999996</v>
      </c>
      <c r="CF188" s="102">
        <f t="shared" si="608"/>
        <v>414.54948165000002</v>
      </c>
      <c r="CG188" s="102">
        <f t="shared" si="608"/>
        <v>493.18421059000002</v>
      </c>
      <c r="CH188" s="102">
        <f t="shared" si="608"/>
        <v>508.22156490000003</v>
      </c>
      <c r="CI188" s="102">
        <f t="shared" si="608"/>
        <v>616.93658972000003</v>
      </c>
      <c r="CJ188" s="102">
        <f t="shared" si="608"/>
        <v>-2.1E-7</v>
      </c>
      <c r="CK188" s="102">
        <f t="shared" si="608"/>
        <v>478.99538267999998</v>
      </c>
      <c r="CL188" s="102">
        <f t="shared" si="608"/>
        <v>516.94724983000003</v>
      </c>
      <c r="CM188" s="102">
        <f t="shared" si="608"/>
        <v>447.21244263</v>
      </c>
      <c r="CN188" s="102">
        <f t="shared" si="608"/>
        <v>491.72305862999997</v>
      </c>
      <c r="CO188" s="102">
        <f t="shared" si="608"/>
        <v>596.95643265000001</v>
      </c>
      <c r="CP188" s="102">
        <f t="shared" si="608"/>
        <v>569.72836202999997</v>
      </c>
      <c r="CQ188" s="102">
        <f t="shared" si="608"/>
        <v>653.67027005</v>
      </c>
      <c r="CR188" s="102">
        <f t="shared" si="608"/>
        <v>749.34693437999999</v>
      </c>
      <c r="CS188" s="102">
        <f t="shared" si="608"/>
        <v>627.82112529000005</v>
      </c>
      <c r="CT188" s="102">
        <f t="shared" si="608"/>
        <v>705.70156672999997</v>
      </c>
      <c r="CU188" s="102">
        <f t="shared" si="608"/>
        <v>737.15732132999995</v>
      </c>
      <c r="CV188" s="102">
        <f t="shared" si="608"/>
        <v>0</v>
      </c>
      <c r="CW188" s="102">
        <f t="shared" si="608"/>
        <v>663.71754195000005</v>
      </c>
      <c r="CX188" s="102">
        <f t="shared" si="608"/>
        <v>499.13037897000004</v>
      </c>
      <c r="CY188" s="102">
        <f t="shared" si="608"/>
        <v>595.34857366999995</v>
      </c>
      <c r="CZ188" s="102">
        <f t="shared" si="608"/>
        <v>341.95440127000001</v>
      </c>
      <c r="DA188" s="102">
        <f t="shared" si="608"/>
        <v>340.79703089999998</v>
      </c>
      <c r="DB188" s="102">
        <f t="shared" si="608"/>
        <v>435.79377004000003</v>
      </c>
      <c r="DC188" s="102">
        <f t="shared" si="608"/>
        <v>567.50021831999993</v>
      </c>
      <c r="DD188" s="102">
        <f t="shared" si="608"/>
        <v>619.34635460000004</v>
      </c>
      <c r="DE188" s="102">
        <f t="shared" si="608"/>
        <v>671.24944759999994</v>
      </c>
      <c r="DF188" s="102">
        <f t="shared" si="608"/>
        <v>605.14228860000003</v>
      </c>
      <c r="DG188" s="102">
        <f t="shared" si="608"/>
        <v>590.00400146999993</v>
      </c>
      <c r="DH188" s="102">
        <f t="shared" si="608"/>
        <v>25.436978410000002</v>
      </c>
      <c r="DJ188" s="102" t="e">
        <f t="shared" ref="DJ188:FU188" si="609">SUM(DJ189:DJ191)</f>
        <v>#VALUE!</v>
      </c>
      <c r="DK188" s="102" t="e">
        <f t="shared" si="609"/>
        <v>#VALUE!</v>
      </c>
      <c r="DL188" s="102" t="e">
        <f t="shared" si="609"/>
        <v>#VALUE!</v>
      </c>
      <c r="DM188" s="102" t="e">
        <f t="shared" si="609"/>
        <v>#VALUE!</v>
      </c>
      <c r="DN188" s="102" t="e">
        <f t="shared" si="609"/>
        <v>#VALUE!</v>
      </c>
      <c r="DO188" s="102" t="e">
        <f t="shared" si="609"/>
        <v>#VALUE!</v>
      </c>
      <c r="DP188" s="102" t="e">
        <f t="shared" si="609"/>
        <v>#VALUE!</v>
      </c>
      <c r="DQ188" s="102" t="e">
        <f t="shared" si="609"/>
        <v>#VALUE!</v>
      </c>
      <c r="DR188" s="102" t="e">
        <f t="shared" si="609"/>
        <v>#VALUE!</v>
      </c>
      <c r="DS188" s="102" t="e">
        <f t="shared" si="609"/>
        <v>#VALUE!</v>
      </c>
      <c r="DT188" s="102" t="e">
        <f t="shared" si="609"/>
        <v>#VALUE!</v>
      </c>
      <c r="DU188" s="102" t="e">
        <f t="shared" si="609"/>
        <v>#VALUE!</v>
      </c>
      <c r="DV188" s="279"/>
      <c r="DW188" s="102">
        <f t="shared" si="609"/>
        <v>4076.9181984490156</v>
      </c>
      <c r="DX188" s="102">
        <f t="shared" si="609"/>
        <v>3934.2357324010609</v>
      </c>
      <c r="DY188" s="102">
        <f t="shared" si="609"/>
        <v>3826.4757512802785</v>
      </c>
      <c r="DZ188" s="102">
        <f t="shared" si="609"/>
        <v>161.58567837861585</v>
      </c>
      <c r="EA188" s="102">
        <f t="shared" si="609"/>
        <v>243.2770795543864</v>
      </c>
      <c r="EB188" s="102">
        <f t="shared" si="609"/>
        <v>405.50327953453956</v>
      </c>
      <c r="EC188" s="102">
        <f t="shared" si="609"/>
        <v>896.66955638598893</v>
      </c>
      <c r="ED188" s="102">
        <f t="shared" si="609"/>
        <v>1709.2058519279797</v>
      </c>
      <c r="EE188" s="102">
        <f t="shared" si="609"/>
        <v>2204.6738619272596</v>
      </c>
      <c r="EF188" s="102">
        <f t="shared" si="609"/>
        <v>2793.7419701068429</v>
      </c>
      <c r="EG188" s="102">
        <f t="shared" si="609"/>
        <v>3317.531113188873</v>
      </c>
      <c r="EH188" s="102">
        <f t="shared" si="609"/>
        <v>3685.2689423148227</v>
      </c>
      <c r="EI188" s="102">
        <f t="shared" si="609"/>
        <v>734.09254548139006</v>
      </c>
      <c r="EJ188" s="102">
        <f t="shared" si="609"/>
        <v>764.48645911981112</v>
      </c>
      <c r="EK188" s="102">
        <f t="shared" si="609"/>
        <v>765.26943468590707</v>
      </c>
      <c r="EL188" s="102">
        <f t="shared" si="609"/>
        <v>766.26331732469328</v>
      </c>
      <c r="EM188" s="102">
        <f t="shared" si="609"/>
        <v>767.48591934666081</v>
      </c>
      <c r="EN188" s="102">
        <f t="shared" si="609"/>
        <v>768.55484257182286</v>
      </c>
      <c r="EO188" s="102">
        <f t="shared" si="609"/>
        <v>769.30045078110288</v>
      </c>
      <c r="EP188" s="102">
        <f t="shared" si="609"/>
        <v>770.33315909330531</v>
      </c>
      <c r="EQ188" s="102">
        <f t="shared" si="609"/>
        <v>877.95468451561339</v>
      </c>
      <c r="ER188" s="102">
        <f t="shared" si="609"/>
        <v>1008.4477923863383</v>
      </c>
      <c r="ES188" s="102">
        <f t="shared" si="609"/>
        <v>1107.1251989144505</v>
      </c>
      <c r="ET188" s="102">
        <f t="shared" si="609"/>
        <v>1130.9427640605231</v>
      </c>
      <c r="EU188" s="102">
        <f t="shared" si="609"/>
        <v>383.14941146124829</v>
      </c>
      <c r="EV188" s="102">
        <f t="shared" si="609"/>
        <v>336.1586764212484</v>
      </c>
      <c r="EW188" s="102">
        <f t="shared" si="609"/>
        <v>344.08326680455832</v>
      </c>
      <c r="EX188" s="102">
        <f t="shared" si="609"/>
        <v>351.27623989720837</v>
      </c>
      <c r="EY188" s="102">
        <f t="shared" si="609"/>
        <v>358.94599902787832</v>
      </c>
      <c r="EZ188" s="102">
        <f t="shared" si="609"/>
        <v>365.55916499011835</v>
      </c>
      <c r="FA188" s="102">
        <f t="shared" si="609"/>
        <v>373.00910010301834</v>
      </c>
      <c r="FB188" s="102">
        <f t="shared" si="609"/>
        <v>378.04782924301833</v>
      </c>
      <c r="FC188" s="102">
        <f t="shared" si="609"/>
        <v>381.84783174301833</v>
      </c>
      <c r="FD188" s="102">
        <f t="shared" si="609"/>
        <v>384.93948024301835</v>
      </c>
      <c r="FE188" s="102">
        <f t="shared" si="609"/>
        <v>388.54871154301838</v>
      </c>
      <c r="FF188" s="102">
        <f t="shared" si="609"/>
        <v>391.8337808430183</v>
      </c>
      <c r="FG188" s="102" t="e">
        <f t="shared" si="609"/>
        <v>#VALUE!</v>
      </c>
      <c r="FH188" s="102" t="e">
        <f t="shared" si="609"/>
        <v>#VALUE!</v>
      </c>
      <c r="FI188" s="102" t="e">
        <f t="shared" si="609"/>
        <v>#VALUE!</v>
      </c>
      <c r="FJ188" s="102" t="e">
        <f t="shared" si="609"/>
        <v>#VALUE!</v>
      </c>
      <c r="FK188" s="102" t="e">
        <f t="shared" si="609"/>
        <v>#VALUE!</v>
      </c>
      <c r="FL188" s="102" t="e">
        <f t="shared" si="609"/>
        <v>#VALUE!</v>
      </c>
      <c r="FM188" s="102" t="e">
        <f t="shared" si="609"/>
        <v>#VALUE!</v>
      </c>
      <c r="FN188" s="102" t="e">
        <f t="shared" si="609"/>
        <v>#VALUE!</v>
      </c>
      <c r="FO188" s="102" t="e">
        <f t="shared" si="609"/>
        <v>#VALUE!</v>
      </c>
      <c r="FP188" s="102" t="e">
        <f t="shared" si="609"/>
        <v>#VALUE!</v>
      </c>
      <c r="FQ188" s="102" t="e">
        <f t="shared" si="609"/>
        <v>#VALUE!</v>
      </c>
      <c r="FR188" s="102" t="e">
        <f t="shared" si="609"/>
        <v>#VALUE!</v>
      </c>
      <c r="FS188" s="102" t="e">
        <f t="shared" si="609"/>
        <v>#VALUE!</v>
      </c>
      <c r="FT188" s="102" t="e">
        <f t="shared" si="609"/>
        <v>#VALUE!</v>
      </c>
      <c r="FU188" s="102" t="e">
        <f t="shared" si="609"/>
        <v>#VALUE!</v>
      </c>
      <c r="FV188" s="102" t="e">
        <f t="shared" ref="FV188:GD188" si="610">SUM(FV189:FV191)</f>
        <v>#VALUE!</v>
      </c>
      <c r="FW188" s="102" t="e">
        <f t="shared" si="610"/>
        <v>#VALUE!</v>
      </c>
      <c r="FX188" s="102" t="e">
        <f t="shared" si="610"/>
        <v>#VALUE!</v>
      </c>
      <c r="FY188" s="102" t="e">
        <f t="shared" si="610"/>
        <v>#VALUE!</v>
      </c>
      <c r="FZ188" s="102" t="e">
        <f t="shared" si="610"/>
        <v>#VALUE!</v>
      </c>
      <c r="GA188" s="102" t="e">
        <f t="shared" si="610"/>
        <v>#VALUE!</v>
      </c>
      <c r="GB188" s="102" t="e">
        <f t="shared" si="610"/>
        <v>#VALUE!</v>
      </c>
      <c r="GC188" s="102" t="e">
        <f t="shared" si="610"/>
        <v>#VALUE!</v>
      </c>
      <c r="GD188" s="102" t="e">
        <f t="shared" si="610"/>
        <v>#VALUE!</v>
      </c>
      <c r="GF188" s="102">
        <f t="shared" si="582"/>
        <v>2841.49</v>
      </c>
      <c r="GG188" s="102">
        <f t="shared" si="582"/>
        <v>3336.9465619299999</v>
      </c>
      <c r="GH188" s="102">
        <f t="shared" si="582"/>
        <v>6118.2493911000001</v>
      </c>
      <c r="GI188" s="102">
        <f t="shared" si="582"/>
        <v>833.38924363000001</v>
      </c>
      <c r="GJ188" s="102">
        <f t="shared" si="575"/>
        <v>446.15777888999997</v>
      </c>
      <c r="GK188" s="102">
        <f t="shared" si="565"/>
        <v>0</v>
      </c>
      <c r="GL188" s="102">
        <f t="shared" si="571"/>
        <v>-2.1E-7</v>
      </c>
      <c r="GM188" s="102">
        <f t="shared" si="566"/>
        <v>0</v>
      </c>
      <c r="GN188" s="102" t="e">
        <f t="shared" si="567"/>
        <v>#VALUE!</v>
      </c>
      <c r="GO188" s="102">
        <v>25.436978410000002</v>
      </c>
      <c r="GQ188" s="929">
        <f t="shared" si="583"/>
        <v>0.83348737462591238</v>
      </c>
      <c r="GR188" s="929">
        <f t="shared" si="583"/>
        <v>-0.86378632344698114</v>
      </c>
      <c r="GS188" s="929">
        <f t="shared" si="583"/>
        <v>-0.46464658345400878</v>
      </c>
      <c r="GT188" s="929">
        <f t="shared" si="583"/>
        <v>-1</v>
      </c>
      <c r="GU188" s="929" t="str">
        <f t="shared" si="583"/>
        <v/>
      </c>
      <c r="GV188" s="929">
        <f t="shared" si="583"/>
        <v>-1</v>
      </c>
      <c r="GW188" s="929" t="str">
        <f t="shared" si="499"/>
        <v/>
      </c>
      <c r="GX188" s="929" t="str">
        <f t="shared" si="499"/>
        <v/>
      </c>
      <c r="GY188" s="929" t="str">
        <f t="shared" si="492"/>
        <v/>
      </c>
      <c r="HA188" s="102">
        <f t="shared" si="584"/>
        <v>2781.3028291700002</v>
      </c>
      <c r="HB188" s="102">
        <f t="shared" si="584"/>
        <v>-5284.8601474699999</v>
      </c>
      <c r="HC188" s="102">
        <f t="shared" si="584"/>
        <v>-387.23146474000004</v>
      </c>
      <c r="HD188" s="102">
        <f t="shared" si="577"/>
        <v>-446.15777888999997</v>
      </c>
      <c r="HE188" s="102">
        <f t="shared" si="577"/>
        <v>-2.1E-7</v>
      </c>
      <c r="HF188" s="102">
        <f t="shared" si="577"/>
        <v>2.1E-7</v>
      </c>
      <c r="HG188" s="102" t="e">
        <f t="shared" si="577"/>
        <v>#VALUE!</v>
      </c>
      <c r="HH188" s="102" t="e">
        <f t="shared" si="577"/>
        <v>#VALUE!</v>
      </c>
      <c r="HI188" s="102">
        <f t="shared" si="493"/>
        <v>25.436978410000002</v>
      </c>
      <c r="HK188" s="973"/>
      <c r="HL188" s="973"/>
      <c r="HM188" s="973"/>
      <c r="HN188" s="973"/>
      <c r="HO188" s="973"/>
      <c r="HP188" s="973"/>
      <c r="HQ188" s="973"/>
      <c r="HR188" s="973"/>
      <c r="HS188" s="973"/>
      <c r="HU188" s="102">
        <f t="shared" si="585"/>
        <v>852.38652431460036</v>
      </c>
      <c r="HV188" s="102">
        <f t="shared" si="585"/>
        <v>1077.9067843460987</v>
      </c>
      <c r="HW188" s="102">
        <f t="shared" si="585"/>
        <v>1750.7357493538</v>
      </c>
      <c r="HX188" s="102">
        <f t="shared" si="585"/>
        <v>262.05008780000003</v>
      </c>
      <c r="HY188" s="102">
        <f t="shared" si="586"/>
        <v>706.93640616999994</v>
      </c>
      <c r="HZ188" s="102">
        <f t="shared" si="586"/>
        <v>356.78706205000003</v>
      </c>
      <c r="IA188" s="102">
        <f t="shared" si="587"/>
        <v>457.06310266999998</v>
      </c>
      <c r="IB188" s="102">
        <f t="shared" si="588"/>
        <v>569.72836202999997</v>
      </c>
      <c r="IC188" s="102">
        <f t="shared" si="589"/>
        <v>435.79377004000003</v>
      </c>
      <c r="ID188" s="102" t="e">
        <f t="shared" si="568"/>
        <v>#VALUE!</v>
      </c>
      <c r="IE188" s="102" t="e">
        <f t="shared" si="590"/>
        <v>#VALUE!</v>
      </c>
      <c r="IG188" s="102" t="e">
        <f t="shared" si="533"/>
        <v>#VALUE!</v>
      </c>
      <c r="IH188" s="102" t="e">
        <f t="shared" si="534"/>
        <v>#VALUE!</v>
      </c>
      <c r="II188" s="145"/>
      <c r="IJ188" s="929" t="str">
        <f t="shared" si="591"/>
        <v>NA</v>
      </c>
      <c r="IK188" s="930" t="str">
        <f t="shared" si="592"/>
        <v>NA</v>
      </c>
      <c r="IM188" s="973"/>
      <c r="IN188" s="973"/>
      <c r="IP188" s="929">
        <f t="shared" si="602"/>
        <v>0.62419958272724507</v>
      </c>
      <c r="IQ188" s="929">
        <f t="shared" si="602"/>
        <v>-0.85032002236961046</v>
      </c>
      <c r="IR188" s="929">
        <f t="shared" si="602"/>
        <v>1.6977148227843482</v>
      </c>
      <c r="IS188" s="929">
        <f t="shared" si="602"/>
        <v>-0.49530529346623864</v>
      </c>
      <c r="IT188" s="929">
        <f t="shared" si="602"/>
        <v>0.28105290602142774</v>
      </c>
      <c r="IU188" s="929">
        <f t="shared" si="602"/>
        <v>0.246498259653535</v>
      </c>
      <c r="IV188" s="929" t="str">
        <f t="shared" si="603"/>
        <v/>
      </c>
      <c r="IX188" s="102">
        <f t="shared" si="538"/>
        <v>672.8289650077013</v>
      </c>
      <c r="IY188" s="102">
        <f t="shared" si="538"/>
        <v>-1488.6856615537999</v>
      </c>
      <c r="IZ188" s="102">
        <f t="shared" si="538"/>
        <v>444.88631836999991</v>
      </c>
      <c r="JA188" s="102">
        <f t="shared" si="538"/>
        <v>-350.14934411999991</v>
      </c>
      <c r="JB188" s="102">
        <f t="shared" si="538"/>
        <v>100.27604061999995</v>
      </c>
      <c r="JC188" s="102">
        <f t="shared" si="538"/>
        <v>112.66525935999999</v>
      </c>
      <c r="JD188" s="102" t="e">
        <f t="shared" si="593"/>
        <v>#VALUE!</v>
      </c>
      <c r="JF188" s="973"/>
      <c r="JG188" s="973"/>
      <c r="JH188" s="973"/>
      <c r="JI188" s="973"/>
      <c r="JJ188" s="973"/>
      <c r="JK188" s="973"/>
      <c r="JL188" s="973"/>
      <c r="JM188" s="973"/>
      <c r="JO188" s="102">
        <f t="shared" si="594"/>
        <v>852.38652431460036</v>
      </c>
      <c r="JP188" s="102">
        <f t="shared" si="594"/>
        <v>1077.9067843460987</v>
      </c>
      <c r="JQ188" s="102">
        <f t="shared" si="594"/>
        <v>1750.7357493538</v>
      </c>
      <c r="JR188" s="102">
        <f t="shared" si="594"/>
        <v>262.05008780000003</v>
      </c>
      <c r="JS188" s="102">
        <f t="shared" si="594"/>
        <v>706.93640616999994</v>
      </c>
      <c r="JT188" s="102">
        <f t="shared" si="595"/>
        <v>356.78706205000003</v>
      </c>
      <c r="JU188" s="102">
        <f t="shared" si="596"/>
        <v>457.06310266999998</v>
      </c>
      <c r="JV188" s="102">
        <f t="shared" si="597"/>
        <v>569.72836202999997</v>
      </c>
      <c r="JW188" s="102">
        <f t="shared" si="597"/>
        <v>435.79377004000003</v>
      </c>
      <c r="JX188" s="102" t="e">
        <f t="shared" si="598"/>
        <v>#VALUE!</v>
      </c>
      <c r="JY188" s="102" t="e">
        <f t="shared" si="599"/>
        <v>#VALUE!</v>
      </c>
      <c r="KB188" s="32">
        <f t="shared" si="600"/>
        <v>0.62419958272724507</v>
      </c>
      <c r="KC188" s="32">
        <f t="shared" si="600"/>
        <v>-0.85032002236961046</v>
      </c>
      <c r="KD188" s="32">
        <f t="shared" si="600"/>
        <v>1.6977148227843482</v>
      </c>
      <c r="KE188" s="32">
        <f t="shared" si="600"/>
        <v>-0.49530529346623864</v>
      </c>
      <c r="KF188" s="32">
        <f t="shared" si="600"/>
        <v>0.28105290602142774</v>
      </c>
      <c r="KG188" s="32">
        <f t="shared" si="600"/>
        <v>0.246498259653535</v>
      </c>
      <c r="KH188" s="32" t="str">
        <f t="shared" si="569"/>
        <v xml:space="preserve"> </v>
      </c>
      <c r="KJ188" s="102">
        <f t="shared" si="601"/>
        <v>672.8289650077013</v>
      </c>
      <c r="KK188" s="102">
        <f t="shared" si="601"/>
        <v>-1488.6856615537999</v>
      </c>
      <c r="KL188" s="102">
        <f t="shared" si="601"/>
        <v>444.88631836999991</v>
      </c>
      <c r="KM188" s="102">
        <f t="shared" si="601"/>
        <v>-350.14934411999991</v>
      </c>
      <c r="KN188" s="102">
        <f t="shared" si="601"/>
        <v>100.27604061999995</v>
      </c>
      <c r="KO188" s="102">
        <f t="shared" si="601"/>
        <v>112.66525935999999</v>
      </c>
      <c r="KP188" s="102" t="e">
        <f t="shared" si="570"/>
        <v>#VALUE!</v>
      </c>
      <c r="KR188" s="973"/>
      <c r="KS188" s="973"/>
      <c r="KT188" s="973"/>
      <c r="KU188" s="973"/>
      <c r="KV188" s="973"/>
      <c r="KW188" s="973"/>
      <c r="KX188" s="973"/>
      <c r="KY188" s="973"/>
      <c r="KZ188" s="973"/>
    </row>
    <row r="189" spans="1:312" hidden="1" outlineLevel="2">
      <c r="A189" s="884">
        <v>2605</v>
      </c>
      <c r="B189" s="70" t="s">
        <v>748</v>
      </c>
      <c r="D189" s="31"/>
      <c r="E189" s="102">
        <v>0</v>
      </c>
      <c r="F189" s="102">
        <v>0</v>
      </c>
      <c r="G189" s="102">
        <v>0</v>
      </c>
      <c r="H189" s="102">
        <v>0</v>
      </c>
      <c r="I189" s="102">
        <v>0</v>
      </c>
      <c r="J189" s="102">
        <v>0</v>
      </c>
      <c r="K189" s="102">
        <v>0</v>
      </c>
      <c r="L189" s="102">
        <v>0</v>
      </c>
      <c r="M189" s="102">
        <v>0</v>
      </c>
      <c r="N189" s="102">
        <v>0</v>
      </c>
      <c r="O189" s="102">
        <v>0</v>
      </c>
      <c r="P189" s="102">
        <v>0</v>
      </c>
      <c r="Q189" s="102">
        <v>210.25203467</v>
      </c>
      <c r="R189" s="102">
        <v>339.64095644999998</v>
      </c>
      <c r="S189" s="102">
        <v>100.27388103</v>
      </c>
      <c r="T189" s="102">
        <v>73.749476279999996</v>
      </c>
      <c r="U189" s="102">
        <v>44.44213937</v>
      </c>
      <c r="V189" s="102">
        <v>25.857375910000002</v>
      </c>
      <c r="W189" s="102">
        <v>44.012163780000002</v>
      </c>
      <c r="X189" s="102">
        <v>21.012429619999999</v>
      </c>
      <c r="Y189" s="102">
        <v>35.304508100000007</v>
      </c>
      <c r="Z189" s="145">
        <v>25.123910479999999</v>
      </c>
      <c r="AA189" s="145">
        <v>13.8730735</v>
      </c>
      <c r="AB189" s="145">
        <v>17.030091129999999</v>
      </c>
      <c r="AC189" s="145">
        <v>44.693779060000004</v>
      </c>
      <c r="AD189" s="102">
        <v>128.68833646000002</v>
      </c>
      <c r="AE189" s="102">
        <v>242.07632140999999</v>
      </c>
      <c r="AF189" s="102">
        <v>240.61709562999999</v>
      </c>
      <c r="AG189" s="102">
        <v>282.30162815</v>
      </c>
      <c r="AH189" s="102">
        <v>370.71418427000003</v>
      </c>
      <c r="AI189" s="102">
        <v>363.17474319999997</v>
      </c>
      <c r="AJ189" s="102">
        <v>415.72013700000002</v>
      </c>
      <c r="AK189" s="102">
        <v>498.61138847000007</v>
      </c>
      <c r="AL189" s="102">
        <v>639.98229337999999</v>
      </c>
      <c r="AM189" s="102">
        <v>641.84835754999995</v>
      </c>
      <c r="AN189" s="102">
        <v>1668.6483911099999</v>
      </c>
      <c r="AO189" s="102">
        <v>1188.9466110799999</v>
      </c>
      <c r="AP189" s="145">
        <v>1059.5181692799999</v>
      </c>
      <c r="AQ189" s="220">
        <v>1023.6200480800001</v>
      </c>
      <c r="AR189" s="220">
        <v>991.36039669000002</v>
      </c>
      <c r="AS189" s="102">
        <v>1215.1562007499999</v>
      </c>
      <c r="AT189" s="102">
        <v>1365.11390762</v>
      </c>
      <c r="AU189" s="102">
        <v>1389.68195055</v>
      </c>
      <c r="AV189" s="102">
        <v>1467.3656309800001</v>
      </c>
      <c r="AW189" s="102">
        <v>1266.76014403</v>
      </c>
      <c r="AX189" s="102">
        <v>1248.1689211600001</v>
      </c>
      <c r="AY189" s="102">
        <v>1237.4601497399999</v>
      </c>
      <c r="AZ189" s="102">
        <v>833.38924363000001</v>
      </c>
      <c r="BA189" s="102">
        <v>649.91999452999994</v>
      </c>
      <c r="BB189" s="102">
        <v>667.35208190999992</v>
      </c>
      <c r="BC189" s="102">
        <v>787.77884642999993</v>
      </c>
      <c r="BD189" s="102">
        <v>696.56696851000004</v>
      </c>
      <c r="BE189" s="102">
        <v>704.77900804000001</v>
      </c>
      <c r="BF189" s="102">
        <v>686.60214512999994</v>
      </c>
      <c r="BG189" s="102">
        <v>805.53972666999994</v>
      </c>
      <c r="BH189" s="102">
        <v>186.2465211</v>
      </c>
      <c r="BI189" s="102">
        <v>220.9267231</v>
      </c>
      <c r="BJ189" s="102">
        <v>234.94493309999999</v>
      </c>
      <c r="BK189" s="102">
        <v>261.55226189000001</v>
      </c>
      <c r="BL189" s="102">
        <f>328279401.89/1000000+68</f>
        <v>396.27940188999997</v>
      </c>
      <c r="BM189" s="102">
        <v>338.21183538999998</v>
      </c>
      <c r="BN189" s="102">
        <v>310.74789105000002</v>
      </c>
      <c r="BO189" s="102">
        <v>332.14763862000001</v>
      </c>
      <c r="BP189" s="102">
        <v>336.10681595</v>
      </c>
      <c r="BQ189" s="102">
        <v>287.69104536000003</v>
      </c>
      <c r="BR189" s="102">
        <v>301.44663236000002</v>
      </c>
      <c r="BS189" s="102">
        <v>295.38421258999995</v>
      </c>
      <c r="BT189" s="102">
        <v>323.53809324000002</v>
      </c>
      <c r="BU189" s="102">
        <v>308.90058720999997</v>
      </c>
      <c r="BV189" s="102">
        <v>318.68912375999997</v>
      </c>
      <c r="BW189" s="102">
        <v>442.99633485000004</v>
      </c>
      <c r="BX189" s="102">
        <v>0</v>
      </c>
      <c r="BY189" s="102">
        <v>462.80664464999995</v>
      </c>
      <c r="BZ189" s="102">
        <v>420.93891183</v>
      </c>
      <c r="CA189" s="102">
        <v>406.41652500999999</v>
      </c>
      <c r="CB189" s="102">
        <v>403.14705544999998</v>
      </c>
      <c r="CC189" s="102">
        <v>405.61952424999998</v>
      </c>
      <c r="CD189" s="102">
        <v>396.78149325999999</v>
      </c>
      <c r="CE189" s="102">
        <v>346.83040238999996</v>
      </c>
      <c r="CF189" s="102">
        <v>340.74032523</v>
      </c>
      <c r="CG189" s="102">
        <v>419.89080917000001</v>
      </c>
      <c r="CH189" s="102">
        <v>417.57495060000002</v>
      </c>
      <c r="CI189" s="102">
        <v>519.64247841999997</v>
      </c>
      <c r="CJ189" s="102">
        <v>-2.1E-7</v>
      </c>
      <c r="CK189" s="102">
        <v>469.12069167999999</v>
      </c>
      <c r="CL189" s="102">
        <v>482.35036599</v>
      </c>
      <c r="CM189" s="102">
        <v>402.44270079</v>
      </c>
      <c r="CN189" s="102">
        <v>419.67108879</v>
      </c>
      <c r="CO189" s="102">
        <v>508.24318081000001</v>
      </c>
      <c r="CP189" s="102">
        <v>471.25885170999999</v>
      </c>
      <c r="CQ189" s="102">
        <v>542.33644573000004</v>
      </c>
      <c r="CR189" s="102">
        <v>606.55880205999995</v>
      </c>
      <c r="CS189" s="102">
        <v>476.45654556</v>
      </c>
      <c r="CT189" s="102">
        <v>527.83839999999998</v>
      </c>
      <c r="CU189" s="102">
        <v>537.65685459999997</v>
      </c>
      <c r="CV189" s="102">
        <v>0</v>
      </c>
      <c r="CW189" s="102">
        <v>650.95066209000004</v>
      </c>
      <c r="CX189" s="102">
        <v>473.99549811000003</v>
      </c>
      <c r="CY189" s="102">
        <v>550.45316585</v>
      </c>
      <c r="CZ189" s="102">
        <v>292.76487013000002</v>
      </c>
      <c r="DA189" s="102">
        <v>287.83643176999999</v>
      </c>
      <c r="DB189" s="102">
        <v>379.15048177</v>
      </c>
      <c r="DC189" s="102">
        <v>505.48343836999999</v>
      </c>
      <c r="DD189" s="102">
        <v>548.96670564999999</v>
      </c>
      <c r="DE189" s="102">
        <v>590.46217764999994</v>
      </c>
      <c r="DF189" s="102">
        <v>510.24297965</v>
      </c>
      <c r="DG189" s="102">
        <v>487.06877651999997</v>
      </c>
      <c r="DH189" s="102">
        <v>25.436979040000001</v>
      </c>
      <c r="DJ189" s="102" t="e">
        <v>#VALUE!</v>
      </c>
      <c r="DK189" s="102" t="e">
        <v>#VALUE!</v>
      </c>
      <c r="DL189" s="102" t="e">
        <v>#VALUE!</v>
      </c>
      <c r="DM189" s="102" t="e">
        <v>#VALUE!</v>
      </c>
      <c r="DN189" s="102" t="e">
        <v>#VALUE!</v>
      </c>
      <c r="DO189" s="102" t="e">
        <v>#VALUE!</v>
      </c>
      <c r="DP189" s="102" t="e">
        <v>#VALUE!</v>
      </c>
      <c r="DQ189" s="102" t="e">
        <v>#VALUE!</v>
      </c>
      <c r="DR189" s="102" t="e">
        <v>#VALUE!</v>
      </c>
      <c r="DS189" s="102" t="e">
        <v>#VALUE!</v>
      </c>
      <c r="DT189" s="102" t="e">
        <v>#VALUE!</v>
      </c>
      <c r="DU189" s="102" t="e">
        <v>#VALUE!</v>
      </c>
      <c r="DW189" s="102"/>
      <c r="DX189" s="102"/>
      <c r="DY189" s="102"/>
      <c r="DZ189" s="102"/>
      <c r="EA189" s="102"/>
      <c r="EB189" s="102"/>
      <c r="EC189" s="102"/>
      <c r="ED189" s="102"/>
      <c r="EE189" s="102"/>
      <c r="EF189" s="102"/>
      <c r="EG189" s="102"/>
      <c r="EH189" s="102"/>
      <c r="EI189" s="102">
        <v>732.95363959000008</v>
      </c>
      <c r="EJ189" s="102">
        <v>762.95363959000008</v>
      </c>
      <c r="EK189" s="102">
        <v>762.95363959000008</v>
      </c>
      <c r="EL189" s="102">
        <v>762.95363959000008</v>
      </c>
      <c r="EM189" s="102">
        <v>762.95363959000008</v>
      </c>
      <c r="EN189" s="102">
        <v>762.95363959000008</v>
      </c>
      <c r="EO189" s="102">
        <v>762.95363959000008</v>
      </c>
      <c r="EP189" s="102">
        <v>762.95363959000008</v>
      </c>
      <c r="EQ189" s="102">
        <v>762.95363959000008</v>
      </c>
      <c r="ER189" s="102">
        <v>762.95363959000008</v>
      </c>
      <c r="ES189" s="102">
        <v>762.95363959000008</v>
      </c>
      <c r="ET189" s="102">
        <v>762.95363959000008</v>
      </c>
      <c r="EU189" s="102">
        <v>305.16481089000001</v>
      </c>
      <c r="EV189" s="102">
        <v>305.16481089000001</v>
      </c>
      <c r="EW189" s="102">
        <v>305.16481089000001</v>
      </c>
      <c r="EX189" s="102">
        <v>305.16481089000001</v>
      </c>
      <c r="EY189" s="102">
        <v>305.16481089000001</v>
      </c>
      <c r="EZ189" s="102">
        <v>305.16481089000001</v>
      </c>
      <c r="FA189" s="102">
        <v>305.16481089000001</v>
      </c>
      <c r="FB189" s="102">
        <v>305.16481089000001</v>
      </c>
      <c r="FC189" s="102">
        <v>305.16481089000001</v>
      </c>
      <c r="FD189" s="102">
        <v>305.16481089000001</v>
      </c>
      <c r="FE189" s="102">
        <v>305.16481089000001</v>
      </c>
      <c r="FF189" s="102">
        <v>305.16481089000001</v>
      </c>
      <c r="FG189" s="102" t="e">
        <v>#VALUE!</v>
      </c>
      <c r="FH189" s="102" t="e">
        <v>#VALUE!</v>
      </c>
      <c r="FI189" s="102" t="e">
        <v>#VALUE!</v>
      </c>
      <c r="FJ189" s="102" t="e">
        <v>#VALUE!</v>
      </c>
      <c r="FK189" s="102" t="e">
        <v>#VALUE!</v>
      </c>
      <c r="FL189" s="102" t="e">
        <v>#VALUE!</v>
      </c>
      <c r="FM189" s="102" t="e">
        <v>#VALUE!</v>
      </c>
      <c r="FN189" s="102" t="e">
        <v>#VALUE!</v>
      </c>
      <c r="FO189" s="102" t="e">
        <v>#VALUE!</v>
      </c>
      <c r="FP189" s="102" t="e">
        <v>#VALUE!</v>
      </c>
      <c r="FQ189" s="102" t="e">
        <v>#VALUE!</v>
      </c>
      <c r="FR189" s="102" t="e">
        <v>#VALUE!</v>
      </c>
      <c r="FS189" s="102" t="e">
        <v>#VALUE!</v>
      </c>
      <c r="FT189" s="102" t="e">
        <v>#VALUE!</v>
      </c>
      <c r="FU189" s="102" t="e">
        <v>#VALUE!</v>
      </c>
      <c r="FV189" s="102" t="e">
        <v>#VALUE!</v>
      </c>
      <c r="FW189" s="102" t="e">
        <v>#VALUE!</v>
      </c>
      <c r="FX189" s="102" t="e">
        <v>#VALUE!</v>
      </c>
      <c r="FY189" s="102" t="e">
        <v>#VALUE!</v>
      </c>
      <c r="FZ189" s="102" t="e">
        <v>#VALUE!</v>
      </c>
      <c r="GA189" s="102" t="e">
        <v>#VALUE!</v>
      </c>
      <c r="GB189" s="102" t="e">
        <v>#VALUE!</v>
      </c>
      <c r="GC189" s="102" t="e">
        <v>#VALUE!</v>
      </c>
      <c r="GD189" s="102" t="e">
        <v>#VALUE!</v>
      </c>
      <c r="GF189" s="102">
        <f t="shared" si="582"/>
        <v>0</v>
      </c>
      <c r="GG189" s="102">
        <f t="shared" si="582"/>
        <v>17.030091129999999</v>
      </c>
      <c r="GH189" s="102">
        <f t="shared" si="582"/>
        <v>1668.6483911099999</v>
      </c>
      <c r="GI189" s="102">
        <f t="shared" si="582"/>
        <v>833.38924363000001</v>
      </c>
      <c r="GJ189" s="102">
        <f t="shared" si="575"/>
        <v>396.27940188999997</v>
      </c>
      <c r="GK189" s="102">
        <f t="shared" si="565"/>
        <v>0</v>
      </c>
      <c r="GL189" s="102">
        <f t="shared" si="571"/>
        <v>-2.1E-7</v>
      </c>
      <c r="GM189" s="102">
        <f t="shared" si="566"/>
        <v>0</v>
      </c>
      <c r="GN189" s="102" t="e">
        <f t="shared" si="567"/>
        <v>#VALUE!</v>
      </c>
      <c r="GO189" s="102">
        <v>25.436979040000001</v>
      </c>
      <c r="GQ189" s="929">
        <f t="shared" si="583"/>
        <v>96.982352435597335</v>
      </c>
      <c r="GR189" s="929">
        <f t="shared" si="583"/>
        <v>-0.50056030493301107</v>
      </c>
      <c r="GS189" s="929">
        <f t="shared" si="583"/>
        <v>-0.52449662037402511</v>
      </c>
      <c r="GT189" s="929">
        <f t="shared" si="583"/>
        <v>-1</v>
      </c>
      <c r="GU189" s="929" t="str">
        <f t="shared" si="583"/>
        <v/>
      </c>
      <c r="GV189" s="929">
        <f t="shared" si="583"/>
        <v>-1</v>
      </c>
      <c r="GW189" s="929" t="str">
        <f t="shared" si="499"/>
        <v/>
      </c>
      <c r="GX189" s="929" t="str">
        <f t="shared" si="499"/>
        <v/>
      </c>
      <c r="GY189" s="929" t="str">
        <f t="shared" si="492"/>
        <v/>
      </c>
      <c r="HA189" s="102">
        <f t="shared" si="584"/>
        <v>1651.6182999799998</v>
      </c>
      <c r="HB189" s="102">
        <f t="shared" si="584"/>
        <v>-835.25914747999991</v>
      </c>
      <c r="HC189" s="102">
        <f t="shared" si="584"/>
        <v>-437.10984174000004</v>
      </c>
      <c r="HD189" s="102">
        <f t="shared" si="577"/>
        <v>-396.27940188999997</v>
      </c>
      <c r="HE189" s="102">
        <f t="shared" si="577"/>
        <v>-2.1E-7</v>
      </c>
      <c r="HF189" s="102">
        <f t="shared" si="577"/>
        <v>2.1E-7</v>
      </c>
      <c r="HG189" s="102" t="e">
        <f t="shared" si="577"/>
        <v>#VALUE!</v>
      </c>
      <c r="HH189" s="102" t="e">
        <f t="shared" si="577"/>
        <v>#VALUE!</v>
      </c>
      <c r="HI189" s="102">
        <f t="shared" si="493"/>
        <v>25.436979040000001</v>
      </c>
      <c r="HK189" s="973"/>
      <c r="HL189" s="973"/>
      <c r="HM189" s="973"/>
      <c r="HN189" s="973"/>
      <c r="HO189" s="973"/>
      <c r="HP189" s="973"/>
      <c r="HQ189" s="973"/>
      <c r="HR189" s="973"/>
      <c r="HS189" s="973"/>
      <c r="HU189" s="102">
        <f t="shared" si="585"/>
        <v>0</v>
      </c>
      <c r="HV189" s="102">
        <f t="shared" si="585"/>
        <v>25.857375910000002</v>
      </c>
      <c r="HW189" s="102">
        <f t="shared" si="585"/>
        <v>370.71418427000003</v>
      </c>
      <c r="HX189" s="102">
        <f t="shared" si="585"/>
        <v>1365.11390762</v>
      </c>
      <c r="HY189" s="102">
        <f t="shared" si="586"/>
        <v>686.60214512999994</v>
      </c>
      <c r="HZ189" s="102">
        <f t="shared" si="586"/>
        <v>301.44663236000002</v>
      </c>
      <c r="IA189" s="102">
        <f t="shared" si="587"/>
        <v>396.78149325999999</v>
      </c>
      <c r="IB189" s="102">
        <f t="shared" si="588"/>
        <v>471.25885170999999</v>
      </c>
      <c r="IC189" s="102">
        <f t="shared" si="589"/>
        <v>379.15048177</v>
      </c>
      <c r="ID189" s="102" t="e">
        <f t="shared" si="568"/>
        <v>#VALUE!</v>
      </c>
      <c r="IE189" s="102" t="e">
        <f t="shared" si="590"/>
        <v>#VALUE!</v>
      </c>
      <c r="IG189" s="102" t="e">
        <f t="shared" si="533"/>
        <v>#VALUE!</v>
      </c>
      <c r="IH189" s="102" t="e">
        <f t="shared" si="534"/>
        <v>#VALUE!</v>
      </c>
      <c r="II189" s="145"/>
      <c r="IJ189" s="929" t="str">
        <f t="shared" si="591"/>
        <v>NA</v>
      </c>
      <c r="IK189" s="930" t="str">
        <f t="shared" si="592"/>
        <v>NA</v>
      </c>
      <c r="IM189" s="973"/>
      <c r="IN189" s="973"/>
      <c r="IP189" s="929">
        <f t="shared" si="602"/>
        <v>13.33688343164904</v>
      </c>
      <c r="IQ189" s="929">
        <f t="shared" si="602"/>
        <v>2.6823891977808834</v>
      </c>
      <c r="IR189" s="929">
        <f t="shared" si="602"/>
        <v>-0.49703673715620367</v>
      </c>
      <c r="IS189" s="929">
        <f t="shared" si="602"/>
        <v>-0.56095879615563282</v>
      </c>
      <c r="IT189" s="929">
        <f t="shared" si="602"/>
        <v>0.31625784024731485</v>
      </c>
      <c r="IU189" s="929">
        <f t="shared" si="602"/>
        <v>0.18770371026653976</v>
      </c>
      <c r="IV189" s="929" t="str">
        <f t="shared" si="603"/>
        <v/>
      </c>
      <c r="IX189" s="102">
        <f t="shared" si="538"/>
        <v>344.85680836000006</v>
      </c>
      <c r="IY189" s="102">
        <f t="shared" si="538"/>
        <v>994.39972334999993</v>
      </c>
      <c r="IZ189" s="102">
        <f t="shared" si="538"/>
        <v>-678.51176249000002</v>
      </c>
      <c r="JA189" s="102">
        <f t="shared" si="538"/>
        <v>-385.15551276999992</v>
      </c>
      <c r="JB189" s="102">
        <f t="shared" si="538"/>
        <v>95.334860899999967</v>
      </c>
      <c r="JC189" s="102">
        <f t="shared" si="538"/>
        <v>74.477358449999997</v>
      </c>
      <c r="JD189" s="102" t="e">
        <f t="shared" si="593"/>
        <v>#VALUE!</v>
      </c>
      <c r="JF189" s="973"/>
      <c r="JG189" s="973"/>
      <c r="JH189" s="973"/>
      <c r="JI189" s="973"/>
      <c r="JJ189" s="973"/>
      <c r="JK189" s="973"/>
      <c r="JL189" s="973"/>
      <c r="JM189" s="973"/>
      <c r="JO189" s="102">
        <f t="shared" si="594"/>
        <v>0</v>
      </c>
      <c r="JP189" s="102">
        <f t="shared" si="594"/>
        <v>25.857375910000002</v>
      </c>
      <c r="JQ189" s="102">
        <f t="shared" si="594"/>
        <v>370.71418427000003</v>
      </c>
      <c r="JR189" s="102">
        <f t="shared" si="594"/>
        <v>1365.11390762</v>
      </c>
      <c r="JS189" s="102">
        <f t="shared" si="594"/>
        <v>686.60214512999994</v>
      </c>
      <c r="JT189" s="102">
        <f t="shared" si="595"/>
        <v>301.44663236000002</v>
      </c>
      <c r="JU189" s="102">
        <f t="shared" si="596"/>
        <v>396.78149325999999</v>
      </c>
      <c r="JV189" s="102">
        <f t="shared" si="597"/>
        <v>471.25885170999999</v>
      </c>
      <c r="JW189" s="102">
        <f t="shared" si="597"/>
        <v>379.15048177</v>
      </c>
      <c r="JX189" s="102" t="e">
        <f t="shared" si="598"/>
        <v>#VALUE!</v>
      </c>
      <c r="JY189" s="102" t="e">
        <f t="shared" si="599"/>
        <v>#VALUE!</v>
      </c>
      <c r="KB189" s="32">
        <f t="shared" si="600"/>
        <v>13.33688343164904</v>
      </c>
      <c r="KC189" s="32">
        <f t="shared" si="600"/>
        <v>2.6823891977808834</v>
      </c>
      <c r="KD189" s="32">
        <f t="shared" si="600"/>
        <v>-0.49703673715620367</v>
      </c>
      <c r="KE189" s="32">
        <f t="shared" si="600"/>
        <v>-0.56095879615563282</v>
      </c>
      <c r="KF189" s="32">
        <f t="shared" si="600"/>
        <v>0.31625784024731485</v>
      </c>
      <c r="KG189" s="32">
        <f t="shared" si="600"/>
        <v>0.18770371026653976</v>
      </c>
      <c r="KH189" s="32" t="str">
        <f t="shared" si="569"/>
        <v xml:space="preserve"> </v>
      </c>
      <c r="KJ189" s="102">
        <f t="shared" si="601"/>
        <v>344.85680836000006</v>
      </c>
      <c r="KK189" s="102">
        <f t="shared" si="601"/>
        <v>994.39972334999993</v>
      </c>
      <c r="KL189" s="102">
        <f t="shared" si="601"/>
        <v>-678.51176249000002</v>
      </c>
      <c r="KM189" s="102">
        <f t="shared" si="601"/>
        <v>-385.15551276999992</v>
      </c>
      <c r="KN189" s="102">
        <f t="shared" si="601"/>
        <v>95.334860899999967</v>
      </c>
      <c r="KO189" s="102">
        <f t="shared" si="601"/>
        <v>74.477358449999997</v>
      </c>
      <c r="KP189" s="102" t="e">
        <f t="shared" si="570"/>
        <v>#VALUE!</v>
      </c>
      <c r="KR189" s="973"/>
      <c r="KS189" s="973"/>
      <c r="KT189" s="973"/>
      <c r="KU189" s="973"/>
      <c r="KV189" s="973"/>
      <c r="KW189" s="973"/>
      <c r="KX189" s="973"/>
      <c r="KY189" s="973"/>
      <c r="KZ189" s="973"/>
    </row>
    <row r="190" spans="1:312" hidden="1" outlineLevel="2">
      <c r="A190" s="884">
        <v>2615</v>
      </c>
      <c r="B190" s="70" t="s">
        <v>750</v>
      </c>
      <c r="D190" s="31"/>
      <c r="E190" s="145">
        <v>-445.35038828280005</v>
      </c>
      <c r="F190" s="145">
        <v>-96.018571515900021</v>
      </c>
      <c r="G190" s="145">
        <v>11.731573362299898</v>
      </c>
      <c r="H190" s="145">
        <v>202.4141376741</v>
      </c>
      <c r="I190" s="145">
        <v>678.38594360130037</v>
      </c>
      <c r="J190" s="145">
        <v>852.38652431460036</v>
      </c>
      <c r="K190" s="145">
        <v>1104.1784653019997</v>
      </c>
      <c r="L190" s="145">
        <v>1595.5921508703009</v>
      </c>
      <c r="M190" s="145">
        <v>2088.3121228827013</v>
      </c>
      <c r="N190" s="145">
        <v>2354.0565306390017</v>
      </c>
      <c r="O190" s="145">
        <v>2930.9575252220989</v>
      </c>
      <c r="P190" s="145">
        <v>2841.49</v>
      </c>
      <c r="Q190" s="145">
        <v>2711.6883774702997</v>
      </c>
      <c r="R190" s="145">
        <v>3192.5050427850997</v>
      </c>
      <c r="S190" s="145">
        <v>3133.0118326482998</v>
      </c>
      <c r="T190" s="145">
        <v>101.74583162130075</v>
      </c>
      <c r="U190" s="145">
        <v>634.36064857790086</v>
      </c>
      <c r="V190" s="145">
        <v>1052.0494084360987</v>
      </c>
      <c r="W190" s="145">
        <v>1247.5324188776983</v>
      </c>
      <c r="X190" s="145">
        <v>1600.5633489173006</v>
      </c>
      <c r="Y190" s="145">
        <v>1389.6490732961015</v>
      </c>
      <c r="Z190" s="145">
        <v>1423.5916528770999</v>
      </c>
      <c r="AA190" s="145">
        <v>2286.5981411313001</v>
      </c>
      <c r="AB190" s="145">
        <v>3319.9164707999998</v>
      </c>
      <c r="AC190" s="145">
        <v>3336.2650047699999</v>
      </c>
      <c r="AD190" s="145">
        <v>3567.3813203499999</v>
      </c>
      <c r="AE190" s="145">
        <v>3672.7715407719998</v>
      </c>
      <c r="AF190" s="145">
        <v>959.55033791999995</v>
      </c>
      <c r="AG190" s="145">
        <v>1210.1755154699999</v>
      </c>
      <c r="AH190" s="145">
        <v>1380.0215650837999</v>
      </c>
      <c r="AI190" s="145">
        <v>1495.2494295900001</v>
      </c>
      <c r="AJ190" s="145">
        <v>1763.1254913400001</v>
      </c>
      <c r="AK190" s="145">
        <v>2074.6455304000001</v>
      </c>
      <c r="AL190" s="145">
        <v>2512.9781122399995</v>
      </c>
      <c r="AM190" s="145">
        <v>3655.8952366099998</v>
      </c>
      <c r="AN190" s="145">
        <v>4449.6009999899998</v>
      </c>
      <c r="AO190" s="145">
        <v>4792.1967429899996</v>
      </c>
      <c r="AP190" s="145">
        <v>4565.1407839899994</v>
      </c>
      <c r="AQ190" s="220">
        <v>4416.2570567700004</v>
      </c>
      <c r="AR190" s="220">
        <v>288.21202376999997</v>
      </c>
      <c r="AS190" s="145">
        <v>-665.39613707000001</v>
      </c>
      <c r="AT190" s="145">
        <v>-1103.0638198199999</v>
      </c>
      <c r="AU190" s="145">
        <v>-1060.8080000499999</v>
      </c>
      <c r="AV190" s="145">
        <v>-1067.44665207</v>
      </c>
      <c r="AW190" s="145">
        <v>-1134.42766738</v>
      </c>
      <c r="AX190" s="145">
        <v>95.420035069999997</v>
      </c>
      <c r="AY190" s="145">
        <v>108.86247023999999</v>
      </c>
      <c r="AZ190" s="974">
        <v>0</v>
      </c>
      <c r="BA190" s="145">
        <v>6.7366958800000001</v>
      </c>
      <c r="BB190" s="145">
        <v>16.021998369999999</v>
      </c>
      <c r="BC190" s="145">
        <v>15.68264523</v>
      </c>
      <c r="BD190" s="145">
        <v>17.420497179999998</v>
      </c>
      <c r="BE190" s="145">
        <v>17.879990360000001</v>
      </c>
      <c r="BF190" s="145">
        <v>20.334261039999998</v>
      </c>
      <c r="BG190" s="145">
        <v>27.399015579999997</v>
      </c>
      <c r="BH190" s="145">
        <v>32.527887229999997</v>
      </c>
      <c r="BI190" s="145">
        <v>37.42423634</v>
      </c>
      <c r="BJ190" s="145">
        <v>43.000754700000002</v>
      </c>
      <c r="BK190" s="145">
        <v>47.940027649999998</v>
      </c>
      <c r="BL190" s="145">
        <f>49878377/1000000</f>
        <v>49.878377</v>
      </c>
      <c r="BM190" s="145">
        <v>-4.3762939200000002</v>
      </c>
      <c r="BN190" s="145">
        <v>9.8431428400000005</v>
      </c>
      <c r="BO190" s="145">
        <v>21.90371176</v>
      </c>
      <c r="BP190" s="145">
        <v>21.90371176</v>
      </c>
      <c r="BQ190" s="145">
        <v>43.070429689999997</v>
      </c>
      <c r="BR190" s="145">
        <v>55.340429690000001</v>
      </c>
      <c r="BS190" s="145">
        <v>63.286429689999999</v>
      </c>
      <c r="BT190" s="145">
        <v>77.241429690000004</v>
      </c>
      <c r="BU190" s="145">
        <v>83.467314470000005</v>
      </c>
      <c r="BV190" s="145">
        <v>97.705314470000005</v>
      </c>
      <c r="BW190" s="145">
        <v>110.71931447</v>
      </c>
      <c r="BX190" s="145">
        <v>0</v>
      </c>
      <c r="BY190" s="145">
        <v>15.687311019999999</v>
      </c>
      <c r="BZ190" s="145">
        <v>21.372383989999999</v>
      </c>
      <c r="CA190" s="145">
        <v>37.082238009999998</v>
      </c>
      <c r="CB190" s="145">
        <v>44.683198009999998</v>
      </c>
      <c r="CC190" s="145">
        <v>49.219047009999997</v>
      </c>
      <c r="CD190" s="145">
        <v>60.281609409999994</v>
      </c>
      <c r="CE190" s="145">
        <v>66.98060941</v>
      </c>
      <c r="CF190" s="145">
        <v>73.809156420000008</v>
      </c>
      <c r="CG190" s="145">
        <v>73.293401419999995</v>
      </c>
      <c r="CH190" s="145">
        <v>90.646614299999996</v>
      </c>
      <c r="CI190" s="145">
        <v>97.294111299999997</v>
      </c>
      <c r="CJ190" s="145">
        <v>0</v>
      </c>
      <c r="CK190" s="145">
        <v>9.8746910000000003</v>
      </c>
      <c r="CL190" s="145">
        <v>34.596883840000004</v>
      </c>
      <c r="CM190" s="145">
        <v>44.769741840000002</v>
      </c>
      <c r="CN190" s="145">
        <v>72.051969839999998</v>
      </c>
      <c r="CO190" s="145">
        <v>88.713251839999998</v>
      </c>
      <c r="CP190" s="145">
        <v>98.469510319999998</v>
      </c>
      <c r="CQ190" s="145">
        <v>111.33382431999999</v>
      </c>
      <c r="CR190" s="145">
        <v>142.78813231999999</v>
      </c>
      <c r="CS190" s="145">
        <v>151.36457973</v>
      </c>
      <c r="CT190" s="145">
        <v>177.86316672999999</v>
      </c>
      <c r="CU190" s="145">
        <v>199.50046673</v>
      </c>
      <c r="CV190" s="145">
        <v>0</v>
      </c>
      <c r="CW190" s="145">
        <v>12.76687986</v>
      </c>
      <c r="CX190" s="145">
        <v>25.134880859999999</v>
      </c>
      <c r="CY190" s="145">
        <v>44.895407820000003</v>
      </c>
      <c r="CZ190" s="145">
        <v>49.18953114</v>
      </c>
      <c r="DA190" s="145">
        <v>52.960599130000006</v>
      </c>
      <c r="DB190" s="145">
        <v>56.643288270000006</v>
      </c>
      <c r="DC190" s="145">
        <v>62.01677995</v>
      </c>
      <c r="DD190" s="145">
        <v>70.379648950000004</v>
      </c>
      <c r="DE190" s="145">
        <v>80.78726995000001</v>
      </c>
      <c r="DF190" s="145">
        <v>94.899308950000005</v>
      </c>
      <c r="DG190" s="145">
        <v>102.93522495000001</v>
      </c>
      <c r="DH190" s="145">
        <v>-6.3E-7</v>
      </c>
      <c r="DJ190" s="145" t="e">
        <v>#VALUE!</v>
      </c>
      <c r="DK190" s="145" t="e">
        <v>#VALUE!</v>
      </c>
      <c r="DL190" s="145" t="e">
        <v>#VALUE!</v>
      </c>
      <c r="DM190" s="145" t="e">
        <v>#VALUE!</v>
      </c>
      <c r="DN190" s="145" t="e">
        <v>#VALUE!</v>
      </c>
      <c r="DO190" s="145" t="e">
        <v>#VALUE!</v>
      </c>
      <c r="DP190" s="145" t="e">
        <v>#VALUE!</v>
      </c>
      <c r="DQ190" s="145" t="e">
        <v>#VALUE!</v>
      </c>
      <c r="DR190" s="145" t="e">
        <v>#VALUE!</v>
      </c>
      <c r="DS190" s="145" t="e">
        <v>#VALUE!</v>
      </c>
      <c r="DT190" s="145" t="e">
        <v>#VALUE!</v>
      </c>
      <c r="DU190" s="145" t="e">
        <v>#VALUE!</v>
      </c>
      <c r="DW190" s="145">
        <v>4076.9181984490156</v>
      </c>
      <c r="DX190" s="145">
        <v>3934.2357324010609</v>
      </c>
      <c r="DY190" s="145">
        <v>3826.4757512802785</v>
      </c>
      <c r="DZ190" s="145">
        <v>161.58567837861585</v>
      </c>
      <c r="EA190" s="145">
        <v>243.2770795543864</v>
      </c>
      <c r="EB190" s="145">
        <v>405.50327953453956</v>
      </c>
      <c r="EC190" s="145">
        <v>896.66955638598893</v>
      </c>
      <c r="ED190" s="145">
        <v>1709.2058519279797</v>
      </c>
      <c r="EE190" s="145">
        <v>2204.6738619272596</v>
      </c>
      <c r="EF190" s="145">
        <v>2793.7419701068429</v>
      </c>
      <c r="EG190" s="145">
        <v>3317.531113188873</v>
      </c>
      <c r="EH190" s="145">
        <v>3685.2689423148227</v>
      </c>
      <c r="EI190" s="145">
        <v>1.1389058913900005</v>
      </c>
      <c r="EJ190" s="145">
        <v>1.5328195298110006</v>
      </c>
      <c r="EK190" s="145">
        <v>2.3157950959070002</v>
      </c>
      <c r="EL190" s="145">
        <v>3.3096777346932504</v>
      </c>
      <c r="EM190" s="145">
        <v>4.53227975666075</v>
      </c>
      <c r="EN190" s="145">
        <v>5.60120298182275</v>
      </c>
      <c r="EO190" s="145">
        <v>6.3468111911027494</v>
      </c>
      <c r="EP190" s="145">
        <v>7.3795195033052501</v>
      </c>
      <c r="EQ190" s="145">
        <v>115.00104492561331</v>
      </c>
      <c r="ER190" s="145">
        <v>245.4941527963382</v>
      </c>
      <c r="ES190" s="145">
        <v>344.17155932445036</v>
      </c>
      <c r="ET190" s="145">
        <v>367.98912447052305</v>
      </c>
      <c r="EU190" s="145">
        <v>61.341091945414995</v>
      </c>
      <c r="EV190" s="145">
        <v>14.350356905415</v>
      </c>
      <c r="EW190" s="145">
        <v>22.274947288724999</v>
      </c>
      <c r="EX190" s="145">
        <v>29.467920381374999</v>
      </c>
      <c r="EY190" s="145">
        <v>37.137679512045004</v>
      </c>
      <c r="EZ190" s="145">
        <v>43.750845474285008</v>
      </c>
      <c r="FA190" s="145">
        <v>51.200780587185008</v>
      </c>
      <c r="FB190" s="145">
        <v>56.239509727185009</v>
      </c>
      <c r="FC190" s="145">
        <v>60.039512227185014</v>
      </c>
      <c r="FD190" s="145">
        <v>63.131160727185012</v>
      </c>
      <c r="FE190" s="145">
        <v>66.74039202718501</v>
      </c>
      <c r="FF190" s="145">
        <v>70.025461327184999</v>
      </c>
      <c r="FG190" s="145" t="e">
        <v>#VALUE!</v>
      </c>
      <c r="FH190" s="145" t="e">
        <v>#VALUE!</v>
      </c>
      <c r="FI190" s="145" t="e">
        <v>#VALUE!</v>
      </c>
      <c r="FJ190" s="145" t="e">
        <v>#VALUE!</v>
      </c>
      <c r="FK190" s="145" t="e">
        <v>#VALUE!</v>
      </c>
      <c r="FL190" s="145" t="e">
        <v>#VALUE!</v>
      </c>
      <c r="FM190" s="145" t="e">
        <v>#VALUE!</v>
      </c>
      <c r="FN190" s="145" t="e">
        <v>#VALUE!</v>
      </c>
      <c r="FO190" s="145" t="e">
        <v>#VALUE!</v>
      </c>
      <c r="FP190" s="145" t="e">
        <v>#VALUE!</v>
      </c>
      <c r="FQ190" s="145" t="e">
        <v>#VALUE!</v>
      </c>
      <c r="FR190" s="145" t="e">
        <v>#VALUE!</v>
      </c>
      <c r="FS190" s="145" t="e">
        <v>#VALUE!</v>
      </c>
      <c r="FT190" s="145" t="e">
        <v>#VALUE!</v>
      </c>
      <c r="FU190" s="145" t="e">
        <v>#VALUE!</v>
      </c>
      <c r="FV190" s="145" t="e">
        <v>#VALUE!</v>
      </c>
      <c r="FW190" s="145" t="e">
        <v>#VALUE!</v>
      </c>
      <c r="FX190" s="145" t="e">
        <v>#VALUE!</v>
      </c>
      <c r="FY190" s="145" t="e">
        <v>#VALUE!</v>
      </c>
      <c r="FZ190" s="145" t="e">
        <v>#VALUE!</v>
      </c>
      <c r="GA190" s="145" t="e">
        <v>#VALUE!</v>
      </c>
      <c r="GB190" s="145" t="e">
        <v>#VALUE!</v>
      </c>
      <c r="GC190" s="145" t="e">
        <v>#VALUE!</v>
      </c>
      <c r="GD190" s="145" t="e">
        <v>#VALUE!</v>
      </c>
      <c r="GF190" s="145">
        <f t="shared" si="582"/>
        <v>2841.49</v>
      </c>
      <c r="GG190" s="145">
        <f t="shared" si="582"/>
        <v>3319.9164707999998</v>
      </c>
      <c r="GH190" s="145">
        <f t="shared" si="582"/>
        <v>4449.6009999899998</v>
      </c>
      <c r="GI190" s="145">
        <f t="shared" si="582"/>
        <v>0</v>
      </c>
      <c r="GJ190" s="145">
        <f t="shared" si="575"/>
        <v>49.878377</v>
      </c>
      <c r="GK190" s="145">
        <f t="shared" si="565"/>
        <v>0</v>
      </c>
      <c r="GL190" s="145">
        <f t="shared" si="571"/>
        <v>0</v>
      </c>
      <c r="GM190" s="145">
        <f t="shared" si="566"/>
        <v>0</v>
      </c>
      <c r="GN190" s="145" t="e">
        <f t="shared" si="567"/>
        <v>#VALUE!</v>
      </c>
      <c r="GO190" s="145">
        <v>-6.3E-7</v>
      </c>
      <c r="GQ190" s="989">
        <f t="shared" si="583"/>
        <v>0.34027498556847124</v>
      </c>
      <c r="GR190" s="989">
        <f t="shared" si="583"/>
        <v>-1</v>
      </c>
      <c r="GS190" s="989" t="str">
        <f t="shared" si="583"/>
        <v/>
      </c>
      <c r="GT190" s="989">
        <f t="shared" si="583"/>
        <v>-1</v>
      </c>
      <c r="GU190" s="989" t="str">
        <f t="shared" si="583"/>
        <v/>
      </c>
      <c r="GV190" s="989" t="str">
        <f t="shared" si="583"/>
        <v/>
      </c>
      <c r="GW190" s="989" t="str">
        <f t="shared" si="499"/>
        <v/>
      </c>
      <c r="GX190" s="989" t="str">
        <f t="shared" si="499"/>
        <v/>
      </c>
      <c r="GY190" s="989" t="str">
        <f t="shared" si="492"/>
        <v/>
      </c>
      <c r="HA190" s="145">
        <f t="shared" si="584"/>
        <v>1129.6845291899999</v>
      </c>
      <c r="HB190" s="145">
        <f t="shared" si="584"/>
        <v>-4449.6009999899998</v>
      </c>
      <c r="HC190" s="145">
        <f t="shared" si="584"/>
        <v>49.878377</v>
      </c>
      <c r="HD190" s="145">
        <f t="shared" si="577"/>
        <v>-49.878377</v>
      </c>
      <c r="HE190" s="145">
        <f t="shared" si="577"/>
        <v>0</v>
      </c>
      <c r="HF190" s="145">
        <f t="shared" si="577"/>
        <v>0</v>
      </c>
      <c r="HG190" s="145" t="e">
        <f t="shared" si="577"/>
        <v>#VALUE!</v>
      </c>
      <c r="HH190" s="145" t="e">
        <f t="shared" si="577"/>
        <v>#VALUE!</v>
      </c>
      <c r="HI190" s="145">
        <f t="shared" si="493"/>
        <v>-6.3E-7</v>
      </c>
      <c r="HU190" s="145">
        <f t="shared" si="585"/>
        <v>852.38652431460036</v>
      </c>
      <c r="HV190" s="145">
        <f t="shared" si="585"/>
        <v>1052.0494084360987</v>
      </c>
      <c r="HW190" s="145">
        <f t="shared" si="585"/>
        <v>1380.0215650837999</v>
      </c>
      <c r="HX190" s="145">
        <f t="shared" si="585"/>
        <v>-1103.0638198199999</v>
      </c>
      <c r="HY190" s="145">
        <f t="shared" si="586"/>
        <v>20.334261039999998</v>
      </c>
      <c r="HZ190" s="145">
        <f t="shared" si="586"/>
        <v>55.340429690000001</v>
      </c>
      <c r="IA190" s="145">
        <f t="shared" si="587"/>
        <v>60.281609409999994</v>
      </c>
      <c r="IB190" s="145">
        <f t="shared" si="588"/>
        <v>98.469510319999998</v>
      </c>
      <c r="IC190" s="145">
        <f t="shared" si="589"/>
        <v>56.643288270000006</v>
      </c>
      <c r="ID190" s="145" t="e">
        <f t="shared" si="568"/>
        <v>#VALUE!</v>
      </c>
      <c r="IE190" s="145" t="e">
        <f t="shared" si="590"/>
        <v>#VALUE!</v>
      </c>
      <c r="IF190" s="95"/>
      <c r="IG190" s="145" t="e">
        <f t="shared" si="533"/>
        <v>#VALUE!</v>
      </c>
      <c r="IH190" s="145" t="e">
        <f t="shared" si="534"/>
        <v>#VALUE!</v>
      </c>
      <c r="II190" s="145"/>
      <c r="IJ190" s="989" t="str">
        <f t="shared" si="591"/>
        <v>NA</v>
      </c>
      <c r="IK190" s="990" t="str">
        <f t="shared" si="592"/>
        <v>NA</v>
      </c>
      <c r="IP190" s="989">
        <f t="shared" si="602"/>
        <v>0.31174596365701213</v>
      </c>
      <c r="IQ190" s="989">
        <f t="shared" si="602"/>
        <v>-1.7993091178636891</v>
      </c>
      <c r="IR190" s="989">
        <f t="shared" si="602"/>
        <v>-1.0184343468388966</v>
      </c>
      <c r="IS190" s="989">
        <f t="shared" si="602"/>
        <v>1.7215363066864615</v>
      </c>
      <c r="IT190" s="989">
        <f t="shared" si="602"/>
        <v>8.9286977851074756E-2</v>
      </c>
      <c r="IU190" s="989">
        <f t="shared" si="602"/>
        <v>0.63349172797077125</v>
      </c>
      <c r="IV190" s="989" t="str">
        <f t="shared" si="603"/>
        <v/>
      </c>
      <c r="IX190" s="145">
        <f t="shared" si="538"/>
        <v>327.97215664770124</v>
      </c>
      <c r="IY190" s="145">
        <f t="shared" si="538"/>
        <v>-2483.0853849037999</v>
      </c>
      <c r="IZ190" s="145">
        <f t="shared" si="538"/>
        <v>1123.3980808599999</v>
      </c>
      <c r="JA190" s="145">
        <f t="shared" si="538"/>
        <v>35.006168650000006</v>
      </c>
      <c r="JB190" s="145">
        <f t="shared" si="538"/>
        <v>4.9411797199999938</v>
      </c>
      <c r="JC190" s="145">
        <f t="shared" si="538"/>
        <v>38.187900910000003</v>
      </c>
      <c r="JD190" s="145" t="e">
        <f t="shared" si="593"/>
        <v>#VALUE!</v>
      </c>
      <c r="JO190" s="145">
        <f t="shared" si="594"/>
        <v>852.38652431460036</v>
      </c>
      <c r="JP190" s="145">
        <f t="shared" si="594"/>
        <v>1052.0494084360987</v>
      </c>
      <c r="JQ190" s="145">
        <f t="shared" si="594"/>
        <v>1380.0215650837999</v>
      </c>
      <c r="JR190" s="145">
        <f t="shared" si="594"/>
        <v>-1103.0638198199999</v>
      </c>
      <c r="JS190" s="145">
        <f t="shared" si="594"/>
        <v>20.334261039999998</v>
      </c>
      <c r="JT190" s="145">
        <f t="shared" si="595"/>
        <v>55.340429690000001</v>
      </c>
      <c r="JU190" s="145">
        <f t="shared" si="596"/>
        <v>60.281609409999994</v>
      </c>
      <c r="JV190" s="145">
        <f t="shared" si="597"/>
        <v>98.469510319999998</v>
      </c>
      <c r="JW190" s="145">
        <f t="shared" si="597"/>
        <v>56.643288270000006</v>
      </c>
      <c r="JX190" s="145" t="e">
        <f t="shared" si="598"/>
        <v>#VALUE!</v>
      </c>
      <c r="JY190" s="145" t="e">
        <f t="shared" si="599"/>
        <v>#VALUE!</v>
      </c>
      <c r="KB190" s="42">
        <f t="shared" si="600"/>
        <v>0.31174596365701213</v>
      </c>
      <c r="KC190" s="42">
        <f t="shared" si="600"/>
        <v>-1.7993091178636891</v>
      </c>
      <c r="KD190" s="42">
        <f t="shared" si="600"/>
        <v>-1.0184343468388966</v>
      </c>
      <c r="KE190" s="42">
        <f t="shared" si="600"/>
        <v>1.7215363066864615</v>
      </c>
      <c r="KF190" s="42">
        <f t="shared" si="600"/>
        <v>8.9286977851074756E-2</v>
      </c>
      <c r="KG190" s="42">
        <f t="shared" si="600"/>
        <v>0.63349172797077125</v>
      </c>
      <c r="KH190" s="42" t="str">
        <f t="shared" si="569"/>
        <v xml:space="preserve"> </v>
      </c>
      <c r="KJ190" s="145">
        <f t="shared" si="601"/>
        <v>327.97215664770124</v>
      </c>
      <c r="KK190" s="145">
        <f t="shared" si="601"/>
        <v>-2483.0853849037999</v>
      </c>
      <c r="KL190" s="145">
        <f t="shared" si="601"/>
        <v>1123.3980808599999</v>
      </c>
      <c r="KM190" s="145">
        <f t="shared" si="601"/>
        <v>35.006168650000006</v>
      </c>
      <c r="KN190" s="145">
        <f t="shared" si="601"/>
        <v>4.9411797199999938</v>
      </c>
      <c r="KO190" s="145">
        <f t="shared" si="601"/>
        <v>38.187900910000003</v>
      </c>
      <c r="KP190" s="145" t="e">
        <f t="shared" si="570"/>
        <v>#VALUE!</v>
      </c>
    </row>
    <row r="191" spans="1:312" hidden="1" outlineLevel="2">
      <c r="A191" s="884">
        <v>2695</v>
      </c>
      <c r="B191" s="70" t="s">
        <v>752</v>
      </c>
      <c r="D191" s="31"/>
      <c r="E191" s="102">
        <v>0</v>
      </c>
      <c r="F191" s="102">
        <v>0</v>
      </c>
      <c r="G191" s="102">
        <v>0</v>
      </c>
      <c r="H191" s="102">
        <v>0</v>
      </c>
      <c r="I191" s="102">
        <v>0</v>
      </c>
      <c r="J191" s="102">
        <v>0</v>
      </c>
      <c r="K191" s="102">
        <v>0</v>
      </c>
      <c r="L191" s="102">
        <v>0</v>
      </c>
      <c r="M191" s="102">
        <v>0</v>
      </c>
      <c r="N191" s="102">
        <v>0</v>
      </c>
      <c r="O191" s="102">
        <v>0</v>
      </c>
      <c r="P191" s="102">
        <v>0</v>
      </c>
      <c r="Q191" s="102">
        <v>0</v>
      </c>
      <c r="R191" s="102">
        <v>0</v>
      </c>
      <c r="S191" s="102">
        <v>0</v>
      </c>
      <c r="T191" s="102">
        <v>0</v>
      </c>
      <c r="U191" s="102">
        <v>0</v>
      </c>
      <c r="V191" s="102">
        <v>0</v>
      </c>
      <c r="W191" s="102">
        <v>0</v>
      </c>
      <c r="X191" s="102">
        <v>0</v>
      </c>
      <c r="Y191" s="102">
        <v>0</v>
      </c>
      <c r="Z191" s="145">
        <v>0</v>
      </c>
      <c r="AA191" s="145">
        <v>0</v>
      </c>
      <c r="AB191" s="145">
        <v>0</v>
      </c>
      <c r="AC191" s="145">
        <v>0</v>
      </c>
      <c r="AD191" s="102">
        <v>0</v>
      </c>
      <c r="AE191" s="102">
        <v>0</v>
      </c>
      <c r="AF191" s="102">
        <v>0</v>
      </c>
      <c r="AG191" s="102">
        <v>0</v>
      </c>
      <c r="AH191" s="102">
        <v>0</v>
      </c>
      <c r="AI191" s="102">
        <v>0</v>
      </c>
      <c r="AJ191" s="102">
        <v>0</v>
      </c>
      <c r="AK191" s="102">
        <v>0</v>
      </c>
      <c r="AL191" s="102">
        <v>0</v>
      </c>
      <c r="AM191" s="102">
        <v>0</v>
      </c>
      <c r="AN191" s="102">
        <v>0</v>
      </c>
      <c r="AO191" s="102">
        <v>0</v>
      </c>
      <c r="AP191" s="145">
        <v>0</v>
      </c>
      <c r="AQ191" s="220">
        <v>0</v>
      </c>
      <c r="AR191" s="220">
        <v>0</v>
      </c>
      <c r="AS191" s="102">
        <v>0</v>
      </c>
      <c r="AT191" s="102">
        <v>0</v>
      </c>
      <c r="AU191" s="102">
        <v>0</v>
      </c>
      <c r="AV191" s="102">
        <v>0</v>
      </c>
      <c r="AW191" s="102">
        <v>0</v>
      </c>
      <c r="AX191" s="102">
        <v>0</v>
      </c>
      <c r="AY191" s="102">
        <v>0</v>
      </c>
      <c r="AZ191" s="102">
        <v>0</v>
      </c>
      <c r="BA191" s="102">
        <v>0</v>
      </c>
      <c r="BB191" s="102">
        <v>0</v>
      </c>
      <c r="BC191" s="102">
        <v>0</v>
      </c>
      <c r="BD191" s="102">
        <v>0</v>
      </c>
      <c r="BE191" s="102">
        <v>0</v>
      </c>
      <c r="BF191" s="102">
        <v>0</v>
      </c>
      <c r="BG191" s="102">
        <v>0</v>
      </c>
      <c r="BH191" s="102">
        <v>0</v>
      </c>
      <c r="BI191" s="102">
        <v>0</v>
      </c>
      <c r="BJ191" s="102">
        <v>0</v>
      </c>
      <c r="BK191" s="102">
        <v>0</v>
      </c>
      <c r="BL191" s="102">
        <v>0</v>
      </c>
      <c r="BM191" s="102">
        <v>0</v>
      </c>
      <c r="BN191" s="102">
        <v>0</v>
      </c>
      <c r="BO191" s="102">
        <v>0</v>
      </c>
      <c r="BP191" s="102">
        <v>0</v>
      </c>
      <c r="BQ191" s="102">
        <v>0</v>
      </c>
      <c r="BR191" s="102">
        <v>0</v>
      </c>
      <c r="BS191" s="102">
        <v>0</v>
      </c>
      <c r="BT191" s="102">
        <v>0</v>
      </c>
      <c r="BU191" s="102">
        <v>0</v>
      </c>
      <c r="BV191" s="102">
        <v>0</v>
      </c>
      <c r="BW191" s="102">
        <v>0</v>
      </c>
      <c r="BX191" s="102">
        <v>0</v>
      </c>
      <c r="BY191" s="102">
        <v>0</v>
      </c>
      <c r="BZ191" s="102">
        <v>0</v>
      </c>
      <c r="CA191" s="102">
        <v>0</v>
      </c>
      <c r="CB191" s="102">
        <v>0</v>
      </c>
      <c r="CC191" s="102">
        <v>0</v>
      </c>
      <c r="CD191" s="102">
        <v>0</v>
      </c>
      <c r="CE191" s="102">
        <v>0</v>
      </c>
      <c r="CF191" s="102">
        <v>0</v>
      </c>
      <c r="CG191" s="102">
        <v>0</v>
      </c>
      <c r="CH191" s="102">
        <v>0</v>
      </c>
      <c r="CI191" s="102">
        <v>0</v>
      </c>
      <c r="CJ191" s="102">
        <v>0</v>
      </c>
      <c r="CK191" s="102">
        <v>0</v>
      </c>
      <c r="CL191" s="102">
        <v>0</v>
      </c>
      <c r="CM191" s="102">
        <v>0</v>
      </c>
      <c r="CN191" s="102">
        <v>0</v>
      </c>
      <c r="CO191" s="102">
        <v>0</v>
      </c>
      <c r="CP191" s="102">
        <v>0</v>
      </c>
      <c r="CQ191" s="102">
        <v>0</v>
      </c>
      <c r="CR191" s="102">
        <v>0</v>
      </c>
      <c r="CS191" s="102">
        <v>0</v>
      </c>
      <c r="CT191" s="102">
        <v>0</v>
      </c>
      <c r="CU191" s="102">
        <v>0</v>
      </c>
      <c r="CV191" s="102">
        <v>0</v>
      </c>
      <c r="CW191" s="102">
        <v>0</v>
      </c>
      <c r="CX191" s="102">
        <v>0</v>
      </c>
      <c r="CY191" s="102">
        <v>0</v>
      </c>
      <c r="CZ191" s="102">
        <v>0</v>
      </c>
      <c r="DA191" s="102">
        <v>0</v>
      </c>
      <c r="DB191" s="102">
        <v>0</v>
      </c>
      <c r="DC191" s="102">
        <v>0</v>
      </c>
      <c r="DD191" s="102">
        <v>0</v>
      </c>
      <c r="DE191" s="102">
        <v>0</v>
      </c>
      <c r="DF191" s="102">
        <v>0</v>
      </c>
      <c r="DG191" s="102">
        <v>0</v>
      </c>
      <c r="DH191" s="102">
        <v>0</v>
      </c>
      <c r="DJ191" s="102" t="e">
        <v>#VALUE!</v>
      </c>
      <c r="DK191" s="102" t="e">
        <v>#VALUE!</v>
      </c>
      <c r="DL191" s="102" t="e">
        <v>#VALUE!</v>
      </c>
      <c r="DM191" s="102" t="e">
        <v>#VALUE!</v>
      </c>
      <c r="DN191" s="102" t="e">
        <v>#VALUE!</v>
      </c>
      <c r="DO191" s="102" t="e">
        <v>#VALUE!</v>
      </c>
      <c r="DP191" s="102" t="e">
        <v>#VALUE!</v>
      </c>
      <c r="DQ191" s="102" t="e">
        <v>#VALUE!</v>
      </c>
      <c r="DR191" s="102" t="e">
        <v>#VALUE!</v>
      </c>
      <c r="DS191" s="102" t="e">
        <v>#VALUE!</v>
      </c>
      <c r="DT191" s="102" t="e">
        <v>#VALUE!</v>
      </c>
      <c r="DU191" s="102" t="e">
        <v>#VALUE!</v>
      </c>
      <c r="DW191" s="102"/>
      <c r="DX191" s="102"/>
      <c r="DY191" s="102"/>
      <c r="DZ191" s="102"/>
      <c r="EA191" s="102"/>
      <c r="EB191" s="102"/>
      <c r="EC191" s="102"/>
      <c r="ED191" s="102"/>
      <c r="EE191" s="102"/>
      <c r="EF191" s="102"/>
      <c r="EG191" s="102"/>
      <c r="EH191" s="102"/>
      <c r="EI191" s="102">
        <v>0</v>
      </c>
      <c r="EJ191" s="102">
        <v>0</v>
      </c>
      <c r="EK191" s="102">
        <v>0</v>
      </c>
      <c r="EL191" s="102">
        <v>0</v>
      </c>
      <c r="EM191" s="102">
        <v>0</v>
      </c>
      <c r="EN191" s="102">
        <v>0</v>
      </c>
      <c r="EO191" s="102">
        <v>0</v>
      </c>
      <c r="EP191" s="102">
        <v>0</v>
      </c>
      <c r="EQ191" s="102">
        <v>0</v>
      </c>
      <c r="ER191" s="102">
        <v>0</v>
      </c>
      <c r="ES191" s="102">
        <v>0</v>
      </c>
      <c r="ET191" s="102">
        <v>0</v>
      </c>
      <c r="EU191" s="102">
        <v>16.643508625833334</v>
      </c>
      <c r="EV191" s="102">
        <v>16.643508625833334</v>
      </c>
      <c r="EW191" s="102">
        <v>16.643508625833334</v>
      </c>
      <c r="EX191" s="102">
        <v>16.643508625833334</v>
      </c>
      <c r="EY191" s="102">
        <v>16.643508625833334</v>
      </c>
      <c r="EZ191" s="102">
        <v>16.643508625833334</v>
      </c>
      <c r="FA191" s="102">
        <v>16.643508625833334</v>
      </c>
      <c r="FB191" s="102">
        <v>16.643508625833334</v>
      </c>
      <c r="FC191" s="102">
        <v>16.643508625833334</v>
      </c>
      <c r="FD191" s="102">
        <v>16.643508625833334</v>
      </c>
      <c r="FE191" s="102">
        <v>16.643508625833334</v>
      </c>
      <c r="FF191" s="102">
        <v>16.643508625833334</v>
      </c>
      <c r="FG191" s="102" t="e">
        <v>#VALUE!</v>
      </c>
      <c r="FH191" s="102" t="e">
        <v>#VALUE!</v>
      </c>
      <c r="FI191" s="102" t="e">
        <v>#VALUE!</v>
      </c>
      <c r="FJ191" s="102" t="e">
        <v>#VALUE!</v>
      </c>
      <c r="FK191" s="102" t="e">
        <v>#VALUE!</v>
      </c>
      <c r="FL191" s="102" t="e">
        <v>#VALUE!</v>
      </c>
      <c r="FM191" s="102" t="e">
        <v>#VALUE!</v>
      </c>
      <c r="FN191" s="102" t="e">
        <v>#VALUE!</v>
      </c>
      <c r="FO191" s="102" t="e">
        <v>#VALUE!</v>
      </c>
      <c r="FP191" s="102" t="e">
        <v>#VALUE!</v>
      </c>
      <c r="FQ191" s="102" t="e">
        <v>#VALUE!</v>
      </c>
      <c r="FR191" s="102" t="e">
        <v>#VALUE!</v>
      </c>
      <c r="FS191" s="102" t="e">
        <v>#VALUE!</v>
      </c>
      <c r="FT191" s="102" t="e">
        <v>#VALUE!</v>
      </c>
      <c r="FU191" s="102" t="e">
        <v>#VALUE!</v>
      </c>
      <c r="FV191" s="102" t="e">
        <v>#VALUE!</v>
      </c>
      <c r="FW191" s="102" t="e">
        <v>#VALUE!</v>
      </c>
      <c r="FX191" s="102" t="e">
        <v>#VALUE!</v>
      </c>
      <c r="FY191" s="102" t="e">
        <v>#VALUE!</v>
      </c>
      <c r="FZ191" s="102" t="e">
        <v>#VALUE!</v>
      </c>
      <c r="GA191" s="102" t="e">
        <v>#VALUE!</v>
      </c>
      <c r="GB191" s="102" t="e">
        <v>#VALUE!</v>
      </c>
      <c r="GC191" s="102" t="e">
        <v>#VALUE!</v>
      </c>
      <c r="GD191" s="102" t="e">
        <v>#VALUE!</v>
      </c>
      <c r="GF191" s="102">
        <f t="shared" si="582"/>
        <v>0</v>
      </c>
      <c r="GG191" s="102">
        <f t="shared" si="582"/>
        <v>0</v>
      </c>
      <c r="GH191" s="102">
        <f t="shared" si="582"/>
        <v>0</v>
      </c>
      <c r="GI191" s="102">
        <f t="shared" si="582"/>
        <v>0</v>
      </c>
      <c r="GJ191" s="102">
        <f t="shared" si="575"/>
        <v>0</v>
      </c>
      <c r="GK191" s="102">
        <f t="shared" si="565"/>
        <v>0</v>
      </c>
      <c r="GL191" s="102">
        <f t="shared" si="571"/>
        <v>0</v>
      </c>
      <c r="GM191" s="102">
        <f t="shared" si="566"/>
        <v>0</v>
      </c>
      <c r="GN191" s="102" t="e">
        <f t="shared" si="567"/>
        <v>#VALUE!</v>
      </c>
      <c r="GO191" s="102">
        <v>0</v>
      </c>
      <c r="GQ191" s="929" t="str">
        <f t="shared" si="583"/>
        <v/>
      </c>
      <c r="GR191" s="929" t="str">
        <f t="shared" si="583"/>
        <v/>
      </c>
      <c r="GS191" s="929" t="str">
        <f t="shared" si="583"/>
        <v/>
      </c>
      <c r="GT191" s="929" t="str">
        <f t="shared" si="583"/>
        <v/>
      </c>
      <c r="GU191" s="929" t="str">
        <f t="shared" si="583"/>
        <v/>
      </c>
      <c r="GV191" s="929" t="str">
        <f t="shared" si="583"/>
        <v/>
      </c>
      <c r="GW191" s="929" t="str">
        <f t="shared" si="583"/>
        <v/>
      </c>
      <c r="GX191" s="929" t="str">
        <f t="shared" si="583"/>
        <v/>
      </c>
      <c r="GY191" s="929" t="str">
        <f t="shared" si="492"/>
        <v/>
      </c>
      <c r="HA191" s="102">
        <f t="shared" si="584"/>
        <v>0</v>
      </c>
      <c r="HB191" s="102">
        <f t="shared" si="584"/>
        <v>0</v>
      </c>
      <c r="HC191" s="102">
        <f t="shared" si="584"/>
        <v>0</v>
      </c>
      <c r="HD191" s="102">
        <f t="shared" si="577"/>
        <v>0</v>
      </c>
      <c r="HE191" s="102">
        <f t="shared" si="577"/>
        <v>0</v>
      </c>
      <c r="HF191" s="102">
        <f t="shared" si="577"/>
        <v>0</v>
      </c>
      <c r="HG191" s="102" t="e">
        <f t="shared" si="577"/>
        <v>#VALUE!</v>
      </c>
      <c r="HH191" s="102" t="e">
        <f t="shared" si="577"/>
        <v>#VALUE!</v>
      </c>
      <c r="HI191" s="102">
        <f t="shared" si="493"/>
        <v>0</v>
      </c>
      <c r="HK191" s="973"/>
      <c r="HL191" s="973"/>
      <c r="HM191" s="973"/>
      <c r="HN191" s="973"/>
      <c r="HO191" s="973"/>
      <c r="HP191" s="973"/>
      <c r="HQ191" s="973"/>
      <c r="HR191" s="973"/>
      <c r="HS191" s="973"/>
      <c r="HU191" s="102">
        <f t="shared" si="585"/>
        <v>0</v>
      </c>
      <c r="HV191" s="102">
        <f t="shared" si="585"/>
        <v>0</v>
      </c>
      <c r="HW191" s="102">
        <f t="shared" si="585"/>
        <v>0</v>
      </c>
      <c r="HX191" s="102">
        <f t="shared" si="585"/>
        <v>0</v>
      </c>
      <c r="HY191" s="102">
        <f t="shared" si="586"/>
        <v>0</v>
      </c>
      <c r="HZ191" s="102">
        <f t="shared" si="586"/>
        <v>0</v>
      </c>
      <c r="IA191" s="102">
        <f t="shared" si="587"/>
        <v>0</v>
      </c>
      <c r="IB191" s="102">
        <f t="shared" si="588"/>
        <v>0</v>
      </c>
      <c r="IC191" s="102">
        <f t="shared" si="589"/>
        <v>0</v>
      </c>
      <c r="ID191" s="102" t="e">
        <f t="shared" si="568"/>
        <v>#VALUE!</v>
      </c>
      <c r="IE191" s="102" t="e">
        <f t="shared" si="590"/>
        <v>#VALUE!</v>
      </c>
      <c r="IG191" s="102" t="e">
        <f t="shared" si="533"/>
        <v>#VALUE!</v>
      </c>
      <c r="IH191" s="102" t="e">
        <f t="shared" si="534"/>
        <v>#VALUE!</v>
      </c>
      <c r="II191" s="145"/>
      <c r="IJ191" s="929" t="str">
        <f t="shared" si="591"/>
        <v>NA</v>
      </c>
      <c r="IK191" s="930" t="str">
        <f t="shared" si="592"/>
        <v>NA</v>
      </c>
      <c r="IM191" s="973"/>
      <c r="IN191" s="973"/>
      <c r="IP191" s="929" t="str">
        <f t="shared" si="602"/>
        <v/>
      </c>
      <c r="IQ191" s="929" t="str">
        <f t="shared" si="602"/>
        <v/>
      </c>
      <c r="IR191" s="929" t="str">
        <f t="shared" si="602"/>
        <v/>
      </c>
      <c r="IS191" s="929" t="str">
        <f t="shared" si="602"/>
        <v/>
      </c>
      <c r="IT191" s="929" t="str">
        <f t="shared" si="602"/>
        <v/>
      </c>
      <c r="IU191" s="929" t="str">
        <f t="shared" si="602"/>
        <v/>
      </c>
      <c r="IV191" s="929" t="str">
        <f t="shared" si="603"/>
        <v/>
      </c>
      <c r="IX191" s="102">
        <f t="shared" si="538"/>
        <v>0</v>
      </c>
      <c r="IY191" s="102">
        <f t="shared" si="538"/>
        <v>0</v>
      </c>
      <c r="IZ191" s="102">
        <f t="shared" si="538"/>
        <v>0</v>
      </c>
      <c r="JA191" s="102">
        <f t="shared" si="538"/>
        <v>0</v>
      </c>
      <c r="JB191" s="102">
        <f t="shared" si="538"/>
        <v>0</v>
      </c>
      <c r="JC191" s="102">
        <f t="shared" si="538"/>
        <v>0</v>
      </c>
      <c r="JD191" s="102" t="e">
        <f t="shared" si="593"/>
        <v>#VALUE!</v>
      </c>
      <c r="JF191" s="973"/>
      <c r="JG191" s="973"/>
      <c r="JH191" s="973"/>
      <c r="JI191" s="973"/>
      <c r="JJ191" s="973"/>
      <c r="JK191" s="973"/>
      <c r="JL191" s="973"/>
      <c r="JM191" s="973"/>
      <c r="JO191" s="102">
        <f t="shared" si="594"/>
        <v>0</v>
      </c>
      <c r="JP191" s="102">
        <f t="shared" si="594"/>
        <v>0</v>
      </c>
      <c r="JQ191" s="102">
        <f t="shared" si="594"/>
        <v>0</v>
      </c>
      <c r="JR191" s="102">
        <f t="shared" si="594"/>
        <v>0</v>
      </c>
      <c r="JS191" s="102">
        <f t="shared" si="594"/>
        <v>0</v>
      </c>
      <c r="JT191" s="102">
        <f t="shared" si="595"/>
        <v>0</v>
      </c>
      <c r="JU191" s="102">
        <f t="shared" si="596"/>
        <v>0</v>
      </c>
      <c r="JV191" s="102">
        <f t="shared" si="597"/>
        <v>0</v>
      </c>
      <c r="JW191" s="102">
        <f t="shared" si="597"/>
        <v>0</v>
      </c>
      <c r="JX191" s="102" t="e">
        <f t="shared" si="598"/>
        <v>#VALUE!</v>
      </c>
      <c r="JY191" s="102" t="e">
        <f t="shared" si="599"/>
        <v>#VALUE!</v>
      </c>
      <c r="KB191" s="32" t="str">
        <f t="shared" si="600"/>
        <v xml:space="preserve"> </v>
      </c>
      <c r="KC191" s="32" t="str">
        <f t="shared" si="600"/>
        <v xml:space="preserve"> </v>
      </c>
      <c r="KD191" s="32" t="str">
        <f t="shared" si="600"/>
        <v xml:space="preserve"> </v>
      </c>
      <c r="KE191" s="32" t="str">
        <f t="shared" si="600"/>
        <v xml:space="preserve"> </v>
      </c>
      <c r="KF191" s="32" t="str">
        <f t="shared" si="600"/>
        <v xml:space="preserve"> </v>
      </c>
      <c r="KG191" s="32" t="str">
        <f t="shared" si="600"/>
        <v xml:space="preserve"> </v>
      </c>
      <c r="KH191" s="32" t="str">
        <f t="shared" si="569"/>
        <v xml:space="preserve"> </v>
      </c>
      <c r="KJ191" s="102">
        <f t="shared" si="601"/>
        <v>0</v>
      </c>
      <c r="KK191" s="102">
        <f t="shared" si="601"/>
        <v>0</v>
      </c>
      <c r="KL191" s="102">
        <f t="shared" si="601"/>
        <v>0</v>
      </c>
      <c r="KM191" s="102">
        <f t="shared" si="601"/>
        <v>0</v>
      </c>
      <c r="KN191" s="102">
        <f t="shared" si="601"/>
        <v>0</v>
      </c>
      <c r="KO191" s="102">
        <f t="shared" si="601"/>
        <v>0</v>
      </c>
      <c r="KP191" s="102" t="e">
        <f t="shared" si="570"/>
        <v>#VALUE!</v>
      </c>
      <c r="KR191" s="973"/>
      <c r="KS191" s="973"/>
      <c r="KT191" s="973"/>
      <c r="KU191" s="973"/>
      <c r="KV191" s="973"/>
      <c r="KW191" s="973"/>
      <c r="KX191" s="973"/>
      <c r="KY191" s="973"/>
      <c r="KZ191" s="973"/>
    </row>
    <row r="192" spans="1:312" outlineLevel="1" collapsed="1">
      <c r="A192" s="884"/>
      <c r="B192" s="70"/>
      <c r="C192" s="186" t="s">
        <v>151</v>
      </c>
      <c r="D192" s="307" t="s">
        <v>59</v>
      </c>
      <c r="E192" s="931">
        <v>0</v>
      </c>
      <c r="F192" s="931">
        <v>0</v>
      </c>
      <c r="G192" s="931">
        <v>0</v>
      </c>
      <c r="H192" s="931">
        <v>0</v>
      </c>
      <c r="I192" s="931">
        <v>0</v>
      </c>
      <c r="J192" s="931">
        <v>0</v>
      </c>
      <c r="K192" s="931">
        <v>0</v>
      </c>
      <c r="L192" s="931">
        <v>0</v>
      </c>
      <c r="M192" s="931">
        <v>0</v>
      </c>
      <c r="N192" s="931">
        <v>0</v>
      </c>
      <c r="O192" s="931">
        <v>0</v>
      </c>
      <c r="P192" s="931">
        <v>0</v>
      </c>
      <c r="Q192" s="931">
        <v>0</v>
      </c>
      <c r="R192" s="931">
        <v>0</v>
      </c>
      <c r="S192" s="931">
        <v>0</v>
      </c>
      <c r="T192" s="931">
        <v>0</v>
      </c>
      <c r="U192" s="931">
        <v>0</v>
      </c>
      <c r="V192" s="931">
        <v>0</v>
      </c>
      <c r="W192" s="931">
        <v>0</v>
      </c>
      <c r="X192" s="931">
        <v>0</v>
      </c>
      <c r="Y192" s="931">
        <v>0</v>
      </c>
      <c r="Z192" s="931">
        <v>0</v>
      </c>
      <c r="AA192" s="931">
        <v>0</v>
      </c>
      <c r="AB192" s="931">
        <v>0</v>
      </c>
      <c r="AC192" s="931">
        <v>0</v>
      </c>
      <c r="AD192" s="931">
        <v>0</v>
      </c>
      <c r="AE192" s="931">
        <v>0</v>
      </c>
      <c r="AF192" s="931">
        <v>0</v>
      </c>
      <c r="AG192" s="931">
        <v>0</v>
      </c>
      <c r="AH192" s="931">
        <v>0</v>
      </c>
      <c r="AI192" s="931">
        <v>0</v>
      </c>
      <c r="AJ192" s="931">
        <v>0</v>
      </c>
      <c r="AK192" s="931">
        <v>0</v>
      </c>
      <c r="AL192" s="931">
        <v>0</v>
      </c>
      <c r="AM192" s="931">
        <v>0</v>
      </c>
      <c r="AN192" s="931">
        <v>0</v>
      </c>
      <c r="AO192" s="931">
        <v>0</v>
      </c>
      <c r="AP192" s="932">
        <v>0</v>
      </c>
      <c r="AQ192" s="936">
        <v>0</v>
      </c>
      <c r="AR192" s="936">
        <v>0</v>
      </c>
      <c r="AS192" s="931">
        <v>0</v>
      </c>
      <c r="AT192" s="931">
        <v>0</v>
      </c>
      <c r="AU192" s="931">
        <v>0</v>
      </c>
      <c r="AV192" s="931">
        <v>0</v>
      </c>
      <c r="AW192" s="931">
        <v>0</v>
      </c>
      <c r="AX192" s="931">
        <v>0</v>
      </c>
      <c r="AY192" s="931">
        <v>0</v>
      </c>
      <c r="AZ192" s="931"/>
      <c r="BA192" s="931"/>
      <c r="BB192" s="931"/>
      <c r="BC192" s="931"/>
      <c r="BD192" s="931"/>
      <c r="BE192" s="931"/>
      <c r="BF192" s="931"/>
      <c r="BG192" s="931"/>
      <c r="BH192" s="931"/>
      <c r="BI192" s="931"/>
      <c r="BJ192" s="931"/>
      <c r="BK192" s="931"/>
      <c r="BL192" s="931"/>
      <c r="BM192" s="931"/>
      <c r="BN192" s="931"/>
      <c r="BO192" s="931"/>
      <c r="BP192" s="931"/>
      <c r="BQ192" s="931"/>
      <c r="BR192" s="931"/>
      <c r="BS192" s="931"/>
      <c r="BT192" s="931"/>
      <c r="BU192" s="931"/>
      <c r="BV192" s="931"/>
      <c r="BW192" s="931"/>
      <c r="BX192" s="931"/>
      <c r="BY192" s="931"/>
      <c r="BZ192" s="931"/>
      <c r="CA192" s="931"/>
      <c r="CB192" s="931"/>
      <c r="CC192" s="931"/>
      <c r="CD192" s="931"/>
      <c r="CE192" s="931"/>
      <c r="CF192" s="931"/>
      <c r="CG192" s="931"/>
      <c r="CH192" s="931"/>
      <c r="CI192" s="931"/>
      <c r="CJ192" s="931"/>
      <c r="CK192" s="931"/>
      <c r="CL192" s="931"/>
      <c r="CM192" s="931"/>
      <c r="CN192" s="931"/>
      <c r="CO192" s="931"/>
      <c r="CP192" s="931"/>
      <c r="CQ192" s="931"/>
      <c r="CR192" s="931"/>
      <c r="CS192" s="931"/>
      <c r="CT192" s="931"/>
      <c r="CU192" s="931"/>
      <c r="CV192" s="931"/>
      <c r="CW192" s="931"/>
      <c r="CX192" s="931"/>
      <c r="CY192" s="931"/>
      <c r="CZ192" s="931"/>
      <c r="DA192" s="931"/>
      <c r="DB192" s="931"/>
      <c r="DC192" s="931"/>
      <c r="DD192" s="931"/>
      <c r="DE192" s="931"/>
      <c r="DF192" s="931"/>
      <c r="DG192" s="931"/>
      <c r="DH192" s="931"/>
      <c r="DJ192" s="931"/>
      <c r="DK192" s="931"/>
      <c r="DL192" s="931"/>
      <c r="DM192" s="931"/>
      <c r="DN192" s="931"/>
      <c r="DO192" s="931"/>
      <c r="DP192" s="931"/>
      <c r="DQ192" s="931"/>
      <c r="DR192" s="931"/>
      <c r="DS192" s="931"/>
      <c r="DT192" s="931"/>
      <c r="DU192" s="931"/>
      <c r="DW192" s="931"/>
      <c r="DX192" s="931"/>
      <c r="DY192" s="931"/>
      <c r="DZ192" s="931"/>
      <c r="EA192" s="931"/>
      <c r="EB192" s="931"/>
      <c r="EC192" s="931"/>
      <c r="ED192" s="931"/>
      <c r="EE192" s="931"/>
      <c r="EF192" s="931"/>
      <c r="EG192" s="931"/>
      <c r="EH192" s="931"/>
      <c r="EI192" s="931"/>
      <c r="EJ192" s="931"/>
      <c r="EK192" s="931"/>
      <c r="EL192" s="931"/>
      <c r="EM192" s="931"/>
      <c r="EN192" s="931"/>
      <c r="EO192" s="931"/>
      <c r="EP192" s="931"/>
      <c r="EQ192" s="931"/>
      <c r="ER192" s="931"/>
      <c r="ES192" s="931"/>
      <c r="ET192" s="931"/>
      <c r="EU192" s="931"/>
      <c r="EV192" s="931"/>
      <c r="EW192" s="931"/>
      <c r="EX192" s="931"/>
      <c r="EY192" s="931"/>
      <c r="EZ192" s="931"/>
      <c r="FA192" s="931"/>
      <c r="FB192" s="931"/>
      <c r="FC192" s="931"/>
      <c r="FD192" s="931"/>
      <c r="FE192" s="931"/>
      <c r="FF192" s="931"/>
      <c r="FG192" s="931"/>
      <c r="FH192" s="931"/>
      <c r="FI192" s="931"/>
      <c r="FJ192" s="931"/>
      <c r="FK192" s="931"/>
      <c r="FL192" s="931"/>
      <c r="FM192" s="931"/>
      <c r="FN192" s="931"/>
      <c r="FO192" s="931"/>
      <c r="FP192" s="931"/>
      <c r="FQ192" s="931"/>
      <c r="FR192" s="931"/>
      <c r="FS192" s="931"/>
      <c r="FT192" s="931"/>
      <c r="FU192" s="931"/>
      <c r="FV192" s="931"/>
      <c r="FW192" s="931"/>
      <c r="FX192" s="931"/>
      <c r="FY192" s="931"/>
      <c r="FZ192" s="931"/>
      <c r="GA192" s="931"/>
      <c r="GB192" s="931"/>
      <c r="GC192" s="931"/>
      <c r="GD192" s="931"/>
      <c r="GF192" s="931">
        <f t="shared" si="582"/>
        <v>0</v>
      </c>
      <c r="GG192" s="931">
        <f t="shared" si="582"/>
        <v>0</v>
      </c>
      <c r="GH192" s="931">
        <f t="shared" si="582"/>
        <v>0</v>
      </c>
      <c r="GI192" s="931">
        <f t="shared" si="582"/>
        <v>0</v>
      </c>
      <c r="GJ192" s="931">
        <f t="shared" si="575"/>
        <v>0</v>
      </c>
      <c r="GK192" s="931">
        <f t="shared" si="565"/>
        <v>0</v>
      </c>
      <c r="GL192" s="931">
        <f t="shared" si="571"/>
        <v>0</v>
      </c>
      <c r="GM192" s="931">
        <f t="shared" si="566"/>
        <v>0</v>
      </c>
      <c r="GN192" s="931">
        <f t="shared" si="567"/>
        <v>0</v>
      </c>
      <c r="GO192" s="931">
        <v>0</v>
      </c>
      <c r="GQ192" s="934" t="str">
        <f t="shared" si="583"/>
        <v/>
      </c>
      <c r="GR192" s="934" t="str">
        <f t="shared" si="583"/>
        <v/>
      </c>
      <c r="GS192" s="934" t="str">
        <f t="shared" si="583"/>
        <v/>
      </c>
      <c r="GT192" s="934" t="str">
        <f t="shared" si="583"/>
        <v/>
      </c>
      <c r="GU192" s="934" t="str">
        <f t="shared" si="583"/>
        <v/>
      </c>
      <c r="GV192" s="934" t="str">
        <f t="shared" si="583"/>
        <v/>
      </c>
      <c r="GW192" s="934" t="str">
        <f t="shared" si="583"/>
        <v/>
      </c>
      <c r="GX192" s="934" t="str">
        <f t="shared" si="583"/>
        <v/>
      </c>
      <c r="GY192" s="934" t="str">
        <f t="shared" si="492"/>
        <v/>
      </c>
      <c r="HA192" s="931">
        <f t="shared" si="584"/>
        <v>0</v>
      </c>
      <c r="HB192" s="931">
        <f t="shared" si="584"/>
        <v>0</v>
      </c>
      <c r="HC192" s="931">
        <f t="shared" si="584"/>
        <v>0</v>
      </c>
      <c r="HD192" s="931">
        <f t="shared" si="577"/>
        <v>0</v>
      </c>
      <c r="HE192" s="931">
        <f t="shared" si="577"/>
        <v>0</v>
      </c>
      <c r="HF192" s="931">
        <f t="shared" si="577"/>
        <v>0</v>
      </c>
      <c r="HG192" s="931">
        <f t="shared" si="577"/>
        <v>0</v>
      </c>
      <c r="HH192" s="931">
        <f t="shared" si="577"/>
        <v>0</v>
      </c>
      <c r="HI192" s="931">
        <f t="shared" si="493"/>
        <v>0</v>
      </c>
      <c r="HK192" s="973"/>
      <c r="HL192" s="973"/>
      <c r="HM192" s="973"/>
      <c r="HN192" s="973"/>
      <c r="HO192" s="973"/>
      <c r="HP192" s="973"/>
      <c r="HQ192" s="973"/>
      <c r="HR192" s="973"/>
      <c r="HS192" s="973"/>
      <c r="HU192" s="931">
        <f t="shared" si="585"/>
        <v>0</v>
      </c>
      <c r="HV192" s="931">
        <f t="shared" si="585"/>
        <v>0</v>
      </c>
      <c r="HW192" s="931">
        <f t="shared" si="585"/>
        <v>0</v>
      </c>
      <c r="HX192" s="931">
        <f t="shared" si="585"/>
        <v>0</v>
      </c>
      <c r="HY192" s="931">
        <f t="shared" si="586"/>
        <v>0</v>
      </c>
      <c r="HZ192" s="931">
        <f t="shared" si="586"/>
        <v>0</v>
      </c>
      <c r="IA192" s="931">
        <f t="shared" si="587"/>
        <v>0</v>
      </c>
      <c r="IB192" s="931">
        <f t="shared" si="588"/>
        <v>0</v>
      </c>
      <c r="IC192" s="931">
        <f t="shared" si="589"/>
        <v>0</v>
      </c>
      <c r="ID192" s="931">
        <f t="shared" si="568"/>
        <v>0</v>
      </c>
      <c r="IE192" s="931">
        <f t="shared" si="590"/>
        <v>0</v>
      </c>
      <c r="IG192" s="931">
        <f t="shared" si="533"/>
        <v>0</v>
      </c>
      <c r="IH192" s="931">
        <f t="shared" si="534"/>
        <v>0</v>
      </c>
      <c r="II192" s="145"/>
      <c r="IJ192" s="934" t="str">
        <f t="shared" si="591"/>
        <v>NA</v>
      </c>
      <c r="IK192" s="935">
        <f t="shared" si="592"/>
        <v>0</v>
      </c>
      <c r="IM192" s="973"/>
      <c r="IN192" s="973"/>
      <c r="IP192" s="934" t="str">
        <f t="shared" si="602"/>
        <v/>
      </c>
      <c r="IQ192" s="934" t="str">
        <f t="shared" si="602"/>
        <v/>
      </c>
      <c r="IR192" s="934" t="str">
        <f t="shared" si="602"/>
        <v/>
      </c>
      <c r="IS192" s="934" t="str">
        <f t="shared" si="602"/>
        <v/>
      </c>
      <c r="IT192" s="934" t="str">
        <f t="shared" si="602"/>
        <v/>
      </c>
      <c r="IU192" s="934" t="str">
        <f t="shared" si="602"/>
        <v/>
      </c>
      <c r="IV192" s="934" t="str">
        <f t="shared" si="603"/>
        <v/>
      </c>
      <c r="IX192" s="931">
        <f t="shared" si="538"/>
        <v>0</v>
      </c>
      <c r="IY192" s="931">
        <f t="shared" si="538"/>
        <v>0</v>
      </c>
      <c r="IZ192" s="931">
        <f t="shared" si="538"/>
        <v>0</v>
      </c>
      <c r="JA192" s="931">
        <f t="shared" si="538"/>
        <v>0</v>
      </c>
      <c r="JB192" s="931">
        <f t="shared" si="538"/>
        <v>0</v>
      </c>
      <c r="JC192" s="931">
        <f t="shared" si="538"/>
        <v>0</v>
      </c>
      <c r="JD192" s="931">
        <f t="shared" si="593"/>
        <v>0</v>
      </c>
      <c r="JF192" s="973"/>
      <c r="JG192" s="973"/>
      <c r="JH192" s="973"/>
      <c r="JI192" s="973"/>
      <c r="JJ192" s="973"/>
      <c r="JK192" s="973"/>
      <c r="JL192" s="973"/>
      <c r="JM192" s="973"/>
      <c r="JO192" s="931">
        <f t="shared" si="594"/>
        <v>0</v>
      </c>
      <c r="JP192" s="931">
        <f t="shared" si="594"/>
        <v>0</v>
      </c>
      <c r="JQ192" s="931">
        <f t="shared" si="594"/>
        <v>0</v>
      </c>
      <c r="JR192" s="931">
        <f t="shared" si="594"/>
        <v>0</v>
      </c>
      <c r="JS192" s="931">
        <f t="shared" si="594"/>
        <v>0</v>
      </c>
      <c r="JT192" s="931">
        <f t="shared" si="595"/>
        <v>0</v>
      </c>
      <c r="JU192" s="931">
        <f t="shared" si="596"/>
        <v>0</v>
      </c>
      <c r="JV192" s="931">
        <f t="shared" si="597"/>
        <v>0</v>
      </c>
      <c r="JW192" s="931">
        <f t="shared" si="597"/>
        <v>0</v>
      </c>
      <c r="JX192" s="931">
        <f t="shared" si="598"/>
        <v>0</v>
      </c>
      <c r="JY192" s="931">
        <f t="shared" si="599"/>
        <v>0</v>
      </c>
      <c r="KB192" s="230" t="str">
        <f t="shared" si="600"/>
        <v xml:space="preserve"> </v>
      </c>
      <c r="KC192" s="230" t="str">
        <f t="shared" si="600"/>
        <v xml:space="preserve"> </v>
      </c>
      <c r="KD192" s="230" t="str">
        <f t="shared" si="600"/>
        <v xml:space="preserve"> </v>
      </c>
      <c r="KE192" s="230" t="str">
        <f t="shared" si="600"/>
        <v xml:space="preserve"> </v>
      </c>
      <c r="KF192" s="230" t="str">
        <f t="shared" si="600"/>
        <v xml:space="preserve"> </v>
      </c>
      <c r="KG192" s="230" t="str">
        <f t="shared" si="600"/>
        <v xml:space="preserve"> </v>
      </c>
      <c r="KH192" s="230" t="str">
        <f t="shared" si="569"/>
        <v xml:space="preserve"> </v>
      </c>
      <c r="KJ192" s="931">
        <f t="shared" si="601"/>
        <v>0</v>
      </c>
      <c r="KK192" s="931">
        <f t="shared" si="601"/>
        <v>0</v>
      </c>
      <c r="KL192" s="931">
        <f t="shared" si="601"/>
        <v>0</v>
      </c>
      <c r="KM192" s="931">
        <f t="shared" si="601"/>
        <v>0</v>
      </c>
      <c r="KN192" s="931">
        <f t="shared" si="601"/>
        <v>0</v>
      </c>
      <c r="KO192" s="931">
        <f t="shared" si="601"/>
        <v>0</v>
      </c>
      <c r="KP192" s="931">
        <f t="shared" si="570"/>
        <v>0</v>
      </c>
      <c r="KR192" s="973"/>
      <c r="KS192" s="973"/>
      <c r="KT192" s="973"/>
      <c r="KU192" s="973"/>
      <c r="KV192" s="973"/>
      <c r="KW192" s="973"/>
      <c r="KX192" s="973"/>
      <c r="KY192" s="973"/>
      <c r="KZ192" s="973"/>
    </row>
    <row r="193" spans="1:312" outlineLevel="1">
      <c r="A193" s="884"/>
      <c r="B193" s="70"/>
      <c r="E193" s="66"/>
      <c r="F193" s="66"/>
      <c r="G193" s="66"/>
      <c r="H193" s="66"/>
      <c r="I193" s="66"/>
      <c r="J193" s="66"/>
      <c r="K193" s="66"/>
      <c r="L193" s="66"/>
      <c r="M193" s="66"/>
      <c r="N193" s="66"/>
      <c r="O193" s="66"/>
      <c r="P193" s="66"/>
      <c r="Q193" s="102"/>
      <c r="R193" s="66"/>
      <c r="S193" s="66"/>
      <c r="T193" s="66"/>
      <c r="U193" s="66"/>
      <c r="V193" s="66"/>
      <c r="W193" s="66"/>
      <c r="X193" s="66"/>
      <c r="Y193" s="66"/>
      <c r="Z193" s="66"/>
      <c r="AA193" s="66"/>
      <c r="AB193" s="66"/>
      <c r="AC193" s="102"/>
      <c r="AD193" s="102"/>
      <c r="AE193" s="102"/>
      <c r="AF193" s="102"/>
      <c r="AG193" s="102"/>
      <c r="AH193" s="102"/>
      <c r="AI193" s="102"/>
      <c r="AJ193" s="102"/>
      <c r="AK193" s="102"/>
      <c r="AL193" s="102"/>
      <c r="AM193" s="102"/>
      <c r="AN193" s="102"/>
      <c r="AO193" s="102"/>
      <c r="AP193" s="145"/>
      <c r="AQ193" s="143"/>
      <c r="AR193" s="143"/>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J193" s="102"/>
      <c r="DK193" s="102"/>
      <c r="DL193" s="102"/>
      <c r="DM193" s="102"/>
      <c r="DN193" s="102"/>
      <c r="DO193" s="102"/>
      <c r="DP193" s="102"/>
      <c r="DQ193" s="102"/>
      <c r="DR193" s="102"/>
      <c r="DS193" s="102"/>
      <c r="DT193" s="102"/>
      <c r="DU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F193" s="102"/>
      <c r="GG193" s="102"/>
      <c r="GH193" s="102"/>
      <c r="GI193" s="102"/>
      <c r="GJ193" s="102"/>
      <c r="GK193" s="102"/>
      <c r="GL193" s="102">
        <f t="shared" si="571"/>
        <v>0</v>
      </c>
      <c r="GM193" s="102">
        <f t="shared" si="566"/>
        <v>0</v>
      </c>
      <c r="GN193" s="102"/>
      <c r="GO193" s="102">
        <v>0</v>
      </c>
      <c r="GQ193" s="32"/>
      <c r="GR193" s="32"/>
      <c r="GS193" s="32"/>
      <c r="GT193" s="929"/>
      <c r="GU193" s="929"/>
      <c r="GV193" s="929"/>
      <c r="GW193" s="929" t="str">
        <f t="shared" si="583"/>
        <v/>
      </c>
      <c r="GX193" s="32"/>
      <c r="GY193" s="929" t="str">
        <f t="shared" si="492"/>
        <v/>
      </c>
      <c r="HA193" s="102"/>
      <c r="HB193" s="102"/>
      <c r="HC193" s="102"/>
      <c r="HD193" s="102"/>
      <c r="HE193" s="102">
        <f t="shared" si="577"/>
        <v>0</v>
      </c>
      <c r="HF193" s="102">
        <f t="shared" si="577"/>
        <v>0</v>
      </c>
      <c r="HG193" s="102">
        <f t="shared" si="577"/>
        <v>0</v>
      </c>
      <c r="HH193" s="102"/>
      <c r="HI193" s="102">
        <f t="shared" si="493"/>
        <v>0</v>
      </c>
      <c r="HK193" s="1450"/>
      <c r="HL193" s="1450"/>
      <c r="HM193" s="1450"/>
      <c r="HN193" s="1450"/>
      <c r="HO193" s="1450"/>
      <c r="HP193" s="1450"/>
      <c r="HQ193" s="1450"/>
      <c r="HR193" s="1450"/>
      <c r="HS193" s="1450"/>
      <c r="HU193" s="102"/>
      <c r="HV193" s="102"/>
      <c r="HW193" s="102"/>
      <c r="HX193" s="102"/>
      <c r="HY193" s="102"/>
      <c r="HZ193" s="102"/>
      <c r="IA193" s="102"/>
      <c r="IB193" s="102"/>
      <c r="IC193" s="102"/>
      <c r="ID193" s="102"/>
      <c r="IE193" s="102"/>
      <c r="IG193" s="102"/>
      <c r="IH193" s="102"/>
      <c r="II193" s="145"/>
      <c r="IJ193" s="32"/>
      <c r="IK193" s="102"/>
      <c r="IP193" s="32"/>
      <c r="IQ193" s="32"/>
      <c r="IR193" s="32"/>
      <c r="IS193" s="32"/>
      <c r="IT193" s="32"/>
      <c r="IU193" s="32"/>
      <c r="IV193" s="32"/>
      <c r="IX193" s="102"/>
      <c r="IY193" s="102"/>
      <c r="IZ193" s="102"/>
      <c r="JA193" s="102"/>
      <c r="JB193" s="102"/>
      <c r="JC193" s="102"/>
      <c r="JD193" s="102"/>
      <c r="JF193" s="1450"/>
      <c r="JG193" s="1450"/>
      <c r="JH193" s="1450"/>
      <c r="JI193" s="1450"/>
      <c r="JJ193" s="1450"/>
      <c r="JK193" s="1450"/>
      <c r="JL193" s="1450"/>
      <c r="JM193" s="1450"/>
      <c r="JO193" s="102"/>
      <c r="JP193" s="102"/>
      <c r="JQ193" s="102"/>
      <c r="JR193" s="102"/>
      <c r="JS193" s="102"/>
      <c r="JT193" s="102"/>
      <c r="JU193" s="102"/>
      <c r="JV193" s="102"/>
      <c r="JW193" s="102"/>
      <c r="JX193" s="102"/>
      <c r="JY193" s="102"/>
      <c r="KB193" s="32"/>
      <c r="KC193" s="32"/>
      <c r="KD193" s="32"/>
      <c r="KE193" s="32"/>
      <c r="KF193" s="32"/>
      <c r="KG193" s="32"/>
      <c r="KH193" s="32" t="str">
        <f t="shared" si="569"/>
        <v xml:space="preserve"> </v>
      </c>
      <c r="KJ193" s="102"/>
      <c r="KK193" s="102"/>
      <c r="KL193" s="102"/>
      <c r="KM193" s="102"/>
      <c r="KN193" s="102"/>
      <c r="KO193" s="102"/>
      <c r="KP193" s="102">
        <f t="shared" si="570"/>
        <v>0</v>
      </c>
      <c r="KR193" s="1450"/>
      <c r="KS193" s="1450"/>
      <c r="KT193" s="1450"/>
      <c r="KU193" s="1450"/>
      <c r="KV193" s="1450"/>
      <c r="KW193" s="1450"/>
      <c r="KX193" s="1450"/>
      <c r="KY193" s="1450"/>
      <c r="KZ193" s="1450"/>
    </row>
    <row r="194" spans="1:312">
      <c r="A194" s="884"/>
      <c r="B194" s="70"/>
      <c r="C194" s="1552" t="s">
        <v>753</v>
      </c>
      <c r="D194" s="1553"/>
      <c r="E194" s="1526">
        <f t="shared" ref="E194:BP194" si="611">+E182+E160</f>
        <v>6054.7943562272003</v>
      </c>
      <c r="F194" s="1526">
        <f t="shared" si="611"/>
        <v>5371.8071228941008</v>
      </c>
      <c r="G194" s="1526">
        <f t="shared" si="611"/>
        <v>5883.6488603922999</v>
      </c>
      <c r="H194" s="1526">
        <f t="shared" si="611"/>
        <v>5762.9056668141002</v>
      </c>
      <c r="I194" s="1526">
        <f t="shared" si="611"/>
        <v>6485.0341073313011</v>
      </c>
      <c r="J194" s="1526">
        <f t="shared" si="611"/>
        <v>6538.2853510246005</v>
      </c>
      <c r="K194" s="1526">
        <f t="shared" si="611"/>
        <v>7006.1818189919995</v>
      </c>
      <c r="L194" s="1526">
        <f t="shared" si="611"/>
        <v>7164.4942299403001</v>
      </c>
      <c r="M194" s="1526">
        <f t="shared" si="611"/>
        <v>7229.7810720727011</v>
      </c>
      <c r="N194" s="1526">
        <f t="shared" si="611"/>
        <v>6323.3494033790012</v>
      </c>
      <c r="O194" s="1526">
        <f t="shared" si="611"/>
        <v>6962.4859564920989</v>
      </c>
      <c r="P194" s="1526">
        <f t="shared" si="611"/>
        <v>8001.6645650699993</v>
      </c>
      <c r="Q194" s="1526">
        <f t="shared" si="611"/>
        <v>7644.5202510402996</v>
      </c>
      <c r="R194" s="1526">
        <f t="shared" si="611"/>
        <v>7431.4126990451005</v>
      </c>
      <c r="S194" s="1526">
        <f t="shared" si="611"/>
        <v>6846.1284986683004</v>
      </c>
      <c r="T194" s="1526">
        <f t="shared" si="611"/>
        <v>5394.7432266813012</v>
      </c>
      <c r="U194" s="1526">
        <f t="shared" si="611"/>
        <v>6121.3882458779008</v>
      </c>
      <c r="V194" s="1526">
        <f t="shared" si="611"/>
        <v>6263.178431556099</v>
      </c>
      <c r="W194" s="1526">
        <f t="shared" si="611"/>
        <v>5584.7255682076975</v>
      </c>
      <c r="X194" s="1526">
        <f t="shared" si="611"/>
        <v>6149.0525989173011</v>
      </c>
      <c r="Y194" s="1526">
        <f t="shared" si="611"/>
        <v>5253.7412547461017</v>
      </c>
      <c r="Z194" s="1526">
        <f t="shared" si="611"/>
        <v>5562.4190905370997</v>
      </c>
      <c r="AA194" s="1526">
        <f t="shared" si="611"/>
        <v>6916.0445541113004</v>
      </c>
      <c r="AB194" s="1526">
        <f t="shared" si="611"/>
        <v>8789.7131921700002</v>
      </c>
      <c r="AC194" s="1526">
        <f t="shared" si="611"/>
        <v>7634.6875978700009</v>
      </c>
      <c r="AD194" s="1526">
        <f t="shared" si="611"/>
        <v>7864.6406997199992</v>
      </c>
      <c r="AE194" s="1526">
        <f t="shared" si="611"/>
        <v>11958.321794632</v>
      </c>
      <c r="AF194" s="1526">
        <f t="shared" si="611"/>
        <v>8794.5137202599981</v>
      </c>
      <c r="AG194" s="1526">
        <f t="shared" si="611"/>
        <v>9194.9242025900003</v>
      </c>
      <c r="AH194" s="1526">
        <f t="shared" si="611"/>
        <v>8932.3056285137991</v>
      </c>
      <c r="AI194" s="1526">
        <f t="shared" si="611"/>
        <v>8723.9990179200013</v>
      </c>
      <c r="AJ194" s="1526">
        <f t="shared" si="611"/>
        <v>10194.872261550001</v>
      </c>
      <c r="AK194" s="1526">
        <f t="shared" si="611"/>
        <v>10229.48697444</v>
      </c>
      <c r="AL194" s="1526">
        <f t="shared" si="611"/>
        <v>11396.287981850001</v>
      </c>
      <c r="AM194" s="1526">
        <f t="shared" si="611"/>
        <v>15873.280150260001</v>
      </c>
      <c r="AN194" s="1526">
        <f t="shared" si="611"/>
        <v>15685.420615870002</v>
      </c>
      <c r="AO194" s="1526">
        <f t="shared" si="611"/>
        <v>13423.88557672</v>
      </c>
      <c r="AP194" s="1526">
        <f t="shared" si="611"/>
        <v>17027.393607829996</v>
      </c>
      <c r="AQ194" s="1526">
        <f t="shared" si="611"/>
        <v>14339.220584589999</v>
      </c>
      <c r="AR194" s="1526">
        <f t="shared" si="611"/>
        <v>11109.40089701</v>
      </c>
      <c r="AS194" s="1526">
        <f t="shared" si="611"/>
        <v>11649.657783119997</v>
      </c>
      <c r="AT194" s="1526">
        <f t="shared" si="611"/>
        <v>12751.329407009998</v>
      </c>
      <c r="AU194" s="1526">
        <f t="shared" si="611"/>
        <v>12345.753323609999</v>
      </c>
      <c r="AV194" s="1526">
        <f t="shared" si="611"/>
        <v>12357.51796506</v>
      </c>
      <c r="AW194" s="1526">
        <f t="shared" si="611"/>
        <v>12525.710436600002</v>
      </c>
      <c r="AX194" s="1526">
        <f t="shared" si="611"/>
        <v>14661.696528879998</v>
      </c>
      <c r="AY194" s="1526">
        <f t="shared" si="611"/>
        <v>14537.705434769998</v>
      </c>
      <c r="AZ194" s="1526">
        <f t="shared" si="611"/>
        <v>14230.42259029</v>
      </c>
      <c r="BA194" s="1526">
        <f t="shared" si="611"/>
        <v>13275.71718998</v>
      </c>
      <c r="BB194" s="1526">
        <f t="shared" si="611"/>
        <v>13196.862414359997</v>
      </c>
      <c r="BC194" s="1526">
        <f t="shared" si="611"/>
        <v>12791.399842340001</v>
      </c>
      <c r="BD194" s="1526">
        <f t="shared" si="611"/>
        <v>11962.695064850002</v>
      </c>
      <c r="BE194" s="1526">
        <f t="shared" si="611"/>
        <v>11736.467476149999</v>
      </c>
      <c r="BF194" s="1526">
        <f t="shared" si="611"/>
        <v>12144.029851369998</v>
      </c>
      <c r="BG194" s="1526">
        <f t="shared" si="611"/>
        <v>12433.6284672</v>
      </c>
      <c r="BH194" s="1526">
        <f t="shared" si="611"/>
        <v>11641.229615949998</v>
      </c>
      <c r="BI194" s="1526">
        <f t="shared" si="611"/>
        <v>11623.10141347</v>
      </c>
      <c r="BJ194" s="1526">
        <f t="shared" si="611"/>
        <v>11822.700989710002</v>
      </c>
      <c r="BK194" s="1526">
        <f t="shared" si="611"/>
        <v>11571.794235689998</v>
      </c>
      <c r="BL194" s="1526">
        <f t="shared" si="611"/>
        <v>11777.071230910002</v>
      </c>
      <c r="BM194" s="1526">
        <f t="shared" si="611"/>
        <v>12245.032052710001</v>
      </c>
      <c r="BN194" s="1526">
        <f t="shared" si="611"/>
        <v>12079.28164191</v>
      </c>
      <c r="BO194" s="1526">
        <f t="shared" si="611"/>
        <v>12206.460921819998</v>
      </c>
      <c r="BP194" s="1526">
        <f t="shared" si="611"/>
        <v>12267.149285279998</v>
      </c>
      <c r="BQ194" s="1526">
        <f t="shared" ref="BQ194:DH194" si="612">+BQ182+BQ160</f>
        <v>11851.42870911</v>
      </c>
      <c r="BR194" s="1526">
        <f t="shared" si="612"/>
        <v>11716.058086579998</v>
      </c>
      <c r="BS194" s="1526">
        <f t="shared" si="612"/>
        <v>11754.82373822</v>
      </c>
      <c r="BT194" s="1526">
        <f t="shared" si="612"/>
        <v>11680.768681739999</v>
      </c>
      <c r="BU194" s="1526">
        <f t="shared" si="612"/>
        <v>11430.99160865</v>
      </c>
      <c r="BV194" s="1526">
        <f t="shared" si="612"/>
        <v>11596.375968549999</v>
      </c>
      <c r="BW194" s="1526">
        <f t="shared" si="612"/>
        <v>11382.670605250001</v>
      </c>
      <c r="BX194" s="1526">
        <f t="shared" si="612"/>
        <v>10929.13352924</v>
      </c>
      <c r="BY194" s="1526">
        <f t="shared" si="612"/>
        <v>10995.81173612</v>
      </c>
      <c r="BZ194" s="1526">
        <f t="shared" si="612"/>
        <v>10868.42291707</v>
      </c>
      <c r="CA194" s="1526">
        <f t="shared" si="612"/>
        <v>10940.153951419999</v>
      </c>
      <c r="CB194" s="1526">
        <f t="shared" si="612"/>
        <v>10576.74710594</v>
      </c>
      <c r="CC194" s="1526">
        <f t="shared" si="612"/>
        <v>10102.283796580003</v>
      </c>
      <c r="CD194" s="1526">
        <f t="shared" si="612"/>
        <v>10174.19685181</v>
      </c>
      <c r="CE194" s="1526">
        <f t="shared" si="612"/>
        <v>9921.1175478700006</v>
      </c>
      <c r="CF194" s="1526">
        <f t="shared" si="612"/>
        <v>9610.9538461899992</v>
      </c>
      <c r="CG194" s="1526">
        <f t="shared" si="612"/>
        <v>9834.9113761700009</v>
      </c>
      <c r="CH194" s="1526">
        <f t="shared" si="612"/>
        <v>10364.098950059997</v>
      </c>
      <c r="CI194" s="1526">
        <f t="shared" si="612"/>
        <v>10588.627755019999</v>
      </c>
      <c r="CJ194" s="1526">
        <f t="shared" si="612"/>
        <v>10744.2695109</v>
      </c>
      <c r="CK194" s="1526">
        <f t="shared" si="612"/>
        <v>11035.889138220002</v>
      </c>
      <c r="CL194" s="1526">
        <f t="shared" si="612"/>
        <v>11031.084413279999</v>
      </c>
      <c r="CM194" s="1526">
        <f t="shared" si="612"/>
        <v>11015.111884640002</v>
      </c>
      <c r="CN194" s="1526">
        <f t="shared" si="612"/>
        <v>11192.333874970001</v>
      </c>
      <c r="CO194" s="1526">
        <f t="shared" si="612"/>
        <v>10899.083497040001</v>
      </c>
      <c r="CP194" s="1526">
        <f t="shared" si="612"/>
        <v>10934.195035160001</v>
      </c>
      <c r="CQ194" s="1526">
        <f t="shared" si="612"/>
        <v>10680.067428670001</v>
      </c>
      <c r="CR194" s="1526">
        <f t="shared" si="612"/>
        <v>11064.94253923</v>
      </c>
      <c r="CS194" s="1526">
        <f t="shared" si="612"/>
        <v>10961.625238890001</v>
      </c>
      <c r="CT194" s="1526">
        <f t="shared" si="612"/>
        <v>11607.448094409998</v>
      </c>
      <c r="CU194" s="1526">
        <f t="shared" si="612"/>
        <v>11364.440285489998</v>
      </c>
      <c r="CV194" s="1526">
        <f t="shared" si="612"/>
        <v>11842.704123809999</v>
      </c>
      <c r="CW194" s="1526">
        <f t="shared" si="612"/>
        <v>11528.353375279999</v>
      </c>
      <c r="CX194" s="1526">
        <f t="shared" si="612"/>
        <v>11566.297644569999</v>
      </c>
      <c r="CY194" s="1526">
        <f t="shared" si="612"/>
        <v>12157.437937749999</v>
      </c>
      <c r="CZ194" s="1526">
        <f t="shared" si="612"/>
        <v>11245.965983260001</v>
      </c>
      <c r="DA194" s="1526">
        <f t="shared" si="612"/>
        <v>9913.3249279800002</v>
      </c>
      <c r="DB194" s="1526">
        <f t="shared" si="612"/>
        <v>8483.1939335099996</v>
      </c>
      <c r="DC194" s="1526">
        <f t="shared" si="612"/>
        <v>8386.6054943800009</v>
      </c>
      <c r="DD194" s="1526">
        <f t="shared" si="612"/>
        <v>8654.1213367300006</v>
      </c>
      <c r="DE194" s="1526">
        <f t="shared" si="612"/>
        <v>9085.5116928800016</v>
      </c>
      <c r="DF194" s="1526">
        <f t="shared" si="612"/>
        <v>9182.00838243</v>
      </c>
      <c r="DG194" s="1526">
        <f t="shared" si="612"/>
        <v>9316.355667509999</v>
      </c>
      <c r="DH194" s="1526">
        <f t="shared" si="612"/>
        <v>9507.2488007099982</v>
      </c>
      <c r="DJ194" s="1526" t="e">
        <f t="shared" ref="DJ194:FU194" si="613">+DJ182+DJ160</f>
        <v>#VALUE!</v>
      </c>
      <c r="DK194" s="1526" t="e">
        <f t="shared" si="613"/>
        <v>#VALUE!</v>
      </c>
      <c r="DL194" s="1526" t="e">
        <f t="shared" si="613"/>
        <v>#VALUE!</v>
      </c>
      <c r="DM194" s="1526" t="e">
        <f t="shared" si="613"/>
        <v>#VALUE!</v>
      </c>
      <c r="DN194" s="1526" t="e">
        <f t="shared" si="613"/>
        <v>#VALUE!</v>
      </c>
      <c r="DO194" s="1526" t="e">
        <f t="shared" si="613"/>
        <v>#VALUE!</v>
      </c>
      <c r="DP194" s="1526" t="e">
        <f t="shared" si="613"/>
        <v>#VALUE!</v>
      </c>
      <c r="DQ194" s="1526" t="e">
        <f t="shared" si="613"/>
        <v>#VALUE!</v>
      </c>
      <c r="DR194" s="1526" t="e">
        <f t="shared" si="613"/>
        <v>#VALUE!</v>
      </c>
      <c r="DS194" s="1526" t="e">
        <f t="shared" si="613"/>
        <v>#VALUE!</v>
      </c>
      <c r="DT194" s="1526" t="e">
        <f t="shared" si="613"/>
        <v>#VALUE!</v>
      </c>
      <c r="DU194" s="1526" t="e">
        <f t="shared" si="613"/>
        <v>#VALUE!</v>
      </c>
      <c r="DV194" s="279"/>
      <c r="DW194" s="1526">
        <f t="shared" si="613"/>
        <v>11731.876715098802</v>
      </c>
      <c r="DX194" s="1526">
        <f t="shared" si="613"/>
        <v>14197.797240089927</v>
      </c>
      <c r="DY194" s="1526">
        <f t="shared" si="613"/>
        <v>13910.786587722972</v>
      </c>
      <c r="DZ194" s="1526">
        <f t="shared" si="613"/>
        <v>9580.4051421568602</v>
      </c>
      <c r="EA194" s="1526">
        <f t="shared" si="613"/>
        <v>9406.156409045725</v>
      </c>
      <c r="EB194" s="1526">
        <f t="shared" si="613"/>
        <v>9714.1918428428871</v>
      </c>
      <c r="EC194" s="1526">
        <f t="shared" si="613"/>
        <v>9825.8735625538884</v>
      </c>
      <c r="ED194" s="1526">
        <f t="shared" si="613"/>
        <v>11098.251933476295</v>
      </c>
      <c r="EE194" s="1526">
        <f t="shared" si="613"/>
        <v>11257.84166931274</v>
      </c>
      <c r="EF194" s="1526">
        <f t="shared" si="613"/>
        <v>12357.323993494716</v>
      </c>
      <c r="EG194" s="1526">
        <f t="shared" si="613"/>
        <v>12145.132196704948</v>
      </c>
      <c r="EH194" s="1526">
        <f t="shared" si="613"/>
        <v>13613.007352956876</v>
      </c>
      <c r="EI194" s="1526">
        <f t="shared" si="613"/>
        <v>13894.048806111648</v>
      </c>
      <c r="EJ194" s="1526">
        <f t="shared" si="613"/>
        <v>13340.012406860447</v>
      </c>
      <c r="EK194" s="1526">
        <f t="shared" si="613"/>
        <v>12581.936631163608</v>
      </c>
      <c r="EL194" s="1526">
        <f t="shared" si="613"/>
        <v>14218.854195356853</v>
      </c>
      <c r="EM194" s="1526">
        <f t="shared" si="613"/>
        <v>13872.906882610441</v>
      </c>
      <c r="EN194" s="1526">
        <f t="shared" si="613"/>
        <v>13744.631208186647</v>
      </c>
      <c r="EO194" s="1526">
        <f t="shared" si="613"/>
        <v>13453.06307957798</v>
      </c>
      <c r="EP194" s="1526">
        <f t="shared" si="613"/>
        <v>13529.369636293224</v>
      </c>
      <c r="EQ194" s="1526">
        <f t="shared" si="613"/>
        <v>13674.739198028707</v>
      </c>
      <c r="ER194" s="1526">
        <f t="shared" si="613"/>
        <v>13816.623613714026</v>
      </c>
      <c r="ES194" s="1526">
        <f t="shared" si="613"/>
        <v>13742.824915954425</v>
      </c>
      <c r="ET194" s="1526">
        <f t="shared" si="613"/>
        <v>13365.844978532896</v>
      </c>
      <c r="EU194" s="1526">
        <f t="shared" si="613"/>
        <v>11662.506471605739</v>
      </c>
      <c r="EV194" s="1526">
        <f t="shared" si="613"/>
        <v>11713.457859597042</v>
      </c>
      <c r="EW194" s="1526">
        <f t="shared" si="613"/>
        <v>11923.564935034721</v>
      </c>
      <c r="EX194" s="1526">
        <f t="shared" si="613"/>
        <v>11897.438608873797</v>
      </c>
      <c r="EY194" s="1526">
        <f t="shared" si="613"/>
        <v>12098.206881765858</v>
      </c>
      <c r="EZ194" s="1526">
        <f t="shared" si="613"/>
        <v>12188.93468966111</v>
      </c>
      <c r="FA194" s="1526">
        <f t="shared" si="613"/>
        <v>12392.359719042895</v>
      </c>
      <c r="FB194" s="1526">
        <f t="shared" si="613"/>
        <v>12331.847617535252</v>
      </c>
      <c r="FC194" s="1526">
        <f t="shared" si="613"/>
        <v>12194.630120743588</v>
      </c>
      <c r="FD194" s="1526">
        <f t="shared" si="613"/>
        <v>12084.228704757308</v>
      </c>
      <c r="FE194" s="1526">
        <f t="shared" si="613"/>
        <v>12055.203830468576</v>
      </c>
      <c r="FF194" s="1526">
        <f t="shared" si="613"/>
        <v>12022.248187467492</v>
      </c>
      <c r="FG194" s="1526" t="e">
        <f t="shared" si="613"/>
        <v>#VALUE!</v>
      </c>
      <c r="FH194" s="1526" t="e">
        <f t="shared" si="613"/>
        <v>#VALUE!</v>
      </c>
      <c r="FI194" s="1526" t="e">
        <f t="shared" si="613"/>
        <v>#VALUE!</v>
      </c>
      <c r="FJ194" s="1526" t="e">
        <f t="shared" si="613"/>
        <v>#VALUE!</v>
      </c>
      <c r="FK194" s="1526" t="e">
        <f t="shared" si="613"/>
        <v>#VALUE!</v>
      </c>
      <c r="FL194" s="1526" t="e">
        <f t="shared" si="613"/>
        <v>#VALUE!</v>
      </c>
      <c r="FM194" s="1526" t="e">
        <f t="shared" si="613"/>
        <v>#VALUE!</v>
      </c>
      <c r="FN194" s="1526" t="e">
        <f t="shared" si="613"/>
        <v>#VALUE!</v>
      </c>
      <c r="FO194" s="1526" t="e">
        <f t="shared" si="613"/>
        <v>#VALUE!</v>
      </c>
      <c r="FP194" s="1526" t="e">
        <f t="shared" si="613"/>
        <v>#VALUE!</v>
      </c>
      <c r="FQ194" s="1526" t="e">
        <f t="shared" si="613"/>
        <v>#VALUE!</v>
      </c>
      <c r="FR194" s="1526" t="e">
        <f t="shared" si="613"/>
        <v>#VALUE!</v>
      </c>
      <c r="FS194" s="1526" t="e">
        <f t="shared" si="613"/>
        <v>#VALUE!</v>
      </c>
      <c r="FT194" s="1526" t="e">
        <f t="shared" si="613"/>
        <v>#VALUE!</v>
      </c>
      <c r="FU194" s="1526" t="e">
        <f t="shared" si="613"/>
        <v>#VALUE!</v>
      </c>
      <c r="FV194" s="1526" t="e">
        <f t="shared" ref="FV194:GD194" si="614">+FV182+FV160</f>
        <v>#VALUE!</v>
      </c>
      <c r="FW194" s="1526" t="e">
        <f t="shared" si="614"/>
        <v>#VALUE!</v>
      </c>
      <c r="FX194" s="1526" t="e">
        <f t="shared" si="614"/>
        <v>#VALUE!</v>
      </c>
      <c r="FY194" s="1526" t="e">
        <f t="shared" si="614"/>
        <v>#VALUE!</v>
      </c>
      <c r="FZ194" s="1526" t="e">
        <f t="shared" si="614"/>
        <v>#VALUE!</v>
      </c>
      <c r="GA194" s="1526" t="e">
        <f t="shared" si="614"/>
        <v>#VALUE!</v>
      </c>
      <c r="GB194" s="1526" t="e">
        <f t="shared" si="614"/>
        <v>#VALUE!</v>
      </c>
      <c r="GC194" s="1526" t="e">
        <f t="shared" si="614"/>
        <v>#VALUE!</v>
      </c>
      <c r="GD194" s="1526" t="e">
        <f t="shared" si="614"/>
        <v>#VALUE!</v>
      </c>
      <c r="GF194" s="1526">
        <f>+SUMIFS($E194:$AZ194,$E$6:$AZ$6,GF$7,$E$5:$AZ$5,12)</f>
        <v>8001.6645650699993</v>
      </c>
      <c r="GG194" s="1526">
        <f>+SUMIFS($E194:$AZ194,$E$6:$AZ$6,GG$7,$E$5:$AZ$5,12)</f>
        <v>8789.7131921700002</v>
      </c>
      <c r="GH194" s="1526">
        <f>+SUMIFS($E194:$AZ194,$E$6:$AZ$6,GH$7,$E$5:$AZ$5,12)</f>
        <v>15685.420615870002</v>
      </c>
      <c r="GI194" s="1526">
        <f>+SUMIFS($E194:$AZ194,$E$6:$AZ$6,GI$7,$E$5:$AZ$5,12)</f>
        <v>14230.42259029</v>
      </c>
      <c r="GJ194" s="1526">
        <f t="shared" si="575"/>
        <v>11777.071230910002</v>
      </c>
      <c r="GK194" s="1526">
        <f t="shared" si="565"/>
        <v>10929.13352924</v>
      </c>
      <c r="GL194" s="1526">
        <f t="shared" si="571"/>
        <v>10744.2695109</v>
      </c>
      <c r="GM194" s="1526">
        <f t="shared" si="566"/>
        <v>11842.704123809999</v>
      </c>
      <c r="GN194" s="1526" t="e">
        <f t="shared" si="567"/>
        <v>#VALUE!</v>
      </c>
      <c r="GO194" s="1526">
        <v>9507.2488007099982</v>
      </c>
      <c r="GQ194" s="1528">
        <f t="shared" ref="GQ194:GV194" si="615">+IFERROR(GH194/GG194-1,"")</f>
        <v>0.78452018546438973</v>
      </c>
      <c r="GR194" s="1528">
        <f t="shared" si="615"/>
        <v>-9.2761173653697404E-2</v>
      </c>
      <c r="GS194" s="1528">
        <f t="shared" si="615"/>
        <v>-0.17240186254581225</v>
      </c>
      <c r="GT194" s="1528">
        <f t="shared" si="615"/>
        <v>-7.1999029728589181E-2</v>
      </c>
      <c r="GU194" s="1528">
        <f t="shared" si="615"/>
        <v>-1.6914791812673191E-2</v>
      </c>
      <c r="GV194" s="1528">
        <f t="shared" si="615"/>
        <v>0.10223446198884378</v>
      </c>
      <c r="GW194" s="1528" t="str">
        <f t="shared" si="583"/>
        <v/>
      </c>
      <c r="GX194" s="1528" t="str">
        <f t="shared" si="583"/>
        <v/>
      </c>
      <c r="GY194" s="1528">
        <f t="shared" si="492"/>
        <v>-0.19720625447396933</v>
      </c>
      <c r="HA194" s="1526">
        <f>+GH194-GG194</f>
        <v>6895.7074237000015</v>
      </c>
      <c r="HB194" s="1526">
        <f>+GI194-GH194</f>
        <v>-1454.9980255800019</v>
      </c>
      <c r="HC194" s="1526">
        <f>+GJ194-GI194</f>
        <v>-2453.351359379998</v>
      </c>
      <c r="HD194" s="1526">
        <f t="shared" si="577"/>
        <v>-847.93770167000184</v>
      </c>
      <c r="HE194" s="1526">
        <f t="shared" si="577"/>
        <v>-184.86401834000026</v>
      </c>
      <c r="HF194" s="1526">
        <f t="shared" si="577"/>
        <v>1098.4346129099995</v>
      </c>
      <c r="HG194" s="1526" t="e">
        <f t="shared" si="577"/>
        <v>#VALUE!</v>
      </c>
      <c r="HH194" s="1526" t="e">
        <f>+GO194-GN194</f>
        <v>#VALUE!</v>
      </c>
      <c r="HI194" s="1526">
        <f t="shared" si="493"/>
        <v>-2335.4553231000009</v>
      </c>
      <c r="HK194" s="1548"/>
      <c r="HL194" s="1548"/>
      <c r="HM194" s="1548"/>
      <c r="HN194" s="1548"/>
      <c r="HO194" s="1548"/>
      <c r="HP194" s="1548"/>
      <c r="HQ194" s="1548"/>
      <c r="HR194" s="1548"/>
      <c r="HS194" s="1548"/>
      <c r="HU194" s="1526">
        <f>+IFERROR(SUMIFS($E194:$AZ194,$E$6:$AZ$6,HU$7,$E$5:$AZ$5,$HW$5),"NA")</f>
        <v>6538.2853510246005</v>
      </c>
      <c r="HV194" s="1526">
        <f>+IFERROR(SUMIFS($E194:$AZ194,$E$6:$AZ$6,HV$7,$E$5:$AZ$5,$HW$5),"NA")</f>
        <v>6263.178431556099</v>
      </c>
      <c r="HW194" s="1526">
        <f>+IFERROR(SUMIFS($E194:$AZ194,$E$6:$AZ$6,HW$7,$E$5:$AZ$5,$HW$5),"NA")</f>
        <v>8932.3056285137991</v>
      </c>
      <c r="HX194" s="1526">
        <f>+IFERROR(SUMIFS($E194:$AZ194,$E$6:$AZ$6,HX$7,$E$5:$AZ$5,$HW$5),"NA")</f>
        <v>12751.329407009998</v>
      </c>
      <c r="HY194" s="1526">
        <f>+IFERROR(SUMIFS($E194:$BX194,$E$6:$BX$6,HY$7,$E$5:$BX$5,$HW$5),"NA")</f>
        <v>12144.029851369998</v>
      </c>
      <c r="HZ194" s="1526">
        <f>+IFERROR(SUMIFS($E194:$BX194,$E$6:$BX$6,HZ$7,$E$5:$BX$5,$HW$5),"NA")</f>
        <v>11716.058086579998</v>
      </c>
      <c r="IA194" s="1526">
        <f>+IFERROR(SUMIFS($E194:$CJ194,$E$6:$CJ$6,IA$7,$E$5:$CJ$5,$HW$5),"NA")</f>
        <v>10174.19685181</v>
      </c>
      <c r="IB194" s="1526">
        <f>+IFERROR(SUMIFS($E194:$CV194,$E$6:$CV$6,IB$7,$E$5:$CV$5,$HW$5),"NA")</f>
        <v>10934.195035160001</v>
      </c>
      <c r="IC194" s="1526">
        <f>+IFERROR(SUMIFS($E194:$DH194,$E$6:$DH$6,IC$7,$E$5:$DH$5,$HW$5),"NA")</f>
        <v>8483.1939335099996</v>
      </c>
      <c r="ID194" s="1526" t="e">
        <f t="shared" si="568"/>
        <v>#VALUE!</v>
      </c>
      <c r="IE194" s="1526" t="e">
        <f t="shared" si="590"/>
        <v>#VALUE!</v>
      </c>
      <c r="IG194" s="1526" t="e">
        <f t="shared" si="533"/>
        <v>#VALUE!</v>
      </c>
      <c r="IH194" s="1526" t="e">
        <f t="shared" si="534"/>
        <v>#VALUE!</v>
      </c>
      <c r="II194" s="939"/>
      <c r="IJ194" s="1528" t="str">
        <f>+IFERROR(IG194/IH194,"NA")</f>
        <v>NA</v>
      </c>
      <c r="IK194" s="1530" t="str">
        <f>+IFERROR(IG194-IH194,"NA")</f>
        <v>NA</v>
      </c>
      <c r="IM194" s="973"/>
      <c r="IN194" s="973"/>
      <c r="IP194" s="1529">
        <f t="shared" si="537"/>
        <v>0.42616176852150622</v>
      </c>
      <c r="IQ194" s="1529">
        <f t="shared" si="537"/>
        <v>0.42755184801391843</v>
      </c>
      <c r="IR194" s="1529">
        <f t="shared" si="537"/>
        <v>-4.7626371828033864E-2</v>
      </c>
      <c r="IS194" s="1529">
        <f>+IFERROR(HZ194/HY194-1,"NA")</f>
        <v>-3.5241330104414992E-2</v>
      </c>
      <c r="IT194" s="1529">
        <f>+IFERROR(IA194/HZ194-1,"NA")</f>
        <v>-0.13160238907795296</v>
      </c>
      <c r="IU194" s="1529">
        <f>+IFERROR(IB194/IA194-1,"NA")</f>
        <v>7.4698592372408834E-2</v>
      </c>
      <c r="IV194" s="1529" t="str">
        <f>+IFERROR(IE194/IB194-1,"NA")</f>
        <v>NA</v>
      </c>
      <c r="IX194" s="1526">
        <f t="shared" si="538"/>
        <v>2669.1271969577001</v>
      </c>
      <c r="IY194" s="1526">
        <f t="shared" si="538"/>
        <v>3819.0237784961992</v>
      </c>
      <c r="IZ194" s="1526">
        <f>+HY194-HX194</f>
        <v>-607.29955564000011</v>
      </c>
      <c r="JA194" s="1526">
        <f>+HZ194-HY194</f>
        <v>-427.97176478999972</v>
      </c>
      <c r="JB194" s="1526">
        <f>+IA194-HZ194</f>
        <v>-1541.8612347699982</v>
      </c>
      <c r="JC194" s="1526">
        <f>+IB194-IA194</f>
        <v>759.99818335000055</v>
      </c>
      <c r="JD194" s="1526" t="e">
        <f>+IE194-IB194</f>
        <v>#VALUE!</v>
      </c>
      <c r="JF194" s="1548"/>
      <c r="JG194" s="1548"/>
      <c r="JH194" s="1548"/>
      <c r="JI194" s="1548"/>
      <c r="JJ194" s="1548"/>
      <c r="JK194" s="1548"/>
      <c r="JL194" s="1548"/>
      <c r="JM194" s="1548"/>
      <c r="JO194" s="1526">
        <f>+SUMIFS($E194:$BX194,$E$6:$BX$6,JO$7,$E$5:$BX$5,$JQ$5)</f>
        <v>6538.2853510246005</v>
      </c>
      <c r="JP194" s="1526">
        <f>+SUMIFS($E194:$BX194,$E$6:$BX$6,JP$7,$E$5:$BX$5,$JQ$5)</f>
        <v>6263.178431556099</v>
      </c>
      <c r="JQ194" s="1526">
        <f>+SUMIFS($E194:$BX194,$E$6:$BX$6,JQ$7,$E$5:$BX$5,$JQ$5)</f>
        <v>8932.3056285137991</v>
      </c>
      <c r="JR194" s="1526">
        <f>+SUMIFS($E194:$BX194,$E$6:$BX$6,JR$7,$E$5:$BX$5,$JQ$5)</f>
        <v>12751.329407009998</v>
      </c>
      <c r="JS194" s="1526">
        <f>+SUMIFS($E194:$BX194,$E$6:$BX$6,JS$7,$E$5:$BX$5,$JQ$5)</f>
        <v>12144.029851369998</v>
      </c>
      <c r="JT194" s="1526">
        <f>+SUMIFS($E194:$CJ194,$E$6:$CJ$6,JT$7,$E$5:$CJ$5,$JQ$5)</f>
        <v>11716.058086579998</v>
      </c>
      <c r="JU194" s="1526">
        <f>+SUMIFS($E194:$CV194,$E$6:$CV$6,JU$7,$E$5:$CV$5,$JQ$5)</f>
        <v>10174.19685181</v>
      </c>
      <c r="JV194" s="1526">
        <f>+SUMIFS($E194:$DH194,$E$6:$DH$6,JV$7,$E$5:$DH$5,$JQ$5)</f>
        <v>10934.195035160001</v>
      </c>
      <c r="JW194" s="1526">
        <f>+SUMIFS($E194:$DH194,$E$6:$DH$6,JW$7,$E$5:$DH$5,$JQ$5)</f>
        <v>8483.1939335099996</v>
      </c>
      <c r="JX194" s="1526" t="e">
        <f>+SUMIF($FS$5:$GD$5,$JQ$5,$FS194:$GD194)</f>
        <v>#VALUE!</v>
      </c>
      <c r="JY194" s="1526" t="e">
        <f>+SUMIF($DJ$5:$DU$5,$JQ$5,$DJ194:$DU194)</f>
        <v>#VALUE!</v>
      </c>
      <c r="KB194" s="1529">
        <f t="shared" ref="KB194:KG194" si="616">+IFERROR(JQ194/JP194-1," ")</f>
        <v>0.42616176852150622</v>
      </c>
      <c r="KC194" s="1529">
        <f t="shared" si="616"/>
        <v>0.42755184801391843</v>
      </c>
      <c r="KD194" s="1529">
        <f t="shared" si="616"/>
        <v>-4.7626371828033864E-2</v>
      </c>
      <c r="KE194" s="1529">
        <f t="shared" si="616"/>
        <v>-3.5241330104414992E-2</v>
      </c>
      <c r="KF194" s="1529">
        <f t="shared" si="616"/>
        <v>-0.13160238907795296</v>
      </c>
      <c r="KG194" s="1529">
        <f t="shared" si="616"/>
        <v>7.4698592372408834E-2</v>
      </c>
      <c r="KH194" s="1529" t="str">
        <f t="shared" si="569"/>
        <v xml:space="preserve"> </v>
      </c>
      <c r="KJ194" s="1526">
        <f t="shared" ref="KJ194:KO194" si="617">+JQ194-JP194</f>
        <v>2669.1271969577001</v>
      </c>
      <c r="KK194" s="1526">
        <f t="shared" si="617"/>
        <v>3819.0237784961992</v>
      </c>
      <c r="KL194" s="1526">
        <f t="shared" si="617"/>
        <v>-607.29955564000011</v>
      </c>
      <c r="KM194" s="1526">
        <f t="shared" si="617"/>
        <v>-427.97176478999972</v>
      </c>
      <c r="KN194" s="1526">
        <f t="shared" si="617"/>
        <v>-1541.8612347699982</v>
      </c>
      <c r="KO194" s="1526">
        <f t="shared" si="617"/>
        <v>759.99818335000055</v>
      </c>
      <c r="KP194" s="1526" t="e">
        <f t="shared" si="570"/>
        <v>#VALUE!</v>
      </c>
      <c r="KR194" s="1548"/>
      <c r="KS194" s="1548"/>
      <c r="KT194" s="1548"/>
      <c r="KU194" s="1548"/>
      <c r="KV194" s="1548"/>
      <c r="KW194" s="1548"/>
      <c r="KX194" s="1548"/>
      <c r="KY194" s="1548"/>
      <c r="KZ194" s="1548"/>
    </row>
    <row r="195" spans="1:312">
      <c r="A195" s="884"/>
      <c r="B195" s="70"/>
      <c r="E195" s="66"/>
      <c r="F195" s="66"/>
      <c r="G195" s="66"/>
      <c r="H195" s="66"/>
      <c r="I195" s="66"/>
      <c r="J195" s="66"/>
      <c r="K195" s="66"/>
      <c r="L195" s="66"/>
      <c r="M195" s="66"/>
      <c r="N195" s="66"/>
      <c r="O195" s="66"/>
      <c r="P195" s="66"/>
      <c r="Q195" s="102"/>
      <c r="R195" s="66"/>
      <c r="S195" s="66"/>
      <c r="T195" s="66"/>
      <c r="U195" s="66"/>
      <c r="V195" s="66"/>
      <c r="W195" s="66"/>
      <c r="X195" s="66"/>
      <c r="Y195" s="66"/>
      <c r="Z195" s="66"/>
      <c r="AA195" s="66"/>
      <c r="AB195" s="66"/>
      <c r="AC195" s="102"/>
      <c r="AD195" s="102"/>
      <c r="AE195" s="102"/>
      <c r="AF195" s="102"/>
      <c r="AG195" s="102"/>
      <c r="AH195" s="102"/>
      <c r="AI195" s="102"/>
      <c r="AJ195" s="102"/>
      <c r="AK195" s="102"/>
      <c r="AL195" s="102"/>
      <c r="AM195" s="102"/>
      <c r="AN195" s="143"/>
      <c r="AO195" s="102"/>
      <c r="AP195" s="145"/>
      <c r="AQ195" s="143"/>
      <c r="AR195" s="143"/>
      <c r="AS195" s="102"/>
      <c r="AT195" s="102"/>
      <c r="AU195" s="102"/>
      <c r="AV195" s="102"/>
      <c r="AW195" s="102"/>
      <c r="AX195" s="102"/>
      <c r="AY195" s="102"/>
      <c r="AZ195" s="66"/>
      <c r="BA195" s="66"/>
      <c r="BB195" s="66"/>
      <c r="BC195" s="66"/>
      <c r="BD195" s="66"/>
      <c r="BE195" s="66"/>
      <c r="BF195" s="66"/>
      <c r="BG195" s="66"/>
      <c r="BH195" s="66"/>
      <c r="BI195" s="66"/>
      <c r="BJ195" s="66"/>
      <c r="BK195" s="924"/>
      <c r="BL195" s="66"/>
      <c r="BM195" s="66"/>
      <c r="BN195" s="66"/>
      <c r="BO195" s="66"/>
      <c r="BP195" s="66"/>
      <c r="BQ195" s="66"/>
      <c r="BR195" s="66"/>
      <c r="BS195" s="66"/>
      <c r="BT195" s="66"/>
      <c r="BU195" s="66"/>
      <c r="BV195" s="66"/>
      <c r="BW195" s="924"/>
      <c r="BX195" s="924"/>
      <c r="BY195" s="924"/>
      <c r="BZ195" s="924"/>
      <c r="CA195" s="924"/>
      <c r="CB195" s="924"/>
      <c r="CC195" s="924"/>
      <c r="CD195" s="924"/>
      <c r="CE195" s="924"/>
      <c r="CF195" s="924"/>
      <c r="CG195" s="924"/>
      <c r="CH195" s="924"/>
      <c r="CI195" s="924"/>
      <c r="CJ195" s="924"/>
      <c r="CK195" s="924"/>
      <c r="CL195" s="924"/>
      <c r="CM195" s="924"/>
      <c r="CN195" s="924"/>
      <c r="CO195" s="924"/>
      <c r="CP195" s="924"/>
      <c r="CQ195" s="924"/>
      <c r="CR195" s="924"/>
      <c r="CS195" s="924"/>
      <c r="CT195" s="924"/>
      <c r="CU195" s="924"/>
      <c r="CV195" s="924"/>
      <c r="CW195" s="924"/>
      <c r="CX195" s="924"/>
      <c r="CY195" s="924"/>
      <c r="CZ195" s="924"/>
      <c r="DA195" s="924"/>
      <c r="DB195" s="924"/>
      <c r="DC195" s="924"/>
      <c r="DD195" s="924"/>
      <c r="DE195" s="924"/>
      <c r="DF195" s="924"/>
      <c r="DG195" s="924"/>
      <c r="DH195" s="924"/>
      <c r="DJ195" s="66"/>
      <c r="DK195" s="66"/>
      <c r="DL195" s="66"/>
      <c r="DM195" s="66"/>
      <c r="DN195" s="66"/>
      <c r="DO195" s="66"/>
      <c r="DP195" s="66"/>
      <c r="DQ195" s="66"/>
      <c r="DR195" s="66"/>
      <c r="DS195" s="66"/>
      <c r="DT195" s="66"/>
      <c r="DU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c r="EW195" s="66"/>
      <c r="EX195" s="66"/>
      <c r="EY195" s="66"/>
      <c r="EZ195" s="66"/>
      <c r="FA195" s="66"/>
      <c r="FB195" s="66"/>
      <c r="FC195" s="66"/>
      <c r="FD195" s="66"/>
      <c r="FE195" s="66"/>
      <c r="FF195" s="66"/>
      <c r="FG195" s="66"/>
      <c r="FH195" s="66"/>
      <c r="FI195" s="66"/>
      <c r="FJ195" s="66"/>
      <c r="FK195" s="66"/>
      <c r="FL195" s="66"/>
      <c r="FM195" s="66"/>
      <c r="FN195" s="66"/>
      <c r="FO195" s="66"/>
      <c r="FP195" s="66"/>
      <c r="FQ195" s="66"/>
      <c r="FR195" s="66"/>
      <c r="FS195" s="66"/>
      <c r="FT195" s="66"/>
      <c r="FU195" s="66"/>
      <c r="FV195" s="66"/>
      <c r="FW195" s="66"/>
      <c r="FX195" s="66"/>
      <c r="FY195" s="66"/>
      <c r="FZ195" s="66"/>
      <c r="GA195" s="66"/>
      <c r="GB195" s="66"/>
      <c r="GC195" s="66"/>
      <c r="GD195" s="66"/>
      <c r="GF195" s="102"/>
      <c r="GG195" s="102"/>
      <c r="GH195" s="102"/>
      <c r="GI195" s="102"/>
      <c r="GJ195" s="102"/>
      <c r="GK195" s="102"/>
      <c r="GL195" s="102">
        <f t="shared" si="571"/>
        <v>0</v>
      </c>
      <c r="GM195" s="102">
        <f t="shared" si="566"/>
        <v>0</v>
      </c>
      <c r="GN195" s="102"/>
      <c r="GO195" s="102">
        <v>0</v>
      </c>
      <c r="GQ195" s="32"/>
      <c r="GR195" s="32"/>
      <c r="GS195" s="32"/>
      <c r="GT195" s="929"/>
      <c r="GU195" s="929"/>
      <c r="GV195" s="929"/>
      <c r="GW195" s="929" t="str">
        <f t="shared" si="583"/>
        <v/>
      </c>
      <c r="GX195" s="32"/>
      <c r="GY195" s="929" t="str">
        <f t="shared" si="492"/>
        <v/>
      </c>
      <c r="HA195" s="102"/>
      <c r="HB195" s="102"/>
      <c r="HC195" s="102"/>
      <c r="HD195" s="102"/>
      <c r="HE195" s="102">
        <f t="shared" si="577"/>
        <v>0</v>
      </c>
      <c r="HF195" s="102">
        <f t="shared" si="577"/>
        <v>0</v>
      </c>
      <c r="HG195" s="102">
        <f t="shared" si="577"/>
        <v>0</v>
      </c>
      <c r="HH195" s="102"/>
      <c r="HI195" s="102">
        <f t="shared" si="493"/>
        <v>0</v>
      </c>
      <c r="HU195" s="102"/>
      <c r="HV195" s="102"/>
      <c r="HW195" s="102"/>
      <c r="HX195" s="102"/>
      <c r="HY195" s="102"/>
      <c r="HZ195" s="102"/>
      <c r="IA195" s="102"/>
      <c r="IB195" s="102"/>
      <c r="IC195" s="102"/>
      <c r="ID195" s="102"/>
      <c r="IE195" s="102"/>
      <c r="IG195" s="102"/>
      <c r="IH195" s="102"/>
      <c r="II195" s="145"/>
      <c r="IJ195" s="32"/>
      <c r="IK195" s="102"/>
      <c r="IP195" s="32"/>
      <c r="IQ195" s="32"/>
      <c r="IR195" s="32"/>
      <c r="IS195" s="32"/>
      <c r="IT195" s="32"/>
      <c r="IU195" s="32"/>
      <c r="IV195" s="32"/>
      <c r="IX195" s="102"/>
      <c r="IY195" s="102"/>
      <c r="IZ195" s="102"/>
      <c r="JA195" s="102"/>
      <c r="JB195" s="102"/>
      <c r="JC195" s="102"/>
      <c r="JD195" s="102"/>
      <c r="JO195" s="102"/>
      <c r="JP195" s="102"/>
      <c r="JQ195" s="102"/>
      <c r="JR195" s="102"/>
      <c r="JS195" s="102"/>
      <c r="JT195" s="102"/>
      <c r="JU195" s="102"/>
      <c r="JV195" s="102"/>
      <c r="JW195" s="102"/>
      <c r="JX195" s="102"/>
      <c r="JY195" s="102"/>
      <c r="KB195" s="32"/>
      <c r="KC195" s="32"/>
      <c r="KD195" s="32"/>
      <c r="KE195" s="32"/>
      <c r="KF195" s="32"/>
      <c r="KG195" s="32"/>
      <c r="KH195" s="32" t="str">
        <f t="shared" si="569"/>
        <v xml:space="preserve"> </v>
      </c>
      <c r="KJ195" s="102"/>
      <c r="KK195" s="102"/>
      <c r="KL195" s="102"/>
      <c r="KM195" s="102"/>
      <c r="KN195" s="102"/>
      <c r="KO195" s="102"/>
      <c r="KP195" s="102">
        <f t="shared" si="570"/>
        <v>0</v>
      </c>
    </row>
    <row r="196" spans="1:312">
      <c r="A196" s="884"/>
      <c r="B196" s="70"/>
      <c r="C196" s="1513" t="s">
        <v>152</v>
      </c>
      <c r="D196" s="1512" t="s">
        <v>59</v>
      </c>
      <c r="E196" s="1515">
        <f t="shared" ref="E196:BP196" si="618">+SUM(E197:E200,E204:E208)</f>
        <v>5227.3714870528001</v>
      </c>
      <c r="F196" s="1515">
        <f t="shared" si="618"/>
        <v>5936.6209332158996</v>
      </c>
      <c r="G196" s="1515">
        <f t="shared" si="618"/>
        <v>6155.3863788776998</v>
      </c>
      <c r="H196" s="1515">
        <f t="shared" si="618"/>
        <v>6542.5297670259006</v>
      </c>
      <c r="I196" s="1515">
        <f t="shared" si="618"/>
        <v>7508.8967669387002</v>
      </c>
      <c r="J196" s="1515">
        <f t="shared" si="618"/>
        <v>7862.1706732354014</v>
      </c>
      <c r="K196" s="1515">
        <f t="shared" si="618"/>
        <v>8373.3846140279984</v>
      </c>
      <c r="L196" s="1515">
        <f t="shared" si="618"/>
        <v>9371.1033089697012</v>
      </c>
      <c r="M196" s="1515">
        <f t="shared" si="618"/>
        <v>25331.474161237304</v>
      </c>
      <c r="N196" s="1515">
        <f t="shared" si="618"/>
        <v>10911.015837591003</v>
      </c>
      <c r="O196" s="1515">
        <f t="shared" si="618"/>
        <v>12165.596675077897</v>
      </c>
      <c r="P196" s="1515">
        <f t="shared" si="618"/>
        <v>11137.424337410004</v>
      </c>
      <c r="Q196" s="1515">
        <f t="shared" si="618"/>
        <v>10873.8877098497</v>
      </c>
      <c r="R196" s="1515">
        <f t="shared" si="618"/>
        <v>11732.530606094901</v>
      </c>
      <c r="S196" s="1515">
        <f t="shared" si="618"/>
        <v>11611.741361271701</v>
      </c>
      <c r="T196" s="1515">
        <f t="shared" si="618"/>
        <v>8708.7326619287014</v>
      </c>
      <c r="U196" s="1515">
        <f t="shared" si="618"/>
        <v>9707.7002599921016</v>
      </c>
      <c r="V196" s="1515">
        <f t="shared" si="618"/>
        <v>10484.861196673897</v>
      </c>
      <c r="W196" s="1515">
        <f t="shared" si="618"/>
        <v>10706.184706472295</v>
      </c>
      <c r="X196" s="1515">
        <f t="shared" si="618"/>
        <v>11200.717001372701</v>
      </c>
      <c r="Y196" s="1515">
        <f t="shared" si="618"/>
        <v>10767.387642813901</v>
      </c>
      <c r="Z196" s="1515">
        <f t="shared" si="618"/>
        <v>10655.608822882899</v>
      </c>
      <c r="AA196" s="1515">
        <f t="shared" si="618"/>
        <v>12236.955066258699</v>
      </c>
      <c r="AB196" s="1515">
        <f t="shared" si="618"/>
        <v>14222.595945220002</v>
      </c>
      <c r="AC196" s="1515">
        <f t="shared" si="618"/>
        <v>13770.084050359999</v>
      </c>
      <c r="AD196" s="1515">
        <f t="shared" si="618"/>
        <v>15053.495048749</v>
      </c>
      <c r="AE196" s="1515">
        <f t="shared" si="618"/>
        <v>11077.119921427</v>
      </c>
      <c r="AF196" s="1515">
        <f t="shared" si="618"/>
        <v>11570.189227849</v>
      </c>
      <c r="AG196" s="1515">
        <f t="shared" si="618"/>
        <v>11998.5920751412</v>
      </c>
      <c r="AH196" s="1515">
        <f t="shared" si="618"/>
        <v>12278.2648146874</v>
      </c>
      <c r="AI196" s="1515">
        <f t="shared" si="618"/>
        <v>12451.3858705534</v>
      </c>
      <c r="AJ196" s="1515">
        <f t="shared" si="618"/>
        <v>12906.1077139996</v>
      </c>
      <c r="AK196" s="1515">
        <f t="shared" si="618"/>
        <v>13459.594273795001</v>
      </c>
      <c r="AL196" s="1515">
        <f t="shared" si="618"/>
        <v>14236.400109257798</v>
      </c>
      <c r="AM196" s="1515">
        <f t="shared" si="618"/>
        <v>16336.09805782</v>
      </c>
      <c r="AN196" s="1515">
        <f t="shared" si="618"/>
        <v>17223.77996226</v>
      </c>
      <c r="AO196" s="1515">
        <f t="shared" si="618"/>
        <v>18004.708711999996</v>
      </c>
      <c r="AP196" s="1515">
        <f t="shared" si="618"/>
        <v>17648.787589299998</v>
      </c>
      <c r="AQ196" s="1515">
        <f t="shared" si="618"/>
        <v>17607.517068269997</v>
      </c>
      <c r="AR196" s="1515">
        <f t="shared" si="618"/>
        <v>16703.849692499996</v>
      </c>
      <c r="AS196" s="1515">
        <f t="shared" si="618"/>
        <v>16119.143520429996</v>
      </c>
      <c r="AT196" s="1515">
        <f t="shared" si="618"/>
        <v>14660.772634979998</v>
      </c>
      <c r="AU196" s="1515">
        <f t="shared" si="618"/>
        <v>14714.505187529998</v>
      </c>
      <c r="AV196" s="1515">
        <f t="shared" si="618"/>
        <v>14683.607153329998</v>
      </c>
      <c r="AW196" s="1515">
        <f t="shared" si="618"/>
        <v>14530.203446889998</v>
      </c>
      <c r="AX196" s="1515">
        <f t="shared" si="618"/>
        <v>13217.605042449997</v>
      </c>
      <c r="AY196" s="1515">
        <f t="shared" si="618"/>
        <v>12559.883031509999</v>
      </c>
      <c r="AZ196" s="1515">
        <f t="shared" si="618"/>
        <v>13193.030241689999</v>
      </c>
      <c r="BA196" s="1515">
        <f t="shared" si="618"/>
        <v>13217.730389390001</v>
      </c>
      <c r="BB196" s="1515">
        <f t="shared" si="618"/>
        <v>12567.36329488</v>
      </c>
      <c r="BC196" s="1515">
        <f t="shared" si="618"/>
        <v>11652.00043554</v>
      </c>
      <c r="BD196" s="1515">
        <f t="shared" si="618"/>
        <v>10950.021344000001</v>
      </c>
      <c r="BE196" s="1515">
        <f t="shared" si="618"/>
        <v>10495.508219000001</v>
      </c>
      <c r="BF196" s="1515">
        <f t="shared" si="618"/>
        <v>9586.6101932500005</v>
      </c>
      <c r="BG196" s="1515">
        <f t="shared" si="618"/>
        <v>9417.6468521800016</v>
      </c>
      <c r="BH196" s="1515">
        <f t="shared" si="618"/>
        <v>9003.5524671099993</v>
      </c>
      <c r="BI196" s="1515">
        <f t="shared" si="618"/>
        <v>8727.774238760001</v>
      </c>
      <c r="BJ196" s="1515">
        <f t="shared" si="618"/>
        <v>8490.0139556300001</v>
      </c>
      <c r="BK196" s="1515">
        <f t="shared" si="618"/>
        <v>8418.8622677200001</v>
      </c>
      <c r="BL196" s="1515">
        <f t="shared" si="618"/>
        <v>8900.8636115000008</v>
      </c>
      <c r="BM196" s="1515">
        <f t="shared" si="618"/>
        <v>9334.5744370099965</v>
      </c>
      <c r="BN196" s="1515">
        <f t="shared" si="618"/>
        <v>9474.9226188899956</v>
      </c>
      <c r="BO196" s="1515">
        <f t="shared" si="618"/>
        <v>9566.8473671299962</v>
      </c>
      <c r="BP196" s="1515">
        <f t="shared" si="618"/>
        <v>9922.9194318699974</v>
      </c>
      <c r="BQ196" s="1515">
        <f t="shared" ref="BQ196:DH196" si="619">+SUM(BQ197:BQ200,BQ204:BQ208)</f>
        <v>9911.4371717399972</v>
      </c>
      <c r="BR196" s="1515">
        <f t="shared" si="619"/>
        <v>10001.572753759996</v>
      </c>
      <c r="BS196" s="1515">
        <f t="shared" si="619"/>
        <v>10062.629881779996</v>
      </c>
      <c r="BT196" s="1515">
        <f t="shared" si="619"/>
        <v>10106.652050239996</v>
      </c>
      <c r="BU196" s="1515">
        <f t="shared" si="619"/>
        <v>10063.498838409996</v>
      </c>
      <c r="BV196" s="1515">
        <f t="shared" si="619"/>
        <v>10325.479644549996</v>
      </c>
      <c r="BW196" s="1515">
        <f t="shared" si="619"/>
        <v>10514.334497639997</v>
      </c>
      <c r="BX196" s="1515">
        <f t="shared" si="619"/>
        <v>10473.074423069997</v>
      </c>
      <c r="BY196" s="1515">
        <f t="shared" si="619"/>
        <v>10317.677867869999</v>
      </c>
      <c r="BZ196" s="1515">
        <f t="shared" si="619"/>
        <v>10339.753317329998</v>
      </c>
      <c r="CA196" s="1515">
        <f t="shared" si="619"/>
        <v>10278.240548159998</v>
      </c>
      <c r="CB196" s="1515">
        <f t="shared" si="619"/>
        <v>10187.887129819997</v>
      </c>
      <c r="CC196" s="1515">
        <f t="shared" si="619"/>
        <v>10050.659539879998</v>
      </c>
      <c r="CD196" s="1515">
        <f t="shared" si="619"/>
        <v>10032.576139189998</v>
      </c>
      <c r="CE196" s="1515">
        <f t="shared" si="619"/>
        <v>10354.500722269997</v>
      </c>
      <c r="CF196" s="1515">
        <f t="shared" si="619"/>
        <v>10843.814022069997</v>
      </c>
      <c r="CG196" s="1515">
        <f t="shared" si="619"/>
        <v>10800.005557009998</v>
      </c>
      <c r="CH196" s="1515">
        <f t="shared" si="619"/>
        <v>10956.537210349998</v>
      </c>
      <c r="CI196" s="1515">
        <f t="shared" si="619"/>
        <v>11487.051468799998</v>
      </c>
      <c r="CJ196" s="1515">
        <f t="shared" si="619"/>
        <v>11263.250033289998</v>
      </c>
      <c r="CK196" s="1515">
        <f t="shared" si="619"/>
        <v>11377.861565719997</v>
      </c>
      <c r="CL196" s="1515">
        <f t="shared" si="619"/>
        <v>11210.673996929996</v>
      </c>
      <c r="CM196" s="1515">
        <f t="shared" si="619"/>
        <v>11617.545870139998</v>
      </c>
      <c r="CN196" s="1515">
        <f t="shared" si="619"/>
        <v>11749.586865179997</v>
      </c>
      <c r="CO196" s="1515">
        <f t="shared" si="619"/>
        <v>12179.554758599998</v>
      </c>
      <c r="CP196" s="1515">
        <f t="shared" si="619"/>
        <v>12131.527924239997</v>
      </c>
      <c r="CQ196" s="1515">
        <f t="shared" si="619"/>
        <v>12191.338458169997</v>
      </c>
      <c r="CR196" s="1515">
        <f t="shared" si="619"/>
        <v>12486.959132049997</v>
      </c>
      <c r="CS196" s="1515">
        <f t="shared" si="619"/>
        <v>12713.824431649997</v>
      </c>
      <c r="CT196" s="1515">
        <f t="shared" si="619"/>
        <v>13381.448757109996</v>
      </c>
      <c r="CU196" s="1515">
        <f t="shared" si="619"/>
        <v>13696.111474559997</v>
      </c>
      <c r="CV196" s="1515">
        <f t="shared" si="619"/>
        <v>12803.352297129997</v>
      </c>
      <c r="CW196" s="1515">
        <f t="shared" si="619"/>
        <v>13115.009348739997</v>
      </c>
      <c r="CX196" s="1515">
        <f t="shared" si="619"/>
        <v>13245.411284429996</v>
      </c>
      <c r="CY196" s="1515">
        <f t="shared" si="619"/>
        <v>14147.804371019996</v>
      </c>
      <c r="CZ196" s="1515">
        <f t="shared" si="619"/>
        <v>13802.132243549997</v>
      </c>
      <c r="DA196" s="1515">
        <f t="shared" si="619"/>
        <v>13299.897054849996</v>
      </c>
      <c r="DB196" s="1515">
        <f t="shared" si="619"/>
        <v>12956.436802319997</v>
      </c>
      <c r="DC196" s="1515">
        <f t="shared" si="619"/>
        <v>12480.823724549995</v>
      </c>
      <c r="DD196" s="1515">
        <f t="shared" si="619"/>
        <v>12719.169135029995</v>
      </c>
      <c r="DE196" s="1515">
        <f t="shared" si="619"/>
        <v>12896.001917729995</v>
      </c>
      <c r="DF196" s="1515">
        <f t="shared" si="619"/>
        <v>13157.816871599996</v>
      </c>
      <c r="DG196" s="1515">
        <f t="shared" si="619"/>
        <v>12876.209684349997</v>
      </c>
      <c r="DH196" s="1515">
        <f t="shared" si="619"/>
        <v>12602.838891399995</v>
      </c>
      <c r="DJ196" s="1515" t="e">
        <f t="shared" ref="DJ196:FU196" si="620">+SUM(DJ197:DJ200,DJ204:DJ208)</f>
        <v>#VALUE!</v>
      </c>
      <c r="DK196" s="1515" t="e">
        <f t="shared" si="620"/>
        <v>#VALUE!</v>
      </c>
      <c r="DL196" s="1515" t="e">
        <f t="shared" si="620"/>
        <v>#VALUE!</v>
      </c>
      <c r="DM196" s="1515" t="e">
        <f t="shared" si="620"/>
        <v>#VALUE!</v>
      </c>
      <c r="DN196" s="1515" t="e">
        <f t="shared" si="620"/>
        <v>#VALUE!</v>
      </c>
      <c r="DO196" s="1515" t="e">
        <f t="shared" si="620"/>
        <v>#VALUE!</v>
      </c>
      <c r="DP196" s="1515" t="e">
        <f t="shared" si="620"/>
        <v>#VALUE!</v>
      </c>
      <c r="DQ196" s="1515" t="e">
        <f t="shared" si="620"/>
        <v>#VALUE!</v>
      </c>
      <c r="DR196" s="1515" t="e">
        <f t="shared" si="620"/>
        <v>#VALUE!</v>
      </c>
      <c r="DS196" s="1515" t="e">
        <f t="shared" si="620"/>
        <v>#VALUE!</v>
      </c>
      <c r="DT196" s="1515" t="e">
        <f t="shared" si="620"/>
        <v>#VALUE!</v>
      </c>
      <c r="DU196" s="1515" t="e">
        <f t="shared" si="620"/>
        <v>#VALUE!</v>
      </c>
      <c r="DV196" s="279"/>
      <c r="DW196" s="1515">
        <f t="shared" si="620"/>
        <v>17442.500495609747</v>
      </c>
      <c r="DX196" s="1515">
        <f t="shared" si="620"/>
        <v>18795.73048461166</v>
      </c>
      <c r="DY196" s="1515">
        <f t="shared" si="620"/>
        <v>18627.182821833001</v>
      </c>
      <c r="DZ196" s="1515">
        <f t="shared" si="620"/>
        <v>18950.808605844246</v>
      </c>
      <c r="EA196" s="1515">
        <f t="shared" si="620"/>
        <v>19078.582335888401</v>
      </c>
      <c r="EB196" s="1515">
        <f t="shared" si="620"/>
        <v>19332.320751241972</v>
      </c>
      <c r="EC196" s="1515">
        <f t="shared" si="620"/>
        <v>17603.585758472535</v>
      </c>
      <c r="ED196" s="1515">
        <f t="shared" si="620"/>
        <v>18874.47586175616</v>
      </c>
      <c r="EE196" s="1515">
        <f t="shared" si="620"/>
        <v>19649.43864662683</v>
      </c>
      <c r="EF196" s="1515">
        <f t="shared" si="620"/>
        <v>20570.801585061563</v>
      </c>
      <c r="EG196" s="1515">
        <f t="shared" si="620"/>
        <v>18893.092101011749</v>
      </c>
      <c r="EH196" s="1515">
        <f t="shared" si="620"/>
        <v>19468.271782465159</v>
      </c>
      <c r="EI196" s="1515">
        <f t="shared" si="620"/>
        <v>10180.466549790719</v>
      </c>
      <c r="EJ196" s="1515">
        <f t="shared" si="620"/>
        <v>9941.8425945698946</v>
      </c>
      <c r="EK196" s="1515">
        <f t="shared" si="620"/>
        <v>10241.651856507498</v>
      </c>
      <c r="EL196" s="1515">
        <f t="shared" si="620"/>
        <v>9912.0575401032511</v>
      </c>
      <c r="EM196" s="1515">
        <f t="shared" si="620"/>
        <v>9852.2213991395947</v>
      </c>
      <c r="EN196" s="1515">
        <f t="shared" si="620"/>
        <v>10010.81122649102</v>
      </c>
      <c r="EO196" s="1515">
        <f t="shared" si="620"/>
        <v>10240.421100642243</v>
      </c>
      <c r="EP196" s="1515">
        <f t="shared" si="620"/>
        <v>10547.648435787629</v>
      </c>
      <c r="EQ196" s="1515">
        <f t="shared" si="620"/>
        <v>10732.284951577991</v>
      </c>
      <c r="ER196" s="1515">
        <f t="shared" si="620"/>
        <v>10934.065969586291</v>
      </c>
      <c r="ES196" s="1515">
        <f t="shared" si="620"/>
        <v>11085.8203223952</v>
      </c>
      <c r="ET196" s="1515">
        <f t="shared" si="620"/>
        <v>11120.642768201405</v>
      </c>
      <c r="EU196" s="1515">
        <f t="shared" si="620"/>
        <v>8806.6918851277114</v>
      </c>
      <c r="EV196" s="1515">
        <f t="shared" si="620"/>
        <v>8990.4951752010584</v>
      </c>
      <c r="EW196" s="1515">
        <f t="shared" si="620"/>
        <v>9152.9224741151502</v>
      </c>
      <c r="EX196" s="1515">
        <f t="shared" si="620"/>
        <v>9297.4622648125751</v>
      </c>
      <c r="EY196" s="1515">
        <f t="shared" si="620"/>
        <v>9431.0750175290723</v>
      </c>
      <c r="EZ196" s="1515">
        <f t="shared" si="620"/>
        <v>9568.9803768226975</v>
      </c>
      <c r="FA196" s="1515">
        <f t="shared" si="620"/>
        <v>9723.4615661144726</v>
      </c>
      <c r="FB196" s="1515">
        <f t="shared" si="620"/>
        <v>9630.9975616253305</v>
      </c>
      <c r="FC196" s="1515">
        <f t="shared" si="620"/>
        <v>9480.2930708950098</v>
      </c>
      <c r="FD196" s="1515">
        <f t="shared" si="620"/>
        <v>9269.8707335046893</v>
      </c>
      <c r="FE196" s="1515">
        <f t="shared" si="620"/>
        <v>9116.9794379845789</v>
      </c>
      <c r="FF196" s="1515">
        <f t="shared" si="620"/>
        <v>8908.2587828986598</v>
      </c>
      <c r="FG196" s="1515" t="e">
        <f t="shared" si="620"/>
        <v>#VALUE!</v>
      </c>
      <c r="FH196" s="1515" t="e">
        <f t="shared" si="620"/>
        <v>#VALUE!</v>
      </c>
      <c r="FI196" s="1515" t="e">
        <f t="shared" si="620"/>
        <v>#VALUE!</v>
      </c>
      <c r="FJ196" s="1515" t="e">
        <f t="shared" si="620"/>
        <v>#VALUE!</v>
      </c>
      <c r="FK196" s="1515" t="e">
        <f t="shared" si="620"/>
        <v>#VALUE!</v>
      </c>
      <c r="FL196" s="1515" t="e">
        <f t="shared" si="620"/>
        <v>#VALUE!</v>
      </c>
      <c r="FM196" s="1515" t="e">
        <f t="shared" si="620"/>
        <v>#VALUE!</v>
      </c>
      <c r="FN196" s="1515" t="e">
        <f t="shared" si="620"/>
        <v>#VALUE!</v>
      </c>
      <c r="FO196" s="1515" t="e">
        <f t="shared" si="620"/>
        <v>#VALUE!</v>
      </c>
      <c r="FP196" s="1515" t="e">
        <f t="shared" si="620"/>
        <v>#VALUE!</v>
      </c>
      <c r="FQ196" s="1515" t="e">
        <f t="shared" si="620"/>
        <v>#VALUE!</v>
      </c>
      <c r="FR196" s="1515" t="e">
        <f t="shared" si="620"/>
        <v>#VALUE!</v>
      </c>
      <c r="FS196" s="1515" t="e">
        <f t="shared" si="620"/>
        <v>#VALUE!</v>
      </c>
      <c r="FT196" s="1515" t="e">
        <f t="shared" si="620"/>
        <v>#VALUE!</v>
      </c>
      <c r="FU196" s="1515" t="e">
        <f t="shared" si="620"/>
        <v>#VALUE!</v>
      </c>
      <c r="FV196" s="1515" t="e">
        <f t="shared" ref="FV196:GD196" si="621">+SUM(FV197:FV200,FV204:FV208)</f>
        <v>#VALUE!</v>
      </c>
      <c r="FW196" s="1515" t="e">
        <f t="shared" si="621"/>
        <v>#VALUE!</v>
      </c>
      <c r="FX196" s="1515" t="e">
        <f t="shared" si="621"/>
        <v>#VALUE!</v>
      </c>
      <c r="FY196" s="1515" t="e">
        <f t="shared" si="621"/>
        <v>#VALUE!</v>
      </c>
      <c r="FZ196" s="1515" t="e">
        <f t="shared" si="621"/>
        <v>#VALUE!</v>
      </c>
      <c r="GA196" s="1515" t="e">
        <f t="shared" si="621"/>
        <v>#VALUE!</v>
      </c>
      <c r="GB196" s="1515" t="e">
        <f t="shared" si="621"/>
        <v>#VALUE!</v>
      </c>
      <c r="GC196" s="1515" t="e">
        <f t="shared" si="621"/>
        <v>#VALUE!</v>
      </c>
      <c r="GD196" s="1515" t="e">
        <f t="shared" si="621"/>
        <v>#VALUE!</v>
      </c>
      <c r="GF196" s="1515">
        <f t="shared" ref="GF196:GI204" si="622">+SUMIFS($E196:$AZ196,$E$6:$AZ$6,GF$7,$E$5:$AZ$5,12)</f>
        <v>11137.424337410004</v>
      </c>
      <c r="GG196" s="1515">
        <f t="shared" si="622"/>
        <v>14222.595945220002</v>
      </c>
      <c r="GH196" s="1515">
        <f t="shared" si="622"/>
        <v>17223.77996226</v>
      </c>
      <c r="GI196" s="1515">
        <f t="shared" si="622"/>
        <v>13193.030241689999</v>
      </c>
      <c r="GJ196" s="1515">
        <f t="shared" si="575"/>
        <v>8900.8636115000008</v>
      </c>
      <c r="GK196" s="1515">
        <f t="shared" si="565"/>
        <v>10473.074423069997</v>
      </c>
      <c r="GL196" s="1515">
        <f t="shared" si="571"/>
        <v>11263.250033289998</v>
      </c>
      <c r="GM196" s="1515">
        <f t="shared" si="566"/>
        <v>12803.352297129997</v>
      </c>
      <c r="GN196" s="1515" t="e">
        <f t="shared" si="567"/>
        <v>#VALUE!</v>
      </c>
      <c r="GO196" s="1515">
        <v>12602.838891399995</v>
      </c>
      <c r="GQ196" s="1519">
        <f t="shared" ref="GQ196:GX210" si="623">+IFERROR(GH196/GG196-1,"")</f>
        <v>0.21101520626750636</v>
      </c>
      <c r="GR196" s="1519">
        <f t="shared" si="623"/>
        <v>-0.23402236497458773</v>
      </c>
      <c r="GS196" s="1519">
        <f t="shared" si="623"/>
        <v>-0.32533591991828714</v>
      </c>
      <c r="GT196" s="1519">
        <f t="shared" si="623"/>
        <v>0.17663576032540074</v>
      </c>
      <c r="GU196" s="1519">
        <f t="shared" si="623"/>
        <v>7.5448295151938405E-2</v>
      </c>
      <c r="GV196" s="1519">
        <f t="shared" si="623"/>
        <v>0.13673693288242972</v>
      </c>
      <c r="GW196" s="1519" t="str">
        <f t="shared" si="583"/>
        <v/>
      </c>
      <c r="GX196" s="1519" t="str">
        <f t="shared" si="583"/>
        <v/>
      </c>
      <c r="GY196" s="1519">
        <f t="shared" si="492"/>
        <v>-1.5661008232582097E-2</v>
      </c>
      <c r="HA196" s="1515">
        <f t="shared" ref="HA196:HC207" si="624">+GH196-GG196</f>
        <v>3001.1840170399973</v>
      </c>
      <c r="HB196" s="1515">
        <f t="shared" si="624"/>
        <v>-4030.7497205700001</v>
      </c>
      <c r="HC196" s="1515">
        <f t="shared" si="624"/>
        <v>-4292.1666301899986</v>
      </c>
      <c r="HD196" s="1515">
        <f t="shared" si="577"/>
        <v>1572.2108115699957</v>
      </c>
      <c r="HE196" s="1515">
        <f t="shared" si="577"/>
        <v>790.17561022000154</v>
      </c>
      <c r="HF196" s="1515">
        <f t="shared" si="577"/>
        <v>1540.1022638399991</v>
      </c>
      <c r="HG196" s="1515" t="e">
        <f t="shared" si="577"/>
        <v>#VALUE!</v>
      </c>
      <c r="HH196" s="1515" t="e">
        <f t="shared" si="577"/>
        <v>#VALUE!</v>
      </c>
      <c r="HI196" s="1515">
        <f t="shared" si="493"/>
        <v>-200.51340573000198</v>
      </c>
      <c r="HK196" s="1548"/>
      <c r="HL196" s="1548"/>
      <c r="HM196" s="1548"/>
      <c r="HN196" s="1548"/>
      <c r="HO196" s="1548"/>
      <c r="HP196" s="1548"/>
      <c r="HQ196" s="1548"/>
      <c r="HR196" s="1548"/>
      <c r="HS196" s="1548"/>
      <c r="HU196" s="1515">
        <f t="shared" ref="HU196:HX207" si="625">+IFERROR(SUMIFS($E196:$AZ196,$E$6:$AZ$6,HU$7,$E$5:$AZ$5,$HW$5),"NA")</f>
        <v>7862.1706732354014</v>
      </c>
      <c r="HV196" s="1515">
        <f t="shared" si="625"/>
        <v>10484.861196673897</v>
      </c>
      <c r="HW196" s="1515">
        <f t="shared" si="625"/>
        <v>12278.2648146874</v>
      </c>
      <c r="HX196" s="1515">
        <f t="shared" si="625"/>
        <v>14660.772634979998</v>
      </c>
      <c r="HY196" s="1515">
        <f t="shared" ref="HY196:HZ208" si="626">+IFERROR(SUMIFS($E196:$BX196,$E$6:$BX$6,HY$7,$E$5:$BX$5,$HW$5),"NA")</f>
        <v>9586.6101932500005</v>
      </c>
      <c r="HZ196" s="1515">
        <f t="shared" si="626"/>
        <v>10001.572753759996</v>
      </c>
      <c r="IA196" s="1515">
        <f t="shared" ref="IA196:IA208" si="627">+IFERROR(SUMIFS($E196:$CJ196,$E$6:$CJ$6,IA$7,$E$5:$CJ$5,$HW$5),"NA")</f>
        <v>10032.576139189998</v>
      </c>
      <c r="IB196" s="1515">
        <f t="shared" ref="IB196:IB208" si="628">+IFERROR(SUMIFS($E196:$CV196,$E$6:$CV$6,IB$7,$E$5:$CV$5,$HW$5),"NA")</f>
        <v>12131.527924239997</v>
      </c>
      <c r="IC196" s="1515">
        <f t="shared" ref="IC196:IC208" si="629">+IFERROR(SUMIFS($E196:$DH196,$E$6:$DH$6,IC$7,$E$5:$DH$5,$HW$5),"NA")</f>
        <v>12956.436802319997</v>
      </c>
      <c r="ID196" s="1515" t="e">
        <f t="shared" si="568"/>
        <v>#VALUE!</v>
      </c>
      <c r="IE196" s="1515" t="e">
        <f t="shared" si="590"/>
        <v>#VALUE!</v>
      </c>
      <c r="IG196" s="1515" t="e">
        <f t="shared" si="533"/>
        <v>#VALUE!</v>
      </c>
      <c r="IH196" s="1515" t="e">
        <f t="shared" si="534"/>
        <v>#VALUE!</v>
      </c>
      <c r="II196" s="939"/>
      <c r="IJ196" s="1519" t="str">
        <f t="shared" ref="IJ196:IJ206" si="630">+IFERROR(IG196/IH196,"NA")</f>
        <v>NA</v>
      </c>
      <c r="IK196" s="1523" t="str">
        <f t="shared" ref="IK196:IK206" si="631">+IFERROR(IG196-IH196,"NA")</f>
        <v>NA</v>
      </c>
      <c r="IM196" s="973"/>
      <c r="IN196" s="973"/>
      <c r="IP196" s="1520">
        <f t="shared" si="537"/>
        <v>0.17104695850264773</v>
      </c>
      <c r="IQ196" s="1520">
        <f t="shared" si="537"/>
        <v>0.19404271338427348</v>
      </c>
      <c r="IR196" s="1520">
        <f t="shared" si="537"/>
        <v>-0.34610470867157817</v>
      </c>
      <c r="IS196" s="1520">
        <f>+IFERROR(HZ196/HY196-1,"NA")</f>
        <v>4.3285640298817318E-2</v>
      </c>
      <c r="IT196" s="1520">
        <f>+IFERROR(IA196/HZ196-1,"NA")</f>
        <v>3.0998510127666634E-3</v>
      </c>
      <c r="IU196" s="1520">
        <f>+IFERROR(IB196/IA196-1,"NA")</f>
        <v>0.20921364123526742</v>
      </c>
      <c r="IV196" s="1520" t="str">
        <f>+IFERROR(IE196/IB196-1,"NA")</f>
        <v>NA</v>
      </c>
      <c r="IX196" s="1515">
        <f t="shared" ref="IX196:JC210" si="632">+HW196-HV196</f>
        <v>1793.4036180135026</v>
      </c>
      <c r="IY196" s="1515">
        <f t="shared" si="632"/>
        <v>2382.5078202925979</v>
      </c>
      <c r="IZ196" s="1515">
        <f t="shared" si="632"/>
        <v>-5074.1624417299972</v>
      </c>
      <c r="JA196" s="1515">
        <f t="shared" si="632"/>
        <v>414.96256050999546</v>
      </c>
      <c r="JB196" s="1515">
        <f t="shared" si="632"/>
        <v>31.003385430001799</v>
      </c>
      <c r="JC196" s="1515">
        <f t="shared" si="632"/>
        <v>2098.9517850499997</v>
      </c>
      <c r="JD196" s="1515" t="e">
        <f t="shared" ref="JD196:JD208" si="633">+IE196-IB196</f>
        <v>#VALUE!</v>
      </c>
      <c r="JF196" s="1548"/>
      <c r="JG196" s="1548"/>
      <c r="JH196" s="1548"/>
      <c r="JI196" s="1548"/>
      <c r="JJ196" s="1548"/>
      <c r="JK196" s="1548"/>
      <c r="JL196" s="1548"/>
      <c r="JM196" s="1548"/>
      <c r="JO196" s="1515">
        <f t="shared" ref="JO196:JS208" si="634">+SUMIFS($E196:$BX196,$E$6:$BX$6,JO$7,$E$5:$BX$5,$JQ$5)</f>
        <v>7862.1706732354014</v>
      </c>
      <c r="JP196" s="1515">
        <f t="shared" si="634"/>
        <v>10484.861196673897</v>
      </c>
      <c r="JQ196" s="1515">
        <f t="shared" si="634"/>
        <v>12278.2648146874</v>
      </c>
      <c r="JR196" s="1515">
        <f t="shared" si="634"/>
        <v>14660.772634979998</v>
      </c>
      <c r="JS196" s="1515">
        <f t="shared" si="634"/>
        <v>9586.6101932500005</v>
      </c>
      <c r="JT196" s="1515">
        <f t="shared" ref="JT196:JT208" si="635">+SUMIFS($E196:$CJ196,$E$6:$CJ$6,JT$7,$E$5:$CJ$5,$JQ$5)</f>
        <v>10001.572753759996</v>
      </c>
      <c r="JU196" s="1515">
        <f t="shared" ref="JU196:JU208" si="636">+SUMIFS($E196:$CV196,$E$6:$CV$6,JU$7,$E$5:$CV$5,$JQ$5)</f>
        <v>10032.576139189998</v>
      </c>
      <c r="JV196" s="1515">
        <f t="shared" ref="JV196:JW208" si="637">+SUMIFS($E196:$DH196,$E$6:$DH$6,JV$7,$E$5:$DH$5,$JQ$5)</f>
        <v>12131.527924239997</v>
      </c>
      <c r="JW196" s="1515">
        <f t="shared" si="637"/>
        <v>12956.436802319997</v>
      </c>
      <c r="JX196" s="1515" t="e">
        <f t="shared" ref="JX196:JX208" si="638">+SUMIF($FS$5:$GD$5,$JQ$5,$FS196:$GD196)</f>
        <v>#VALUE!</v>
      </c>
      <c r="JY196" s="1515" t="e">
        <f t="shared" ref="JY196:JY208" si="639">+SUMIF($DJ$5:$DU$5,$JQ$5,$DJ196:$DU196)</f>
        <v>#VALUE!</v>
      </c>
      <c r="KB196" s="1520">
        <f t="shared" ref="KB196:KG208" si="640">+IFERROR(JQ196/JP196-1," ")</f>
        <v>0.17104695850264773</v>
      </c>
      <c r="KC196" s="1520">
        <f t="shared" si="640"/>
        <v>0.19404271338427348</v>
      </c>
      <c r="KD196" s="1520">
        <f t="shared" si="640"/>
        <v>-0.34610470867157817</v>
      </c>
      <c r="KE196" s="1520">
        <f t="shared" si="640"/>
        <v>4.3285640298817318E-2</v>
      </c>
      <c r="KF196" s="1520">
        <f t="shared" si="640"/>
        <v>3.0998510127666634E-3</v>
      </c>
      <c r="KG196" s="1520">
        <f t="shared" si="640"/>
        <v>0.20921364123526742</v>
      </c>
      <c r="KH196" s="1520" t="str">
        <f t="shared" si="569"/>
        <v xml:space="preserve"> </v>
      </c>
      <c r="KJ196" s="1515">
        <f t="shared" ref="KJ196:KO208" si="641">+JQ196-JP196</f>
        <v>1793.4036180135026</v>
      </c>
      <c r="KK196" s="1515">
        <f t="shared" si="641"/>
        <v>2382.5078202925979</v>
      </c>
      <c r="KL196" s="1515">
        <f t="shared" si="641"/>
        <v>-5074.1624417299972</v>
      </c>
      <c r="KM196" s="1515">
        <f t="shared" si="641"/>
        <v>414.96256050999546</v>
      </c>
      <c r="KN196" s="1515">
        <f t="shared" si="641"/>
        <v>31.003385430001799</v>
      </c>
      <c r="KO196" s="1515">
        <f t="shared" si="641"/>
        <v>2098.9517850499997</v>
      </c>
      <c r="KP196" s="1515" t="e">
        <f t="shared" si="570"/>
        <v>#VALUE!</v>
      </c>
      <c r="KR196" s="1548"/>
      <c r="KS196" s="1548"/>
      <c r="KT196" s="1548"/>
      <c r="KU196" s="1548"/>
      <c r="KV196" s="1548"/>
      <c r="KW196" s="1548"/>
      <c r="KX196" s="1548"/>
      <c r="KY196" s="1548"/>
      <c r="KZ196" s="1548"/>
    </row>
    <row r="197" spans="1:312" outlineLevel="1">
      <c r="A197" s="884">
        <v>31</v>
      </c>
      <c r="B197" s="70" t="s">
        <v>754</v>
      </c>
      <c r="C197" s="17" t="s">
        <v>153</v>
      </c>
      <c r="D197" s="31" t="s">
        <v>59</v>
      </c>
      <c r="E197" s="924">
        <v>320</v>
      </c>
      <c r="F197" s="924">
        <v>320</v>
      </c>
      <c r="G197" s="924">
        <v>320</v>
      </c>
      <c r="H197" s="924">
        <v>320</v>
      </c>
      <c r="I197" s="924">
        <v>320</v>
      </c>
      <c r="J197" s="924">
        <v>320</v>
      </c>
      <c r="K197" s="924">
        <v>320</v>
      </c>
      <c r="L197" s="924">
        <v>320</v>
      </c>
      <c r="M197" s="924">
        <v>496</v>
      </c>
      <c r="N197" s="924">
        <v>320</v>
      </c>
      <c r="O197" s="924">
        <v>320</v>
      </c>
      <c r="P197" s="924">
        <v>320</v>
      </c>
      <c r="Q197" s="924">
        <v>320</v>
      </c>
      <c r="R197" s="924">
        <v>320</v>
      </c>
      <c r="S197" s="924">
        <v>320</v>
      </c>
      <c r="T197" s="924">
        <v>320</v>
      </c>
      <c r="U197" s="924">
        <v>320</v>
      </c>
      <c r="V197" s="924">
        <v>320</v>
      </c>
      <c r="W197" s="924">
        <v>320</v>
      </c>
      <c r="X197" s="924">
        <v>320</v>
      </c>
      <c r="Y197" s="924">
        <v>320</v>
      </c>
      <c r="Z197" s="924">
        <v>320</v>
      </c>
      <c r="AA197" s="924">
        <v>320</v>
      </c>
      <c r="AB197" s="924">
        <v>4000</v>
      </c>
      <c r="AC197" s="924">
        <v>4000</v>
      </c>
      <c r="AD197" s="924">
        <v>4000</v>
      </c>
      <c r="AE197" s="924">
        <v>4000</v>
      </c>
      <c r="AF197" s="924">
        <v>4000</v>
      </c>
      <c r="AG197" s="924">
        <v>4000</v>
      </c>
      <c r="AH197" s="924">
        <v>4000</v>
      </c>
      <c r="AI197" s="924">
        <v>4000</v>
      </c>
      <c r="AJ197" s="924">
        <v>4000</v>
      </c>
      <c r="AK197" s="924">
        <v>4000</v>
      </c>
      <c r="AL197" s="924">
        <v>4000</v>
      </c>
      <c r="AM197" s="924">
        <v>4000</v>
      </c>
      <c r="AN197" s="102">
        <v>4000</v>
      </c>
      <c r="AO197" s="924">
        <v>4000</v>
      </c>
      <c r="AP197" s="924">
        <v>4000</v>
      </c>
      <c r="AQ197" s="924">
        <v>4000</v>
      </c>
      <c r="AR197" s="924">
        <v>4000</v>
      </c>
      <c r="AS197" s="924">
        <v>4000</v>
      </c>
      <c r="AT197" s="924">
        <v>4000</v>
      </c>
      <c r="AU197" s="924">
        <v>4000</v>
      </c>
      <c r="AV197" s="924">
        <v>4000</v>
      </c>
      <c r="AW197" s="924">
        <v>4000</v>
      </c>
      <c r="AX197" s="924">
        <v>4000</v>
      </c>
      <c r="AY197" s="924">
        <v>4000</v>
      </c>
      <c r="AZ197" s="102">
        <v>4000</v>
      </c>
      <c r="BA197" s="102">
        <v>4000</v>
      </c>
      <c r="BB197" s="102">
        <v>4000</v>
      </c>
      <c r="BC197" s="102">
        <v>4000</v>
      </c>
      <c r="BD197" s="102">
        <v>4000</v>
      </c>
      <c r="BE197" s="924">
        <v>4000</v>
      </c>
      <c r="BF197" s="924">
        <v>4000</v>
      </c>
      <c r="BG197" s="924">
        <v>4340</v>
      </c>
      <c r="BH197" s="924">
        <v>4340</v>
      </c>
      <c r="BI197" s="924">
        <v>4340</v>
      </c>
      <c r="BJ197" s="924">
        <v>4340</v>
      </c>
      <c r="BK197" s="102">
        <v>4340</v>
      </c>
      <c r="BL197" s="102">
        <v>4340</v>
      </c>
      <c r="BM197" s="102">
        <v>4340</v>
      </c>
      <c r="BN197" s="102">
        <v>4340</v>
      </c>
      <c r="BO197" s="102">
        <v>4340</v>
      </c>
      <c r="BP197" s="102">
        <v>4340</v>
      </c>
      <c r="BQ197" s="924">
        <v>4340</v>
      </c>
      <c r="BR197" s="924">
        <v>4340</v>
      </c>
      <c r="BS197" s="924">
        <v>4340</v>
      </c>
      <c r="BT197" s="924">
        <v>4340</v>
      </c>
      <c r="BU197" s="924">
        <v>4340</v>
      </c>
      <c r="BV197" s="924">
        <v>4340</v>
      </c>
      <c r="BW197" s="102">
        <v>4340</v>
      </c>
      <c r="BX197" s="102">
        <v>4340</v>
      </c>
      <c r="BY197" s="102">
        <v>4340</v>
      </c>
      <c r="BZ197" s="102">
        <v>4340</v>
      </c>
      <c r="CA197" s="102">
        <v>4340</v>
      </c>
      <c r="CB197" s="102">
        <v>4340</v>
      </c>
      <c r="CC197" s="102">
        <v>4340</v>
      </c>
      <c r="CD197" s="102">
        <v>4340</v>
      </c>
      <c r="CE197" s="102">
        <v>4761.8440000000001</v>
      </c>
      <c r="CF197" s="102">
        <v>4761.8440000000001</v>
      </c>
      <c r="CG197" s="102">
        <v>4761.8440000000001</v>
      </c>
      <c r="CH197" s="102">
        <v>4761.8440000000001</v>
      </c>
      <c r="CI197" s="102">
        <v>4761.8440000000001</v>
      </c>
      <c r="CJ197" s="102">
        <v>4761.8440000000001</v>
      </c>
      <c r="CK197" s="102">
        <v>4761.8440000000001</v>
      </c>
      <c r="CL197" s="102">
        <v>4761.8440000000001</v>
      </c>
      <c r="CM197" s="102">
        <v>4761.8440000000001</v>
      </c>
      <c r="CN197" s="102">
        <v>4761.8440000000001</v>
      </c>
      <c r="CO197" s="102">
        <v>4761.8440000000001</v>
      </c>
      <c r="CP197" s="102">
        <v>4761.8440000000001</v>
      </c>
      <c r="CQ197" s="102">
        <v>4761.8440000000001</v>
      </c>
      <c r="CR197" s="102">
        <v>4761.8440000000001</v>
      </c>
      <c r="CS197" s="102">
        <v>4761.8440000000001</v>
      </c>
      <c r="CT197" s="102">
        <v>4761.8440000000001</v>
      </c>
      <c r="CU197" s="102">
        <v>4761.8440000000001</v>
      </c>
      <c r="CV197" s="102">
        <v>4761.8440000000001</v>
      </c>
      <c r="CW197" s="102">
        <v>4761.8440000000001</v>
      </c>
      <c r="CX197" s="102">
        <v>4761.8440000000001</v>
      </c>
      <c r="CY197" s="102">
        <v>4761.8440000000001</v>
      </c>
      <c r="CZ197" s="102">
        <v>4761.8440000000001</v>
      </c>
      <c r="DA197" s="102">
        <v>4761.8440000000001</v>
      </c>
      <c r="DB197" s="102">
        <v>4761.8440000000001</v>
      </c>
      <c r="DC197" s="102">
        <v>4761.8440000000001</v>
      </c>
      <c r="DD197" s="102">
        <v>4761.8440000000001</v>
      </c>
      <c r="DE197" s="102">
        <v>4761.8440000000001</v>
      </c>
      <c r="DF197" s="102">
        <v>4761.8440000000001</v>
      </c>
      <c r="DG197" s="102">
        <v>4761.8440000000001</v>
      </c>
      <c r="DH197" s="102">
        <v>4761.8440000000001</v>
      </c>
      <c r="DJ197" s="102" t="e">
        <v>#VALUE!</v>
      </c>
      <c r="DK197" s="102" t="e">
        <v>#VALUE!</v>
      </c>
      <c r="DL197" s="102" t="e">
        <v>#VALUE!</v>
      </c>
      <c r="DM197" s="102" t="e">
        <v>#VALUE!</v>
      </c>
      <c r="DN197" s="102" t="e">
        <v>#VALUE!</v>
      </c>
      <c r="DO197" s="102" t="e">
        <v>#VALUE!</v>
      </c>
      <c r="DP197" s="102" t="e">
        <v>#VALUE!</v>
      </c>
      <c r="DQ197" s="102" t="e">
        <v>#VALUE!</v>
      </c>
      <c r="DR197" s="102" t="e">
        <v>#VALUE!</v>
      </c>
      <c r="DS197" s="102" t="e">
        <v>#VALUE!</v>
      </c>
      <c r="DT197" s="102" t="e">
        <v>#VALUE!</v>
      </c>
      <c r="DU197" s="102" t="e">
        <v>#VALUE!</v>
      </c>
      <c r="DW197" s="924">
        <v>4000</v>
      </c>
      <c r="DX197" s="924">
        <v>4000</v>
      </c>
      <c r="DY197" s="924">
        <v>4000</v>
      </c>
      <c r="DZ197" s="924">
        <v>4000</v>
      </c>
      <c r="EA197" s="924">
        <v>4000</v>
      </c>
      <c r="EB197" s="924">
        <v>4000</v>
      </c>
      <c r="EC197" s="924">
        <v>4000</v>
      </c>
      <c r="ED197" s="924">
        <v>4000</v>
      </c>
      <c r="EE197" s="924">
        <v>4000</v>
      </c>
      <c r="EF197" s="924">
        <v>4000</v>
      </c>
      <c r="EG197" s="924">
        <v>4000</v>
      </c>
      <c r="EH197" s="924">
        <v>4000</v>
      </c>
      <c r="EI197" s="924">
        <v>4000</v>
      </c>
      <c r="EJ197" s="924">
        <v>4000</v>
      </c>
      <c r="EK197" s="924">
        <v>4000</v>
      </c>
      <c r="EL197" s="924">
        <v>4000</v>
      </c>
      <c r="EM197" s="924">
        <v>4000</v>
      </c>
      <c r="EN197" s="924">
        <v>4000</v>
      </c>
      <c r="EO197" s="924">
        <v>4000</v>
      </c>
      <c r="EP197" s="924">
        <v>4000</v>
      </c>
      <c r="EQ197" s="924">
        <v>4000</v>
      </c>
      <c r="ER197" s="924">
        <v>4000</v>
      </c>
      <c r="ES197" s="924">
        <v>4000</v>
      </c>
      <c r="ET197" s="924">
        <v>4000</v>
      </c>
      <c r="EU197" s="924">
        <v>4340</v>
      </c>
      <c r="EV197" s="924">
        <v>4340</v>
      </c>
      <c r="EW197" s="924">
        <v>4340</v>
      </c>
      <c r="EX197" s="924">
        <v>4340</v>
      </c>
      <c r="EY197" s="924">
        <v>4340</v>
      </c>
      <c r="EZ197" s="924">
        <v>4340</v>
      </c>
      <c r="FA197" s="924">
        <v>4340</v>
      </c>
      <c r="FB197" s="924">
        <v>4340</v>
      </c>
      <c r="FC197" s="924">
        <v>4340</v>
      </c>
      <c r="FD197" s="924">
        <v>4340</v>
      </c>
      <c r="FE197" s="924">
        <v>4340</v>
      </c>
      <c r="FF197" s="924">
        <v>4340</v>
      </c>
      <c r="FG197" s="102" t="e">
        <v>#VALUE!</v>
      </c>
      <c r="FH197" s="102" t="e">
        <v>#VALUE!</v>
      </c>
      <c r="FI197" s="102" t="e">
        <v>#VALUE!</v>
      </c>
      <c r="FJ197" s="102" t="e">
        <v>#VALUE!</v>
      </c>
      <c r="FK197" s="102" t="e">
        <v>#VALUE!</v>
      </c>
      <c r="FL197" s="102" t="e">
        <v>#VALUE!</v>
      </c>
      <c r="FM197" s="102" t="e">
        <v>#VALUE!</v>
      </c>
      <c r="FN197" s="102" t="e">
        <v>#VALUE!</v>
      </c>
      <c r="FO197" s="102" t="e">
        <v>#VALUE!</v>
      </c>
      <c r="FP197" s="102" t="e">
        <v>#VALUE!</v>
      </c>
      <c r="FQ197" s="102" t="e">
        <v>#VALUE!</v>
      </c>
      <c r="FR197" s="102" t="e">
        <v>#VALUE!</v>
      </c>
      <c r="FS197" s="102" t="e">
        <v>#VALUE!</v>
      </c>
      <c r="FT197" s="102" t="e">
        <v>#VALUE!</v>
      </c>
      <c r="FU197" s="102" t="e">
        <v>#VALUE!</v>
      </c>
      <c r="FV197" s="102" t="e">
        <v>#VALUE!</v>
      </c>
      <c r="FW197" s="102" t="e">
        <v>#VALUE!</v>
      </c>
      <c r="FX197" s="102" t="e">
        <v>#VALUE!</v>
      </c>
      <c r="FY197" s="102" t="e">
        <v>#VALUE!</v>
      </c>
      <c r="FZ197" s="102" t="e">
        <v>#VALUE!</v>
      </c>
      <c r="GA197" s="102" t="e">
        <v>#VALUE!</v>
      </c>
      <c r="GB197" s="102" t="e">
        <v>#VALUE!</v>
      </c>
      <c r="GC197" s="102" t="e">
        <v>#VALUE!</v>
      </c>
      <c r="GD197" s="102" t="e">
        <v>#VALUE!</v>
      </c>
      <c r="GF197" s="924">
        <f t="shared" si="622"/>
        <v>320</v>
      </c>
      <c r="GG197" s="924">
        <f t="shared" si="622"/>
        <v>4000</v>
      </c>
      <c r="GH197" s="924">
        <f t="shared" si="622"/>
        <v>4000</v>
      </c>
      <c r="GI197" s="924">
        <f t="shared" si="622"/>
        <v>4000</v>
      </c>
      <c r="GJ197" s="924">
        <f t="shared" si="575"/>
        <v>4340</v>
      </c>
      <c r="GK197" s="924">
        <f t="shared" si="565"/>
        <v>4340</v>
      </c>
      <c r="GL197" s="924">
        <f t="shared" si="571"/>
        <v>4761.8440000000001</v>
      </c>
      <c r="GM197" s="924">
        <f t="shared" si="566"/>
        <v>4761.8440000000001</v>
      </c>
      <c r="GN197" s="924" t="e">
        <f t="shared" si="567"/>
        <v>#VALUE!</v>
      </c>
      <c r="GO197" s="924">
        <v>4761.8440000000001</v>
      </c>
      <c r="GQ197" s="927">
        <f t="shared" si="623"/>
        <v>0</v>
      </c>
      <c r="GR197" s="927">
        <f t="shared" si="623"/>
        <v>0</v>
      </c>
      <c r="GS197" s="927">
        <f t="shared" si="623"/>
        <v>8.4999999999999964E-2</v>
      </c>
      <c r="GT197" s="927">
        <f t="shared" si="623"/>
        <v>0</v>
      </c>
      <c r="GU197" s="927">
        <f t="shared" si="623"/>
        <v>9.7199078341013934E-2</v>
      </c>
      <c r="GV197" s="927">
        <f t="shared" si="623"/>
        <v>0</v>
      </c>
      <c r="GW197" s="927" t="str">
        <f t="shared" si="583"/>
        <v/>
      </c>
      <c r="GX197" s="927" t="str">
        <f t="shared" si="583"/>
        <v/>
      </c>
      <c r="GY197" s="927">
        <f t="shared" si="492"/>
        <v>0</v>
      </c>
      <c r="HA197" s="924">
        <f t="shared" si="624"/>
        <v>0</v>
      </c>
      <c r="HB197" s="924">
        <f t="shared" si="624"/>
        <v>0</v>
      </c>
      <c r="HC197" s="924">
        <f t="shared" si="624"/>
        <v>340</v>
      </c>
      <c r="HD197" s="924">
        <f t="shared" si="577"/>
        <v>0</v>
      </c>
      <c r="HE197" s="924">
        <f t="shared" si="577"/>
        <v>421.84400000000005</v>
      </c>
      <c r="HF197" s="924">
        <f t="shared" si="577"/>
        <v>0</v>
      </c>
      <c r="HG197" s="924" t="e">
        <f t="shared" si="577"/>
        <v>#VALUE!</v>
      </c>
      <c r="HH197" s="924" t="e">
        <f t="shared" si="577"/>
        <v>#VALUE!</v>
      </c>
      <c r="HI197" s="924">
        <f t="shared" si="493"/>
        <v>0</v>
      </c>
      <c r="HK197" s="973"/>
      <c r="HL197" s="973"/>
      <c r="HM197" s="973"/>
      <c r="HN197" s="973"/>
      <c r="HO197" s="973"/>
      <c r="HP197" s="973"/>
      <c r="HQ197" s="973"/>
      <c r="HR197" s="973"/>
      <c r="HS197" s="973"/>
      <c r="HU197" s="924">
        <f t="shared" si="625"/>
        <v>320</v>
      </c>
      <c r="HV197" s="924">
        <f t="shared" si="625"/>
        <v>320</v>
      </c>
      <c r="HW197" s="924">
        <f t="shared" si="625"/>
        <v>4000</v>
      </c>
      <c r="HX197" s="924">
        <f t="shared" si="625"/>
        <v>4000</v>
      </c>
      <c r="HY197" s="924">
        <f t="shared" si="626"/>
        <v>4000</v>
      </c>
      <c r="HZ197" s="924">
        <f t="shared" si="626"/>
        <v>4340</v>
      </c>
      <c r="IA197" s="924">
        <f t="shared" si="627"/>
        <v>4340</v>
      </c>
      <c r="IB197" s="924">
        <f t="shared" si="628"/>
        <v>4761.8440000000001</v>
      </c>
      <c r="IC197" s="924">
        <f t="shared" si="629"/>
        <v>4761.8440000000001</v>
      </c>
      <c r="ID197" s="924" t="e">
        <f t="shared" si="568"/>
        <v>#VALUE!</v>
      </c>
      <c r="IE197" s="924" t="e">
        <f t="shared" si="590"/>
        <v>#VALUE!</v>
      </c>
      <c r="IG197" s="924" t="e">
        <f t="shared" si="533"/>
        <v>#VALUE!</v>
      </c>
      <c r="IH197" s="924" t="e">
        <f t="shared" si="534"/>
        <v>#VALUE!</v>
      </c>
      <c r="II197" s="145"/>
      <c r="IJ197" s="927" t="str">
        <f t="shared" si="630"/>
        <v>NA</v>
      </c>
      <c r="IK197" s="928" t="str">
        <f t="shared" si="631"/>
        <v>NA</v>
      </c>
      <c r="IM197" s="973"/>
      <c r="IN197" s="973"/>
      <c r="IP197" s="927">
        <f t="shared" ref="IP197:IU208" si="642">+IFERROR(HW197/HV197-1,"")</f>
        <v>11.5</v>
      </c>
      <c r="IQ197" s="927">
        <f t="shared" si="642"/>
        <v>0</v>
      </c>
      <c r="IR197" s="927">
        <f t="shared" si="642"/>
        <v>0</v>
      </c>
      <c r="IS197" s="927">
        <f t="shared" si="642"/>
        <v>8.4999999999999964E-2</v>
      </c>
      <c r="IT197" s="927">
        <f t="shared" si="642"/>
        <v>0</v>
      </c>
      <c r="IU197" s="927">
        <f t="shared" si="642"/>
        <v>9.7199078341013934E-2</v>
      </c>
      <c r="IV197" s="927" t="str">
        <f t="shared" ref="IV197:IV208" si="643">+IFERROR(IE197/IB197-1,"")</f>
        <v/>
      </c>
      <c r="IX197" s="924">
        <f t="shared" si="632"/>
        <v>3680</v>
      </c>
      <c r="IY197" s="924">
        <f t="shared" si="632"/>
        <v>0</v>
      </c>
      <c r="IZ197" s="924">
        <f t="shared" si="632"/>
        <v>0</v>
      </c>
      <c r="JA197" s="924">
        <f t="shared" si="632"/>
        <v>340</v>
      </c>
      <c r="JB197" s="924">
        <f t="shared" si="632"/>
        <v>0</v>
      </c>
      <c r="JC197" s="924">
        <f t="shared" si="632"/>
        <v>421.84400000000005</v>
      </c>
      <c r="JD197" s="924" t="e">
        <f t="shared" si="633"/>
        <v>#VALUE!</v>
      </c>
      <c r="JF197" s="973"/>
      <c r="JG197" s="973"/>
      <c r="JH197" s="973"/>
      <c r="JI197" s="973"/>
      <c r="JJ197" s="973"/>
      <c r="JK197" s="973"/>
      <c r="JL197" s="973"/>
      <c r="JM197" s="973"/>
      <c r="JO197" s="924">
        <f t="shared" si="634"/>
        <v>320</v>
      </c>
      <c r="JP197" s="924">
        <f t="shared" si="634"/>
        <v>320</v>
      </c>
      <c r="JQ197" s="924">
        <f t="shared" si="634"/>
        <v>4000</v>
      </c>
      <c r="JR197" s="924">
        <f t="shared" si="634"/>
        <v>4000</v>
      </c>
      <c r="JS197" s="924">
        <f t="shared" si="634"/>
        <v>4000</v>
      </c>
      <c r="JT197" s="924">
        <f t="shared" si="635"/>
        <v>4340</v>
      </c>
      <c r="JU197" s="924">
        <f t="shared" si="636"/>
        <v>4340</v>
      </c>
      <c r="JV197" s="924">
        <f t="shared" si="637"/>
        <v>4761.8440000000001</v>
      </c>
      <c r="JW197" s="924">
        <f t="shared" si="637"/>
        <v>4761.8440000000001</v>
      </c>
      <c r="JX197" s="924" t="e">
        <f t="shared" si="638"/>
        <v>#VALUE!</v>
      </c>
      <c r="JY197" s="924" t="e">
        <f t="shared" si="639"/>
        <v>#VALUE!</v>
      </c>
      <c r="KB197" s="76">
        <f t="shared" si="640"/>
        <v>11.5</v>
      </c>
      <c r="KC197" s="76">
        <f t="shared" si="640"/>
        <v>0</v>
      </c>
      <c r="KD197" s="76">
        <f t="shared" si="640"/>
        <v>0</v>
      </c>
      <c r="KE197" s="76">
        <f t="shared" si="640"/>
        <v>8.4999999999999964E-2</v>
      </c>
      <c r="KF197" s="76">
        <f t="shared" si="640"/>
        <v>0</v>
      </c>
      <c r="KG197" s="76">
        <f t="shared" si="640"/>
        <v>9.7199078341013934E-2</v>
      </c>
      <c r="KH197" s="76" t="str">
        <f t="shared" si="569"/>
        <v xml:space="preserve"> </v>
      </c>
      <c r="KJ197" s="924">
        <f t="shared" si="641"/>
        <v>3680</v>
      </c>
      <c r="KK197" s="924">
        <f t="shared" si="641"/>
        <v>0</v>
      </c>
      <c r="KL197" s="924">
        <f t="shared" si="641"/>
        <v>0</v>
      </c>
      <c r="KM197" s="924">
        <f t="shared" si="641"/>
        <v>340</v>
      </c>
      <c r="KN197" s="924">
        <f t="shared" si="641"/>
        <v>0</v>
      </c>
      <c r="KO197" s="924">
        <f t="shared" si="641"/>
        <v>421.84400000000005</v>
      </c>
      <c r="KP197" s="924" t="e">
        <f t="shared" si="570"/>
        <v>#VALUE!</v>
      </c>
      <c r="KR197" s="973"/>
      <c r="KS197" s="973"/>
      <c r="KT197" s="973"/>
      <c r="KU197" s="973"/>
      <c r="KV197" s="973"/>
      <c r="KW197" s="973"/>
      <c r="KX197" s="973"/>
      <c r="KY197" s="973"/>
      <c r="KZ197" s="973"/>
    </row>
    <row r="198" spans="1:312" outlineLevel="1">
      <c r="A198" s="884">
        <v>32</v>
      </c>
      <c r="B198" s="70" t="s">
        <v>755</v>
      </c>
      <c r="C198" s="17" t="s">
        <v>154</v>
      </c>
      <c r="D198" s="31" t="s">
        <v>59</v>
      </c>
      <c r="E198" s="102">
        <v>0</v>
      </c>
      <c r="F198" s="102">
        <v>0</v>
      </c>
      <c r="G198" s="102">
        <v>0</v>
      </c>
      <c r="H198" s="102">
        <v>0</v>
      </c>
      <c r="I198" s="102">
        <v>0</v>
      </c>
      <c r="J198" s="102">
        <v>0</v>
      </c>
      <c r="K198" s="102">
        <v>0</v>
      </c>
      <c r="L198" s="102">
        <v>0</v>
      </c>
      <c r="M198" s="102">
        <v>14784</v>
      </c>
      <c r="N198" s="102">
        <v>0</v>
      </c>
      <c r="O198" s="102">
        <v>0</v>
      </c>
      <c r="P198" s="102">
        <v>0</v>
      </c>
      <c r="Q198" s="102">
        <v>0</v>
      </c>
      <c r="R198" s="102">
        <v>0</v>
      </c>
      <c r="S198" s="102">
        <v>0</v>
      </c>
      <c r="T198" s="102">
        <v>0</v>
      </c>
      <c r="U198" s="102">
        <v>0</v>
      </c>
      <c r="V198" s="102">
        <v>0</v>
      </c>
      <c r="W198" s="102">
        <v>0</v>
      </c>
      <c r="X198" s="102">
        <v>0</v>
      </c>
      <c r="Y198" s="102">
        <v>0</v>
      </c>
      <c r="Z198" s="102">
        <v>0</v>
      </c>
      <c r="AA198" s="102">
        <v>0</v>
      </c>
      <c r="AB198" s="102">
        <v>0</v>
      </c>
      <c r="AC198" s="102">
        <v>0</v>
      </c>
      <c r="AD198" s="102">
        <v>0</v>
      </c>
      <c r="AE198" s="102">
        <v>0</v>
      </c>
      <c r="AF198" s="102">
        <v>0</v>
      </c>
      <c r="AG198" s="102">
        <v>0</v>
      </c>
      <c r="AH198" s="102">
        <v>0</v>
      </c>
      <c r="AI198" s="102">
        <v>0</v>
      </c>
      <c r="AJ198" s="102">
        <v>0</v>
      </c>
      <c r="AK198" s="102">
        <v>0</v>
      </c>
      <c r="AL198" s="102">
        <v>0</v>
      </c>
      <c r="AM198" s="102">
        <v>0</v>
      </c>
      <c r="AN198" s="102">
        <v>139.035572</v>
      </c>
      <c r="AO198" s="102">
        <v>139.035572</v>
      </c>
      <c r="AP198" s="102">
        <v>139.035572</v>
      </c>
      <c r="AQ198" s="102">
        <v>139.035572</v>
      </c>
      <c r="AR198" s="102">
        <v>139.035572</v>
      </c>
      <c r="AS198" s="102">
        <v>139.035572</v>
      </c>
      <c r="AT198" s="102">
        <v>139.035572</v>
      </c>
      <c r="AU198" s="102">
        <v>139.035572</v>
      </c>
      <c r="AV198" s="102">
        <v>139.035572</v>
      </c>
      <c r="AW198" s="102">
        <v>139.035572</v>
      </c>
      <c r="AX198" s="102">
        <v>139.035572</v>
      </c>
      <c r="AY198" s="102">
        <v>139.035572</v>
      </c>
      <c r="AZ198" s="102">
        <v>139.035572</v>
      </c>
      <c r="BA198" s="102">
        <v>139.035572</v>
      </c>
      <c r="BB198" s="102">
        <v>139.035572</v>
      </c>
      <c r="BC198" s="102">
        <v>139.035572</v>
      </c>
      <c r="BD198" s="102">
        <v>139.035572</v>
      </c>
      <c r="BE198" s="102">
        <v>139.035572</v>
      </c>
      <c r="BF198" s="102">
        <v>139.035572</v>
      </c>
      <c r="BG198" s="102">
        <v>139.035572</v>
      </c>
      <c r="BH198" s="102">
        <v>139.035572</v>
      </c>
      <c r="BI198" s="102">
        <v>139.035572</v>
      </c>
      <c r="BJ198" s="102">
        <v>139.035572</v>
      </c>
      <c r="BK198" s="102">
        <v>139.035572</v>
      </c>
      <c r="BL198" s="102">
        <v>139.035572</v>
      </c>
      <c r="BM198" s="102">
        <v>139.035572</v>
      </c>
      <c r="BN198" s="102">
        <v>139.035572</v>
      </c>
      <c r="BO198" s="102">
        <v>139.035572</v>
      </c>
      <c r="BP198" s="102">
        <v>139.035572</v>
      </c>
      <c r="BQ198" s="102">
        <v>139.035572</v>
      </c>
      <c r="BR198" s="102">
        <v>139.035572</v>
      </c>
      <c r="BS198" s="102">
        <v>139.035572</v>
      </c>
      <c r="BT198" s="102">
        <v>139.035572</v>
      </c>
      <c r="BU198" s="102">
        <v>139.035572</v>
      </c>
      <c r="BV198" s="102">
        <v>139.035572</v>
      </c>
      <c r="BW198" s="102">
        <v>139.035572</v>
      </c>
      <c r="BX198" s="102">
        <v>139.035572</v>
      </c>
      <c r="BY198" s="102">
        <v>139.035572</v>
      </c>
      <c r="BZ198" s="102">
        <v>139.035572</v>
      </c>
      <c r="CA198" s="102">
        <v>139.035572</v>
      </c>
      <c r="CB198" s="102">
        <v>139.035572</v>
      </c>
      <c r="CC198" s="102">
        <v>139.035572</v>
      </c>
      <c r="CD198" s="102">
        <v>139.035572</v>
      </c>
      <c r="CE198" s="102">
        <v>199.59157200000001</v>
      </c>
      <c r="CF198" s="102">
        <v>199.59157200000001</v>
      </c>
      <c r="CG198" s="102">
        <v>199.59157200000001</v>
      </c>
      <c r="CH198" s="102">
        <v>199.59157200000001</v>
      </c>
      <c r="CI198" s="102">
        <v>199.59157200000001</v>
      </c>
      <c r="CJ198" s="102">
        <v>199.59157200000001</v>
      </c>
      <c r="CK198" s="102">
        <v>199.59157200000001</v>
      </c>
      <c r="CL198" s="102">
        <v>199.59157200000001</v>
      </c>
      <c r="CM198" s="102">
        <v>199.59157200000001</v>
      </c>
      <c r="CN198" s="102">
        <v>199.59157200000001</v>
      </c>
      <c r="CO198" s="102">
        <v>199.59157200000001</v>
      </c>
      <c r="CP198" s="102">
        <v>199.59157200000001</v>
      </c>
      <c r="CQ198" s="102">
        <v>199.59157200000001</v>
      </c>
      <c r="CR198" s="102">
        <v>199.59157200000001</v>
      </c>
      <c r="CS198" s="102">
        <v>199.59157200000001</v>
      </c>
      <c r="CT198" s="102">
        <v>199.59157200000001</v>
      </c>
      <c r="CU198" s="102">
        <v>199.59157200000001</v>
      </c>
      <c r="CV198" s="102">
        <v>199.59157200000001</v>
      </c>
      <c r="CW198" s="102">
        <v>199.59157200000001</v>
      </c>
      <c r="CX198" s="102">
        <v>199.59157200000001</v>
      </c>
      <c r="CY198" s="102">
        <v>199.59157200000001</v>
      </c>
      <c r="CZ198" s="102">
        <v>199.59157200000001</v>
      </c>
      <c r="DA198" s="102">
        <v>199.59157200000001</v>
      </c>
      <c r="DB198" s="102">
        <v>199.59157200000001</v>
      </c>
      <c r="DC198" s="102">
        <v>199.59157200000001</v>
      </c>
      <c r="DD198" s="102">
        <v>199.59157200000001</v>
      </c>
      <c r="DE198" s="102">
        <v>199.59157200000001</v>
      </c>
      <c r="DF198" s="102">
        <v>199.59157200000001</v>
      </c>
      <c r="DG198" s="102">
        <v>199.59157200000001</v>
      </c>
      <c r="DH198" s="102">
        <v>199.59157200000001</v>
      </c>
      <c r="DJ198" s="102" t="e">
        <v>#VALUE!</v>
      </c>
      <c r="DK198" s="102" t="e">
        <v>#VALUE!</v>
      </c>
      <c r="DL198" s="102" t="e">
        <v>#VALUE!</v>
      </c>
      <c r="DM198" s="102" t="e">
        <v>#VALUE!</v>
      </c>
      <c r="DN198" s="102" t="e">
        <v>#VALUE!</v>
      </c>
      <c r="DO198" s="102" t="e">
        <v>#VALUE!</v>
      </c>
      <c r="DP198" s="102" t="e">
        <v>#VALUE!</v>
      </c>
      <c r="DQ198" s="102" t="e">
        <v>#VALUE!</v>
      </c>
      <c r="DR198" s="102" t="e">
        <v>#VALUE!</v>
      </c>
      <c r="DS198" s="102" t="e">
        <v>#VALUE!</v>
      </c>
      <c r="DT198" s="102" t="e">
        <v>#VALUE!</v>
      </c>
      <c r="DU198" s="102" t="e">
        <v>#VALUE!</v>
      </c>
      <c r="DW198" s="102"/>
      <c r="DX198" s="102"/>
      <c r="DY198" s="102"/>
      <c r="DZ198" s="102"/>
      <c r="EA198" s="102"/>
      <c r="EB198" s="102"/>
      <c r="EC198" s="102"/>
      <c r="ED198" s="102"/>
      <c r="EE198" s="102"/>
      <c r="EF198" s="102"/>
      <c r="EG198" s="102"/>
      <c r="EH198" s="102"/>
      <c r="EI198" s="102">
        <v>139.035572</v>
      </c>
      <c r="EJ198" s="102">
        <v>139.035572</v>
      </c>
      <c r="EK198" s="102">
        <v>139.035572</v>
      </c>
      <c r="EL198" s="102">
        <v>139.035572</v>
      </c>
      <c r="EM198" s="102">
        <v>139.035572</v>
      </c>
      <c r="EN198" s="102">
        <v>139.035572</v>
      </c>
      <c r="EO198" s="102">
        <v>139.035572</v>
      </c>
      <c r="EP198" s="102">
        <v>139.035572</v>
      </c>
      <c r="EQ198" s="102">
        <v>139.035572</v>
      </c>
      <c r="ER198" s="102">
        <v>139.035572</v>
      </c>
      <c r="ES198" s="102">
        <v>139.035572</v>
      </c>
      <c r="ET198" s="102">
        <v>139.035572</v>
      </c>
      <c r="EU198" s="102">
        <v>139.035572</v>
      </c>
      <c r="EV198" s="102">
        <v>139.035572</v>
      </c>
      <c r="EW198" s="102">
        <v>139.035572</v>
      </c>
      <c r="EX198" s="102">
        <v>139.035572</v>
      </c>
      <c r="EY198" s="102">
        <v>139.035572</v>
      </c>
      <c r="EZ198" s="102">
        <v>139.035572</v>
      </c>
      <c r="FA198" s="102">
        <v>139.035572</v>
      </c>
      <c r="FB198" s="102">
        <v>139.035572</v>
      </c>
      <c r="FC198" s="102">
        <v>139.035572</v>
      </c>
      <c r="FD198" s="102">
        <v>139.035572</v>
      </c>
      <c r="FE198" s="102">
        <v>139.035572</v>
      </c>
      <c r="FF198" s="102">
        <v>139.035572</v>
      </c>
      <c r="FG198" s="102" t="e">
        <v>#VALUE!</v>
      </c>
      <c r="FH198" s="102" t="e">
        <v>#VALUE!</v>
      </c>
      <c r="FI198" s="102" t="e">
        <v>#VALUE!</v>
      </c>
      <c r="FJ198" s="102" t="e">
        <v>#VALUE!</v>
      </c>
      <c r="FK198" s="102" t="e">
        <v>#VALUE!</v>
      </c>
      <c r="FL198" s="102" t="e">
        <v>#VALUE!</v>
      </c>
      <c r="FM198" s="102" t="e">
        <v>#VALUE!</v>
      </c>
      <c r="FN198" s="102" t="e">
        <v>#VALUE!</v>
      </c>
      <c r="FO198" s="102" t="e">
        <v>#VALUE!</v>
      </c>
      <c r="FP198" s="102" t="e">
        <v>#VALUE!</v>
      </c>
      <c r="FQ198" s="102" t="e">
        <v>#VALUE!</v>
      </c>
      <c r="FR198" s="102" t="e">
        <v>#VALUE!</v>
      </c>
      <c r="FS198" s="102" t="e">
        <v>#VALUE!</v>
      </c>
      <c r="FT198" s="102" t="e">
        <v>#VALUE!</v>
      </c>
      <c r="FU198" s="102" t="e">
        <v>#VALUE!</v>
      </c>
      <c r="FV198" s="102" t="e">
        <v>#VALUE!</v>
      </c>
      <c r="FW198" s="102" t="e">
        <v>#VALUE!</v>
      </c>
      <c r="FX198" s="102" t="e">
        <v>#VALUE!</v>
      </c>
      <c r="FY198" s="102" t="e">
        <v>#VALUE!</v>
      </c>
      <c r="FZ198" s="102" t="e">
        <v>#VALUE!</v>
      </c>
      <c r="GA198" s="102" t="e">
        <v>#VALUE!</v>
      </c>
      <c r="GB198" s="102" t="e">
        <v>#VALUE!</v>
      </c>
      <c r="GC198" s="102" t="e">
        <v>#VALUE!</v>
      </c>
      <c r="GD198" s="102" t="e">
        <v>#VALUE!</v>
      </c>
      <c r="GF198" s="102">
        <f t="shared" si="622"/>
        <v>0</v>
      </c>
      <c r="GG198" s="102">
        <f t="shared" si="622"/>
        <v>0</v>
      </c>
      <c r="GH198" s="102">
        <f t="shared" si="622"/>
        <v>139.035572</v>
      </c>
      <c r="GI198" s="102">
        <f t="shared" si="622"/>
        <v>139.035572</v>
      </c>
      <c r="GJ198" s="102">
        <f t="shared" si="575"/>
        <v>139.035572</v>
      </c>
      <c r="GK198" s="102">
        <f t="shared" si="565"/>
        <v>139.035572</v>
      </c>
      <c r="GL198" s="102">
        <f t="shared" si="571"/>
        <v>199.59157200000001</v>
      </c>
      <c r="GM198" s="102">
        <f t="shared" si="566"/>
        <v>199.59157200000001</v>
      </c>
      <c r="GN198" s="102" t="e">
        <f t="shared" si="567"/>
        <v>#VALUE!</v>
      </c>
      <c r="GO198" s="102">
        <v>199.59157200000001</v>
      </c>
      <c r="GQ198" s="929" t="str">
        <f t="shared" si="623"/>
        <v/>
      </c>
      <c r="GR198" s="929">
        <f t="shared" si="623"/>
        <v>0</v>
      </c>
      <c r="GS198" s="929">
        <f t="shared" si="623"/>
        <v>0</v>
      </c>
      <c r="GT198" s="929">
        <f t="shared" si="623"/>
        <v>0</v>
      </c>
      <c r="GU198" s="929">
        <f t="shared" si="623"/>
        <v>0.43554321479685787</v>
      </c>
      <c r="GV198" s="929">
        <f t="shared" si="623"/>
        <v>0</v>
      </c>
      <c r="GW198" s="929" t="str">
        <f t="shared" si="623"/>
        <v/>
      </c>
      <c r="GX198" s="929" t="str">
        <f t="shared" si="623"/>
        <v/>
      </c>
      <c r="GY198" s="929">
        <f t="shared" si="492"/>
        <v>0</v>
      </c>
      <c r="HA198" s="102">
        <f t="shared" si="624"/>
        <v>139.035572</v>
      </c>
      <c r="HB198" s="102">
        <f t="shared" si="624"/>
        <v>0</v>
      </c>
      <c r="HC198" s="102">
        <f t="shared" si="624"/>
        <v>0</v>
      </c>
      <c r="HD198" s="102">
        <f t="shared" si="577"/>
        <v>0</v>
      </c>
      <c r="HE198" s="102">
        <f t="shared" si="577"/>
        <v>60.556000000000012</v>
      </c>
      <c r="HF198" s="102">
        <f t="shared" si="577"/>
        <v>0</v>
      </c>
      <c r="HG198" s="102" t="e">
        <f t="shared" si="577"/>
        <v>#VALUE!</v>
      </c>
      <c r="HH198" s="102" t="e">
        <f t="shared" si="577"/>
        <v>#VALUE!</v>
      </c>
      <c r="HI198" s="102">
        <f t="shared" si="493"/>
        <v>0</v>
      </c>
      <c r="HK198" s="973"/>
      <c r="HL198" s="973"/>
      <c r="HM198" s="973"/>
      <c r="HN198" s="973"/>
      <c r="HO198" s="973"/>
      <c r="HP198" s="973"/>
      <c r="HQ198" s="973"/>
      <c r="HR198" s="973"/>
      <c r="HS198" s="973"/>
      <c r="HU198" s="102">
        <f t="shared" si="625"/>
        <v>0</v>
      </c>
      <c r="HV198" s="102">
        <f t="shared" si="625"/>
        <v>0</v>
      </c>
      <c r="HW198" s="102">
        <f t="shared" si="625"/>
        <v>0</v>
      </c>
      <c r="HX198" s="102">
        <f t="shared" si="625"/>
        <v>139.035572</v>
      </c>
      <c r="HY198" s="102">
        <f t="shared" si="626"/>
        <v>139.035572</v>
      </c>
      <c r="HZ198" s="102">
        <f t="shared" si="626"/>
        <v>139.035572</v>
      </c>
      <c r="IA198" s="102">
        <f t="shared" si="627"/>
        <v>139.035572</v>
      </c>
      <c r="IB198" s="102">
        <f t="shared" si="628"/>
        <v>199.59157200000001</v>
      </c>
      <c r="IC198" s="102">
        <f t="shared" si="629"/>
        <v>199.59157200000001</v>
      </c>
      <c r="ID198" s="102" t="e">
        <f t="shared" si="568"/>
        <v>#VALUE!</v>
      </c>
      <c r="IE198" s="102" t="e">
        <f t="shared" si="590"/>
        <v>#VALUE!</v>
      </c>
      <c r="IG198" s="102" t="e">
        <f t="shared" si="533"/>
        <v>#VALUE!</v>
      </c>
      <c r="IH198" s="102" t="e">
        <f t="shared" si="534"/>
        <v>#VALUE!</v>
      </c>
      <c r="II198" s="145"/>
      <c r="IJ198" s="929" t="str">
        <f t="shared" si="630"/>
        <v>NA</v>
      </c>
      <c r="IK198" s="930" t="str">
        <f t="shared" si="631"/>
        <v>NA</v>
      </c>
      <c r="IM198" s="973"/>
      <c r="IN198" s="973"/>
      <c r="IP198" s="929" t="str">
        <f t="shared" si="642"/>
        <v/>
      </c>
      <c r="IQ198" s="929" t="str">
        <f t="shared" si="642"/>
        <v/>
      </c>
      <c r="IR198" s="929">
        <f t="shared" si="642"/>
        <v>0</v>
      </c>
      <c r="IS198" s="929">
        <f t="shared" si="642"/>
        <v>0</v>
      </c>
      <c r="IT198" s="929">
        <f t="shared" si="642"/>
        <v>0</v>
      </c>
      <c r="IU198" s="929">
        <f t="shared" si="642"/>
        <v>0.43554321479685787</v>
      </c>
      <c r="IV198" s="929" t="str">
        <f t="shared" si="643"/>
        <v/>
      </c>
      <c r="IX198" s="102">
        <f t="shared" si="632"/>
        <v>0</v>
      </c>
      <c r="IY198" s="102">
        <f t="shared" si="632"/>
        <v>139.035572</v>
      </c>
      <c r="IZ198" s="102">
        <f t="shared" si="632"/>
        <v>0</v>
      </c>
      <c r="JA198" s="102">
        <f t="shared" si="632"/>
        <v>0</v>
      </c>
      <c r="JB198" s="102">
        <f t="shared" si="632"/>
        <v>0</v>
      </c>
      <c r="JC198" s="102">
        <f t="shared" si="632"/>
        <v>60.556000000000012</v>
      </c>
      <c r="JD198" s="102" t="e">
        <f t="shared" si="633"/>
        <v>#VALUE!</v>
      </c>
      <c r="JF198" s="973"/>
      <c r="JG198" s="973"/>
      <c r="JH198" s="973"/>
      <c r="JI198" s="973"/>
      <c r="JJ198" s="973"/>
      <c r="JK198" s="973"/>
      <c r="JL198" s="973"/>
      <c r="JM198" s="973"/>
      <c r="JO198" s="102">
        <f t="shared" si="634"/>
        <v>0</v>
      </c>
      <c r="JP198" s="102">
        <f t="shared" si="634"/>
        <v>0</v>
      </c>
      <c r="JQ198" s="102">
        <f t="shared" si="634"/>
        <v>0</v>
      </c>
      <c r="JR198" s="102">
        <f t="shared" si="634"/>
        <v>139.035572</v>
      </c>
      <c r="JS198" s="102">
        <f t="shared" si="634"/>
        <v>139.035572</v>
      </c>
      <c r="JT198" s="102">
        <f t="shared" si="635"/>
        <v>139.035572</v>
      </c>
      <c r="JU198" s="102">
        <f t="shared" si="636"/>
        <v>139.035572</v>
      </c>
      <c r="JV198" s="102">
        <f t="shared" si="637"/>
        <v>199.59157200000001</v>
      </c>
      <c r="JW198" s="102">
        <f t="shared" si="637"/>
        <v>199.59157200000001</v>
      </c>
      <c r="JX198" s="102" t="e">
        <f t="shared" si="638"/>
        <v>#VALUE!</v>
      </c>
      <c r="JY198" s="102" t="e">
        <f t="shared" si="639"/>
        <v>#VALUE!</v>
      </c>
      <c r="KB198" s="32" t="str">
        <f t="shared" si="640"/>
        <v xml:space="preserve"> </v>
      </c>
      <c r="KC198" s="32" t="str">
        <f t="shared" si="640"/>
        <v xml:space="preserve"> </v>
      </c>
      <c r="KD198" s="32">
        <f t="shared" si="640"/>
        <v>0</v>
      </c>
      <c r="KE198" s="32">
        <f t="shared" si="640"/>
        <v>0</v>
      </c>
      <c r="KF198" s="32">
        <f t="shared" si="640"/>
        <v>0</v>
      </c>
      <c r="KG198" s="32">
        <f t="shared" si="640"/>
        <v>0.43554321479685787</v>
      </c>
      <c r="KH198" s="32" t="str">
        <f t="shared" si="569"/>
        <v xml:space="preserve"> </v>
      </c>
      <c r="KJ198" s="102">
        <f t="shared" si="641"/>
        <v>0</v>
      </c>
      <c r="KK198" s="102">
        <f t="shared" si="641"/>
        <v>139.035572</v>
      </c>
      <c r="KL198" s="102">
        <f t="shared" si="641"/>
        <v>0</v>
      </c>
      <c r="KM198" s="102">
        <f t="shared" si="641"/>
        <v>0</v>
      </c>
      <c r="KN198" s="102">
        <f t="shared" si="641"/>
        <v>0</v>
      </c>
      <c r="KO198" s="102">
        <f t="shared" si="641"/>
        <v>60.556000000000012</v>
      </c>
      <c r="KP198" s="102" t="e">
        <f t="shared" si="570"/>
        <v>#VALUE!</v>
      </c>
      <c r="KR198" s="973"/>
      <c r="KS198" s="973"/>
      <c r="KT198" s="973"/>
      <c r="KU198" s="973"/>
      <c r="KV198" s="973"/>
      <c r="KW198" s="973"/>
      <c r="KX198" s="973"/>
      <c r="KY198" s="973"/>
      <c r="KZ198" s="973"/>
    </row>
    <row r="199" spans="1:312" outlineLevel="1">
      <c r="A199" s="884">
        <v>330505</v>
      </c>
      <c r="B199" s="70" t="s">
        <v>756</v>
      </c>
      <c r="C199" s="17" t="s">
        <v>156</v>
      </c>
      <c r="D199" s="31" t="s">
        <v>59</v>
      </c>
      <c r="E199" s="102">
        <v>413.01156430999998</v>
      </c>
      <c r="F199" s="102">
        <v>413.01156430999998</v>
      </c>
      <c r="G199" s="102">
        <v>413.01156430999998</v>
      </c>
      <c r="H199" s="102">
        <v>413.01156430999998</v>
      </c>
      <c r="I199" s="102">
        <v>413.01156430999998</v>
      </c>
      <c r="J199" s="102">
        <v>413.01156430999998</v>
      </c>
      <c r="K199" s="102">
        <v>413.01156430999998</v>
      </c>
      <c r="L199" s="102">
        <v>413.01156430999998</v>
      </c>
      <c r="M199" s="102">
        <v>413.01156430999998</v>
      </c>
      <c r="N199" s="102">
        <v>413.01156430999998</v>
      </c>
      <c r="O199" s="102">
        <v>413.01156430999998</v>
      </c>
      <c r="P199" s="102">
        <v>740.21220130999995</v>
      </c>
      <c r="Q199" s="145">
        <v>740.21220130999995</v>
      </c>
      <c r="R199" s="102">
        <v>740.21220130999995</v>
      </c>
      <c r="S199" s="102">
        <v>740.21220130999995</v>
      </c>
      <c r="T199" s="102">
        <v>740.21220130999995</v>
      </c>
      <c r="U199" s="102">
        <v>740.21220130999995</v>
      </c>
      <c r="V199" s="102">
        <v>740.21220130999995</v>
      </c>
      <c r="W199" s="102">
        <v>740.21220130999995</v>
      </c>
      <c r="X199" s="102">
        <v>740.21220130999995</v>
      </c>
      <c r="Y199" s="102">
        <v>740.21220130999995</v>
      </c>
      <c r="Z199" s="102">
        <v>740.21220130999995</v>
      </c>
      <c r="AA199" s="102">
        <v>740.21220130999995</v>
      </c>
      <c r="AB199" s="102">
        <v>740.21220130999995</v>
      </c>
      <c r="AC199" s="102">
        <v>740.21220130999995</v>
      </c>
      <c r="AD199" s="102">
        <v>740.21220130999995</v>
      </c>
      <c r="AE199" s="102">
        <v>1345.2296688399999</v>
      </c>
      <c r="AF199" s="102">
        <v>1345.2296688399999</v>
      </c>
      <c r="AG199" s="102">
        <v>1345.2296688399999</v>
      </c>
      <c r="AH199" s="102">
        <v>1345.2296688399999</v>
      </c>
      <c r="AI199" s="102">
        <v>1345.2296688399999</v>
      </c>
      <c r="AJ199" s="102">
        <v>1345.2296688399999</v>
      </c>
      <c r="AK199" s="102">
        <v>1345.2296688399999</v>
      </c>
      <c r="AL199" s="102">
        <v>1345.2296688399999</v>
      </c>
      <c r="AM199" s="102">
        <v>1345.2296688399999</v>
      </c>
      <c r="AN199" s="102">
        <v>1345.2296688399999</v>
      </c>
      <c r="AO199" s="102">
        <v>1345.2296688399999</v>
      </c>
      <c r="AP199" s="102">
        <v>1345.2296688399999</v>
      </c>
      <c r="AQ199" s="102">
        <v>1345.2296688399999</v>
      </c>
      <c r="AR199" s="102">
        <v>1345.2296688399999</v>
      </c>
      <c r="AS199" s="102">
        <v>1345.2296688399999</v>
      </c>
      <c r="AT199" s="102">
        <v>1345.2296688399999</v>
      </c>
      <c r="AU199" s="102">
        <v>1345.2296688399999</v>
      </c>
      <c r="AV199" s="102">
        <v>1345.2296688399999</v>
      </c>
      <c r="AW199" s="102">
        <v>1345.2296688399999</v>
      </c>
      <c r="AX199" s="102">
        <v>1345.2296688399999</v>
      </c>
      <c r="AY199" s="102">
        <v>1345.2296688399999</v>
      </c>
      <c r="AZ199" s="102">
        <v>1345.2296688399999</v>
      </c>
      <c r="BA199" s="102">
        <v>1345.2296688399999</v>
      </c>
      <c r="BB199" s="102">
        <v>1345.2296688399999</v>
      </c>
      <c r="BC199" s="102">
        <v>1345.2296688399999</v>
      </c>
      <c r="BD199" s="102">
        <v>1345.2296688399999</v>
      </c>
      <c r="BE199" s="66">
        <v>1345.2296688399999</v>
      </c>
      <c r="BF199" s="66">
        <v>1345.2296688399999</v>
      </c>
      <c r="BG199" s="66">
        <v>1345.2296688399999</v>
      </c>
      <c r="BH199" s="66">
        <v>1345.2296688399999</v>
      </c>
      <c r="BI199" s="66">
        <v>1345.2296688399999</v>
      </c>
      <c r="BJ199" s="66">
        <v>1345.2296688399999</v>
      </c>
      <c r="BK199" s="102">
        <v>1345.2296688399999</v>
      </c>
      <c r="BL199" s="102">
        <v>1345.2296688399999</v>
      </c>
      <c r="BM199" s="102">
        <v>1345.2296688399999</v>
      </c>
      <c r="BN199" s="102">
        <v>1345.2296688399999</v>
      </c>
      <c r="BO199" s="102">
        <v>1345.2296688399999</v>
      </c>
      <c r="BP199" s="102">
        <v>1345.2296688399999</v>
      </c>
      <c r="BQ199" s="66">
        <v>1345.2296688399999</v>
      </c>
      <c r="BR199" s="66">
        <v>1345.2296688399999</v>
      </c>
      <c r="BS199" s="66">
        <v>1345.2296688399999</v>
      </c>
      <c r="BT199" s="66">
        <v>1345.2296688399999</v>
      </c>
      <c r="BU199" s="66">
        <v>1345.2296688399999</v>
      </c>
      <c r="BV199" s="66">
        <v>1345.2296688399999</v>
      </c>
      <c r="BW199" s="102">
        <v>1345.2296688399999</v>
      </c>
      <c r="BX199" s="102">
        <v>1345.2296688399999</v>
      </c>
      <c r="BY199" s="102">
        <v>1345.2296688399999</v>
      </c>
      <c r="BZ199" s="102">
        <v>1345.2296688399999</v>
      </c>
      <c r="CA199" s="102">
        <v>1345.2296688399999</v>
      </c>
      <c r="CB199" s="102">
        <v>1345.2296688399999</v>
      </c>
      <c r="CC199" s="102">
        <v>1345.2296688399999</v>
      </c>
      <c r="CD199" s="102">
        <v>1345.2296688399999</v>
      </c>
      <c r="CE199" s="102">
        <v>1345.2296688399999</v>
      </c>
      <c r="CF199" s="102">
        <v>1345.2296688399999</v>
      </c>
      <c r="CG199" s="102">
        <v>1345.2296688399999</v>
      </c>
      <c r="CH199" s="102">
        <v>1345.2296688399999</v>
      </c>
      <c r="CI199" s="102">
        <v>1345.2296688399999</v>
      </c>
      <c r="CJ199" s="102">
        <v>1345.2296688399999</v>
      </c>
      <c r="CK199" s="102">
        <v>1345.2296688399999</v>
      </c>
      <c r="CL199" s="102">
        <v>1345.2296688399999</v>
      </c>
      <c r="CM199" s="102">
        <v>1345.2296688399999</v>
      </c>
      <c r="CN199" s="102">
        <v>1345.2296688399999</v>
      </c>
      <c r="CO199" s="102">
        <v>1345.2296688399999</v>
      </c>
      <c r="CP199" s="102">
        <v>1345.2296688399999</v>
      </c>
      <c r="CQ199" s="102">
        <v>1345.2296688399999</v>
      </c>
      <c r="CR199" s="102">
        <v>1345.2296688399999</v>
      </c>
      <c r="CS199" s="102">
        <v>1345.2296688399999</v>
      </c>
      <c r="CT199" s="102">
        <v>1345.2296688399999</v>
      </c>
      <c r="CU199" s="102">
        <v>1345.2296688399999</v>
      </c>
      <c r="CV199" s="102">
        <v>1345.2296688399999</v>
      </c>
      <c r="CW199" s="102">
        <v>1345.2296688399999</v>
      </c>
      <c r="CX199" s="102">
        <v>1345.2296688399999</v>
      </c>
      <c r="CY199" s="102">
        <v>1345.2296688399999</v>
      </c>
      <c r="CZ199" s="102">
        <v>1345.2296688399999</v>
      </c>
      <c r="DA199" s="102">
        <v>1345.2296688399999</v>
      </c>
      <c r="DB199" s="102">
        <v>1345.2296688399999</v>
      </c>
      <c r="DC199" s="102">
        <v>1345.2296688399999</v>
      </c>
      <c r="DD199" s="102">
        <v>1345.2296688399999</v>
      </c>
      <c r="DE199" s="102">
        <v>1345.2296688399999</v>
      </c>
      <c r="DF199" s="102">
        <v>1345.2296688399999</v>
      </c>
      <c r="DG199" s="102">
        <v>1345.2296688399999</v>
      </c>
      <c r="DH199" s="102">
        <v>1345.2296688399999</v>
      </c>
      <c r="DJ199" s="102" t="e">
        <v>#VALUE!</v>
      </c>
      <c r="DK199" s="102" t="e">
        <v>#VALUE!</v>
      </c>
      <c r="DL199" s="102" t="e">
        <v>#VALUE!</v>
      </c>
      <c r="DM199" s="102" t="e">
        <v>#VALUE!</v>
      </c>
      <c r="DN199" s="102" t="e">
        <v>#VALUE!</v>
      </c>
      <c r="DO199" s="102" t="e">
        <v>#VALUE!</v>
      </c>
      <c r="DP199" s="102" t="e">
        <v>#VALUE!</v>
      </c>
      <c r="DQ199" s="102" t="e">
        <v>#VALUE!</v>
      </c>
      <c r="DR199" s="102" t="e">
        <v>#VALUE!</v>
      </c>
      <c r="DS199" s="102" t="e">
        <v>#VALUE!</v>
      </c>
      <c r="DT199" s="102" t="e">
        <v>#VALUE!</v>
      </c>
      <c r="DU199" s="102" t="e">
        <v>#VALUE!</v>
      </c>
      <c r="DW199" s="66">
        <v>1345.2296688399999</v>
      </c>
      <c r="DX199" s="66">
        <v>1345.2296688399999</v>
      </c>
      <c r="DY199" s="66">
        <v>1345.2296688399999</v>
      </c>
      <c r="DZ199" s="66">
        <v>1345.2296688399999</v>
      </c>
      <c r="EA199" s="66">
        <v>1345.2296688399999</v>
      </c>
      <c r="EB199" s="66">
        <v>1345.2296688399999</v>
      </c>
      <c r="EC199" s="66">
        <v>1345.2296688399999</v>
      </c>
      <c r="ED199" s="66">
        <v>1345.2296688399999</v>
      </c>
      <c r="EE199" s="66">
        <v>1345.2296688399999</v>
      </c>
      <c r="EF199" s="66">
        <v>1345.2296688399999</v>
      </c>
      <c r="EG199" s="66">
        <v>1345.2296688399999</v>
      </c>
      <c r="EH199" s="66">
        <v>1345.2296688399999</v>
      </c>
      <c r="EI199" s="66">
        <v>1345.2296688399999</v>
      </c>
      <c r="EJ199" s="66">
        <v>1345.2296688399999</v>
      </c>
      <c r="EK199" s="66">
        <v>1345.2296688399999</v>
      </c>
      <c r="EL199" s="66">
        <v>1345.2296688399999</v>
      </c>
      <c r="EM199" s="66">
        <v>1345.2296688399999</v>
      </c>
      <c r="EN199" s="66">
        <v>1345.2296688399999</v>
      </c>
      <c r="EO199" s="66">
        <v>1345.2296688399999</v>
      </c>
      <c r="EP199" s="66">
        <v>1345.2296688399999</v>
      </c>
      <c r="EQ199" s="66">
        <v>1345.2296688399999</v>
      </c>
      <c r="ER199" s="66">
        <v>1345.2296688399999</v>
      </c>
      <c r="ES199" s="66">
        <v>1345.2296688399999</v>
      </c>
      <c r="ET199" s="66">
        <v>1345.2296688399999</v>
      </c>
      <c r="EU199" s="66">
        <v>1345.2296688399999</v>
      </c>
      <c r="EV199" s="66">
        <v>1345.2296688399999</v>
      </c>
      <c r="EW199" s="66">
        <v>1345.2296688399999</v>
      </c>
      <c r="EX199" s="66">
        <v>1345.2296688399999</v>
      </c>
      <c r="EY199" s="66">
        <v>1345.2296688399999</v>
      </c>
      <c r="EZ199" s="66">
        <v>1345.2296688399999</v>
      </c>
      <c r="FA199" s="66">
        <v>1345.2296688399999</v>
      </c>
      <c r="FB199" s="66">
        <v>1345.2296688399999</v>
      </c>
      <c r="FC199" s="66">
        <v>1345.2296688399999</v>
      </c>
      <c r="FD199" s="66">
        <v>1345.2296688399999</v>
      </c>
      <c r="FE199" s="66">
        <v>1345.2296688399999</v>
      </c>
      <c r="FF199" s="66">
        <v>1345.2296688399999</v>
      </c>
      <c r="FG199" s="102" t="e">
        <v>#VALUE!</v>
      </c>
      <c r="FH199" s="102" t="e">
        <v>#VALUE!</v>
      </c>
      <c r="FI199" s="102" t="e">
        <v>#VALUE!</v>
      </c>
      <c r="FJ199" s="102" t="e">
        <v>#VALUE!</v>
      </c>
      <c r="FK199" s="102" t="e">
        <v>#VALUE!</v>
      </c>
      <c r="FL199" s="102" t="e">
        <v>#VALUE!</v>
      </c>
      <c r="FM199" s="102" t="e">
        <v>#VALUE!</v>
      </c>
      <c r="FN199" s="102" t="e">
        <v>#VALUE!</v>
      </c>
      <c r="FO199" s="102" t="e">
        <v>#VALUE!</v>
      </c>
      <c r="FP199" s="102" t="e">
        <v>#VALUE!</v>
      </c>
      <c r="FQ199" s="102" t="e">
        <v>#VALUE!</v>
      </c>
      <c r="FR199" s="102" t="e">
        <v>#VALUE!</v>
      </c>
      <c r="FS199" s="102" t="e">
        <v>#VALUE!</v>
      </c>
      <c r="FT199" s="102" t="e">
        <v>#VALUE!</v>
      </c>
      <c r="FU199" s="102" t="e">
        <v>#VALUE!</v>
      </c>
      <c r="FV199" s="102" t="e">
        <v>#VALUE!</v>
      </c>
      <c r="FW199" s="102" t="e">
        <v>#VALUE!</v>
      </c>
      <c r="FX199" s="102" t="e">
        <v>#VALUE!</v>
      </c>
      <c r="FY199" s="102" t="e">
        <v>#VALUE!</v>
      </c>
      <c r="FZ199" s="102" t="e">
        <v>#VALUE!</v>
      </c>
      <c r="GA199" s="102" t="e">
        <v>#VALUE!</v>
      </c>
      <c r="GB199" s="102" t="e">
        <v>#VALUE!</v>
      </c>
      <c r="GC199" s="102" t="e">
        <v>#VALUE!</v>
      </c>
      <c r="GD199" s="102" t="e">
        <v>#VALUE!</v>
      </c>
      <c r="GF199" s="102">
        <f t="shared" si="622"/>
        <v>740.21220130999995</v>
      </c>
      <c r="GG199" s="102">
        <f t="shared" si="622"/>
        <v>740.21220130999995</v>
      </c>
      <c r="GH199" s="102">
        <f t="shared" si="622"/>
        <v>1345.2296688399999</v>
      </c>
      <c r="GI199" s="102">
        <f t="shared" si="622"/>
        <v>1345.2296688399999</v>
      </c>
      <c r="GJ199" s="102">
        <f t="shared" si="575"/>
        <v>1345.2296688399999</v>
      </c>
      <c r="GK199" s="102">
        <f t="shared" si="565"/>
        <v>1345.2296688399999</v>
      </c>
      <c r="GL199" s="102">
        <f t="shared" si="571"/>
        <v>1345.2296688399999</v>
      </c>
      <c r="GM199" s="102">
        <f t="shared" si="566"/>
        <v>1345.2296688399999</v>
      </c>
      <c r="GN199" s="102" t="e">
        <f t="shared" si="567"/>
        <v>#VALUE!</v>
      </c>
      <c r="GO199" s="102">
        <v>1345.2296688399999</v>
      </c>
      <c r="GQ199" s="929">
        <f t="shared" si="623"/>
        <v>0.8173567883091668</v>
      </c>
      <c r="GR199" s="929">
        <f t="shared" si="623"/>
        <v>0</v>
      </c>
      <c r="GS199" s="929">
        <f t="shared" si="623"/>
        <v>0</v>
      </c>
      <c r="GT199" s="929">
        <f t="shared" si="623"/>
        <v>0</v>
      </c>
      <c r="GU199" s="929">
        <f t="shared" si="623"/>
        <v>0</v>
      </c>
      <c r="GV199" s="929">
        <f t="shared" si="623"/>
        <v>0</v>
      </c>
      <c r="GW199" s="929" t="str">
        <f t="shared" si="623"/>
        <v/>
      </c>
      <c r="GX199" s="929" t="str">
        <f t="shared" si="623"/>
        <v/>
      </c>
      <c r="GY199" s="929">
        <f t="shared" si="492"/>
        <v>0</v>
      </c>
      <c r="HA199" s="102">
        <f t="shared" si="624"/>
        <v>605.01746752999998</v>
      </c>
      <c r="HB199" s="102">
        <f t="shared" si="624"/>
        <v>0</v>
      </c>
      <c r="HC199" s="102">
        <f t="shared" si="624"/>
        <v>0</v>
      </c>
      <c r="HD199" s="102">
        <f t="shared" si="577"/>
        <v>0</v>
      </c>
      <c r="HE199" s="102">
        <f t="shared" si="577"/>
        <v>0</v>
      </c>
      <c r="HF199" s="102">
        <f t="shared" si="577"/>
        <v>0</v>
      </c>
      <c r="HG199" s="102" t="e">
        <f t="shared" si="577"/>
        <v>#VALUE!</v>
      </c>
      <c r="HH199" s="102" t="e">
        <f t="shared" si="577"/>
        <v>#VALUE!</v>
      </c>
      <c r="HI199" s="102">
        <f t="shared" si="493"/>
        <v>0</v>
      </c>
      <c r="HK199" s="973"/>
      <c r="HL199" s="973"/>
      <c r="HM199" s="973"/>
      <c r="HN199" s="973"/>
      <c r="HO199" s="973"/>
      <c r="HP199" s="973"/>
      <c r="HQ199" s="973"/>
      <c r="HR199" s="973"/>
      <c r="HS199" s="973"/>
      <c r="HU199" s="102">
        <f t="shared" si="625"/>
        <v>413.01156430999998</v>
      </c>
      <c r="HV199" s="102">
        <f t="shared" si="625"/>
        <v>740.21220130999995</v>
      </c>
      <c r="HW199" s="102">
        <f t="shared" si="625"/>
        <v>1345.2296688399999</v>
      </c>
      <c r="HX199" s="102">
        <f t="shared" si="625"/>
        <v>1345.2296688399999</v>
      </c>
      <c r="HY199" s="102">
        <f t="shared" si="626"/>
        <v>1345.2296688399999</v>
      </c>
      <c r="HZ199" s="102">
        <f t="shared" si="626"/>
        <v>1345.2296688399999</v>
      </c>
      <c r="IA199" s="102">
        <f t="shared" si="627"/>
        <v>1345.2296688399999</v>
      </c>
      <c r="IB199" s="102">
        <f t="shared" si="628"/>
        <v>1345.2296688399999</v>
      </c>
      <c r="IC199" s="102">
        <f t="shared" si="629"/>
        <v>1345.2296688399999</v>
      </c>
      <c r="ID199" s="102" t="e">
        <f t="shared" si="568"/>
        <v>#VALUE!</v>
      </c>
      <c r="IE199" s="102" t="e">
        <f t="shared" si="590"/>
        <v>#VALUE!</v>
      </c>
      <c r="IG199" s="102" t="e">
        <f t="shared" si="533"/>
        <v>#VALUE!</v>
      </c>
      <c r="IH199" s="102" t="e">
        <f t="shared" si="534"/>
        <v>#VALUE!</v>
      </c>
      <c r="II199" s="145"/>
      <c r="IJ199" s="929" t="str">
        <f t="shared" si="630"/>
        <v>NA</v>
      </c>
      <c r="IK199" s="930" t="str">
        <f t="shared" si="631"/>
        <v>NA</v>
      </c>
      <c r="IM199" s="973"/>
      <c r="IN199" s="973"/>
      <c r="IP199" s="929">
        <f t="shared" si="642"/>
        <v>0.8173567883091668</v>
      </c>
      <c r="IQ199" s="929">
        <f t="shared" si="642"/>
        <v>0</v>
      </c>
      <c r="IR199" s="929">
        <f t="shared" si="642"/>
        <v>0</v>
      </c>
      <c r="IS199" s="929">
        <f t="shared" si="642"/>
        <v>0</v>
      </c>
      <c r="IT199" s="929">
        <f t="shared" si="642"/>
        <v>0</v>
      </c>
      <c r="IU199" s="929">
        <f t="shared" si="642"/>
        <v>0</v>
      </c>
      <c r="IV199" s="929" t="str">
        <f t="shared" si="643"/>
        <v/>
      </c>
      <c r="IX199" s="102">
        <f t="shared" si="632"/>
        <v>605.01746752999998</v>
      </c>
      <c r="IY199" s="102">
        <f t="shared" si="632"/>
        <v>0</v>
      </c>
      <c r="IZ199" s="102">
        <f t="shared" si="632"/>
        <v>0</v>
      </c>
      <c r="JA199" s="102">
        <f t="shared" si="632"/>
        <v>0</v>
      </c>
      <c r="JB199" s="102">
        <f t="shared" si="632"/>
        <v>0</v>
      </c>
      <c r="JC199" s="102">
        <f t="shared" si="632"/>
        <v>0</v>
      </c>
      <c r="JD199" s="102" t="e">
        <f t="shared" si="633"/>
        <v>#VALUE!</v>
      </c>
      <c r="JF199" s="973"/>
      <c r="JG199" s="973"/>
      <c r="JH199" s="973"/>
      <c r="JI199" s="973"/>
      <c r="JJ199" s="973"/>
      <c r="JK199" s="973"/>
      <c r="JL199" s="973"/>
      <c r="JM199" s="973"/>
      <c r="JO199" s="102">
        <f t="shared" si="634"/>
        <v>413.01156430999998</v>
      </c>
      <c r="JP199" s="102">
        <f t="shared" si="634"/>
        <v>740.21220130999995</v>
      </c>
      <c r="JQ199" s="102">
        <f t="shared" si="634"/>
        <v>1345.2296688399999</v>
      </c>
      <c r="JR199" s="102">
        <f t="shared" si="634"/>
        <v>1345.2296688399999</v>
      </c>
      <c r="JS199" s="102">
        <f t="shared" si="634"/>
        <v>1345.2296688399999</v>
      </c>
      <c r="JT199" s="102">
        <f t="shared" si="635"/>
        <v>1345.2296688399999</v>
      </c>
      <c r="JU199" s="102">
        <f t="shared" si="636"/>
        <v>1345.2296688399999</v>
      </c>
      <c r="JV199" s="102">
        <f t="shared" si="637"/>
        <v>1345.2296688399999</v>
      </c>
      <c r="JW199" s="102">
        <f t="shared" si="637"/>
        <v>1345.2296688399999</v>
      </c>
      <c r="JX199" s="102" t="e">
        <f t="shared" si="638"/>
        <v>#VALUE!</v>
      </c>
      <c r="JY199" s="102" t="e">
        <f t="shared" si="639"/>
        <v>#VALUE!</v>
      </c>
      <c r="KB199" s="32">
        <f t="shared" si="640"/>
        <v>0.8173567883091668</v>
      </c>
      <c r="KC199" s="32">
        <f t="shared" si="640"/>
        <v>0</v>
      </c>
      <c r="KD199" s="32">
        <f t="shared" si="640"/>
        <v>0</v>
      </c>
      <c r="KE199" s="32">
        <f t="shared" si="640"/>
        <v>0</v>
      </c>
      <c r="KF199" s="32">
        <f t="shared" si="640"/>
        <v>0</v>
      </c>
      <c r="KG199" s="32">
        <f t="shared" si="640"/>
        <v>0</v>
      </c>
      <c r="KH199" s="32" t="str">
        <f t="shared" si="569"/>
        <v xml:space="preserve"> </v>
      </c>
      <c r="KJ199" s="102">
        <f t="shared" si="641"/>
        <v>605.01746752999998</v>
      </c>
      <c r="KK199" s="102">
        <f t="shared" si="641"/>
        <v>0</v>
      </c>
      <c r="KL199" s="102">
        <f t="shared" si="641"/>
        <v>0</v>
      </c>
      <c r="KM199" s="102">
        <f t="shared" si="641"/>
        <v>0</v>
      </c>
      <c r="KN199" s="102">
        <f t="shared" si="641"/>
        <v>0</v>
      </c>
      <c r="KO199" s="102">
        <f t="shared" si="641"/>
        <v>0</v>
      </c>
      <c r="KP199" s="102" t="e">
        <f t="shared" si="570"/>
        <v>#VALUE!</v>
      </c>
      <c r="KR199" s="973"/>
      <c r="KS199" s="973"/>
      <c r="KT199" s="973"/>
      <c r="KU199" s="973"/>
      <c r="KV199" s="973"/>
      <c r="KW199" s="973"/>
      <c r="KX199" s="973"/>
      <c r="KY199" s="973"/>
      <c r="KZ199" s="973"/>
    </row>
    <row r="200" spans="1:312" outlineLevel="1">
      <c r="A200" s="884"/>
      <c r="B200" s="70"/>
      <c r="C200" s="17" t="s">
        <v>157</v>
      </c>
      <c r="D200" s="31" t="s">
        <v>59</v>
      </c>
      <c r="E200" s="102">
        <v>1633.2</v>
      </c>
      <c r="F200" s="102">
        <v>1633.2</v>
      </c>
      <c r="G200" s="102">
        <v>1633.2</v>
      </c>
      <c r="H200" s="102">
        <v>1633.2</v>
      </c>
      <c r="I200" s="102">
        <v>1633.2</v>
      </c>
      <c r="J200" s="102">
        <v>1633.2</v>
      </c>
      <c r="K200" s="102">
        <v>1633.2</v>
      </c>
      <c r="L200" s="102">
        <v>1633.2</v>
      </c>
      <c r="M200" s="102">
        <v>1633.2</v>
      </c>
      <c r="N200" s="102">
        <v>1633.2</v>
      </c>
      <c r="O200" s="102">
        <v>1633.2</v>
      </c>
      <c r="P200" s="102">
        <v>3269.2031886300001</v>
      </c>
      <c r="Q200" s="102">
        <v>3269.2031886300001</v>
      </c>
      <c r="R200" s="102">
        <v>3269.2031886300001</v>
      </c>
      <c r="S200" s="102">
        <v>3269.2031886300001</v>
      </c>
      <c r="T200" s="102">
        <v>6923.2434163199996</v>
      </c>
      <c r="U200" s="102">
        <v>6923.2434163199996</v>
      </c>
      <c r="V200" s="102">
        <v>6923.2434163199996</v>
      </c>
      <c r="W200" s="102">
        <v>6789.9100823199997</v>
      </c>
      <c r="X200" s="102">
        <v>6656.5767483199998</v>
      </c>
      <c r="Y200" s="102">
        <v>6656.5767483199998</v>
      </c>
      <c r="Z200" s="102">
        <v>6523.2434143199998</v>
      </c>
      <c r="AA200" s="102">
        <v>6523.2434143199998</v>
      </c>
      <c r="AB200" s="102">
        <v>3203.2598673100001</v>
      </c>
      <c r="AC200" s="102">
        <v>3203.2598673100001</v>
      </c>
      <c r="AD200" s="102">
        <v>3203.2598673100001</v>
      </c>
      <c r="AE200" s="102">
        <v>4413.29480238</v>
      </c>
      <c r="AF200" s="102">
        <v>4413.29480238</v>
      </c>
      <c r="AG200" s="102">
        <v>4413.29480238</v>
      </c>
      <c r="AH200" s="102">
        <v>4413.29480238</v>
      </c>
      <c r="AI200" s="102">
        <v>4413.29480238</v>
      </c>
      <c r="AJ200" s="102">
        <v>4413.29480238</v>
      </c>
      <c r="AK200" s="102">
        <v>4413.29480238</v>
      </c>
      <c r="AL200" s="102">
        <v>4413.29480238</v>
      </c>
      <c r="AM200" s="102">
        <v>4413.29480238</v>
      </c>
      <c r="AN200" s="143">
        <v>4413.29480238</v>
      </c>
      <c r="AO200" s="975">
        <v>4413.29480238</v>
      </c>
      <c r="AP200" s="976">
        <v>4413.29480238</v>
      </c>
      <c r="AQ200" s="975">
        <v>4413.29480238</v>
      </c>
      <c r="AR200" s="975">
        <v>4413.29480238</v>
      </c>
      <c r="AS200" s="975">
        <v>4413.29480238</v>
      </c>
      <c r="AT200" s="975">
        <v>4413.29480238</v>
      </c>
      <c r="AU200" s="975">
        <v>4413.29480238</v>
      </c>
      <c r="AV200" s="975">
        <v>4413.29480238</v>
      </c>
      <c r="AW200" s="975">
        <v>4413.29480238</v>
      </c>
      <c r="AX200" s="975">
        <v>4413.29480238</v>
      </c>
      <c r="AY200" s="975">
        <v>4413.29480238</v>
      </c>
      <c r="AZ200" s="102">
        <f>SUM(AZ201:AZ203)</f>
        <v>4413</v>
      </c>
      <c r="BA200" s="146">
        <v>4413.29480238</v>
      </c>
      <c r="BB200" s="146">
        <v>4413.29480238</v>
      </c>
      <c r="BC200" s="146">
        <v>4413.29480238</v>
      </c>
      <c r="BD200" s="146">
        <v>4413.29480238</v>
      </c>
      <c r="BE200" s="146">
        <v>4413.29480238</v>
      </c>
      <c r="BF200" s="146">
        <v>4413.29480238</v>
      </c>
      <c r="BG200" s="146">
        <v>4413.29480238</v>
      </c>
      <c r="BH200" s="146">
        <v>4413.29480238</v>
      </c>
      <c r="BI200" s="146">
        <v>4413.29480238</v>
      </c>
      <c r="BJ200" s="146">
        <v>4413.29480238</v>
      </c>
      <c r="BK200" s="146">
        <v>4413.29480238</v>
      </c>
      <c r="BL200" s="146">
        <f>SUM(BL201:BL203)</f>
        <v>4413.29480238</v>
      </c>
      <c r="BM200" s="146">
        <f t="shared" ref="BM200:DH200" si="644">SUM(BM201:BM203)</f>
        <v>4413.29480238</v>
      </c>
      <c r="BN200" s="146">
        <f t="shared" si="644"/>
        <v>4413.29480238</v>
      </c>
      <c r="BO200" s="146">
        <f t="shared" si="644"/>
        <v>4413.29480238</v>
      </c>
      <c r="BP200" s="146">
        <f t="shared" si="644"/>
        <v>4413.29480238</v>
      </c>
      <c r="BQ200" s="146">
        <f t="shared" si="644"/>
        <v>4413.29480238</v>
      </c>
      <c r="BR200" s="146">
        <f t="shared" si="644"/>
        <v>4413.29480238</v>
      </c>
      <c r="BS200" s="146">
        <f t="shared" si="644"/>
        <v>4413.29480238</v>
      </c>
      <c r="BT200" s="146">
        <f t="shared" si="644"/>
        <v>4413.29480238</v>
      </c>
      <c r="BU200" s="146">
        <f t="shared" si="644"/>
        <v>4413.29480238</v>
      </c>
      <c r="BV200" s="146">
        <f t="shared" si="644"/>
        <v>4413.29480238</v>
      </c>
      <c r="BW200" s="146">
        <f t="shared" si="644"/>
        <v>4413.29480238</v>
      </c>
      <c r="BX200" s="146">
        <f t="shared" si="644"/>
        <v>4413.29480238</v>
      </c>
      <c r="BY200" s="146">
        <f t="shared" si="644"/>
        <v>4413.29480238</v>
      </c>
      <c r="BZ200" s="146">
        <f t="shared" si="644"/>
        <v>4413.29480238</v>
      </c>
      <c r="CA200" s="146">
        <f t="shared" si="644"/>
        <v>4413.29480238</v>
      </c>
      <c r="CB200" s="146">
        <f t="shared" si="644"/>
        <v>4413.29480238</v>
      </c>
      <c r="CC200" s="146">
        <f t="shared" si="644"/>
        <v>4413.29480238</v>
      </c>
      <c r="CD200" s="146">
        <f t="shared" si="644"/>
        <v>4413.29480238</v>
      </c>
      <c r="CE200" s="146">
        <f t="shared" si="644"/>
        <v>4413.29480238</v>
      </c>
      <c r="CF200" s="146">
        <f t="shared" si="644"/>
        <v>4413.29480238</v>
      </c>
      <c r="CG200" s="146">
        <f t="shared" si="644"/>
        <v>4413.29480238</v>
      </c>
      <c r="CH200" s="146">
        <f t="shared" si="644"/>
        <v>4413.29480238</v>
      </c>
      <c r="CI200" s="146">
        <f t="shared" si="644"/>
        <v>4413.29480238</v>
      </c>
      <c r="CJ200" s="146">
        <f t="shared" si="644"/>
        <v>4413.29480238</v>
      </c>
      <c r="CK200" s="146">
        <f t="shared" si="644"/>
        <v>4413.29480238</v>
      </c>
      <c r="CL200" s="146">
        <f t="shared" si="644"/>
        <v>4413.29480238</v>
      </c>
      <c r="CM200" s="146">
        <f t="shared" si="644"/>
        <v>4413.29480238</v>
      </c>
      <c r="CN200" s="146">
        <f t="shared" si="644"/>
        <v>4413.29480238</v>
      </c>
      <c r="CO200" s="146">
        <f t="shared" si="644"/>
        <v>4413.29480238</v>
      </c>
      <c r="CP200" s="146">
        <f t="shared" si="644"/>
        <v>4413.29480238</v>
      </c>
      <c r="CQ200" s="146">
        <f t="shared" si="644"/>
        <v>4413.29480238</v>
      </c>
      <c r="CR200" s="146">
        <f t="shared" si="644"/>
        <v>4413.29480238</v>
      </c>
      <c r="CS200" s="146">
        <f t="shared" si="644"/>
        <v>4413.29480238</v>
      </c>
      <c r="CT200" s="146">
        <f t="shared" si="644"/>
        <v>4413.29480238</v>
      </c>
      <c r="CU200" s="146">
        <f t="shared" si="644"/>
        <v>4413.29480238</v>
      </c>
      <c r="CV200" s="146">
        <f t="shared" si="644"/>
        <v>4413.29480238</v>
      </c>
      <c r="CW200" s="146">
        <f t="shared" si="644"/>
        <v>4413.29480238</v>
      </c>
      <c r="CX200" s="146">
        <f t="shared" si="644"/>
        <v>4413.29480238</v>
      </c>
      <c r="CY200" s="146">
        <f t="shared" si="644"/>
        <v>4413.29480238</v>
      </c>
      <c r="CZ200" s="146">
        <f t="shared" si="644"/>
        <v>4413.29480238</v>
      </c>
      <c r="DA200" s="146">
        <f t="shared" si="644"/>
        <v>4413.29480238</v>
      </c>
      <c r="DB200" s="146">
        <f t="shared" si="644"/>
        <v>4413.29480238</v>
      </c>
      <c r="DC200" s="146">
        <f t="shared" si="644"/>
        <v>4413.29480238</v>
      </c>
      <c r="DD200" s="146">
        <f t="shared" si="644"/>
        <v>4413.29480238</v>
      </c>
      <c r="DE200" s="146">
        <f t="shared" si="644"/>
        <v>4413.29480238</v>
      </c>
      <c r="DF200" s="146">
        <f t="shared" si="644"/>
        <v>4413.29480238</v>
      </c>
      <c r="DG200" s="146">
        <f t="shared" si="644"/>
        <v>4413.29480238</v>
      </c>
      <c r="DH200" s="146">
        <f t="shared" si="644"/>
        <v>4413.29480238</v>
      </c>
      <c r="DJ200" s="102" t="e">
        <f t="shared" ref="DJ200:FU200" si="645">SUM(DJ201:DJ203)</f>
        <v>#VALUE!</v>
      </c>
      <c r="DK200" s="102" t="e">
        <f t="shared" si="645"/>
        <v>#VALUE!</v>
      </c>
      <c r="DL200" s="102" t="e">
        <f t="shared" si="645"/>
        <v>#VALUE!</v>
      </c>
      <c r="DM200" s="102" t="e">
        <f t="shared" si="645"/>
        <v>#VALUE!</v>
      </c>
      <c r="DN200" s="102" t="e">
        <f t="shared" si="645"/>
        <v>#VALUE!</v>
      </c>
      <c r="DO200" s="102" t="e">
        <f t="shared" si="645"/>
        <v>#VALUE!</v>
      </c>
      <c r="DP200" s="102" t="e">
        <f t="shared" si="645"/>
        <v>#VALUE!</v>
      </c>
      <c r="DQ200" s="102" t="e">
        <f t="shared" si="645"/>
        <v>#VALUE!</v>
      </c>
      <c r="DR200" s="102" t="e">
        <f t="shared" si="645"/>
        <v>#VALUE!</v>
      </c>
      <c r="DS200" s="102" t="e">
        <f t="shared" si="645"/>
        <v>#VALUE!</v>
      </c>
      <c r="DT200" s="102" t="e">
        <f t="shared" si="645"/>
        <v>#VALUE!</v>
      </c>
      <c r="DU200" s="102" t="e">
        <f t="shared" si="645"/>
        <v>#VALUE!</v>
      </c>
      <c r="DV200" s="279"/>
      <c r="DW200" s="102">
        <f t="shared" si="645"/>
        <v>4413.29480238</v>
      </c>
      <c r="DX200" s="102">
        <f t="shared" si="645"/>
        <v>4413.29480238</v>
      </c>
      <c r="DY200" s="102">
        <f t="shared" si="645"/>
        <v>4413.29480238</v>
      </c>
      <c r="DZ200" s="102">
        <f t="shared" si="645"/>
        <v>4413.29480238</v>
      </c>
      <c r="EA200" s="102">
        <f t="shared" si="645"/>
        <v>4413.29480238</v>
      </c>
      <c r="EB200" s="102">
        <f t="shared" si="645"/>
        <v>4413.29480238</v>
      </c>
      <c r="EC200" s="102">
        <f t="shared" si="645"/>
        <v>4413.29480238</v>
      </c>
      <c r="ED200" s="102">
        <f t="shared" si="645"/>
        <v>4413.29480238</v>
      </c>
      <c r="EE200" s="102">
        <f t="shared" si="645"/>
        <v>4413.29480238</v>
      </c>
      <c r="EF200" s="102">
        <f t="shared" si="645"/>
        <v>4413.29480238</v>
      </c>
      <c r="EG200" s="102">
        <f t="shared" si="645"/>
        <v>4413.29480238</v>
      </c>
      <c r="EH200" s="102">
        <f t="shared" si="645"/>
        <v>4413.29480238</v>
      </c>
      <c r="EI200" s="102">
        <f t="shared" si="645"/>
        <v>4413.29480238</v>
      </c>
      <c r="EJ200" s="102">
        <f t="shared" si="645"/>
        <v>4413.29480238</v>
      </c>
      <c r="EK200" s="102">
        <f t="shared" si="645"/>
        <v>4413.29480238</v>
      </c>
      <c r="EL200" s="102">
        <f t="shared" si="645"/>
        <v>4413.29480238</v>
      </c>
      <c r="EM200" s="102">
        <f t="shared" si="645"/>
        <v>4413.29480238</v>
      </c>
      <c r="EN200" s="102">
        <f t="shared" si="645"/>
        <v>4413.29480238</v>
      </c>
      <c r="EO200" s="102">
        <f t="shared" si="645"/>
        <v>4413.29480238</v>
      </c>
      <c r="EP200" s="102">
        <f t="shared" si="645"/>
        <v>4413.29480238</v>
      </c>
      <c r="EQ200" s="102">
        <f t="shared" si="645"/>
        <v>4413.29480238</v>
      </c>
      <c r="ER200" s="102">
        <f t="shared" si="645"/>
        <v>4413.29480238</v>
      </c>
      <c r="ES200" s="102">
        <f t="shared" si="645"/>
        <v>4413.29480238</v>
      </c>
      <c r="ET200" s="102">
        <f t="shared" si="645"/>
        <v>4413.29480238</v>
      </c>
      <c r="EU200" s="102">
        <f t="shared" si="645"/>
        <v>4413.29480238</v>
      </c>
      <c r="EV200" s="102">
        <f t="shared" si="645"/>
        <v>4413.29480238</v>
      </c>
      <c r="EW200" s="102">
        <f t="shared" si="645"/>
        <v>4413.29480238</v>
      </c>
      <c r="EX200" s="102">
        <f t="shared" si="645"/>
        <v>4413.29480238</v>
      </c>
      <c r="EY200" s="102">
        <f t="shared" si="645"/>
        <v>4413.29480238</v>
      </c>
      <c r="EZ200" s="102">
        <f t="shared" si="645"/>
        <v>4413.29480238</v>
      </c>
      <c r="FA200" s="102">
        <f t="shared" si="645"/>
        <v>4413.29480238</v>
      </c>
      <c r="FB200" s="102">
        <f t="shared" si="645"/>
        <v>4413.29480238</v>
      </c>
      <c r="FC200" s="102">
        <f t="shared" si="645"/>
        <v>4413.29480238</v>
      </c>
      <c r="FD200" s="102">
        <f t="shared" si="645"/>
        <v>4413.29480238</v>
      </c>
      <c r="FE200" s="102">
        <f t="shared" si="645"/>
        <v>4413.29480238</v>
      </c>
      <c r="FF200" s="102">
        <f t="shared" si="645"/>
        <v>4413.29480238</v>
      </c>
      <c r="FG200" s="102" t="e">
        <f t="shared" si="645"/>
        <v>#VALUE!</v>
      </c>
      <c r="FH200" s="102" t="e">
        <f t="shared" si="645"/>
        <v>#VALUE!</v>
      </c>
      <c r="FI200" s="102" t="e">
        <f t="shared" si="645"/>
        <v>#VALUE!</v>
      </c>
      <c r="FJ200" s="102" t="e">
        <f t="shared" si="645"/>
        <v>#VALUE!</v>
      </c>
      <c r="FK200" s="102" t="e">
        <f t="shared" si="645"/>
        <v>#VALUE!</v>
      </c>
      <c r="FL200" s="102" t="e">
        <f t="shared" si="645"/>
        <v>#VALUE!</v>
      </c>
      <c r="FM200" s="102" t="e">
        <f t="shared" si="645"/>
        <v>#VALUE!</v>
      </c>
      <c r="FN200" s="102" t="e">
        <f t="shared" si="645"/>
        <v>#VALUE!</v>
      </c>
      <c r="FO200" s="102" t="e">
        <f t="shared" si="645"/>
        <v>#VALUE!</v>
      </c>
      <c r="FP200" s="102" t="e">
        <f t="shared" si="645"/>
        <v>#VALUE!</v>
      </c>
      <c r="FQ200" s="102" t="e">
        <f t="shared" si="645"/>
        <v>#VALUE!</v>
      </c>
      <c r="FR200" s="102" t="e">
        <f t="shared" si="645"/>
        <v>#VALUE!</v>
      </c>
      <c r="FS200" s="102" t="e">
        <f t="shared" si="645"/>
        <v>#VALUE!</v>
      </c>
      <c r="FT200" s="102" t="e">
        <f t="shared" si="645"/>
        <v>#VALUE!</v>
      </c>
      <c r="FU200" s="102" t="e">
        <f t="shared" si="645"/>
        <v>#VALUE!</v>
      </c>
      <c r="FV200" s="102" t="e">
        <f t="shared" ref="FV200:GD200" si="646">SUM(FV201:FV203)</f>
        <v>#VALUE!</v>
      </c>
      <c r="FW200" s="102" t="e">
        <f t="shared" si="646"/>
        <v>#VALUE!</v>
      </c>
      <c r="FX200" s="102" t="e">
        <f t="shared" si="646"/>
        <v>#VALUE!</v>
      </c>
      <c r="FY200" s="102" t="e">
        <f t="shared" si="646"/>
        <v>#VALUE!</v>
      </c>
      <c r="FZ200" s="102" t="e">
        <f t="shared" si="646"/>
        <v>#VALUE!</v>
      </c>
      <c r="GA200" s="102" t="e">
        <f t="shared" si="646"/>
        <v>#VALUE!</v>
      </c>
      <c r="GB200" s="102" t="e">
        <f t="shared" si="646"/>
        <v>#VALUE!</v>
      </c>
      <c r="GC200" s="102" t="e">
        <f t="shared" si="646"/>
        <v>#VALUE!</v>
      </c>
      <c r="GD200" s="102" t="e">
        <f t="shared" si="646"/>
        <v>#VALUE!</v>
      </c>
      <c r="GF200" s="102">
        <f t="shared" si="622"/>
        <v>3269.2031886300001</v>
      </c>
      <c r="GG200" s="102">
        <f t="shared" si="622"/>
        <v>3203.2598673100001</v>
      </c>
      <c r="GH200" s="102">
        <f t="shared" si="622"/>
        <v>4413.29480238</v>
      </c>
      <c r="GI200" s="102">
        <f t="shared" si="622"/>
        <v>4413</v>
      </c>
      <c r="GJ200" s="102">
        <f t="shared" si="575"/>
        <v>4413.29480238</v>
      </c>
      <c r="GK200" s="102">
        <f t="shared" si="565"/>
        <v>4413.29480238</v>
      </c>
      <c r="GL200" s="102">
        <f t="shared" si="571"/>
        <v>4413.29480238</v>
      </c>
      <c r="GM200" s="102">
        <f t="shared" si="566"/>
        <v>4413.29480238</v>
      </c>
      <c r="GN200" s="102" t="e">
        <f t="shared" si="567"/>
        <v>#VALUE!</v>
      </c>
      <c r="GO200" s="102">
        <v>4413.29480238</v>
      </c>
      <c r="GQ200" s="929">
        <f t="shared" si="623"/>
        <v>0.37775109894101422</v>
      </c>
      <c r="GR200" s="929">
        <f t="shared" si="623"/>
        <v>-6.6798705547821413E-5</v>
      </c>
      <c r="GS200" s="929">
        <f t="shared" si="623"/>
        <v>6.6803167912965478E-5</v>
      </c>
      <c r="GT200" s="929">
        <f t="shared" si="623"/>
        <v>0</v>
      </c>
      <c r="GU200" s="929">
        <f t="shared" si="623"/>
        <v>0</v>
      </c>
      <c r="GV200" s="929">
        <f t="shared" si="623"/>
        <v>0</v>
      </c>
      <c r="GW200" s="929" t="str">
        <f t="shared" si="623"/>
        <v/>
      </c>
      <c r="GX200" s="929" t="str">
        <f t="shared" si="623"/>
        <v/>
      </c>
      <c r="GY200" s="929">
        <f t="shared" si="492"/>
        <v>0</v>
      </c>
      <c r="HA200" s="102">
        <f t="shared" si="624"/>
        <v>1210.0349350699998</v>
      </c>
      <c r="HB200" s="102">
        <f t="shared" si="624"/>
        <v>-0.29480237999996461</v>
      </c>
      <c r="HC200" s="102">
        <f t="shared" si="624"/>
        <v>0.29480237999996461</v>
      </c>
      <c r="HD200" s="102">
        <f t="shared" si="577"/>
        <v>0</v>
      </c>
      <c r="HE200" s="102">
        <f t="shared" si="577"/>
        <v>0</v>
      </c>
      <c r="HF200" s="102">
        <f t="shared" si="577"/>
        <v>0</v>
      </c>
      <c r="HG200" s="102" t="e">
        <f t="shared" si="577"/>
        <v>#VALUE!</v>
      </c>
      <c r="HH200" s="102" t="e">
        <f t="shared" si="577"/>
        <v>#VALUE!</v>
      </c>
      <c r="HI200" s="102">
        <f t="shared" si="493"/>
        <v>0</v>
      </c>
      <c r="HK200" s="973"/>
      <c r="HL200" s="973"/>
      <c r="HM200" s="973"/>
      <c r="HN200" s="973"/>
      <c r="HO200" s="973"/>
      <c r="HP200" s="973"/>
      <c r="HQ200" s="973"/>
      <c r="HR200" s="973"/>
      <c r="HS200" s="973"/>
      <c r="HU200" s="102">
        <f t="shared" si="625"/>
        <v>1633.2</v>
      </c>
      <c r="HV200" s="102">
        <f t="shared" si="625"/>
        <v>6923.2434163199996</v>
      </c>
      <c r="HW200" s="102">
        <f t="shared" si="625"/>
        <v>4413.29480238</v>
      </c>
      <c r="HX200" s="102">
        <f t="shared" si="625"/>
        <v>4413.29480238</v>
      </c>
      <c r="HY200" s="102">
        <f t="shared" si="626"/>
        <v>4413.29480238</v>
      </c>
      <c r="HZ200" s="102">
        <f t="shared" si="626"/>
        <v>4413.29480238</v>
      </c>
      <c r="IA200" s="102">
        <f t="shared" si="627"/>
        <v>4413.29480238</v>
      </c>
      <c r="IB200" s="102">
        <f t="shared" si="628"/>
        <v>4413.29480238</v>
      </c>
      <c r="IC200" s="102">
        <f t="shared" si="629"/>
        <v>4413.29480238</v>
      </c>
      <c r="ID200" s="102" t="e">
        <f t="shared" si="568"/>
        <v>#VALUE!</v>
      </c>
      <c r="IE200" s="102" t="e">
        <f t="shared" si="590"/>
        <v>#VALUE!</v>
      </c>
      <c r="IG200" s="102" t="e">
        <f t="shared" si="533"/>
        <v>#VALUE!</v>
      </c>
      <c r="IH200" s="102" t="e">
        <f t="shared" si="534"/>
        <v>#VALUE!</v>
      </c>
      <c r="II200" s="145"/>
      <c r="IJ200" s="929" t="str">
        <f t="shared" si="630"/>
        <v>NA</v>
      </c>
      <c r="IK200" s="930" t="str">
        <f t="shared" si="631"/>
        <v>NA</v>
      </c>
      <c r="IM200" s="973"/>
      <c r="IN200" s="973"/>
      <c r="IP200" s="929">
        <f t="shared" si="642"/>
        <v>-0.36253941440558868</v>
      </c>
      <c r="IQ200" s="929">
        <f t="shared" si="642"/>
        <v>0</v>
      </c>
      <c r="IR200" s="929">
        <f t="shared" si="642"/>
        <v>0</v>
      </c>
      <c r="IS200" s="929">
        <f t="shared" si="642"/>
        <v>0</v>
      </c>
      <c r="IT200" s="929">
        <f t="shared" si="642"/>
        <v>0</v>
      </c>
      <c r="IU200" s="929">
        <f t="shared" si="642"/>
        <v>0</v>
      </c>
      <c r="IV200" s="929" t="str">
        <f t="shared" si="643"/>
        <v/>
      </c>
      <c r="IX200" s="102">
        <f t="shared" si="632"/>
        <v>-2509.9486139399996</v>
      </c>
      <c r="IY200" s="102">
        <f t="shared" si="632"/>
        <v>0</v>
      </c>
      <c r="IZ200" s="102">
        <f t="shared" si="632"/>
        <v>0</v>
      </c>
      <c r="JA200" s="102">
        <f t="shared" si="632"/>
        <v>0</v>
      </c>
      <c r="JB200" s="102">
        <f t="shared" si="632"/>
        <v>0</v>
      </c>
      <c r="JC200" s="102">
        <f t="shared" si="632"/>
        <v>0</v>
      </c>
      <c r="JD200" s="102" t="e">
        <f t="shared" si="633"/>
        <v>#VALUE!</v>
      </c>
      <c r="JF200" s="973"/>
      <c r="JG200" s="973"/>
      <c r="JH200" s="973"/>
      <c r="JI200" s="973"/>
      <c r="JJ200" s="973"/>
      <c r="JK200" s="973"/>
      <c r="JL200" s="973"/>
      <c r="JM200" s="973"/>
      <c r="JO200" s="102">
        <f t="shared" si="634"/>
        <v>1633.2</v>
      </c>
      <c r="JP200" s="102">
        <f t="shared" si="634"/>
        <v>6923.2434163199996</v>
      </c>
      <c r="JQ200" s="102">
        <f t="shared" si="634"/>
        <v>4413.29480238</v>
      </c>
      <c r="JR200" s="102">
        <f t="shared" si="634"/>
        <v>4413.29480238</v>
      </c>
      <c r="JS200" s="102">
        <f t="shared" si="634"/>
        <v>4413.29480238</v>
      </c>
      <c r="JT200" s="102">
        <f t="shared" si="635"/>
        <v>4413.29480238</v>
      </c>
      <c r="JU200" s="102">
        <f t="shared" si="636"/>
        <v>4413.29480238</v>
      </c>
      <c r="JV200" s="102">
        <f t="shared" si="637"/>
        <v>4413.29480238</v>
      </c>
      <c r="JW200" s="102">
        <f t="shared" si="637"/>
        <v>4413.29480238</v>
      </c>
      <c r="JX200" s="102" t="e">
        <f t="shared" si="638"/>
        <v>#VALUE!</v>
      </c>
      <c r="JY200" s="102" t="e">
        <f t="shared" si="639"/>
        <v>#VALUE!</v>
      </c>
      <c r="KB200" s="32">
        <f t="shared" si="640"/>
        <v>-0.36253941440558868</v>
      </c>
      <c r="KC200" s="32">
        <f t="shared" si="640"/>
        <v>0</v>
      </c>
      <c r="KD200" s="32">
        <f t="shared" si="640"/>
        <v>0</v>
      </c>
      <c r="KE200" s="32">
        <f t="shared" si="640"/>
        <v>0</v>
      </c>
      <c r="KF200" s="32">
        <f t="shared" si="640"/>
        <v>0</v>
      </c>
      <c r="KG200" s="32">
        <f t="shared" si="640"/>
        <v>0</v>
      </c>
      <c r="KH200" s="32" t="str">
        <f t="shared" si="569"/>
        <v xml:space="preserve"> </v>
      </c>
      <c r="KJ200" s="102">
        <f t="shared" si="641"/>
        <v>-2509.9486139399996</v>
      </c>
      <c r="KK200" s="102">
        <f t="shared" si="641"/>
        <v>0</v>
      </c>
      <c r="KL200" s="102">
        <f t="shared" si="641"/>
        <v>0</v>
      </c>
      <c r="KM200" s="102">
        <f t="shared" si="641"/>
        <v>0</v>
      </c>
      <c r="KN200" s="102">
        <f t="shared" si="641"/>
        <v>0</v>
      </c>
      <c r="KO200" s="102">
        <f t="shared" si="641"/>
        <v>0</v>
      </c>
      <c r="KP200" s="102" t="e">
        <f t="shared" si="570"/>
        <v>#VALUE!</v>
      </c>
      <c r="KR200" s="973"/>
      <c r="KS200" s="973"/>
      <c r="KT200" s="973"/>
      <c r="KU200" s="973"/>
      <c r="KV200" s="973"/>
      <c r="KW200" s="973"/>
      <c r="KX200" s="973"/>
      <c r="KY200" s="973"/>
      <c r="KZ200" s="973"/>
    </row>
    <row r="201" spans="1:312" hidden="1" outlineLevel="2">
      <c r="A201" s="884">
        <v>330515</v>
      </c>
      <c r="B201" s="70" t="s">
        <v>757</v>
      </c>
      <c r="D201" s="31"/>
      <c r="E201" s="102">
        <v>0</v>
      </c>
      <c r="F201" s="102">
        <v>0</v>
      </c>
      <c r="G201" s="102">
        <v>0</v>
      </c>
      <c r="H201" s="102">
        <v>0</v>
      </c>
      <c r="I201" s="102">
        <v>0</v>
      </c>
      <c r="J201" s="102">
        <v>0</v>
      </c>
      <c r="K201" s="102">
        <v>0</v>
      </c>
      <c r="L201" s="102">
        <v>0</v>
      </c>
      <c r="M201" s="102">
        <v>0</v>
      </c>
      <c r="N201" s="102">
        <v>0</v>
      </c>
      <c r="O201" s="102">
        <v>0</v>
      </c>
      <c r="P201" s="102">
        <v>0</v>
      </c>
      <c r="Q201" s="102">
        <v>1633.2</v>
      </c>
      <c r="R201" s="102">
        <v>1633.2</v>
      </c>
      <c r="S201" s="102">
        <v>1633.2</v>
      </c>
      <c r="T201" s="102">
        <v>1633.2</v>
      </c>
      <c r="U201" s="102">
        <v>1633.2</v>
      </c>
      <c r="V201" s="102">
        <v>1633.2</v>
      </c>
      <c r="W201" s="102">
        <v>1633.2</v>
      </c>
      <c r="X201" s="102">
        <v>1633.2</v>
      </c>
      <c r="Y201" s="102">
        <v>1633.2</v>
      </c>
      <c r="Z201" s="102">
        <v>1633.2</v>
      </c>
      <c r="AA201" s="102">
        <v>1633.2</v>
      </c>
      <c r="AB201" s="102">
        <v>0</v>
      </c>
      <c r="AC201" s="102">
        <v>0</v>
      </c>
      <c r="AD201" s="102">
        <v>0</v>
      </c>
      <c r="AE201" s="102">
        <v>0</v>
      </c>
      <c r="AF201" s="102">
        <v>0</v>
      </c>
      <c r="AG201" s="102">
        <v>0</v>
      </c>
      <c r="AH201" s="102">
        <v>0</v>
      </c>
      <c r="AI201" s="102">
        <v>0</v>
      </c>
      <c r="AJ201" s="102">
        <v>0</v>
      </c>
      <c r="AK201" s="102">
        <v>0</v>
      </c>
      <c r="AL201" s="102">
        <v>0</v>
      </c>
      <c r="AM201" s="102">
        <v>0</v>
      </c>
      <c r="AN201" s="102">
        <v>0</v>
      </c>
      <c r="AO201" s="102">
        <v>0</v>
      </c>
      <c r="AP201" s="145">
        <v>0</v>
      </c>
      <c r="AQ201" s="143">
        <v>0</v>
      </c>
      <c r="AR201" s="143">
        <v>0</v>
      </c>
      <c r="AS201" s="102">
        <v>0</v>
      </c>
      <c r="AT201" s="102">
        <v>0</v>
      </c>
      <c r="AU201" s="102">
        <v>0</v>
      </c>
      <c r="AV201" s="102">
        <v>0</v>
      </c>
      <c r="AW201" s="102">
        <v>0</v>
      </c>
      <c r="AX201" s="102">
        <v>0</v>
      </c>
      <c r="AY201" s="102">
        <v>0</v>
      </c>
      <c r="AZ201" s="102">
        <v>0</v>
      </c>
      <c r="BA201" s="102">
        <v>0</v>
      </c>
      <c r="BB201" s="102">
        <v>0</v>
      </c>
      <c r="BC201" s="102">
        <v>0</v>
      </c>
      <c r="BD201" s="102">
        <v>0</v>
      </c>
      <c r="BE201" s="102">
        <v>0</v>
      </c>
      <c r="BF201" s="102">
        <v>0</v>
      </c>
      <c r="BG201" s="102">
        <v>0</v>
      </c>
      <c r="BH201" s="102">
        <v>0</v>
      </c>
      <c r="BI201" s="102">
        <v>0</v>
      </c>
      <c r="BJ201" s="102">
        <v>0</v>
      </c>
      <c r="BK201" s="102">
        <v>0</v>
      </c>
      <c r="BL201" s="102">
        <v>0</v>
      </c>
      <c r="BM201" s="102">
        <v>0</v>
      </c>
      <c r="BN201" s="102">
        <v>0</v>
      </c>
      <c r="BO201" s="102">
        <v>0</v>
      </c>
      <c r="BP201" s="102">
        <v>0</v>
      </c>
      <c r="BQ201" s="102">
        <v>0</v>
      </c>
      <c r="BR201" s="102">
        <v>0</v>
      </c>
      <c r="BS201" s="102">
        <v>0</v>
      </c>
      <c r="BT201" s="102">
        <v>0</v>
      </c>
      <c r="BU201" s="102">
        <v>0</v>
      </c>
      <c r="BV201" s="102">
        <v>0</v>
      </c>
      <c r="BW201" s="102">
        <v>0</v>
      </c>
      <c r="BX201" s="102">
        <v>0</v>
      </c>
      <c r="BY201" s="102">
        <v>0</v>
      </c>
      <c r="BZ201" s="102">
        <v>0</v>
      </c>
      <c r="CA201" s="102">
        <v>0</v>
      </c>
      <c r="CB201" s="102">
        <v>0</v>
      </c>
      <c r="CC201" s="102">
        <v>0</v>
      </c>
      <c r="CD201" s="102">
        <v>0</v>
      </c>
      <c r="CE201" s="102">
        <v>0</v>
      </c>
      <c r="CF201" s="102">
        <v>0</v>
      </c>
      <c r="CG201" s="102">
        <v>0</v>
      </c>
      <c r="CH201" s="102">
        <v>0</v>
      </c>
      <c r="CI201" s="102">
        <v>0</v>
      </c>
      <c r="CJ201" s="102">
        <v>0</v>
      </c>
      <c r="CK201" s="102">
        <v>0</v>
      </c>
      <c r="CL201" s="102">
        <v>0</v>
      </c>
      <c r="CM201" s="102">
        <v>0</v>
      </c>
      <c r="CN201" s="102">
        <v>0</v>
      </c>
      <c r="CO201" s="102">
        <v>0</v>
      </c>
      <c r="CP201" s="102">
        <v>0</v>
      </c>
      <c r="CQ201" s="102">
        <v>0</v>
      </c>
      <c r="CR201" s="102">
        <v>0</v>
      </c>
      <c r="CS201" s="102">
        <v>0</v>
      </c>
      <c r="CT201" s="102">
        <v>0</v>
      </c>
      <c r="CU201" s="102">
        <v>0</v>
      </c>
      <c r="CV201" s="102">
        <v>0</v>
      </c>
      <c r="CW201" s="102">
        <v>0</v>
      </c>
      <c r="CX201" s="102">
        <v>0</v>
      </c>
      <c r="CY201" s="102">
        <v>0</v>
      </c>
      <c r="CZ201" s="102">
        <v>0</v>
      </c>
      <c r="DA201" s="102">
        <v>0</v>
      </c>
      <c r="DB201" s="102">
        <v>0</v>
      </c>
      <c r="DC201" s="102">
        <v>0</v>
      </c>
      <c r="DD201" s="102">
        <v>0</v>
      </c>
      <c r="DE201" s="102">
        <v>0</v>
      </c>
      <c r="DF201" s="102">
        <v>0</v>
      </c>
      <c r="DG201" s="102">
        <v>0</v>
      </c>
      <c r="DH201" s="102">
        <v>0</v>
      </c>
      <c r="DJ201" s="102" t="e">
        <v>#VALUE!</v>
      </c>
      <c r="DK201" s="102" t="e">
        <v>#VALUE!</v>
      </c>
      <c r="DL201" s="102" t="e">
        <v>#VALUE!</v>
      </c>
      <c r="DM201" s="102" t="e">
        <v>#VALUE!</v>
      </c>
      <c r="DN201" s="102" t="e">
        <v>#VALUE!</v>
      </c>
      <c r="DO201" s="102" t="e">
        <v>#VALUE!</v>
      </c>
      <c r="DP201" s="102" t="e">
        <v>#VALUE!</v>
      </c>
      <c r="DQ201" s="102" t="e">
        <v>#VALUE!</v>
      </c>
      <c r="DR201" s="102" t="e">
        <v>#VALUE!</v>
      </c>
      <c r="DS201" s="102" t="e">
        <v>#VALUE!</v>
      </c>
      <c r="DT201" s="102" t="e">
        <v>#VALUE!</v>
      </c>
      <c r="DU201" s="102" t="e">
        <v>#VALUE!</v>
      </c>
      <c r="DW201" s="102"/>
      <c r="DX201" s="102"/>
      <c r="DY201" s="102"/>
      <c r="DZ201" s="102"/>
      <c r="EA201" s="102"/>
      <c r="EB201" s="102"/>
      <c r="EC201" s="102"/>
      <c r="ED201" s="102"/>
      <c r="EE201" s="102"/>
      <c r="EF201" s="102"/>
      <c r="EG201" s="102"/>
      <c r="EH201" s="102"/>
      <c r="EI201" s="102">
        <v>0</v>
      </c>
      <c r="EJ201" s="102">
        <v>0</v>
      </c>
      <c r="EK201" s="102">
        <v>0</v>
      </c>
      <c r="EL201" s="102">
        <v>0</v>
      </c>
      <c r="EM201" s="102">
        <v>0</v>
      </c>
      <c r="EN201" s="102">
        <v>0</v>
      </c>
      <c r="EO201" s="102">
        <v>0</v>
      </c>
      <c r="EP201" s="102">
        <v>0</v>
      </c>
      <c r="EQ201" s="102">
        <v>0</v>
      </c>
      <c r="ER201" s="102">
        <v>0</v>
      </c>
      <c r="ES201" s="102">
        <v>0</v>
      </c>
      <c r="ET201" s="102">
        <v>0</v>
      </c>
      <c r="EU201" s="102"/>
      <c r="EV201" s="102"/>
      <c r="EW201" s="102"/>
      <c r="EX201" s="102"/>
      <c r="EY201" s="102"/>
      <c r="EZ201" s="102"/>
      <c r="FA201" s="102"/>
      <c r="FB201" s="102"/>
      <c r="FC201" s="102"/>
      <c r="FD201" s="102"/>
      <c r="FE201" s="102"/>
      <c r="FF201" s="102"/>
      <c r="FG201" s="102" t="e">
        <v>#VALUE!</v>
      </c>
      <c r="FH201" s="102" t="e">
        <v>#VALUE!</v>
      </c>
      <c r="FI201" s="102" t="e">
        <v>#VALUE!</v>
      </c>
      <c r="FJ201" s="102" t="e">
        <v>#VALUE!</v>
      </c>
      <c r="FK201" s="102" t="e">
        <v>#VALUE!</v>
      </c>
      <c r="FL201" s="102" t="e">
        <v>#VALUE!</v>
      </c>
      <c r="FM201" s="102" t="e">
        <v>#VALUE!</v>
      </c>
      <c r="FN201" s="102" t="e">
        <v>#VALUE!</v>
      </c>
      <c r="FO201" s="102" t="e">
        <v>#VALUE!</v>
      </c>
      <c r="FP201" s="102" t="e">
        <v>#VALUE!</v>
      </c>
      <c r="FQ201" s="102" t="e">
        <v>#VALUE!</v>
      </c>
      <c r="FR201" s="102" t="e">
        <v>#VALUE!</v>
      </c>
      <c r="FS201" s="102" t="e">
        <v>#VALUE!</v>
      </c>
      <c r="FT201" s="102" t="e">
        <v>#VALUE!</v>
      </c>
      <c r="FU201" s="102" t="e">
        <v>#VALUE!</v>
      </c>
      <c r="FV201" s="102" t="e">
        <v>#VALUE!</v>
      </c>
      <c r="FW201" s="102" t="e">
        <v>#VALUE!</v>
      </c>
      <c r="FX201" s="102" t="e">
        <v>#VALUE!</v>
      </c>
      <c r="FY201" s="102" t="e">
        <v>#VALUE!</v>
      </c>
      <c r="FZ201" s="102" t="e">
        <v>#VALUE!</v>
      </c>
      <c r="GA201" s="102" t="e">
        <v>#VALUE!</v>
      </c>
      <c r="GB201" s="102" t="e">
        <v>#VALUE!</v>
      </c>
      <c r="GC201" s="102" t="e">
        <v>#VALUE!</v>
      </c>
      <c r="GD201" s="102" t="e">
        <v>#VALUE!</v>
      </c>
      <c r="GF201" s="102">
        <f t="shared" si="622"/>
        <v>0</v>
      </c>
      <c r="GG201" s="102">
        <f t="shared" si="622"/>
        <v>0</v>
      </c>
      <c r="GH201" s="102">
        <f t="shared" si="622"/>
        <v>0</v>
      </c>
      <c r="GI201" s="102">
        <f t="shared" si="622"/>
        <v>0</v>
      </c>
      <c r="GJ201" s="102">
        <f t="shared" si="575"/>
        <v>0</v>
      </c>
      <c r="GK201" s="102">
        <f t="shared" si="565"/>
        <v>0</v>
      </c>
      <c r="GL201" s="102">
        <f t="shared" si="571"/>
        <v>0</v>
      </c>
      <c r="GM201" s="102">
        <f t="shared" si="566"/>
        <v>0</v>
      </c>
      <c r="GN201" s="102" t="e">
        <f t="shared" si="567"/>
        <v>#VALUE!</v>
      </c>
      <c r="GO201" s="102">
        <v>0</v>
      </c>
      <c r="GQ201" s="929" t="str">
        <f t="shared" si="623"/>
        <v/>
      </c>
      <c r="GR201" s="929" t="str">
        <f t="shared" si="623"/>
        <v/>
      </c>
      <c r="GS201" s="929" t="str">
        <f t="shared" si="623"/>
        <v/>
      </c>
      <c r="GT201" s="929" t="str">
        <f t="shared" si="623"/>
        <v/>
      </c>
      <c r="GU201" s="929" t="str">
        <f t="shared" si="623"/>
        <v/>
      </c>
      <c r="GV201" s="929" t="str">
        <f t="shared" si="623"/>
        <v/>
      </c>
      <c r="GW201" s="929" t="str">
        <f t="shared" si="623"/>
        <v/>
      </c>
      <c r="GX201" s="929" t="str">
        <f t="shared" si="623"/>
        <v/>
      </c>
      <c r="GY201" s="929" t="str">
        <f t="shared" si="492"/>
        <v/>
      </c>
      <c r="HA201" s="102">
        <f t="shared" si="624"/>
        <v>0</v>
      </c>
      <c r="HB201" s="102">
        <f t="shared" si="624"/>
        <v>0</v>
      </c>
      <c r="HC201" s="102">
        <f t="shared" si="624"/>
        <v>0</v>
      </c>
      <c r="HD201" s="102">
        <f t="shared" si="577"/>
        <v>0</v>
      </c>
      <c r="HE201" s="102">
        <f t="shared" si="577"/>
        <v>0</v>
      </c>
      <c r="HF201" s="102">
        <f t="shared" si="577"/>
        <v>0</v>
      </c>
      <c r="HG201" s="102" t="e">
        <f t="shared" si="577"/>
        <v>#VALUE!</v>
      </c>
      <c r="HH201" s="102" t="e">
        <f t="shared" si="577"/>
        <v>#VALUE!</v>
      </c>
      <c r="HI201" s="102">
        <f t="shared" si="493"/>
        <v>0</v>
      </c>
      <c r="HK201" s="973"/>
      <c r="HL201" s="973"/>
      <c r="HM201" s="973"/>
      <c r="HN201" s="973"/>
      <c r="HO201" s="973"/>
      <c r="HP201" s="973"/>
      <c r="HQ201" s="973"/>
      <c r="HR201" s="973"/>
      <c r="HS201" s="973"/>
      <c r="HU201" s="102">
        <f t="shared" si="625"/>
        <v>0</v>
      </c>
      <c r="HV201" s="102">
        <f t="shared" si="625"/>
        <v>1633.2</v>
      </c>
      <c r="HW201" s="102">
        <f t="shared" si="625"/>
        <v>0</v>
      </c>
      <c r="HX201" s="102">
        <f t="shared" si="625"/>
        <v>0</v>
      </c>
      <c r="HY201" s="102">
        <f t="shared" si="626"/>
        <v>0</v>
      </c>
      <c r="HZ201" s="102">
        <f t="shared" si="626"/>
        <v>0</v>
      </c>
      <c r="IA201" s="102">
        <f t="shared" si="627"/>
        <v>0</v>
      </c>
      <c r="IB201" s="102">
        <f t="shared" si="628"/>
        <v>0</v>
      </c>
      <c r="IC201" s="102">
        <f t="shared" si="629"/>
        <v>0</v>
      </c>
      <c r="ID201" s="102" t="e">
        <f t="shared" si="568"/>
        <v>#VALUE!</v>
      </c>
      <c r="IE201" s="102" t="e">
        <f t="shared" si="590"/>
        <v>#VALUE!</v>
      </c>
      <c r="IG201" s="102" t="e">
        <f t="shared" si="533"/>
        <v>#VALUE!</v>
      </c>
      <c r="IH201" s="102" t="e">
        <f t="shared" si="534"/>
        <v>#VALUE!</v>
      </c>
      <c r="II201" s="145"/>
      <c r="IJ201" s="929" t="str">
        <f t="shared" si="630"/>
        <v>NA</v>
      </c>
      <c r="IK201" s="930" t="str">
        <f t="shared" si="631"/>
        <v>NA</v>
      </c>
      <c r="IM201" s="973"/>
      <c r="IN201" s="973"/>
      <c r="IP201" s="929">
        <f t="shared" si="642"/>
        <v>-1</v>
      </c>
      <c r="IQ201" s="929" t="str">
        <f t="shared" si="642"/>
        <v/>
      </c>
      <c r="IR201" s="929" t="str">
        <f t="shared" si="642"/>
        <v/>
      </c>
      <c r="IS201" s="929" t="str">
        <f t="shared" si="642"/>
        <v/>
      </c>
      <c r="IT201" s="929" t="str">
        <f t="shared" si="642"/>
        <v/>
      </c>
      <c r="IU201" s="929" t="str">
        <f t="shared" si="642"/>
        <v/>
      </c>
      <c r="IV201" s="929" t="str">
        <f t="shared" si="643"/>
        <v/>
      </c>
      <c r="IX201" s="102">
        <f t="shared" si="632"/>
        <v>-1633.2</v>
      </c>
      <c r="IY201" s="102">
        <f t="shared" si="632"/>
        <v>0</v>
      </c>
      <c r="IZ201" s="102">
        <f t="shared" si="632"/>
        <v>0</v>
      </c>
      <c r="JA201" s="102">
        <f t="shared" si="632"/>
        <v>0</v>
      </c>
      <c r="JB201" s="102">
        <f t="shared" si="632"/>
        <v>0</v>
      </c>
      <c r="JC201" s="102">
        <f t="shared" si="632"/>
        <v>0</v>
      </c>
      <c r="JD201" s="102" t="e">
        <f t="shared" si="633"/>
        <v>#VALUE!</v>
      </c>
      <c r="JF201" s="973"/>
      <c r="JG201" s="973"/>
      <c r="JH201" s="973"/>
      <c r="JI201" s="973"/>
      <c r="JJ201" s="973"/>
      <c r="JK201" s="973"/>
      <c r="JL201" s="973"/>
      <c r="JM201" s="973"/>
      <c r="JO201" s="102">
        <f t="shared" si="634"/>
        <v>0</v>
      </c>
      <c r="JP201" s="102">
        <f t="shared" si="634"/>
        <v>1633.2</v>
      </c>
      <c r="JQ201" s="102">
        <f t="shared" si="634"/>
        <v>0</v>
      </c>
      <c r="JR201" s="102">
        <f t="shared" si="634"/>
        <v>0</v>
      </c>
      <c r="JS201" s="102">
        <f t="shared" si="634"/>
        <v>0</v>
      </c>
      <c r="JT201" s="102">
        <f t="shared" si="635"/>
        <v>0</v>
      </c>
      <c r="JU201" s="102">
        <f t="shared" si="636"/>
        <v>0</v>
      </c>
      <c r="JV201" s="102">
        <f t="shared" si="637"/>
        <v>0</v>
      </c>
      <c r="JW201" s="102">
        <f t="shared" si="637"/>
        <v>0</v>
      </c>
      <c r="JX201" s="102" t="e">
        <f t="shared" si="638"/>
        <v>#VALUE!</v>
      </c>
      <c r="JY201" s="102" t="e">
        <f t="shared" si="639"/>
        <v>#VALUE!</v>
      </c>
      <c r="KB201" s="32">
        <f t="shared" si="640"/>
        <v>-1</v>
      </c>
      <c r="KC201" s="32" t="str">
        <f t="shared" si="640"/>
        <v xml:space="preserve"> </v>
      </c>
      <c r="KD201" s="32" t="str">
        <f t="shared" si="640"/>
        <v xml:space="preserve"> </v>
      </c>
      <c r="KE201" s="32" t="str">
        <f t="shared" si="640"/>
        <v xml:space="preserve"> </v>
      </c>
      <c r="KF201" s="32" t="str">
        <f t="shared" si="640"/>
        <v xml:space="preserve"> </v>
      </c>
      <c r="KG201" s="32" t="str">
        <f t="shared" si="640"/>
        <v xml:space="preserve"> </v>
      </c>
      <c r="KH201" s="32" t="str">
        <f t="shared" si="569"/>
        <v xml:space="preserve"> </v>
      </c>
      <c r="KJ201" s="102">
        <f t="shared" si="641"/>
        <v>-1633.2</v>
      </c>
      <c r="KK201" s="102">
        <f t="shared" si="641"/>
        <v>0</v>
      </c>
      <c r="KL201" s="102">
        <f t="shared" si="641"/>
        <v>0</v>
      </c>
      <c r="KM201" s="102">
        <f t="shared" si="641"/>
        <v>0</v>
      </c>
      <c r="KN201" s="102">
        <f t="shared" si="641"/>
        <v>0</v>
      </c>
      <c r="KO201" s="102">
        <f t="shared" si="641"/>
        <v>0</v>
      </c>
      <c r="KP201" s="102" t="e">
        <f t="shared" si="570"/>
        <v>#VALUE!</v>
      </c>
      <c r="KR201" s="973"/>
      <c r="KS201" s="973"/>
      <c r="KT201" s="973"/>
      <c r="KU201" s="973"/>
      <c r="KV201" s="973"/>
      <c r="KW201" s="973"/>
      <c r="KX201" s="973"/>
      <c r="KY201" s="973"/>
      <c r="KZ201" s="973"/>
    </row>
    <row r="202" spans="1:312" hidden="1" outlineLevel="2">
      <c r="A202" s="884">
        <v>330517</v>
      </c>
      <c r="B202" s="70" t="s">
        <v>758</v>
      </c>
      <c r="D202" s="31"/>
      <c r="E202" s="102">
        <v>1633.2</v>
      </c>
      <c r="F202" s="102">
        <v>1633.2</v>
      </c>
      <c r="G202" s="102">
        <v>1633.2</v>
      </c>
      <c r="H202" s="102">
        <v>1633.2</v>
      </c>
      <c r="I202" s="102">
        <v>1633.2</v>
      </c>
      <c r="J202" s="102">
        <v>1633.2</v>
      </c>
      <c r="K202" s="102">
        <v>1633.2</v>
      </c>
      <c r="L202" s="102">
        <v>1633.2</v>
      </c>
      <c r="M202" s="102">
        <v>1633.2</v>
      </c>
      <c r="N202" s="102">
        <v>1633.2</v>
      </c>
      <c r="O202" s="102">
        <v>1633.2</v>
      </c>
      <c r="P202" s="102">
        <v>1633.2</v>
      </c>
      <c r="Q202" s="102">
        <v>0</v>
      </c>
      <c r="R202" s="102">
        <v>0</v>
      </c>
      <c r="S202" s="102">
        <v>0</v>
      </c>
      <c r="T202" s="102">
        <v>0</v>
      </c>
      <c r="U202" s="102">
        <v>0</v>
      </c>
      <c r="V202" s="102">
        <v>0</v>
      </c>
      <c r="W202" s="102">
        <v>0</v>
      </c>
      <c r="X202" s="102">
        <v>0</v>
      </c>
      <c r="Y202" s="102">
        <v>0</v>
      </c>
      <c r="Z202" s="102">
        <v>0</v>
      </c>
      <c r="AA202" s="102">
        <v>0</v>
      </c>
      <c r="AB202" s="102">
        <v>0</v>
      </c>
      <c r="AC202" s="102">
        <v>0</v>
      </c>
      <c r="AD202" s="102">
        <v>0</v>
      </c>
      <c r="AE202" s="102">
        <v>0</v>
      </c>
      <c r="AF202" s="102">
        <v>0</v>
      </c>
      <c r="AG202" s="102">
        <v>0</v>
      </c>
      <c r="AH202" s="102">
        <v>0</v>
      </c>
      <c r="AI202" s="102">
        <v>0</v>
      </c>
      <c r="AJ202" s="102">
        <v>0</v>
      </c>
      <c r="AK202" s="102">
        <v>0</v>
      </c>
      <c r="AL202" s="102">
        <v>0</v>
      </c>
      <c r="AM202" s="102">
        <v>0</v>
      </c>
      <c r="AN202" s="102">
        <v>0</v>
      </c>
      <c r="AO202" s="102">
        <v>0</v>
      </c>
      <c r="AP202" s="145">
        <v>0</v>
      </c>
      <c r="AQ202" s="143">
        <v>0</v>
      </c>
      <c r="AR202" s="143">
        <v>0</v>
      </c>
      <c r="AS202" s="102">
        <v>0</v>
      </c>
      <c r="AT202" s="102">
        <v>0</v>
      </c>
      <c r="AU202" s="102">
        <v>0</v>
      </c>
      <c r="AV202" s="102">
        <v>0</v>
      </c>
      <c r="AW202" s="102">
        <v>0</v>
      </c>
      <c r="AX202" s="102">
        <v>0</v>
      </c>
      <c r="AY202" s="102">
        <v>0</v>
      </c>
      <c r="AZ202" s="102">
        <v>0</v>
      </c>
      <c r="BA202" s="102">
        <v>0</v>
      </c>
      <c r="BB202" s="102">
        <v>0</v>
      </c>
      <c r="BC202" s="102">
        <v>0</v>
      </c>
      <c r="BD202" s="102">
        <v>0</v>
      </c>
      <c r="BE202" s="102">
        <v>0</v>
      </c>
      <c r="BF202" s="102">
        <v>0</v>
      </c>
      <c r="BG202" s="102">
        <v>0</v>
      </c>
      <c r="BH202" s="102">
        <v>0</v>
      </c>
      <c r="BI202" s="102">
        <v>0</v>
      </c>
      <c r="BJ202" s="102">
        <v>0</v>
      </c>
      <c r="BK202" s="102">
        <v>0</v>
      </c>
      <c r="BL202" s="102">
        <v>0</v>
      </c>
      <c r="BM202" s="102">
        <v>0</v>
      </c>
      <c r="BN202" s="102">
        <v>0</v>
      </c>
      <c r="BO202" s="102">
        <v>0</v>
      </c>
      <c r="BP202" s="102">
        <v>0</v>
      </c>
      <c r="BQ202" s="102">
        <v>0</v>
      </c>
      <c r="BR202" s="102">
        <v>0</v>
      </c>
      <c r="BS202" s="102">
        <v>0</v>
      </c>
      <c r="BT202" s="102">
        <v>0</v>
      </c>
      <c r="BU202" s="102">
        <v>0</v>
      </c>
      <c r="BV202" s="102">
        <v>0</v>
      </c>
      <c r="BW202" s="102">
        <v>0</v>
      </c>
      <c r="BX202" s="102">
        <v>0</v>
      </c>
      <c r="BY202" s="102">
        <v>0</v>
      </c>
      <c r="BZ202" s="102">
        <v>0</v>
      </c>
      <c r="CA202" s="102">
        <v>0</v>
      </c>
      <c r="CB202" s="102">
        <v>0</v>
      </c>
      <c r="CC202" s="102">
        <v>0</v>
      </c>
      <c r="CD202" s="102">
        <v>0</v>
      </c>
      <c r="CE202" s="102">
        <v>0</v>
      </c>
      <c r="CF202" s="102">
        <v>0</v>
      </c>
      <c r="CG202" s="102">
        <v>0</v>
      </c>
      <c r="CH202" s="102">
        <v>0</v>
      </c>
      <c r="CI202" s="102">
        <v>0</v>
      </c>
      <c r="CJ202" s="102">
        <v>0</v>
      </c>
      <c r="CK202" s="102">
        <v>0</v>
      </c>
      <c r="CL202" s="102">
        <v>0</v>
      </c>
      <c r="CM202" s="102">
        <v>0</v>
      </c>
      <c r="CN202" s="102">
        <v>0</v>
      </c>
      <c r="CO202" s="102">
        <v>0</v>
      </c>
      <c r="CP202" s="102">
        <v>0</v>
      </c>
      <c r="CQ202" s="102">
        <v>0</v>
      </c>
      <c r="CR202" s="102">
        <v>0</v>
      </c>
      <c r="CS202" s="102">
        <v>0</v>
      </c>
      <c r="CT202" s="102">
        <v>0</v>
      </c>
      <c r="CU202" s="102">
        <v>0</v>
      </c>
      <c r="CV202" s="102">
        <v>0</v>
      </c>
      <c r="CW202" s="102">
        <v>0</v>
      </c>
      <c r="CX202" s="102">
        <v>0</v>
      </c>
      <c r="CY202" s="102">
        <v>0</v>
      </c>
      <c r="CZ202" s="102">
        <v>0</v>
      </c>
      <c r="DA202" s="102">
        <v>0</v>
      </c>
      <c r="DB202" s="102">
        <v>0</v>
      </c>
      <c r="DC202" s="102">
        <v>0</v>
      </c>
      <c r="DD202" s="102">
        <v>0</v>
      </c>
      <c r="DE202" s="102">
        <v>0</v>
      </c>
      <c r="DF202" s="102">
        <v>0</v>
      </c>
      <c r="DG202" s="102">
        <v>0</v>
      </c>
      <c r="DH202" s="102">
        <v>0</v>
      </c>
      <c r="DJ202" s="102" t="e">
        <v>#VALUE!</v>
      </c>
      <c r="DK202" s="102" t="e">
        <v>#VALUE!</v>
      </c>
      <c r="DL202" s="102" t="e">
        <v>#VALUE!</v>
      </c>
      <c r="DM202" s="102" t="e">
        <v>#VALUE!</v>
      </c>
      <c r="DN202" s="102" t="e">
        <v>#VALUE!</v>
      </c>
      <c r="DO202" s="102" t="e">
        <v>#VALUE!</v>
      </c>
      <c r="DP202" s="102" t="e">
        <v>#VALUE!</v>
      </c>
      <c r="DQ202" s="102" t="e">
        <v>#VALUE!</v>
      </c>
      <c r="DR202" s="102" t="e">
        <v>#VALUE!</v>
      </c>
      <c r="DS202" s="102" t="e">
        <v>#VALUE!</v>
      </c>
      <c r="DT202" s="102" t="e">
        <v>#VALUE!</v>
      </c>
      <c r="DU202" s="102" t="e">
        <v>#VALUE!</v>
      </c>
      <c r="DW202" s="102"/>
      <c r="DX202" s="102"/>
      <c r="DY202" s="102"/>
      <c r="DZ202" s="102"/>
      <c r="EA202" s="102"/>
      <c r="EB202" s="102"/>
      <c r="EC202" s="102"/>
      <c r="ED202" s="102"/>
      <c r="EE202" s="102"/>
      <c r="EF202" s="102"/>
      <c r="EG202" s="102"/>
      <c r="EH202" s="102"/>
      <c r="EI202" s="102">
        <v>0</v>
      </c>
      <c r="EJ202" s="102">
        <v>0</v>
      </c>
      <c r="EK202" s="102">
        <v>0</v>
      </c>
      <c r="EL202" s="102">
        <v>0</v>
      </c>
      <c r="EM202" s="102">
        <v>0</v>
      </c>
      <c r="EN202" s="102">
        <v>0</v>
      </c>
      <c r="EO202" s="102">
        <v>0</v>
      </c>
      <c r="EP202" s="102">
        <v>0</v>
      </c>
      <c r="EQ202" s="102">
        <v>0</v>
      </c>
      <c r="ER202" s="102">
        <v>0</v>
      </c>
      <c r="ES202" s="102">
        <v>0</v>
      </c>
      <c r="ET202" s="102">
        <v>0</v>
      </c>
      <c r="EU202" s="102"/>
      <c r="EV202" s="102"/>
      <c r="EW202" s="102"/>
      <c r="EX202" s="102"/>
      <c r="EY202" s="102"/>
      <c r="EZ202" s="102"/>
      <c r="FA202" s="102"/>
      <c r="FB202" s="102"/>
      <c r="FC202" s="102"/>
      <c r="FD202" s="102"/>
      <c r="FE202" s="102"/>
      <c r="FF202" s="102"/>
      <c r="FG202" s="102" t="e">
        <v>#VALUE!</v>
      </c>
      <c r="FH202" s="102" t="e">
        <v>#VALUE!</v>
      </c>
      <c r="FI202" s="102" t="e">
        <v>#VALUE!</v>
      </c>
      <c r="FJ202" s="102" t="e">
        <v>#VALUE!</v>
      </c>
      <c r="FK202" s="102" t="e">
        <v>#VALUE!</v>
      </c>
      <c r="FL202" s="102" t="e">
        <v>#VALUE!</v>
      </c>
      <c r="FM202" s="102" t="e">
        <v>#VALUE!</v>
      </c>
      <c r="FN202" s="102" t="e">
        <v>#VALUE!</v>
      </c>
      <c r="FO202" s="102" t="e">
        <v>#VALUE!</v>
      </c>
      <c r="FP202" s="102" t="e">
        <v>#VALUE!</v>
      </c>
      <c r="FQ202" s="102" t="e">
        <v>#VALUE!</v>
      </c>
      <c r="FR202" s="102" t="e">
        <v>#VALUE!</v>
      </c>
      <c r="FS202" s="102" t="e">
        <v>#VALUE!</v>
      </c>
      <c r="FT202" s="102" t="e">
        <v>#VALUE!</v>
      </c>
      <c r="FU202" s="102" t="e">
        <v>#VALUE!</v>
      </c>
      <c r="FV202" s="102" t="e">
        <v>#VALUE!</v>
      </c>
      <c r="FW202" s="102" t="e">
        <v>#VALUE!</v>
      </c>
      <c r="FX202" s="102" t="e">
        <v>#VALUE!</v>
      </c>
      <c r="FY202" s="102" t="e">
        <v>#VALUE!</v>
      </c>
      <c r="FZ202" s="102" t="e">
        <v>#VALUE!</v>
      </c>
      <c r="GA202" s="102" t="e">
        <v>#VALUE!</v>
      </c>
      <c r="GB202" s="102" t="e">
        <v>#VALUE!</v>
      </c>
      <c r="GC202" s="102" t="e">
        <v>#VALUE!</v>
      </c>
      <c r="GD202" s="102" t="e">
        <v>#VALUE!</v>
      </c>
      <c r="GF202" s="102">
        <f t="shared" si="622"/>
        <v>1633.2</v>
      </c>
      <c r="GG202" s="102">
        <f t="shared" si="622"/>
        <v>0</v>
      </c>
      <c r="GH202" s="102">
        <f t="shared" si="622"/>
        <v>0</v>
      </c>
      <c r="GI202" s="102">
        <f t="shared" si="622"/>
        <v>0</v>
      </c>
      <c r="GJ202" s="102">
        <f t="shared" si="575"/>
        <v>0</v>
      </c>
      <c r="GK202" s="102">
        <f t="shared" si="565"/>
        <v>0</v>
      </c>
      <c r="GL202" s="102">
        <f t="shared" si="571"/>
        <v>0</v>
      </c>
      <c r="GM202" s="102">
        <f t="shared" si="566"/>
        <v>0</v>
      </c>
      <c r="GN202" s="102" t="e">
        <f t="shared" si="567"/>
        <v>#VALUE!</v>
      </c>
      <c r="GO202" s="102">
        <v>0</v>
      </c>
      <c r="GQ202" s="929" t="str">
        <f t="shared" si="623"/>
        <v/>
      </c>
      <c r="GR202" s="929" t="str">
        <f t="shared" si="623"/>
        <v/>
      </c>
      <c r="GS202" s="929" t="str">
        <f t="shared" si="623"/>
        <v/>
      </c>
      <c r="GT202" s="929" t="str">
        <f t="shared" si="623"/>
        <v/>
      </c>
      <c r="GU202" s="929" t="str">
        <f t="shared" si="623"/>
        <v/>
      </c>
      <c r="GV202" s="929" t="str">
        <f t="shared" si="623"/>
        <v/>
      </c>
      <c r="GW202" s="929" t="str">
        <f t="shared" si="623"/>
        <v/>
      </c>
      <c r="GX202" s="929" t="str">
        <f t="shared" si="623"/>
        <v/>
      </c>
      <c r="GY202" s="929" t="str">
        <f t="shared" si="492"/>
        <v/>
      </c>
      <c r="HA202" s="102">
        <f t="shared" si="624"/>
        <v>0</v>
      </c>
      <c r="HB202" s="102">
        <f t="shared" si="624"/>
        <v>0</v>
      </c>
      <c r="HC202" s="102">
        <f t="shared" si="624"/>
        <v>0</v>
      </c>
      <c r="HD202" s="102">
        <f t="shared" si="577"/>
        <v>0</v>
      </c>
      <c r="HE202" s="102">
        <f t="shared" si="577"/>
        <v>0</v>
      </c>
      <c r="HF202" s="102">
        <f t="shared" si="577"/>
        <v>0</v>
      </c>
      <c r="HG202" s="102" t="e">
        <f t="shared" si="577"/>
        <v>#VALUE!</v>
      </c>
      <c r="HH202" s="102" t="e">
        <f t="shared" si="577"/>
        <v>#VALUE!</v>
      </c>
      <c r="HI202" s="102">
        <f t="shared" si="493"/>
        <v>0</v>
      </c>
      <c r="HK202" s="973"/>
      <c r="HL202" s="973"/>
      <c r="HM202" s="973"/>
      <c r="HN202" s="973"/>
      <c r="HO202" s="973"/>
      <c r="HP202" s="973"/>
      <c r="HQ202" s="973"/>
      <c r="HR202" s="973"/>
      <c r="HS202" s="973"/>
      <c r="HU202" s="102">
        <f t="shared" si="625"/>
        <v>1633.2</v>
      </c>
      <c r="HV202" s="102">
        <f t="shared" si="625"/>
        <v>0</v>
      </c>
      <c r="HW202" s="102">
        <f t="shared" si="625"/>
        <v>0</v>
      </c>
      <c r="HX202" s="102">
        <f t="shared" si="625"/>
        <v>0</v>
      </c>
      <c r="HY202" s="102">
        <f t="shared" si="626"/>
        <v>0</v>
      </c>
      <c r="HZ202" s="102">
        <f t="shared" si="626"/>
        <v>0</v>
      </c>
      <c r="IA202" s="102">
        <f t="shared" si="627"/>
        <v>0</v>
      </c>
      <c r="IB202" s="102">
        <f t="shared" si="628"/>
        <v>0</v>
      </c>
      <c r="IC202" s="102">
        <f t="shared" si="629"/>
        <v>0</v>
      </c>
      <c r="ID202" s="102" t="e">
        <f t="shared" si="568"/>
        <v>#VALUE!</v>
      </c>
      <c r="IE202" s="102" t="e">
        <f t="shared" si="590"/>
        <v>#VALUE!</v>
      </c>
      <c r="IG202" s="102" t="e">
        <f t="shared" si="533"/>
        <v>#VALUE!</v>
      </c>
      <c r="IH202" s="102" t="e">
        <f t="shared" si="534"/>
        <v>#VALUE!</v>
      </c>
      <c r="II202" s="145"/>
      <c r="IJ202" s="929" t="str">
        <f t="shared" si="630"/>
        <v>NA</v>
      </c>
      <c r="IK202" s="930" t="str">
        <f t="shared" si="631"/>
        <v>NA</v>
      </c>
      <c r="IM202" s="973"/>
      <c r="IN202" s="973"/>
      <c r="IP202" s="929" t="str">
        <f t="shared" si="642"/>
        <v/>
      </c>
      <c r="IQ202" s="929" t="str">
        <f t="shared" si="642"/>
        <v/>
      </c>
      <c r="IR202" s="929" t="str">
        <f t="shared" si="642"/>
        <v/>
      </c>
      <c r="IS202" s="929" t="str">
        <f t="shared" si="642"/>
        <v/>
      </c>
      <c r="IT202" s="929" t="str">
        <f t="shared" si="642"/>
        <v/>
      </c>
      <c r="IU202" s="929" t="str">
        <f t="shared" si="642"/>
        <v/>
      </c>
      <c r="IV202" s="929" t="str">
        <f t="shared" si="643"/>
        <v/>
      </c>
      <c r="IX202" s="102">
        <f t="shared" si="632"/>
        <v>0</v>
      </c>
      <c r="IY202" s="102">
        <f t="shared" si="632"/>
        <v>0</v>
      </c>
      <c r="IZ202" s="102">
        <f t="shared" si="632"/>
        <v>0</v>
      </c>
      <c r="JA202" s="102">
        <f t="shared" si="632"/>
        <v>0</v>
      </c>
      <c r="JB202" s="102">
        <f t="shared" si="632"/>
        <v>0</v>
      </c>
      <c r="JC202" s="102">
        <f t="shared" si="632"/>
        <v>0</v>
      </c>
      <c r="JD202" s="102" t="e">
        <f t="shared" si="633"/>
        <v>#VALUE!</v>
      </c>
      <c r="JF202" s="973"/>
      <c r="JG202" s="973"/>
      <c r="JH202" s="973"/>
      <c r="JI202" s="973"/>
      <c r="JJ202" s="973"/>
      <c r="JK202" s="973"/>
      <c r="JL202" s="973"/>
      <c r="JM202" s="973"/>
      <c r="JO202" s="102">
        <f t="shared" si="634"/>
        <v>1633.2</v>
      </c>
      <c r="JP202" s="102">
        <f t="shared" si="634"/>
        <v>0</v>
      </c>
      <c r="JQ202" s="102">
        <f t="shared" si="634"/>
        <v>0</v>
      </c>
      <c r="JR202" s="102">
        <f t="shared" si="634"/>
        <v>0</v>
      </c>
      <c r="JS202" s="102">
        <f t="shared" si="634"/>
        <v>0</v>
      </c>
      <c r="JT202" s="102">
        <f t="shared" si="635"/>
        <v>0</v>
      </c>
      <c r="JU202" s="102">
        <f t="shared" si="636"/>
        <v>0</v>
      </c>
      <c r="JV202" s="102">
        <f t="shared" si="637"/>
        <v>0</v>
      </c>
      <c r="JW202" s="102">
        <f t="shared" si="637"/>
        <v>0</v>
      </c>
      <c r="JX202" s="102" t="e">
        <f t="shared" si="638"/>
        <v>#VALUE!</v>
      </c>
      <c r="JY202" s="102" t="e">
        <f t="shared" si="639"/>
        <v>#VALUE!</v>
      </c>
      <c r="KB202" s="32" t="str">
        <f t="shared" si="640"/>
        <v xml:space="preserve"> </v>
      </c>
      <c r="KC202" s="32" t="str">
        <f t="shared" si="640"/>
        <v xml:space="preserve"> </v>
      </c>
      <c r="KD202" s="32" t="str">
        <f t="shared" si="640"/>
        <v xml:space="preserve"> </v>
      </c>
      <c r="KE202" s="32" t="str">
        <f t="shared" si="640"/>
        <v xml:space="preserve"> </v>
      </c>
      <c r="KF202" s="32" t="str">
        <f t="shared" si="640"/>
        <v xml:space="preserve"> </v>
      </c>
      <c r="KG202" s="32" t="str">
        <f t="shared" si="640"/>
        <v xml:space="preserve"> </v>
      </c>
      <c r="KH202" s="32" t="str">
        <f t="shared" si="569"/>
        <v xml:space="preserve"> </v>
      </c>
      <c r="KJ202" s="102">
        <f t="shared" si="641"/>
        <v>0</v>
      </c>
      <c r="KK202" s="102">
        <f t="shared" si="641"/>
        <v>0</v>
      </c>
      <c r="KL202" s="102">
        <f t="shared" si="641"/>
        <v>0</v>
      </c>
      <c r="KM202" s="102">
        <f t="shared" si="641"/>
        <v>0</v>
      </c>
      <c r="KN202" s="102">
        <f t="shared" si="641"/>
        <v>0</v>
      </c>
      <c r="KO202" s="102">
        <f t="shared" si="641"/>
        <v>0</v>
      </c>
      <c r="KP202" s="102" t="e">
        <f t="shared" si="570"/>
        <v>#VALUE!</v>
      </c>
      <c r="KR202" s="973"/>
      <c r="KS202" s="973"/>
      <c r="KT202" s="973"/>
      <c r="KU202" s="973"/>
      <c r="KV202" s="973"/>
      <c r="KW202" s="973"/>
      <c r="KX202" s="973"/>
      <c r="KY202" s="973"/>
      <c r="KZ202" s="973"/>
    </row>
    <row r="203" spans="1:312" hidden="1" outlineLevel="2">
      <c r="A203" s="884">
        <v>3315</v>
      </c>
      <c r="B203" s="70" t="s">
        <v>759</v>
      </c>
      <c r="D203" s="31"/>
      <c r="E203" s="102">
        <v>0</v>
      </c>
      <c r="F203" s="102">
        <v>0</v>
      </c>
      <c r="G203" s="102">
        <v>0</v>
      </c>
      <c r="H203" s="102">
        <v>0</v>
      </c>
      <c r="I203" s="102">
        <v>0</v>
      </c>
      <c r="J203" s="102">
        <v>0</v>
      </c>
      <c r="K203" s="102">
        <v>0</v>
      </c>
      <c r="L203" s="102">
        <v>0</v>
      </c>
      <c r="M203" s="102">
        <v>0</v>
      </c>
      <c r="N203" s="102">
        <v>0</v>
      </c>
      <c r="O203" s="102">
        <v>0</v>
      </c>
      <c r="P203" s="102">
        <v>1636.0031886300001</v>
      </c>
      <c r="Q203" s="102">
        <v>1636.0031886300001</v>
      </c>
      <c r="R203" s="102">
        <v>1636.0031886300001</v>
      </c>
      <c r="S203" s="102">
        <v>1636.0031886300001</v>
      </c>
      <c r="T203" s="102">
        <v>5290.0434163199998</v>
      </c>
      <c r="U203" s="102">
        <v>5290.0434163199998</v>
      </c>
      <c r="V203" s="102">
        <v>5290.0434163199998</v>
      </c>
      <c r="W203" s="102">
        <v>5156.7100823199999</v>
      </c>
      <c r="X203" s="102">
        <v>5023.3767483199999</v>
      </c>
      <c r="Y203" s="102">
        <v>5023.3767483199999</v>
      </c>
      <c r="Z203" s="102">
        <v>4890.04341432</v>
      </c>
      <c r="AA203" s="102">
        <v>4890.04341432</v>
      </c>
      <c r="AB203" s="102">
        <v>3203.2598673100001</v>
      </c>
      <c r="AC203" s="102">
        <v>3203.2598673100001</v>
      </c>
      <c r="AD203" s="102">
        <v>3203.2598673100001</v>
      </c>
      <c r="AE203" s="102">
        <v>4413.29480238</v>
      </c>
      <c r="AF203" s="102">
        <v>4413.29480238</v>
      </c>
      <c r="AG203" s="102">
        <v>4413.29480238</v>
      </c>
      <c r="AH203" s="102">
        <v>4413.29480238</v>
      </c>
      <c r="AI203" s="102">
        <v>4413.29480238</v>
      </c>
      <c r="AJ203" s="102">
        <v>4413.29480238</v>
      </c>
      <c r="AK203" s="102">
        <v>4413.29480238</v>
      </c>
      <c r="AL203" s="102">
        <v>4413.29480238</v>
      </c>
      <c r="AM203" s="102">
        <v>4413.29480238</v>
      </c>
      <c r="AN203" s="102">
        <v>4413.29480238</v>
      </c>
      <c r="AO203" s="102">
        <v>4413.29480238</v>
      </c>
      <c r="AP203" s="145">
        <v>4413.29480238</v>
      </c>
      <c r="AQ203" s="143">
        <v>4413.29480238</v>
      </c>
      <c r="AR203" s="143">
        <v>4413.29480238</v>
      </c>
      <c r="AS203" s="102">
        <v>4413.29480238</v>
      </c>
      <c r="AT203" s="102">
        <v>4413.29480238</v>
      </c>
      <c r="AU203" s="102">
        <v>4413.29480238</v>
      </c>
      <c r="AV203" s="102">
        <v>4413.29480238</v>
      </c>
      <c r="AW203" s="102">
        <v>4413.29480238</v>
      </c>
      <c r="AX203" s="102">
        <v>4413.29480238</v>
      </c>
      <c r="AY203" s="102">
        <v>4413.29480238</v>
      </c>
      <c r="AZ203" s="102">
        <v>4413</v>
      </c>
      <c r="BA203" s="102">
        <v>4413.29480238</v>
      </c>
      <c r="BB203" s="102">
        <v>4413.29480238</v>
      </c>
      <c r="BC203" s="102">
        <v>4413.29480238</v>
      </c>
      <c r="BD203" s="102">
        <v>4413.29480238</v>
      </c>
      <c r="BE203" s="66">
        <v>4413.29480238</v>
      </c>
      <c r="BF203" s="66">
        <v>4413.29480238</v>
      </c>
      <c r="BG203" s="66">
        <v>4413.29480238</v>
      </c>
      <c r="BH203" s="66">
        <v>4413.29480238</v>
      </c>
      <c r="BI203" s="66">
        <v>4413.29480238</v>
      </c>
      <c r="BJ203" s="66">
        <v>4413.29480238</v>
      </c>
      <c r="BK203" s="102">
        <v>4413.29480238</v>
      </c>
      <c r="BL203" s="102">
        <v>4413.29480238</v>
      </c>
      <c r="BM203" s="102">
        <v>4413.29480238</v>
      </c>
      <c r="BN203" s="102">
        <v>4413.29480238</v>
      </c>
      <c r="BO203" s="102">
        <v>4413.29480238</v>
      </c>
      <c r="BP203" s="102">
        <v>4413.29480238</v>
      </c>
      <c r="BQ203" s="66">
        <v>4413.29480238</v>
      </c>
      <c r="BR203" s="66">
        <v>4413.29480238</v>
      </c>
      <c r="BS203" s="66">
        <v>4413.29480238</v>
      </c>
      <c r="BT203" s="66">
        <v>4413.29480238</v>
      </c>
      <c r="BU203" s="66">
        <v>4413.29480238</v>
      </c>
      <c r="BV203" s="66">
        <v>4413.29480238</v>
      </c>
      <c r="BW203" s="102">
        <v>4413.29480238</v>
      </c>
      <c r="BX203" s="102">
        <v>4413.29480238</v>
      </c>
      <c r="BY203" s="102">
        <v>4413.29480238</v>
      </c>
      <c r="BZ203" s="102">
        <v>4413.29480238</v>
      </c>
      <c r="CA203" s="102">
        <v>4413.29480238</v>
      </c>
      <c r="CB203" s="102">
        <v>4413.29480238</v>
      </c>
      <c r="CC203" s="102">
        <v>4413.29480238</v>
      </c>
      <c r="CD203" s="102">
        <v>4413.29480238</v>
      </c>
      <c r="CE203" s="102">
        <v>4413.29480238</v>
      </c>
      <c r="CF203" s="102">
        <v>4413.29480238</v>
      </c>
      <c r="CG203" s="102">
        <v>4413.29480238</v>
      </c>
      <c r="CH203" s="102">
        <v>4413.29480238</v>
      </c>
      <c r="CI203" s="102">
        <v>4413.29480238</v>
      </c>
      <c r="CJ203" s="102">
        <v>4413.29480238</v>
      </c>
      <c r="CK203" s="102">
        <v>4413.29480238</v>
      </c>
      <c r="CL203" s="102">
        <v>4413.29480238</v>
      </c>
      <c r="CM203" s="102">
        <v>4413.29480238</v>
      </c>
      <c r="CN203" s="102">
        <v>4413.29480238</v>
      </c>
      <c r="CO203" s="102">
        <v>4413.29480238</v>
      </c>
      <c r="CP203" s="102">
        <v>4413.29480238</v>
      </c>
      <c r="CQ203" s="102">
        <v>4413.29480238</v>
      </c>
      <c r="CR203" s="102">
        <v>4413.29480238</v>
      </c>
      <c r="CS203" s="102">
        <v>4413.29480238</v>
      </c>
      <c r="CT203" s="102">
        <v>4413.29480238</v>
      </c>
      <c r="CU203" s="102">
        <v>4413.29480238</v>
      </c>
      <c r="CV203" s="102">
        <v>4413.29480238</v>
      </c>
      <c r="CW203" s="102">
        <v>4413.29480238</v>
      </c>
      <c r="CX203" s="102">
        <v>4413.29480238</v>
      </c>
      <c r="CY203" s="102">
        <v>4413.29480238</v>
      </c>
      <c r="CZ203" s="102">
        <v>4413.29480238</v>
      </c>
      <c r="DA203" s="102">
        <v>4413.29480238</v>
      </c>
      <c r="DB203" s="102">
        <v>4413.29480238</v>
      </c>
      <c r="DC203" s="102">
        <v>4413.29480238</v>
      </c>
      <c r="DD203" s="102">
        <v>4413.29480238</v>
      </c>
      <c r="DE203" s="102">
        <v>4413.29480238</v>
      </c>
      <c r="DF203" s="102">
        <v>4413.29480238</v>
      </c>
      <c r="DG203" s="102">
        <v>4413.29480238</v>
      </c>
      <c r="DH203" s="102">
        <v>4413.29480238</v>
      </c>
      <c r="DJ203" s="102" t="e">
        <v>#VALUE!</v>
      </c>
      <c r="DK203" s="102" t="e">
        <v>#VALUE!</v>
      </c>
      <c r="DL203" s="102" t="e">
        <v>#VALUE!</v>
      </c>
      <c r="DM203" s="102" t="e">
        <v>#VALUE!</v>
      </c>
      <c r="DN203" s="102" t="e">
        <v>#VALUE!</v>
      </c>
      <c r="DO203" s="102" t="e">
        <v>#VALUE!</v>
      </c>
      <c r="DP203" s="102" t="e">
        <v>#VALUE!</v>
      </c>
      <c r="DQ203" s="102" t="e">
        <v>#VALUE!</v>
      </c>
      <c r="DR203" s="102" t="e">
        <v>#VALUE!</v>
      </c>
      <c r="DS203" s="102" t="e">
        <v>#VALUE!</v>
      </c>
      <c r="DT203" s="102" t="e">
        <v>#VALUE!</v>
      </c>
      <c r="DU203" s="102" t="e">
        <v>#VALUE!</v>
      </c>
      <c r="DW203" s="66">
        <v>4413.29480238</v>
      </c>
      <c r="DX203" s="66">
        <v>4413.29480238</v>
      </c>
      <c r="DY203" s="66">
        <v>4413.29480238</v>
      </c>
      <c r="DZ203" s="66">
        <v>4413.29480238</v>
      </c>
      <c r="EA203" s="66">
        <v>4413.29480238</v>
      </c>
      <c r="EB203" s="66">
        <v>4413.29480238</v>
      </c>
      <c r="EC203" s="66">
        <v>4413.29480238</v>
      </c>
      <c r="ED203" s="66">
        <v>4413.29480238</v>
      </c>
      <c r="EE203" s="66">
        <v>4413.29480238</v>
      </c>
      <c r="EF203" s="66">
        <v>4413.29480238</v>
      </c>
      <c r="EG203" s="66">
        <v>4413.29480238</v>
      </c>
      <c r="EH203" s="66">
        <v>4413.29480238</v>
      </c>
      <c r="EI203" s="66">
        <v>4413.29480238</v>
      </c>
      <c r="EJ203" s="66">
        <v>4413.29480238</v>
      </c>
      <c r="EK203" s="66">
        <v>4413.29480238</v>
      </c>
      <c r="EL203" s="66">
        <v>4413.29480238</v>
      </c>
      <c r="EM203" s="66">
        <v>4413.29480238</v>
      </c>
      <c r="EN203" s="66">
        <v>4413.29480238</v>
      </c>
      <c r="EO203" s="66">
        <v>4413.29480238</v>
      </c>
      <c r="EP203" s="66">
        <v>4413.29480238</v>
      </c>
      <c r="EQ203" s="66">
        <v>4413.29480238</v>
      </c>
      <c r="ER203" s="66">
        <v>4413.29480238</v>
      </c>
      <c r="ES203" s="66">
        <v>4413.29480238</v>
      </c>
      <c r="ET203" s="66">
        <v>4413.29480238</v>
      </c>
      <c r="EU203" s="66">
        <v>4413.29480238</v>
      </c>
      <c r="EV203" s="66">
        <v>4413.29480238</v>
      </c>
      <c r="EW203" s="66">
        <v>4413.29480238</v>
      </c>
      <c r="EX203" s="66">
        <v>4413.29480238</v>
      </c>
      <c r="EY203" s="66">
        <v>4413.29480238</v>
      </c>
      <c r="EZ203" s="66">
        <v>4413.29480238</v>
      </c>
      <c r="FA203" s="66">
        <v>4413.29480238</v>
      </c>
      <c r="FB203" s="66">
        <v>4413.29480238</v>
      </c>
      <c r="FC203" s="66">
        <v>4413.29480238</v>
      </c>
      <c r="FD203" s="66">
        <v>4413.29480238</v>
      </c>
      <c r="FE203" s="66">
        <v>4413.29480238</v>
      </c>
      <c r="FF203" s="66">
        <v>4413.29480238</v>
      </c>
      <c r="FG203" s="102" t="e">
        <v>#VALUE!</v>
      </c>
      <c r="FH203" s="102" t="e">
        <v>#VALUE!</v>
      </c>
      <c r="FI203" s="102" t="e">
        <v>#VALUE!</v>
      </c>
      <c r="FJ203" s="102" t="e">
        <v>#VALUE!</v>
      </c>
      <c r="FK203" s="102" t="e">
        <v>#VALUE!</v>
      </c>
      <c r="FL203" s="102" t="e">
        <v>#VALUE!</v>
      </c>
      <c r="FM203" s="102" t="e">
        <v>#VALUE!</v>
      </c>
      <c r="FN203" s="102" t="e">
        <v>#VALUE!</v>
      </c>
      <c r="FO203" s="102" t="e">
        <v>#VALUE!</v>
      </c>
      <c r="FP203" s="102" t="e">
        <v>#VALUE!</v>
      </c>
      <c r="FQ203" s="102" t="e">
        <v>#VALUE!</v>
      </c>
      <c r="FR203" s="102" t="e">
        <v>#VALUE!</v>
      </c>
      <c r="FS203" s="102" t="e">
        <v>#VALUE!</v>
      </c>
      <c r="FT203" s="102" t="e">
        <v>#VALUE!</v>
      </c>
      <c r="FU203" s="102" t="e">
        <v>#VALUE!</v>
      </c>
      <c r="FV203" s="102" t="e">
        <v>#VALUE!</v>
      </c>
      <c r="FW203" s="102" t="e">
        <v>#VALUE!</v>
      </c>
      <c r="FX203" s="102" t="e">
        <v>#VALUE!</v>
      </c>
      <c r="FY203" s="102" t="e">
        <v>#VALUE!</v>
      </c>
      <c r="FZ203" s="102" t="e">
        <v>#VALUE!</v>
      </c>
      <c r="GA203" s="102" t="e">
        <v>#VALUE!</v>
      </c>
      <c r="GB203" s="102" t="e">
        <v>#VALUE!</v>
      </c>
      <c r="GC203" s="102" t="e">
        <v>#VALUE!</v>
      </c>
      <c r="GD203" s="102" t="e">
        <v>#VALUE!</v>
      </c>
      <c r="GF203" s="102">
        <f t="shared" si="622"/>
        <v>1636.0031886300001</v>
      </c>
      <c r="GG203" s="102">
        <f t="shared" si="622"/>
        <v>3203.2598673100001</v>
      </c>
      <c r="GH203" s="102">
        <f t="shared" si="622"/>
        <v>4413.29480238</v>
      </c>
      <c r="GI203" s="102">
        <f t="shared" si="622"/>
        <v>4413</v>
      </c>
      <c r="GJ203" s="102">
        <f t="shared" si="575"/>
        <v>4413.29480238</v>
      </c>
      <c r="GK203" s="102">
        <f t="shared" si="565"/>
        <v>4413.29480238</v>
      </c>
      <c r="GL203" s="102">
        <f t="shared" si="571"/>
        <v>4413.29480238</v>
      </c>
      <c r="GM203" s="102">
        <f t="shared" si="566"/>
        <v>4413.29480238</v>
      </c>
      <c r="GN203" s="102" t="e">
        <f t="shared" si="567"/>
        <v>#VALUE!</v>
      </c>
      <c r="GO203" s="102">
        <v>4413.29480238</v>
      </c>
      <c r="GQ203" s="929">
        <f t="shared" si="623"/>
        <v>0.37775109894101422</v>
      </c>
      <c r="GR203" s="929">
        <f t="shared" si="623"/>
        <v>-6.6798705547821413E-5</v>
      </c>
      <c r="GS203" s="929">
        <f t="shared" si="623"/>
        <v>6.6803167912965478E-5</v>
      </c>
      <c r="GT203" s="929">
        <f t="shared" si="623"/>
        <v>0</v>
      </c>
      <c r="GU203" s="929">
        <f t="shared" si="623"/>
        <v>0</v>
      </c>
      <c r="GV203" s="929">
        <f t="shared" si="623"/>
        <v>0</v>
      </c>
      <c r="GW203" s="929" t="str">
        <f t="shared" si="623"/>
        <v/>
      </c>
      <c r="GX203" s="929" t="str">
        <f t="shared" si="623"/>
        <v/>
      </c>
      <c r="GY203" s="929">
        <f t="shared" ref="GY203:GY210" si="647">+IFERROR(GO203/GM203-1,"")</f>
        <v>0</v>
      </c>
      <c r="HA203" s="102">
        <f t="shared" si="624"/>
        <v>1210.0349350699998</v>
      </c>
      <c r="HB203" s="102">
        <f t="shared" si="624"/>
        <v>-0.29480237999996461</v>
      </c>
      <c r="HC203" s="102">
        <f t="shared" si="624"/>
        <v>0.29480237999996461</v>
      </c>
      <c r="HD203" s="102">
        <f t="shared" si="577"/>
        <v>0</v>
      </c>
      <c r="HE203" s="102">
        <f t="shared" si="577"/>
        <v>0</v>
      </c>
      <c r="HF203" s="102">
        <f t="shared" si="577"/>
        <v>0</v>
      </c>
      <c r="HG203" s="102" t="e">
        <f t="shared" si="577"/>
        <v>#VALUE!</v>
      </c>
      <c r="HH203" s="102" t="e">
        <f t="shared" si="577"/>
        <v>#VALUE!</v>
      </c>
      <c r="HI203" s="102">
        <f t="shared" ref="HI203:HI210" si="648">+GO203-GM203</f>
        <v>0</v>
      </c>
      <c r="HK203" s="973"/>
      <c r="HL203" s="973"/>
      <c r="HM203" s="973"/>
      <c r="HN203" s="973"/>
      <c r="HO203" s="973"/>
      <c r="HP203" s="973"/>
      <c r="HQ203" s="973"/>
      <c r="HR203" s="973"/>
      <c r="HS203" s="973"/>
      <c r="HU203" s="102">
        <f t="shared" si="625"/>
        <v>0</v>
      </c>
      <c r="HV203" s="102">
        <f t="shared" si="625"/>
        <v>5290.0434163199998</v>
      </c>
      <c r="HW203" s="102">
        <f t="shared" si="625"/>
        <v>4413.29480238</v>
      </c>
      <c r="HX203" s="102">
        <f t="shared" si="625"/>
        <v>4413.29480238</v>
      </c>
      <c r="HY203" s="102">
        <f t="shared" si="626"/>
        <v>4413.29480238</v>
      </c>
      <c r="HZ203" s="102">
        <f t="shared" si="626"/>
        <v>4413.29480238</v>
      </c>
      <c r="IA203" s="102">
        <f t="shared" si="627"/>
        <v>4413.29480238</v>
      </c>
      <c r="IB203" s="102">
        <f t="shared" si="628"/>
        <v>4413.29480238</v>
      </c>
      <c r="IC203" s="102">
        <f t="shared" si="629"/>
        <v>4413.29480238</v>
      </c>
      <c r="ID203" s="102" t="e">
        <f t="shared" si="568"/>
        <v>#VALUE!</v>
      </c>
      <c r="IE203" s="102" t="e">
        <f t="shared" si="590"/>
        <v>#VALUE!</v>
      </c>
      <c r="IG203" s="102" t="e">
        <f t="shared" si="533"/>
        <v>#VALUE!</v>
      </c>
      <c r="IH203" s="102" t="e">
        <f t="shared" si="534"/>
        <v>#VALUE!</v>
      </c>
      <c r="II203" s="145"/>
      <c r="IJ203" s="929" t="str">
        <f t="shared" si="630"/>
        <v>NA</v>
      </c>
      <c r="IK203" s="930" t="str">
        <f t="shared" si="631"/>
        <v>NA</v>
      </c>
      <c r="IM203" s="973"/>
      <c r="IN203" s="973"/>
      <c r="IP203" s="929">
        <f t="shared" si="642"/>
        <v>-0.16573561782786028</v>
      </c>
      <c r="IQ203" s="929">
        <f t="shared" si="642"/>
        <v>0</v>
      </c>
      <c r="IR203" s="929">
        <f t="shared" si="642"/>
        <v>0</v>
      </c>
      <c r="IS203" s="929">
        <f t="shared" si="642"/>
        <v>0</v>
      </c>
      <c r="IT203" s="929">
        <f t="shared" si="642"/>
        <v>0</v>
      </c>
      <c r="IU203" s="929">
        <f t="shared" si="642"/>
        <v>0</v>
      </c>
      <c r="IV203" s="929" t="str">
        <f t="shared" si="643"/>
        <v/>
      </c>
      <c r="IX203" s="102">
        <f t="shared" si="632"/>
        <v>-876.74861393999981</v>
      </c>
      <c r="IY203" s="102">
        <f t="shared" si="632"/>
        <v>0</v>
      </c>
      <c r="IZ203" s="102">
        <f t="shared" si="632"/>
        <v>0</v>
      </c>
      <c r="JA203" s="102">
        <f t="shared" si="632"/>
        <v>0</v>
      </c>
      <c r="JB203" s="102">
        <f t="shared" si="632"/>
        <v>0</v>
      </c>
      <c r="JC203" s="102">
        <f t="shared" si="632"/>
        <v>0</v>
      </c>
      <c r="JD203" s="102" t="e">
        <f t="shared" si="633"/>
        <v>#VALUE!</v>
      </c>
      <c r="JF203" s="973"/>
      <c r="JG203" s="973"/>
      <c r="JH203" s="973"/>
      <c r="JI203" s="973"/>
      <c r="JJ203" s="973"/>
      <c r="JK203" s="973"/>
      <c r="JL203" s="973"/>
      <c r="JM203" s="973"/>
      <c r="JO203" s="102">
        <f t="shared" si="634"/>
        <v>0</v>
      </c>
      <c r="JP203" s="102">
        <f t="shared" si="634"/>
        <v>5290.0434163199998</v>
      </c>
      <c r="JQ203" s="102">
        <f t="shared" si="634"/>
        <v>4413.29480238</v>
      </c>
      <c r="JR203" s="102">
        <f t="shared" si="634"/>
        <v>4413.29480238</v>
      </c>
      <c r="JS203" s="102">
        <f t="shared" si="634"/>
        <v>4413.29480238</v>
      </c>
      <c r="JT203" s="102">
        <f t="shared" si="635"/>
        <v>4413.29480238</v>
      </c>
      <c r="JU203" s="102">
        <f t="shared" si="636"/>
        <v>4413.29480238</v>
      </c>
      <c r="JV203" s="102">
        <f t="shared" si="637"/>
        <v>4413.29480238</v>
      </c>
      <c r="JW203" s="102">
        <f t="shared" si="637"/>
        <v>4413.29480238</v>
      </c>
      <c r="JX203" s="102" t="e">
        <f t="shared" si="638"/>
        <v>#VALUE!</v>
      </c>
      <c r="JY203" s="102" t="e">
        <f t="shared" si="639"/>
        <v>#VALUE!</v>
      </c>
      <c r="KB203" s="32">
        <f t="shared" si="640"/>
        <v>-0.16573561782786028</v>
      </c>
      <c r="KC203" s="32">
        <f t="shared" si="640"/>
        <v>0</v>
      </c>
      <c r="KD203" s="32">
        <f t="shared" si="640"/>
        <v>0</v>
      </c>
      <c r="KE203" s="32">
        <f t="shared" si="640"/>
        <v>0</v>
      </c>
      <c r="KF203" s="32">
        <f t="shared" si="640"/>
        <v>0</v>
      </c>
      <c r="KG203" s="32">
        <f t="shared" si="640"/>
        <v>0</v>
      </c>
      <c r="KH203" s="32" t="str">
        <f t="shared" si="569"/>
        <v xml:space="preserve"> </v>
      </c>
      <c r="KJ203" s="102">
        <f t="shared" si="641"/>
        <v>-876.74861393999981</v>
      </c>
      <c r="KK203" s="102">
        <f t="shared" si="641"/>
        <v>0</v>
      </c>
      <c r="KL203" s="102">
        <f t="shared" si="641"/>
        <v>0</v>
      </c>
      <c r="KM203" s="102">
        <f t="shared" si="641"/>
        <v>0</v>
      </c>
      <c r="KN203" s="102">
        <f t="shared" si="641"/>
        <v>0</v>
      </c>
      <c r="KO203" s="102">
        <f t="shared" si="641"/>
        <v>0</v>
      </c>
      <c r="KP203" s="102" t="e">
        <f t="shared" si="570"/>
        <v>#VALUE!</v>
      </c>
      <c r="KR203" s="973"/>
      <c r="KS203" s="973"/>
      <c r="KT203" s="973"/>
      <c r="KU203" s="973"/>
      <c r="KV203" s="973"/>
      <c r="KW203" s="973"/>
      <c r="KX203" s="973"/>
      <c r="KY203" s="973"/>
      <c r="KZ203" s="973"/>
    </row>
    <row r="204" spans="1:312" outlineLevel="1" collapsed="1">
      <c r="A204" s="884">
        <v>34</v>
      </c>
      <c r="B204" s="70" t="s">
        <v>760</v>
      </c>
      <c r="C204" s="17" t="s">
        <v>155</v>
      </c>
      <c r="D204" s="31" t="s">
        <v>59</v>
      </c>
      <c r="E204" s="102">
        <v>493.34978698999998</v>
      </c>
      <c r="F204" s="102">
        <v>493.34978698999998</v>
      </c>
      <c r="G204" s="102">
        <v>493.34978698999998</v>
      </c>
      <c r="H204" s="102">
        <v>493.34978698999998</v>
      </c>
      <c r="I204" s="102">
        <v>493.34978698999998</v>
      </c>
      <c r="J204" s="102">
        <v>493.34978698999998</v>
      </c>
      <c r="K204" s="102">
        <v>493.34978698999998</v>
      </c>
      <c r="L204" s="102">
        <v>493.34978698999998</v>
      </c>
      <c r="M204" s="102">
        <v>493.34978698999998</v>
      </c>
      <c r="N204" s="102">
        <v>493.34978698999998</v>
      </c>
      <c r="O204" s="102">
        <v>493.34978698999998</v>
      </c>
      <c r="P204" s="102">
        <v>493.34978698999998</v>
      </c>
      <c r="Q204" s="102">
        <v>493.34978699000004</v>
      </c>
      <c r="R204" s="102">
        <v>493.34978699000004</v>
      </c>
      <c r="S204" s="102">
        <v>493.34978699000004</v>
      </c>
      <c r="T204" s="102">
        <v>493.34978699000004</v>
      </c>
      <c r="U204" s="102">
        <v>493.34978699000004</v>
      </c>
      <c r="V204" s="102">
        <v>493.34978699000004</v>
      </c>
      <c r="W204" s="102">
        <v>493.34978699000004</v>
      </c>
      <c r="X204" s="102">
        <v>493.34978699000004</v>
      </c>
      <c r="Y204" s="102">
        <v>493.34978699000004</v>
      </c>
      <c r="Z204" s="102">
        <v>493.34978699000004</v>
      </c>
      <c r="AA204" s="102">
        <v>493.34978699000004</v>
      </c>
      <c r="AB204" s="102">
        <v>0</v>
      </c>
      <c r="AC204" s="102">
        <v>0</v>
      </c>
      <c r="AD204" s="102">
        <v>0</v>
      </c>
      <c r="AE204" s="102">
        <v>0</v>
      </c>
      <c r="AF204" s="102">
        <v>0</v>
      </c>
      <c r="AG204" s="102">
        <v>0</v>
      </c>
      <c r="AH204" s="102">
        <v>0</v>
      </c>
      <c r="AI204" s="102">
        <v>0</v>
      </c>
      <c r="AJ204" s="102">
        <v>0</v>
      </c>
      <c r="AK204" s="102">
        <v>0</v>
      </c>
      <c r="AL204" s="102">
        <v>0</v>
      </c>
      <c r="AM204" s="102">
        <v>0</v>
      </c>
      <c r="AN204" s="102">
        <v>0</v>
      </c>
      <c r="AO204" s="102">
        <v>0</v>
      </c>
      <c r="AP204" s="145">
        <v>0</v>
      </c>
      <c r="AQ204" s="143">
        <v>0</v>
      </c>
      <c r="AR204" s="143">
        <v>0</v>
      </c>
      <c r="AS204" s="102">
        <v>0</v>
      </c>
      <c r="AT204" s="102">
        <v>0</v>
      </c>
      <c r="AU204" s="102">
        <v>0</v>
      </c>
      <c r="AV204" s="102">
        <v>0</v>
      </c>
      <c r="AW204" s="102">
        <v>0</v>
      </c>
      <c r="AX204" s="102">
        <v>0</v>
      </c>
      <c r="AY204" s="102">
        <v>0</v>
      </c>
      <c r="AZ204" s="102">
        <v>0</v>
      </c>
      <c r="BA204" s="102">
        <v>0</v>
      </c>
      <c r="BB204" s="102">
        <v>0</v>
      </c>
      <c r="BC204" s="102">
        <v>0</v>
      </c>
      <c r="BD204" s="102">
        <v>0</v>
      </c>
      <c r="BE204" s="102">
        <v>0</v>
      </c>
      <c r="BF204" s="102">
        <v>0</v>
      </c>
      <c r="BG204" s="102">
        <v>0</v>
      </c>
      <c r="BH204" s="102">
        <v>0</v>
      </c>
      <c r="BI204" s="102">
        <v>0</v>
      </c>
      <c r="BJ204" s="102">
        <v>0</v>
      </c>
      <c r="BK204" s="102">
        <v>0</v>
      </c>
      <c r="BL204" s="102">
        <v>0</v>
      </c>
      <c r="BM204" s="102">
        <v>0</v>
      </c>
      <c r="BN204" s="102">
        <v>0</v>
      </c>
      <c r="BO204" s="102">
        <v>0</v>
      </c>
      <c r="BP204" s="102">
        <v>0</v>
      </c>
      <c r="BQ204" s="102">
        <v>0</v>
      </c>
      <c r="BR204" s="102">
        <v>0</v>
      </c>
      <c r="BS204" s="102">
        <v>0</v>
      </c>
      <c r="BT204" s="102">
        <v>0</v>
      </c>
      <c r="BU204" s="102">
        <v>0</v>
      </c>
      <c r="BV204" s="102">
        <v>0</v>
      </c>
      <c r="BW204" s="102">
        <v>0</v>
      </c>
      <c r="BX204" s="102">
        <v>0</v>
      </c>
      <c r="BY204" s="102">
        <v>0</v>
      </c>
      <c r="BZ204" s="102">
        <v>0</v>
      </c>
      <c r="CA204" s="102">
        <v>0</v>
      </c>
      <c r="CB204" s="102">
        <v>0</v>
      </c>
      <c r="CC204" s="102">
        <v>0</v>
      </c>
      <c r="CD204" s="102">
        <v>0</v>
      </c>
      <c r="CE204" s="102">
        <v>0</v>
      </c>
      <c r="CF204" s="102">
        <v>0</v>
      </c>
      <c r="CG204" s="102">
        <v>0</v>
      </c>
      <c r="CH204" s="102">
        <v>0</v>
      </c>
      <c r="CI204" s="102">
        <v>0</v>
      </c>
      <c r="CJ204" s="102">
        <v>0</v>
      </c>
      <c r="CK204" s="102">
        <v>0</v>
      </c>
      <c r="CL204" s="102">
        <v>0</v>
      </c>
      <c r="CM204" s="102">
        <v>0</v>
      </c>
      <c r="CN204" s="102">
        <v>0</v>
      </c>
      <c r="CO204" s="102">
        <v>0</v>
      </c>
      <c r="CP204" s="102">
        <v>0</v>
      </c>
      <c r="CQ204" s="102">
        <v>0</v>
      </c>
      <c r="CR204" s="102">
        <v>0</v>
      </c>
      <c r="CS204" s="102">
        <v>0</v>
      </c>
      <c r="CT204" s="102">
        <v>0</v>
      </c>
      <c r="CU204" s="102">
        <v>0</v>
      </c>
      <c r="CV204" s="102">
        <v>0</v>
      </c>
      <c r="CW204" s="102">
        <v>0</v>
      </c>
      <c r="CX204" s="102">
        <v>0</v>
      </c>
      <c r="CY204" s="102">
        <v>0</v>
      </c>
      <c r="CZ204" s="102">
        <v>0</v>
      </c>
      <c r="DA204" s="102">
        <v>0</v>
      </c>
      <c r="DB204" s="102">
        <v>0</v>
      </c>
      <c r="DC204" s="102">
        <v>0</v>
      </c>
      <c r="DD204" s="102">
        <v>0</v>
      </c>
      <c r="DE204" s="102">
        <v>0</v>
      </c>
      <c r="DF204" s="102">
        <v>0</v>
      </c>
      <c r="DG204" s="102">
        <v>0</v>
      </c>
      <c r="DH204" s="102">
        <v>0</v>
      </c>
      <c r="DJ204" s="102" t="e">
        <v>#VALUE!</v>
      </c>
      <c r="DK204" s="102" t="e">
        <v>#VALUE!</v>
      </c>
      <c r="DL204" s="102" t="e">
        <v>#VALUE!</v>
      </c>
      <c r="DM204" s="102" t="e">
        <v>#VALUE!</v>
      </c>
      <c r="DN204" s="102" t="e">
        <v>#VALUE!</v>
      </c>
      <c r="DO204" s="102" t="e">
        <v>#VALUE!</v>
      </c>
      <c r="DP204" s="102" t="e">
        <v>#VALUE!</v>
      </c>
      <c r="DQ204" s="102" t="e">
        <v>#VALUE!</v>
      </c>
      <c r="DR204" s="102" t="e">
        <v>#VALUE!</v>
      </c>
      <c r="DS204" s="102" t="e">
        <v>#VALUE!</v>
      </c>
      <c r="DT204" s="102" t="e">
        <v>#VALUE!</v>
      </c>
      <c r="DU204" s="102" t="e">
        <v>#VALUE!</v>
      </c>
      <c r="DW204" s="102"/>
      <c r="DX204" s="102"/>
      <c r="DY204" s="102"/>
      <c r="DZ204" s="102"/>
      <c r="EA204" s="102"/>
      <c r="EB204" s="102"/>
      <c r="EC204" s="102"/>
      <c r="ED204" s="102"/>
      <c r="EE204" s="102"/>
      <c r="EF204" s="102"/>
      <c r="EG204" s="102"/>
      <c r="EH204" s="102"/>
      <c r="EI204" s="102">
        <v>0</v>
      </c>
      <c r="EJ204" s="102">
        <v>0</v>
      </c>
      <c r="EK204" s="102">
        <v>0</v>
      </c>
      <c r="EL204" s="102">
        <v>0</v>
      </c>
      <c r="EM204" s="102">
        <v>0</v>
      </c>
      <c r="EN204" s="102">
        <v>0</v>
      </c>
      <c r="EO204" s="102">
        <v>0</v>
      </c>
      <c r="EP204" s="102">
        <v>0</v>
      </c>
      <c r="EQ204" s="102">
        <v>0</v>
      </c>
      <c r="ER204" s="102">
        <v>0</v>
      </c>
      <c r="ES204" s="102">
        <v>0</v>
      </c>
      <c r="ET204" s="102">
        <v>0</v>
      </c>
      <c r="EU204" s="102"/>
      <c r="EV204" s="102"/>
      <c r="EW204" s="102"/>
      <c r="EX204" s="102"/>
      <c r="EY204" s="102"/>
      <c r="EZ204" s="102"/>
      <c r="FA204" s="102"/>
      <c r="FB204" s="102"/>
      <c r="FC204" s="102"/>
      <c r="FD204" s="102"/>
      <c r="FE204" s="102"/>
      <c r="FF204" s="102"/>
      <c r="FG204" s="102" t="e">
        <v>#VALUE!</v>
      </c>
      <c r="FH204" s="102" t="e">
        <v>#VALUE!</v>
      </c>
      <c r="FI204" s="102" t="e">
        <v>#VALUE!</v>
      </c>
      <c r="FJ204" s="102" t="e">
        <v>#VALUE!</v>
      </c>
      <c r="FK204" s="102" t="e">
        <v>#VALUE!</v>
      </c>
      <c r="FL204" s="102" t="e">
        <v>#VALUE!</v>
      </c>
      <c r="FM204" s="102" t="e">
        <v>#VALUE!</v>
      </c>
      <c r="FN204" s="102" t="e">
        <v>#VALUE!</v>
      </c>
      <c r="FO204" s="102" t="e">
        <v>#VALUE!</v>
      </c>
      <c r="FP204" s="102" t="e">
        <v>#VALUE!</v>
      </c>
      <c r="FQ204" s="102" t="e">
        <v>#VALUE!</v>
      </c>
      <c r="FR204" s="102" t="e">
        <v>#VALUE!</v>
      </c>
      <c r="FS204" s="102" t="e">
        <v>#VALUE!</v>
      </c>
      <c r="FT204" s="102" t="e">
        <v>#VALUE!</v>
      </c>
      <c r="FU204" s="102" t="e">
        <v>#VALUE!</v>
      </c>
      <c r="FV204" s="102" t="e">
        <v>#VALUE!</v>
      </c>
      <c r="FW204" s="102" t="e">
        <v>#VALUE!</v>
      </c>
      <c r="FX204" s="102" t="e">
        <v>#VALUE!</v>
      </c>
      <c r="FY204" s="102" t="e">
        <v>#VALUE!</v>
      </c>
      <c r="FZ204" s="102" t="e">
        <v>#VALUE!</v>
      </c>
      <c r="GA204" s="102" t="e">
        <v>#VALUE!</v>
      </c>
      <c r="GB204" s="102" t="e">
        <v>#VALUE!</v>
      </c>
      <c r="GC204" s="102" t="e">
        <v>#VALUE!</v>
      </c>
      <c r="GD204" s="102" t="e">
        <v>#VALUE!</v>
      </c>
      <c r="GF204" s="102">
        <f t="shared" si="622"/>
        <v>493.34978698999998</v>
      </c>
      <c r="GG204" s="102">
        <f t="shared" si="622"/>
        <v>0</v>
      </c>
      <c r="GH204" s="102">
        <f t="shared" si="622"/>
        <v>0</v>
      </c>
      <c r="GI204" s="102">
        <f t="shared" si="622"/>
        <v>0</v>
      </c>
      <c r="GJ204" s="102">
        <f t="shared" si="575"/>
        <v>0</v>
      </c>
      <c r="GK204" s="102">
        <f t="shared" si="565"/>
        <v>0</v>
      </c>
      <c r="GL204" s="102">
        <f t="shared" si="571"/>
        <v>0</v>
      </c>
      <c r="GM204" s="102">
        <f t="shared" si="566"/>
        <v>0</v>
      </c>
      <c r="GN204" s="102" t="e">
        <f t="shared" si="567"/>
        <v>#VALUE!</v>
      </c>
      <c r="GO204" s="102">
        <v>0</v>
      </c>
      <c r="GQ204" s="929" t="str">
        <f t="shared" si="623"/>
        <v/>
      </c>
      <c r="GR204" s="929" t="str">
        <f t="shared" si="623"/>
        <v/>
      </c>
      <c r="GS204" s="929" t="str">
        <f t="shared" si="623"/>
        <v/>
      </c>
      <c r="GT204" s="929" t="str">
        <f t="shared" si="623"/>
        <v/>
      </c>
      <c r="GU204" s="929" t="str">
        <f t="shared" si="623"/>
        <v/>
      </c>
      <c r="GV204" s="929" t="str">
        <f t="shared" si="623"/>
        <v/>
      </c>
      <c r="GW204" s="929" t="str">
        <f t="shared" si="623"/>
        <v/>
      </c>
      <c r="GX204" s="929" t="str">
        <f t="shared" si="623"/>
        <v/>
      </c>
      <c r="GY204" s="929" t="str">
        <f t="shared" si="647"/>
        <v/>
      </c>
      <c r="HA204" s="102">
        <f t="shared" si="624"/>
        <v>0</v>
      </c>
      <c r="HB204" s="102">
        <f t="shared" si="624"/>
        <v>0</v>
      </c>
      <c r="HC204" s="102">
        <f t="shared" si="624"/>
        <v>0</v>
      </c>
      <c r="HD204" s="102">
        <f t="shared" si="577"/>
        <v>0</v>
      </c>
      <c r="HE204" s="102">
        <f t="shared" si="577"/>
        <v>0</v>
      </c>
      <c r="HF204" s="102">
        <f t="shared" si="577"/>
        <v>0</v>
      </c>
      <c r="HG204" s="102" t="e">
        <f t="shared" si="577"/>
        <v>#VALUE!</v>
      </c>
      <c r="HH204" s="102" t="e">
        <f t="shared" si="577"/>
        <v>#VALUE!</v>
      </c>
      <c r="HI204" s="102">
        <f t="shared" si="648"/>
        <v>0</v>
      </c>
      <c r="HK204" s="973"/>
      <c r="HL204" s="973"/>
      <c r="HM204" s="973"/>
      <c r="HN204" s="973"/>
      <c r="HO204" s="973"/>
      <c r="HP204" s="973"/>
      <c r="HQ204" s="973"/>
      <c r="HR204" s="973"/>
      <c r="HS204" s="973"/>
      <c r="HU204" s="102">
        <f t="shared" si="625"/>
        <v>493.34978698999998</v>
      </c>
      <c r="HV204" s="102">
        <f t="shared" si="625"/>
        <v>493.34978699000004</v>
      </c>
      <c r="HW204" s="102">
        <f t="shared" si="625"/>
        <v>0</v>
      </c>
      <c r="HX204" s="102">
        <f t="shared" si="625"/>
        <v>0</v>
      </c>
      <c r="HY204" s="102">
        <f t="shared" si="626"/>
        <v>0</v>
      </c>
      <c r="HZ204" s="102">
        <f t="shared" si="626"/>
        <v>0</v>
      </c>
      <c r="IA204" s="102">
        <f t="shared" si="627"/>
        <v>0</v>
      </c>
      <c r="IB204" s="102">
        <f t="shared" si="628"/>
        <v>0</v>
      </c>
      <c r="IC204" s="102">
        <f t="shared" si="629"/>
        <v>0</v>
      </c>
      <c r="ID204" s="102" t="e">
        <f t="shared" si="568"/>
        <v>#VALUE!</v>
      </c>
      <c r="IE204" s="102" t="e">
        <f t="shared" si="590"/>
        <v>#VALUE!</v>
      </c>
      <c r="IG204" s="102" t="e">
        <f t="shared" si="533"/>
        <v>#VALUE!</v>
      </c>
      <c r="IH204" s="102" t="e">
        <f t="shared" si="534"/>
        <v>#VALUE!</v>
      </c>
      <c r="II204" s="145"/>
      <c r="IJ204" s="929" t="str">
        <f t="shared" si="630"/>
        <v>NA</v>
      </c>
      <c r="IK204" s="930" t="str">
        <f t="shared" si="631"/>
        <v>NA</v>
      </c>
      <c r="IM204" s="973"/>
      <c r="IN204" s="973"/>
      <c r="IP204" s="929">
        <f t="shared" si="642"/>
        <v>-1</v>
      </c>
      <c r="IQ204" s="929" t="str">
        <f t="shared" si="642"/>
        <v/>
      </c>
      <c r="IR204" s="929" t="str">
        <f t="shared" si="642"/>
        <v/>
      </c>
      <c r="IS204" s="929" t="str">
        <f t="shared" si="642"/>
        <v/>
      </c>
      <c r="IT204" s="929" t="str">
        <f t="shared" si="642"/>
        <v/>
      </c>
      <c r="IU204" s="929" t="str">
        <f t="shared" si="642"/>
        <v/>
      </c>
      <c r="IV204" s="929" t="str">
        <f t="shared" si="643"/>
        <v/>
      </c>
      <c r="IX204" s="102">
        <f t="shared" si="632"/>
        <v>-493.34978699000004</v>
      </c>
      <c r="IY204" s="102">
        <f t="shared" si="632"/>
        <v>0</v>
      </c>
      <c r="IZ204" s="102">
        <f t="shared" si="632"/>
        <v>0</v>
      </c>
      <c r="JA204" s="102">
        <f t="shared" si="632"/>
        <v>0</v>
      </c>
      <c r="JB204" s="102">
        <f t="shared" si="632"/>
        <v>0</v>
      </c>
      <c r="JC204" s="102">
        <f t="shared" si="632"/>
        <v>0</v>
      </c>
      <c r="JD204" s="102" t="e">
        <f t="shared" si="633"/>
        <v>#VALUE!</v>
      </c>
      <c r="JF204" s="973"/>
      <c r="JG204" s="973"/>
      <c r="JH204" s="973"/>
      <c r="JI204" s="973"/>
      <c r="JJ204" s="973"/>
      <c r="JK204" s="973"/>
      <c r="JL204" s="973"/>
      <c r="JM204" s="973"/>
      <c r="JO204" s="102">
        <f t="shared" si="634"/>
        <v>493.34978698999998</v>
      </c>
      <c r="JP204" s="102">
        <f t="shared" si="634"/>
        <v>493.34978699000004</v>
      </c>
      <c r="JQ204" s="102">
        <f t="shared" si="634"/>
        <v>0</v>
      </c>
      <c r="JR204" s="102">
        <f t="shared" si="634"/>
        <v>0</v>
      </c>
      <c r="JS204" s="102">
        <f t="shared" si="634"/>
        <v>0</v>
      </c>
      <c r="JT204" s="102">
        <f t="shared" si="635"/>
        <v>0</v>
      </c>
      <c r="JU204" s="102">
        <f t="shared" si="636"/>
        <v>0</v>
      </c>
      <c r="JV204" s="102">
        <f t="shared" si="637"/>
        <v>0</v>
      </c>
      <c r="JW204" s="102">
        <f t="shared" si="637"/>
        <v>0</v>
      </c>
      <c r="JX204" s="102" t="e">
        <f t="shared" si="638"/>
        <v>#VALUE!</v>
      </c>
      <c r="JY204" s="102" t="e">
        <f t="shared" si="639"/>
        <v>#VALUE!</v>
      </c>
      <c r="KB204" s="32">
        <f t="shared" si="640"/>
        <v>-1</v>
      </c>
      <c r="KC204" s="32" t="str">
        <f t="shared" si="640"/>
        <v xml:space="preserve"> </v>
      </c>
      <c r="KD204" s="32" t="str">
        <f t="shared" si="640"/>
        <v xml:space="preserve"> </v>
      </c>
      <c r="KE204" s="32" t="str">
        <f t="shared" si="640"/>
        <v xml:space="preserve"> </v>
      </c>
      <c r="KF204" s="32" t="str">
        <f t="shared" si="640"/>
        <v xml:space="preserve"> </v>
      </c>
      <c r="KG204" s="32" t="str">
        <f t="shared" si="640"/>
        <v xml:space="preserve"> </v>
      </c>
      <c r="KH204" s="32" t="str">
        <f t="shared" si="569"/>
        <v xml:space="preserve"> </v>
      </c>
      <c r="KJ204" s="102">
        <f t="shared" si="641"/>
        <v>-493.34978699000004</v>
      </c>
      <c r="KK204" s="102">
        <f t="shared" si="641"/>
        <v>0</v>
      </c>
      <c r="KL204" s="102">
        <f t="shared" si="641"/>
        <v>0</v>
      </c>
      <c r="KM204" s="102">
        <f t="shared" si="641"/>
        <v>0</v>
      </c>
      <c r="KN204" s="102">
        <f t="shared" si="641"/>
        <v>0</v>
      </c>
      <c r="KO204" s="102">
        <f t="shared" si="641"/>
        <v>0</v>
      </c>
      <c r="KP204" s="102" t="e">
        <f t="shared" si="570"/>
        <v>#VALUE!</v>
      </c>
      <c r="KR204" s="973"/>
      <c r="KS204" s="973"/>
      <c r="KT204" s="973"/>
      <c r="KU204" s="973"/>
      <c r="KV204" s="973"/>
      <c r="KW204" s="973"/>
      <c r="KX204" s="973"/>
      <c r="KY204" s="973"/>
      <c r="KZ204" s="973"/>
    </row>
    <row r="205" spans="1:312" outlineLevel="1">
      <c r="A205" s="884">
        <v>36</v>
      </c>
      <c r="B205" s="70" t="s">
        <v>761</v>
      </c>
      <c r="C205" s="17" t="s">
        <v>159</v>
      </c>
      <c r="D205" s="31" t="s">
        <v>59</v>
      </c>
      <c r="E205" s="102">
        <v>-904.19624287720001</v>
      </c>
      <c r="F205" s="102">
        <v>-194.94679671409995</v>
      </c>
      <c r="G205" s="102">
        <v>23.818648947699842</v>
      </c>
      <c r="H205" s="102">
        <v>410.96203709590003</v>
      </c>
      <c r="I205" s="102">
        <v>1377.3290370087007</v>
      </c>
      <c r="J205" s="102">
        <v>1730.6029433054007</v>
      </c>
      <c r="K205" s="102">
        <v>2241.8168840979993</v>
      </c>
      <c r="L205" s="102">
        <v>3239.5355790397016</v>
      </c>
      <c r="M205" s="102">
        <v>4239.9064313073022</v>
      </c>
      <c r="N205" s="102">
        <v>4779.4481076610036</v>
      </c>
      <c r="O205" s="102">
        <v>5950.7319451478979</v>
      </c>
      <c r="P205" s="102">
        <v>6090.0670461600048</v>
      </c>
      <c r="Q205" s="102">
        <v>-263.53662756029985</v>
      </c>
      <c r="R205" s="102">
        <v>595.10626868490033</v>
      </c>
      <c r="S205" s="102">
        <v>474.31702386170093</v>
      </c>
      <c r="T205" s="102">
        <v>7.3351429887018185</v>
      </c>
      <c r="U205" s="102">
        <v>1006.302741052102</v>
      </c>
      <c r="V205" s="102">
        <v>1783.4636777338974</v>
      </c>
      <c r="W205" s="102">
        <v>2138.1205215322971</v>
      </c>
      <c r="X205" s="102">
        <v>2765.9861504327014</v>
      </c>
      <c r="Y205" s="102">
        <v>2332.6567918739029</v>
      </c>
      <c r="Z205" s="102">
        <v>2354.2113059428998</v>
      </c>
      <c r="AA205" s="102">
        <v>3935.5575493186998</v>
      </c>
      <c r="AB205" s="102">
        <v>6050.1746752600029</v>
      </c>
      <c r="AC205" s="102">
        <v>5597.6627804</v>
      </c>
      <c r="AD205" s="102">
        <v>6881.0737787890002</v>
      </c>
      <c r="AE205" s="102">
        <v>1089.6462488669997</v>
      </c>
      <c r="AF205" s="102">
        <v>1582.7155552890003</v>
      </c>
      <c r="AG205" s="102">
        <v>2011.1184025812006</v>
      </c>
      <c r="AH205" s="102">
        <v>2290.7911421274007</v>
      </c>
      <c r="AI205" s="102">
        <v>2463.9121979934007</v>
      </c>
      <c r="AJ205" s="102">
        <v>2918.6340414396004</v>
      </c>
      <c r="AK205" s="102">
        <v>3472.1206012350003</v>
      </c>
      <c r="AL205" s="102">
        <v>4248.9264366977995</v>
      </c>
      <c r="AM205" s="102">
        <v>6348.6243852600001</v>
      </c>
      <c r="AN205" s="102">
        <v>6759.5068970399998</v>
      </c>
      <c r="AO205" s="102">
        <v>7540.4356467799971</v>
      </c>
      <c r="AP205" s="145">
        <v>7184.5145240799993</v>
      </c>
      <c r="AQ205" s="143">
        <v>7143.2440030499965</v>
      </c>
      <c r="AR205" s="143">
        <v>6239.5766272799947</v>
      </c>
      <c r="AS205" s="102">
        <v>5654.8704552099953</v>
      </c>
      <c r="AT205" s="102">
        <v>4196.499569759997</v>
      </c>
      <c r="AU205" s="102">
        <v>4250.2321223099962</v>
      </c>
      <c r="AV205" s="102">
        <v>4219.3340881099975</v>
      </c>
      <c r="AW205" s="102">
        <v>4065.9303816699967</v>
      </c>
      <c r="AX205" s="102">
        <v>2753.331977229996</v>
      </c>
      <c r="AY205" s="102">
        <v>2095.6099662899978</v>
      </c>
      <c r="AZ205" s="102">
        <f>SUM(AO103:AZ103)</f>
        <v>-3054.6221226499993</v>
      </c>
      <c r="BA205" s="102">
        <v>24.359585170000017</v>
      </c>
      <c r="BB205" s="145">
        <v>-626.00750976000006</v>
      </c>
      <c r="BC205" s="145">
        <v>-1541.3703691000001</v>
      </c>
      <c r="BD205" s="145">
        <v>-2243.34946064</v>
      </c>
      <c r="BE205" s="102">
        <v>-2697.8625856399999</v>
      </c>
      <c r="BF205" s="102">
        <v>-3606.7606113899997</v>
      </c>
      <c r="BG205" s="102">
        <v>-4115.72395246</v>
      </c>
      <c r="BH205" s="102">
        <v>-4529.8183375300005</v>
      </c>
      <c r="BI205" s="102">
        <v>-4663.6469218800003</v>
      </c>
      <c r="BJ205" s="102">
        <v>-4901.4072050100003</v>
      </c>
      <c r="BK205" s="102">
        <v>-4972.5588929200003</v>
      </c>
      <c r="BL205" s="102">
        <v>-4730.5575491399995</v>
      </c>
      <c r="BM205" s="102">
        <f>+BM103</f>
        <v>123.44698306999993</v>
      </c>
      <c r="BN205" s="145">
        <f t="shared" ref="BN205:BX205" si="649">+BM205+BN103</f>
        <v>263.7951649499999</v>
      </c>
      <c r="BO205" s="145">
        <f t="shared" si="649"/>
        <v>355.71991318999983</v>
      </c>
      <c r="BP205" s="963">
        <f t="shared" si="649"/>
        <v>711.79197793000026</v>
      </c>
      <c r="BQ205" s="102">
        <f t="shared" si="649"/>
        <v>700.30971780000016</v>
      </c>
      <c r="BR205" s="102">
        <f t="shared" si="649"/>
        <v>790.44529982000017</v>
      </c>
      <c r="BS205" s="102">
        <f t="shared" si="649"/>
        <v>851.50242784000022</v>
      </c>
      <c r="BT205" s="102">
        <f t="shared" si="649"/>
        <v>895.52459630000044</v>
      </c>
      <c r="BU205" s="102">
        <f t="shared" si="649"/>
        <v>852.37138447000052</v>
      </c>
      <c r="BV205" s="102">
        <f t="shared" si="649"/>
        <v>1114.3521906100002</v>
      </c>
      <c r="BW205" s="102">
        <f t="shared" si="649"/>
        <v>1303.2070437000007</v>
      </c>
      <c r="BX205" s="102">
        <f t="shared" si="649"/>
        <v>1261.946969130001</v>
      </c>
      <c r="BY205" s="102">
        <f t="shared" ref="BY205:CW205" si="650">+BY103</f>
        <v>-155.39655519999991</v>
      </c>
      <c r="BZ205" s="102">
        <f t="shared" si="650"/>
        <v>22.075449460000158</v>
      </c>
      <c r="CA205" s="102">
        <f t="shared" si="650"/>
        <v>-61.512769169999871</v>
      </c>
      <c r="CB205" s="102">
        <f t="shared" si="650"/>
        <v>-90.353418339999919</v>
      </c>
      <c r="CC205" s="102">
        <f t="shared" si="650"/>
        <v>-137.22758993999992</v>
      </c>
      <c r="CD205" s="102">
        <f t="shared" si="650"/>
        <v>-18.083400690000197</v>
      </c>
      <c r="CE205" s="102">
        <f t="shared" si="650"/>
        <v>-160.47541692000007</v>
      </c>
      <c r="CF205" s="102">
        <f t="shared" si="650"/>
        <v>489.31329980000021</v>
      </c>
      <c r="CG205" s="102">
        <f t="shared" si="650"/>
        <v>-43.808465060000017</v>
      </c>
      <c r="CH205" s="102">
        <f t="shared" si="650"/>
        <v>156.53165334000016</v>
      </c>
      <c r="CI205" s="102">
        <f t="shared" si="650"/>
        <v>530.51425845000006</v>
      </c>
      <c r="CJ205" s="102">
        <f t="shared" si="650"/>
        <v>-223.80143551000018</v>
      </c>
      <c r="CK205" s="102">
        <f t="shared" si="650"/>
        <v>114.61153242999967</v>
      </c>
      <c r="CL205" s="102">
        <f t="shared" si="650"/>
        <v>-167.1875687900002</v>
      </c>
      <c r="CM205" s="102">
        <f t="shared" si="650"/>
        <v>406.87187320999999</v>
      </c>
      <c r="CN205" s="102">
        <f t="shared" si="650"/>
        <v>132.04099503999996</v>
      </c>
      <c r="CO205" s="102">
        <f t="shared" si="650"/>
        <v>429.96789341999983</v>
      </c>
      <c r="CP205" s="102">
        <f t="shared" si="650"/>
        <v>-48.026834360000208</v>
      </c>
      <c r="CQ205" s="102">
        <f t="shared" si="650"/>
        <v>59.81053393000002</v>
      </c>
      <c r="CR205" s="102">
        <f t="shared" si="650"/>
        <v>295.62067388000003</v>
      </c>
      <c r="CS205" s="102">
        <f t="shared" si="650"/>
        <v>226.86529959999979</v>
      </c>
      <c r="CT205" s="102">
        <f t="shared" si="650"/>
        <v>667.62432546000014</v>
      </c>
      <c r="CU205" s="102">
        <f t="shared" si="650"/>
        <v>314.66271745000012</v>
      </c>
      <c r="CV205" s="102">
        <f t="shared" si="650"/>
        <v>-892.75917743000036</v>
      </c>
      <c r="CW205" s="102">
        <f t="shared" si="650"/>
        <v>311.65705161000005</v>
      </c>
      <c r="CX205" s="102">
        <f t="shared" ref="CX205:DH205" si="651">+CX103+CW205</f>
        <v>442.05898729999956</v>
      </c>
      <c r="CY205" s="102">
        <f t="shared" si="651"/>
        <v>1344.4520738900001</v>
      </c>
      <c r="CZ205" s="102">
        <f t="shared" si="651"/>
        <v>998.77994642000021</v>
      </c>
      <c r="DA205" s="102">
        <f t="shared" si="651"/>
        <v>496.54475772000029</v>
      </c>
      <c r="DB205" s="102">
        <f t="shared" si="651"/>
        <v>153.08450519000024</v>
      </c>
      <c r="DC205" s="102">
        <f t="shared" si="651"/>
        <v>-322.52857257999977</v>
      </c>
      <c r="DD205" s="102">
        <f t="shared" si="651"/>
        <v>-84.183162099999691</v>
      </c>
      <c r="DE205" s="102">
        <f t="shared" si="651"/>
        <v>92.649620600000162</v>
      </c>
      <c r="DF205" s="102">
        <f t="shared" si="651"/>
        <v>354.46457447000023</v>
      </c>
      <c r="DG205" s="102">
        <f t="shared" si="651"/>
        <v>72.857387219999964</v>
      </c>
      <c r="DH205" s="102">
        <f t="shared" si="651"/>
        <v>-200.51340573000016</v>
      </c>
      <c r="DJ205" s="102" t="e">
        <v>#VALUE!</v>
      </c>
      <c r="DK205" s="102" t="e">
        <v>#VALUE!</v>
      </c>
      <c r="DL205" s="102" t="e">
        <v>#VALUE!</v>
      </c>
      <c r="DM205" s="102" t="e">
        <v>#VALUE!</v>
      </c>
      <c r="DN205" s="102" t="e">
        <v>#VALUE!</v>
      </c>
      <c r="DO205" s="102" t="e">
        <v>#VALUE!</v>
      </c>
      <c r="DP205" s="102" t="e">
        <v>#VALUE!</v>
      </c>
      <c r="DQ205" s="102" t="e">
        <v>#VALUE!</v>
      </c>
      <c r="DR205" s="102" t="e">
        <v>#VALUE!</v>
      </c>
      <c r="DS205" s="102" t="e">
        <v>#VALUE!</v>
      </c>
      <c r="DT205" s="102" t="e">
        <v>#VALUE!</v>
      </c>
      <c r="DU205" s="102" t="e">
        <v>#VALUE!</v>
      </c>
      <c r="DW205" s="102">
        <v>320.82846363974249</v>
      </c>
      <c r="DX205" s="102">
        <v>97.658452641659849</v>
      </c>
      <c r="DY205" s="102">
        <v>-70.889210136999964</v>
      </c>
      <c r="DZ205" s="102">
        <v>252.73657387424515</v>
      </c>
      <c r="EA205" s="102">
        <v>380.51030391839907</v>
      </c>
      <c r="EB205" s="102">
        <v>634.24871927197194</v>
      </c>
      <c r="EC205" s="102">
        <v>1402.4831522960339</v>
      </c>
      <c r="ED205" s="102">
        <v>2673.3732555796605</v>
      </c>
      <c r="EE205" s="102">
        <v>3448.3360404503287</v>
      </c>
      <c r="EF205" s="102">
        <v>4369.6989788850633</v>
      </c>
      <c r="EG205" s="102">
        <v>5188.958920628751</v>
      </c>
      <c r="EH205" s="102">
        <v>5764.1386020821592</v>
      </c>
      <c r="EI205" s="102">
        <v>102.06970981999588</v>
      </c>
      <c r="EJ205" s="102">
        <v>102.06970981999588</v>
      </c>
      <c r="EK205" s="102">
        <v>102.06970981999588</v>
      </c>
      <c r="EL205" s="102">
        <v>102.06970981999588</v>
      </c>
      <c r="EM205" s="102">
        <v>102.06970981999588</v>
      </c>
      <c r="EN205" s="102">
        <v>102.06970981999588</v>
      </c>
      <c r="EO205" s="102">
        <v>102.06970981999588</v>
      </c>
      <c r="EP205" s="102">
        <v>102.06970981999588</v>
      </c>
      <c r="EQ205" s="102">
        <v>102.06970981999588</v>
      </c>
      <c r="ER205" s="102">
        <v>102.06970981999588</v>
      </c>
      <c r="ES205" s="102">
        <v>102.06970981999588</v>
      </c>
      <c r="ET205" s="102">
        <v>102.06970981999588</v>
      </c>
      <c r="EU205" s="102">
        <v>-170.32869399228827</v>
      </c>
      <c r="EV205" s="102">
        <v>13.474596081058502</v>
      </c>
      <c r="EW205" s="102">
        <v>175.90189499514938</v>
      </c>
      <c r="EX205" s="102">
        <v>320.44168569257459</v>
      </c>
      <c r="EY205" s="102">
        <v>454.05443840907191</v>
      </c>
      <c r="EZ205" s="102">
        <v>591.95979770269741</v>
      </c>
      <c r="FA205" s="102">
        <v>746.44098699447284</v>
      </c>
      <c r="FB205" s="102">
        <v>653.97698250533074</v>
      </c>
      <c r="FC205" s="102">
        <v>503.27249177500966</v>
      </c>
      <c r="FD205" s="102">
        <v>292.85015438468855</v>
      </c>
      <c r="FE205" s="102">
        <v>139.95885886457748</v>
      </c>
      <c r="FF205" s="102">
        <v>-68.761796221340475</v>
      </c>
      <c r="FG205" s="102" t="e">
        <v>#VALUE!</v>
      </c>
      <c r="FH205" s="102" t="e">
        <v>#VALUE!</v>
      </c>
      <c r="FI205" s="102" t="e">
        <v>#VALUE!</v>
      </c>
      <c r="FJ205" s="102" t="e">
        <v>#VALUE!</v>
      </c>
      <c r="FK205" s="102" t="e">
        <v>#VALUE!</v>
      </c>
      <c r="FL205" s="102" t="e">
        <v>#VALUE!</v>
      </c>
      <c r="FM205" s="102" t="e">
        <v>#VALUE!</v>
      </c>
      <c r="FN205" s="102" t="e">
        <v>#VALUE!</v>
      </c>
      <c r="FO205" s="102" t="e">
        <v>#VALUE!</v>
      </c>
      <c r="FP205" s="102" t="e">
        <v>#VALUE!</v>
      </c>
      <c r="FQ205" s="102" t="e">
        <v>#VALUE!</v>
      </c>
      <c r="FR205" s="102" t="e">
        <v>#VALUE!</v>
      </c>
      <c r="FS205" s="102" t="e">
        <v>#VALUE!</v>
      </c>
      <c r="FT205" s="102" t="e">
        <v>#VALUE!</v>
      </c>
      <c r="FU205" s="102" t="e">
        <v>#VALUE!</v>
      </c>
      <c r="FV205" s="102" t="e">
        <v>#VALUE!</v>
      </c>
      <c r="FW205" s="102" t="e">
        <v>#VALUE!</v>
      </c>
      <c r="FX205" s="102" t="e">
        <v>#VALUE!</v>
      </c>
      <c r="FY205" s="102" t="e">
        <v>#VALUE!</v>
      </c>
      <c r="FZ205" s="102" t="e">
        <v>#VALUE!</v>
      </c>
      <c r="GA205" s="102" t="e">
        <v>#VALUE!</v>
      </c>
      <c r="GB205" s="102" t="e">
        <v>#VALUE!</v>
      </c>
      <c r="GC205" s="102" t="e">
        <v>#VALUE!</v>
      </c>
      <c r="GD205" s="102" t="e">
        <v>#VALUE!</v>
      </c>
      <c r="GF205" s="1115">
        <v>6090.0670461600012</v>
      </c>
      <c r="GG205" s="1115">
        <v>6050.1746752600066</v>
      </c>
      <c r="GH205" s="1115">
        <v>6759.5068970199991</v>
      </c>
      <c r="GI205" s="1115">
        <v>-3054.6221226499993</v>
      </c>
      <c r="GJ205" s="1115">
        <v>-4730.4546237599998</v>
      </c>
      <c r="GK205" s="1115">
        <v>1261.946969130001</v>
      </c>
      <c r="GL205" s="1115">
        <v>307.77561022000054</v>
      </c>
      <c r="GM205" s="1115">
        <v>1540.1022638399986</v>
      </c>
      <c r="GN205" s="102" t="e">
        <f t="shared" si="567"/>
        <v>#VALUE!</v>
      </c>
      <c r="GO205" s="1115">
        <v>-200.51340573000016</v>
      </c>
      <c r="GQ205" s="929">
        <f t="shared" si="623"/>
        <v>0.11724161033904501</v>
      </c>
      <c r="GR205" s="929">
        <f t="shared" si="623"/>
        <v>-1.4519001414136676</v>
      </c>
      <c r="GS205" s="929">
        <f t="shared" si="623"/>
        <v>0.54862187001256735</v>
      </c>
      <c r="GT205" s="929">
        <f t="shared" si="623"/>
        <v>-1.2667707587324752</v>
      </c>
      <c r="GU205" s="929">
        <f t="shared" si="623"/>
        <v>-0.75611050404742119</v>
      </c>
      <c r="GV205" s="929">
        <f t="shared" si="623"/>
        <v>4.0039776145326158</v>
      </c>
      <c r="GW205" s="929" t="str">
        <f t="shared" si="623"/>
        <v/>
      </c>
      <c r="GX205" s="929" t="str">
        <f t="shared" si="623"/>
        <v/>
      </c>
      <c r="GY205" s="929">
        <f t="shared" si="647"/>
        <v>-1.1301948646124655</v>
      </c>
      <c r="HA205" s="102">
        <f t="shared" si="624"/>
        <v>709.33222175999254</v>
      </c>
      <c r="HB205" s="102">
        <f t="shared" si="624"/>
        <v>-9814.1290196699993</v>
      </c>
      <c r="HC205" s="102">
        <f t="shared" si="624"/>
        <v>-1675.8325011100005</v>
      </c>
      <c r="HD205" s="102">
        <f t="shared" si="577"/>
        <v>5992.4015928900008</v>
      </c>
      <c r="HE205" s="102">
        <f t="shared" si="577"/>
        <v>-954.17135891000044</v>
      </c>
      <c r="HF205" s="102">
        <f t="shared" si="577"/>
        <v>1232.3266536199981</v>
      </c>
      <c r="HG205" s="102" t="e">
        <f t="shared" si="577"/>
        <v>#VALUE!</v>
      </c>
      <c r="HH205" s="102" t="e">
        <f t="shared" si="577"/>
        <v>#VALUE!</v>
      </c>
      <c r="HI205" s="102">
        <f t="shared" si="648"/>
        <v>-1740.6156695699988</v>
      </c>
      <c r="HK205" s="973"/>
      <c r="HL205" s="973"/>
      <c r="HM205" s="973"/>
      <c r="HN205" s="973"/>
      <c r="HO205" s="973"/>
      <c r="HP205" s="973"/>
      <c r="HQ205" s="973"/>
      <c r="HR205" s="973"/>
      <c r="HS205" s="973"/>
      <c r="HU205" s="102">
        <f t="shared" si="625"/>
        <v>1730.6029433054007</v>
      </c>
      <c r="HV205" s="102">
        <f t="shared" si="625"/>
        <v>1783.4636777338974</v>
      </c>
      <c r="HW205" s="102">
        <f t="shared" si="625"/>
        <v>2290.7911421274007</v>
      </c>
      <c r="HX205" s="102">
        <f t="shared" si="625"/>
        <v>4196.499569759997</v>
      </c>
      <c r="HY205" s="102">
        <f t="shared" si="626"/>
        <v>-3606.7606113899997</v>
      </c>
      <c r="HZ205" s="102">
        <f t="shared" si="626"/>
        <v>790.44529982000017</v>
      </c>
      <c r="IA205" s="102">
        <f t="shared" si="627"/>
        <v>-18.083400690000197</v>
      </c>
      <c r="IB205" s="102">
        <f t="shared" si="628"/>
        <v>-48.026834360000208</v>
      </c>
      <c r="IC205" s="102">
        <f t="shared" si="629"/>
        <v>153.08450519000024</v>
      </c>
      <c r="ID205" s="102" t="e">
        <f t="shared" si="568"/>
        <v>#VALUE!</v>
      </c>
      <c r="IE205" s="102" t="e">
        <f t="shared" si="590"/>
        <v>#VALUE!</v>
      </c>
      <c r="IG205" s="102" t="e">
        <f t="shared" si="533"/>
        <v>#VALUE!</v>
      </c>
      <c r="IH205" s="102" t="e">
        <f t="shared" si="534"/>
        <v>#VALUE!</v>
      </c>
      <c r="II205" s="145"/>
      <c r="IJ205" s="929" t="str">
        <f t="shared" si="630"/>
        <v>NA</v>
      </c>
      <c r="IK205" s="930" t="str">
        <f t="shared" si="631"/>
        <v>NA</v>
      </c>
      <c r="IM205" s="973"/>
      <c r="IN205" s="973"/>
      <c r="IP205" s="929">
        <f t="shared" si="642"/>
        <v>0.28446189890344331</v>
      </c>
      <c r="IQ205" s="929">
        <f t="shared" si="642"/>
        <v>0.83189968416885551</v>
      </c>
      <c r="IR205" s="929">
        <f t="shared" si="642"/>
        <v>-1.859468838595943</v>
      </c>
      <c r="IS205" s="929">
        <f t="shared" si="642"/>
        <v>-1.21915657427438</v>
      </c>
      <c r="IT205" s="929">
        <f t="shared" si="642"/>
        <v>-1.0228774852530822</v>
      </c>
      <c r="IU205" s="929">
        <f t="shared" si="642"/>
        <v>1.6558519154286175</v>
      </c>
      <c r="IV205" s="929" t="str">
        <f t="shared" si="643"/>
        <v/>
      </c>
      <c r="IX205" s="102">
        <f t="shared" si="632"/>
        <v>507.32746439350331</v>
      </c>
      <c r="IY205" s="102">
        <f t="shared" si="632"/>
        <v>1905.7084276325963</v>
      </c>
      <c r="IZ205" s="102">
        <f t="shared" si="632"/>
        <v>-7803.2601811499972</v>
      </c>
      <c r="JA205" s="102">
        <f t="shared" si="632"/>
        <v>4397.2059112099996</v>
      </c>
      <c r="JB205" s="102">
        <f t="shared" si="632"/>
        <v>-808.52870051000036</v>
      </c>
      <c r="JC205" s="102">
        <f t="shared" si="632"/>
        <v>-29.943433670000012</v>
      </c>
      <c r="JD205" s="102" t="e">
        <f t="shared" si="633"/>
        <v>#VALUE!</v>
      </c>
      <c r="JF205" s="973"/>
      <c r="JG205" s="973"/>
      <c r="JH205" s="973"/>
      <c r="JI205" s="973"/>
      <c r="JJ205" s="973"/>
      <c r="JK205" s="973"/>
      <c r="JL205" s="973"/>
      <c r="JM205" s="973"/>
      <c r="JO205" s="102">
        <f t="shared" si="634"/>
        <v>1730.6029433054007</v>
      </c>
      <c r="JP205" s="102">
        <f t="shared" si="634"/>
        <v>1783.4636777338974</v>
      </c>
      <c r="JQ205" s="102">
        <f t="shared" si="634"/>
        <v>2290.7911421274007</v>
      </c>
      <c r="JR205" s="102">
        <f t="shared" si="634"/>
        <v>4196.499569759997</v>
      </c>
      <c r="JS205" s="102">
        <f t="shared" si="634"/>
        <v>-3606.7606113899997</v>
      </c>
      <c r="JT205" s="102">
        <f t="shared" si="635"/>
        <v>790.44529982000017</v>
      </c>
      <c r="JU205" s="102">
        <f t="shared" si="636"/>
        <v>-18.083400690000197</v>
      </c>
      <c r="JV205" s="102">
        <f t="shared" si="637"/>
        <v>-48.026834360000208</v>
      </c>
      <c r="JW205" s="102">
        <f t="shared" si="637"/>
        <v>153.08450519000024</v>
      </c>
      <c r="JX205" s="102" t="e">
        <f t="shared" si="638"/>
        <v>#VALUE!</v>
      </c>
      <c r="JY205" s="102" t="e">
        <f t="shared" si="639"/>
        <v>#VALUE!</v>
      </c>
      <c r="KB205" s="32">
        <f t="shared" si="640"/>
        <v>0.28446189890344331</v>
      </c>
      <c r="KC205" s="32">
        <f t="shared" si="640"/>
        <v>0.83189968416885551</v>
      </c>
      <c r="KD205" s="32">
        <f t="shared" si="640"/>
        <v>-1.859468838595943</v>
      </c>
      <c r="KE205" s="32">
        <f t="shared" si="640"/>
        <v>-1.21915657427438</v>
      </c>
      <c r="KF205" s="32">
        <f t="shared" si="640"/>
        <v>-1.0228774852530822</v>
      </c>
      <c r="KG205" s="32">
        <f t="shared" si="640"/>
        <v>1.6558519154286175</v>
      </c>
      <c r="KH205" s="32" t="str">
        <f t="shared" si="569"/>
        <v xml:space="preserve"> </v>
      </c>
      <c r="KJ205" s="102">
        <f t="shared" si="641"/>
        <v>507.32746439350331</v>
      </c>
      <c r="KK205" s="102">
        <f t="shared" si="641"/>
        <v>1905.7084276325963</v>
      </c>
      <c r="KL205" s="102">
        <f t="shared" si="641"/>
        <v>-7803.2601811499972</v>
      </c>
      <c r="KM205" s="102">
        <f t="shared" si="641"/>
        <v>4397.2059112099996</v>
      </c>
      <c r="KN205" s="102">
        <f t="shared" si="641"/>
        <v>-808.52870051000036</v>
      </c>
      <c r="KO205" s="102">
        <f t="shared" si="641"/>
        <v>-29.943433670000012</v>
      </c>
      <c r="KP205" s="102" t="e">
        <f t="shared" si="570"/>
        <v>#VALUE!</v>
      </c>
      <c r="KR205" s="973"/>
      <c r="KS205" s="973"/>
      <c r="KT205" s="973"/>
      <c r="KU205" s="973"/>
      <c r="KV205" s="973"/>
      <c r="KW205" s="973"/>
      <c r="KX205" s="973"/>
      <c r="KY205" s="973"/>
      <c r="KZ205" s="973"/>
    </row>
    <row r="206" spans="1:312" outlineLevel="1">
      <c r="A206" s="884">
        <v>37</v>
      </c>
      <c r="B206" s="70" t="s">
        <v>762</v>
      </c>
      <c r="C206" s="17" t="s">
        <v>158</v>
      </c>
      <c r="D206" s="31" t="s">
        <v>59</v>
      </c>
      <c r="E206" s="102">
        <v>3272.0063786300002</v>
      </c>
      <c r="F206" s="102">
        <v>3272.0063786300002</v>
      </c>
      <c r="G206" s="102">
        <v>3272.0063786300002</v>
      </c>
      <c r="H206" s="102">
        <v>3272.0063786300002</v>
      </c>
      <c r="I206" s="102">
        <v>3272.0063786300002</v>
      </c>
      <c r="J206" s="102">
        <v>3272.0063786300002</v>
      </c>
      <c r="K206" s="102">
        <v>3272.0063786300002</v>
      </c>
      <c r="L206" s="102">
        <v>3272.0063786300002</v>
      </c>
      <c r="M206" s="102">
        <v>3272.0063786300002</v>
      </c>
      <c r="N206" s="102">
        <v>3272.0063786300002</v>
      </c>
      <c r="O206" s="102">
        <v>3272.0063786300002</v>
      </c>
      <c r="P206" s="102">
        <v>0</v>
      </c>
      <c r="Q206" s="102">
        <v>6090.0670461600002</v>
      </c>
      <c r="R206" s="102">
        <v>6090.0670461600002</v>
      </c>
      <c r="S206" s="102">
        <v>6090.0670461600002</v>
      </c>
      <c r="T206" s="102">
        <v>0</v>
      </c>
      <c r="U206" s="102">
        <v>0</v>
      </c>
      <c r="V206" s="102">
        <v>0</v>
      </c>
      <c r="W206" s="102">
        <v>0</v>
      </c>
      <c r="X206" s="102">
        <v>0</v>
      </c>
      <c r="Y206" s="102">
        <v>0</v>
      </c>
      <c r="Z206" s="102">
        <v>0</v>
      </c>
      <c r="AA206" s="102">
        <v>0</v>
      </c>
      <c r="AB206" s="102">
        <v>0</v>
      </c>
      <c r="AC206" s="102">
        <v>0</v>
      </c>
      <c r="AD206" s="102">
        <v>0</v>
      </c>
      <c r="AE206" s="102">
        <v>0</v>
      </c>
      <c r="AF206" s="102">
        <v>0</v>
      </c>
      <c r="AG206" s="102">
        <v>0</v>
      </c>
      <c r="AH206" s="102">
        <v>0</v>
      </c>
      <c r="AI206" s="102">
        <v>0</v>
      </c>
      <c r="AJ206" s="102">
        <v>0</v>
      </c>
      <c r="AK206" s="102">
        <v>0</v>
      </c>
      <c r="AL206" s="102">
        <v>0</v>
      </c>
      <c r="AM206" s="102">
        <v>0</v>
      </c>
      <c r="AN206" s="102">
        <v>0</v>
      </c>
      <c r="AO206" s="102">
        <v>0</v>
      </c>
      <c r="AP206" s="145">
        <v>0</v>
      </c>
      <c r="AQ206" s="143">
        <v>0</v>
      </c>
      <c r="AR206" s="143">
        <v>0</v>
      </c>
      <c r="AS206" s="102">
        <v>0</v>
      </c>
      <c r="AT206" s="102">
        <v>0</v>
      </c>
      <c r="AU206" s="102">
        <v>0</v>
      </c>
      <c r="AV206" s="102">
        <v>0</v>
      </c>
      <c r="AW206" s="102">
        <v>0</v>
      </c>
      <c r="AX206" s="102">
        <v>0</v>
      </c>
      <c r="AY206" s="102">
        <v>0</v>
      </c>
      <c r="AZ206" s="102">
        <v>6350.3871234999997</v>
      </c>
      <c r="BA206" s="102">
        <v>3295.8107610000002</v>
      </c>
      <c r="BB206" s="102">
        <v>3295.8107614199998</v>
      </c>
      <c r="BC206" s="102">
        <v>3295.8107614199998</v>
      </c>
      <c r="BD206" s="102">
        <v>3295.8107614199998</v>
      </c>
      <c r="BE206" s="102">
        <v>3295.8107614199998</v>
      </c>
      <c r="BF206" s="102">
        <v>3295.8107614199998</v>
      </c>
      <c r="BG206" s="102">
        <v>3295.8107614199998</v>
      </c>
      <c r="BH206" s="102">
        <v>3295.8107614199998</v>
      </c>
      <c r="BI206" s="102">
        <v>3153.86111742</v>
      </c>
      <c r="BJ206" s="102">
        <v>3153.86111742</v>
      </c>
      <c r="BK206" s="102">
        <v>3153.86111742</v>
      </c>
      <c r="BL206" s="102">
        <v>3393.86111742</v>
      </c>
      <c r="BM206" s="102">
        <v>-1026.4325892800043</v>
      </c>
      <c r="BN206" s="102">
        <f>+BM206</f>
        <v>-1026.4325892800043</v>
      </c>
      <c r="BO206" s="102">
        <f>+BN206</f>
        <v>-1026.4325892800043</v>
      </c>
      <c r="BP206" s="102">
        <f>+BO206</f>
        <v>-1026.4325892800043</v>
      </c>
      <c r="BQ206" s="102">
        <f>+BP206</f>
        <v>-1026.4325892800043</v>
      </c>
      <c r="BR206" s="102">
        <f>+BQ206</f>
        <v>-1026.4325892800043</v>
      </c>
      <c r="BS206" s="102">
        <f t="shared" ref="BS206:BX206" si="652">+BR206</f>
        <v>-1026.4325892800043</v>
      </c>
      <c r="BT206" s="102">
        <f t="shared" si="652"/>
        <v>-1026.4325892800043</v>
      </c>
      <c r="BU206" s="102">
        <f t="shared" si="652"/>
        <v>-1026.4325892800043</v>
      </c>
      <c r="BV206" s="102">
        <f t="shared" si="652"/>
        <v>-1026.4325892800043</v>
      </c>
      <c r="BW206" s="102">
        <f t="shared" si="652"/>
        <v>-1026.4325892800043</v>
      </c>
      <c r="BX206" s="102">
        <f t="shared" si="652"/>
        <v>-1026.4325892800043</v>
      </c>
      <c r="BY206" s="102">
        <f t="shared" ref="BY206:CV206" si="653">+BX205+BX206</f>
        <v>235.51437984999666</v>
      </c>
      <c r="BZ206" s="102">
        <f t="shared" si="653"/>
        <v>80.117824649996749</v>
      </c>
      <c r="CA206" s="102">
        <f t="shared" si="653"/>
        <v>102.19327410999691</v>
      </c>
      <c r="CB206" s="102">
        <f t="shared" si="653"/>
        <v>40.680504939997036</v>
      </c>
      <c r="CC206" s="102">
        <f t="shared" si="653"/>
        <v>-49.672913400002884</v>
      </c>
      <c r="CD206" s="102">
        <f t="shared" si="653"/>
        <v>-186.90050334000279</v>
      </c>
      <c r="CE206" s="102">
        <f t="shared" si="653"/>
        <v>-204.98390403000298</v>
      </c>
      <c r="CF206" s="102">
        <f t="shared" si="653"/>
        <v>-365.45932095000308</v>
      </c>
      <c r="CG206" s="102">
        <f t="shared" si="653"/>
        <v>123.85397884999713</v>
      </c>
      <c r="CH206" s="102">
        <f t="shared" si="653"/>
        <v>80.045513789997116</v>
      </c>
      <c r="CI206" s="102">
        <f t="shared" si="653"/>
        <v>236.57716712999729</v>
      </c>
      <c r="CJ206" s="102">
        <f t="shared" si="653"/>
        <v>767.09142557999735</v>
      </c>
      <c r="CK206" s="102">
        <f t="shared" si="653"/>
        <v>543.2899900699972</v>
      </c>
      <c r="CL206" s="102">
        <f t="shared" si="653"/>
        <v>657.90152249999687</v>
      </c>
      <c r="CM206" s="102">
        <f t="shared" si="653"/>
        <v>490.71395370999664</v>
      </c>
      <c r="CN206" s="102">
        <f t="shared" si="653"/>
        <v>897.58582691999663</v>
      </c>
      <c r="CO206" s="102">
        <f t="shared" si="653"/>
        <v>1029.6268219599965</v>
      </c>
      <c r="CP206" s="102">
        <f t="shared" si="653"/>
        <v>1459.5947153799964</v>
      </c>
      <c r="CQ206" s="102">
        <f t="shared" si="653"/>
        <v>1411.5678810199961</v>
      </c>
      <c r="CR206" s="102">
        <f t="shared" si="653"/>
        <v>1471.3784149499961</v>
      </c>
      <c r="CS206" s="102">
        <f t="shared" si="653"/>
        <v>1766.9990888299963</v>
      </c>
      <c r="CT206" s="102">
        <f t="shared" si="653"/>
        <v>1993.8643884299961</v>
      </c>
      <c r="CU206" s="102">
        <f t="shared" si="653"/>
        <v>2661.4887138899962</v>
      </c>
      <c r="CV206" s="102">
        <f t="shared" si="653"/>
        <v>2976.1514313399962</v>
      </c>
      <c r="CW206" s="102">
        <f>+CV206+CV205</f>
        <v>2083.3922539099958</v>
      </c>
      <c r="CX206" s="102">
        <f t="shared" ref="CX206:DH206" si="654">+CW206</f>
        <v>2083.3922539099958</v>
      </c>
      <c r="CY206" s="102">
        <f t="shared" si="654"/>
        <v>2083.3922539099958</v>
      </c>
      <c r="CZ206" s="102">
        <f t="shared" si="654"/>
        <v>2083.3922539099958</v>
      </c>
      <c r="DA206" s="102">
        <f t="shared" si="654"/>
        <v>2083.3922539099958</v>
      </c>
      <c r="DB206" s="102">
        <f t="shared" si="654"/>
        <v>2083.3922539099958</v>
      </c>
      <c r="DC206" s="102">
        <f t="shared" si="654"/>
        <v>2083.3922539099958</v>
      </c>
      <c r="DD206" s="102">
        <f t="shared" si="654"/>
        <v>2083.3922539099958</v>
      </c>
      <c r="DE206" s="102">
        <f t="shared" si="654"/>
        <v>2083.3922539099958</v>
      </c>
      <c r="DF206" s="102">
        <f t="shared" si="654"/>
        <v>2083.3922539099958</v>
      </c>
      <c r="DG206" s="102">
        <f t="shared" si="654"/>
        <v>2083.3922539099958</v>
      </c>
      <c r="DH206" s="102">
        <f t="shared" si="654"/>
        <v>2083.3922539099958</v>
      </c>
      <c r="DJ206" s="102" t="e">
        <v>#VALUE!</v>
      </c>
      <c r="DK206" s="102" t="e">
        <v>#VALUE!</v>
      </c>
      <c r="DL206" s="102" t="e">
        <v>#VALUE!</v>
      </c>
      <c r="DM206" s="102" t="e">
        <v>#VALUE!</v>
      </c>
      <c r="DN206" s="102" t="e">
        <v>#VALUE!</v>
      </c>
      <c r="DO206" s="102" t="e">
        <v>#VALUE!</v>
      </c>
      <c r="DP206" s="102" t="e">
        <v>#VALUE!</v>
      </c>
      <c r="DQ206" s="102" t="e">
        <v>#VALUE!</v>
      </c>
      <c r="DR206" s="102" t="e">
        <v>#VALUE!</v>
      </c>
      <c r="DS206" s="102" t="e">
        <v>#VALUE!</v>
      </c>
      <c r="DT206" s="102" t="e">
        <v>#VALUE!</v>
      </c>
      <c r="DU206" s="102" t="e">
        <v>#VALUE!</v>
      </c>
      <c r="DW206" s="102">
        <v>7134.198359410002</v>
      </c>
      <c r="DX206" s="102">
        <v>7134.198359410002</v>
      </c>
      <c r="DY206" s="102">
        <v>7134.198359410002</v>
      </c>
      <c r="DZ206" s="102">
        <v>7134.198359410002</v>
      </c>
      <c r="EA206" s="102">
        <v>7134.198359410002</v>
      </c>
      <c r="EB206" s="102">
        <v>7134.198359410002</v>
      </c>
      <c r="EC206" s="102">
        <v>4637.2289336165013</v>
      </c>
      <c r="ED206" s="102">
        <v>4637.2289336165013</v>
      </c>
      <c r="EE206" s="102">
        <v>4637.2289336165013</v>
      </c>
      <c r="EF206" s="102">
        <v>4637.2289336165013</v>
      </c>
      <c r="EG206" s="102">
        <v>2140.2595078230006</v>
      </c>
      <c r="EH206" s="102">
        <v>2140.2595078230006</v>
      </c>
      <c r="EI206" s="102">
        <v>-385.87622524927878</v>
      </c>
      <c r="EJ206" s="102">
        <v>-624.50018047010155</v>
      </c>
      <c r="EK206" s="102">
        <v>-324.69091853249898</v>
      </c>
      <c r="EL206" s="102">
        <v>-654.28523493674606</v>
      </c>
      <c r="EM206" s="102">
        <v>-714.12137590040163</v>
      </c>
      <c r="EN206" s="102">
        <v>-555.53154854897741</v>
      </c>
      <c r="EO206" s="102">
        <v>-325.92167439775386</v>
      </c>
      <c r="EP206" s="102">
        <v>-18.694339252367197</v>
      </c>
      <c r="EQ206" s="102">
        <v>165.94217653799404</v>
      </c>
      <c r="ER206" s="102">
        <v>367.72319454629343</v>
      </c>
      <c r="ES206" s="102">
        <v>519.47754735520391</v>
      </c>
      <c r="ET206" s="102">
        <v>554.29999316140891</v>
      </c>
      <c r="EU206" s="102">
        <v>-2917.1515339999996</v>
      </c>
      <c r="EV206" s="102">
        <v>-2917.1515339999996</v>
      </c>
      <c r="EW206" s="102">
        <v>-2917.1515339999996</v>
      </c>
      <c r="EX206" s="102">
        <v>-2917.1515339999996</v>
      </c>
      <c r="EY206" s="102">
        <v>-2917.1515339999996</v>
      </c>
      <c r="EZ206" s="102">
        <v>-2917.1515339999996</v>
      </c>
      <c r="FA206" s="102">
        <v>-2917.1515339999996</v>
      </c>
      <c r="FB206" s="102">
        <v>-2917.1515339999996</v>
      </c>
      <c r="FC206" s="102">
        <v>-2917.1515339999996</v>
      </c>
      <c r="FD206" s="102">
        <v>-2917.1515339999996</v>
      </c>
      <c r="FE206" s="102">
        <v>-2917.1515339999996</v>
      </c>
      <c r="FF206" s="102">
        <v>-2917.1515339999996</v>
      </c>
      <c r="FG206" s="102" t="e">
        <v>#VALUE!</v>
      </c>
      <c r="FH206" s="102" t="e">
        <v>#VALUE!</v>
      </c>
      <c r="FI206" s="102" t="e">
        <v>#VALUE!</v>
      </c>
      <c r="FJ206" s="102" t="e">
        <v>#VALUE!</v>
      </c>
      <c r="FK206" s="102" t="e">
        <v>#VALUE!</v>
      </c>
      <c r="FL206" s="102" t="e">
        <v>#VALUE!</v>
      </c>
      <c r="FM206" s="102" t="e">
        <v>#VALUE!</v>
      </c>
      <c r="FN206" s="102" t="e">
        <v>#VALUE!</v>
      </c>
      <c r="FO206" s="102" t="e">
        <v>#VALUE!</v>
      </c>
      <c r="FP206" s="102" t="e">
        <v>#VALUE!</v>
      </c>
      <c r="FQ206" s="102" t="e">
        <v>#VALUE!</v>
      </c>
      <c r="FR206" s="102" t="e">
        <v>#VALUE!</v>
      </c>
      <c r="FS206" s="102" t="e">
        <v>#VALUE!</v>
      </c>
      <c r="FT206" s="102" t="e">
        <v>#VALUE!</v>
      </c>
      <c r="FU206" s="102" t="e">
        <v>#VALUE!</v>
      </c>
      <c r="FV206" s="102" t="e">
        <v>#VALUE!</v>
      </c>
      <c r="FW206" s="102" t="e">
        <v>#VALUE!</v>
      </c>
      <c r="FX206" s="102" t="e">
        <v>#VALUE!</v>
      </c>
      <c r="FY206" s="102" t="e">
        <v>#VALUE!</v>
      </c>
      <c r="FZ206" s="102" t="e">
        <v>#VALUE!</v>
      </c>
      <c r="GA206" s="102" t="e">
        <v>#VALUE!</v>
      </c>
      <c r="GB206" s="102" t="e">
        <v>#VALUE!</v>
      </c>
      <c r="GC206" s="102" t="e">
        <v>#VALUE!</v>
      </c>
      <c r="GD206" s="102" t="e">
        <v>#VALUE!</v>
      </c>
      <c r="GF206" s="1115">
        <v>0</v>
      </c>
      <c r="GG206" s="1115">
        <v>0</v>
      </c>
      <c r="GH206" s="1115">
        <v>0</v>
      </c>
      <c r="GI206" s="1115">
        <v>6350.3871234999997</v>
      </c>
      <c r="GJ206" s="1115">
        <v>3393.86111742</v>
      </c>
      <c r="GK206" s="1115">
        <v>-1026.4325892800043</v>
      </c>
      <c r="GL206" s="1115">
        <v>235.51437984999666</v>
      </c>
      <c r="GM206" s="1115">
        <v>543.2899900699972</v>
      </c>
      <c r="GN206" s="102" t="e">
        <f t="shared" si="567"/>
        <v>#VALUE!</v>
      </c>
      <c r="GO206" s="1115">
        <v>2083.3922539099958</v>
      </c>
      <c r="GQ206" s="929" t="str">
        <f t="shared" si="623"/>
        <v/>
      </c>
      <c r="GR206" s="929" t="str">
        <f t="shared" si="623"/>
        <v/>
      </c>
      <c r="GS206" s="929">
        <f t="shared" si="623"/>
        <v>-0.46556626369110521</v>
      </c>
      <c r="GT206" s="929">
        <f t="shared" si="623"/>
        <v>-1.3024380060844369</v>
      </c>
      <c r="GU206" s="929">
        <f t="shared" si="623"/>
        <v>-1.229449437118125</v>
      </c>
      <c r="GV206" s="929">
        <f t="shared" si="623"/>
        <v>1.3068230076483158</v>
      </c>
      <c r="GW206" s="929" t="str">
        <f t="shared" si="623"/>
        <v/>
      </c>
      <c r="GX206" s="929" t="str">
        <f t="shared" si="623"/>
        <v/>
      </c>
      <c r="GY206" s="929">
        <f t="shared" si="647"/>
        <v>2.834770181651189</v>
      </c>
      <c r="HA206" s="102">
        <f t="shared" si="624"/>
        <v>0</v>
      </c>
      <c r="HB206" s="102">
        <f t="shared" si="624"/>
        <v>6350.3871234999997</v>
      </c>
      <c r="HC206" s="102">
        <f t="shared" si="624"/>
        <v>-2956.5260060799997</v>
      </c>
      <c r="HD206" s="102">
        <f t="shared" si="577"/>
        <v>-4420.2937067000039</v>
      </c>
      <c r="HE206" s="102">
        <f t="shared" si="577"/>
        <v>1261.946969130001</v>
      </c>
      <c r="HF206" s="102">
        <f t="shared" si="577"/>
        <v>307.77561022000054</v>
      </c>
      <c r="HG206" s="102" t="e">
        <f t="shared" si="577"/>
        <v>#VALUE!</v>
      </c>
      <c r="HH206" s="102" t="e">
        <f t="shared" si="577"/>
        <v>#VALUE!</v>
      </c>
      <c r="HI206" s="102">
        <f t="shared" si="648"/>
        <v>1540.1022638399986</v>
      </c>
      <c r="HK206" s="973"/>
      <c r="HL206" s="973"/>
      <c r="HM206" s="973"/>
      <c r="HN206" s="973"/>
      <c r="HO206" s="973"/>
      <c r="HP206" s="973"/>
      <c r="HQ206" s="973"/>
      <c r="HR206" s="973"/>
      <c r="HS206" s="973"/>
      <c r="HU206" s="102">
        <f t="shared" si="625"/>
        <v>3272.0063786300002</v>
      </c>
      <c r="HV206" s="102">
        <f t="shared" si="625"/>
        <v>0</v>
      </c>
      <c r="HW206" s="102">
        <f t="shared" si="625"/>
        <v>0</v>
      </c>
      <c r="HX206" s="102">
        <f t="shared" si="625"/>
        <v>0</v>
      </c>
      <c r="HY206" s="102">
        <f t="shared" si="626"/>
        <v>3295.8107614199998</v>
      </c>
      <c r="HZ206" s="102">
        <f t="shared" si="626"/>
        <v>-1026.4325892800043</v>
      </c>
      <c r="IA206" s="102">
        <f t="shared" si="627"/>
        <v>-186.90050334000279</v>
      </c>
      <c r="IB206" s="102">
        <f t="shared" si="628"/>
        <v>1459.5947153799964</v>
      </c>
      <c r="IC206" s="102">
        <f t="shared" si="629"/>
        <v>2083.3922539099958</v>
      </c>
      <c r="ID206" s="102" t="e">
        <f t="shared" si="568"/>
        <v>#VALUE!</v>
      </c>
      <c r="IE206" s="102" t="e">
        <f t="shared" si="590"/>
        <v>#VALUE!</v>
      </c>
      <c r="IG206" s="102" t="e">
        <f t="shared" si="533"/>
        <v>#VALUE!</v>
      </c>
      <c r="IH206" s="102" t="e">
        <f t="shared" si="534"/>
        <v>#VALUE!</v>
      </c>
      <c r="II206" s="145"/>
      <c r="IJ206" s="929" t="str">
        <f t="shared" si="630"/>
        <v>NA</v>
      </c>
      <c r="IK206" s="930" t="str">
        <f t="shared" si="631"/>
        <v>NA</v>
      </c>
      <c r="IM206" s="973"/>
      <c r="IN206" s="973"/>
      <c r="IP206" s="929" t="str">
        <f t="shared" si="642"/>
        <v/>
      </c>
      <c r="IQ206" s="929" t="str">
        <f t="shared" si="642"/>
        <v/>
      </c>
      <c r="IR206" s="929" t="str">
        <f t="shared" si="642"/>
        <v/>
      </c>
      <c r="IS206" s="929">
        <f t="shared" si="642"/>
        <v>-1.3114355354667773</v>
      </c>
      <c r="IT206" s="929">
        <f t="shared" si="642"/>
        <v>-0.8179125397108592</v>
      </c>
      <c r="IU206" s="929">
        <f t="shared" si="642"/>
        <v>-8.8094745027238019</v>
      </c>
      <c r="IV206" s="929" t="str">
        <f t="shared" si="643"/>
        <v/>
      </c>
      <c r="IX206" s="102">
        <f t="shared" si="632"/>
        <v>0</v>
      </c>
      <c r="IY206" s="102">
        <f t="shared" si="632"/>
        <v>0</v>
      </c>
      <c r="IZ206" s="102">
        <f t="shared" si="632"/>
        <v>3295.8107614199998</v>
      </c>
      <c r="JA206" s="102">
        <f t="shared" si="632"/>
        <v>-4322.2433507000042</v>
      </c>
      <c r="JB206" s="102">
        <f t="shared" si="632"/>
        <v>839.53208594000148</v>
      </c>
      <c r="JC206" s="102">
        <f t="shared" si="632"/>
        <v>1646.4952187199992</v>
      </c>
      <c r="JD206" s="102" t="e">
        <f t="shared" si="633"/>
        <v>#VALUE!</v>
      </c>
      <c r="JF206" s="973"/>
      <c r="JG206" s="973"/>
      <c r="JH206" s="973"/>
      <c r="JI206" s="973"/>
      <c r="JJ206" s="973"/>
      <c r="JK206" s="973"/>
      <c r="JL206" s="973"/>
      <c r="JM206" s="973"/>
      <c r="JO206" s="102">
        <f t="shared" si="634"/>
        <v>3272.0063786300002</v>
      </c>
      <c r="JP206" s="102">
        <f t="shared" si="634"/>
        <v>0</v>
      </c>
      <c r="JQ206" s="102">
        <f t="shared" si="634"/>
        <v>0</v>
      </c>
      <c r="JR206" s="102">
        <f t="shared" si="634"/>
        <v>0</v>
      </c>
      <c r="JS206" s="102">
        <f t="shared" si="634"/>
        <v>3295.8107614199998</v>
      </c>
      <c r="JT206" s="102">
        <f t="shared" si="635"/>
        <v>-1026.4325892800043</v>
      </c>
      <c r="JU206" s="102">
        <f t="shared" si="636"/>
        <v>-186.90050334000279</v>
      </c>
      <c r="JV206" s="102">
        <f t="shared" si="637"/>
        <v>1459.5947153799964</v>
      </c>
      <c r="JW206" s="102">
        <f t="shared" si="637"/>
        <v>2083.3922539099958</v>
      </c>
      <c r="JX206" s="102" t="e">
        <f t="shared" si="638"/>
        <v>#VALUE!</v>
      </c>
      <c r="JY206" s="102" t="e">
        <f t="shared" si="639"/>
        <v>#VALUE!</v>
      </c>
      <c r="KB206" s="32" t="str">
        <f t="shared" si="640"/>
        <v xml:space="preserve"> </v>
      </c>
      <c r="KC206" s="32" t="str">
        <f t="shared" si="640"/>
        <v xml:space="preserve"> </v>
      </c>
      <c r="KD206" s="32" t="str">
        <f t="shared" si="640"/>
        <v xml:space="preserve"> </v>
      </c>
      <c r="KE206" s="32">
        <f t="shared" si="640"/>
        <v>-1.3114355354667773</v>
      </c>
      <c r="KF206" s="32">
        <f t="shared" si="640"/>
        <v>-0.8179125397108592</v>
      </c>
      <c r="KG206" s="32">
        <f t="shared" si="640"/>
        <v>-8.8094745027238019</v>
      </c>
      <c r="KH206" s="32" t="str">
        <f t="shared" si="569"/>
        <v xml:space="preserve"> </v>
      </c>
      <c r="KJ206" s="102">
        <f t="shared" si="641"/>
        <v>0</v>
      </c>
      <c r="KK206" s="102">
        <f t="shared" si="641"/>
        <v>0</v>
      </c>
      <c r="KL206" s="102">
        <f t="shared" si="641"/>
        <v>3295.8107614199998</v>
      </c>
      <c r="KM206" s="102">
        <f t="shared" si="641"/>
        <v>-4322.2433507000042</v>
      </c>
      <c r="KN206" s="102">
        <f t="shared" si="641"/>
        <v>839.53208594000148</v>
      </c>
      <c r="KO206" s="102">
        <f t="shared" si="641"/>
        <v>1646.4952187199992</v>
      </c>
      <c r="KP206" s="102" t="e">
        <f t="shared" si="570"/>
        <v>#VALUE!</v>
      </c>
      <c r="KR206" s="973"/>
      <c r="KS206" s="973"/>
      <c r="KT206" s="973"/>
      <c r="KU206" s="973"/>
      <c r="KV206" s="973"/>
      <c r="KW206" s="973"/>
      <c r="KX206" s="973"/>
      <c r="KY206" s="973"/>
      <c r="KZ206" s="973"/>
    </row>
    <row r="207" spans="1:312" outlineLevel="1">
      <c r="A207" s="884">
        <v>38</v>
      </c>
      <c r="B207" s="70" t="s">
        <v>763</v>
      </c>
      <c r="C207" s="17" t="s">
        <v>138</v>
      </c>
      <c r="D207" s="31" t="s">
        <v>59</v>
      </c>
      <c r="E207" s="102">
        <v>0</v>
      </c>
      <c r="F207" s="102">
        <v>0</v>
      </c>
      <c r="G207" s="102">
        <v>0</v>
      </c>
      <c r="H207" s="102">
        <v>0</v>
      </c>
      <c r="I207" s="102">
        <v>0</v>
      </c>
      <c r="J207" s="102">
        <v>0</v>
      </c>
      <c r="K207" s="102">
        <v>0</v>
      </c>
      <c r="L207" s="102">
        <v>0</v>
      </c>
      <c r="M207" s="102">
        <v>0</v>
      </c>
      <c r="N207" s="102">
        <v>0</v>
      </c>
      <c r="O207" s="102">
        <v>83.296999999999997</v>
      </c>
      <c r="P207" s="102">
        <v>224.59211431999998</v>
      </c>
      <c r="Q207" s="102">
        <v>224.59211431999998</v>
      </c>
      <c r="R207" s="102">
        <v>224.59211431999998</v>
      </c>
      <c r="S207" s="102">
        <v>224.59211431999998</v>
      </c>
      <c r="T207" s="102">
        <v>224.59211431999998</v>
      </c>
      <c r="U207" s="102">
        <v>224.59211431999998</v>
      </c>
      <c r="V207" s="102">
        <v>224.59211431999998</v>
      </c>
      <c r="W207" s="102">
        <v>224.59211431999998</v>
      </c>
      <c r="X207" s="102">
        <v>224.59211431999998</v>
      </c>
      <c r="Y207" s="102">
        <v>224.59211431999998</v>
      </c>
      <c r="Z207" s="102">
        <v>224.59211431999998</v>
      </c>
      <c r="AA207" s="102">
        <v>224.59211431999998</v>
      </c>
      <c r="AB207" s="102">
        <v>228.94920134</v>
      </c>
      <c r="AC207" s="102">
        <v>228.94920134</v>
      </c>
      <c r="AD207" s="102">
        <v>228.94920134</v>
      </c>
      <c r="AE207" s="102">
        <v>228.94920134</v>
      </c>
      <c r="AF207" s="102">
        <v>228.94920134</v>
      </c>
      <c r="AG207" s="102">
        <v>228.94920134</v>
      </c>
      <c r="AH207" s="102">
        <v>228.94920134</v>
      </c>
      <c r="AI207" s="102">
        <v>228.94920134</v>
      </c>
      <c r="AJ207" s="102">
        <v>228.94920134</v>
      </c>
      <c r="AK207" s="102">
        <v>228.94920134</v>
      </c>
      <c r="AL207" s="102">
        <v>228.94920134</v>
      </c>
      <c r="AM207" s="102">
        <v>228.94920134</v>
      </c>
      <c r="AN207" s="102">
        <v>566.71302199999991</v>
      </c>
      <c r="AO207" s="102">
        <v>566.71302200000002</v>
      </c>
      <c r="AP207" s="145">
        <v>566.71302200000002</v>
      </c>
      <c r="AQ207" s="143">
        <v>566.71302200000002</v>
      </c>
      <c r="AR207" s="143">
        <v>566.71302200000002</v>
      </c>
      <c r="AS207" s="102">
        <v>566.71302200000002</v>
      </c>
      <c r="AT207" s="102">
        <v>566.71302200000002</v>
      </c>
      <c r="AU207" s="102">
        <v>566.71302200000002</v>
      </c>
      <c r="AV207" s="102">
        <v>566.71302200000002</v>
      </c>
      <c r="AW207" s="102">
        <v>566.71302200000002</v>
      </c>
      <c r="AX207" s="102">
        <v>566.71302200000002</v>
      </c>
      <c r="AY207" s="102">
        <v>566.71302200000002</v>
      </c>
      <c r="AZ207" s="102">
        <v>0</v>
      </c>
      <c r="BA207" s="102">
        <v>0</v>
      </c>
      <c r="BB207" s="102">
        <v>0</v>
      </c>
      <c r="BC207" s="102">
        <v>0</v>
      </c>
      <c r="BD207" s="102">
        <v>0</v>
      </c>
      <c r="BE207" s="102">
        <v>0</v>
      </c>
      <c r="BF207" s="102">
        <v>0</v>
      </c>
      <c r="BG207" s="102">
        <v>0</v>
      </c>
      <c r="BH207" s="102">
        <v>0</v>
      </c>
      <c r="BI207" s="102">
        <v>0</v>
      </c>
      <c r="BJ207" s="102">
        <v>0</v>
      </c>
      <c r="BK207" s="102">
        <v>0</v>
      </c>
      <c r="BL207" s="102">
        <v>0</v>
      </c>
      <c r="BM207" s="102">
        <v>0</v>
      </c>
      <c r="BN207" s="102">
        <v>0</v>
      </c>
      <c r="BO207" s="102">
        <v>0</v>
      </c>
      <c r="BP207" s="102">
        <v>0</v>
      </c>
      <c r="BQ207" s="102">
        <v>0</v>
      </c>
      <c r="BR207" s="102">
        <v>0</v>
      </c>
      <c r="BS207" s="102">
        <v>0</v>
      </c>
      <c r="BT207" s="102">
        <v>0</v>
      </c>
      <c r="BU207" s="102">
        <v>0</v>
      </c>
      <c r="BV207" s="102">
        <v>0</v>
      </c>
      <c r="BW207" s="102">
        <v>0</v>
      </c>
      <c r="BX207" s="102">
        <v>0</v>
      </c>
      <c r="BY207" s="102">
        <v>0</v>
      </c>
      <c r="BZ207" s="102">
        <v>0</v>
      </c>
      <c r="CA207" s="102">
        <v>0</v>
      </c>
      <c r="CB207" s="102">
        <v>0</v>
      </c>
      <c r="CC207" s="102">
        <v>0</v>
      </c>
      <c r="CD207" s="102">
        <v>0</v>
      </c>
      <c r="CE207" s="102">
        <v>0</v>
      </c>
      <c r="CF207" s="102">
        <v>0</v>
      </c>
      <c r="CG207" s="102">
        <v>0</v>
      </c>
      <c r="CH207" s="102">
        <v>0</v>
      </c>
      <c r="CI207" s="102">
        <v>0</v>
      </c>
      <c r="CJ207" s="102">
        <v>0</v>
      </c>
      <c r="CK207" s="102">
        <v>0</v>
      </c>
      <c r="CL207" s="102">
        <v>0</v>
      </c>
      <c r="CM207" s="102">
        <v>0</v>
      </c>
      <c r="CN207" s="102">
        <v>0</v>
      </c>
      <c r="CO207" s="102">
        <v>0</v>
      </c>
      <c r="CP207" s="102">
        <v>0</v>
      </c>
      <c r="CQ207" s="102">
        <v>0</v>
      </c>
      <c r="CR207" s="102">
        <v>0</v>
      </c>
      <c r="CS207" s="102">
        <v>0</v>
      </c>
      <c r="CT207" s="102">
        <v>0</v>
      </c>
      <c r="CU207" s="102">
        <v>0</v>
      </c>
      <c r="CV207" s="102">
        <v>0</v>
      </c>
      <c r="CW207" s="102">
        <v>0</v>
      </c>
      <c r="CX207" s="102">
        <v>0</v>
      </c>
      <c r="CY207" s="102">
        <v>0</v>
      </c>
      <c r="CZ207" s="102">
        <v>0</v>
      </c>
      <c r="DA207" s="102">
        <v>0</v>
      </c>
      <c r="DB207" s="102">
        <v>0</v>
      </c>
      <c r="DC207" s="102">
        <v>0</v>
      </c>
      <c r="DD207" s="102">
        <v>0</v>
      </c>
      <c r="DE207" s="102">
        <v>0</v>
      </c>
      <c r="DF207" s="102">
        <v>0</v>
      </c>
      <c r="DG207" s="102">
        <v>0</v>
      </c>
      <c r="DH207" s="102">
        <v>0</v>
      </c>
      <c r="DJ207" s="102" t="e">
        <v>#VALUE!</v>
      </c>
      <c r="DK207" s="102" t="e">
        <v>#VALUE!</v>
      </c>
      <c r="DL207" s="102" t="e">
        <v>#VALUE!</v>
      </c>
      <c r="DM207" s="102" t="e">
        <v>#VALUE!</v>
      </c>
      <c r="DN207" s="102" t="e">
        <v>#VALUE!</v>
      </c>
      <c r="DO207" s="102" t="e">
        <v>#VALUE!</v>
      </c>
      <c r="DP207" s="102" t="e">
        <v>#VALUE!</v>
      </c>
      <c r="DQ207" s="102" t="e">
        <v>#VALUE!</v>
      </c>
      <c r="DR207" s="102" t="e">
        <v>#VALUE!</v>
      </c>
      <c r="DS207" s="102" t="e">
        <v>#VALUE!</v>
      </c>
      <c r="DT207" s="102" t="e">
        <v>#VALUE!</v>
      </c>
      <c r="DU207" s="102" t="e">
        <v>#VALUE!</v>
      </c>
      <c r="DW207" s="102">
        <v>228.94920134</v>
      </c>
      <c r="DX207" s="102">
        <v>1805.3492013399998</v>
      </c>
      <c r="DY207" s="102">
        <v>1805.3492013399998</v>
      </c>
      <c r="DZ207" s="102">
        <v>1805.3492013399998</v>
      </c>
      <c r="EA207" s="102">
        <v>1805.3492013399998</v>
      </c>
      <c r="EB207" s="102">
        <v>1805.3492013399998</v>
      </c>
      <c r="EC207" s="102">
        <v>1805.3492013399998</v>
      </c>
      <c r="ED207" s="102">
        <v>1805.3492013399998</v>
      </c>
      <c r="EE207" s="102">
        <v>1805.3492013399998</v>
      </c>
      <c r="EF207" s="102">
        <v>1805.3492013399998</v>
      </c>
      <c r="EG207" s="102">
        <v>1805.3492013399998</v>
      </c>
      <c r="EH207" s="102">
        <v>1805.3492013399998</v>
      </c>
      <c r="EI207" s="102">
        <v>566.71302200000002</v>
      </c>
      <c r="EJ207" s="102">
        <v>566.71302200000002</v>
      </c>
      <c r="EK207" s="102">
        <v>566.71302200000002</v>
      </c>
      <c r="EL207" s="102">
        <v>566.71302200000002</v>
      </c>
      <c r="EM207" s="102">
        <v>566.71302200000002</v>
      </c>
      <c r="EN207" s="102">
        <v>566.71302200000002</v>
      </c>
      <c r="EO207" s="102">
        <v>566.71302200000002</v>
      </c>
      <c r="EP207" s="102">
        <v>566.71302200000002</v>
      </c>
      <c r="EQ207" s="102">
        <v>566.71302200000002</v>
      </c>
      <c r="ER207" s="102">
        <v>566.71302200000002</v>
      </c>
      <c r="ES207" s="102">
        <v>566.71302200000002</v>
      </c>
      <c r="ET207" s="102">
        <v>566.71302200000002</v>
      </c>
      <c r="EU207" s="102"/>
      <c r="EV207" s="102"/>
      <c r="EW207" s="102"/>
      <c r="EX207" s="102"/>
      <c r="EY207" s="102"/>
      <c r="EZ207" s="102"/>
      <c r="FA207" s="102"/>
      <c r="FB207" s="102"/>
      <c r="FC207" s="102"/>
      <c r="FD207" s="102"/>
      <c r="FE207" s="102"/>
      <c r="FF207" s="102"/>
      <c r="FG207" s="102" t="e">
        <v>#VALUE!</v>
      </c>
      <c r="FH207" s="102" t="e">
        <v>#VALUE!</v>
      </c>
      <c r="FI207" s="102" t="e">
        <v>#VALUE!</v>
      </c>
      <c r="FJ207" s="102" t="e">
        <v>#VALUE!</v>
      </c>
      <c r="FK207" s="102" t="e">
        <v>#VALUE!</v>
      </c>
      <c r="FL207" s="102" t="e">
        <v>#VALUE!</v>
      </c>
      <c r="FM207" s="102" t="e">
        <v>#VALUE!</v>
      </c>
      <c r="FN207" s="102" t="e">
        <v>#VALUE!</v>
      </c>
      <c r="FO207" s="102" t="e">
        <v>#VALUE!</v>
      </c>
      <c r="FP207" s="102" t="e">
        <v>#VALUE!</v>
      </c>
      <c r="FQ207" s="102" t="e">
        <v>#VALUE!</v>
      </c>
      <c r="FR207" s="102" t="e">
        <v>#VALUE!</v>
      </c>
      <c r="FS207" s="102" t="e">
        <v>#VALUE!</v>
      </c>
      <c r="FT207" s="102" t="e">
        <v>#VALUE!</v>
      </c>
      <c r="FU207" s="102" t="e">
        <v>#VALUE!</v>
      </c>
      <c r="FV207" s="102" t="e">
        <v>#VALUE!</v>
      </c>
      <c r="FW207" s="102" t="e">
        <v>#VALUE!</v>
      </c>
      <c r="FX207" s="102" t="e">
        <v>#VALUE!</v>
      </c>
      <c r="FY207" s="102" t="e">
        <v>#VALUE!</v>
      </c>
      <c r="FZ207" s="102" t="e">
        <v>#VALUE!</v>
      </c>
      <c r="GA207" s="102" t="e">
        <v>#VALUE!</v>
      </c>
      <c r="GB207" s="102" t="e">
        <v>#VALUE!</v>
      </c>
      <c r="GC207" s="102" t="e">
        <v>#VALUE!</v>
      </c>
      <c r="GD207" s="102" t="e">
        <v>#VALUE!</v>
      </c>
      <c r="GF207" s="102">
        <f>+SUMIFS($E207:$AZ207,$E$6:$AZ$6,GF$7,$E$5:$AZ$5,12)</f>
        <v>224.59211431999998</v>
      </c>
      <c r="GG207" s="102">
        <f>+SUMIFS($E207:$AZ207,$E$6:$AZ$6,GG$7,$E$5:$AZ$5,12)</f>
        <v>228.94920134</v>
      </c>
      <c r="GH207" s="102">
        <f>+SUMIFS($E207:$AZ207,$E$6:$AZ$6,GH$7,$E$5:$AZ$5,12)</f>
        <v>566.71302199999991</v>
      </c>
      <c r="GI207" s="102">
        <f>+SUMIFS($E207:$AZ207,$E$6:$AZ$6,GI$7,$E$5:$AZ$5,12)</f>
        <v>0</v>
      </c>
      <c r="GJ207" s="102">
        <f t="shared" si="575"/>
        <v>0</v>
      </c>
      <c r="GK207" s="102">
        <f t="shared" si="565"/>
        <v>0</v>
      </c>
      <c r="GL207" s="102">
        <f t="shared" si="571"/>
        <v>0</v>
      </c>
      <c r="GM207" s="102">
        <f t="shared" si="566"/>
        <v>0</v>
      </c>
      <c r="GN207" s="102" t="e">
        <f t="shared" si="567"/>
        <v>#VALUE!</v>
      </c>
      <c r="GO207" s="102">
        <v>0</v>
      </c>
      <c r="GQ207" s="929">
        <f t="shared" si="623"/>
        <v>1.4752784402964796</v>
      </c>
      <c r="GR207" s="929">
        <f t="shared" si="623"/>
        <v>-1</v>
      </c>
      <c r="GS207" s="929" t="str">
        <f t="shared" si="623"/>
        <v/>
      </c>
      <c r="GT207" s="929" t="str">
        <f t="shared" si="623"/>
        <v/>
      </c>
      <c r="GU207" s="929" t="str">
        <f t="shared" si="623"/>
        <v/>
      </c>
      <c r="GV207" s="929" t="str">
        <f t="shared" si="623"/>
        <v/>
      </c>
      <c r="GW207" s="929" t="str">
        <f t="shared" si="623"/>
        <v/>
      </c>
      <c r="GX207" s="929" t="str">
        <f t="shared" si="623"/>
        <v/>
      </c>
      <c r="GY207" s="929" t="str">
        <f t="shared" si="647"/>
        <v/>
      </c>
      <c r="HA207" s="102">
        <f t="shared" si="624"/>
        <v>337.76382065999991</v>
      </c>
      <c r="HB207" s="102">
        <f t="shared" si="624"/>
        <v>-566.71302199999991</v>
      </c>
      <c r="HC207" s="102">
        <f t="shared" si="624"/>
        <v>0</v>
      </c>
      <c r="HD207" s="102">
        <f t="shared" si="577"/>
        <v>0</v>
      </c>
      <c r="HE207" s="102">
        <f t="shared" si="577"/>
        <v>0</v>
      </c>
      <c r="HF207" s="102">
        <f t="shared" si="577"/>
        <v>0</v>
      </c>
      <c r="HG207" s="102" t="e">
        <f t="shared" si="577"/>
        <v>#VALUE!</v>
      </c>
      <c r="HH207" s="102" t="e">
        <f t="shared" si="577"/>
        <v>#VALUE!</v>
      </c>
      <c r="HI207" s="102">
        <f t="shared" si="648"/>
        <v>0</v>
      </c>
      <c r="HK207" s="973"/>
      <c r="HL207" s="973"/>
      <c r="HM207" s="973"/>
      <c r="HN207" s="973"/>
      <c r="HO207" s="973"/>
      <c r="HP207" s="973"/>
      <c r="HQ207" s="973"/>
      <c r="HR207" s="973"/>
      <c r="HS207" s="973"/>
      <c r="HU207" s="102">
        <f t="shared" si="625"/>
        <v>0</v>
      </c>
      <c r="HV207" s="102">
        <f t="shared" si="625"/>
        <v>224.59211431999998</v>
      </c>
      <c r="HW207" s="102">
        <f t="shared" si="625"/>
        <v>228.94920134</v>
      </c>
      <c r="HX207" s="102">
        <f t="shared" si="625"/>
        <v>566.71302200000002</v>
      </c>
      <c r="HY207" s="102">
        <f t="shared" si="626"/>
        <v>0</v>
      </c>
      <c r="HZ207" s="102">
        <f t="shared" si="626"/>
        <v>0</v>
      </c>
      <c r="IA207" s="102">
        <f t="shared" si="627"/>
        <v>0</v>
      </c>
      <c r="IB207" s="102">
        <f t="shared" si="628"/>
        <v>0</v>
      </c>
      <c r="IC207" s="102">
        <f t="shared" si="629"/>
        <v>0</v>
      </c>
      <c r="ID207" s="102" t="e">
        <f t="shared" si="568"/>
        <v>#VALUE!</v>
      </c>
      <c r="IE207" s="102" t="e">
        <f t="shared" si="590"/>
        <v>#VALUE!</v>
      </c>
      <c r="IF207" s="32"/>
      <c r="IG207" s="102" t="e">
        <f t="shared" si="533"/>
        <v>#VALUE!</v>
      </c>
      <c r="IH207" s="102" t="e">
        <f t="shared" si="534"/>
        <v>#VALUE!</v>
      </c>
      <c r="II207" s="145"/>
      <c r="IJ207" s="929" t="str">
        <f>+IFERROR(IG207/IH207,"NA")</f>
        <v>NA</v>
      </c>
      <c r="IK207" s="930" t="str">
        <f>+IFERROR(IG207-IH207,"NA")</f>
        <v>NA</v>
      </c>
      <c r="IM207" s="973"/>
      <c r="IN207" s="973"/>
      <c r="IP207" s="929">
        <f t="shared" si="642"/>
        <v>1.9400000009760054E-2</v>
      </c>
      <c r="IQ207" s="929">
        <f t="shared" si="642"/>
        <v>1.47527844029648</v>
      </c>
      <c r="IR207" s="929">
        <f t="shared" si="642"/>
        <v>-1</v>
      </c>
      <c r="IS207" s="929" t="str">
        <f t="shared" si="642"/>
        <v/>
      </c>
      <c r="IT207" s="929" t="str">
        <f t="shared" si="642"/>
        <v/>
      </c>
      <c r="IU207" s="929" t="str">
        <f t="shared" si="642"/>
        <v/>
      </c>
      <c r="IV207" s="929" t="str">
        <f t="shared" si="643"/>
        <v/>
      </c>
      <c r="IX207" s="102">
        <f t="shared" si="632"/>
        <v>4.3570870200000229</v>
      </c>
      <c r="IY207" s="102">
        <f t="shared" si="632"/>
        <v>337.76382066000002</v>
      </c>
      <c r="IZ207" s="102">
        <f t="shared" si="632"/>
        <v>-566.71302200000002</v>
      </c>
      <c r="JA207" s="102">
        <f t="shared" si="632"/>
        <v>0</v>
      </c>
      <c r="JB207" s="102">
        <f t="shared" si="632"/>
        <v>0</v>
      </c>
      <c r="JC207" s="102">
        <f t="shared" si="632"/>
        <v>0</v>
      </c>
      <c r="JD207" s="102" t="e">
        <f t="shared" si="633"/>
        <v>#VALUE!</v>
      </c>
      <c r="JF207" s="973"/>
      <c r="JG207" s="973"/>
      <c r="JH207" s="973"/>
      <c r="JI207" s="973"/>
      <c r="JJ207" s="973"/>
      <c r="JK207" s="973"/>
      <c r="JL207" s="973"/>
      <c r="JM207" s="973"/>
      <c r="JO207" s="102">
        <f t="shared" si="634"/>
        <v>0</v>
      </c>
      <c r="JP207" s="102">
        <f t="shared" si="634"/>
        <v>224.59211431999998</v>
      </c>
      <c r="JQ207" s="102">
        <f t="shared" si="634"/>
        <v>228.94920134</v>
      </c>
      <c r="JR207" s="102">
        <f t="shared" si="634"/>
        <v>566.71302200000002</v>
      </c>
      <c r="JS207" s="102">
        <f t="shared" si="634"/>
        <v>0</v>
      </c>
      <c r="JT207" s="102">
        <f t="shared" si="635"/>
        <v>0</v>
      </c>
      <c r="JU207" s="102">
        <f t="shared" si="636"/>
        <v>0</v>
      </c>
      <c r="JV207" s="102">
        <f t="shared" si="637"/>
        <v>0</v>
      </c>
      <c r="JW207" s="102">
        <f t="shared" si="637"/>
        <v>0</v>
      </c>
      <c r="JX207" s="102" t="e">
        <f t="shared" si="638"/>
        <v>#VALUE!</v>
      </c>
      <c r="JY207" s="102" t="e">
        <f t="shared" si="639"/>
        <v>#VALUE!</v>
      </c>
      <c r="KB207" s="32">
        <f t="shared" si="640"/>
        <v>1.9400000009760054E-2</v>
      </c>
      <c r="KC207" s="32">
        <f t="shared" si="640"/>
        <v>1.47527844029648</v>
      </c>
      <c r="KD207" s="32">
        <f t="shared" si="640"/>
        <v>-1</v>
      </c>
      <c r="KE207" s="32" t="str">
        <f t="shared" si="640"/>
        <v xml:space="preserve"> </v>
      </c>
      <c r="KF207" s="32" t="str">
        <f t="shared" si="640"/>
        <v xml:space="preserve"> </v>
      </c>
      <c r="KG207" s="32" t="str">
        <f t="shared" si="640"/>
        <v xml:space="preserve"> </v>
      </c>
      <c r="KH207" s="32" t="str">
        <f t="shared" si="569"/>
        <v xml:space="preserve"> </v>
      </c>
      <c r="KJ207" s="102">
        <f t="shared" si="641"/>
        <v>4.3570870200000229</v>
      </c>
      <c r="KK207" s="102">
        <f t="shared" si="641"/>
        <v>337.76382066000002</v>
      </c>
      <c r="KL207" s="102">
        <f t="shared" si="641"/>
        <v>-566.71302200000002</v>
      </c>
      <c r="KM207" s="102">
        <f t="shared" si="641"/>
        <v>0</v>
      </c>
      <c r="KN207" s="102">
        <f t="shared" si="641"/>
        <v>0</v>
      </c>
      <c r="KO207" s="102">
        <f t="shared" si="641"/>
        <v>0</v>
      </c>
      <c r="KP207" s="102" t="e">
        <f t="shared" si="570"/>
        <v>#VALUE!</v>
      </c>
      <c r="KR207" s="973"/>
      <c r="KS207" s="973"/>
      <c r="KT207" s="973"/>
      <c r="KU207" s="973"/>
      <c r="KV207" s="973"/>
      <c r="KW207" s="973"/>
      <c r="KX207" s="973"/>
      <c r="KY207" s="973"/>
      <c r="KZ207" s="973"/>
    </row>
    <row r="208" spans="1:312" outlineLevel="1">
      <c r="A208" s="884">
        <v>39</v>
      </c>
      <c r="B208" s="70"/>
      <c r="C208" s="186" t="s">
        <v>764</v>
      </c>
      <c r="D208" s="31" t="s">
        <v>59</v>
      </c>
      <c r="E208" s="931">
        <v>0</v>
      </c>
      <c r="F208" s="931">
        <v>0</v>
      </c>
      <c r="G208" s="931">
        <v>0</v>
      </c>
      <c r="H208" s="931">
        <v>0</v>
      </c>
      <c r="I208" s="931">
        <v>0</v>
      </c>
      <c r="J208" s="931">
        <v>0</v>
      </c>
      <c r="K208" s="931">
        <v>0</v>
      </c>
      <c r="L208" s="931">
        <v>0</v>
      </c>
      <c r="M208" s="931">
        <v>0</v>
      </c>
      <c r="N208" s="931">
        <v>0</v>
      </c>
      <c r="O208" s="931">
        <v>0</v>
      </c>
      <c r="P208" s="931">
        <v>0</v>
      </c>
      <c r="Q208" s="931">
        <v>0</v>
      </c>
      <c r="R208" s="931">
        <v>0</v>
      </c>
      <c r="S208" s="931">
        <v>0</v>
      </c>
      <c r="T208" s="931">
        <v>0</v>
      </c>
      <c r="U208" s="931">
        <v>0</v>
      </c>
      <c r="V208" s="931">
        <v>0</v>
      </c>
      <c r="W208" s="931">
        <v>0</v>
      </c>
      <c r="X208" s="931">
        <v>0</v>
      </c>
      <c r="Y208" s="931">
        <v>0</v>
      </c>
      <c r="Z208" s="931">
        <v>0</v>
      </c>
      <c r="AA208" s="931">
        <v>0</v>
      </c>
      <c r="AB208" s="931">
        <v>0</v>
      </c>
      <c r="AC208" s="931">
        <v>0</v>
      </c>
      <c r="AD208" s="931">
        <v>0</v>
      </c>
      <c r="AE208" s="931">
        <v>0</v>
      </c>
      <c r="AF208" s="931">
        <v>0</v>
      </c>
      <c r="AG208" s="931">
        <v>0</v>
      </c>
      <c r="AH208" s="931">
        <v>0</v>
      </c>
      <c r="AI208" s="931">
        <v>0</v>
      </c>
      <c r="AJ208" s="931">
        <v>0</v>
      </c>
      <c r="AK208" s="931">
        <v>0</v>
      </c>
      <c r="AL208" s="931">
        <v>0</v>
      </c>
      <c r="AM208" s="931">
        <v>0</v>
      </c>
      <c r="AN208" s="931">
        <v>0</v>
      </c>
      <c r="AO208" s="931">
        <v>0</v>
      </c>
      <c r="AP208" s="931">
        <v>0</v>
      </c>
      <c r="AQ208" s="931">
        <v>0</v>
      </c>
      <c r="AR208" s="931">
        <v>0</v>
      </c>
      <c r="AS208" s="931">
        <v>0</v>
      </c>
      <c r="AT208" s="931">
        <v>0</v>
      </c>
      <c r="AU208" s="931">
        <v>0</v>
      </c>
      <c r="AV208" s="931">
        <v>0</v>
      </c>
      <c r="AW208" s="931">
        <v>0</v>
      </c>
      <c r="AX208" s="931">
        <v>0</v>
      </c>
      <c r="AY208" s="931">
        <v>0</v>
      </c>
      <c r="AZ208" s="931">
        <v>0</v>
      </c>
      <c r="BA208" s="932"/>
      <c r="BB208" s="932"/>
      <c r="BC208" s="932"/>
      <c r="BD208" s="932"/>
      <c r="BE208" s="931"/>
      <c r="BF208" s="931"/>
      <c r="BG208" s="931"/>
      <c r="BH208" s="931"/>
      <c r="BI208" s="931"/>
      <c r="BJ208" s="931"/>
      <c r="BK208" s="931"/>
      <c r="BL208" s="931"/>
      <c r="BM208" s="102">
        <v>0</v>
      </c>
      <c r="BN208" s="932">
        <v>0</v>
      </c>
      <c r="BO208" s="932">
        <v>0</v>
      </c>
      <c r="BP208" s="932">
        <v>0</v>
      </c>
      <c r="BQ208" s="931">
        <v>0</v>
      </c>
      <c r="BR208" s="931">
        <v>0</v>
      </c>
      <c r="BS208" s="931">
        <v>0</v>
      </c>
      <c r="BT208" s="931">
        <v>0</v>
      </c>
      <c r="BU208" s="931">
        <v>0</v>
      </c>
      <c r="BV208" s="931">
        <v>0</v>
      </c>
      <c r="BW208" s="931">
        <v>0</v>
      </c>
      <c r="BX208" s="931">
        <v>0</v>
      </c>
      <c r="BY208" s="931"/>
      <c r="BZ208" s="931"/>
      <c r="CA208" s="931"/>
      <c r="CB208" s="931"/>
      <c r="CC208" s="931"/>
      <c r="CD208" s="931"/>
      <c r="CE208" s="931"/>
      <c r="CF208" s="931"/>
      <c r="CG208" s="931"/>
      <c r="CH208" s="931"/>
      <c r="CI208" s="931"/>
      <c r="CJ208" s="931"/>
      <c r="CK208" s="931"/>
      <c r="CL208" s="931"/>
      <c r="CM208" s="931"/>
      <c r="CN208" s="931"/>
      <c r="CO208" s="931"/>
      <c r="CP208" s="931"/>
      <c r="CQ208" s="931"/>
      <c r="CR208" s="931"/>
      <c r="CS208" s="931"/>
      <c r="CT208" s="931"/>
      <c r="CU208" s="931"/>
      <c r="CV208" s="931"/>
      <c r="CW208" s="931"/>
      <c r="CX208" s="931"/>
      <c r="CY208" s="931"/>
      <c r="CZ208" s="931"/>
      <c r="DA208" s="931"/>
      <c r="DB208" s="931"/>
      <c r="DC208" s="931"/>
      <c r="DD208" s="931"/>
      <c r="DE208" s="931"/>
      <c r="DF208" s="931"/>
      <c r="DG208" s="931"/>
      <c r="DH208" s="931"/>
      <c r="DJ208" s="931" t="e">
        <v>#VALUE!</v>
      </c>
      <c r="DK208" s="931" t="e">
        <v>#VALUE!</v>
      </c>
      <c r="DL208" s="931" t="e">
        <v>#VALUE!</v>
      </c>
      <c r="DM208" s="931" t="e">
        <v>#VALUE!</v>
      </c>
      <c r="DN208" s="931" t="e">
        <v>#VALUE!</v>
      </c>
      <c r="DO208" s="931" t="e">
        <v>#VALUE!</v>
      </c>
      <c r="DP208" s="931" t="e">
        <v>#VALUE!</v>
      </c>
      <c r="DQ208" s="931" t="e">
        <v>#VALUE!</v>
      </c>
      <c r="DR208" s="931" t="e">
        <v>#VALUE!</v>
      </c>
      <c r="DS208" s="931" t="e">
        <v>#VALUE!</v>
      </c>
      <c r="DT208" s="931" t="e">
        <v>#VALUE!</v>
      </c>
      <c r="DU208" s="931" t="e">
        <v>#VALUE!</v>
      </c>
      <c r="DW208" s="931"/>
      <c r="DX208" s="931"/>
      <c r="DY208" s="931"/>
      <c r="DZ208" s="931"/>
      <c r="EA208" s="931"/>
      <c r="EB208" s="931"/>
      <c r="EC208" s="931"/>
      <c r="ED208" s="931"/>
      <c r="EE208" s="931"/>
      <c r="EF208" s="931"/>
      <c r="EG208" s="931"/>
      <c r="EH208" s="931"/>
      <c r="EI208" s="931"/>
      <c r="EJ208" s="931"/>
      <c r="EK208" s="931"/>
      <c r="EL208" s="931"/>
      <c r="EM208" s="931"/>
      <c r="EN208" s="931"/>
      <c r="EO208" s="931"/>
      <c r="EP208" s="931"/>
      <c r="EQ208" s="931"/>
      <c r="ER208" s="931"/>
      <c r="ES208" s="931"/>
      <c r="ET208" s="931"/>
      <c r="EU208" s="931">
        <v>1656.6120699000001</v>
      </c>
      <c r="EV208" s="931">
        <v>1656.6120699000001</v>
      </c>
      <c r="EW208" s="931">
        <v>1656.6120699000001</v>
      </c>
      <c r="EX208" s="931">
        <v>1656.6120699000001</v>
      </c>
      <c r="EY208" s="931">
        <v>1656.6120699000001</v>
      </c>
      <c r="EZ208" s="931">
        <v>1656.6120699000001</v>
      </c>
      <c r="FA208" s="931">
        <v>1656.6120699000001</v>
      </c>
      <c r="FB208" s="931">
        <v>1656.6120699000001</v>
      </c>
      <c r="FC208" s="931">
        <v>1656.6120699000001</v>
      </c>
      <c r="FD208" s="931">
        <v>1656.6120699000001</v>
      </c>
      <c r="FE208" s="931">
        <v>1656.6120699000001</v>
      </c>
      <c r="FF208" s="931">
        <v>1656.6120699000001</v>
      </c>
      <c r="FG208" s="931" t="e">
        <v>#VALUE!</v>
      </c>
      <c r="FH208" s="931" t="e">
        <v>#VALUE!</v>
      </c>
      <c r="FI208" s="931" t="e">
        <v>#VALUE!</v>
      </c>
      <c r="FJ208" s="931" t="e">
        <v>#VALUE!</v>
      </c>
      <c r="FK208" s="931" t="e">
        <v>#VALUE!</v>
      </c>
      <c r="FL208" s="931" t="e">
        <v>#VALUE!</v>
      </c>
      <c r="FM208" s="931" t="e">
        <v>#VALUE!</v>
      </c>
      <c r="FN208" s="931" t="e">
        <v>#VALUE!</v>
      </c>
      <c r="FO208" s="931" t="e">
        <v>#VALUE!</v>
      </c>
      <c r="FP208" s="931" t="e">
        <v>#VALUE!</v>
      </c>
      <c r="FQ208" s="931" t="e">
        <v>#VALUE!</v>
      </c>
      <c r="FR208" s="931" t="e">
        <v>#VALUE!</v>
      </c>
      <c r="FS208" s="931" t="e">
        <v>#VALUE!</v>
      </c>
      <c r="FT208" s="931" t="e">
        <v>#VALUE!</v>
      </c>
      <c r="FU208" s="931" t="e">
        <v>#VALUE!</v>
      </c>
      <c r="FV208" s="931" t="e">
        <v>#VALUE!</v>
      </c>
      <c r="FW208" s="931" t="e">
        <v>#VALUE!</v>
      </c>
      <c r="FX208" s="931" t="e">
        <v>#VALUE!</v>
      </c>
      <c r="FY208" s="931" t="e">
        <v>#VALUE!</v>
      </c>
      <c r="FZ208" s="931" t="e">
        <v>#VALUE!</v>
      </c>
      <c r="GA208" s="931" t="e">
        <v>#VALUE!</v>
      </c>
      <c r="GB208" s="931" t="e">
        <v>#VALUE!</v>
      </c>
      <c r="GC208" s="931" t="e">
        <v>#VALUE!</v>
      </c>
      <c r="GD208" s="931" t="e">
        <v>#VALUE!</v>
      </c>
      <c r="GF208" s="931"/>
      <c r="GG208" s="931"/>
      <c r="GH208" s="931"/>
      <c r="GI208" s="931"/>
      <c r="GJ208" s="931">
        <f t="shared" si="575"/>
        <v>0</v>
      </c>
      <c r="GK208" s="931">
        <f t="shared" si="565"/>
        <v>0</v>
      </c>
      <c r="GL208" s="931">
        <f t="shared" si="571"/>
        <v>0</v>
      </c>
      <c r="GM208" s="931">
        <f t="shared" si="566"/>
        <v>0</v>
      </c>
      <c r="GN208" s="931" t="e">
        <f t="shared" si="567"/>
        <v>#VALUE!</v>
      </c>
      <c r="GO208" s="931">
        <v>0</v>
      </c>
      <c r="GQ208" s="230"/>
      <c r="GR208" s="230"/>
      <c r="GS208" s="230"/>
      <c r="GT208" s="934" t="str">
        <f t="shared" si="623"/>
        <v/>
      </c>
      <c r="GU208" s="934" t="str">
        <f t="shared" si="623"/>
        <v/>
      </c>
      <c r="GV208" s="934" t="str">
        <f t="shared" si="623"/>
        <v/>
      </c>
      <c r="GW208" s="934" t="str">
        <f t="shared" si="623"/>
        <v/>
      </c>
      <c r="GX208" s="230"/>
      <c r="GY208" s="934" t="str">
        <f t="shared" si="647"/>
        <v/>
      </c>
      <c r="HA208" s="931"/>
      <c r="HB208" s="931"/>
      <c r="HC208" s="931"/>
      <c r="HD208" s="931">
        <f t="shared" si="577"/>
        <v>0</v>
      </c>
      <c r="HE208" s="931">
        <f t="shared" si="577"/>
        <v>0</v>
      </c>
      <c r="HF208" s="931">
        <f t="shared" si="577"/>
        <v>0</v>
      </c>
      <c r="HG208" s="931" t="e">
        <f t="shared" si="577"/>
        <v>#VALUE!</v>
      </c>
      <c r="HH208" s="931"/>
      <c r="HI208" s="931">
        <f t="shared" si="648"/>
        <v>0</v>
      </c>
      <c r="HK208" s="978"/>
      <c r="HL208" s="978"/>
      <c r="HM208" s="978"/>
      <c r="HN208" s="978"/>
      <c r="HO208" s="978"/>
      <c r="HP208" s="978"/>
      <c r="HQ208" s="978"/>
      <c r="HR208" s="978"/>
      <c r="HS208" s="978"/>
      <c r="HU208" s="931"/>
      <c r="HV208" s="931"/>
      <c r="HW208" s="931"/>
      <c r="HX208" s="931"/>
      <c r="HY208" s="931">
        <f t="shared" si="626"/>
        <v>0</v>
      </c>
      <c r="HZ208" s="931">
        <f t="shared" si="626"/>
        <v>0</v>
      </c>
      <c r="IA208" s="931">
        <f t="shared" si="627"/>
        <v>0</v>
      </c>
      <c r="IB208" s="931">
        <f t="shared" si="628"/>
        <v>0</v>
      </c>
      <c r="IC208" s="931">
        <f t="shared" si="629"/>
        <v>0</v>
      </c>
      <c r="ID208" s="931" t="e">
        <f t="shared" si="568"/>
        <v>#VALUE!</v>
      </c>
      <c r="IE208" s="931" t="e">
        <f t="shared" si="590"/>
        <v>#VALUE!</v>
      </c>
      <c r="IG208" s="931" t="e">
        <f t="shared" si="533"/>
        <v>#VALUE!</v>
      </c>
      <c r="IH208" s="931" t="e">
        <f t="shared" si="534"/>
        <v>#VALUE!</v>
      </c>
      <c r="II208" s="145"/>
      <c r="IJ208" s="934"/>
      <c r="IK208" s="935"/>
      <c r="IM208" s="973"/>
      <c r="IN208" s="973"/>
      <c r="IP208" s="934" t="str">
        <f t="shared" si="642"/>
        <v/>
      </c>
      <c r="IQ208" s="934" t="str">
        <f t="shared" si="642"/>
        <v/>
      </c>
      <c r="IR208" s="934" t="str">
        <f t="shared" si="642"/>
        <v/>
      </c>
      <c r="IS208" s="934" t="str">
        <f t="shared" si="642"/>
        <v/>
      </c>
      <c r="IT208" s="934" t="str">
        <f t="shared" si="642"/>
        <v/>
      </c>
      <c r="IU208" s="934" t="str">
        <f t="shared" si="642"/>
        <v/>
      </c>
      <c r="IV208" s="934" t="str">
        <f t="shared" si="643"/>
        <v/>
      </c>
      <c r="IX208" s="931">
        <f t="shared" si="632"/>
        <v>0</v>
      </c>
      <c r="IY208" s="931">
        <f t="shared" si="632"/>
        <v>0</v>
      </c>
      <c r="IZ208" s="931">
        <f t="shared" si="632"/>
        <v>0</v>
      </c>
      <c r="JA208" s="931">
        <f t="shared" si="632"/>
        <v>0</v>
      </c>
      <c r="JB208" s="931">
        <f t="shared" si="632"/>
        <v>0</v>
      </c>
      <c r="JC208" s="931">
        <f t="shared" si="632"/>
        <v>0</v>
      </c>
      <c r="JD208" s="931" t="e">
        <f t="shared" si="633"/>
        <v>#VALUE!</v>
      </c>
      <c r="JF208" s="978"/>
      <c r="JG208" s="978"/>
      <c r="JH208" s="978"/>
      <c r="JI208" s="978"/>
      <c r="JJ208" s="978"/>
      <c r="JK208" s="978"/>
      <c r="JL208" s="978"/>
      <c r="JM208" s="978"/>
      <c r="JO208" s="931">
        <f t="shared" si="634"/>
        <v>0</v>
      </c>
      <c r="JP208" s="931">
        <f t="shared" si="634"/>
        <v>0</v>
      </c>
      <c r="JQ208" s="931">
        <f t="shared" si="634"/>
        <v>0</v>
      </c>
      <c r="JR208" s="931">
        <f t="shared" si="634"/>
        <v>0</v>
      </c>
      <c r="JS208" s="931">
        <f t="shared" si="634"/>
        <v>0</v>
      </c>
      <c r="JT208" s="931">
        <f t="shared" si="635"/>
        <v>0</v>
      </c>
      <c r="JU208" s="931">
        <f t="shared" si="636"/>
        <v>0</v>
      </c>
      <c r="JV208" s="931">
        <f t="shared" si="637"/>
        <v>0</v>
      </c>
      <c r="JW208" s="931">
        <f t="shared" si="637"/>
        <v>0</v>
      </c>
      <c r="JX208" s="931" t="e">
        <f t="shared" si="638"/>
        <v>#VALUE!</v>
      </c>
      <c r="JY208" s="931" t="e">
        <f t="shared" si="639"/>
        <v>#VALUE!</v>
      </c>
      <c r="KB208" s="230" t="str">
        <f t="shared" si="640"/>
        <v xml:space="preserve"> </v>
      </c>
      <c r="KC208" s="230" t="str">
        <f t="shared" si="640"/>
        <v xml:space="preserve"> </v>
      </c>
      <c r="KD208" s="230" t="str">
        <f t="shared" si="640"/>
        <v xml:space="preserve"> </v>
      </c>
      <c r="KE208" s="230" t="str">
        <f t="shared" si="640"/>
        <v xml:space="preserve"> </v>
      </c>
      <c r="KF208" s="230" t="str">
        <f t="shared" si="640"/>
        <v xml:space="preserve"> </v>
      </c>
      <c r="KG208" s="230" t="str">
        <f t="shared" si="640"/>
        <v xml:space="preserve"> </v>
      </c>
      <c r="KH208" s="230" t="str">
        <f t="shared" si="569"/>
        <v xml:space="preserve"> </v>
      </c>
      <c r="KJ208" s="931">
        <f t="shared" si="641"/>
        <v>0</v>
      </c>
      <c r="KK208" s="931">
        <f t="shared" si="641"/>
        <v>0</v>
      </c>
      <c r="KL208" s="931">
        <f t="shared" si="641"/>
        <v>0</v>
      </c>
      <c r="KM208" s="931">
        <f t="shared" si="641"/>
        <v>0</v>
      </c>
      <c r="KN208" s="931">
        <f t="shared" si="641"/>
        <v>0</v>
      </c>
      <c r="KO208" s="931">
        <f t="shared" si="641"/>
        <v>0</v>
      </c>
      <c r="KP208" s="931" t="e">
        <f t="shared" si="570"/>
        <v>#VALUE!</v>
      </c>
      <c r="KR208" s="978"/>
      <c r="KS208" s="978"/>
      <c r="KT208" s="978"/>
      <c r="KU208" s="978"/>
      <c r="KV208" s="978"/>
      <c r="KW208" s="978"/>
      <c r="KX208" s="978"/>
      <c r="KY208" s="978"/>
      <c r="KZ208" s="978"/>
    </row>
    <row r="209" spans="1:312" s="657" customFormat="1" outlineLevel="1">
      <c r="E209" s="472"/>
      <c r="F209" s="472"/>
      <c r="G209" s="472"/>
      <c r="H209" s="472"/>
      <c r="I209" s="472"/>
      <c r="J209" s="472"/>
      <c r="K209" s="472"/>
      <c r="L209" s="472"/>
      <c r="M209" s="472"/>
      <c r="N209" s="472"/>
      <c r="O209" s="472"/>
      <c r="P209" s="472"/>
      <c r="Q209" s="220"/>
      <c r="R209" s="472"/>
      <c r="S209" s="472"/>
      <c r="T209" s="472"/>
      <c r="U209" s="472"/>
      <c r="V209" s="472"/>
      <c r="W209" s="472"/>
      <c r="X209" s="472"/>
      <c r="Y209" s="472"/>
      <c r="Z209" s="472"/>
      <c r="AA209" s="472"/>
      <c r="AB209" s="472"/>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0"/>
      <c r="BK209" s="220"/>
      <c r="BL209" s="220"/>
      <c r="BM209" s="1554"/>
      <c r="BN209" s="220"/>
      <c r="BO209" s="220"/>
      <c r="BP209" s="220"/>
      <c r="BQ209" s="220"/>
      <c r="BR209" s="220"/>
      <c r="BS209" s="220"/>
      <c r="BT209" s="220"/>
      <c r="BU209" s="220"/>
      <c r="BV209" s="220"/>
      <c r="BW209" s="220"/>
      <c r="BX209" s="220"/>
      <c r="BY209" s="220"/>
      <c r="BZ209" s="220"/>
      <c r="CA209" s="220"/>
      <c r="CB209" s="220"/>
      <c r="CC209" s="220"/>
      <c r="CD209" s="220"/>
      <c r="CE209" s="220"/>
      <c r="CF209" s="220"/>
      <c r="CG209" s="220"/>
      <c r="CH209" s="220"/>
      <c r="CI209" s="220"/>
      <c r="CJ209" s="220"/>
      <c r="CK209" s="220"/>
      <c r="CL209" s="220"/>
      <c r="CM209" s="220"/>
      <c r="CN209" s="220"/>
      <c r="CO209" s="220"/>
      <c r="CP209" s="220"/>
      <c r="CQ209" s="220"/>
      <c r="CR209" s="220"/>
      <c r="CS209" s="220"/>
      <c r="CT209" s="220"/>
      <c r="CU209" s="220"/>
      <c r="CV209" s="220"/>
      <c r="CW209" s="220"/>
      <c r="CX209" s="220"/>
      <c r="CY209" s="220"/>
      <c r="CZ209" s="220"/>
      <c r="DA209" s="220"/>
      <c r="DB209" s="220"/>
      <c r="DC209" s="220"/>
      <c r="DD209" s="220"/>
      <c r="DE209" s="220"/>
      <c r="DF209" s="220"/>
      <c r="DG209" s="220"/>
      <c r="DH209" s="220"/>
      <c r="DJ209" s="220"/>
      <c r="DK209" s="220"/>
      <c r="DL209" s="220"/>
      <c r="DM209" s="220"/>
      <c r="DN209" s="220"/>
      <c r="DO209" s="220"/>
      <c r="DP209" s="220"/>
      <c r="DQ209" s="220"/>
      <c r="DR209" s="220"/>
      <c r="DS209" s="220"/>
      <c r="DT209" s="220"/>
      <c r="DU209" s="220"/>
      <c r="DV209"/>
      <c r="DW209" s="220"/>
      <c r="DX209" s="220"/>
      <c r="DY209" s="220"/>
      <c r="DZ209" s="220"/>
      <c r="EA209" s="220"/>
      <c r="EB209" s="220"/>
      <c r="EC209" s="220"/>
      <c r="ED209" s="220"/>
      <c r="EE209" s="220"/>
      <c r="EF209" s="220"/>
      <c r="EG209" s="220"/>
      <c r="EH209" s="220"/>
      <c r="EI209" s="220"/>
      <c r="EJ209" s="220"/>
      <c r="EK209" s="220"/>
      <c r="EL209" s="220"/>
      <c r="EM209" s="220"/>
      <c r="EN209" s="220"/>
      <c r="EO209" s="220"/>
      <c r="EP209" s="220"/>
      <c r="EQ209" s="220"/>
      <c r="ER209" s="220"/>
      <c r="ES209" s="220"/>
      <c r="ET209" s="220"/>
      <c r="EU209" s="220"/>
      <c r="EV209" s="220"/>
      <c r="EW209" s="220"/>
      <c r="EX209" s="220"/>
      <c r="EY209" s="220"/>
      <c r="EZ209" s="220"/>
      <c r="FA209" s="220"/>
      <c r="FB209" s="220"/>
      <c r="FC209" s="220"/>
      <c r="FD209" s="220"/>
      <c r="FE209" s="220"/>
      <c r="FF209" s="220"/>
      <c r="FG209" s="220"/>
      <c r="FH209" s="220"/>
      <c r="FI209" s="220"/>
      <c r="FJ209" s="220"/>
      <c r="FK209" s="220"/>
      <c r="FL209" s="220"/>
      <c r="FM209" s="220"/>
      <c r="FN209" s="220"/>
      <c r="FO209" s="220"/>
      <c r="FP209" s="220"/>
      <c r="FQ209" s="220"/>
      <c r="FR209" s="220"/>
      <c r="FS209" s="220"/>
      <c r="FT209" s="220"/>
      <c r="FU209" s="220"/>
      <c r="FV209" s="220"/>
      <c r="FW209" s="220"/>
      <c r="FX209" s="220"/>
      <c r="FY209" s="220"/>
      <c r="FZ209" s="220"/>
      <c r="GA209" s="220"/>
      <c r="GB209" s="220"/>
      <c r="GC209" s="220"/>
      <c r="GD209" s="220"/>
      <c r="GF209" s="220"/>
      <c r="GG209" s="220"/>
      <c r="GH209" s="220"/>
      <c r="GI209" s="220"/>
      <c r="GJ209" s="220"/>
      <c r="GK209" s="220"/>
      <c r="GL209" s="220">
        <f t="shared" si="571"/>
        <v>0</v>
      </c>
      <c r="GM209" s="220">
        <f t="shared" si="566"/>
        <v>0</v>
      </c>
      <c r="GN209" s="220"/>
      <c r="GO209" s="220">
        <v>0</v>
      </c>
      <c r="GQ209" s="85"/>
      <c r="GR209" s="85"/>
      <c r="GS209" s="85"/>
      <c r="GT209" s="991"/>
      <c r="GU209" s="991"/>
      <c r="GV209" s="991"/>
      <c r="GW209" s="991" t="str">
        <f t="shared" si="623"/>
        <v/>
      </c>
      <c r="GX209" s="85"/>
      <c r="GY209" s="991" t="str">
        <f t="shared" si="647"/>
        <v/>
      </c>
      <c r="HA209" s="220"/>
      <c r="HB209" s="220"/>
      <c r="HC209" s="220"/>
      <c r="HD209" s="220"/>
      <c r="HE209" s="220">
        <f t="shared" si="577"/>
        <v>0</v>
      </c>
      <c r="HF209" s="220">
        <f t="shared" si="577"/>
        <v>0</v>
      </c>
      <c r="HG209" s="220">
        <f t="shared" si="577"/>
        <v>0</v>
      </c>
      <c r="HH209" s="220"/>
      <c r="HI209" s="220">
        <f t="shared" si="648"/>
        <v>0</v>
      </c>
      <c r="HU209" s="220"/>
      <c r="HV209" s="220"/>
      <c r="HW209" s="220"/>
      <c r="HX209" s="220"/>
      <c r="HY209" s="220"/>
      <c r="HZ209" s="220"/>
      <c r="IA209" s="220"/>
      <c r="IB209" s="220"/>
      <c r="IC209" s="220"/>
      <c r="ID209" s="220"/>
      <c r="IE209" s="220"/>
      <c r="IF209" s="992"/>
      <c r="IG209" s="220"/>
      <c r="IH209" s="220"/>
      <c r="II209" s="220"/>
      <c r="IJ209" s="85"/>
      <c r="IK209" s="220"/>
      <c r="IP209" s="85"/>
      <c r="IQ209" s="85"/>
      <c r="IR209" s="85"/>
      <c r="IS209" s="85"/>
      <c r="IT209" s="85"/>
      <c r="IU209" s="85"/>
      <c r="IV209" s="85"/>
      <c r="IX209" s="220"/>
      <c r="IY209" s="220"/>
      <c r="IZ209" s="220"/>
      <c r="JA209" s="220"/>
      <c r="JB209" s="220"/>
      <c r="JC209" s="220"/>
      <c r="JD209" s="220"/>
      <c r="JO209" s="220"/>
      <c r="JP209" s="220"/>
      <c r="JQ209" s="220"/>
      <c r="JR209" s="220"/>
      <c r="JS209" s="220"/>
      <c r="JT209" s="220"/>
      <c r="JU209" s="220"/>
      <c r="JV209" s="220"/>
      <c r="JW209" s="220"/>
      <c r="JX209" s="220"/>
      <c r="JY209" s="220"/>
      <c r="KB209" s="85"/>
      <c r="KC209" s="85"/>
      <c r="KD209" s="85"/>
      <c r="KE209" s="85"/>
      <c r="KF209" s="85"/>
      <c r="KG209" s="85"/>
      <c r="KH209" s="85" t="str">
        <f t="shared" si="569"/>
        <v xml:space="preserve"> </v>
      </c>
      <c r="KJ209" s="220"/>
      <c r="KK209" s="220"/>
      <c r="KL209" s="220"/>
      <c r="KM209" s="220"/>
      <c r="KN209" s="220"/>
      <c r="KO209" s="220"/>
      <c r="KP209" s="220">
        <f t="shared" si="570"/>
        <v>0</v>
      </c>
    </row>
    <row r="210" spans="1:312">
      <c r="A210" s="657"/>
      <c r="B210" s="657"/>
      <c r="C210" s="1555" t="s">
        <v>765</v>
      </c>
      <c r="D210" s="1556" t="s">
        <v>59</v>
      </c>
      <c r="E210" s="1557">
        <f t="shared" ref="E210:AY210" si="655">+E194+E196</f>
        <v>11282.16584328</v>
      </c>
      <c r="F210" s="1557">
        <f t="shared" si="655"/>
        <v>11308.42805611</v>
      </c>
      <c r="G210" s="1557">
        <f t="shared" si="655"/>
        <v>12039.035239270001</v>
      </c>
      <c r="H210" s="1557">
        <f t="shared" si="655"/>
        <v>12305.435433840001</v>
      </c>
      <c r="I210" s="1557">
        <f t="shared" si="655"/>
        <v>13993.930874270001</v>
      </c>
      <c r="J210" s="1557">
        <f t="shared" si="655"/>
        <v>14400.456024260002</v>
      </c>
      <c r="K210" s="1557">
        <f t="shared" si="655"/>
        <v>15379.566433019998</v>
      </c>
      <c r="L210" s="1557">
        <f t="shared" si="655"/>
        <v>16535.597538910002</v>
      </c>
      <c r="M210" s="1557">
        <f t="shared" si="655"/>
        <v>32561.255233310003</v>
      </c>
      <c r="N210" s="1557">
        <f t="shared" si="655"/>
        <v>17234.365240970004</v>
      </c>
      <c r="O210" s="1557">
        <f t="shared" si="655"/>
        <v>19128.082631569996</v>
      </c>
      <c r="P210" s="1557">
        <f t="shared" si="655"/>
        <v>19139.088902480005</v>
      </c>
      <c r="Q210" s="1557">
        <f t="shared" si="655"/>
        <v>18518.407960889999</v>
      </c>
      <c r="R210" s="1557">
        <f t="shared" si="655"/>
        <v>19163.943305140001</v>
      </c>
      <c r="S210" s="1557">
        <f t="shared" si="655"/>
        <v>18457.869859940001</v>
      </c>
      <c r="T210" s="1557">
        <f t="shared" si="655"/>
        <v>14103.475888610003</v>
      </c>
      <c r="U210" s="1557">
        <f t="shared" si="655"/>
        <v>15829.088505870002</v>
      </c>
      <c r="V210" s="1557">
        <f t="shared" si="655"/>
        <v>16748.039628229995</v>
      </c>
      <c r="W210" s="1557">
        <f t="shared" si="655"/>
        <v>16290.910274679993</v>
      </c>
      <c r="X210" s="1557">
        <f t="shared" si="655"/>
        <v>17349.769600290001</v>
      </c>
      <c r="Y210" s="1557">
        <f t="shared" si="655"/>
        <v>16021.128897560004</v>
      </c>
      <c r="Z210" s="1557">
        <f t="shared" si="655"/>
        <v>16218.027913419999</v>
      </c>
      <c r="AA210" s="1557">
        <f t="shared" si="655"/>
        <v>19152.999620369999</v>
      </c>
      <c r="AB210" s="1557">
        <f t="shared" si="655"/>
        <v>23012.309137390002</v>
      </c>
      <c r="AC210" s="1557">
        <f t="shared" si="655"/>
        <v>21404.771648230002</v>
      </c>
      <c r="AD210" s="1557">
        <f t="shared" si="655"/>
        <v>22918.135748469002</v>
      </c>
      <c r="AE210" s="1557">
        <f t="shared" si="655"/>
        <v>23035.441716059002</v>
      </c>
      <c r="AF210" s="1557">
        <f t="shared" si="655"/>
        <v>20364.702948108999</v>
      </c>
      <c r="AG210" s="1557">
        <f t="shared" si="655"/>
        <v>21193.5162777312</v>
      </c>
      <c r="AH210" s="1557">
        <f t="shared" si="655"/>
        <v>21210.570443201199</v>
      </c>
      <c r="AI210" s="1557">
        <f t="shared" si="655"/>
        <v>21175.384888473403</v>
      </c>
      <c r="AJ210" s="1557">
        <f t="shared" si="655"/>
        <v>23100.979975549599</v>
      </c>
      <c r="AK210" s="1557">
        <f t="shared" si="655"/>
        <v>23689.081248235001</v>
      </c>
      <c r="AL210" s="1557">
        <f t="shared" si="655"/>
        <v>25632.688091107797</v>
      </c>
      <c r="AM210" s="1557">
        <f t="shared" si="655"/>
        <v>32209.378208080001</v>
      </c>
      <c r="AN210" s="1557">
        <f t="shared" si="655"/>
        <v>32909.200578130003</v>
      </c>
      <c r="AO210" s="1557">
        <f t="shared" si="655"/>
        <v>31428.594288719996</v>
      </c>
      <c r="AP210" s="1557">
        <f t="shared" si="655"/>
        <v>34676.18119712999</v>
      </c>
      <c r="AQ210" s="1557">
        <f t="shared" si="655"/>
        <v>31946.737652859996</v>
      </c>
      <c r="AR210" s="1557">
        <f t="shared" si="655"/>
        <v>27813.250589509997</v>
      </c>
      <c r="AS210" s="1557">
        <f t="shared" si="655"/>
        <v>27768.801303549993</v>
      </c>
      <c r="AT210" s="1557">
        <f t="shared" si="655"/>
        <v>27412.102041989994</v>
      </c>
      <c r="AU210" s="1557">
        <f t="shared" si="655"/>
        <v>27060.258511139997</v>
      </c>
      <c r="AV210" s="1557">
        <f t="shared" si="655"/>
        <v>27041.125118389999</v>
      </c>
      <c r="AW210" s="1557">
        <f t="shared" si="655"/>
        <v>27055.91388349</v>
      </c>
      <c r="AX210" s="1557">
        <f t="shared" si="655"/>
        <v>27879.301571329997</v>
      </c>
      <c r="AY210" s="1557">
        <f t="shared" si="655"/>
        <v>27097.588466279994</v>
      </c>
      <c r="AZ210" s="1557">
        <f>+AZ194+AZ196</f>
        <v>27423.452831980001</v>
      </c>
      <c r="BA210" s="1557">
        <f t="shared" ref="BA210:DE210" si="656">+BA194+BA196</f>
        <v>26493.44757937</v>
      </c>
      <c r="BB210" s="1557">
        <f t="shared" si="656"/>
        <v>25764.225709239996</v>
      </c>
      <c r="BC210" s="1557">
        <f t="shared" si="656"/>
        <v>24443.400277879999</v>
      </c>
      <c r="BD210" s="1557">
        <f t="shared" si="656"/>
        <v>22912.716408850003</v>
      </c>
      <c r="BE210" s="1557">
        <f t="shared" si="656"/>
        <v>22231.975695150002</v>
      </c>
      <c r="BF210" s="1557">
        <f t="shared" si="656"/>
        <v>21730.640044619999</v>
      </c>
      <c r="BG210" s="1557">
        <f t="shared" si="656"/>
        <v>21851.275319380002</v>
      </c>
      <c r="BH210" s="1557">
        <f t="shared" si="656"/>
        <v>20644.782083059996</v>
      </c>
      <c r="BI210" s="1557">
        <f t="shared" si="656"/>
        <v>20350.875652230003</v>
      </c>
      <c r="BJ210" s="1557">
        <f t="shared" si="656"/>
        <v>20312.714945340002</v>
      </c>
      <c r="BK210" s="1557">
        <f t="shared" si="656"/>
        <v>19990.656503409999</v>
      </c>
      <c r="BL210" s="1557">
        <f t="shared" si="656"/>
        <v>20677.934842410003</v>
      </c>
      <c r="BM210" s="1557">
        <f t="shared" si="656"/>
        <v>21579.606489719998</v>
      </c>
      <c r="BN210" s="1557">
        <f t="shared" si="656"/>
        <v>21554.204260799997</v>
      </c>
      <c r="BO210" s="1557">
        <f t="shared" si="656"/>
        <v>21773.308288949993</v>
      </c>
      <c r="BP210" s="1557">
        <f t="shared" si="656"/>
        <v>22190.068717149996</v>
      </c>
      <c r="BQ210" s="1557">
        <f t="shared" si="656"/>
        <v>21762.865880849997</v>
      </c>
      <c r="BR210" s="1557">
        <f t="shared" si="656"/>
        <v>21717.630840339996</v>
      </c>
      <c r="BS210" s="1557">
        <f t="shared" si="656"/>
        <v>21817.453619999997</v>
      </c>
      <c r="BT210" s="1557">
        <f t="shared" si="656"/>
        <v>21787.420731979997</v>
      </c>
      <c r="BU210" s="1557">
        <f t="shared" si="656"/>
        <v>21494.490447059994</v>
      </c>
      <c r="BV210" s="1557">
        <f t="shared" si="656"/>
        <v>21921.855613099993</v>
      </c>
      <c r="BW210" s="1557">
        <f t="shared" si="656"/>
        <v>21897.005102889998</v>
      </c>
      <c r="BX210" s="1557">
        <f t="shared" si="656"/>
        <v>21402.207952309996</v>
      </c>
      <c r="BY210" s="1557">
        <f t="shared" si="656"/>
        <v>21313.489603989998</v>
      </c>
      <c r="BZ210" s="1557">
        <f t="shared" si="656"/>
        <v>21208.176234399998</v>
      </c>
      <c r="CA210" s="1557">
        <f t="shared" si="656"/>
        <v>21218.394499579998</v>
      </c>
      <c r="CB210" s="1557">
        <f t="shared" si="656"/>
        <v>20764.634235759997</v>
      </c>
      <c r="CC210" s="1557">
        <f t="shared" si="656"/>
        <v>20152.943336460001</v>
      </c>
      <c r="CD210" s="1557">
        <f t="shared" si="656"/>
        <v>20206.772990999998</v>
      </c>
      <c r="CE210" s="1557">
        <f t="shared" si="656"/>
        <v>20275.618270139996</v>
      </c>
      <c r="CF210" s="1557">
        <f t="shared" si="656"/>
        <v>20454.767868259994</v>
      </c>
      <c r="CG210" s="1557">
        <f t="shared" si="656"/>
        <v>20634.91693318</v>
      </c>
      <c r="CH210" s="1557">
        <f t="shared" si="656"/>
        <v>21320.636160409995</v>
      </c>
      <c r="CI210" s="1557">
        <f t="shared" si="656"/>
        <v>22075.67922382</v>
      </c>
      <c r="CJ210" s="1557">
        <f t="shared" si="656"/>
        <v>22007.51954419</v>
      </c>
      <c r="CK210" s="1557">
        <f t="shared" si="656"/>
        <v>22413.750703940001</v>
      </c>
      <c r="CL210" s="1557">
        <f t="shared" si="656"/>
        <v>22241.758410209994</v>
      </c>
      <c r="CM210" s="1557">
        <f t="shared" si="656"/>
        <v>22632.657754780001</v>
      </c>
      <c r="CN210" s="1557">
        <f t="shared" si="656"/>
        <v>22941.920740149999</v>
      </c>
      <c r="CO210" s="1557">
        <f t="shared" si="656"/>
        <v>23078.638255639999</v>
      </c>
      <c r="CP210" s="1557">
        <f t="shared" si="656"/>
        <v>23065.722959399998</v>
      </c>
      <c r="CQ210" s="1557">
        <f t="shared" si="656"/>
        <v>22871.405886839999</v>
      </c>
      <c r="CR210" s="1557">
        <f t="shared" si="656"/>
        <v>23551.901671279997</v>
      </c>
      <c r="CS210" s="1557">
        <f t="shared" si="656"/>
        <v>23675.449670539998</v>
      </c>
      <c r="CT210" s="1557">
        <f t="shared" si="656"/>
        <v>24988.896851519996</v>
      </c>
      <c r="CU210" s="1557">
        <f t="shared" si="656"/>
        <v>25060.551760049995</v>
      </c>
      <c r="CV210" s="1557">
        <f t="shared" si="656"/>
        <v>24646.056420939996</v>
      </c>
      <c r="CW210" s="1557">
        <f t="shared" si="656"/>
        <v>24643.362724019997</v>
      </c>
      <c r="CX210" s="1557">
        <f t="shared" si="656"/>
        <v>24811.708928999993</v>
      </c>
      <c r="CY210" s="1557">
        <f t="shared" si="656"/>
        <v>26305.242308769994</v>
      </c>
      <c r="CZ210" s="1557">
        <f t="shared" si="656"/>
        <v>25048.098226809998</v>
      </c>
      <c r="DA210" s="1557">
        <f t="shared" si="656"/>
        <v>23213.221982829997</v>
      </c>
      <c r="DB210" s="1557">
        <f t="shared" si="656"/>
        <v>21439.630735829996</v>
      </c>
      <c r="DC210" s="1557">
        <f t="shared" si="656"/>
        <v>20867.429218929996</v>
      </c>
      <c r="DD210" s="1557">
        <f t="shared" si="656"/>
        <v>21373.290471759996</v>
      </c>
      <c r="DE210" s="1557">
        <f t="shared" si="656"/>
        <v>21981.513610609996</v>
      </c>
      <c r="DF210" s="1557">
        <f>+DF194+DF196</f>
        <v>22339.825254029995</v>
      </c>
      <c r="DG210" s="1557">
        <f t="shared" ref="DG210:DH210" si="657">+DG194+DG196</f>
        <v>22192.565351859994</v>
      </c>
      <c r="DH210" s="1557">
        <f t="shared" si="657"/>
        <v>22110.087692109992</v>
      </c>
      <c r="DJ210" s="1557" t="e">
        <f t="shared" ref="DJ210:FU210" si="658">+DJ194+DJ196</f>
        <v>#VALUE!</v>
      </c>
      <c r="DK210" s="1557" t="e">
        <f t="shared" si="658"/>
        <v>#VALUE!</v>
      </c>
      <c r="DL210" s="1557" t="e">
        <f t="shared" si="658"/>
        <v>#VALUE!</v>
      </c>
      <c r="DM210" s="1557" t="e">
        <f t="shared" si="658"/>
        <v>#VALUE!</v>
      </c>
      <c r="DN210" s="1557" t="e">
        <f t="shared" si="658"/>
        <v>#VALUE!</v>
      </c>
      <c r="DO210" s="1557" t="e">
        <f t="shared" si="658"/>
        <v>#VALUE!</v>
      </c>
      <c r="DP210" s="1557" t="e">
        <f t="shared" si="658"/>
        <v>#VALUE!</v>
      </c>
      <c r="DQ210" s="1557" t="e">
        <f t="shared" si="658"/>
        <v>#VALUE!</v>
      </c>
      <c r="DR210" s="1557" t="e">
        <f t="shared" si="658"/>
        <v>#VALUE!</v>
      </c>
      <c r="DS210" s="1557" t="e">
        <f t="shared" si="658"/>
        <v>#VALUE!</v>
      </c>
      <c r="DT210" s="1557" t="e">
        <f t="shared" si="658"/>
        <v>#VALUE!</v>
      </c>
      <c r="DU210" s="1557" t="e">
        <f t="shared" si="658"/>
        <v>#VALUE!</v>
      </c>
      <c r="DV210" s="279"/>
      <c r="DW210" s="1557">
        <f t="shared" si="658"/>
        <v>29174.37721070855</v>
      </c>
      <c r="DX210" s="1557">
        <f t="shared" si="658"/>
        <v>32993.527724701591</v>
      </c>
      <c r="DY210" s="1557">
        <f t="shared" si="658"/>
        <v>32537.969409555975</v>
      </c>
      <c r="DZ210" s="1557">
        <f t="shared" si="658"/>
        <v>28531.213748001108</v>
      </c>
      <c r="EA210" s="1557">
        <f t="shared" si="658"/>
        <v>28484.738744934126</v>
      </c>
      <c r="EB210" s="1557">
        <f t="shared" si="658"/>
        <v>29046.512594084859</v>
      </c>
      <c r="EC210" s="1557">
        <f t="shared" si="658"/>
        <v>27429.459321026421</v>
      </c>
      <c r="ED210" s="1557">
        <f t="shared" si="658"/>
        <v>29972.727795232455</v>
      </c>
      <c r="EE210" s="1557">
        <f t="shared" si="658"/>
        <v>30907.28031593957</v>
      </c>
      <c r="EF210" s="1557">
        <f t="shared" si="658"/>
        <v>32928.125578556283</v>
      </c>
      <c r="EG210" s="1557">
        <f t="shared" si="658"/>
        <v>31038.224297716697</v>
      </c>
      <c r="EH210" s="1557">
        <f t="shared" si="658"/>
        <v>33081.279135422039</v>
      </c>
      <c r="EI210" s="1557">
        <f t="shared" si="658"/>
        <v>24074.515355902367</v>
      </c>
      <c r="EJ210" s="1557">
        <f t="shared" si="658"/>
        <v>23281.85500143034</v>
      </c>
      <c r="EK210" s="1557">
        <f t="shared" si="658"/>
        <v>22823.588487671106</v>
      </c>
      <c r="EL210" s="1557">
        <f t="shared" si="658"/>
        <v>24130.911735460104</v>
      </c>
      <c r="EM210" s="1557">
        <f t="shared" si="658"/>
        <v>23725.128281750036</v>
      </c>
      <c r="EN210" s="1557">
        <f t="shared" si="658"/>
        <v>23755.442434677665</v>
      </c>
      <c r="EO210" s="1557">
        <f t="shared" si="658"/>
        <v>23693.484180220221</v>
      </c>
      <c r="EP210" s="1557">
        <f t="shared" si="658"/>
        <v>24077.018072080853</v>
      </c>
      <c r="EQ210" s="1557">
        <f t="shared" si="658"/>
        <v>24407.024149606696</v>
      </c>
      <c r="ER210" s="1557">
        <f t="shared" si="658"/>
        <v>24750.689583300315</v>
      </c>
      <c r="ES210" s="1557">
        <f t="shared" si="658"/>
        <v>24828.645238349625</v>
      </c>
      <c r="ET210" s="1557">
        <f t="shared" si="658"/>
        <v>24486.487746734303</v>
      </c>
      <c r="EU210" s="1557">
        <f t="shared" si="658"/>
        <v>20469.19835673345</v>
      </c>
      <c r="EV210" s="1557">
        <f t="shared" si="658"/>
        <v>20703.953034798098</v>
      </c>
      <c r="EW210" s="1557">
        <f t="shared" si="658"/>
        <v>21076.487409149871</v>
      </c>
      <c r="EX210" s="1557">
        <f t="shared" si="658"/>
        <v>21194.900873686373</v>
      </c>
      <c r="EY210" s="1557">
        <f t="shared" si="658"/>
        <v>21529.281899294932</v>
      </c>
      <c r="EZ210" s="1557">
        <f t="shared" si="658"/>
        <v>21757.915066483809</v>
      </c>
      <c r="FA210" s="1557">
        <f t="shared" si="658"/>
        <v>22115.82128515737</v>
      </c>
      <c r="FB210" s="1557">
        <f t="shared" si="658"/>
        <v>21962.845179160584</v>
      </c>
      <c r="FC210" s="1557">
        <f t="shared" si="658"/>
        <v>21674.923191638598</v>
      </c>
      <c r="FD210" s="1557">
        <f t="shared" si="658"/>
        <v>21354.099438261997</v>
      </c>
      <c r="FE210" s="1557">
        <f t="shared" si="658"/>
        <v>21172.183268453155</v>
      </c>
      <c r="FF210" s="1557">
        <f t="shared" si="658"/>
        <v>20930.50697036615</v>
      </c>
      <c r="FG210" s="1557" t="e">
        <f t="shared" si="658"/>
        <v>#VALUE!</v>
      </c>
      <c r="FH210" s="1557" t="e">
        <f t="shared" si="658"/>
        <v>#VALUE!</v>
      </c>
      <c r="FI210" s="1557" t="e">
        <f t="shared" si="658"/>
        <v>#VALUE!</v>
      </c>
      <c r="FJ210" s="1557" t="e">
        <f t="shared" si="658"/>
        <v>#VALUE!</v>
      </c>
      <c r="FK210" s="1557" t="e">
        <f t="shared" si="658"/>
        <v>#VALUE!</v>
      </c>
      <c r="FL210" s="1557" t="e">
        <f t="shared" si="658"/>
        <v>#VALUE!</v>
      </c>
      <c r="FM210" s="1557" t="e">
        <f t="shared" si="658"/>
        <v>#VALUE!</v>
      </c>
      <c r="FN210" s="1557" t="e">
        <f t="shared" si="658"/>
        <v>#VALUE!</v>
      </c>
      <c r="FO210" s="1557" t="e">
        <f t="shared" si="658"/>
        <v>#VALUE!</v>
      </c>
      <c r="FP210" s="1557" t="e">
        <f t="shared" si="658"/>
        <v>#VALUE!</v>
      </c>
      <c r="FQ210" s="1557" t="e">
        <f t="shared" si="658"/>
        <v>#VALUE!</v>
      </c>
      <c r="FR210" s="1557" t="e">
        <f t="shared" si="658"/>
        <v>#VALUE!</v>
      </c>
      <c r="FS210" s="1557" t="e">
        <f t="shared" si="658"/>
        <v>#VALUE!</v>
      </c>
      <c r="FT210" s="1557" t="e">
        <f t="shared" si="658"/>
        <v>#VALUE!</v>
      </c>
      <c r="FU210" s="1557" t="e">
        <f t="shared" si="658"/>
        <v>#VALUE!</v>
      </c>
      <c r="FV210" s="1557" t="e">
        <f t="shared" ref="FV210:GD210" si="659">+FV194+FV196</f>
        <v>#VALUE!</v>
      </c>
      <c r="FW210" s="1557" t="e">
        <f t="shared" si="659"/>
        <v>#VALUE!</v>
      </c>
      <c r="FX210" s="1557" t="e">
        <f t="shared" si="659"/>
        <v>#VALUE!</v>
      </c>
      <c r="FY210" s="1557" t="e">
        <f t="shared" si="659"/>
        <v>#VALUE!</v>
      </c>
      <c r="FZ210" s="1557" t="e">
        <f t="shared" si="659"/>
        <v>#VALUE!</v>
      </c>
      <c r="GA210" s="1557" t="e">
        <f t="shared" si="659"/>
        <v>#VALUE!</v>
      </c>
      <c r="GB210" s="1557" t="e">
        <f t="shared" si="659"/>
        <v>#VALUE!</v>
      </c>
      <c r="GC210" s="1557" t="e">
        <f t="shared" si="659"/>
        <v>#VALUE!</v>
      </c>
      <c r="GD210" s="1557" t="e">
        <f t="shared" si="659"/>
        <v>#VALUE!</v>
      </c>
      <c r="GF210" s="1557">
        <f>+SUMIFS($E210:$AZ210,$E$6:$AZ$6,GF$7,$E$5:$AZ$5,12)</f>
        <v>19139.088902480005</v>
      </c>
      <c r="GG210" s="1557">
        <f>+SUMIFS($E210:$AZ210,$E$6:$AZ$6,GG$7,$E$5:$AZ$5,12)</f>
        <v>23012.309137390002</v>
      </c>
      <c r="GH210" s="1557">
        <f>+SUMIFS($E210:$AZ210,$E$6:$AZ$6,GH$7,$E$5:$AZ$5,12)</f>
        <v>32909.200578130003</v>
      </c>
      <c r="GI210" s="1557">
        <f>+SUMIFS($E210:$AZ210,$E$6:$AZ$6,GI$7,$E$5:$AZ$5,12)</f>
        <v>27423.452831980001</v>
      </c>
      <c r="GJ210" s="1557">
        <f t="shared" si="575"/>
        <v>20677.934842410003</v>
      </c>
      <c r="GK210" s="1557">
        <f t="shared" si="565"/>
        <v>21402.207952309996</v>
      </c>
      <c r="GL210" s="1557">
        <f t="shared" si="571"/>
        <v>22007.51954419</v>
      </c>
      <c r="GM210" s="1557">
        <f t="shared" si="566"/>
        <v>24646.056420939996</v>
      </c>
      <c r="GN210" s="1557" t="e">
        <f t="shared" si="567"/>
        <v>#VALUE!</v>
      </c>
      <c r="GO210" s="1557">
        <v>22110.087692109992</v>
      </c>
      <c r="GQ210" s="1559">
        <f t="shared" ref="GQ210:GV210" si="660">+IFERROR(GH210/GG210-1,"")</f>
        <v>0.43006946333167861</v>
      </c>
      <c r="GR210" s="1559">
        <f t="shared" si="660"/>
        <v>-0.16669343678301285</v>
      </c>
      <c r="GS210" s="1559">
        <f t="shared" si="660"/>
        <v>-0.24597624635011961</v>
      </c>
      <c r="GT210" s="1559">
        <f t="shared" si="660"/>
        <v>3.5026375478006022E-2</v>
      </c>
      <c r="GU210" s="1559">
        <f t="shared" si="660"/>
        <v>2.8282670331435167E-2</v>
      </c>
      <c r="GV210" s="1559">
        <f t="shared" si="660"/>
        <v>0.11989251544009516</v>
      </c>
      <c r="GW210" s="1559" t="str">
        <f t="shared" si="623"/>
        <v/>
      </c>
      <c r="GX210" s="1559" t="str">
        <f t="shared" si="623"/>
        <v/>
      </c>
      <c r="GY210" s="1559">
        <f t="shared" si="647"/>
        <v>-0.10289551746198933</v>
      </c>
      <c r="HA210" s="1557">
        <f>+GH210-GG210</f>
        <v>9896.8914407400007</v>
      </c>
      <c r="HB210" s="1557">
        <f>+GI210-GH210</f>
        <v>-5485.7477461500021</v>
      </c>
      <c r="HC210" s="1557">
        <f>+GJ210-GI210</f>
        <v>-6745.5179895699985</v>
      </c>
      <c r="HD210" s="1557">
        <f t="shared" ref="HD210:HG210" si="661">+GK210-GJ210</f>
        <v>724.27310989999387</v>
      </c>
      <c r="HE210" s="1557">
        <f t="shared" si="661"/>
        <v>605.31159188000311</v>
      </c>
      <c r="HF210" s="1557">
        <f t="shared" si="661"/>
        <v>2638.5368767499967</v>
      </c>
      <c r="HG210" s="1557" t="e">
        <f t="shared" si="661"/>
        <v>#VALUE!</v>
      </c>
      <c r="HH210" s="1557" t="e">
        <f>+GO210-GN210</f>
        <v>#VALUE!</v>
      </c>
      <c r="HI210" s="1557">
        <f t="shared" si="648"/>
        <v>-2535.9687288300047</v>
      </c>
      <c r="HK210" s="1548"/>
      <c r="HL210" s="1548"/>
      <c r="HM210" s="1548"/>
      <c r="HN210" s="1548"/>
      <c r="HO210" s="1548"/>
      <c r="HP210" s="1548"/>
      <c r="HQ210" s="1548"/>
      <c r="HR210" s="1548"/>
      <c r="HS210" s="1548"/>
      <c r="HU210" s="1557">
        <f>+IFERROR(SUMIFS($E210:$AZ210,$E$6:$AZ$6,HU$7,$E$5:$AZ$5,$HW$5),"NA")</f>
        <v>14400.456024260002</v>
      </c>
      <c r="HV210" s="1557">
        <f>+IFERROR(SUMIFS($E210:$AZ210,$E$6:$AZ$6,HV$7,$E$5:$AZ$5,$HW$5),"NA")</f>
        <v>16748.039628229995</v>
      </c>
      <c r="HW210" s="1557">
        <f>+IFERROR(SUMIFS($E210:$AZ210,$E$6:$AZ$6,HW$7,$E$5:$AZ$5,$HW$5),"NA")</f>
        <v>21210.570443201199</v>
      </c>
      <c r="HX210" s="1557">
        <f>+IFERROR(SUMIFS($E210:$AZ210,$E$6:$AZ$6,HX$7,$E$5:$AZ$5,$HW$5),"NA")</f>
        <v>27412.102041989994</v>
      </c>
      <c r="HY210" s="1557">
        <f>+IFERROR(SUMIFS($E210:$BX210,$E$6:$BX$6,HY$7,$E$5:$BX$5,$HW$5),"NA")</f>
        <v>21730.640044619999</v>
      </c>
      <c r="HZ210" s="1557">
        <f>+IFERROR(SUMIFS($E210:$BX210,$E$6:$BX$6,HZ$7,$E$5:$BX$5,$HW$5),"NA")</f>
        <v>21717.630840339996</v>
      </c>
      <c r="IA210" s="1557">
        <f>+IFERROR(SUMIFS($E210:$CJ210,$E$6:$CJ$6,IA$7,$E$5:$CJ$5,$HW$5),"NA")</f>
        <v>20206.772990999998</v>
      </c>
      <c r="IB210" s="1557">
        <f>+IFERROR(SUMIFS($E210:$CV210,$E$6:$CV$6,IB$7,$E$5:$CV$5,$HW$5),"NA")</f>
        <v>23065.722959399998</v>
      </c>
      <c r="IC210" s="1557">
        <f>+IFERROR(SUMIFS($E210:$DH210,$E$6:$DH$6,IC$7,$E$5:$DH$5,$HW$5),"NA")</f>
        <v>21439.630735829996</v>
      </c>
      <c r="ID210" s="1557" t="e">
        <f t="shared" si="568"/>
        <v>#VALUE!</v>
      </c>
      <c r="IE210" s="1557" t="e">
        <f>+SUMIF($DJ$5:$DU$5,"="&amp;$HW$5,$DJ210:$DU210)</f>
        <v>#VALUE!</v>
      </c>
      <c r="IF210" s="95"/>
      <c r="IG210" s="1557" t="e">
        <f t="shared" si="533"/>
        <v>#VALUE!</v>
      </c>
      <c r="IH210" s="1557" t="e">
        <f t="shared" si="534"/>
        <v>#VALUE!</v>
      </c>
      <c r="II210" s="939"/>
      <c r="IJ210" s="1559" t="str">
        <f>+IFERROR(IG210/IH210,"NA")</f>
        <v>NA</v>
      </c>
      <c r="IK210" s="1560" t="str">
        <f>+IFERROR(IG210-IH210,"NA")</f>
        <v>NA</v>
      </c>
      <c r="IM210" s="973"/>
      <c r="IN210" s="973"/>
      <c r="IP210" s="1561">
        <f t="shared" si="537"/>
        <v>0.26645093479772375</v>
      </c>
      <c r="IQ210" s="1561">
        <f t="shared" si="537"/>
        <v>0.29237929339975022</v>
      </c>
      <c r="IR210" s="1561">
        <f t="shared" si="537"/>
        <v>-0.20726108448987612</v>
      </c>
      <c r="IS210" s="1561">
        <f>+IFERROR(HZ210/HY210-1,"NA")</f>
        <v>-5.9865720721019589E-4</v>
      </c>
      <c r="IT210" s="1561">
        <f>+IFERROR(IA210/HZ210-1,"NA")</f>
        <v>-6.9568262783692547E-2</v>
      </c>
      <c r="IU210" s="1561">
        <f>+IFERROR(IB210/IA210-1,"NA")</f>
        <v>0.14148473730433664</v>
      </c>
      <c r="IV210" s="1561" t="str">
        <f>+IFERROR(IE210/IB210-1,"NA")</f>
        <v>NA</v>
      </c>
      <c r="IX210" s="1557">
        <f t="shared" si="632"/>
        <v>4462.5308149712037</v>
      </c>
      <c r="IY210" s="1557">
        <f t="shared" si="632"/>
        <v>6201.5315987887952</v>
      </c>
      <c r="IZ210" s="1557">
        <f>+HY210-HX210</f>
        <v>-5681.4619973699955</v>
      </c>
      <c r="JA210" s="1557">
        <f>+HZ210-HY210</f>
        <v>-13.00920428000245</v>
      </c>
      <c r="JB210" s="1557">
        <f>+IA210-HZ210</f>
        <v>-1510.8578493399982</v>
      </c>
      <c r="JC210" s="1557">
        <f>+IB210-IA210</f>
        <v>2858.9499684000002</v>
      </c>
      <c r="JD210" s="1557" t="e">
        <f>+IE210-IB210</f>
        <v>#VALUE!</v>
      </c>
      <c r="JF210" s="1548"/>
      <c r="JG210" s="1548"/>
      <c r="JH210" s="1548"/>
      <c r="JI210" s="1548"/>
      <c r="JJ210" s="1548"/>
      <c r="JK210" s="1548"/>
      <c r="JL210" s="1548"/>
      <c r="JM210" s="1548"/>
      <c r="JO210" s="1557">
        <f>+SUMIFS($E210:$BX210,$E$6:$BX$6,JO$7,$E$5:$BX$5,$JQ$5)</f>
        <v>14400.456024260002</v>
      </c>
      <c r="JP210" s="1557">
        <f>+SUMIFS($E210:$BX210,$E$6:$BX$6,JP$7,$E$5:$BX$5,$JQ$5)</f>
        <v>16748.039628229995</v>
      </c>
      <c r="JQ210" s="1557">
        <f>+SUMIFS($E210:$BX210,$E$6:$BX$6,JQ$7,$E$5:$BX$5,$JQ$5)</f>
        <v>21210.570443201199</v>
      </c>
      <c r="JR210" s="1557">
        <f>+SUMIFS($E210:$BX210,$E$6:$BX$6,JR$7,$E$5:$BX$5,$JQ$5)</f>
        <v>27412.102041989994</v>
      </c>
      <c r="JS210" s="1557">
        <f>+SUMIFS($E210:$BX210,$E$6:$BX$6,JS$7,$E$5:$BX$5,$JQ$5)</f>
        <v>21730.640044619999</v>
      </c>
      <c r="JT210" s="1557">
        <f>+SUMIFS($E210:$CJ210,$E$6:$CJ$6,JT$7,$E$5:$CJ$5,$JQ$5)</f>
        <v>21717.630840339996</v>
      </c>
      <c r="JU210" s="1557">
        <f>+SUMIFS($E210:$CV210,$E$6:$CV$6,JU$7,$E$5:$CV$5,$JQ$5)</f>
        <v>20206.772990999998</v>
      </c>
      <c r="JV210" s="1557">
        <f>+SUMIFS($E210:$DH210,$E$6:$DH$6,JV$7,$E$5:$DH$5,$JQ$5)</f>
        <v>23065.722959399998</v>
      </c>
      <c r="JW210" s="1557">
        <f>+SUMIFS($E210:$DH210,$E$6:$DH$6,JW$7,$E$5:$DH$5,$JQ$5)</f>
        <v>21439.630735829996</v>
      </c>
      <c r="JX210" s="1557" t="e">
        <f>+SUMIF($FS$5:$GD$5,$JQ$5,$FS210:$GD210)</f>
        <v>#VALUE!</v>
      </c>
      <c r="JY210" s="1557" t="e">
        <f>+SUMIF($DJ$5:$DU$5,$JQ$5,$DJ210:$DU210)</f>
        <v>#VALUE!</v>
      </c>
      <c r="KB210" s="1561">
        <f t="shared" ref="KB210:KG210" si="662">+IFERROR(JQ210/JP210-1," ")</f>
        <v>0.26645093479772375</v>
      </c>
      <c r="KC210" s="1561">
        <f t="shared" si="662"/>
        <v>0.29237929339975022</v>
      </c>
      <c r="KD210" s="1561">
        <f t="shared" si="662"/>
        <v>-0.20726108448987612</v>
      </c>
      <c r="KE210" s="1561">
        <f t="shared" si="662"/>
        <v>-5.9865720721019589E-4</v>
      </c>
      <c r="KF210" s="1561">
        <f t="shared" si="662"/>
        <v>-6.9568262783692547E-2</v>
      </c>
      <c r="KG210" s="1561">
        <f t="shared" si="662"/>
        <v>0.14148473730433664</v>
      </c>
      <c r="KH210" s="1561" t="str">
        <f t="shared" si="569"/>
        <v xml:space="preserve"> </v>
      </c>
      <c r="KJ210" s="1557">
        <f t="shared" ref="KJ210:KO210" si="663">+JQ210-JP210</f>
        <v>4462.5308149712037</v>
      </c>
      <c r="KK210" s="1557">
        <f t="shared" si="663"/>
        <v>6201.5315987887952</v>
      </c>
      <c r="KL210" s="1557">
        <f t="shared" si="663"/>
        <v>-5681.4619973699955</v>
      </c>
      <c r="KM210" s="1557">
        <f t="shared" si="663"/>
        <v>-13.00920428000245</v>
      </c>
      <c r="KN210" s="1557">
        <f t="shared" si="663"/>
        <v>-1510.8578493399982</v>
      </c>
      <c r="KO210" s="1557">
        <f t="shared" si="663"/>
        <v>2858.9499684000002</v>
      </c>
      <c r="KP210" s="1557" t="e">
        <f t="shared" si="570"/>
        <v>#VALUE!</v>
      </c>
      <c r="KR210" s="1548"/>
      <c r="KS210" s="1548"/>
      <c r="KT210" s="1548"/>
      <c r="KU210" s="1548"/>
      <c r="KV210" s="1548"/>
      <c r="KW210" s="1548"/>
      <c r="KX210" s="1548"/>
      <c r="KY210" s="1548"/>
      <c r="KZ210" s="1548"/>
    </row>
    <row r="211" spans="1:312">
      <c r="A211" s="657"/>
      <c r="B211" s="657"/>
      <c r="E211" s="88"/>
      <c r="F211" s="88"/>
      <c r="G211" s="88"/>
      <c r="H211" s="88"/>
      <c r="I211" s="88"/>
      <c r="J211" s="88"/>
      <c r="K211" s="88"/>
      <c r="L211" s="88"/>
      <c r="M211" s="88"/>
      <c r="N211" s="88"/>
      <c r="O211" s="88"/>
      <c r="P211" s="88"/>
      <c r="Q211" s="145"/>
      <c r="R211" s="88"/>
      <c r="S211" s="88"/>
      <c r="T211" s="88"/>
      <c r="U211" s="88"/>
      <c r="V211" s="88"/>
      <c r="W211" s="88"/>
      <c r="X211" s="88"/>
      <c r="Y211" s="88"/>
      <c r="Z211" s="88"/>
      <c r="AA211" s="88"/>
      <c r="AB211" s="88"/>
      <c r="AC211" s="145"/>
      <c r="AD211" s="145"/>
      <c r="AE211" s="145"/>
      <c r="AF211" s="145"/>
      <c r="AG211" s="145"/>
      <c r="AH211" s="145"/>
      <c r="AI211" s="145"/>
      <c r="AJ211" s="145"/>
      <c r="AL211" s="145"/>
      <c r="AM211" s="145"/>
      <c r="AN211" s="145"/>
      <c r="AO211" s="145"/>
      <c r="AP211" s="145"/>
      <c r="AQ211" s="220"/>
      <c r="AR211" s="220"/>
      <c r="AS211" s="145"/>
      <c r="AT211" s="145"/>
      <c r="AU211" s="145"/>
      <c r="AV211" s="145"/>
      <c r="AW211" s="145"/>
      <c r="AX211" s="145"/>
      <c r="AY211" s="145"/>
      <c r="AZ211" s="949"/>
      <c r="BA211" s="993"/>
      <c r="BB211" s="993"/>
      <c r="BC211" s="993"/>
      <c r="BD211" s="993"/>
      <c r="BE211" s="145"/>
      <c r="BF211" s="145"/>
      <c r="BG211" s="145"/>
      <c r="BH211" s="145"/>
      <c r="BI211" s="145"/>
      <c r="BJ211" s="145"/>
      <c r="BK211" s="145"/>
      <c r="BL211" s="145"/>
      <c r="BM211" s="963"/>
      <c r="BN211" s="145"/>
      <c r="BO211" s="145"/>
      <c r="BP211" s="963"/>
      <c r="BQ211" s="963"/>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J211" s="963"/>
      <c r="DK211" s="963"/>
      <c r="DL211" s="994"/>
      <c r="DM211" s="994"/>
      <c r="DN211" s="994"/>
      <c r="DO211" s="994"/>
      <c r="DP211" s="994"/>
      <c r="DQ211" s="994"/>
      <c r="DR211" s="994"/>
      <c r="DS211" s="994"/>
      <c r="DT211" s="994"/>
      <c r="DU211" s="994"/>
      <c r="DW211" s="145"/>
      <c r="DX211" s="145"/>
      <c r="DY211" s="145"/>
      <c r="DZ211" s="145"/>
      <c r="EA211" s="145"/>
      <c r="EB211" s="145"/>
      <c r="EC211" s="145"/>
      <c r="ED211" s="145"/>
      <c r="EE211" s="145"/>
      <c r="EF211" s="145"/>
      <c r="EG211" s="145"/>
      <c r="EH211" s="145"/>
      <c r="EI211" s="145"/>
      <c r="EJ211" s="145"/>
      <c r="EK211" s="145"/>
      <c r="EL211" s="145"/>
      <c r="EM211" s="145"/>
      <c r="EN211" s="145"/>
      <c r="EO211" s="145"/>
      <c r="EP211" s="145"/>
      <c r="EQ211" s="145"/>
      <c r="ER211" s="145"/>
      <c r="ES211" s="145"/>
      <c r="ET211" s="145"/>
      <c r="EU211" s="145"/>
      <c r="EV211" s="145"/>
      <c r="EW211" s="145"/>
      <c r="EX211" s="145"/>
      <c r="EY211" s="145"/>
      <c r="EZ211" s="145"/>
      <c r="FA211" s="145"/>
      <c r="FB211" s="145"/>
      <c r="FC211" s="145"/>
      <c r="FD211" s="145"/>
      <c r="FE211" s="145"/>
      <c r="FF211" s="145"/>
      <c r="FG211" s="145"/>
      <c r="FH211" s="145"/>
      <c r="FI211" s="145"/>
      <c r="FJ211" s="145"/>
      <c r="FK211" s="145"/>
      <c r="FL211" s="145"/>
      <c r="FM211" s="145"/>
      <c r="FN211" s="145"/>
      <c r="FO211" s="145"/>
      <c r="FP211" s="145"/>
      <c r="FQ211" s="145"/>
      <c r="FR211" s="145"/>
      <c r="FS211" s="145"/>
      <c r="FT211" s="145"/>
      <c r="FU211" s="145"/>
      <c r="FV211" s="145"/>
      <c r="FW211" s="145"/>
      <c r="FX211" s="145"/>
      <c r="FY211" s="145"/>
      <c r="FZ211" s="145"/>
      <c r="GA211" s="145"/>
      <c r="GB211" s="145"/>
      <c r="GC211" s="145"/>
      <c r="GD211" s="145"/>
      <c r="GF211" s="145"/>
      <c r="GJ211" s="916"/>
      <c r="GK211" s="916"/>
      <c r="GL211" s="916"/>
      <c r="GM211" s="916"/>
      <c r="GO211" s="920">
        <f>GO210-GO158</f>
        <v>-2.576760009105783E-3</v>
      </c>
      <c r="IF211" s="95"/>
      <c r="KP211" s="77">
        <f t="shared" si="570"/>
        <v>0</v>
      </c>
    </row>
    <row r="212" spans="1:312">
      <c r="A212" s="884" t="s">
        <v>194</v>
      </c>
      <c r="B212" s="53"/>
      <c r="C212" s="53"/>
      <c r="D212" s="53"/>
      <c r="E212" s="995">
        <f t="shared" ref="E212:BP212" si="664">E158-E194-E196</f>
        <v>0</v>
      </c>
      <c r="F212" s="995">
        <f t="shared" si="664"/>
        <v>0</v>
      </c>
      <c r="G212" s="995">
        <f t="shared" si="664"/>
        <v>0</v>
      </c>
      <c r="H212" s="995">
        <f t="shared" si="664"/>
        <v>0</v>
      </c>
      <c r="I212" s="995">
        <f t="shared" si="664"/>
        <v>0</v>
      </c>
      <c r="J212" s="995">
        <f t="shared" si="664"/>
        <v>0</v>
      </c>
      <c r="K212" s="995">
        <f t="shared" si="664"/>
        <v>0</v>
      </c>
      <c r="L212" s="995">
        <f t="shared" si="664"/>
        <v>0</v>
      </c>
      <c r="M212" s="995">
        <f t="shared" si="664"/>
        <v>0</v>
      </c>
      <c r="N212" s="995">
        <f t="shared" si="664"/>
        <v>0</v>
      </c>
      <c r="O212" s="995">
        <f t="shared" si="664"/>
        <v>0</v>
      </c>
      <c r="P212" s="995">
        <f t="shared" si="664"/>
        <v>0</v>
      </c>
      <c r="Q212" s="995">
        <f t="shared" si="664"/>
        <v>-71.149375999997574</v>
      </c>
      <c r="R212" s="995">
        <f t="shared" si="664"/>
        <v>-71.149375999997574</v>
      </c>
      <c r="S212" s="995">
        <f t="shared" si="664"/>
        <v>1.6240000004472677E-3</v>
      </c>
      <c r="T212" s="995">
        <f t="shared" si="664"/>
        <v>1.6239999968092889E-3</v>
      </c>
      <c r="U212" s="995">
        <f t="shared" si="664"/>
        <v>1.6239999986282783E-3</v>
      </c>
      <c r="V212" s="995">
        <f t="shared" si="664"/>
        <v>1.6240000040852465E-3</v>
      </c>
      <c r="W212" s="995">
        <f t="shared" si="664"/>
        <v>1.6240000095422147E-3</v>
      </c>
      <c r="X212" s="995">
        <f t="shared" si="664"/>
        <v>0</v>
      </c>
      <c r="Y212" s="995">
        <f t="shared" si="664"/>
        <v>0</v>
      </c>
      <c r="Z212" s="995">
        <f t="shared" si="664"/>
        <v>0</v>
      </c>
      <c r="AA212" s="995">
        <f t="shared" si="664"/>
        <v>0</v>
      </c>
      <c r="AB212" s="995">
        <f t="shared" si="664"/>
        <v>0</v>
      </c>
      <c r="AC212" s="995">
        <f t="shared" si="664"/>
        <v>0</v>
      </c>
      <c r="AD212" s="995">
        <f t="shared" si="664"/>
        <v>1.0022631613537669E-9</v>
      </c>
      <c r="AE212" s="995">
        <f t="shared" si="664"/>
        <v>9.9862518254667521E-10</v>
      </c>
      <c r="AF212" s="995">
        <f t="shared" si="664"/>
        <v>-8.998540579341352E-9</v>
      </c>
      <c r="AG212" s="995">
        <f t="shared" si="664"/>
        <v>-1.2005330063402653E-9</v>
      </c>
      <c r="AH212" s="995">
        <f t="shared" si="664"/>
        <v>-1.2005330063402653E-9</v>
      </c>
      <c r="AI212" s="995">
        <f t="shared" si="664"/>
        <v>-3.3996911952272058E-9</v>
      </c>
      <c r="AJ212" s="995">
        <f t="shared" si="664"/>
        <v>-9.5988070825114846E-9</v>
      </c>
      <c r="AK212" s="995">
        <f t="shared" si="664"/>
        <v>-4.9985828809440136E-9</v>
      </c>
      <c r="AL212" s="995">
        <f t="shared" si="664"/>
        <v>-7.8016455518081784E-9</v>
      </c>
      <c r="AM212" s="995">
        <f t="shared" si="664"/>
        <v>0</v>
      </c>
      <c r="AN212" s="995">
        <f t="shared" si="664"/>
        <v>0</v>
      </c>
      <c r="AO212" s="995">
        <f t="shared" si="664"/>
        <v>0</v>
      </c>
      <c r="AP212" s="995">
        <f t="shared" si="664"/>
        <v>0</v>
      </c>
      <c r="AQ212" s="995">
        <f t="shared" si="664"/>
        <v>0</v>
      </c>
      <c r="AR212" s="995">
        <f t="shared" si="664"/>
        <v>0</v>
      </c>
      <c r="AS212" s="995">
        <f t="shared" si="664"/>
        <v>0</v>
      </c>
      <c r="AT212" s="995">
        <f t="shared" si="664"/>
        <v>0</v>
      </c>
      <c r="AU212" s="995">
        <f t="shared" si="664"/>
        <v>0</v>
      </c>
      <c r="AV212" s="995">
        <f t="shared" si="664"/>
        <v>0</v>
      </c>
      <c r="AW212" s="995">
        <f t="shared" si="664"/>
        <v>0</v>
      </c>
      <c r="AX212" s="995">
        <f t="shared" si="664"/>
        <v>0</v>
      </c>
      <c r="AY212" s="995">
        <f t="shared" si="664"/>
        <v>0</v>
      </c>
      <c r="AZ212" s="995">
        <f t="shared" si="664"/>
        <v>0</v>
      </c>
      <c r="BA212" s="995">
        <f t="shared" si="664"/>
        <v>-6.3359995692735538E-5</v>
      </c>
      <c r="BB212" s="995">
        <f t="shared" si="664"/>
        <v>-6.3649998992332257E-5</v>
      </c>
      <c r="BC212" s="995">
        <f t="shared" si="664"/>
        <v>-6.2449997130897827E-5</v>
      </c>
      <c r="BD212" s="995">
        <f t="shared" si="664"/>
        <v>-6.2610004533780739E-5</v>
      </c>
      <c r="BE212" s="995">
        <f t="shared" si="664"/>
        <v>-6.2609999076812528E-5</v>
      </c>
      <c r="BF212" s="995">
        <f t="shared" si="664"/>
        <v>-6.2610000895801932E-5</v>
      </c>
      <c r="BG212" s="995">
        <f t="shared" si="664"/>
        <v>-6.2610004533780739E-5</v>
      </c>
      <c r="BH212" s="995">
        <f t="shared" si="664"/>
        <v>-6.2479995904141106E-5</v>
      </c>
      <c r="BI212" s="995">
        <f t="shared" si="664"/>
        <v>-6.3100002080318518E-5</v>
      </c>
      <c r="BJ212" s="995">
        <f t="shared" si="664"/>
        <v>-6.2640003307024017E-5</v>
      </c>
      <c r="BK212" s="995">
        <f t="shared" si="664"/>
        <v>-6.2179999076761305E-5</v>
      </c>
      <c r="BL212" s="995">
        <f t="shared" si="664"/>
        <v>-0.15153480000299169</v>
      </c>
      <c r="BM212" s="996">
        <f t="shared" si="664"/>
        <v>0</v>
      </c>
      <c r="BN212" s="996">
        <f t="shared" si="664"/>
        <v>0</v>
      </c>
      <c r="BO212" s="996">
        <f t="shared" si="664"/>
        <v>0</v>
      </c>
      <c r="BP212" s="996">
        <f t="shared" si="664"/>
        <v>0</v>
      </c>
      <c r="BQ212" s="996">
        <f t="shared" ref="BQ212:DH212" si="665">BQ158-BQ194-BQ196</f>
        <v>0</v>
      </c>
      <c r="BR212" s="996">
        <f t="shared" si="665"/>
        <v>0</v>
      </c>
      <c r="BS212" s="996">
        <f t="shared" si="665"/>
        <v>0</v>
      </c>
      <c r="BT212" s="996">
        <f t="shared" si="665"/>
        <v>0</v>
      </c>
      <c r="BU212" s="996">
        <f t="shared" si="665"/>
        <v>0</v>
      </c>
      <c r="BV212" s="996">
        <f t="shared" si="665"/>
        <v>0</v>
      </c>
      <c r="BW212" s="996">
        <f t="shared" si="665"/>
        <v>0</v>
      </c>
      <c r="BX212" s="996">
        <f t="shared" si="665"/>
        <v>0</v>
      </c>
      <c r="BY212" s="997">
        <f t="shared" si="665"/>
        <v>0</v>
      </c>
      <c r="BZ212" s="997">
        <f t="shared" si="665"/>
        <v>0</v>
      </c>
      <c r="CA212" s="997">
        <f t="shared" si="665"/>
        <v>0</v>
      </c>
      <c r="CB212" s="997">
        <f t="shared" si="665"/>
        <v>0</v>
      </c>
      <c r="CC212" s="997">
        <f t="shared" si="665"/>
        <v>0</v>
      </c>
      <c r="CD212" s="997">
        <f t="shared" si="665"/>
        <v>0</v>
      </c>
      <c r="CE212" s="997">
        <f t="shared" si="665"/>
        <v>0</v>
      </c>
      <c r="CF212" s="997">
        <f t="shared" si="665"/>
        <v>0</v>
      </c>
      <c r="CG212" s="997">
        <f t="shared" si="665"/>
        <v>0</v>
      </c>
      <c r="CH212" s="997">
        <f t="shared" si="665"/>
        <v>0</v>
      </c>
      <c r="CI212" s="997">
        <f t="shared" si="665"/>
        <v>0</v>
      </c>
      <c r="CJ212" s="997">
        <f t="shared" si="665"/>
        <v>0</v>
      </c>
      <c r="CK212" s="997">
        <f t="shared" si="665"/>
        <v>0</v>
      </c>
      <c r="CL212" s="997">
        <f t="shared" si="665"/>
        <v>0</v>
      </c>
      <c r="CM212" s="997">
        <f t="shared" si="665"/>
        <v>0</v>
      </c>
      <c r="CN212" s="997">
        <f t="shared" si="665"/>
        <v>0</v>
      </c>
      <c r="CO212" s="997">
        <f t="shared" si="665"/>
        <v>0</v>
      </c>
      <c r="CP212" s="998">
        <f t="shared" si="665"/>
        <v>0</v>
      </c>
      <c r="CQ212" s="998">
        <f t="shared" si="665"/>
        <v>0</v>
      </c>
      <c r="CR212" s="998">
        <f t="shared" si="665"/>
        <v>0</v>
      </c>
      <c r="CS212" s="998">
        <f t="shared" si="665"/>
        <v>0</v>
      </c>
      <c r="CT212" s="998">
        <f t="shared" si="665"/>
        <v>0</v>
      </c>
      <c r="CU212" s="998">
        <f t="shared" si="665"/>
        <v>0</v>
      </c>
      <c r="CV212" s="998">
        <f t="shared" si="665"/>
        <v>0</v>
      </c>
      <c r="CW212" s="1162">
        <f t="shared" si="665"/>
        <v>0</v>
      </c>
      <c r="CX212" s="1162">
        <f t="shared" si="665"/>
        <v>5.7468600043648621E-3</v>
      </c>
      <c r="CY212" s="1162">
        <f t="shared" si="665"/>
        <v>4.1519100032019196E-3</v>
      </c>
      <c r="CZ212" s="1162">
        <f t="shared" si="665"/>
        <v>4.1519100013829302E-3</v>
      </c>
      <c r="DA212" s="1162">
        <f t="shared" si="665"/>
        <v>2.5767600054678041E-3</v>
      </c>
      <c r="DB212" s="1162">
        <f t="shared" si="665"/>
        <v>2.5767600018298253E-3</v>
      </c>
      <c r="DC212" s="1162">
        <f t="shared" si="665"/>
        <v>2.5767600054678041E-3</v>
      </c>
      <c r="DD212" s="1162">
        <f t="shared" si="665"/>
        <v>2.5767600018298253E-3</v>
      </c>
      <c r="DE212" s="1162">
        <f t="shared" si="665"/>
        <v>2.5767600018298253E-3</v>
      </c>
      <c r="DF212" s="1162">
        <f t="shared" si="665"/>
        <v>2.5767600036488147E-3</v>
      </c>
      <c r="DG212" s="1162">
        <f t="shared" si="665"/>
        <v>2.5767600072867936E-3</v>
      </c>
      <c r="DH212" s="1162">
        <f t="shared" si="665"/>
        <v>2.5767600072867936E-3</v>
      </c>
      <c r="DI212" s="999"/>
      <c r="DJ212" s="1085" t="e">
        <f t="shared" ref="DJ212:FU212" si="666">ROUND(+(DJ109+DJ129-DJ160-DJ182-DJ196)*1000000,0)</f>
        <v>#VALUE!</v>
      </c>
      <c r="DK212" s="1085" t="e">
        <f t="shared" si="666"/>
        <v>#VALUE!</v>
      </c>
      <c r="DL212" s="1085" t="e">
        <f t="shared" si="666"/>
        <v>#VALUE!</v>
      </c>
      <c r="DM212" s="1085" t="e">
        <f t="shared" si="666"/>
        <v>#VALUE!</v>
      </c>
      <c r="DN212" s="1085" t="e">
        <f t="shared" si="666"/>
        <v>#VALUE!</v>
      </c>
      <c r="DO212" s="1085" t="e">
        <f t="shared" si="666"/>
        <v>#VALUE!</v>
      </c>
      <c r="DP212" s="1085" t="e">
        <f t="shared" si="666"/>
        <v>#VALUE!</v>
      </c>
      <c r="DQ212" s="1085" t="e">
        <f t="shared" si="666"/>
        <v>#VALUE!</v>
      </c>
      <c r="DR212" s="1085" t="e">
        <f t="shared" si="666"/>
        <v>#VALUE!</v>
      </c>
      <c r="DS212" s="1085" t="e">
        <f t="shared" si="666"/>
        <v>#VALUE!</v>
      </c>
      <c r="DT212" s="1085" t="e">
        <f t="shared" si="666"/>
        <v>#VALUE!</v>
      </c>
      <c r="DU212" s="1085" t="e">
        <f t="shared" si="666"/>
        <v>#VALUE!</v>
      </c>
      <c r="DW212" s="1000">
        <f t="shared" si="666"/>
        <v>0</v>
      </c>
      <c r="DX212" s="1000">
        <f t="shared" si="666"/>
        <v>0</v>
      </c>
      <c r="DY212" s="1000">
        <f t="shared" si="666"/>
        <v>0</v>
      </c>
      <c r="DZ212" s="1000">
        <f t="shared" si="666"/>
        <v>0</v>
      </c>
      <c r="EA212" s="1000">
        <f t="shared" si="666"/>
        <v>0</v>
      </c>
      <c r="EB212" s="1000">
        <f t="shared" si="666"/>
        <v>0</v>
      </c>
      <c r="EC212" s="1000">
        <f t="shared" si="666"/>
        <v>0</v>
      </c>
      <c r="ED212" s="1000">
        <f t="shared" si="666"/>
        <v>0</v>
      </c>
      <c r="EE212" s="1000">
        <f t="shared" si="666"/>
        <v>0</v>
      </c>
      <c r="EF212" s="1000">
        <f t="shared" si="666"/>
        <v>0</v>
      </c>
      <c r="EG212" s="1000">
        <f t="shared" si="666"/>
        <v>0</v>
      </c>
      <c r="EH212" s="1000">
        <f t="shared" si="666"/>
        <v>0</v>
      </c>
      <c r="EI212" s="1000">
        <f t="shared" si="666"/>
        <v>0</v>
      </c>
      <c r="EJ212" s="1000">
        <f t="shared" si="666"/>
        <v>0</v>
      </c>
      <c r="EK212" s="1000">
        <f t="shared" si="666"/>
        <v>0</v>
      </c>
      <c r="EL212" s="1000">
        <f t="shared" si="666"/>
        <v>0</v>
      </c>
      <c r="EM212" s="1000">
        <f t="shared" si="666"/>
        <v>0</v>
      </c>
      <c r="EN212" s="1000">
        <f t="shared" si="666"/>
        <v>0</v>
      </c>
      <c r="EO212" s="1000">
        <f t="shared" si="666"/>
        <v>0</v>
      </c>
      <c r="EP212" s="1000">
        <f t="shared" si="666"/>
        <v>0</v>
      </c>
      <c r="EQ212" s="1000">
        <f t="shared" si="666"/>
        <v>0</v>
      </c>
      <c r="ER212" s="1000">
        <f t="shared" si="666"/>
        <v>0</v>
      </c>
      <c r="ES212" s="1000">
        <f t="shared" si="666"/>
        <v>0</v>
      </c>
      <c r="ET212" s="1000">
        <f t="shared" si="666"/>
        <v>0</v>
      </c>
      <c r="EU212" s="1000">
        <f t="shared" si="666"/>
        <v>0</v>
      </c>
      <c r="EV212" s="1000">
        <f t="shared" si="666"/>
        <v>0</v>
      </c>
      <c r="EW212" s="1000">
        <f t="shared" si="666"/>
        <v>0</v>
      </c>
      <c r="EX212" s="1000">
        <f t="shared" si="666"/>
        <v>0</v>
      </c>
      <c r="EY212" s="1000">
        <f t="shared" si="666"/>
        <v>0</v>
      </c>
      <c r="EZ212" s="1000">
        <f t="shared" si="666"/>
        <v>0</v>
      </c>
      <c r="FA212" s="1000">
        <f t="shared" si="666"/>
        <v>0</v>
      </c>
      <c r="FB212" s="1000">
        <f t="shared" si="666"/>
        <v>0</v>
      </c>
      <c r="FC212" s="1000">
        <f t="shared" si="666"/>
        <v>0</v>
      </c>
      <c r="FD212" s="1000">
        <f t="shared" si="666"/>
        <v>0</v>
      </c>
      <c r="FE212" s="1000">
        <f t="shared" si="666"/>
        <v>0</v>
      </c>
      <c r="FF212" s="1000">
        <f t="shared" si="666"/>
        <v>0</v>
      </c>
      <c r="FG212" s="1001" t="e">
        <f t="shared" si="666"/>
        <v>#VALUE!</v>
      </c>
      <c r="FH212" s="1001" t="e">
        <f t="shared" si="666"/>
        <v>#VALUE!</v>
      </c>
      <c r="FI212" s="1001" t="e">
        <f t="shared" si="666"/>
        <v>#VALUE!</v>
      </c>
      <c r="FJ212" s="1001" t="e">
        <f t="shared" si="666"/>
        <v>#VALUE!</v>
      </c>
      <c r="FK212" s="1001" t="e">
        <f t="shared" si="666"/>
        <v>#VALUE!</v>
      </c>
      <c r="FL212" s="1001" t="e">
        <f t="shared" si="666"/>
        <v>#VALUE!</v>
      </c>
      <c r="FM212" s="1001" t="e">
        <f t="shared" si="666"/>
        <v>#VALUE!</v>
      </c>
      <c r="FN212" s="1001" t="e">
        <f t="shared" si="666"/>
        <v>#VALUE!</v>
      </c>
      <c r="FO212" s="1001" t="e">
        <f t="shared" si="666"/>
        <v>#VALUE!</v>
      </c>
      <c r="FP212" s="1001" t="e">
        <f t="shared" si="666"/>
        <v>#VALUE!</v>
      </c>
      <c r="FQ212" s="1001" t="e">
        <f t="shared" si="666"/>
        <v>#VALUE!</v>
      </c>
      <c r="FR212" s="1001" t="e">
        <f t="shared" si="666"/>
        <v>#VALUE!</v>
      </c>
      <c r="FS212" s="1001" t="e">
        <f t="shared" si="666"/>
        <v>#VALUE!</v>
      </c>
      <c r="FT212" s="1001" t="e">
        <f t="shared" si="666"/>
        <v>#VALUE!</v>
      </c>
      <c r="FU212" s="1001" t="e">
        <f t="shared" si="666"/>
        <v>#VALUE!</v>
      </c>
      <c r="FV212" s="1001" t="e">
        <f t="shared" ref="FV212:GD212" si="667">ROUND(+(FV109+FV129-FV160-FV182-FV196)*1000000,0)</f>
        <v>#VALUE!</v>
      </c>
      <c r="FW212" s="1001" t="e">
        <f t="shared" si="667"/>
        <v>#VALUE!</v>
      </c>
      <c r="FX212" s="1001" t="e">
        <f t="shared" si="667"/>
        <v>#VALUE!</v>
      </c>
      <c r="FY212" s="1001" t="e">
        <f t="shared" si="667"/>
        <v>#VALUE!</v>
      </c>
      <c r="FZ212" s="1001" t="e">
        <f t="shared" si="667"/>
        <v>#VALUE!</v>
      </c>
      <c r="GA212" s="1001" t="e">
        <f t="shared" si="667"/>
        <v>#VALUE!</v>
      </c>
      <c r="GB212" s="1001" t="e">
        <f t="shared" si="667"/>
        <v>#VALUE!</v>
      </c>
      <c r="GC212" s="1001" t="e">
        <f t="shared" si="667"/>
        <v>#VALUE!</v>
      </c>
      <c r="GD212" s="1001" t="e">
        <f t="shared" si="667"/>
        <v>#VALUE!</v>
      </c>
      <c r="GE212" s="999"/>
      <c r="GF212" s="1000">
        <f>ROUND(+(GF109+GF129-GF160-GF182-GF196)*1000000,0)</f>
        <v>0</v>
      </c>
      <c r="GG212" s="1000">
        <f>ROUND(+(GG109+GG129-GG160-GG182-GG196)*1000000,0)</f>
        <v>0</v>
      </c>
      <c r="GH212" s="1000">
        <f>ROUND(+(GH109+GH129-GH160-GH182-GH196)*1000000,0)</f>
        <v>0</v>
      </c>
      <c r="GI212" s="1000">
        <f>ROUND(+(GI109+GI129-GI160-GI182-GI196)*1000000,0)</f>
        <v>0</v>
      </c>
      <c r="GJ212" s="1000">
        <f t="shared" si="575"/>
        <v>-0.15153480000299169</v>
      </c>
      <c r="GK212" s="1000">
        <f t="shared" si="575"/>
        <v>0</v>
      </c>
      <c r="GL212" s="1000">
        <f>+SUMIFS($E212:$CJ212,$E$6:$CJ$6,GL$7,$E$5:$CJ$5,12)</f>
        <v>0</v>
      </c>
      <c r="GM212" s="1000">
        <f t="shared" ref="GM212" si="668">+SUMIFS($E212:$CJ212,$E$6:$CJ$6,GM$7,$E$5:$CJ$5,12)</f>
        <v>0</v>
      </c>
      <c r="GN212" s="1000">
        <f>+SUM(EU212:FF212)</f>
        <v>0</v>
      </c>
      <c r="GO212" s="1000"/>
      <c r="GP212" s="1000"/>
      <c r="GQ212" s="1000"/>
      <c r="GR212" s="1000"/>
      <c r="GS212" s="1000"/>
      <c r="GT212" s="1000"/>
      <c r="GU212" s="1000"/>
      <c r="GV212" s="1000"/>
      <c r="GW212" s="1000"/>
      <c r="GX212" s="1000"/>
      <c r="GY212" s="1000"/>
      <c r="GZ212" s="1000"/>
      <c r="HA212" s="1000"/>
      <c r="HB212" s="1000"/>
      <c r="HC212" s="1000"/>
      <c r="HD212" s="1000"/>
      <c r="HE212" s="1000"/>
      <c r="HF212" s="1000"/>
      <c r="HG212" s="1000"/>
      <c r="HH212" s="1000"/>
      <c r="HI212" s="1000"/>
      <c r="HJ212" s="1000"/>
      <c r="HK212" s="1000"/>
      <c r="HL212" s="1000"/>
      <c r="HM212" s="1000"/>
      <c r="HN212" s="1000"/>
      <c r="HO212" s="1000"/>
      <c r="HP212" s="1000"/>
      <c r="HQ212" s="1000"/>
      <c r="HR212" s="1000"/>
      <c r="HS212" s="1000"/>
      <c r="HT212" s="999"/>
      <c r="HU212" s="1000">
        <f t="shared" ref="HU212:IE212" si="669">+HU158-HU210</f>
        <v>0</v>
      </c>
      <c r="HV212" s="1000">
        <f t="shared" si="669"/>
        <v>1.6240000040852465E-3</v>
      </c>
      <c r="HW212" s="1000">
        <f t="shared" si="669"/>
        <v>-1.2005330063402653E-9</v>
      </c>
      <c r="HX212" s="1000">
        <f t="shared" si="669"/>
        <v>0</v>
      </c>
      <c r="HY212" s="1000">
        <f t="shared" si="669"/>
        <v>-6.2610000895801932E-5</v>
      </c>
      <c r="HZ212" s="1000">
        <f t="shared" si="669"/>
        <v>0</v>
      </c>
      <c r="IA212" s="1000">
        <f t="shared" si="669"/>
        <v>0</v>
      </c>
      <c r="IB212" s="1000">
        <f t="shared" si="669"/>
        <v>0</v>
      </c>
      <c r="IC212" s="1000">
        <f t="shared" si="669"/>
        <v>2.5767600018298253E-3</v>
      </c>
      <c r="ID212" s="1000" t="e">
        <f t="shared" si="669"/>
        <v>#VALUE!</v>
      </c>
      <c r="IE212" s="1000" t="e">
        <f t="shared" si="669"/>
        <v>#VALUE!</v>
      </c>
      <c r="IF212" s="1002"/>
      <c r="IG212" s="1000" t="e">
        <f>+IG158-IG210</f>
        <v>#VALUE!</v>
      </c>
      <c r="IH212" s="1000" t="e">
        <f>+IH158-IH210</f>
        <v>#VALUE!</v>
      </c>
      <c r="II212" s="999"/>
      <c r="IN212" s="1000"/>
      <c r="JO212" s="1000">
        <f t="shared" ref="JO212:JY212" si="670">+JO158-JO210</f>
        <v>0</v>
      </c>
      <c r="JP212" s="1000">
        <f t="shared" si="670"/>
        <v>1.6240000040852465E-3</v>
      </c>
      <c r="JQ212" s="1000">
        <f t="shared" si="670"/>
        <v>-1.2005330063402653E-9</v>
      </c>
      <c r="JR212" s="1000">
        <f t="shared" si="670"/>
        <v>0</v>
      </c>
      <c r="JS212" s="1000">
        <f t="shared" si="670"/>
        <v>-6.2610000895801932E-5</v>
      </c>
      <c r="JT212" s="1000">
        <f t="shared" si="670"/>
        <v>0</v>
      </c>
      <c r="JU212" s="1000">
        <f t="shared" si="670"/>
        <v>0</v>
      </c>
      <c r="JV212" s="1000">
        <f t="shared" si="670"/>
        <v>0</v>
      </c>
      <c r="JW212" s="1000">
        <f t="shared" si="670"/>
        <v>2.5767600018298253E-3</v>
      </c>
      <c r="JX212" s="1000" t="e">
        <f>+JX158-JX210</f>
        <v>#VALUE!</v>
      </c>
      <c r="JY212" s="1000" t="e">
        <f t="shared" si="670"/>
        <v>#VALUE!</v>
      </c>
    </row>
    <row r="213" spans="1:312">
      <c r="A213" s="884"/>
      <c r="B213" s="53"/>
      <c r="C213" s="53"/>
      <c r="D213" s="53"/>
      <c r="E213" s="995"/>
      <c r="F213" s="995"/>
      <c r="G213" s="995"/>
      <c r="H213" s="995"/>
      <c r="I213" s="995"/>
      <c r="J213" s="995"/>
      <c r="K213" s="995"/>
      <c r="L213" s="995"/>
      <c r="M213" s="995"/>
      <c r="N213" s="995"/>
      <c r="O213" s="995"/>
      <c r="P213" s="995"/>
      <c r="Q213" s="1000"/>
      <c r="R213" s="995"/>
      <c r="S213" s="995"/>
      <c r="T213" s="995"/>
      <c r="U213" s="995"/>
      <c r="V213" s="995"/>
      <c r="W213" s="995"/>
      <c r="X213" s="995"/>
      <c r="Y213" s="995"/>
      <c r="Z213" s="995"/>
      <c r="AA213" s="995"/>
      <c r="AB213" s="995"/>
      <c r="AC213" s="1000"/>
      <c r="AD213" s="1000"/>
      <c r="AE213" s="1000"/>
      <c r="AF213" s="1000"/>
      <c r="AG213" s="1000"/>
      <c r="AH213" s="1000"/>
      <c r="AI213" s="1000"/>
      <c r="AJ213" s="1000"/>
      <c r="AO213" s="77"/>
      <c r="AP213" s="77"/>
      <c r="AR213" s="657"/>
      <c r="AU213" s="77"/>
      <c r="AV213" s="972"/>
      <c r="AW213" s="972"/>
      <c r="AX213" s="972"/>
      <c r="AY213" s="972"/>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c r="CU213" s="77"/>
      <c r="CV213" s="77"/>
      <c r="CW213" s="77"/>
      <c r="CX213" s="77"/>
      <c r="CY213" s="77"/>
      <c r="CZ213" s="77"/>
      <c r="DA213" s="77"/>
      <c r="DB213" s="77"/>
      <c r="DC213" s="77"/>
      <c r="DD213" s="77"/>
      <c r="DE213" s="77"/>
      <c r="DF213" s="77"/>
      <c r="DG213" s="77"/>
      <c r="DH213" s="77"/>
      <c r="DW213" s="77"/>
      <c r="DX213" s="77"/>
      <c r="DY213" s="77"/>
      <c r="DZ213" s="77"/>
      <c r="EA213" s="77"/>
      <c r="EB213" s="77"/>
      <c r="EC213" s="77"/>
      <c r="ED213" s="77"/>
      <c r="EE213" s="77"/>
      <c r="EF213" s="77"/>
      <c r="EG213" s="77"/>
      <c r="EH213" s="77"/>
      <c r="EI213" s="77"/>
      <c r="EJ213" s="77"/>
      <c r="EK213" s="77"/>
      <c r="EL213" s="77"/>
      <c r="EM213" s="77"/>
      <c r="EN213" s="77"/>
      <c r="EO213" s="77"/>
      <c r="EP213" s="77"/>
      <c r="EQ213" s="77"/>
      <c r="ER213" s="77"/>
      <c r="ES213" s="77"/>
      <c r="ET213" s="77"/>
      <c r="EU213" s="77"/>
      <c r="EV213" s="77"/>
      <c r="EW213" s="77"/>
      <c r="EX213" s="77"/>
      <c r="EY213" s="77"/>
      <c r="EZ213" s="77"/>
      <c r="FA213" s="77"/>
      <c r="FB213" s="77"/>
      <c r="FC213" s="77"/>
      <c r="FD213" s="77"/>
      <c r="FE213" s="77"/>
      <c r="FF213" s="77"/>
      <c r="FG213" s="77"/>
      <c r="FH213" s="77"/>
      <c r="FI213" s="77"/>
      <c r="FJ213" s="77"/>
      <c r="FK213" s="77"/>
      <c r="FL213" s="77"/>
      <c r="FM213" s="77"/>
      <c r="FN213" s="77"/>
      <c r="FO213" s="77"/>
      <c r="FP213" s="77"/>
      <c r="FQ213" s="77"/>
      <c r="FR213" s="77"/>
      <c r="FS213" s="77"/>
      <c r="FT213" s="77"/>
      <c r="FU213" s="77"/>
      <c r="FV213" s="77"/>
      <c r="FW213" s="77"/>
      <c r="FX213" s="77"/>
      <c r="FY213" s="77"/>
      <c r="FZ213" s="77"/>
      <c r="GA213" s="77"/>
      <c r="GB213" s="77"/>
      <c r="GC213" s="77"/>
      <c r="GD213" s="77"/>
    </row>
    <row r="214" spans="1:312">
      <c r="A214" s="917" t="s">
        <v>618</v>
      </c>
      <c r="C214" s="1003" t="s">
        <v>766</v>
      </c>
      <c r="AR214" s="657"/>
      <c r="AV214" s="972"/>
      <c r="AW214" s="972"/>
      <c r="AX214" s="972"/>
      <c r="AY214" s="972"/>
      <c r="DQ214" s="972"/>
      <c r="DU214" s="972"/>
    </row>
    <row r="215" spans="1:312" ht="15" thickBot="1">
      <c r="A215" s="867"/>
      <c r="C215" s="1004" t="s">
        <v>89</v>
      </c>
      <c r="D215" s="662"/>
      <c r="E215" s="1005"/>
      <c r="F215" s="1005"/>
      <c r="G215" s="1005"/>
      <c r="H215" s="1005"/>
      <c r="I215" s="1005"/>
      <c r="J215" s="1005"/>
      <c r="K215" s="1005"/>
      <c r="L215" s="1005"/>
      <c r="M215" s="1005"/>
      <c r="N215" s="1005"/>
      <c r="O215" s="1005"/>
      <c r="P215" s="1005"/>
      <c r="Q215" s="1005"/>
      <c r="R215" s="1005"/>
      <c r="S215" s="1005"/>
      <c r="T215" s="1005"/>
      <c r="U215" s="1005"/>
      <c r="V215" s="1005"/>
      <c r="W215" s="1005"/>
      <c r="X215" s="1005"/>
      <c r="Y215" s="1005"/>
      <c r="Z215" s="1005"/>
      <c r="AA215" s="1005"/>
      <c r="AB215" s="1005"/>
      <c r="AC215" s="1005"/>
      <c r="AD215" s="1005"/>
      <c r="AE215" s="1005"/>
      <c r="AF215" s="1005"/>
      <c r="AG215" s="1005"/>
      <c r="AH215" s="1005"/>
      <c r="AI215" s="1005"/>
      <c r="AJ215" s="1005"/>
      <c r="AK215" s="1005"/>
      <c r="AL215" s="1005"/>
      <c r="AM215" s="1005"/>
      <c r="AN215" s="1005"/>
      <c r="AO215" s="1006">
        <v>1182.6425198700003</v>
      </c>
      <c r="AP215" s="1006">
        <v>-502.45394305999992</v>
      </c>
      <c r="AQ215" s="1006">
        <v>-115.84278654000025</v>
      </c>
      <c r="AR215" s="1006">
        <v>-279.20173565000027</v>
      </c>
      <c r="AS215" s="1006">
        <v>-1193.8856324500002</v>
      </c>
      <c r="AT215" s="1006">
        <v>-896.8379936</v>
      </c>
      <c r="AU215" s="1006">
        <v>64.577150560000405</v>
      </c>
      <c r="AV215" s="1006">
        <v>117.15924510000002</v>
      </c>
      <c r="AW215" s="1006">
        <v>99.175554559999568</v>
      </c>
      <c r="AX215" s="1006">
        <v>165.92813243000001</v>
      </c>
      <c r="AY215" s="1006">
        <v>-477.05186212000012</v>
      </c>
      <c r="AZ215" s="1006">
        <v>-709.14602855999976</v>
      </c>
      <c r="BA215" s="1006">
        <v>-85.18649240000002</v>
      </c>
      <c r="BB215" s="1006">
        <v>-486.73272715000007</v>
      </c>
      <c r="BC215" s="1006">
        <v>-612.62095697000007</v>
      </c>
      <c r="BD215" s="1006">
        <v>-551.92600721000008</v>
      </c>
      <c r="BE215" s="1006">
        <v>-303.62123017000005</v>
      </c>
      <c r="BF215" s="1006">
        <v>-625.75990720000004</v>
      </c>
      <c r="BG215" s="1006">
        <v>-255.60210060000006</v>
      </c>
      <c r="BH215" s="1006">
        <v>-41.503246360000134</v>
      </c>
      <c r="BI215" s="1006">
        <v>-273.82705851000014</v>
      </c>
      <c r="BJ215" s="1006">
        <v>-155.15025009999994</v>
      </c>
      <c r="BK215" s="1006">
        <v>262.10076186000003</v>
      </c>
      <c r="BL215" s="1006">
        <v>318.45397365000019</v>
      </c>
      <c r="BM215" s="1006">
        <f t="shared" ref="BM215:DH215" si="671">+BM60</f>
        <v>284.99773750999992</v>
      </c>
      <c r="BN215" s="1006">
        <f t="shared" si="671"/>
        <v>274.87844790999998</v>
      </c>
      <c r="BO215" s="1006">
        <f t="shared" si="671"/>
        <v>274.09652492999993</v>
      </c>
      <c r="BP215" s="1006">
        <f t="shared" si="671"/>
        <v>491.81107157000031</v>
      </c>
      <c r="BQ215" s="1006">
        <f t="shared" si="671"/>
        <v>101.0106898599999</v>
      </c>
      <c r="BR215" s="1006">
        <f t="shared" si="671"/>
        <v>214.58035303000005</v>
      </c>
      <c r="BS215" s="1006">
        <f t="shared" si="671"/>
        <v>199.57417014000006</v>
      </c>
      <c r="BT215" s="1006">
        <f t="shared" si="671"/>
        <v>244.65305585000016</v>
      </c>
      <c r="BU215" s="1006">
        <f t="shared" si="671"/>
        <v>149.61818370000015</v>
      </c>
      <c r="BV215" s="1006">
        <f t="shared" si="671"/>
        <v>402.43456421999974</v>
      </c>
      <c r="BW215" s="1006">
        <f t="shared" si="671"/>
        <v>416.45949804000037</v>
      </c>
      <c r="BX215" s="1006">
        <f t="shared" si="671"/>
        <v>87.972332930000277</v>
      </c>
      <c r="BY215" s="1007">
        <f t="shared" si="671"/>
        <v>88.905493470000096</v>
      </c>
      <c r="BZ215" s="1007">
        <f t="shared" si="671"/>
        <v>127.08420186000018</v>
      </c>
      <c r="CA215" s="1007">
        <f t="shared" si="671"/>
        <v>122.08167013000011</v>
      </c>
      <c r="CB215" s="1007">
        <f t="shared" si="671"/>
        <v>9.0989087200000824</v>
      </c>
      <c r="CC215" s="1007">
        <f t="shared" si="671"/>
        <v>-47.546363889999924</v>
      </c>
      <c r="CD215" s="1007">
        <f t="shared" si="671"/>
        <v>61.99229477999981</v>
      </c>
      <c r="CE215" s="1007">
        <f t="shared" si="671"/>
        <v>-47.182758750000062</v>
      </c>
      <c r="CF215" s="1007">
        <f t="shared" si="671"/>
        <v>586.86624984000025</v>
      </c>
      <c r="CG215" s="1007">
        <f t="shared" si="671"/>
        <v>69.60389392999997</v>
      </c>
      <c r="CH215" s="1007">
        <f t="shared" si="671"/>
        <v>219.79665008000018</v>
      </c>
      <c r="CI215" s="1007">
        <f t="shared" si="671"/>
        <v>613.85130763000006</v>
      </c>
      <c r="CJ215" s="1007">
        <f t="shared" si="671"/>
        <v>232.11366712999984</v>
      </c>
      <c r="CK215" s="1007">
        <f t="shared" si="671"/>
        <v>239.36214853999965</v>
      </c>
      <c r="CL215" s="1007">
        <f t="shared" si="671"/>
        <v>42.08422452999983</v>
      </c>
      <c r="CM215" s="1007">
        <f t="shared" si="671"/>
        <v>509.51494679000001</v>
      </c>
      <c r="CN215" s="1007">
        <f t="shared" si="671"/>
        <v>238.32084363999996</v>
      </c>
      <c r="CO215" s="1007">
        <f t="shared" si="671"/>
        <v>504.47375250999983</v>
      </c>
      <c r="CP215" s="1007">
        <f t="shared" si="671"/>
        <v>161.1802761199998</v>
      </c>
      <c r="CQ215" s="1007">
        <f t="shared" si="671"/>
        <v>235.32571399000005</v>
      </c>
      <c r="CR215" s="1007">
        <f t="shared" si="671"/>
        <v>402.38942390000011</v>
      </c>
      <c r="CS215" s="1007">
        <f t="shared" si="671"/>
        <v>454.89161486999978</v>
      </c>
      <c r="CT215" s="1007">
        <f t="shared" si="671"/>
        <v>801.0160215100002</v>
      </c>
      <c r="CU215" s="1007">
        <f t="shared" si="671"/>
        <v>485.8993579800001</v>
      </c>
      <c r="CV215" s="1007">
        <f t="shared" si="671"/>
        <v>164.42237050999967</v>
      </c>
      <c r="CW215" s="1007">
        <f t="shared" si="671"/>
        <v>461.04943822000007</v>
      </c>
      <c r="CX215" s="1007">
        <f t="shared" si="671"/>
        <v>247.6483856399995</v>
      </c>
      <c r="CY215" s="1007">
        <f t="shared" si="671"/>
        <v>679.93169352000041</v>
      </c>
      <c r="CZ215" s="1007">
        <f t="shared" si="671"/>
        <v>-73.111713319999836</v>
      </c>
      <c r="DA215" s="1007">
        <f t="shared" si="671"/>
        <v>31.676613550000098</v>
      </c>
      <c r="DB215" s="1007">
        <f t="shared" si="671"/>
        <v>-201.98600461000004</v>
      </c>
      <c r="DC215" s="1007">
        <f t="shared" si="671"/>
        <v>-218.01837403999997</v>
      </c>
      <c r="DD215" s="1007">
        <f t="shared" si="671"/>
        <v>333.00444980000009</v>
      </c>
      <c r="DE215" s="1007">
        <f t="shared" si="671"/>
        <v>245.11800161999989</v>
      </c>
      <c r="DF215" s="1007">
        <f t="shared" si="671"/>
        <v>391.95039173000004</v>
      </c>
      <c r="DG215" s="1007">
        <f t="shared" si="671"/>
        <v>-41.539388670000221</v>
      </c>
      <c r="DH215" s="1007">
        <f t="shared" si="671"/>
        <v>152.48098350999987</v>
      </c>
      <c r="DJ215" s="1008"/>
      <c r="DK215" s="1008"/>
      <c r="DL215" s="1008"/>
      <c r="DM215" s="1008"/>
      <c r="DN215" s="1008"/>
      <c r="DO215" s="1008"/>
      <c r="DP215" s="1008"/>
      <c r="DQ215" s="1008"/>
      <c r="DR215" s="1006"/>
      <c r="DS215" s="1006"/>
      <c r="DT215" s="1006"/>
      <c r="DU215" s="1006"/>
      <c r="DW215" s="1008">
        <v>622.14621517750743</v>
      </c>
      <c r="DX215" s="1008">
        <v>-334.30978869575904</v>
      </c>
      <c r="DY215" s="1008">
        <v>-237.03258232916494</v>
      </c>
      <c r="DZ215" s="1006">
        <v>679.73743309430438</v>
      </c>
      <c r="EA215" s="1006">
        <v>341.29701632089694</v>
      </c>
      <c r="EB215" s="1006">
        <v>543.28880961178197</v>
      </c>
      <c r="EC215" s="1006">
        <v>1387.7846263757888</v>
      </c>
      <c r="ED215" s="1006">
        <v>2209.845037548117</v>
      </c>
      <c r="EE215" s="1006">
        <v>1396.2980447035595</v>
      </c>
      <c r="EF215" s="1006">
        <v>1637.0219075590401</v>
      </c>
      <c r="EG215" s="1006">
        <v>1468.0107791037726</v>
      </c>
      <c r="EH215" s="1006">
        <v>1066.8667048574132</v>
      </c>
      <c r="EI215" s="1008">
        <f t="shared" ref="EI215:FF215" si="672">+EI60</f>
        <v>-182.82359112956044</v>
      </c>
      <c r="EJ215" s="1008">
        <f t="shared" si="672"/>
        <v>-45.584436750366365</v>
      </c>
      <c r="EK215" s="1008">
        <f t="shared" si="672"/>
        <v>-29.45856852470331</v>
      </c>
      <c r="EL215" s="1006">
        <f t="shared" si="672"/>
        <v>-97.639009168528958</v>
      </c>
      <c r="EM215" s="1006">
        <f t="shared" si="672"/>
        <v>109.24490857162789</v>
      </c>
      <c r="EN215" s="1006">
        <f t="shared" si="672"/>
        <v>320.89010179358502</v>
      </c>
      <c r="EO215" s="1006">
        <f t="shared" si="672"/>
        <v>383.86049724361192</v>
      </c>
      <c r="EP215" s="1006">
        <f t="shared" si="672"/>
        <v>453.85232322619459</v>
      </c>
      <c r="EQ215" s="1006">
        <f t="shared" si="672"/>
        <v>419.57474811203338</v>
      </c>
      <c r="ER215" s="1006">
        <f t="shared" si="672"/>
        <v>478.60959561466711</v>
      </c>
      <c r="ES215" s="1006">
        <f t="shared" si="672"/>
        <v>369.93309816674247</v>
      </c>
      <c r="ET215" s="1006">
        <f t="shared" si="672"/>
        <v>170.06329953912251</v>
      </c>
      <c r="EU215" s="1008">
        <f t="shared" si="672"/>
        <v>135.05859800000002</v>
      </c>
      <c r="EV215" s="1008">
        <f t="shared" si="672"/>
        <v>336.8367549100002</v>
      </c>
      <c r="EW215" s="1008">
        <f t="shared" si="672"/>
        <v>341.36084599999981</v>
      </c>
      <c r="EX215" s="1006">
        <f t="shared" si="672"/>
        <v>297.18355891000004</v>
      </c>
      <c r="EY215" s="1006">
        <f t="shared" si="672"/>
        <v>314.96711791000018</v>
      </c>
      <c r="EZ215" s="1006">
        <f t="shared" si="672"/>
        <v>282.30310291000006</v>
      </c>
      <c r="FA215" s="1006">
        <f t="shared" si="672"/>
        <v>307.20153890999984</v>
      </c>
      <c r="FB215" s="1006">
        <f t="shared" si="672"/>
        <v>101.67076090999996</v>
      </c>
      <c r="FC215" s="1006">
        <f t="shared" si="672"/>
        <v>-6.2338200000000938</v>
      </c>
      <c r="FD215" s="1006">
        <f t="shared" si="672"/>
        <v>-83.64703609</v>
      </c>
      <c r="FE215" s="1006">
        <f t="shared" si="672"/>
        <v>-26.128150090000162</v>
      </c>
      <c r="FF215" s="1006">
        <f t="shared" si="672"/>
        <v>-82.266508000000073</v>
      </c>
      <c r="FG215" s="1006"/>
      <c r="FH215" s="1006"/>
      <c r="FI215" s="1006"/>
      <c r="FJ215" s="1006"/>
      <c r="FK215" s="1006"/>
      <c r="FL215" s="1006"/>
      <c r="FM215" s="1006"/>
      <c r="FN215" s="1006"/>
      <c r="FO215" s="1006"/>
      <c r="FP215" s="1006"/>
      <c r="FQ215" s="1006"/>
      <c r="FR215" s="1006"/>
      <c r="FS215" s="1006"/>
      <c r="FT215" s="1006"/>
      <c r="FU215" s="1006"/>
      <c r="FV215" s="1006"/>
      <c r="FW215" s="1006"/>
      <c r="FX215" s="1006"/>
      <c r="FY215" s="1006"/>
      <c r="FZ215" s="1006"/>
      <c r="GA215" s="1006"/>
      <c r="GB215" s="1006"/>
      <c r="GC215" s="1006"/>
      <c r="GD215" s="1006"/>
      <c r="GF215" s="1009"/>
      <c r="GG215" s="1009"/>
      <c r="GH215" s="1009"/>
      <c r="GI215" s="1009"/>
      <c r="GJ215" s="1009"/>
      <c r="GK215" s="1009"/>
      <c r="GL215" s="1009"/>
      <c r="GM215" s="1009"/>
      <c r="GN215" s="1009"/>
      <c r="GO215" s="1009"/>
      <c r="HU215" s="1009"/>
      <c r="HV215" s="1009"/>
      <c r="HW215" s="1009"/>
      <c r="HX215" s="1009"/>
      <c r="HY215" s="1009"/>
      <c r="HZ215" s="1009"/>
      <c r="IA215" s="1009"/>
      <c r="IB215" s="1009"/>
      <c r="IC215" s="1009"/>
      <c r="ID215" s="1009"/>
      <c r="IE215" s="1009"/>
      <c r="IP215" s="1009"/>
      <c r="IQ215" s="1009"/>
      <c r="IR215" s="1009"/>
      <c r="IS215" s="1009"/>
      <c r="IT215" s="1009"/>
      <c r="IU215" s="1009"/>
      <c r="IV215" s="1009"/>
      <c r="IX215" s="1009"/>
      <c r="IY215" s="1009"/>
      <c r="IZ215" s="1009"/>
      <c r="JA215" s="1009"/>
      <c r="JB215" s="1009"/>
      <c r="JC215" s="1009"/>
      <c r="JD215" s="1009"/>
      <c r="JO215" s="1009"/>
      <c r="JP215" s="1009"/>
      <c r="JQ215" s="1009"/>
      <c r="JR215" s="1009"/>
      <c r="JS215" s="1009"/>
      <c r="JT215" s="1009"/>
      <c r="JU215" s="1009"/>
      <c r="JV215" s="1009"/>
      <c r="JW215" s="1009"/>
      <c r="JX215" s="1009"/>
      <c r="JY215" s="1009"/>
      <c r="KB215" s="1009"/>
      <c r="KC215" s="1009"/>
      <c r="KD215" s="1009"/>
      <c r="KE215" s="1009"/>
      <c r="KF215" s="1009"/>
      <c r="KG215" s="1009"/>
      <c r="KH215" s="1009"/>
      <c r="KJ215" s="1009"/>
      <c r="KK215" s="1009"/>
      <c r="KL215" s="1009"/>
      <c r="KM215" s="1009"/>
      <c r="KN215" s="1009"/>
      <c r="KO215" s="1009"/>
      <c r="KP215" s="1009"/>
      <c r="KR215" s="1009"/>
      <c r="KS215" s="1009"/>
      <c r="KT215" s="1009"/>
      <c r="KU215" s="1009"/>
      <c r="KV215" s="1009"/>
      <c r="KW215" s="1009"/>
      <c r="KX215" s="1009"/>
      <c r="KY215" s="1009"/>
      <c r="KZ215" s="1009"/>
    </row>
    <row r="216" spans="1:312" ht="15" thickTop="1">
      <c r="A216" s="867"/>
      <c r="C216" s="1010" t="s">
        <v>767</v>
      </c>
      <c r="D216" s="662"/>
      <c r="E216" s="1011"/>
      <c r="F216" s="1011"/>
      <c r="G216" s="1011"/>
      <c r="H216" s="1011"/>
      <c r="I216" s="1011"/>
      <c r="J216" s="1011"/>
      <c r="K216" s="1011"/>
      <c r="L216" s="1011"/>
      <c r="M216" s="1011"/>
      <c r="N216" s="1011"/>
      <c r="O216" s="1011"/>
      <c r="P216" s="1011"/>
      <c r="Q216" s="1011"/>
      <c r="R216" s="1011"/>
      <c r="S216" s="1011"/>
      <c r="T216" s="1011"/>
      <c r="U216" s="1011"/>
      <c r="V216" s="1011"/>
      <c r="W216" s="1011"/>
      <c r="X216" s="1011"/>
      <c r="Y216" s="1011"/>
      <c r="Z216" s="1011"/>
      <c r="AA216" s="1011"/>
      <c r="AB216" s="1011"/>
      <c r="AC216" s="1011"/>
      <c r="AD216" s="1011"/>
      <c r="AE216" s="1011"/>
      <c r="AF216" s="1011"/>
      <c r="AG216" s="1011"/>
      <c r="AH216" s="1011"/>
      <c r="AI216" s="1011"/>
      <c r="AJ216" s="1011"/>
      <c r="AK216" s="1011"/>
      <c r="AL216" s="1011"/>
      <c r="AM216" s="1011"/>
      <c r="AN216" s="1011"/>
      <c r="AO216" s="873">
        <v>-38.67646263999896</v>
      </c>
      <c r="AP216" s="920">
        <v>-3559.3162761700028</v>
      </c>
      <c r="AQ216" s="1010">
        <v>-112.92521699999769</v>
      </c>
      <c r="AR216" s="1010">
        <v>-419.59703848000078</v>
      </c>
      <c r="AS216" s="873">
        <v>-452.54874905999804</v>
      </c>
      <c r="AT216" s="873">
        <v>2870.8404983700002</v>
      </c>
      <c r="AU216" s="873">
        <v>-35.954589920001922</v>
      </c>
      <c r="AV216" s="873">
        <v>-101.78064611999957</v>
      </c>
      <c r="AW216" s="873">
        <v>918.50350398000126</v>
      </c>
      <c r="AX216" s="873">
        <v>-92.279038200000599</v>
      </c>
      <c r="AY216" s="873">
        <v>-250.85020299999968</v>
      </c>
      <c r="AZ216" s="873">
        <v>5.4003566399999841</v>
      </c>
      <c r="BA216" s="873">
        <v>15.737443000002372</v>
      </c>
      <c r="BB216" s="873">
        <v>4.0925593200008166</v>
      </c>
      <c r="BC216" s="873">
        <v>14.961303520000115</v>
      </c>
      <c r="BD216" s="873">
        <v>1264.94295285</v>
      </c>
      <c r="BE216" s="873">
        <v>-164.88918677000038</v>
      </c>
      <c r="BF216" s="873">
        <v>-12.073455530000629</v>
      </c>
      <c r="BG216" s="873">
        <v>10.647527259999393</v>
      </c>
      <c r="BH216" s="873">
        <v>14.959467780000736</v>
      </c>
      <c r="BI216" s="873">
        <v>61.972401860000744</v>
      </c>
      <c r="BJ216" s="873">
        <v>5.1599538499984021</v>
      </c>
      <c r="BK216" s="873">
        <v>11.669987580001077</v>
      </c>
      <c r="BL216" s="873">
        <v>-22.353760299998882</v>
      </c>
      <c r="BM216" s="873">
        <f t="shared" ref="BM216:DH216" si="673">-BM131-BM148+BL131+BL148+BM64</f>
        <v>-336.99119606999818</v>
      </c>
      <c r="BN216" s="873">
        <f t="shared" si="673"/>
        <v>-6.6854200000014785</v>
      </c>
      <c r="BO216" s="873">
        <f t="shared" si="673"/>
        <v>-37.527826969999651</v>
      </c>
      <c r="BP216" s="873">
        <f t="shared" si="673"/>
        <v>-34.011229000000725</v>
      </c>
      <c r="BQ216" s="873">
        <f t="shared" si="673"/>
        <v>-27.447587059999201</v>
      </c>
      <c r="BR216" s="873">
        <f t="shared" si="673"/>
        <v>-36.36828500000118</v>
      </c>
      <c r="BS216" s="873">
        <f t="shared" si="673"/>
        <v>-34.111449999999216</v>
      </c>
      <c r="BT216" s="873">
        <f t="shared" si="673"/>
        <v>-12.516527780000359</v>
      </c>
      <c r="BU216" s="873">
        <f t="shared" si="673"/>
        <v>-23.633399999997771</v>
      </c>
      <c r="BV216" s="873">
        <f t="shared" si="673"/>
        <v>-25.726051230002476</v>
      </c>
      <c r="BW216" s="873">
        <f t="shared" si="673"/>
        <v>-71.081247729998779</v>
      </c>
      <c r="BX216" s="873">
        <f t="shared" si="673"/>
        <v>-77.99527406000135</v>
      </c>
      <c r="BY216" s="1012">
        <f t="shared" si="673"/>
        <v>-166.04385760000019</v>
      </c>
      <c r="BZ216" s="1012">
        <f t="shared" si="673"/>
        <v>-199.97985457999823</v>
      </c>
      <c r="CA216" s="1012">
        <f t="shared" si="673"/>
        <v>-216.00607800000097</v>
      </c>
      <c r="CB216" s="1012">
        <f t="shared" si="673"/>
        <v>-32.685908999999647</v>
      </c>
      <c r="CC216" s="1012">
        <f t="shared" si="673"/>
        <v>-35.449900750001774</v>
      </c>
      <c r="CD216" s="1012">
        <f t="shared" si="673"/>
        <v>-20.413090009999294</v>
      </c>
      <c r="CE216" s="1012">
        <f t="shared" si="673"/>
        <v>-110.00830968999936</v>
      </c>
      <c r="CF216" s="1012">
        <f t="shared" si="673"/>
        <v>-68.308337689999391</v>
      </c>
      <c r="CG216" s="1012">
        <f t="shared" si="673"/>
        <v>-119.75724093000117</v>
      </c>
      <c r="CH216" s="1012">
        <f t="shared" si="673"/>
        <v>-199.48889110000141</v>
      </c>
      <c r="CI216" s="1012">
        <f t="shared" si="673"/>
        <v>-268.45049636000078</v>
      </c>
      <c r="CJ216" s="1012">
        <f t="shared" si="673"/>
        <v>-141.13019540999852</v>
      </c>
      <c r="CK216" s="1012">
        <f t="shared" si="673"/>
        <v>-33.806595239999979</v>
      </c>
      <c r="CL216" s="1012">
        <f t="shared" si="673"/>
        <v>-87.457662079998016</v>
      </c>
      <c r="CM216" s="1012">
        <f t="shared" si="673"/>
        <v>-8.768074930002733</v>
      </c>
      <c r="CN216" s="1012">
        <f t="shared" si="673"/>
        <v>-39.259460750000272</v>
      </c>
      <c r="CO216" s="1012">
        <f t="shared" si="673"/>
        <v>-81.305840119997725</v>
      </c>
      <c r="CP216" s="1012">
        <f t="shared" si="673"/>
        <v>-198.51245062999959</v>
      </c>
      <c r="CQ216" s="1012">
        <f t="shared" si="673"/>
        <v>-87.28418907000119</v>
      </c>
      <c r="CR216" s="1012">
        <f t="shared" si="673"/>
        <v>-74.700494609996952</v>
      </c>
      <c r="CS216" s="1012">
        <f t="shared" si="673"/>
        <v>-17.843460770000171</v>
      </c>
      <c r="CT216" s="1012">
        <f t="shared" si="673"/>
        <v>-127.51877196000191</v>
      </c>
      <c r="CU216" s="1012">
        <f t="shared" si="673"/>
        <v>-102.63932080999764</v>
      </c>
      <c r="CV216" s="1012">
        <f t="shared" si="673"/>
        <v>-106.92994710000106</v>
      </c>
      <c r="CW216" s="1012">
        <f t="shared" si="673"/>
        <v>-15.918868530000196</v>
      </c>
      <c r="CX216" s="1012">
        <f t="shared" si="673"/>
        <v>-106.55366799999986</v>
      </c>
      <c r="CY216" s="1012">
        <f t="shared" si="673"/>
        <v>-103.06503900000038</v>
      </c>
      <c r="CZ216" s="1012">
        <f t="shared" si="673"/>
        <v>-23.928797000001303</v>
      </c>
      <c r="DA216" s="1012">
        <f t="shared" si="673"/>
        <v>-19.708026399999312</v>
      </c>
      <c r="DB216" s="1012">
        <f t="shared" si="673"/>
        <v>41.357230040000964</v>
      </c>
      <c r="DC216" s="1012">
        <f t="shared" si="673"/>
        <v>26.683835259998183</v>
      </c>
      <c r="DD216" s="1012">
        <f t="shared" si="673"/>
        <v>-57.784863949997089</v>
      </c>
      <c r="DE216" s="1012">
        <f t="shared" si="673"/>
        <v>-8.8994602200025668</v>
      </c>
      <c r="DF216" s="1012">
        <f t="shared" si="673"/>
        <v>3.2575459999964949</v>
      </c>
      <c r="DG216" s="1012">
        <f t="shared" si="673"/>
        <v>-56.849242000002228</v>
      </c>
      <c r="DH216" s="1012">
        <f t="shared" si="673"/>
        <v>-20.097753899998381</v>
      </c>
      <c r="DJ216" s="1010"/>
      <c r="DK216" s="1010"/>
      <c r="DL216" s="1010"/>
      <c r="DM216" s="1010"/>
      <c r="DN216" s="1010"/>
      <c r="DO216" s="1010"/>
      <c r="DP216" s="1010"/>
      <c r="DQ216" s="1010"/>
      <c r="DR216" s="873"/>
      <c r="DS216" s="873"/>
      <c r="DT216" s="873"/>
      <c r="DU216" s="873"/>
      <c r="DW216" s="1010">
        <v>898.83302715999878</v>
      </c>
      <c r="DX216" s="1010">
        <v>-5326.8533869999992</v>
      </c>
      <c r="DY216" s="1010">
        <v>-802.46076366666614</v>
      </c>
      <c r="DZ216" s="873">
        <v>-140.13466666666483</v>
      </c>
      <c r="EA216" s="873">
        <v>-624.90298566666763</v>
      </c>
      <c r="EB216" s="873">
        <v>987.36533333333364</v>
      </c>
      <c r="EC216" s="873">
        <v>-167.48466666666602</v>
      </c>
      <c r="ED216" s="873">
        <v>-105.08466666666766</v>
      </c>
      <c r="EE216" s="873">
        <v>-107.08466666666675</v>
      </c>
      <c r="EF216" s="873">
        <v>-165.08466666666757</v>
      </c>
      <c r="EG216" s="873">
        <v>-116.48466666666518</v>
      </c>
      <c r="EH216" s="873">
        <v>-100.18466666666694</v>
      </c>
      <c r="EI216" s="1010"/>
      <c r="EJ216" s="1010"/>
      <c r="EK216" s="1010"/>
      <c r="EL216" s="873"/>
      <c r="EM216" s="873"/>
      <c r="EN216" s="873"/>
      <c r="EO216" s="873"/>
      <c r="EP216" s="873"/>
      <c r="EQ216" s="873"/>
      <c r="ER216" s="873"/>
      <c r="ES216" s="873"/>
      <c r="ET216" s="873"/>
      <c r="EU216" s="1010"/>
      <c r="EV216" s="1010"/>
      <c r="EW216" s="1010"/>
      <c r="EX216" s="873"/>
      <c r="EY216" s="873"/>
      <c r="EZ216" s="873"/>
      <c r="FA216" s="873"/>
      <c r="FB216" s="873"/>
      <c r="FC216" s="873"/>
      <c r="FD216" s="873"/>
      <c r="FE216" s="873"/>
      <c r="FF216" s="873"/>
      <c r="FG216" s="873"/>
      <c r="FH216" s="873"/>
      <c r="FI216" s="873"/>
      <c r="FJ216" s="873"/>
      <c r="FK216" s="873"/>
      <c r="FL216" s="873"/>
      <c r="FM216" s="873"/>
      <c r="FN216" s="873"/>
      <c r="FO216" s="873"/>
      <c r="FP216" s="873"/>
      <c r="FQ216" s="873"/>
      <c r="FR216" s="873"/>
      <c r="FS216" s="873"/>
      <c r="FT216" s="873"/>
      <c r="FU216" s="873"/>
      <c r="FV216" s="873"/>
      <c r="FW216" s="873"/>
      <c r="FX216" s="873"/>
      <c r="FY216" s="873"/>
      <c r="FZ216" s="873"/>
      <c r="GA216" s="873"/>
      <c r="GB216" s="873"/>
      <c r="GC216" s="873"/>
      <c r="GD216" s="873"/>
      <c r="GF216" s="1013"/>
      <c r="GG216" s="1013"/>
      <c r="GH216" s="1013"/>
      <c r="GI216" s="1013"/>
      <c r="GJ216" s="1013"/>
      <c r="GK216" s="1013"/>
      <c r="GL216" s="1013"/>
      <c r="GM216" s="1013"/>
      <c r="GN216" s="1013"/>
      <c r="GO216" s="1013"/>
      <c r="HU216" s="1013"/>
      <c r="HV216" s="1013"/>
      <c r="HW216" s="1013"/>
      <c r="HX216" s="1013"/>
      <c r="HY216" s="1013"/>
      <c r="HZ216" s="1013"/>
      <c r="IA216" s="1013"/>
      <c r="IB216" s="1013"/>
      <c r="IC216" s="1013"/>
      <c r="ID216" s="1013"/>
      <c r="IE216" s="1013"/>
      <c r="IP216" s="1013"/>
      <c r="IQ216" s="1013"/>
      <c r="IR216" s="1013"/>
      <c r="IS216" s="1013"/>
      <c r="IT216" s="1013"/>
      <c r="IU216" s="1013"/>
      <c r="IV216" s="1013"/>
      <c r="IX216" s="1013"/>
      <c r="IY216" s="1013"/>
      <c r="IZ216" s="1013"/>
      <c r="JA216" s="1013"/>
      <c r="JB216" s="1013"/>
      <c r="JC216" s="1013"/>
      <c r="JD216" s="1013"/>
      <c r="JO216" s="1013"/>
      <c r="JP216" s="1013"/>
      <c r="JQ216" s="1013"/>
      <c r="JR216" s="1013"/>
      <c r="JS216" s="1013"/>
      <c r="JT216" s="1013"/>
      <c r="JU216" s="1013"/>
      <c r="JV216" s="1013"/>
      <c r="JW216" s="1013"/>
      <c r="JX216" s="1013"/>
      <c r="JY216" s="1013"/>
      <c r="KB216" s="1013"/>
      <c r="KC216" s="1013"/>
      <c r="KD216" s="1013"/>
      <c r="KE216" s="1013"/>
      <c r="KF216" s="1013"/>
      <c r="KG216" s="1013"/>
      <c r="KH216" s="1013"/>
      <c r="KJ216" s="1013"/>
      <c r="KK216" s="1013"/>
      <c r="KL216" s="1013"/>
      <c r="KM216" s="1013"/>
      <c r="KN216" s="1013"/>
      <c r="KO216" s="1013"/>
      <c r="KP216" s="1013"/>
      <c r="KR216" s="1013"/>
      <c r="KS216" s="1013"/>
      <c r="KT216" s="1013"/>
      <c r="KU216" s="1013"/>
      <c r="KV216" s="1013"/>
      <c r="KW216" s="1013"/>
      <c r="KX216" s="1013"/>
      <c r="KY216" s="1013"/>
      <c r="KZ216" s="1013"/>
    </row>
    <row r="217" spans="1:312">
      <c r="A217" s="867"/>
      <c r="C217" s="1010" t="s">
        <v>314</v>
      </c>
      <c r="D217" s="662"/>
      <c r="E217" s="1011"/>
      <c r="F217" s="1011"/>
      <c r="G217" s="1011"/>
      <c r="H217" s="1011"/>
      <c r="I217" s="1011"/>
      <c r="J217" s="1011"/>
      <c r="K217" s="1011"/>
      <c r="L217" s="1011"/>
      <c r="M217" s="1011"/>
      <c r="N217" s="1011"/>
      <c r="O217" s="1011"/>
      <c r="P217" s="1011"/>
      <c r="Q217" s="1011"/>
      <c r="R217" s="1011"/>
      <c r="S217" s="1011"/>
      <c r="T217" s="1011"/>
      <c r="U217" s="1011"/>
      <c r="V217" s="1011"/>
      <c r="W217" s="1011"/>
      <c r="X217" s="1011"/>
      <c r="Y217" s="1011"/>
      <c r="Z217" s="1011"/>
      <c r="AA217" s="1011"/>
      <c r="AB217" s="1011"/>
      <c r="AC217" s="1011"/>
      <c r="AD217" s="1011"/>
      <c r="AE217" s="1011"/>
      <c r="AF217" s="1011"/>
      <c r="AG217" s="1011"/>
      <c r="AH217" s="1011"/>
      <c r="AI217" s="1011"/>
      <c r="AJ217" s="1011"/>
      <c r="AK217" s="1011"/>
      <c r="AL217" s="1011"/>
      <c r="AM217" s="1011"/>
      <c r="AN217" s="1011"/>
      <c r="AO217" s="873">
        <v>-105.52537949000074</v>
      </c>
      <c r="AP217" s="920">
        <v>-81.495222659999257</v>
      </c>
      <c r="AQ217" s="1010">
        <v>-67.159770699999029</v>
      </c>
      <c r="AR217" s="1010">
        <v>-1.5712710399996936</v>
      </c>
      <c r="AS217" s="873">
        <v>-114.63203071000257</v>
      </c>
      <c r="AT217" s="873">
        <v>-3394.1527148999999</v>
      </c>
      <c r="AU217" s="873">
        <v>64.997319240001033</v>
      </c>
      <c r="AV217" s="873">
        <v>0.17894081999900635</v>
      </c>
      <c r="AW217" s="873">
        <v>-1152.7777069399988</v>
      </c>
      <c r="AX217" s="873">
        <v>302.78931083000055</v>
      </c>
      <c r="AY217" s="873">
        <v>-6.4224657400003196</v>
      </c>
      <c r="AZ217" s="873">
        <v>-55.572645030000004</v>
      </c>
      <c r="BA217" s="873">
        <v>-96.012026420003295</v>
      </c>
      <c r="BB217" s="873">
        <v>-14.942952999997622</v>
      </c>
      <c r="BC217" s="873">
        <v>-38.133494950001015</v>
      </c>
      <c r="BD217" s="873">
        <v>-18.189930409999931</v>
      </c>
      <c r="BE217" s="873">
        <v>-283.66083269000052</v>
      </c>
      <c r="BF217" s="873">
        <v>129.70830782000087</v>
      </c>
      <c r="BG217" s="873">
        <v>-14.94295217999921</v>
      </c>
      <c r="BH217" s="873">
        <v>-14.942952180000582</v>
      </c>
      <c r="BI217" s="873">
        <v>-9.1339588600017727</v>
      </c>
      <c r="BJ217" s="873">
        <v>-12.467717849998529</v>
      </c>
      <c r="BK217" s="873">
        <v>297.16170828999907</v>
      </c>
      <c r="BL217" s="873">
        <v>-37.81995104999956</v>
      </c>
      <c r="BM217" s="873">
        <f t="shared" ref="BM217:DH217" si="674">-(BM129-BM131-BM148)+(BL129-BL131-BL148)+BM67</f>
        <v>-159.65400957999594</v>
      </c>
      <c r="BN217" s="873">
        <f t="shared" si="674"/>
        <v>-21.479838050002122</v>
      </c>
      <c r="BO217" s="873">
        <f t="shared" si="674"/>
        <v>-80.845569540000582</v>
      </c>
      <c r="BP217" s="873">
        <f t="shared" si="674"/>
        <v>1.7251619500000448</v>
      </c>
      <c r="BQ217" s="873">
        <f t="shared" si="674"/>
        <v>1.4826779500020155</v>
      </c>
      <c r="BR217" s="873">
        <f t="shared" si="674"/>
        <v>-6.8077128900006958</v>
      </c>
      <c r="BS217" s="873">
        <f t="shared" si="674"/>
        <v>1.5603039500000957</v>
      </c>
      <c r="BT217" s="873">
        <f t="shared" si="674"/>
        <v>1.7251619499994746</v>
      </c>
      <c r="BU217" s="873">
        <f t="shared" si="674"/>
        <v>0.55116194999916246</v>
      </c>
      <c r="BV217" s="873">
        <f t="shared" si="674"/>
        <v>-4.079700049998582</v>
      </c>
      <c r="BW217" s="873">
        <f t="shared" si="674"/>
        <v>1.7251619499994035</v>
      </c>
      <c r="BX217" s="873">
        <f t="shared" si="674"/>
        <v>437.31141099000018</v>
      </c>
      <c r="BY217" s="1012">
        <f t="shared" si="674"/>
        <v>-31.146038540001655</v>
      </c>
      <c r="BZ217" s="1012">
        <f t="shared" si="674"/>
        <v>-1.2380939999970835</v>
      </c>
      <c r="CA217" s="1012">
        <f t="shared" si="674"/>
        <v>-0.49480200000126473</v>
      </c>
      <c r="CB217" s="1012">
        <f>-(CB129-CB131-CB148)+(CA129-CA131-CA148)+CB67</f>
        <v>-0.52142999999873041</v>
      </c>
      <c r="CC217" s="1012">
        <f t="shared" si="674"/>
        <v>-25.660526000002353</v>
      </c>
      <c r="CD217" s="1012">
        <f t="shared" si="674"/>
        <v>-18.030591999998617</v>
      </c>
      <c r="CE217" s="1012">
        <f t="shared" si="674"/>
        <v>1.3018000000300844E-2</v>
      </c>
      <c r="CF217" s="1012">
        <f t="shared" si="674"/>
        <v>-5.0623939999997205</v>
      </c>
      <c r="CG217" s="1012">
        <f t="shared" si="674"/>
        <v>-8.8280300000015224</v>
      </c>
      <c r="CH217" s="1012">
        <f t="shared" si="674"/>
        <v>-4.3750900000005686</v>
      </c>
      <c r="CI217" s="1012">
        <f t="shared" si="674"/>
        <v>-5.4254015999966754</v>
      </c>
      <c r="CJ217" s="1012">
        <f t="shared" si="674"/>
        <v>148.26982434999758</v>
      </c>
      <c r="CK217" s="1012">
        <f t="shared" si="674"/>
        <v>-38.352212999999765</v>
      </c>
      <c r="CL217" s="1012">
        <f t="shared" si="674"/>
        <v>-29.813740000000443</v>
      </c>
      <c r="CM217" s="1012">
        <f t="shared" si="674"/>
        <v>2.2623700000004376</v>
      </c>
      <c r="CN217" s="1012">
        <f t="shared" si="674"/>
        <v>-10.949515999999115</v>
      </c>
      <c r="CO217" s="1012">
        <f t="shared" si="674"/>
        <v>-11.819156400000796</v>
      </c>
      <c r="CP217" s="1012">
        <f t="shared" si="674"/>
        <v>0.37635100000202115</v>
      </c>
      <c r="CQ217" s="1012">
        <f t="shared" si="674"/>
        <v>-1.6775790000013515</v>
      </c>
      <c r="CR217" s="1012">
        <f t="shared" si="674"/>
        <v>3.2807860000017897</v>
      </c>
      <c r="CS217" s="1012">
        <f t="shared" si="674"/>
        <v>2.6698519999969719</v>
      </c>
      <c r="CT217" s="1012">
        <f t="shared" si="674"/>
        <v>0.67903659999920052</v>
      </c>
      <c r="CU217" s="1012">
        <f t="shared" si="674"/>
        <v>-33.673488999997758</v>
      </c>
      <c r="CV217" s="1012">
        <f t="shared" si="674"/>
        <v>519.33549983999944</v>
      </c>
      <c r="CW217" s="1012">
        <f t="shared" si="674"/>
        <v>-38.427088000001248</v>
      </c>
      <c r="CX217" s="1012">
        <f t="shared" si="674"/>
        <v>3.9836420000032486</v>
      </c>
      <c r="CY217" s="1012">
        <f t="shared" si="674"/>
        <v>-44.48207552000121</v>
      </c>
      <c r="CZ217" s="1012">
        <f t="shared" si="674"/>
        <v>3.9836420000000867</v>
      </c>
      <c r="DA217" s="1012">
        <f t="shared" si="674"/>
        <v>-15.873741700000595</v>
      </c>
      <c r="DB217" s="1012">
        <f t="shared" si="674"/>
        <v>-1699.4243579999988</v>
      </c>
      <c r="DC217" s="1012">
        <f t="shared" si="674"/>
        <v>2.9791917399988677</v>
      </c>
      <c r="DD217" s="1012">
        <f t="shared" si="674"/>
        <v>-18.662432019999823</v>
      </c>
      <c r="DE217" s="1012">
        <f t="shared" si="674"/>
        <v>-38.151675000002115</v>
      </c>
      <c r="DF217" s="1012">
        <f t="shared" si="674"/>
        <v>-1.505612339998585</v>
      </c>
      <c r="DG217" s="1012">
        <f t="shared" si="674"/>
        <v>300.51673499999913</v>
      </c>
      <c r="DH217" s="1012">
        <f t="shared" si="674"/>
        <v>710.28743005999934</v>
      </c>
      <c r="DJ217" s="1010"/>
      <c r="DK217" s="1010"/>
      <c r="DL217" s="1010"/>
      <c r="DM217" s="1010"/>
      <c r="DN217" s="1010"/>
      <c r="DO217" s="1010"/>
      <c r="DP217" s="1010"/>
      <c r="DQ217" s="1010"/>
      <c r="DR217" s="873"/>
      <c r="DS217" s="873"/>
      <c r="DT217" s="873"/>
      <c r="DU217" s="873"/>
      <c r="DW217" s="1010">
        <v>692.6859137499996</v>
      </c>
      <c r="DX217" s="1010">
        <v>-1652.3280400841663</v>
      </c>
      <c r="DY217" s="1010">
        <v>46.631926512363009</v>
      </c>
      <c r="DZ217" s="873">
        <v>57.664908140450791</v>
      </c>
      <c r="EA217" s="873">
        <v>57.664908140450791</v>
      </c>
      <c r="EB217" s="873">
        <v>48.470756783709078</v>
      </c>
      <c r="EC217" s="873">
        <v>34.679529748596963</v>
      </c>
      <c r="ED217" s="873">
        <v>21.271392353347494</v>
      </c>
      <c r="EE217" s="873">
        <v>11.438758263498642</v>
      </c>
      <c r="EF217" s="873">
        <v>5.8520343488135609</v>
      </c>
      <c r="EG217" s="873">
        <v>3.4311206524485556</v>
      </c>
      <c r="EH217" s="873">
        <v>2.686224130488938</v>
      </c>
      <c r="EI217" s="1010"/>
      <c r="EJ217" s="1010"/>
      <c r="EK217" s="1010"/>
      <c r="EL217" s="873"/>
      <c r="EM217" s="873"/>
      <c r="EN217" s="873"/>
      <c r="EO217" s="873"/>
      <c r="EP217" s="873"/>
      <c r="EQ217" s="873"/>
      <c r="ER217" s="873"/>
      <c r="ES217" s="873"/>
      <c r="ET217" s="873"/>
      <c r="EU217" s="1010"/>
      <c r="EV217" s="1010"/>
      <c r="EW217" s="1010"/>
      <c r="EX217" s="873"/>
      <c r="EY217" s="873"/>
      <c r="EZ217" s="873"/>
      <c r="FA217" s="873"/>
      <c r="FB217" s="873"/>
      <c r="FC217" s="873"/>
      <c r="FD217" s="873"/>
      <c r="FE217" s="873"/>
      <c r="FF217" s="873"/>
      <c r="FG217" s="873"/>
      <c r="FH217" s="873"/>
      <c r="FI217" s="873"/>
      <c r="FJ217" s="873"/>
      <c r="FK217" s="873"/>
      <c r="FL217" s="873"/>
      <c r="FM217" s="873"/>
      <c r="FN217" s="873"/>
      <c r="FO217" s="873"/>
      <c r="FP217" s="873"/>
      <c r="FQ217" s="873"/>
      <c r="FR217" s="873"/>
      <c r="FS217" s="873"/>
      <c r="FT217" s="873"/>
      <c r="FU217" s="873"/>
      <c r="FV217" s="873"/>
      <c r="FW217" s="873"/>
      <c r="FX217" s="873"/>
      <c r="FY217" s="873"/>
      <c r="FZ217" s="873"/>
      <c r="GA217" s="873"/>
      <c r="GB217" s="873"/>
      <c r="GC217" s="873"/>
      <c r="GD217" s="873"/>
      <c r="GF217" s="1013"/>
      <c r="GG217" s="1013"/>
      <c r="GH217" s="1013"/>
      <c r="GI217" s="1013"/>
      <c r="GJ217" s="1013"/>
      <c r="GK217" s="1013"/>
      <c r="GL217" s="1013"/>
      <c r="GM217" s="1013"/>
      <c r="GN217" s="1013"/>
      <c r="GO217" s="1013"/>
      <c r="HU217" s="1013"/>
      <c r="HV217" s="1013"/>
      <c r="HW217" s="1013"/>
      <c r="HX217" s="1013"/>
      <c r="HY217" s="1013"/>
      <c r="HZ217" s="1013"/>
      <c r="IA217" s="1013"/>
      <c r="IB217" s="1013"/>
      <c r="IC217" s="1013"/>
      <c r="ID217" s="1013"/>
      <c r="IE217" s="1013"/>
      <c r="IP217" s="1013"/>
      <c r="IQ217" s="1013"/>
      <c r="IR217" s="1013"/>
      <c r="IS217" s="1013"/>
      <c r="IT217" s="1013"/>
      <c r="IU217" s="1013"/>
      <c r="IV217" s="1013"/>
      <c r="IX217" s="1013"/>
      <c r="IY217" s="1013"/>
      <c r="IZ217" s="1013"/>
      <c r="JA217" s="1013"/>
      <c r="JB217" s="1013"/>
      <c r="JC217" s="1013"/>
      <c r="JD217" s="1013"/>
      <c r="JO217" s="1013"/>
      <c r="JP217" s="1013"/>
      <c r="JQ217" s="1013"/>
      <c r="JR217" s="1013"/>
      <c r="JS217" s="1013"/>
      <c r="JT217" s="1013"/>
      <c r="JU217" s="1013"/>
      <c r="JV217" s="1013"/>
      <c r="JW217" s="1013"/>
      <c r="JX217" s="1013"/>
      <c r="JY217" s="1013"/>
      <c r="KB217" s="1013"/>
      <c r="KC217" s="1013"/>
      <c r="KD217" s="1013"/>
      <c r="KE217" s="1013"/>
      <c r="KF217" s="1013"/>
      <c r="KG217" s="1013"/>
      <c r="KH217" s="1013"/>
      <c r="KJ217" s="1013"/>
      <c r="KK217" s="1013"/>
      <c r="KL217" s="1013"/>
      <c r="KM217" s="1013"/>
      <c r="KN217" s="1013"/>
      <c r="KO217" s="1013"/>
      <c r="KP217" s="1013"/>
      <c r="KR217" s="1013"/>
      <c r="KS217" s="1013"/>
      <c r="KT217" s="1013"/>
      <c r="KU217" s="1013"/>
      <c r="KV217" s="1013"/>
      <c r="KW217" s="1013"/>
      <c r="KX217" s="1013"/>
      <c r="KY217" s="1013"/>
      <c r="KZ217" s="1013"/>
    </row>
    <row r="218" spans="1:312">
      <c r="A218" s="867"/>
      <c r="C218" s="1010" t="s">
        <v>161</v>
      </c>
      <c r="D218" s="662"/>
      <c r="E218" s="1011"/>
      <c r="F218" s="1011"/>
      <c r="G218" s="1011"/>
      <c r="H218" s="1011"/>
      <c r="I218" s="1011"/>
      <c r="J218" s="1011"/>
      <c r="K218" s="1011"/>
      <c r="L218" s="1011"/>
      <c r="M218" s="1011"/>
      <c r="N218" s="1011"/>
      <c r="O218" s="1011"/>
      <c r="P218" s="1011"/>
      <c r="Q218" s="1011"/>
      <c r="R218" s="1011"/>
      <c r="S218" s="1011"/>
      <c r="T218" s="1011"/>
      <c r="U218" s="1011"/>
      <c r="V218" s="1011"/>
      <c r="W218" s="1011"/>
      <c r="X218" s="1011"/>
      <c r="Y218" s="1011"/>
      <c r="Z218" s="1011"/>
      <c r="AA218" s="1011"/>
      <c r="AB218" s="1011"/>
      <c r="AC218" s="1011"/>
      <c r="AD218" s="1011"/>
      <c r="AE218" s="1011"/>
      <c r="AF218" s="1011"/>
      <c r="AG218" s="1011"/>
      <c r="AH218" s="1011"/>
      <c r="AI218" s="1011"/>
      <c r="AJ218" s="1011"/>
      <c r="AK218" s="1011"/>
      <c r="AL218" s="1011"/>
      <c r="AM218" s="1011"/>
      <c r="AN218" s="1011"/>
      <c r="AO218" s="873">
        <v>-3316.0129222299911</v>
      </c>
      <c r="AP218" s="920">
        <v>2165.3217750199938</v>
      </c>
      <c r="AQ218" s="1010">
        <v>-1233.8115386399977</v>
      </c>
      <c r="AR218" s="1010">
        <v>403.85597325000072</v>
      </c>
      <c r="AS218" s="873">
        <v>-1074.4756410100044</v>
      </c>
      <c r="AT218" s="873">
        <v>71.96679370000129</v>
      </c>
      <c r="AU218" s="873">
        <v>-26.419518530001369</v>
      </c>
      <c r="AV218" s="873">
        <v>-396.82361839999612</v>
      </c>
      <c r="AW218" s="873">
        <v>-632.73556050000298</v>
      </c>
      <c r="AX218" s="873">
        <v>1605.2676251700013</v>
      </c>
      <c r="AY218" s="873">
        <v>816.49610374999884</v>
      </c>
      <c r="AZ218" s="873">
        <v>0</v>
      </c>
      <c r="BA218" s="873">
        <v>-506.94535942000402</v>
      </c>
      <c r="BB218" s="873">
        <v>962.81982907999918</v>
      </c>
      <c r="BC218" s="873">
        <v>696.64973381000345</v>
      </c>
      <c r="BD218" s="873">
        <v>387.86415023000109</v>
      </c>
      <c r="BE218" s="873">
        <v>-222.85715555000161</v>
      </c>
      <c r="BF218" s="873">
        <v>337.18727177999926</v>
      </c>
      <c r="BG218" s="873">
        <v>-195.54539240999975</v>
      </c>
      <c r="BH218" s="873">
        <v>42.116563880000285</v>
      </c>
      <c r="BI218" s="873">
        <v>396.24637154000084</v>
      </c>
      <c r="BJ218" s="873">
        <v>62.36542043000145</v>
      </c>
      <c r="BK218" s="873">
        <v>659.52328255999828</v>
      </c>
      <c r="BL218" s="873">
        <v>-544.72756111000172</v>
      </c>
      <c r="BM218" s="873">
        <f t="shared" ref="BM218:BX218" si="675">+SUM(BM219:BM220)</f>
        <v>-289.38787289999982</v>
      </c>
      <c r="BN218" s="873">
        <f t="shared" si="675"/>
        <v>-778.43928524000103</v>
      </c>
      <c r="BO218" s="873">
        <f t="shared" si="675"/>
        <v>390.06049391999932</v>
      </c>
      <c r="BP218" s="873">
        <f t="shared" si="675"/>
        <v>-635.44211511000094</v>
      </c>
      <c r="BQ218" s="873">
        <f t="shared" si="675"/>
        <v>511.72436348000156</v>
      </c>
      <c r="BR218" s="873">
        <f t="shared" si="675"/>
        <v>-163.41911133000212</v>
      </c>
      <c r="BS218" s="873">
        <f t="shared" si="675"/>
        <v>-372.24308233999818</v>
      </c>
      <c r="BT218" s="873">
        <f t="shared" si="675"/>
        <v>107.38938185000006</v>
      </c>
      <c r="BU218" s="873">
        <f t="shared" si="675"/>
        <v>-354.33452192999903</v>
      </c>
      <c r="BV218" s="873">
        <f t="shared" si="675"/>
        <v>543.00662648999787</v>
      </c>
      <c r="BW218" s="873">
        <f t="shared" si="675"/>
        <v>-271.09140225999636</v>
      </c>
      <c r="BX218" s="873">
        <f t="shared" si="675"/>
        <v>134.06960367999682</v>
      </c>
      <c r="BY218" s="1012">
        <f t="shared" ref="BY218:CC218" si="676">+SUM(BY219:BY220)</f>
        <v>-432.51457412999935</v>
      </c>
      <c r="BZ218" s="1012">
        <f t="shared" si="676"/>
        <v>446.76566004000051</v>
      </c>
      <c r="CA218" s="1012">
        <f t="shared" si="676"/>
        <v>41.924054149998938</v>
      </c>
      <c r="CB218" s="1012">
        <f t="shared" si="676"/>
        <v>222.74091910000061</v>
      </c>
      <c r="CC218" s="1012">
        <f t="shared" si="676"/>
        <v>213.23113099000375</v>
      </c>
      <c r="CD218" s="1012">
        <f t="shared" ref="CD218:DH218" si="677">+SUM(CD219:CD220)</f>
        <v>-107.92456730000185</v>
      </c>
      <c r="CE218" s="1012">
        <f t="shared" si="677"/>
        <v>1187.9883138099985</v>
      </c>
      <c r="CF218" s="1012">
        <f t="shared" si="677"/>
        <v>-132.95310011000038</v>
      </c>
      <c r="CG218" s="1012">
        <f t="shared" si="677"/>
        <v>-624.15285634999873</v>
      </c>
      <c r="CH218" s="1012">
        <f t="shared" si="677"/>
        <v>-380.87965195000425</v>
      </c>
      <c r="CI218" s="1012">
        <f t="shared" si="677"/>
        <v>-338.15603872999827</v>
      </c>
      <c r="CJ218" s="1012">
        <f t="shared" si="677"/>
        <v>350.45433228000093</v>
      </c>
      <c r="CK218" s="1012">
        <f t="shared" si="677"/>
        <v>-522.89932889999864</v>
      </c>
      <c r="CL218" s="1012">
        <f t="shared" si="677"/>
        <v>535.9662278099986</v>
      </c>
      <c r="CM218" s="1012">
        <f t="shared" si="677"/>
        <v>-125.74211144999708</v>
      </c>
      <c r="CN218" s="1012">
        <f t="shared" si="677"/>
        <v>-205.84447720000117</v>
      </c>
      <c r="CO218" s="1012">
        <f t="shared" si="677"/>
        <v>-247.90914208000049</v>
      </c>
      <c r="CP218" s="1012">
        <f t="shared" si="677"/>
        <v>372.77454750000015</v>
      </c>
      <c r="CQ218" s="1012">
        <f t="shared" si="677"/>
        <v>411.10068321000062</v>
      </c>
      <c r="CR218" s="1012">
        <f t="shared" si="677"/>
        <v>532.26567517999911</v>
      </c>
      <c r="CS218" s="1012">
        <f t="shared" si="677"/>
        <v>-343.65825115999905</v>
      </c>
      <c r="CT218" s="1012">
        <f t="shared" si="677"/>
        <v>-1031.9620659600023</v>
      </c>
      <c r="CU218" s="1012">
        <f t="shared" si="677"/>
        <v>-633.79116629999953</v>
      </c>
      <c r="CV218" s="1012">
        <f t="shared" si="677"/>
        <v>1154.3825814599977</v>
      </c>
      <c r="CW218" s="1012">
        <f t="shared" si="677"/>
        <v>-644.99053687999913</v>
      </c>
      <c r="CX218" s="1012">
        <f t="shared" si="677"/>
        <v>-791.58580999999776</v>
      </c>
      <c r="CY218" s="1012">
        <f t="shared" si="677"/>
        <v>-1213.3483033900002</v>
      </c>
      <c r="CZ218" s="1012">
        <f t="shared" si="677"/>
        <v>1630.7987829300018</v>
      </c>
      <c r="DA218" s="1012">
        <f t="shared" si="677"/>
        <v>124.194797809997</v>
      </c>
      <c r="DB218" s="1012">
        <f t="shared" si="677"/>
        <v>2418.5002181500017</v>
      </c>
      <c r="DC218" s="1012">
        <f t="shared" si="677"/>
        <v>51.049517449999485</v>
      </c>
      <c r="DD218" s="1012">
        <f t="shared" si="677"/>
        <v>-718.83743887000014</v>
      </c>
      <c r="DE218" s="1012">
        <f t="shared" si="677"/>
        <v>-740.36422520999895</v>
      </c>
      <c r="DF218" s="1012">
        <f t="shared" si="677"/>
        <v>-225.20139608000136</v>
      </c>
      <c r="DG218" s="1012">
        <f t="shared" si="677"/>
        <v>76.617336019999584</v>
      </c>
      <c r="DH218" s="1012">
        <f t="shared" si="677"/>
        <v>532.26461331999917</v>
      </c>
      <c r="DJ218" s="1010"/>
      <c r="DK218" s="1010"/>
      <c r="DL218" s="1010"/>
      <c r="DM218" s="1010"/>
      <c r="DN218" s="1010"/>
      <c r="DO218" s="1010"/>
      <c r="DP218" s="1010"/>
      <c r="DQ218" s="1010"/>
      <c r="DR218" s="873"/>
      <c r="DS218" s="873"/>
      <c r="DT218" s="873"/>
      <c r="DU218" s="873"/>
      <c r="DW218" s="1010">
        <v>-1018.2646833884955</v>
      </c>
      <c r="DX218" s="1010">
        <v>4819.8924948359745</v>
      </c>
      <c r="DY218" s="1010">
        <v>1235.6367326896871</v>
      </c>
      <c r="DZ218" s="873">
        <v>645.11962607247915</v>
      </c>
      <c r="EA218" s="873">
        <v>-876.17569378113785</v>
      </c>
      <c r="EB218" s="873">
        <v>-846.21710423457444</v>
      </c>
      <c r="EC218" s="873">
        <v>125.07373549074055</v>
      </c>
      <c r="ED218" s="873">
        <v>-1687.0775733637283</v>
      </c>
      <c r="EE218" s="873">
        <v>-67.530888955231603</v>
      </c>
      <c r="EF218" s="873">
        <v>419.07973926884188</v>
      </c>
      <c r="EG218" s="873">
        <v>35.703318808893528</v>
      </c>
      <c r="EH218" s="873">
        <v>-340.32894219278478</v>
      </c>
      <c r="EI218" s="1010"/>
      <c r="EJ218" s="1010"/>
      <c r="EK218" s="1010"/>
      <c r="EL218" s="873"/>
      <c r="EM218" s="873"/>
      <c r="EN218" s="873"/>
      <c r="EO218" s="873"/>
      <c r="EP218" s="873"/>
      <c r="EQ218" s="873"/>
      <c r="ER218" s="873"/>
      <c r="ES218" s="873"/>
      <c r="ET218" s="873"/>
      <c r="EU218" s="1010"/>
      <c r="EV218" s="1010"/>
      <c r="EW218" s="1010"/>
      <c r="EX218" s="873"/>
      <c r="EY218" s="873"/>
      <c r="EZ218" s="873"/>
      <c r="FA218" s="873"/>
      <c r="FB218" s="873"/>
      <c r="FC218" s="873"/>
      <c r="FD218" s="873"/>
      <c r="FE218" s="873"/>
      <c r="FF218" s="873"/>
      <c r="FG218" s="873"/>
      <c r="FH218" s="873"/>
      <c r="FI218" s="873"/>
      <c r="FJ218" s="873"/>
      <c r="FK218" s="873"/>
      <c r="FL218" s="873"/>
      <c r="FM218" s="873"/>
      <c r="FN218" s="873"/>
      <c r="FO218" s="873"/>
      <c r="FP218" s="873"/>
      <c r="FQ218" s="873"/>
      <c r="FR218" s="873"/>
      <c r="FS218" s="873"/>
      <c r="FT218" s="873"/>
      <c r="FU218" s="873"/>
      <c r="FV218" s="873"/>
      <c r="FW218" s="873"/>
      <c r="FX218" s="873"/>
      <c r="FY218" s="873"/>
      <c r="FZ218" s="873"/>
      <c r="GA218" s="873"/>
      <c r="GB218" s="873"/>
      <c r="GC218" s="873"/>
      <c r="GD218" s="873"/>
      <c r="GF218" s="1013"/>
      <c r="GG218" s="1013"/>
      <c r="GH218" s="1013"/>
      <c r="GI218" s="1013"/>
      <c r="GJ218" s="1013"/>
      <c r="GK218" s="1013"/>
      <c r="GL218" s="1013"/>
      <c r="GM218" s="1013"/>
      <c r="GN218" s="1013"/>
      <c r="GO218" s="1013"/>
      <c r="HU218" s="1013"/>
      <c r="HV218" s="1013"/>
      <c r="HW218" s="1013"/>
      <c r="HX218" s="1013"/>
      <c r="HY218" s="1013"/>
      <c r="HZ218" s="1013"/>
      <c r="IA218" s="1013"/>
      <c r="IB218" s="1013"/>
      <c r="IC218" s="1013"/>
      <c r="ID218" s="1013"/>
      <c r="IE218" s="1013"/>
      <c r="IP218" s="1013"/>
      <c r="IQ218" s="1013"/>
      <c r="IR218" s="1013"/>
      <c r="IS218" s="1013"/>
      <c r="IT218" s="1013"/>
      <c r="IU218" s="1013"/>
      <c r="IV218" s="1013"/>
      <c r="IX218" s="1013"/>
      <c r="IY218" s="1013"/>
      <c r="IZ218" s="1013"/>
      <c r="JA218" s="1013"/>
      <c r="JB218" s="1013"/>
      <c r="JC218" s="1013"/>
      <c r="JD218" s="1013"/>
      <c r="JO218" s="1013"/>
      <c r="JP218" s="1013"/>
      <c r="JQ218" s="1013"/>
      <c r="JR218" s="1013"/>
      <c r="JS218" s="1013"/>
      <c r="JT218" s="1013"/>
      <c r="JU218" s="1013"/>
      <c r="JV218" s="1013"/>
      <c r="JW218" s="1013"/>
      <c r="JX218" s="1013"/>
      <c r="JY218" s="1013"/>
      <c r="KB218" s="1013"/>
      <c r="KC218" s="1013"/>
      <c r="KD218" s="1013"/>
      <c r="KE218" s="1013"/>
      <c r="KF218" s="1013"/>
      <c r="KG218" s="1013"/>
      <c r="KH218" s="1013"/>
      <c r="KJ218" s="1013"/>
      <c r="KK218" s="1013"/>
      <c r="KL218" s="1013"/>
      <c r="KM218" s="1013"/>
      <c r="KN218" s="1013"/>
      <c r="KO218" s="1013"/>
      <c r="KP218" s="1013"/>
      <c r="KR218" s="1013"/>
      <c r="KS218" s="1013"/>
      <c r="KT218" s="1013"/>
      <c r="KU218" s="1013"/>
      <c r="KV218" s="1013"/>
      <c r="KW218" s="1013"/>
      <c r="KX218" s="1013"/>
      <c r="KY218" s="1013"/>
      <c r="KZ218" s="1013"/>
    </row>
    <row r="219" spans="1:312" outlineLevel="1">
      <c r="A219" s="867"/>
      <c r="C219" s="1014" t="s">
        <v>768</v>
      </c>
      <c r="D219" s="662"/>
      <c r="E219" s="1011"/>
      <c r="F219" s="1011"/>
      <c r="G219" s="1011"/>
      <c r="H219" s="1011"/>
      <c r="I219" s="1011"/>
      <c r="J219" s="1011"/>
      <c r="K219" s="1011"/>
      <c r="L219" s="1011"/>
      <c r="M219" s="1011"/>
      <c r="N219" s="1011"/>
      <c r="O219" s="1011"/>
      <c r="P219" s="1011"/>
      <c r="Q219" s="1011"/>
      <c r="R219" s="1011"/>
      <c r="S219" s="1011"/>
      <c r="T219" s="1011"/>
      <c r="U219" s="1011"/>
      <c r="V219" s="1011"/>
      <c r="W219" s="1011"/>
      <c r="X219" s="1011"/>
      <c r="Y219" s="1011"/>
      <c r="Z219" s="1011"/>
      <c r="AA219" s="1011"/>
      <c r="AB219" s="1011"/>
      <c r="AC219" s="1011"/>
      <c r="AD219" s="1011"/>
      <c r="AE219" s="1011"/>
      <c r="AF219" s="1011"/>
      <c r="AG219" s="1011"/>
      <c r="AH219" s="1011"/>
      <c r="AI219" s="1011"/>
      <c r="AJ219" s="1011"/>
      <c r="AK219" s="1011"/>
      <c r="AL219" s="1011"/>
      <c r="AM219" s="1011"/>
      <c r="AN219" s="1011"/>
      <c r="AO219" s="873"/>
      <c r="AP219" s="920"/>
      <c r="AQ219" s="1010"/>
      <c r="AR219" s="1010"/>
      <c r="AS219" s="873"/>
      <c r="AT219" s="873"/>
      <c r="AU219" s="873"/>
      <c r="AV219" s="873"/>
      <c r="AW219" s="873"/>
      <c r="AX219" s="873"/>
      <c r="AY219" s="873"/>
      <c r="AZ219" s="873"/>
      <c r="BA219" s="873"/>
      <c r="BB219" s="873"/>
      <c r="BC219" s="873"/>
      <c r="BD219" s="873"/>
      <c r="BE219" s="873"/>
      <c r="BF219" s="873"/>
      <c r="BG219" s="873"/>
      <c r="BH219" s="873"/>
      <c r="BI219" s="873"/>
      <c r="BJ219" s="873"/>
      <c r="BK219" s="873"/>
      <c r="BL219" s="873"/>
      <c r="BM219" s="873">
        <f t="shared" ref="BM219:DH219" si="678">-SUM(BM113,BM114,BM115,BM116,BM126,BM127)+SUM(BL113,BL114,BL115,BL116,BL126,BL127)</f>
        <v>-758.82859339000061</v>
      </c>
      <c r="BN219" s="873">
        <f t="shared" si="678"/>
        <v>-616.98183821999919</v>
      </c>
      <c r="BO219" s="873">
        <f t="shared" si="678"/>
        <v>260.33281307999914</v>
      </c>
      <c r="BP219" s="873">
        <f t="shared" si="678"/>
        <v>-703.41242908000095</v>
      </c>
      <c r="BQ219" s="873">
        <f t="shared" si="678"/>
        <v>928.80325578000065</v>
      </c>
      <c r="BR219" s="873">
        <f t="shared" si="678"/>
        <v>-20.92282768000041</v>
      </c>
      <c r="BS219" s="873">
        <f t="shared" si="678"/>
        <v>-411.96305970999947</v>
      </c>
      <c r="BT219" s="873">
        <f t="shared" si="678"/>
        <v>86.149679600000127</v>
      </c>
      <c r="BU219" s="873">
        <f t="shared" si="678"/>
        <v>-103.74763808999978</v>
      </c>
      <c r="BV219" s="873">
        <f t="shared" si="678"/>
        <v>382.03318362000027</v>
      </c>
      <c r="BW219" s="873">
        <f t="shared" si="678"/>
        <v>-130.26211907000015</v>
      </c>
      <c r="BX219" s="873">
        <f t="shared" si="678"/>
        <v>592.58084937999865</v>
      </c>
      <c r="BY219" s="1012">
        <f t="shared" si="678"/>
        <v>-486.3104513899998</v>
      </c>
      <c r="BZ219" s="1012">
        <f t="shared" si="678"/>
        <v>287.74409474000095</v>
      </c>
      <c r="CA219" s="1012">
        <f t="shared" si="678"/>
        <v>-39.844408250000015</v>
      </c>
      <c r="CB219" s="1012">
        <f t="shared" si="678"/>
        <v>595.59321345999979</v>
      </c>
      <c r="CC219" s="1012">
        <f t="shared" si="678"/>
        <v>687.40200717000062</v>
      </c>
      <c r="CD219" s="1012">
        <f t="shared" si="678"/>
        <v>-178.00524251999923</v>
      </c>
      <c r="CE219" s="1012">
        <f t="shared" si="678"/>
        <v>1075.2236127499991</v>
      </c>
      <c r="CF219" s="1012">
        <f t="shared" si="678"/>
        <v>-366.15002075000029</v>
      </c>
      <c r="CG219" s="1012">
        <f t="shared" si="678"/>
        <v>-840.7047050000001</v>
      </c>
      <c r="CH219" s="1012">
        <f t="shared" si="678"/>
        <v>-896.20232253000086</v>
      </c>
      <c r="CI219" s="1012">
        <f t="shared" si="678"/>
        <v>-559.53619460000027</v>
      </c>
      <c r="CJ219" s="1012">
        <f t="shared" si="678"/>
        <v>162.4405738100013</v>
      </c>
      <c r="CK219" s="1012">
        <f t="shared" si="678"/>
        <v>-807.76840684000035</v>
      </c>
      <c r="CL219" s="1012">
        <f t="shared" si="678"/>
        <v>551.3874357499999</v>
      </c>
      <c r="CM219" s="1012">
        <f t="shared" si="678"/>
        <v>-402.40273572999922</v>
      </c>
      <c r="CN219" s="1012">
        <f t="shared" si="678"/>
        <v>-378.32615966999947</v>
      </c>
      <c r="CO219" s="1012">
        <f t="shared" si="678"/>
        <v>-27.131304870001259</v>
      </c>
      <c r="CP219" s="1012">
        <f t="shared" si="678"/>
        <v>360.84916752000026</v>
      </c>
      <c r="CQ219" s="1012">
        <f t="shared" si="678"/>
        <v>670.37385622000056</v>
      </c>
      <c r="CR219" s="1012">
        <f t="shared" si="678"/>
        <v>108.67522138000004</v>
      </c>
      <c r="CS219" s="1012">
        <f t="shared" si="678"/>
        <v>-245.65500415000133</v>
      </c>
      <c r="CT219" s="1012">
        <f t="shared" si="678"/>
        <v>-1695.4400813099983</v>
      </c>
      <c r="CU219" s="1012">
        <f t="shared" si="678"/>
        <v>-439.87948458000028</v>
      </c>
      <c r="CV219" s="1012">
        <f t="shared" si="678"/>
        <v>683.88849040999776</v>
      </c>
      <c r="CW219" s="1012">
        <f t="shared" si="678"/>
        <v>-338.68926198000008</v>
      </c>
      <c r="CX219" s="1012">
        <f t="shared" si="678"/>
        <v>-872.45321458999751</v>
      </c>
      <c r="CY219" s="1012">
        <f t="shared" si="678"/>
        <v>-1804.5276046500003</v>
      </c>
      <c r="CZ219" s="1012">
        <f t="shared" si="678"/>
        <v>2525.8470650100007</v>
      </c>
      <c r="DA219" s="1012">
        <f t="shared" si="678"/>
        <v>1442.5101517199982</v>
      </c>
      <c r="DB219" s="1012">
        <f t="shared" si="678"/>
        <v>3850.4919303600018</v>
      </c>
      <c r="DC219" s="1012">
        <f t="shared" si="678"/>
        <v>137.6449021799981</v>
      </c>
      <c r="DD219" s="1012">
        <f t="shared" si="678"/>
        <v>-992.78113928999937</v>
      </c>
      <c r="DE219" s="1012">
        <f t="shared" si="678"/>
        <v>-1171.6885952799994</v>
      </c>
      <c r="DF219" s="1012">
        <f t="shared" si="678"/>
        <v>-315.19712988000083</v>
      </c>
      <c r="DG219" s="1012">
        <f t="shared" si="678"/>
        <v>-165.21555912999884</v>
      </c>
      <c r="DH219" s="1012">
        <f t="shared" si="678"/>
        <v>342.06571017999886</v>
      </c>
      <c r="DJ219" s="1010"/>
      <c r="DK219" s="1010"/>
      <c r="DL219" s="1010"/>
      <c r="DM219" s="1010"/>
      <c r="DN219" s="1010"/>
      <c r="DO219" s="1010"/>
      <c r="DP219" s="1010"/>
      <c r="DQ219" s="1010"/>
      <c r="DR219" s="873"/>
      <c r="DS219" s="873"/>
      <c r="DT219" s="873"/>
      <c r="DU219" s="873"/>
      <c r="DW219" s="1010"/>
      <c r="DX219" s="1010"/>
      <c r="DY219" s="1010"/>
      <c r="DZ219" s="873"/>
      <c r="EA219" s="873"/>
      <c r="EB219" s="873"/>
      <c r="EC219" s="873"/>
      <c r="ED219" s="873"/>
      <c r="EE219" s="873"/>
      <c r="EF219" s="873"/>
      <c r="EG219" s="873"/>
      <c r="EH219" s="873"/>
      <c r="EI219" s="1010"/>
      <c r="EJ219" s="1010"/>
      <c r="EK219" s="1010"/>
      <c r="EL219" s="873"/>
      <c r="EM219" s="873"/>
      <c r="EN219" s="873"/>
      <c r="EO219" s="873"/>
      <c r="EP219" s="873"/>
      <c r="EQ219" s="873"/>
      <c r="ER219" s="873"/>
      <c r="ES219" s="873"/>
      <c r="ET219" s="873"/>
      <c r="EU219" s="1010"/>
      <c r="EV219" s="1010"/>
      <c r="EW219" s="1010"/>
      <c r="EX219" s="873"/>
      <c r="EY219" s="873"/>
      <c r="EZ219" s="873"/>
      <c r="FA219" s="873"/>
      <c r="FB219" s="873"/>
      <c r="FC219" s="873"/>
      <c r="FD219" s="873"/>
      <c r="FE219" s="873"/>
      <c r="FF219" s="873"/>
      <c r="FG219" s="873"/>
      <c r="FH219" s="873"/>
      <c r="FI219" s="873"/>
      <c r="FJ219" s="873"/>
      <c r="FK219" s="873"/>
      <c r="FL219" s="873"/>
      <c r="FM219" s="873"/>
      <c r="FN219" s="873"/>
      <c r="FO219" s="873"/>
      <c r="FP219" s="873"/>
      <c r="FQ219" s="873"/>
      <c r="FR219" s="873"/>
      <c r="FS219" s="873"/>
      <c r="FT219" s="873"/>
      <c r="FU219" s="873"/>
      <c r="FV219" s="873"/>
      <c r="FW219" s="873"/>
      <c r="FX219" s="873"/>
      <c r="FY219" s="873"/>
      <c r="FZ219" s="873"/>
      <c r="GA219" s="873"/>
      <c r="GB219" s="873"/>
      <c r="GC219" s="873"/>
      <c r="GD219" s="873"/>
      <c r="GF219" s="1013"/>
      <c r="GG219" s="1013"/>
      <c r="GH219" s="1013"/>
      <c r="GI219" s="1013"/>
      <c r="GJ219" s="1013"/>
      <c r="GK219" s="1013"/>
      <c r="GL219" s="1013"/>
      <c r="GM219" s="1013"/>
      <c r="GN219" s="1013"/>
      <c r="GO219" s="1013"/>
      <c r="HU219" s="1013"/>
      <c r="HV219" s="1013"/>
      <c r="HW219" s="1013"/>
      <c r="HX219" s="1013"/>
      <c r="HY219" s="1013"/>
      <c r="HZ219" s="1013"/>
      <c r="IA219" s="1013"/>
      <c r="IB219" s="1013"/>
      <c r="IC219" s="1013"/>
      <c r="ID219" s="1013"/>
      <c r="IE219" s="1013"/>
      <c r="IP219" s="1013"/>
      <c r="IQ219" s="1013"/>
      <c r="IR219" s="1013"/>
      <c r="IS219" s="1013"/>
      <c r="IT219" s="1013"/>
      <c r="IU219" s="1013"/>
      <c r="IV219" s="1013"/>
      <c r="IX219" s="1013"/>
      <c r="IY219" s="1013"/>
      <c r="IZ219" s="1013"/>
      <c r="JA219" s="1013"/>
      <c r="JB219" s="1013"/>
      <c r="JC219" s="1013"/>
      <c r="JD219" s="1013"/>
      <c r="JO219" s="1013"/>
      <c r="JP219" s="1013"/>
      <c r="JQ219" s="1013"/>
      <c r="JR219" s="1013"/>
      <c r="JS219" s="1013"/>
      <c r="JT219" s="1013"/>
      <c r="JU219" s="1013"/>
      <c r="JV219" s="1013"/>
      <c r="JW219" s="1013"/>
      <c r="JX219" s="1013"/>
      <c r="JY219" s="1013"/>
      <c r="KB219" s="1013"/>
      <c r="KC219" s="1013"/>
      <c r="KD219" s="1013"/>
      <c r="KE219" s="1013"/>
      <c r="KF219" s="1013"/>
      <c r="KG219" s="1013"/>
      <c r="KH219" s="1013"/>
      <c r="KJ219" s="1013"/>
      <c r="KK219" s="1013"/>
      <c r="KL219" s="1013"/>
      <c r="KM219" s="1013"/>
      <c r="KN219" s="1013"/>
      <c r="KO219" s="1013"/>
      <c r="KP219" s="1013"/>
      <c r="KR219" s="1013"/>
      <c r="KS219" s="1013"/>
      <c r="KT219" s="1013"/>
      <c r="KU219" s="1013"/>
      <c r="KV219" s="1013"/>
      <c r="KW219" s="1013"/>
      <c r="KX219" s="1013"/>
      <c r="KY219" s="1013"/>
      <c r="KZ219" s="1013"/>
    </row>
    <row r="220" spans="1:312" outlineLevel="1">
      <c r="A220" s="867"/>
      <c r="C220" s="1014" t="s">
        <v>769</v>
      </c>
      <c r="D220" s="662"/>
      <c r="E220" s="1011"/>
      <c r="F220" s="1011"/>
      <c r="G220" s="1011"/>
      <c r="H220" s="1011"/>
      <c r="I220" s="1011"/>
      <c r="J220" s="1011"/>
      <c r="K220" s="1011"/>
      <c r="L220" s="1011"/>
      <c r="M220" s="1011"/>
      <c r="N220" s="1011"/>
      <c r="O220" s="1011"/>
      <c r="P220" s="1011"/>
      <c r="Q220" s="1011"/>
      <c r="R220" s="1011"/>
      <c r="S220" s="1011"/>
      <c r="T220" s="1011"/>
      <c r="U220" s="1011"/>
      <c r="V220" s="1011"/>
      <c r="W220" s="1011"/>
      <c r="X220" s="1011"/>
      <c r="Y220" s="1011"/>
      <c r="Z220" s="1011"/>
      <c r="AA220" s="1011"/>
      <c r="AB220" s="1011"/>
      <c r="AC220" s="1011"/>
      <c r="AD220" s="1011"/>
      <c r="AE220" s="1011"/>
      <c r="AF220" s="1011"/>
      <c r="AG220" s="1011"/>
      <c r="AH220" s="1011"/>
      <c r="AI220" s="1011"/>
      <c r="AJ220" s="1011"/>
      <c r="AK220" s="1011"/>
      <c r="AL220" s="1011"/>
      <c r="AM220" s="1011"/>
      <c r="AN220" s="1011"/>
      <c r="AO220" s="873"/>
      <c r="AP220" s="920"/>
      <c r="AQ220" s="1010"/>
      <c r="AR220" s="1010"/>
      <c r="AS220" s="873"/>
      <c r="AT220" s="873"/>
      <c r="AU220" s="873"/>
      <c r="AV220" s="873"/>
      <c r="AW220" s="873"/>
      <c r="AX220" s="873"/>
      <c r="AY220" s="873"/>
      <c r="AZ220" s="873"/>
      <c r="BA220" s="873"/>
      <c r="BB220" s="873"/>
      <c r="BC220" s="873"/>
      <c r="BD220" s="873"/>
      <c r="BE220" s="873"/>
      <c r="BF220" s="873"/>
      <c r="BG220" s="873"/>
      <c r="BH220" s="873"/>
      <c r="BI220" s="873"/>
      <c r="BJ220" s="873"/>
      <c r="BK220" s="873"/>
      <c r="BL220" s="873"/>
      <c r="BM220" s="873">
        <f t="shared" ref="BM220:DH220" si="679">+(BM160-BM161+BM182)-(BL160-BL161+BL182)</f>
        <v>469.44072049000079</v>
      </c>
      <c r="BN220" s="873">
        <f t="shared" si="679"/>
        <v>-161.45744702000184</v>
      </c>
      <c r="BO220" s="873">
        <f t="shared" si="679"/>
        <v>129.72768084000018</v>
      </c>
      <c r="BP220" s="873">
        <f t="shared" si="679"/>
        <v>67.970313970000007</v>
      </c>
      <c r="BQ220" s="873">
        <f t="shared" si="679"/>
        <v>-417.0788922999991</v>
      </c>
      <c r="BR220" s="873">
        <f t="shared" si="679"/>
        <v>-142.49628365000171</v>
      </c>
      <c r="BS220" s="873">
        <f t="shared" si="679"/>
        <v>39.719977370001288</v>
      </c>
      <c r="BT220" s="873">
        <f t="shared" si="679"/>
        <v>21.239702249999937</v>
      </c>
      <c r="BU220" s="873">
        <f t="shared" si="679"/>
        <v>-250.58688383999925</v>
      </c>
      <c r="BV220" s="873">
        <f t="shared" si="679"/>
        <v>160.9734428699976</v>
      </c>
      <c r="BW220" s="873">
        <f t="shared" si="679"/>
        <v>-140.8292831899962</v>
      </c>
      <c r="BX220" s="873">
        <f t="shared" si="679"/>
        <v>-458.51124570000184</v>
      </c>
      <c r="BY220" s="1012">
        <f t="shared" si="679"/>
        <v>53.795877260000452</v>
      </c>
      <c r="BZ220" s="1012">
        <f t="shared" si="679"/>
        <v>159.02156529999957</v>
      </c>
      <c r="CA220" s="1012">
        <f t="shared" si="679"/>
        <v>81.768462399998953</v>
      </c>
      <c r="CB220" s="1012">
        <f t="shared" si="679"/>
        <v>-372.85229435999918</v>
      </c>
      <c r="CC220" s="1012">
        <f t="shared" si="679"/>
        <v>-474.17087617999687</v>
      </c>
      <c r="CD220" s="1012">
        <f t="shared" si="679"/>
        <v>70.080675219997374</v>
      </c>
      <c r="CE220" s="1012">
        <f t="shared" si="679"/>
        <v>112.76470105999942</v>
      </c>
      <c r="CF220" s="1012">
        <f t="shared" si="679"/>
        <v>233.19692063999992</v>
      </c>
      <c r="CG220" s="1012">
        <f t="shared" si="679"/>
        <v>216.55184865000138</v>
      </c>
      <c r="CH220" s="1012">
        <f t="shared" si="679"/>
        <v>515.32267057999661</v>
      </c>
      <c r="CI220" s="1012">
        <f t="shared" si="679"/>
        <v>221.380155870002</v>
      </c>
      <c r="CJ220" s="1012">
        <f t="shared" si="679"/>
        <v>188.01375846999963</v>
      </c>
      <c r="CK220" s="1012">
        <f t="shared" si="679"/>
        <v>284.86907794000172</v>
      </c>
      <c r="CL220" s="1012">
        <f t="shared" si="679"/>
        <v>-15.421207940001295</v>
      </c>
      <c r="CM220" s="1012">
        <f t="shared" si="679"/>
        <v>276.66062428000214</v>
      </c>
      <c r="CN220" s="1012">
        <f t="shared" si="679"/>
        <v>172.4816824699983</v>
      </c>
      <c r="CO220" s="1012">
        <f t="shared" si="679"/>
        <v>-220.77783720999923</v>
      </c>
      <c r="CP220" s="1012">
        <f t="shared" si="679"/>
        <v>11.925379979999889</v>
      </c>
      <c r="CQ220" s="1012">
        <f t="shared" si="679"/>
        <v>-259.27317300999994</v>
      </c>
      <c r="CR220" s="1012">
        <f t="shared" si="679"/>
        <v>423.59045379999907</v>
      </c>
      <c r="CS220" s="1012">
        <f t="shared" si="679"/>
        <v>-98.003247009997722</v>
      </c>
      <c r="CT220" s="1012">
        <f t="shared" si="679"/>
        <v>663.47801534999599</v>
      </c>
      <c r="CU220" s="1012">
        <f t="shared" si="679"/>
        <v>-193.91168171999925</v>
      </c>
      <c r="CV220" s="1012">
        <f t="shared" si="679"/>
        <v>470.49409104999995</v>
      </c>
      <c r="CW220" s="1012">
        <f t="shared" si="679"/>
        <v>-306.30127489999904</v>
      </c>
      <c r="CX220" s="1012">
        <f t="shared" si="679"/>
        <v>80.867404589999751</v>
      </c>
      <c r="CY220" s="1012">
        <f t="shared" si="679"/>
        <v>591.1793012600001</v>
      </c>
      <c r="CZ220" s="1012">
        <f t="shared" si="679"/>
        <v>-895.0482820799989</v>
      </c>
      <c r="DA220" s="1012">
        <f t="shared" si="679"/>
        <v>-1318.3153539100012</v>
      </c>
      <c r="DB220" s="1012">
        <f t="shared" si="679"/>
        <v>-1431.9917122100001</v>
      </c>
      <c r="DC220" s="1012">
        <f t="shared" si="679"/>
        <v>-86.595384729998614</v>
      </c>
      <c r="DD220" s="1012">
        <f t="shared" si="679"/>
        <v>273.94370041999923</v>
      </c>
      <c r="DE220" s="1012">
        <f t="shared" si="679"/>
        <v>431.32437007000044</v>
      </c>
      <c r="DF220" s="1012">
        <f t="shared" si="679"/>
        <v>89.995733799999471</v>
      </c>
      <c r="DG220" s="1012">
        <f t="shared" si="679"/>
        <v>241.83289514999842</v>
      </c>
      <c r="DH220" s="1012">
        <f t="shared" si="679"/>
        <v>190.19890314000031</v>
      </c>
      <c r="DJ220" s="1010"/>
      <c r="DK220" s="1010"/>
      <c r="DL220" s="1010"/>
      <c r="DM220" s="1010"/>
      <c r="DN220" s="1010"/>
      <c r="DO220" s="1010"/>
      <c r="DP220" s="1010"/>
      <c r="DQ220" s="1010"/>
      <c r="DR220" s="873"/>
      <c r="DS220" s="873"/>
      <c r="DT220" s="873"/>
      <c r="DU220" s="873"/>
      <c r="DW220" s="1010"/>
      <c r="DX220" s="1010"/>
      <c r="DY220" s="1010"/>
      <c r="DZ220" s="873"/>
      <c r="EA220" s="873"/>
      <c r="EB220" s="873"/>
      <c r="EC220" s="873"/>
      <c r="ED220" s="873"/>
      <c r="EE220" s="873"/>
      <c r="EF220" s="873"/>
      <c r="EG220" s="873"/>
      <c r="EH220" s="873"/>
      <c r="EI220" s="1010"/>
      <c r="EJ220" s="1010"/>
      <c r="EK220" s="1010"/>
      <c r="EL220" s="873"/>
      <c r="EM220" s="873"/>
      <c r="EN220" s="873"/>
      <c r="EO220" s="873"/>
      <c r="EP220" s="873"/>
      <c r="EQ220" s="873"/>
      <c r="ER220" s="873"/>
      <c r="ES220" s="873"/>
      <c r="ET220" s="873"/>
      <c r="EU220" s="1010"/>
      <c r="EV220" s="1010"/>
      <c r="EW220" s="1010"/>
      <c r="EX220" s="873"/>
      <c r="EY220" s="873"/>
      <c r="EZ220" s="873"/>
      <c r="FA220" s="873"/>
      <c r="FB220" s="873"/>
      <c r="FC220" s="873"/>
      <c r="FD220" s="873"/>
      <c r="FE220" s="873"/>
      <c r="FF220" s="873"/>
      <c r="FG220" s="873"/>
      <c r="FH220" s="873"/>
      <c r="FI220" s="873"/>
      <c r="FJ220" s="873"/>
      <c r="FK220" s="873"/>
      <c r="FL220" s="873"/>
      <c r="FM220" s="873"/>
      <c r="FN220" s="873"/>
      <c r="FO220" s="873"/>
      <c r="FP220" s="873"/>
      <c r="FQ220" s="873"/>
      <c r="FR220" s="873"/>
      <c r="FS220" s="873"/>
      <c r="FT220" s="873"/>
      <c r="FU220" s="873"/>
      <c r="FV220" s="873"/>
      <c r="FW220" s="873"/>
      <c r="FX220" s="873"/>
      <c r="FY220" s="873"/>
      <c r="FZ220" s="873"/>
      <c r="GA220" s="873"/>
      <c r="GB220" s="873"/>
      <c r="GC220" s="873"/>
      <c r="GD220" s="873"/>
      <c r="GF220" s="1013"/>
      <c r="GG220" s="1013"/>
      <c r="GH220" s="1013"/>
      <c r="GI220" s="1013"/>
      <c r="GJ220" s="1013"/>
      <c r="GK220" s="1013"/>
      <c r="GL220" s="1013"/>
      <c r="GM220" s="1013"/>
      <c r="GN220" s="1013"/>
      <c r="GO220" s="1013"/>
      <c r="HU220" s="1013"/>
      <c r="HV220" s="1013"/>
      <c r="HW220" s="1013"/>
      <c r="HX220" s="1013"/>
      <c r="HY220" s="1013"/>
      <c r="HZ220" s="1013"/>
      <c r="IA220" s="1013"/>
      <c r="IB220" s="1013"/>
      <c r="IC220" s="1013"/>
      <c r="ID220" s="1013"/>
      <c r="IE220" s="1013"/>
      <c r="IP220" s="1013"/>
      <c r="IQ220" s="1013"/>
      <c r="IR220" s="1013"/>
      <c r="IS220" s="1013"/>
      <c r="IT220" s="1013"/>
      <c r="IU220" s="1013"/>
      <c r="IV220" s="1013"/>
      <c r="IX220" s="1013"/>
      <c r="IY220" s="1013"/>
      <c r="IZ220" s="1013"/>
      <c r="JA220" s="1013"/>
      <c r="JB220" s="1013"/>
      <c r="JC220" s="1013"/>
      <c r="JD220" s="1013"/>
      <c r="JO220" s="1013"/>
      <c r="JP220" s="1013"/>
      <c r="JQ220" s="1013"/>
      <c r="JR220" s="1013"/>
      <c r="JS220" s="1013"/>
      <c r="JT220" s="1013"/>
      <c r="JU220" s="1013"/>
      <c r="JV220" s="1013"/>
      <c r="JW220" s="1013"/>
      <c r="JX220" s="1013"/>
      <c r="JY220" s="1013"/>
      <c r="KB220" s="1013"/>
      <c r="KC220" s="1013"/>
      <c r="KD220" s="1013"/>
      <c r="KE220" s="1013"/>
      <c r="KF220" s="1013"/>
      <c r="KG220" s="1013"/>
      <c r="KH220" s="1013"/>
      <c r="KJ220" s="1013"/>
      <c r="KK220" s="1013"/>
      <c r="KL220" s="1013"/>
      <c r="KM220" s="1013"/>
      <c r="KN220" s="1013"/>
      <c r="KO220" s="1013"/>
      <c r="KP220" s="1013"/>
      <c r="KR220" s="1013"/>
      <c r="KS220" s="1013"/>
      <c r="KT220" s="1013"/>
      <c r="KU220" s="1013"/>
      <c r="KV220" s="1013"/>
      <c r="KW220" s="1013"/>
      <c r="KX220" s="1013"/>
      <c r="KY220" s="1013"/>
      <c r="KZ220" s="1013"/>
    </row>
    <row r="221" spans="1:312">
      <c r="A221" s="867"/>
      <c r="C221" s="1010" t="s">
        <v>105</v>
      </c>
      <c r="D221" s="662"/>
      <c r="E221" s="1011"/>
      <c r="F221" s="1011"/>
      <c r="G221" s="1011"/>
      <c r="H221" s="1011"/>
      <c r="I221" s="1011"/>
      <c r="J221" s="1011"/>
      <c r="K221" s="1011"/>
      <c r="L221" s="1011"/>
      <c r="M221" s="1011"/>
      <c r="N221" s="1011"/>
      <c r="O221" s="1011"/>
      <c r="P221" s="1011"/>
      <c r="Q221" s="1011"/>
      <c r="R221" s="1011"/>
      <c r="S221" s="1011"/>
      <c r="T221" s="1011"/>
      <c r="U221" s="1011"/>
      <c r="V221" s="1011"/>
      <c r="W221" s="1011"/>
      <c r="X221" s="1011"/>
      <c r="Y221" s="1011"/>
      <c r="Z221" s="1011"/>
      <c r="AA221" s="1011"/>
      <c r="AB221" s="1011"/>
      <c r="AC221" s="1011"/>
      <c r="AD221" s="1011"/>
      <c r="AE221" s="1011"/>
      <c r="AF221" s="1011"/>
      <c r="AG221" s="1011"/>
      <c r="AH221" s="1011"/>
      <c r="AI221" s="1011"/>
      <c r="AJ221" s="1011"/>
      <c r="AK221" s="1011"/>
      <c r="AL221" s="1011"/>
      <c r="AM221" s="1011"/>
      <c r="AN221" s="1011"/>
      <c r="AO221" s="873">
        <v>-342.59574300000003</v>
      </c>
      <c r="AP221" s="920">
        <v>227.055959</v>
      </c>
      <c r="AQ221" s="1010">
        <v>154.76459399999999</v>
      </c>
      <c r="AR221" s="1010">
        <v>-173.50996699999999</v>
      </c>
      <c r="AS221" s="873">
        <v>836.84692299999995</v>
      </c>
      <c r="AT221" s="873">
        <v>449.49954535000006</v>
      </c>
      <c r="AU221" s="873">
        <v>-34.353543250000001</v>
      </c>
      <c r="AV221" s="873">
        <v>19.073401</v>
      </c>
      <c r="AW221" s="873">
        <v>82.199792340000002</v>
      </c>
      <c r="AX221" s="873">
        <v>-1218.98096145</v>
      </c>
      <c r="AY221" s="873">
        <v>0</v>
      </c>
      <c r="AZ221" s="873">
        <v>-185.08647999999999</v>
      </c>
      <c r="BA221" s="873">
        <v>0</v>
      </c>
      <c r="BB221" s="873">
        <v>0</v>
      </c>
      <c r="BC221" s="873">
        <v>0</v>
      </c>
      <c r="BD221" s="873">
        <v>0</v>
      </c>
      <c r="BE221" s="873">
        <v>0</v>
      </c>
      <c r="BF221" s="873">
        <v>0</v>
      </c>
      <c r="BG221" s="873">
        <v>0</v>
      </c>
      <c r="BH221" s="873">
        <v>0</v>
      </c>
      <c r="BI221" s="873">
        <v>0</v>
      </c>
      <c r="BJ221" s="873">
        <v>0</v>
      </c>
      <c r="BK221" s="873">
        <v>0</v>
      </c>
      <c r="BL221" s="873">
        <v>0</v>
      </c>
      <c r="BM221" s="873">
        <f t="shared" ref="BM221:BX221" si="680">-BM100</f>
        <v>0</v>
      </c>
      <c r="BN221" s="873">
        <f t="shared" si="680"/>
        <v>0</v>
      </c>
      <c r="BO221" s="873">
        <f t="shared" si="680"/>
        <v>0</v>
      </c>
      <c r="BP221" s="873">
        <f t="shared" si="680"/>
        <v>-60.463429759999997</v>
      </c>
      <c r="BQ221" s="873">
        <f t="shared" si="680"/>
        <v>0</v>
      </c>
      <c r="BR221" s="873">
        <f t="shared" si="680"/>
        <v>0</v>
      </c>
      <c r="BS221" s="873">
        <f t="shared" si="680"/>
        <v>0</v>
      </c>
      <c r="BT221" s="873">
        <f t="shared" si="680"/>
        <v>0</v>
      </c>
      <c r="BU221" s="873">
        <f t="shared" si="680"/>
        <v>0</v>
      </c>
      <c r="BV221" s="873">
        <f t="shared" si="680"/>
        <v>0</v>
      </c>
      <c r="BW221" s="873">
        <f t="shared" si="680"/>
        <v>0</v>
      </c>
      <c r="BX221" s="873">
        <f t="shared" si="680"/>
        <v>-23.250530999999999</v>
      </c>
      <c r="BY221" s="1012">
        <f t="shared" ref="BY221:DH221" si="681">BY100</f>
        <v>0</v>
      </c>
      <c r="BZ221" s="1012">
        <f t="shared" si="681"/>
        <v>0</v>
      </c>
      <c r="CA221" s="1012">
        <f t="shared" si="681"/>
        <v>0</v>
      </c>
      <c r="CB221" s="1012">
        <f t="shared" si="681"/>
        <v>0</v>
      </c>
      <c r="CC221" s="1012">
        <f t="shared" si="681"/>
        <v>0</v>
      </c>
      <c r="CD221" s="1012">
        <f t="shared" si="681"/>
        <v>0</v>
      </c>
      <c r="CE221" s="1012">
        <f t="shared" si="681"/>
        <v>0</v>
      </c>
      <c r="CF221" s="1012">
        <f t="shared" si="681"/>
        <v>0</v>
      </c>
      <c r="CG221" s="1012">
        <f t="shared" si="681"/>
        <v>0</v>
      </c>
      <c r="CH221" s="1012">
        <f t="shared" si="681"/>
        <v>0</v>
      </c>
      <c r="CI221" s="1012">
        <f t="shared" si="681"/>
        <v>0</v>
      </c>
      <c r="CJ221" s="1012">
        <f t="shared" si="681"/>
        <v>-453.28872899999999</v>
      </c>
      <c r="CK221" s="1012">
        <f t="shared" si="681"/>
        <v>0</v>
      </c>
      <c r="CL221" s="1012">
        <f t="shared" si="681"/>
        <v>0</v>
      </c>
      <c r="CM221" s="1012">
        <f t="shared" si="681"/>
        <v>0</v>
      </c>
      <c r="CN221" s="1012">
        <f t="shared" si="681"/>
        <v>0</v>
      </c>
      <c r="CO221" s="1012">
        <f t="shared" si="681"/>
        <v>0</v>
      </c>
      <c r="CP221" s="1012">
        <f t="shared" si="681"/>
        <v>0</v>
      </c>
      <c r="CQ221" s="1012">
        <f t="shared" si="681"/>
        <v>0</v>
      </c>
      <c r="CR221" s="1012">
        <f t="shared" si="681"/>
        <v>0</v>
      </c>
      <c r="CS221" s="1012">
        <f t="shared" si="681"/>
        <v>0</v>
      </c>
      <c r="CT221" s="1012">
        <f t="shared" si="681"/>
        <v>0</v>
      </c>
      <c r="CU221" s="1012">
        <f t="shared" si="681"/>
        <v>0</v>
      </c>
      <c r="CV221" s="1012">
        <f t="shared" si="681"/>
        <v>-725.85913900000003</v>
      </c>
      <c r="CW221" s="1012">
        <f t="shared" si="681"/>
        <v>0</v>
      </c>
      <c r="CX221" s="1012">
        <f t="shared" si="681"/>
        <v>0</v>
      </c>
      <c r="CY221" s="1012">
        <f t="shared" si="681"/>
        <v>0</v>
      </c>
      <c r="CZ221" s="1012">
        <f t="shared" si="681"/>
        <v>0</v>
      </c>
      <c r="DA221" s="1012">
        <f t="shared" si="681"/>
        <v>0</v>
      </c>
      <c r="DB221" s="1012">
        <f t="shared" si="681"/>
        <v>0</v>
      </c>
      <c r="DC221" s="1012">
        <f t="shared" si="681"/>
        <v>0</v>
      </c>
      <c r="DD221" s="1012">
        <f t="shared" si="681"/>
        <v>0</v>
      </c>
      <c r="DE221" s="1012">
        <f t="shared" si="681"/>
        <v>0</v>
      </c>
      <c r="DF221" s="1012">
        <f t="shared" si="681"/>
        <v>0</v>
      </c>
      <c r="DG221" s="1012">
        <f t="shared" si="681"/>
        <v>0</v>
      </c>
      <c r="DH221" s="1012">
        <f t="shared" si="681"/>
        <v>-335.46991600000001</v>
      </c>
      <c r="DJ221" s="1010"/>
      <c r="DK221" s="1010"/>
      <c r="DL221" s="1010"/>
      <c r="DM221" s="1010"/>
      <c r="DN221" s="1010"/>
      <c r="DO221" s="1010"/>
      <c r="DP221" s="1010"/>
      <c r="DQ221" s="1010"/>
      <c r="DR221" s="873"/>
      <c r="DS221" s="873"/>
      <c r="DT221" s="873"/>
      <c r="DU221" s="873"/>
      <c r="DW221" s="1010">
        <v>-205.11983740901564</v>
      </c>
      <c r="DX221" s="1010">
        <v>142.68246604795445</v>
      </c>
      <c r="DY221" s="1010">
        <v>107.7599811207825</v>
      </c>
      <c r="DZ221" s="873">
        <v>-206.90828813833704</v>
      </c>
      <c r="EA221" s="873">
        <v>-81.691401175770551</v>
      </c>
      <c r="EB221" s="873">
        <v>-162.22619998015315</v>
      </c>
      <c r="EC221" s="873">
        <v>-491.16627685144937</v>
      </c>
      <c r="ED221" s="873">
        <v>-812.53629554199074</v>
      </c>
      <c r="EE221" s="873">
        <v>-495.46800999927979</v>
      </c>
      <c r="EF221" s="873">
        <v>-589.06810817958376</v>
      </c>
      <c r="EG221" s="873">
        <v>-523.78914308202968</v>
      </c>
      <c r="EH221" s="873">
        <v>-367.7378291259497</v>
      </c>
      <c r="EI221" s="1010"/>
      <c r="EJ221" s="1010"/>
      <c r="EK221" s="1010"/>
      <c r="EL221" s="873"/>
      <c r="EM221" s="873"/>
      <c r="EN221" s="873"/>
      <c r="EO221" s="873"/>
      <c r="EP221" s="873"/>
      <c r="EQ221" s="873"/>
      <c r="ER221" s="873"/>
      <c r="ES221" s="873"/>
      <c r="ET221" s="873"/>
      <c r="EU221" s="1010"/>
      <c r="EV221" s="1010"/>
      <c r="EW221" s="1010"/>
      <c r="EX221" s="873"/>
      <c r="EY221" s="873"/>
      <c r="EZ221" s="873"/>
      <c r="FA221" s="873"/>
      <c r="FB221" s="873"/>
      <c r="FC221" s="873"/>
      <c r="FD221" s="873"/>
      <c r="FE221" s="873"/>
      <c r="FF221" s="873"/>
      <c r="FG221" s="873"/>
      <c r="FH221" s="873"/>
      <c r="FI221" s="873"/>
      <c r="FJ221" s="873"/>
      <c r="FK221" s="873"/>
      <c r="FL221" s="873"/>
      <c r="FM221" s="873"/>
      <c r="FN221" s="873"/>
      <c r="FO221" s="873"/>
      <c r="FP221" s="873"/>
      <c r="FQ221" s="873"/>
      <c r="FR221" s="873"/>
      <c r="FS221" s="873"/>
      <c r="FT221" s="873"/>
      <c r="FU221" s="873"/>
      <c r="FV221" s="873"/>
      <c r="FW221" s="873"/>
      <c r="FX221" s="873"/>
      <c r="FY221" s="873"/>
      <c r="FZ221" s="873"/>
      <c r="GA221" s="873"/>
      <c r="GB221" s="873"/>
      <c r="GC221" s="873"/>
      <c r="GD221" s="873"/>
      <c r="GF221" s="1013"/>
      <c r="GG221" s="1013"/>
      <c r="GH221" s="1013"/>
      <c r="GI221" s="1013"/>
      <c r="GJ221" s="1013"/>
      <c r="GK221" s="1013"/>
      <c r="GL221" s="1013"/>
      <c r="GM221" s="1013"/>
      <c r="GN221" s="1013"/>
      <c r="GO221" s="1013"/>
      <c r="HU221" s="1013"/>
      <c r="HV221" s="1013"/>
      <c r="HW221" s="1013"/>
      <c r="HX221" s="1013"/>
      <c r="HY221" s="1013"/>
      <c r="HZ221" s="1013"/>
      <c r="IA221" s="1013"/>
      <c r="IB221" s="1013"/>
      <c r="IC221" s="1013"/>
      <c r="ID221" s="1013"/>
      <c r="IE221" s="1013"/>
      <c r="IP221" s="1013"/>
      <c r="IQ221" s="1013"/>
      <c r="IR221" s="1013"/>
      <c r="IS221" s="1013"/>
      <c r="IT221" s="1013"/>
      <c r="IU221" s="1013"/>
      <c r="IV221" s="1013"/>
      <c r="IX221" s="1013"/>
      <c r="IY221" s="1013"/>
      <c r="IZ221" s="1013"/>
      <c r="JA221" s="1013"/>
      <c r="JB221" s="1013"/>
      <c r="JC221" s="1013"/>
      <c r="JD221" s="1013"/>
      <c r="JO221" s="1013"/>
      <c r="JP221" s="1013"/>
      <c r="JQ221" s="1013"/>
      <c r="JR221" s="1013"/>
      <c r="JS221" s="1013"/>
      <c r="JT221" s="1013"/>
      <c r="JU221" s="1013"/>
      <c r="JV221" s="1013"/>
      <c r="JW221" s="1013"/>
      <c r="JX221" s="1013"/>
      <c r="JY221" s="1013"/>
      <c r="KB221" s="1013"/>
      <c r="KC221" s="1013"/>
      <c r="KD221" s="1013"/>
      <c r="KE221" s="1013"/>
      <c r="KF221" s="1013"/>
      <c r="KG221" s="1013"/>
      <c r="KH221" s="1013"/>
      <c r="KJ221" s="1013"/>
      <c r="KK221" s="1013"/>
      <c r="KL221" s="1013"/>
      <c r="KM221" s="1013"/>
      <c r="KN221" s="1013"/>
      <c r="KO221" s="1013"/>
      <c r="KP221" s="1013"/>
      <c r="KR221" s="1013"/>
      <c r="KS221" s="1013"/>
      <c r="KT221" s="1013"/>
      <c r="KU221" s="1013"/>
      <c r="KV221" s="1013"/>
      <c r="KW221" s="1013"/>
      <c r="KX221" s="1013"/>
      <c r="KY221" s="1013"/>
      <c r="KZ221" s="1013"/>
    </row>
    <row r="222" spans="1:312" ht="15" thickBot="1">
      <c r="A222" s="867"/>
      <c r="C222" s="1004" t="s">
        <v>770</v>
      </c>
      <c r="D222" s="1015"/>
      <c r="E222" s="1016"/>
      <c r="F222" s="1016"/>
      <c r="G222" s="1016"/>
      <c r="H222" s="1016"/>
      <c r="I222" s="1016"/>
      <c r="J222" s="1016"/>
      <c r="K222" s="1016"/>
      <c r="L222" s="1016"/>
      <c r="M222" s="1016"/>
      <c r="N222" s="1016"/>
      <c r="O222" s="1016"/>
      <c r="P222" s="1016"/>
      <c r="Q222" s="1016"/>
      <c r="R222" s="1016"/>
      <c r="S222" s="1016"/>
      <c r="T222" s="1016"/>
      <c r="U222" s="1016"/>
      <c r="V222" s="1016"/>
      <c r="W222" s="1016"/>
      <c r="X222" s="1016"/>
      <c r="Y222" s="1016"/>
      <c r="Z222" s="1016"/>
      <c r="AA222" s="1016"/>
      <c r="AB222" s="1016"/>
      <c r="AC222" s="1016"/>
      <c r="AD222" s="1016"/>
      <c r="AE222" s="1016"/>
      <c r="AF222" s="1016"/>
      <c r="AG222" s="1016"/>
      <c r="AH222" s="1016"/>
      <c r="AI222" s="1016"/>
      <c r="AJ222" s="1016"/>
      <c r="AK222" s="1016"/>
      <c r="AL222" s="1016"/>
      <c r="AM222" s="1016"/>
      <c r="AN222" s="1016"/>
      <c r="AO222" s="1017">
        <v>-2620.1679874899901</v>
      </c>
      <c r="AP222" s="1018">
        <v>-1750.8877078700082</v>
      </c>
      <c r="AQ222" s="1004">
        <v>-1374.9747188799947</v>
      </c>
      <c r="AR222" s="1004">
        <v>-470.02403891999995</v>
      </c>
      <c r="AS222" s="1017">
        <v>-1998.6951302300049</v>
      </c>
      <c r="AT222" s="1017">
        <v>-898.68387107999843</v>
      </c>
      <c r="AU222" s="1017">
        <v>32.846818099998146</v>
      </c>
      <c r="AV222" s="1017">
        <v>-362.19267759999667</v>
      </c>
      <c r="AW222" s="1017">
        <v>-685.63441656000089</v>
      </c>
      <c r="AX222" s="1017">
        <v>762.72506878000127</v>
      </c>
      <c r="AY222" s="1017">
        <v>82.171572889998629</v>
      </c>
      <c r="AZ222" s="1017">
        <v>-944.40479694999976</v>
      </c>
      <c r="BA222" s="1017">
        <v>-672.40643524000495</v>
      </c>
      <c r="BB222" s="1017">
        <v>465.23670825000232</v>
      </c>
      <c r="BC222" s="1017">
        <v>60.856585410002481</v>
      </c>
      <c r="BD222" s="1017">
        <v>1082.691165460001</v>
      </c>
      <c r="BE222" s="1017">
        <v>-975.02840518000255</v>
      </c>
      <c r="BF222" s="1017">
        <v>-170.93778313000053</v>
      </c>
      <c r="BG222" s="1017">
        <v>-455.44291792999962</v>
      </c>
      <c r="BH222" s="1017">
        <v>0.62983312000030622</v>
      </c>
      <c r="BI222" s="1017">
        <v>175.25775602999965</v>
      </c>
      <c r="BJ222" s="1017">
        <v>-100.09259366999862</v>
      </c>
      <c r="BK222" s="1017">
        <v>1230.4557402899984</v>
      </c>
      <c r="BL222" s="1017">
        <v>-286.44729881000001</v>
      </c>
      <c r="BM222" s="1017">
        <f t="shared" ref="BM222:DH222" si="682">+SUM(BM215:BM218,BM221)</f>
        <v>-501.03534103999402</v>
      </c>
      <c r="BN222" s="1017">
        <f t="shared" si="682"/>
        <v>-531.72609538000461</v>
      </c>
      <c r="BO222" s="1017">
        <f t="shared" si="682"/>
        <v>545.78362233999906</v>
      </c>
      <c r="BP222" s="1017">
        <f t="shared" si="682"/>
        <v>-236.38054035000135</v>
      </c>
      <c r="BQ222" s="1017">
        <f t="shared" si="682"/>
        <v>586.77014423000423</v>
      </c>
      <c r="BR222" s="1017">
        <f t="shared" si="682"/>
        <v>7.9852438099960636</v>
      </c>
      <c r="BS222" s="1017">
        <f t="shared" si="682"/>
        <v>-205.22005824999724</v>
      </c>
      <c r="BT222" s="1017">
        <f t="shared" si="682"/>
        <v>341.25107186999935</v>
      </c>
      <c r="BU222" s="1017">
        <f t="shared" si="682"/>
        <v>-227.79857627999749</v>
      </c>
      <c r="BV222" s="1017">
        <f t="shared" si="682"/>
        <v>915.6354394299965</v>
      </c>
      <c r="BW222" s="1017">
        <f t="shared" si="682"/>
        <v>76.012010000004636</v>
      </c>
      <c r="BX222" s="1017">
        <f t="shared" si="682"/>
        <v>558.10754253999596</v>
      </c>
      <c r="BY222" s="1019">
        <f t="shared" si="682"/>
        <v>-540.79897680000113</v>
      </c>
      <c r="BZ222" s="1019">
        <f t="shared" si="682"/>
        <v>372.63191332000537</v>
      </c>
      <c r="CA222" s="1019">
        <f t="shared" si="682"/>
        <v>-52.495155720003197</v>
      </c>
      <c r="CB222" s="1019">
        <f t="shared" si="682"/>
        <v>198.63248882000232</v>
      </c>
      <c r="CC222" s="1019">
        <f t="shared" si="682"/>
        <v>104.5743403499997</v>
      </c>
      <c r="CD222" s="1019">
        <f t="shared" si="682"/>
        <v>-84.375954529999959</v>
      </c>
      <c r="CE222" s="1019">
        <f t="shared" si="682"/>
        <v>1030.8102633699993</v>
      </c>
      <c r="CF222" s="1019">
        <f t="shared" si="682"/>
        <v>380.54241804000083</v>
      </c>
      <c r="CG222" s="1019">
        <f t="shared" si="682"/>
        <v>-683.13423335000141</v>
      </c>
      <c r="CH222" s="1019">
        <f t="shared" si="682"/>
        <v>-364.94698297000605</v>
      </c>
      <c r="CI222" s="1019">
        <f t="shared" si="682"/>
        <v>1.819370940004319</v>
      </c>
      <c r="CJ222" s="1019">
        <f t="shared" si="682"/>
        <v>136.41889934999983</v>
      </c>
      <c r="CK222" s="1019">
        <f t="shared" si="682"/>
        <v>-355.69598859999871</v>
      </c>
      <c r="CL222" s="1019">
        <f t="shared" si="682"/>
        <v>460.77905025999996</v>
      </c>
      <c r="CM222" s="1019">
        <f t="shared" si="682"/>
        <v>377.26713041000062</v>
      </c>
      <c r="CN222" s="1019">
        <f t="shared" si="682"/>
        <v>-17.732610310000581</v>
      </c>
      <c r="CO222" s="1019">
        <f t="shared" si="682"/>
        <v>163.43961391000084</v>
      </c>
      <c r="CP222" s="1019">
        <f t="shared" si="682"/>
        <v>335.81872399000235</v>
      </c>
      <c r="CQ222" s="1019">
        <f t="shared" si="682"/>
        <v>557.46462912999812</v>
      </c>
      <c r="CR222" s="1019">
        <f t="shared" si="682"/>
        <v>863.23539047000406</v>
      </c>
      <c r="CS222" s="1019">
        <f t="shared" si="682"/>
        <v>96.059754939997561</v>
      </c>
      <c r="CT222" s="1019">
        <f t="shared" si="682"/>
        <v>-357.78577981000478</v>
      </c>
      <c r="CU222" s="1019">
        <f t="shared" si="682"/>
        <v>-284.2046181299948</v>
      </c>
      <c r="CV222" s="1019">
        <f t="shared" si="682"/>
        <v>1005.3513657099958</v>
      </c>
      <c r="CW222" s="1019">
        <f t="shared" si="682"/>
        <v>-238.2870551900005</v>
      </c>
      <c r="CX222" s="1019">
        <f t="shared" si="682"/>
        <v>-646.50745035999489</v>
      </c>
      <c r="CY222" s="1019">
        <f t="shared" si="682"/>
        <v>-680.9637243900014</v>
      </c>
      <c r="CZ222" s="1019">
        <f t="shared" si="682"/>
        <v>1537.7419146100008</v>
      </c>
      <c r="DA222" s="1019">
        <f t="shared" si="682"/>
        <v>120.28964325999719</v>
      </c>
      <c r="DB222" s="1019">
        <f t="shared" si="682"/>
        <v>558.44708558000389</v>
      </c>
      <c r="DC222" s="1019">
        <f t="shared" si="682"/>
        <v>-137.30582959000344</v>
      </c>
      <c r="DD222" s="1019">
        <f t="shared" si="682"/>
        <v>-462.28028503999695</v>
      </c>
      <c r="DE222" s="1019">
        <f t="shared" si="682"/>
        <v>-542.29735881000374</v>
      </c>
      <c r="DF222" s="1019">
        <f t="shared" si="682"/>
        <v>168.50092930999654</v>
      </c>
      <c r="DG222" s="1019">
        <f t="shared" si="682"/>
        <v>278.74544034999627</v>
      </c>
      <c r="DH222" s="1019">
        <f t="shared" si="682"/>
        <v>1039.4653569899999</v>
      </c>
      <c r="DI222" s="25"/>
      <c r="DJ222" s="1004"/>
      <c r="DK222" s="1004"/>
      <c r="DL222" s="1004"/>
      <c r="DM222" s="1004"/>
      <c r="DN222" s="1004"/>
      <c r="DO222" s="1004"/>
      <c r="DP222" s="1004"/>
      <c r="DQ222" s="1004"/>
      <c r="DR222" s="1017"/>
      <c r="DS222" s="1017"/>
      <c r="DT222" s="1017"/>
      <c r="DU222" s="1017"/>
      <c r="DW222" s="1004">
        <v>990.28063528999451</v>
      </c>
      <c r="DX222" s="1004">
        <v>-2350.9162548959957</v>
      </c>
      <c r="DY222" s="1004">
        <v>350.53529432700145</v>
      </c>
      <c r="DZ222" s="1017">
        <v>1035.4790125022325</v>
      </c>
      <c r="EA222" s="1017">
        <v>-1183.8081561622282</v>
      </c>
      <c r="EB222" s="1017">
        <v>570.68159551409701</v>
      </c>
      <c r="EC222" s="1017">
        <v>888.88694809701087</v>
      </c>
      <c r="ED222" s="1017">
        <v>-373.58210567092215</v>
      </c>
      <c r="EE222" s="1017">
        <v>737.65323734587992</v>
      </c>
      <c r="EF222" s="1017">
        <v>1307.8009063304441</v>
      </c>
      <c r="EG222" s="1017">
        <v>866.87140881641983</v>
      </c>
      <c r="EH222" s="1017">
        <v>261.3014910025006</v>
      </c>
      <c r="EI222" s="1004">
        <f>SUM(EI215:EI221)</f>
        <v>-182.82359112956044</v>
      </c>
      <c r="EJ222" s="1004">
        <f t="shared" ref="EJ222:FF222" si="683">SUM(EJ215:EJ221)</f>
        <v>-45.584436750366365</v>
      </c>
      <c r="EK222" s="1004">
        <f t="shared" si="683"/>
        <v>-29.45856852470331</v>
      </c>
      <c r="EL222" s="1017">
        <f t="shared" si="683"/>
        <v>-97.639009168528958</v>
      </c>
      <c r="EM222" s="1017">
        <f t="shared" si="683"/>
        <v>109.24490857162789</v>
      </c>
      <c r="EN222" s="1017">
        <f t="shared" si="683"/>
        <v>320.89010179358502</v>
      </c>
      <c r="EO222" s="1017">
        <f t="shared" si="683"/>
        <v>383.86049724361192</v>
      </c>
      <c r="EP222" s="1017">
        <f t="shared" si="683"/>
        <v>453.85232322619459</v>
      </c>
      <c r="EQ222" s="1017">
        <f t="shared" si="683"/>
        <v>419.57474811203338</v>
      </c>
      <c r="ER222" s="1017">
        <f t="shared" si="683"/>
        <v>478.60959561466711</v>
      </c>
      <c r="ES222" s="1017">
        <f t="shared" si="683"/>
        <v>369.93309816674247</v>
      </c>
      <c r="ET222" s="1017">
        <f t="shared" si="683"/>
        <v>170.06329953912251</v>
      </c>
      <c r="EU222" s="1004">
        <f t="shared" si="683"/>
        <v>135.05859800000002</v>
      </c>
      <c r="EV222" s="1004">
        <f t="shared" si="683"/>
        <v>336.8367549100002</v>
      </c>
      <c r="EW222" s="1004">
        <f t="shared" si="683"/>
        <v>341.36084599999981</v>
      </c>
      <c r="EX222" s="1017">
        <f t="shared" si="683"/>
        <v>297.18355891000004</v>
      </c>
      <c r="EY222" s="1017">
        <f t="shared" si="683"/>
        <v>314.96711791000018</v>
      </c>
      <c r="EZ222" s="1017">
        <f t="shared" si="683"/>
        <v>282.30310291000006</v>
      </c>
      <c r="FA222" s="1017">
        <f t="shared" si="683"/>
        <v>307.20153890999984</v>
      </c>
      <c r="FB222" s="1017">
        <f t="shared" si="683"/>
        <v>101.67076090999996</v>
      </c>
      <c r="FC222" s="1017">
        <f t="shared" si="683"/>
        <v>-6.2338200000000938</v>
      </c>
      <c r="FD222" s="1017">
        <f t="shared" si="683"/>
        <v>-83.64703609</v>
      </c>
      <c r="FE222" s="1017">
        <f t="shared" si="683"/>
        <v>-26.128150090000162</v>
      </c>
      <c r="FF222" s="1017">
        <f t="shared" si="683"/>
        <v>-82.266508000000073</v>
      </c>
      <c r="FG222" s="1017"/>
      <c r="FH222" s="1017"/>
      <c r="FI222" s="1017"/>
      <c r="FJ222" s="1017"/>
      <c r="FK222" s="1017"/>
      <c r="FL222" s="1017"/>
      <c r="FM222" s="1017"/>
      <c r="FN222" s="1017"/>
      <c r="FO222" s="1017"/>
      <c r="FP222" s="1017"/>
      <c r="FQ222" s="1017"/>
      <c r="FR222" s="1017"/>
      <c r="FS222" s="1017"/>
      <c r="FT222" s="1017"/>
      <c r="FU222" s="1017"/>
      <c r="FV222" s="1017"/>
      <c r="FW222" s="1017"/>
      <c r="FX222" s="1017"/>
      <c r="FY222" s="1017"/>
      <c r="FZ222" s="1017"/>
      <c r="GA222" s="1017"/>
      <c r="GB222" s="1017"/>
      <c r="GC222" s="1017"/>
      <c r="GD222" s="1017"/>
      <c r="GF222" s="1009"/>
      <c r="GG222" s="1009"/>
      <c r="GH222" s="1009"/>
      <c r="GI222" s="1009"/>
      <c r="GJ222" s="1009"/>
      <c r="GK222" s="1009"/>
      <c r="GL222" s="1009"/>
      <c r="GM222" s="1009"/>
      <c r="GN222" s="1009"/>
      <c r="GO222" s="1009"/>
      <c r="HU222" s="1009"/>
      <c r="HV222" s="1009"/>
      <c r="HW222" s="1009"/>
      <c r="HX222" s="1009"/>
      <c r="HY222" s="1009"/>
      <c r="HZ222" s="1009"/>
      <c r="IA222" s="1009"/>
      <c r="IB222" s="1009"/>
      <c r="IC222" s="1009"/>
      <c r="ID222" s="1009"/>
      <c r="IE222" s="1009"/>
      <c r="IP222" s="1009"/>
      <c r="IQ222" s="1009"/>
      <c r="IR222" s="1009"/>
      <c r="IS222" s="1009"/>
      <c r="IT222" s="1009"/>
      <c r="IU222" s="1009"/>
      <c r="IV222" s="1009"/>
      <c r="IX222" s="1009"/>
      <c r="IY222" s="1009"/>
      <c r="IZ222" s="1009"/>
      <c r="JA222" s="1009"/>
      <c r="JB222" s="1009"/>
      <c r="JC222" s="1009"/>
      <c r="JD222" s="1009"/>
      <c r="JO222" s="1009"/>
      <c r="JP222" s="1009"/>
      <c r="JQ222" s="1009"/>
      <c r="JR222" s="1009"/>
      <c r="JS222" s="1009"/>
      <c r="JT222" s="1009"/>
      <c r="JU222" s="1009"/>
      <c r="JV222" s="1009"/>
      <c r="JW222" s="1009"/>
      <c r="JX222" s="1009"/>
      <c r="JY222" s="1009"/>
      <c r="KB222" s="1009"/>
      <c r="KC222" s="1009"/>
      <c r="KD222" s="1009"/>
      <c r="KE222" s="1009"/>
      <c r="KF222" s="1009"/>
      <c r="KG222" s="1009"/>
      <c r="KH222" s="1009"/>
      <c r="KJ222" s="1009"/>
      <c r="KK222" s="1009"/>
      <c r="KL222" s="1009"/>
      <c r="KM222" s="1009"/>
      <c r="KN222" s="1009"/>
      <c r="KO222" s="1009"/>
      <c r="KP222" s="1009"/>
      <c r="KR222" s="1009"/>
      <c r="KS222" s="1009"/>
      <c r="KT222" s="1009"/>
      <c r="KU222" s="1009"/>
      <c r="KV222" s="1009"/>
      <c r="KW222" s="1009"/>
      <c r="KX222" s="1009"/>
      <c r="KY222" s="1009"/>
      <c r="KZ222" s="1009"/>
    </row>
    <row r="223" spans="1:312" ht="15" thickTop="1">
      <c r="A223" s="867"/>
      <c r="C223" s="1020" t="s">
        <v>771</v>
      </c>
      <c r="D223" s="662"/>
      <c r="E223" s="1011"/>
      <c r="F223" s="1011"/>
      <c r="G223" s="1011"/>
      <c r="H223" s="1011"/>
      <c r="I223" s="1011"/>
      <c r="J223" s="1011"/>
      <c r="K223" s="1011"/>
      <c r="L223" s="1011"/>
      <c r="M223" s="1011"/>
      <c r="N223" s="1011"/>
      <c r="O223" s="1011"/>
      <c r="P223" s="1011"/>
      <c r="Q223" s="1011"/>
      <c r="R223" s="1011"/>
      <c r="S223" s="1011"/>
      <c r="T223" s="1011"/>
      <c r="U223" s="1011"/>
      <c r="V223" s="1011"/>
      <c r="W223" s="1011"/>
      <c r="X223" s="1011"/>
      <c r="Y223" s="1011"/>
      <c r="Z223" s="1011"/>
      <c r="AA223" s="1011"/>
      <c r="AB223" s="1011"/>
      <c r="AC223" s="1011"/>
      <c r="AD223" s="1011"/>
      <c r="AE223" s="1011"/>
      <c r="AF223" s="1011"/>
      <c r="AG223" s="1011"/>
      <c r="AH223" s="1011"/>
      <c r="AI223" s="1011"/>
      <c r="AJ223" s="1011"/>
      <c r="AK223" s="1011"/>
      <c r="AL223" s="1011"/>
      <c r="AM223" s="1011"/>
      <c r="AN223" s="1011"/>
      <c r="AO223" s="1021">
        <v>0</v>
      </c>
      <c r="AP223" s="1020">
        <v>2841.7856456099994</v>
      </c>
      <c r="AQ223" s="1020">
        <v>0</v>
      </c>
      <c r="AR223" s="1020">
        <v>0</v>
      </c>
      <c r="AS223" s="1021">
        <v>1586.942088</v>
      </c>
      <c r="AT223" s="1021">
        <v>84.760749000000004</v>
      </c>
      <c r="AU223" s="1021">
        <v>82.564316000000005</v>
      </c>
      <c r="AV223" s="1021">
        <v>80.352684999999994</v>
      </c>
      <c r="AW223" s="1021">
        <v>78.135266000000001</v>
      </c>
      <c r="AX223" s="1021">
        <v>75.894739999999999</v>
      </c>
      <c r="AY223" s="1021">
        <v>73.642101999999994</v>
      </c>
      <c r="AZ223" s="1021">
        <v>0</v>
      </c>
      <c r="BA223" s="1021">
        <v>0</v>
      </c>
      <c r="BB223" s="1021">
        <v>0</v>
      </c>
      <c r="BC223" s="1021">
        <v>0</v>
      </c>
      <c r="BD223" s="1021">
        <v>0</v>
      </c>
      <c r="BE223" s="1021">
        <v>0</v>
      </c>
      <c r="BF223" s="1021">
        <v>0</v>
      </c>
      <c r="BG223" s="1021">
        <v>0</v>
      </c>
      <c r="BH223" s="1021">
        <v>0</v>
      </c>
      <c r="BI223" s="1021">
        <v>0</v>
      </c>
      <c r="BJ223" s="1021">
        <v>0</v>
      </c>
      <c r="BK223" s="1021">
        <v>0</v>
      </c>
      <c r="BL223" s="1021">
        <v>0</v>
      </c>
      <c r="BM223" s="1021">
        <v>0</v>
      </c>
      <c r="BN223" s="1021">
        <v>0</v>
      </c>
      <c r="BO223" s="1021">
        <v>0</v>
      </c>
      <c r="BP223" s="1021">
        <v>0</v>
      </c>
      <c r="BQ223" s="1021">
        <v>0</v>
      </c>
      <c r="BR223" s="1021">
        <v>0</v>
      </c>
      <c r="BS223" s="1021">
        <v>0</v>
      </c>
      <c r="BT223" s="1021">
        <v>0</v>
      </c>
      <c r="BU223" s="1021">
        <v>0</v>
      </c>
      <c r="BV223" s="1021">
        <v>0</v>
      </c>
      <c r="BW223" s="1021">
        <v>0</v>
      </c>
      <c r="BX223" s="1021">
        <v>0</v>
      </c>
      <c r="BY223" s="1022"/>
      <c r="BZ223" s="1022"/>
      <c r="CA223" s="1022"/>
      <c r="CB223" s="1022"/>
      <c r="CC223" s="1022"/>
      <c r="CD223" s="1022"/>
      <c r="CE223" s="1022"/>
      <c r="CF223" s="1022"/>
      <c r="CG223" s="1022"/>
      <c r="CH223" s="1022"/>
      <c r="CI223" s="1022"/>
      <c r="CJ223" s="1022"/>
      <c r="CK223" s="1022"/>
      <c r="CL223" s="1022"/>
      <c r="CM223" s="1022"/>
      <c r="CN223" s="1022"/>
      <c r="CO223" s="1022"/>
      <c r="CP223" s="1022"/>
      <c r="CQ223" s="1022"/>
      <c r="CR223" s="1022"/>
      <c r="CS223" s="1022"/>
      <c r="CT223" s="1022"/>
      <c r="CU223" s="1022"/>
      <c r="CV223" s="1022"/>
      <c r="CW223" s="1022"/>
      <c r="CX223" s="1022"/>
      <c r="CY223" s="1022"/>
      <c r="CZ223" s="1022"/>
      <c r="DA223" s="1022"/>
      <c r="DB223" s="1022"/>
      <c r="DC223" s="1022"/>
      <c r="DD223" s="1022"/>
      <c r="DE223" s="1022"/>
      <c r="DF223" s="1022"/>
      <c r="DG223" s="1022"/>
      <c r="DH223" s="1022"/>
      <c r="DJ223" s="1010"/>
      <c r="DK223" s="1010"/>
      <c r="DL223" s="1010"/>
      <c r="DM223" s="1010"/>
      <c r="DN223" s="1010"/>
      <c r="DO223" s="1010"/>
      <c r="DP223" s="1010"/>
      <c r="DQ223" s="1010"/>
      <c r="DR223" s="873"/>
      <c r="DS223" s="873"/>
      <c r="DT223" s="873"/>
      <c r="DU223" s="873"/>
      <c r="DW223" s="1010">
        <v>0</v>
      </c>
      <c r="DX223" s="1010">
        <v>0</v>
      </c>
      <c r="DY223" s="1010">
        <v>0</v>
      </c>
      <c r="DZ223" s="873">
        <v>0</v>
      </c>
      <c r="EA223" s="873">
        <v>0</v>
      </c>
      <c r="EB223" s="873">
        <v>0</v>
      </c>
      <c r="EC223" s="873">
        <v>0</v>
      </c>
      <c r="ED223" s="873">
        <v>0</v>
      </c>
      <c r="EE223" s="873">
        <v>0</v>
      </c>
      <c r="EF223" s="873">
        <v>0</v>
      </c>
      <c r="EG223" s="873">
        <v>0</v>
      </c>
      <c r="EH223" s="873">
        <v>0</v>
      </c>
      <c r="EI223" s="1010"/>
      <c r="EJ223" s="1010"/>
      <c r="EK223" s="1010"/>
      <c r="EL223" s="873"/>
      <c r="EM223" s="873"/>
      <c r="EN223" s="873"/>
      <c r="EO223" s="873"/>
      <c r="EP223" s="873"/>
      <c r="EQ223" s="873"/>
      <c r="ER223" s="873"/>
      <c r="ES223" s="873"/>
      <c r="ET223" s="873"/>
      <c r="EU223" s="1010"/>
      <c r="EV223" s="1010"/>
      <c r="EW223" s="1010"/>
      <c r="EX223" s="873"/>
      <c r="EY223" s="873"/>
      <c r="EZ223" s="873"/>
      <c r="FA223" s="873"/>
      <c r="FB223" s="873"/>
      <c r="FC223" s="873"/>
      <c r="FD223" s="873"/>
      <c r="FE223" s="873"/>
      <c r="FF223" s="873"/>
      <c r="FG223" s="873"/>
      <c r="FH223" s="873"/>
      <c r="FI223" s="873"/>
      <c r="FJ223" s="873"/>
      <c r="FK223" s="873"/>
      <c r="FL223" s="873"/>
      <c r="FM223" s="873"/>
      <c r="FN223" s="873"/>
      <c r="FO223" s="873"/>
      <c r="FP223" s="873"/>
      <c r="FQ223" s="873"/>
      <c r="FR223" s="873"/>
      <c r="FS223" s="873"/>
      <c r="FT223" s="873"/>
      <c r="FU223" s="873"/>
      <c r="FV223" s="873"/>
      <c r="FW223" s="873"/>
      <c r="FX223" s="873"/>
      <c r="FY223" s="873"/>
      <c r="FZ223" s="873"/>
      <c r="GA223" s="873"/>
      <c r="GB223" s="873"/>
      <c r="GC223" s="873"/>
      <c r="GD223" s="873"/>
      <c r="GF223" s="1013"/>
      <c r="GG223" s="1013"/>
      <c r="GH223" s="1013"/>
      <c r="GI223" s="1013"/>
      <c r="GJ223" s="1013"/>
      <c r="GK223" s="1013"/>
      <c r="GL223" s="1013"/>
      <c r="GM223" s="1013"/>
      <c r="GN223" s="1013"/>
      <c r="GO223" s="1013"/>
      <c r="HU223" s="1013"/>
      <c r="HV223" s="1013"/>
      <c r="HW223" s="1013"/>
      <c r="HX223" s="1013"/>
      <c r="HY223" s="1013"/>
      <c r="HZ223" s="1013"/>
      <c r="IA223" s="1013"/>
      <c r="IB223" s="1013"/>
      <c r="IC223" s="1013"/>
      <c r="ID223" s="1013"/>
      <c r="IE223" s="1013"/>
      <c r="IP223" s="1013"/>
      <c r="IQ223" s="1013"/>
      <c r="IR223" s="1013"/>
      <c r="IS223" s="1013"/>
      <c r="IT223" s="1013"/>
      <c r="IU223" s="1013"/>
      <c r="IV223" s="1013"/>
      <c r="IX223" s="1013"/>
      <c r="IY223" s="1013"/>
      <c r="IZ223" s="1013"/>
      <c r="JA223" s="1013"/>
      <c r="JB223" s="1013"/>
      <c r="JC223" s="1013"/>
      <c r="JD223" s="1013"/>
      <c r="JO223" s="1013"/>
      <c r="JP223" s="1013"/>
      <c r="JQ223" s="1013"/>
      <c r="JR223" s="1013"/>
      <c r="JS223" s="1013"/>
      <c r="JT223" s="1013"/>
      <c r="JU223" s="1013"/>
      <c r="JV223" s="1013"/>
      <c r="JW223" s="1013"/>
      <c r="JX223" s="1013"/>
      <c r="JY223" s="1013"/>
      <c r="KB223" s="1013"/>
      <c r="KC223" s="1013"/>
      <c r="KD223" s="1013"/>
      <c r="KE223" s="1013"/>
      <c r="KF223" s="1013"/>
      <c r="KG223" s="1013"/>
      <c r="KH223" s="1013"/>
      <c r="KJ223" s="1013"/>
      <c r="KK223" s="1013"/>
      <c r="KL223" s="1013"/>
      <c r="KM223" s="1013"/>
      <c r="KN223" s="1013"/>
      <c r="KO223" s="1013"/>
      <c r="KP223" s="1013"/>
      <c r="KR223" s="1013"/>
      <c r="KS223" s="1013"/>
      <c r="KT223" s="1013"/>
      <c r="KU223" s="1013"/>
      <c r="KV223" s="1013"/>
      <c r="KW223" s="1013"/>
      <c r="KX223" s="1013"/>
      <c r="KY223" s="1013"/>
      <c r="KZ223" s="1013"/>
    </row>
    <row r="224" spans="1:312">
      <c r="A224" s="867"/>
      <c r="C224" s="1010" t="s">
        <v>772</v>
      </c>
      <c r="D224" s="662"/>
      <c r="E224" s="1011"/>
      <c r="F224" s="1011"/>
      <c r="G224" s="1011"/>
      <c r="H224" s="1011"/>
      <c r="I224" s="1011"/>
      <c r="J224" s="1011"/>
      <c r="K224" s="1011"/>
      <c r="L224" s="1011"/>
      <c r="M224" s="1011"/>
      <c r="N224" s="1011"/>
      <c r="O224" s="1011"/>
      <c r="P224" s="1011"/>
      <c r="Q224" s="1011"/>
      <c r="R224" s="1011"/>
      <c r="S224" s="1011"/>
      <c r="T224" s="1011"/>
      <c r="U224" s="1011"/>
      <c r="V224" s="1011"/>
      <c r="W224" s="1011"/>
      <c r="X224" s="1011"/>
      <c r="Y224" s="1011"/>
      <c r="Z224" s="1011"/>
      <c r="AA224" s="1011"/>
      <c r="AB224" s="1011"/>
      <c r="AC224" s="1011"/>
      <c r="AD224" s="1011"/>
      <c r="AE224" s="1011"/>
      <c r="AF224" s="1011"/>
      <c r="AG224" s="1011"/>
      <c r="AH224" s="1011"/>
      <c r="AI224" s="1011"/>
      <c r="AJ224" s="1011"/>
      <c r="AK224" s="1011"/>
      <c r="AL224" s="1011"/>
      <c r="AM224" s="1011"/>
      <c r="AN224" s="1011"/>
      <c r="AO224" s="873">
        <v>-158.33333333000019</v>
      </c>
      <c r="AP224" s="920">
        <v>0</v>
      </c>
      <c r="AQ224" s="1010">
        <v>-240.48882057999981</v>
      </c>
      <c r="AR224" s="1010">
        <v>-242.0686763700005</v>
      </c>
      <c r="AS224" s="873">
        <v>-240.42393768000079</v>
      </c>
      <c r="AT224" s="873">
        <v>1549.5260133299989</v>
      </c>
      <c r="AU224" s="873">
        <v>-349.02818670999847</v>
      </c>
      <c r="AV224" s="873">
        <v>-328.3652902300002</v>
      </c>
      <c r="AW224" s="873">
        <v>176.26556771999935</v>
      </c>
      <c r="AX224" s="873">
        <v>686.43231960000026</v>
      </c>
      <c r="AY224" s="873">
        <v>-323.61729804999982</v>
      </c>
      <c r="AZ224" s="873">
        <v>0</v>
      </c>
      <c r="BA224" s="873">
        <v>-246.60358609000104</v>
      </c>
      <c r="BB224" s="873">
        <v>-245.50634419999915</v>
      </c>
      <c r="BC224" s="873">
        <v>-243.20900471000095</v>
      </c>
      <c r="BD224" s="873">
        <v>0.57362760000069102</v>
      </c>
      <c r="BE224" s="873">
        <v>0.53449839999939286</v>
      </c>
      <c r="BF224" s="873">
        <v>-6.7979480000003605</v>
      </c>
      <c r="BG224" s="873">
        <v>354.025767000001</v>
      </c>
      <c r="BH224" s="873">
        <v>-0.77921967000111181</v>
      </c>
      <c r="BI224" s="873">
        <v>-48.220033949999561</v>
      </c>
      <c r="BJ224" s="873">
        <v>-1.0105650099994818</v>
      </c>
      <c r="BK224" s="873">
        <v>-1.3661498300007224</v>
      </c>
      <c r="BL224" s="873">
        <v>15.178213430001051</v>
      </c>
      <c r="BM224" s="873">
        <f t="shared" ref="BM224:DH224" si="684">(BM161-BL161)-BM223/1000000</f>
        <v>-1.479898690000482</v>
      </c>
      <c r="BN224" s="873">
        <f t="shared" si="684"/>
        <v>-4.2929637799988996</v>
      </c>
      <c r="BO224" s="873">
        <f t="shared" si="684"/>
        <v>-2.5484009300016623</v>
      </c>
      <c r="BP224" s="873">
        <f t="shared" si="684"/>
        <v>-7.2819505099996604</v>
      </c>
      <c r="BQ224" s="873">
        <f t="shared" si="684"/>
        <v>1.3583161299993662</v>
      </c>
      <c r="BR224" s="873">
        <f t="shared" si="684"/>
        <v>7.1256611200005864</v>
      </c>
      <c r="BS224" s="873">
        <f t="shared" si="684"/>
        <v>-0.95432572999925469</v>
      </c>
      <c r="BT224" s="873">
        <f t="shared" si="684"/>
        <v>-95.294758730000467</v>
      </c>
      <c r="BU224" s="873">
        <f t="shared" si="684"/>
        <v>0.80981074999908742</v>
      </c>
      <c r="BV224" s="873">
        <f t="shared" si="684"/>
        <v>4.4109170300016558</v>
      </c>
      <c r="BW224" s="873">
        <f t="shared" si="684"/>
        <v>-72.876080110001567</v>
      </c>
      <c r="BX224" s="873">
        <f t="shared" si="684"/>
        <v>4.9741696900000534</v>
      </c>
      <c r="BY224" s="1012">
        <f t="shared" si="684"/>
        <v>12.882329620000746</v>
      </c>
      <c r="BZ224" s="1012">
        <f t="shared" si="684"/>
        <v>-286.41038435000064</v>
      </c>
      <c r="CA224" s="1012">
        <f t="shared" si="684"/>
        <v>-10.037428049999107</v>
      </c>
      <c r="CB224" s="1012">
        <f t="shared" si="684"/>
        <v>9.4454488800001855</v>
      </c>
      <c r="CC224" s="1012">
        <f t="shared" si="684"/>
        <v>-0.29243318000044383</v>
      </c>
      <c r="CD224" s="1012">
        <f t="shared" si="684"/>
        <v>1.8323800099997243</v>
      </c>
      <c r="CE224" s="1012">
        <f t="shared" si="684"/>
        <v>-365.84400499999992</v>
      </c>
      <c r="CF224" s="1012">
        <f t="shared" si="684"/>
        <v>-543.3606223200004</v>
      </c>
      <c r="CG224" s="1012">
        <f t="shared" si="684"/>
        <v>7.4056813300003341</v>
      </c>
      <c r="CH224" s="1012">
        <f t="shared" si="684"/>
        <v>13.864903310000045</v>
      </c>
      <c r="CI224" s="1012">
        <f t="shared" si="684"/>
        <v>3.1486490900006174</v>
      </c>
      <c r="CJ224" s="1012">
        <f t="shared" si="684"/>
        <v>-32.372002590001102</v>
      </c>
      <c r="CK224" s="1012">
        <f t="shared" si="684"/>
        <v>6.750549380000848</v>
      </c>
      <c r="CL224" s="1012">
        <f t="shared" si="684"/>
        <v>10.616482999999789</v>
      </c>
      <c r="CM224" s="1012">
        <f t="shared" si="684"/>
        <v>-292.63315292000061</v>
      </c>
      <c r="CN224" s="1012">
        <f t="shared" si="684"/>
        <v>4.7403078600009394</v>
      </c>
      <c r="CO224" s="1012">
        <f t="shared" si="684"/>
        <v>-72.472540720000325</v>
      </c>
      <c r="CP224" s="1012">
        <f t="shared" si="684"/>
        <v>23.186158139999861</v>
      </c>
      <c r="CQ224" s="1012">
        <f t="shared" si="684"/>
        <v>5.1455665200001022</v>
      </c>
      <c r="CR224" s="1012">
        <f t="shared" si="684"/>
        <v>-38.715343240000038</v>
      </c>
      <c r="CS224" s="1012">
        <f t="shared" si="684"/>
        <v>-5.3140533300002062</v>
      </c>
      <c r="CT224" s="1012">
        <f t="shared" si="684"/>
        <v>-17.65515983000023</v>
      </c>
      <c r="CU224" s="1012">
        <f t="shared" si="684"/>
        <v>-49.096127199999501</v>
      </c>
      <c r="CV224" s="1012">
        <f t="shared" si="684"/>
        <v>7.7697472700001526</v>
      </c>
      <c r="CW224" s="1012">
        <f t="shared" si="684"/>
        <v>-8.049473630000648</v>
      </c>
      <c r="CX224" s="1012">
        <f t="shared" si="684"/>
        <v>-42.923135299999558</v>
      </c>
      <c r="CY224" s="1012">
        <f t="shared" si="684"/>
        <v>-3.9008080000712653E-2</v>
      </c>
      <c r="CZ224" s="1012">
        <f t="shared" si="684"/>
        <v>-16.423672409999199</v>
      </c>
      <c r="DA224" s="1012">
        <f t="shared" si="684"/>
        <v>-14.325701370000388</v>
      </c>
      <c r="DB224" s="1012">
        <f t="shared" si="684"/>
        <v>1.8607177399999273</v>
      </c>
      <c r="DC224" s="1012">
        <f t="shared" si="684"/>
        <v>-9.9930543999998918</v>
      </c>
      <c r="DD224" s="1012">
        <f t="shared" si="684"/>
        <v>-6.4278580700001839</v>
      </c>
      <c r="DE224" s="1012">
        <f t="shared" si="684"/>
        <v>6.5986080000584479E-2</v>
      </c>
      <c r="DF224" s="1012">
        <f t="shared" si="684"/>
        <v>6.5009557499997754</v>
      </c>
      <c r="DG224" s="1012">
        <f t="shared" si="684"/>
        <v>-107.48561006999989</v>
      </c>
      <c r="DH224" s="1012">
        <f t="shared" si="684"/>
        <v>0.69423005999942689</v>
      </c>
      <c r="DJ224" s="1010"/>
      <c r="DK224" s="1010"/>
      <c r="DL224" s="1010"/>
      <c r="DM224" s="1010"/>
      <c r="DN224" s="1010"/>
      <c r="DO224" s="1010"/>
      <c r="DP224" s="1010"/>
      <c r="DQ224" s="1010"/>
      <c r="DR224" s="873"/>
      <c r="DS224" s="873"/>
      <c r="DT224" s="873"/>
      <c r="DU224" s="873"/>
      <c r="DW224" s="1010">
        <v>-3641.6666666700003</v>
      </c>
      <c r="DX224" s="1010">
        <v>0</v>
      </c>
      <c r="DY224" s="1010">
        <v>0</v>
      </c>
      <c r="DZ224" s="873">
        <v>0</v>
      </c>
      <c r="EA224" s="873">
        <v>0</v>
      </c>
      <c r="EB224" s="873">
        <v>0</v>
      </c>
      <c r="EC224" s="873">
        <v>0</v>
      </c>
      <c r="ED224" s="873">
        <v>0</v>
      </c>
      <c r="EE224" s="873">
        <v>0</v>
      </c>
      <c r="EF224" s="873">
        <v>0</v>
      </c>
      <c r="EG224" s="873">
        <v>0</v>
      </c>
      <c r="EH224" s="873">
        <v>0</v>
      </c>
      <c r="EI224" s="1010"/>
      <c r="EJ224" s="1010"/>
      <c r="EK224" s="1010"/>
      <c r="EL224" s="873"/>
      <c r="EM224" s="873"/>
      <c r="EN224" s="873"/>
      <c r="EO224" s="873"/>
      <c r="EP224" s="873"/>
      <c r="EQ224" s="873"/>
      <c r="ER224" s="873"/>
      <c r="ES224" s="873"/>
      <c r="ET224" s="873"/>
      <c r="EU224" s="1010"/>
      <c r="EV224" s="1010"/>
      <c r="EW224" s="1010"/>
      <c r="EX224" s="873"/>
      <c r="EY224" s="873"/>
      <c r="EZ224" s="873"/>
      <c r="FA224" s="873"/>
      <c r="FB224" s="873"/>
      <c r="FC224" s="873"/>
      <c r="FD224" s="873"/>
      <c r="FE224" s="873"/>
      <c r="FF224" s="873"/>
      <c r="FG224" s="873"/>
      <c r="FH224" s="873"/>
      <c r="FI224" s="873"/>
      <c r="FJ224" s="873"/>
      <c r="FK224" s="873"/>
      <c r="FL224" s="873"/>
      <c r="FM224" s="873"/>
      <c r="FN224" s="873"/>
      <c r="FO224" s="873"/>
      <c r="FP224" s="873"/>
      <c r="FQ224" s="873"/>
      <c r="FR224" s="873"/>
      <c r="FS224" s="873"/>
      <c r="FT224" s="873"/>
      <c r="FU224" s="873"/>
      <c r="FV224" s="873"/>
      <c r="FW224" s="873"/>
      <c r="FX224" s="873"/>
      <c r="FY224" s="873"/>
      <c r="FZ224" s="873"/>
      <c r="GA224" s="873"/>
      <c r="GB224" s="873"/>
      <c r="GC224" s="873"/>
      <c r="GD224" s="873"/>
      <c r="GF224" s="1013"/>
      <c r="GG224" s="1013"/>
      <c r="GH224" s="1013"/>
      <c r="GI224" s="1013"/>
      <c r="GJ224" s="1013"/>
      <c r="GK224" s="1013"/>
      <c r="GL224" s="1013"/>
      <c r="GM224" s="1013"/>
      <c r="GN224" s="1013"/>
      <c r="GO224" s="1013"/>
      <c r="HU224" s="1013"/>
      <c r="HV224" s="1013"/>
      <c r="HW224" s="1013"/>
      <c r="HX224" s="1013"/>
      <c r="HY224" s="1013"/>
      <c r="HZ224" s="1013"/>
      <c r="IA224" s="1013"/>
      <c r="IB224" s="1013"/>
      <c r="IC224" s="1013"/>
      <c r="ID224" s="1013"/>
      <c r="IE224" s="1013"/>
      <c r="IP224" s="1013"/>
      <c r="IQ224" s="1013"/>
      <c r="IR224" s="1013"/>
      <c r="IS224" s="1013"/>
      <c r="IT224" s="1013"/>
      <c r="IU224" s="1013"/>
      <c r="IV224" s="1013"/>
      <c r="IX224" s="1013"/>
      <c r="IY224" s="1013"/>
      <c r="IZ224" s="1013"/>
      <c r="JA224" s="1013"/>
      <c r="JB224" s="1013"/>
      <c r="JC224" s="1013"/>
      <c r="JD224" s="1013"/>
      <c r="JO224" s="1013"/>
      <c r="JP224" s="1013"/>
      <c r="JQ224" s="1013"/>
      <c r="JR224" s="1013"/>
      <c r="JS224" s="1013"/>
      <c r="JT224" s="1013"/>
      <c r="JU224" s="1013"/>
      <c r="JV224" s="1013"/>
      <c r="JW224" s="1013"/>
      <c r="JX224" s="1013"/>
      <c r="JY224" s="1013"/>
      <c r="KB224" s="1013"/>
      <c r="KC224" s="1013"/>
      <c r="KD224" s="1013"/>
      <c r="KE224" s="1013"/>
      <c r="KF224" s="1013"/>
      <c r="KG224" s="1013"/>
      <c r="KH224" s="1013"/>
      <c r="KJ224" s="1013"/>
      <c r="KK224" s="1013"/>
      <c r="KL224" s="1013"/>
      <c r="KM224" s="1013"/>
      <c r="KN224" s="1013"/>
      <c r="KO224" s="1013"/>
      <c r="KP224" s="1013"/>
      <c r="KR224" s="1013"/>
      <c r="KS224" s="1013"/>
      <c r="KT224" s="1013"/>
      <c r="KU224" s="1013"/>
      <c r="KV224" s="1013"/>
      <c r="KW224" s="1013"/>
      <c r="KX224" s="1013"/>
      <c r="KY224" s="1013"/>
      <c r="KZ224" s="1013"/>
    </row>
    <row r="225" spans="1:312">
      <c r="A225" s="867"/>
      <c r="C225" s="1010" t="s">
        <v>185</v>
      </c>
      <c r="D225" s="662"/>
      <c r="E225" s="1011"/>
      <c r="F225" s="1011"/>
      <c r="G225" s="1011"/>
      <c r="H225" s="1011"/>
      <c r="I225" s="1011"/>
      <c r="J225" s="1011"/>
      <c r="K225" s="1011"/>
      <c r="L225" s="1011"/>
      <c r="M225" s="1011"/>
      <c r="N225" s="1011"/>
      <c r="O225" s="1011"/>
      <c r="P225" s="1011"/>
      <c r="Q225" s="1011"/>
      <c r="R225" s="1011"/>
      <c r="S225" s="1011"/>
      <c r="T225" s="1011"/>
      <c r="U225" s="1011"/>
      <c r="V225" s="1011"/>
      <c r="W225" s="1011"/>
      <c r="X225" s="1011"/>
      <c r="Y225" s="1011"/>
      <c r="Z225" s="1011"/>
      <c r="AA225" s="1011"/>
      <c r="AB225" s="1011"/>
      <c r="AC225" s="1011"/>
      <c r="AD225" s="1011"/>
      <c r="AE225" s="1011"/>
      <c r="AF225" s="1011"/>
      <c r="AG225" s="1011"/>
      <c r="AH225" s="1011"/>
      <c r="AI225" s="1011"/>
      <c r="AJ225" s="1011"/>
      <c r="AK225" s="1011"/>
      <c r="AL225" s="1011"/>
      <c r="AM225" s="1011"/>
      <c r="AN225" s="1011"/>
      <c r="AO225" s="873">
        <v>-54.646502529999999</v>
      </c>
      <c r="AP225" s="873">
        <v>-29.42645332</v>
      </c>
      <c r="AQ225" s="873">
        <v>-84.578525619999994</v>
      </c>
      <c r="AR225" s="873">
        <v>-194.20135857</v>
      </c>
      <c r="AS225" s="873">
        <v>-53.637945299999998</v>
      </c>
      <c r="AT225" s="873">
        <v>-99.813044910000002</v>
      </c>
      <c r="AU225" s="873">
        <v>-38.747987619999989</v>
      </c>
      <c r="AV225" s="873">
        <v>-70.569078109999992</v>
      </c>
      <c r="AW225" s="873">
        <v>-70.687003060000009</v>
      </c>
      <c r="AX225" s="873">
        <v>-117.33829647000002</v>
      </c>
      <c r="AY225" s="873">
        <v>-79.309346939999998</v>
      </c>
      <c r="AZ225" s="873">
        <v>-187.85612380000001</v>
      </c>
      <c r="BA225" s="873">
        <v>-77.76983851</v>
      </c>
      <c r="BB225" s="873">
        <v>-75.087830480000008</v>
      </c>
      <c r="BC225" s="873">
        <v>-194.91727122</v>
      </c>
      <c r="BD225" s="873">
        <v>-128.62674938000001</v>
      </c>
      <c r="BE225" s="873">
        <v>-90.988396449999996</v>
      </c>
      <c r="BF225" s="873">
        <v>-180.70420322999999</v>
      </c>
      <c r="BG225" s="873">
        <v>-79.774014199999996</v>
      </c>
      <c r="BH225" s="873">
        <v>-221.66827915000002</v>
      </c>
      <c r="BI225" s="873">
        <v>226.33111047</v>
      </c>
      <c r="BJ225" s="873">
        <v>-409.67137718999999</v>
      </c>
      <c r="BK225" s="873">
        <v>-92.379952629999991</v>
      </c>
      <c r="BL225" s="873">
        <v>-163.88308124</v>
      </c>
      <c r="BM225" s="873">
        <f t="shared" ref="BM225:DH225" si="685">+BM90</f>
        <v>-96.083739370000004</v>
      </c>
      <c r="BN225" s="873">
        <f t="shared" si="685"/>
        <v>-88.69836952</v>
      </c>
      <c r="BO225" s="873">
        <f t="shared" si="685"/>
        <v>-88.208781779999995</v>
      </c>
      <c r="BP225" s="873">
        <f t="shared" si="685"/>
        <v>-140.78648622</v>
      </c>
      <c r="BQ225" s="873">
        <f t="shared" si="685"/>
        <v>-88.976365290000004</v>
      </c>
      <c r="BR225" s="873">
        <f t="shared" si="685"/>
        <v>-69.132220619999998</v>
      </c>
      <c r="BS225" s="873">
        <f t="shared" si="685"/>
        <v>-84.372775430000004</v>
      </c>
      <c r="BT225" s="873">
        <f t="shared" si="685"/>
        <v>-92.412210510000008</v>
      </c>
      <c r="BU225" s="873">
        <f t="shared" si="685"/>
        <v>-84.104169200000001</v>
      </c>
      <c r="BV225" s="873">
        <f t="shared" si="685"/>
        <v>-83.981444709999991</v>
      </c>
      <c r="BW225" s="873">
        <f t="shared" si="685"/>
        <v>-80.204048830000005</v>
      </c>
      <c r="BX225" s="873">
        <f t="shared" si="685"/>
        <v>-74.637089619999983</v>
      </c>
      <c r="BY225" s="1012">
        <f t="shared" si="685"/>
        <v>-197.95048937000001</v>
      </c>
      <c r="BZ225" s="1012">
        <f t="shared" si="685"/>
        <v>-105.50010753000001</v>
      </c>
      <c r="CA225" s="1012">
        <f t="shared" si="685"/>
        <v>-157.26938597</v>
      </c>
      <c r="CB225" s="1012">
        <f t="shared" si="685"/>
        <v>-115.40275018999999</v>
      </c>
      <c r="CC225" s="1012">
        <f t="shared" si="685"/>
        <v>-61.105191349999998</v>
      </c>
      <c r="CD225" s="1012">
        <f t="shared" si="685"/>
        <v>-69.278432359999996</v>
      </c>
      <c r="CE225" s="1012">
        <f t="shared" si="685"/>
        <v>-72.027169720000003</v>
      </c>
      <c r="CF225" s="1012">
        <f t="shared" si="685"/>
        <v>-80.712745080000005</v>
      </c>
      <c r="CG225" s="1012">
        <f t="shared" si="685"/>
        <v>-71.332257089999999</v>
      </c>
      <c r="CH225" s="1012">
        <f t="shared" si="685"/>
        <v>-63.32037605</v>
      </c>
      <c r="CI225" s="1012">
        <f t="shared" si="685"/>
        <v>-78.686964069999988</v>
      </c>
      <c r="CJ225" s="1012">
        <f t="shared" si="685"/>
        <v>-115.27863357</v>
      </c>
      <c r="CK225" s="1012">
        <f t="shared" si="685"/>
        <v>-68.15021059</v>
      </c>
      <c r="CL225" s="1012">
        <f t="shared" si="685"/>
        <v>-154.27310643000001</v>
      </c>
      <c r="CM225" s="1012">
        <f t="shared" si="685"/>
        <v>-92.751558619999983</v>
      </c>
      <c r="CN225" s="1012">
        <f t="shared" si="685"/>
        <v>-97.435331189999999</v>
      </c>
      <c r="CO225" s="1012">
        <f t="shared" si="685"/>
        <v>-156.60680461999999</v>
      </c>
      <c r="CP225" s="1012">
        <f t="shared" si="685"/>
        <v>-196.14801193</v>
      </c>
      <c r="CQ225" s="1012">
        <f t="shared" si="685"/>
        <v>-151.87980372000001</v>
      </c>
      <c r="CR225" s="1012">
        <f t="shared" si="685"/>
        <v>-148.9439725</v>
      </c>
      <c r="CS225" s="1012">
        <f t="shared" si="685"/>
        <v>-131.04361051000001</v>
      </c>
      <c r="CT225" s="1012">
        <f t="shared" si="685"/>
        <v>-119.50252118</v>
      </c>
      <c r="CU225" s="1012">
        <f t="shared" si="685"/>
        <v>-106.79023635999999</v>
      </c>
      <c r="CV225" s="1012">
        <f t="shared" si="685"/>
        <v>-253.00396232</v>
      </c>
      <c r="CW225" s="1012">
        <f t="shared" si="685"/>
        <v>-104.67913781</v>
      </c>
      <c r="CX225" s="1012">
        <f t="shared" si="685"/>
        <v>-69.16278964</v>
      </c>
      <c r="CY225" s="1012">
        <f t="shared" si="685"/>
        <v>-88.438339330000005</v>
      </c>
      <c r="CZ225" s="1012">
        <f t="shared" si="685"/>
        <v>-310.39595378000001</v>
      </c>
      <c r="DA225" s="1012">
        <f t="shared" si="685"/>
        <v>-334.95218147000003</v>
      </c>
      <c r="DB225" s="1012">
        <f t="shared" si="685"/>
        <v>-159.84966846</v>
      </c>
      <c r="DC225" s="1012">
        <f t="shared" si="685"/>
        <v>-159.56657033000002</v>
      </c>
      <c r="DD225" s="1012">
        <f t="shared" si="685"/>
        <v>-62.892307430000002</v>
      </c>
      <c r="DE225" s="1012">
        <f t="shared" si="685"/>
        <v>-71.131158120000009</v>
      </c>
      <c r="DF225" s="1012">
        <f t="shared" si="685"/>
        <v>-95.070467129999997</v>
      </c>
      <c r="DG225" s="1012">
        <f t="shared" si="685"/>
        <v>-176.74216694</v>
      </c>
      <c r="DH225" s="1012">
        <f t="shared" si="685"/>
        <v>-154.45537987999998</v>
      </c>
      <c r="DJ225" s="1010"/>
      <c r="DK225" s="1010"/>
      <c r="DL225" s="1010"/>
      <c r="DM225" s="1010"/>
      <c r="DN225" s="1010"/>
      <c r="DO225" s="1010"/>
      <c r="DP225" s="1010"/>
      <c r="DQ225" s="1010"/>
      <c r="DR225" s="873"/>
      <c r="DS225" s="873"/>
      <c r="DT225" s="873"/>
      <c r="DU225" s="873"/>
      <c r="DW225" s="1010">
        <v>-44.5</v>
      </c>
      <c r="DX225" s="1010">
        <v>-44.5</v>
      </c>
      <c r="DY225" s="1010">
        <v>-66.229091999999994</v>
      </c>
      <c r="DZ225" s="873">
        <v>-65.645758666666666</v>
      </c>
      <c r="EA225" s="873">
        <v>-65.062425333333323</v>
      </c>
      <c r="EB225" s="873">
        <v>-64.479091999999994</v>
      </c>
      <c r="EC225" s="873">
        <v>-63.895758666666666</v>
      </c>
      <c r="ED225" s="873">
        <v>-63.31242533333333</v>
      </c>
      <c r="EE225" s="873">
        <v>-62.729092000000001</v>
      </c>
      <c r="EF225" s="873">
        <v>-62.145758666666659</v>
      </c>
      <c r="EG225" s="873">
        <v>-61.56242533333333</v>
      </c>
      <c r="EH225" s="873">
        <v>-60.979091999999987</v>
      </c>
      <c r="EI225" s="1010"/>
      <c r="EJ225" s="1010"/>
      <c r="EK225" s="1010"/>
      <c r="EL225" s="873"/>
      <c r="EM225" s="873"/>
      <c r="EN225" s="873"/>
      <c r="EO225" s="873"/>
      <c r="EP225" s="873"/>
      <c r="EQ225" s="873"/>
      <c r="ER225" s="873"/>
      <c r="ES225" s="873"/>
      <c r="ET225" s="873"/>
      <c r="EU225" s="1010"/>
      <c r="EV225" s="1010"/>
      <c r="EW225" s="1010"/>
      <c r="EX225" s="873"/>
      <c r="EY225" s="873"/>
      <c r="EZ225" s="873"/>
      <c r="FA225" s="873"/>
      <c r="FB225" s="873"/>
      <c r="FC225" s="873"/>
      <c r="FD225" s="873"/>
      <c r="FE225" s="873"/>
      <c r="FF225" s="873"/>
      <c r="FG225" s="873"/>
      <c r="FH225" s="873"/>
      <c r="FI225" s="873"/>
      <c r="FJ225" s="873"/>
      <c r="FK225" s="873"/>
      <c r="FL225" s="873"/>
      <c r="FM225" s="873"/>
      <c r="FN225" s="873"/>
      <c r="FO225" s="873"/>
      <c r="FP225" s="873"/>
      <c r="FQ225" s="873"/>
      <c r="FR225" s="873"/>
      <c r="FS225" s="873"/>
      <c r="FT225" s="873"/>
      <c r="FU225" s="873"/>
      <c r="FV225" s="873"/>
      <c r="FW225" s="873"/>
      <c r="FX225" s="873"/>
      <c r="FY225" s="873"/>
      <c r="FZ225" s="873"/>
      <c r="GA225" s="873"/>
      <c r="GB225" s="873"/>
      <c r="GC225" s="873"/>
      <c r="GD225" s="873"/>
      <c r="GF225" s="1013"/>
      <c r="GG225" s="1013"/>
      <c r="GH225" s="1013"/>
      <c r="GI225" s="1013"/>
      <c r="GJ225" s="1013"/>
      <c r="GK225" s="1013"/>
      <c r="GL225" s="1013"/>
      <c r="GM225" s="1013"/>
      <c r="GN225" s="1013"/>
      <c r="GO225" s="1013"/>
      <c r="HU225" s="1013"/>
      <c r="HV225" s="1013"/>
      <c r="HW225" s="1013"/>
      <c r="HX225" s="1013"/>
      <c r="HY225" s="1013"/>
      <c r="HZ225" s="1013"/>
      <c r="IA225" s="1013"/>
      <c r="IB225" s="1013"/>
      <c r="IC225" s="1013"/>
      <c r="ID225" s="1013"/>
      <c r="IE225" s="1013"/>
      <c r="IP225" s="1013"/>
      <c r="IQ225" s="1013"/>
      <c r="IR225" s="1013"/>
      <c r="IS225" s="1013"/>
      <c r="IT225" s="1013"/>
      <c r="IU225" s="1013"/>
      <c r="IV225" s="1013"/>
      <c r="IX225" s="1013"/>
      <c r="IY225" s="1013"/>
      <c r="IZ225" s="1013"/>
      <c r="JA225" s="1013"/>
      <c r="JB225" s="1013"/>
      <c r="JC225" s="1013"/>
      <c r="JD225" s="1013"/>
      <c r="JO225" s="1013"/>
      <c r="JP225" s="1013"/>
      <c r="JQ225" s="1013"/>
      <c r="JR225" s="1013"/>
      <c r="JS225" s="1013"/>
      <c r="JT225" s="1013"/>
      <c r="JU225" s="1013"/>
      <c r="JV225" s="1013"/>
      <c r="JW225" s="1013"/>
      <c r="JX225" s="1013"/>
      <c r="JY225" s="1013"/>
      <c r="KB225" s="1013"/>
      <c r="KC225" s="1013"/>
      <c r="KD225" s="1013"/>
      <c r="KE225" s="1013"/>
      <c r="KF225" s="1013"/>
      <c r="KG225" s="1013"/>
      <c r="KH225" s="1013"/>
      <c r="KJ225" s="1013"/>
      <c r="KK225" s="1013"/>
      <c r="KL225" s="1013"/>
      <c r="KM225" s="1013"/>
      <c r="KN225" s="1013"/>
      <c r="KO225" s="1013"/>
      <c r="KP225" s="1013"/>
      <c r="KR225" s="1013"/>
      <c r="KS225" s="1013"/>
      <c r="KT225" s="1013"/>
      <c r="KU225" s="1013"/>
      <c r="KV225" s="1013"/>
      <c r="KW225" s="1013"/>
      <c r="KX225" s="1013"/>
      <c r="KY225" s="1013"/>
      <c r="KZ225" s="1013"/>
    </row>
    <row r="226" spans="1:312">
      <c r="A226" s="867"/>
      <c r="C226" s="1010" t="s">
        <v>773</v>
      </c>
      <c r="D226" s="662"/>
      <c r="E226" s="1011"/>
      <c r="F226" s="1011"/>
      <c r="G226" s="1011"/>
      <c r="H226" s="1011"/>
      <c r="I226" s="1011"/>
      <c r="J226" s="1011"/>
      <c r="K226" s="1011"/>
      <c r="L226" s="1011"/>
      <c r="M226" s="1011"/>
      <c r="N226" s="1011"/>
      <c r="O226" s="1011"/>
      <c r="P226" s="1011"/>
      <c r="Q226" s="1011"/>
      <c r="R226" s="1011"/>
      <c r="S226" s="1011"/>
      <c r="T226" s="1011"/>
      <c r="U226" s="1011"/>
      <c r="V226" s="1011"/>
      <c r="W226" s="1011"/>
      <c r="X226" s="1011"/>
      <c r="Y226" s="1011"/>
      <c r="Z226" s="1011"/>
      <c r="AA226" s="1011"/>
      <c r="AB226" s="1011"/>
      <c r="AC226" s="1011"/>
      <c r="AD226" s="1011"/>
      <c r="AE226" s="1011"/>
      <c r="AF226" s="1011"/>
      <c r="AG226" s="1011"/>
      <c r="AH226" s="1011"/>
      <c r="AI226" s="1011"/>
      <c r="AJ226" s="1011"/>
      <c r="AK226" s="1011"/>
      <c r="AL226" s="1011"/>
      <c r="AM226" s="1011"/>
      <c r="AN226" s="1011"/>
      <c r="AO226" s="873">
        <v>59.27125448000001</v>
      </c>
      <c r="AP226" s="873">
        <v>31.366812899999985</v>
      </c>
      <c r="AQ226" s="873">
        <v>98.816190350000028</v>
      </c>
      <c r="AR226" s="873">
        <v>-162.22166316999997</v>
      </c>
      <c r="AS226" s="873">
        <v>5.3181967100000094</v>
      </c>
      <c r="AT226" s="873">
        <v>1.2288627500002747</v>
      </c>
      <c r="AU226" s="873">
        <v>213.08473437000004</v>
      </c>
      <c r="AV226" s="873">
        <v>44.768439820000005</v>
      </c>
      <c r="AW226" s="873">
        <v>-144.11304145000003</v>
      </c>
      <c r="AX226" s="873">
        <v>0.43229732999999726</v>
      </c>
      <c r="AY226" s="873">
        <v>46.475179060000002</v>
      </c>
      <c r="AZ226" s="873">
        <v>615.55879188000131</v>
      </c>
      <c r="BA226" s="873">
        <v>81.442237250000005</v>
      </c>
      <c r="BB226" s="873">
        <v>32.157885809999996</v>
      </c>
      <c r="BC226" s="873">
        <v>13.361851979999983</v>
      </c>
      <c r="BD226" s="873">
        <v>99.146151230000015</v>
      </c>
      <c r="BE226" s="873">
        <v>58.859352490000063</v>
      </c>
      <c r="BF226" s="873">
        <v>19.90079154999998</v>
      </c>
      <c r="BG226" s="873">
        <v>-52.284464400000005</v>
      </c>
      <c r="BH226" s="873">
        <v>-30.424610559999991</v>
      </c>
      <c r="BI226" s="873">
        <v>28.080920690000028</v>
      </c>
      <c r="BJ226" s="873">
        <v>444.44636415999997</v>
      </c>
      <c r="BK226" s="873">
        <v>-123.92017213999998</v>
      </c>
      <c r="BL226" s="873">
        <v>-11.551349830000021</v>
      </c>
      <c r="BM226" s="873">
        <f t="shared" ref="BM226:DH226" si="686">+BM77+BM89-BM90+BM70</f>
        <v>12.261156710000002</v>
      </c>
      <c r="BN226" s="873">
        <f t="shared" si="686"/>
        <v>15.35847984000001</v>
      </c>
      <c r="BO226" s="873">
        <f t="shared" si="686"/>
        <v>-31.91027879</v>
      </c>
      <c r="BP226" s="873">
        <f t="shared" si="686"/>
        <v>4.6123185199999952</v>
      </c>
      <c r="BQ226" s="873">
        <f t="shared" si="686"/>
        <v>36.653746229999996</v>
      </c>
      <c r="BR226" s="873">
        <f t="shared" si="686"/>
        <v>5.3519830599999949</v>
      </c>
      <c r="BS226" s="873">
        <f t="shared" si="686"/>
        <v>6.3007534800000045</v>
      </c>
      <c r="BT226" s="873">
        <f t="shared" si="686"/>
        <v>-48.743369600000008</v>
      </c>
      <c r="BU226" s="873">
        <f t="shared" si="686"/>
        <v>-50.105277330000014</v>
      </c>
      <c r="BV226" s="873">
        <f t="shared" si="686"/>
        <v>-0.90769700999999614</v>
      </c>
      <c r="BW226" s="873">
        <f t="shared" si="686"/>
        <v>-95.832591370000003</v>
      </c>
      <c r="BX226" s="873">
        <f t="shared" si="686"/>
        <v>-29.298142779999992</v>
      </c>
      <c r="BY226" s="1012">
        <f t="shared" si="686"/>
        <v>5.6716588800000238</v>
      </c>
      <c r="BZ226" s="1012">
        <f t="shared" si="686"/>
        <v>53.387439739999998</v>
      </c>
      <c r="CA226" s="1012">
        <f t="shared" si="686"/>
        <v>28.56485940000001</v>
      </c>
      <c r="CB226" s="1012">
        <f t="shared" si="686"/>
        <v>67.623740079999976</v>
      </c>
      <c r="CC226" s="1012">
        <f t="shared" si="686"/>
        <v>24.45661711999999</v>
      </c>
      <c r="CD226" s="1012">
        <f t="shared" si="686"/>
        <v>42.329454649999995</v>
      </c>
      <c r="CE226" s="1012">
        <f t="shared" si="686"/>
        <v>11.433160440000002</v>
      </c>
      <c r="CF226" s="1012">
        <f t="shared" si="686"/>
        <v>37.268116620000001</v>
      </c>
      <c r="CG226" s="1012">
        <f t="shared" si="686"/>
        <v>19.98107448</v>
      </c>
      <c r="CH226" s="1012">
        <f t="shared" si="686"/>
        <v>59.028952919999995</v>
      </c>
      <c r="CI226" s="1012">
        <f t="shared" si="686"/>
        <v>54.251119079999995</v>
      </c>
      <c r="CJ226" s="1012">
        <f t="shared" si="686"/>
        <v>175.16484358999998</v>
      </c>
      <c r="CK226" s="1012">
        <f t="shared" si="686"/>
        <v>0.79176855999999418</v>
      </c>
      <c r="CL226" s="1012">
        <f t="shared" si="686"/>
        <v>5.4450335500000051</v>
      </c>
      <c r="CM226" s="1012">
        <f t="shared" si="686"/>
        <v>50.802844750000006</v>
      </c>
      <c r="CN226" s="1012">
        <f t="shared" si="686"/>
        <v>52.186531619999997</v>
      </c>
      <c r="CO226" s="1012">
        <f t="shared" si="686"/>
        <v>142.45485171999999</v>
      </c>
      <c r="CP226" s="1012">
        <f t="shared" si="686"/>
        <v>47.477216249999998</v>
      </c>
      <c r="CQ226" s="1012">
        <f t="shared" si="686"/>
        <v>39.299559409999986</v>
      </c>
      <c r="CR226" s="1012">
        <f t="shared" si="686"/>
        <v>105.55981032999998</v>
      </c>
      <c r="CS226" s="1012">
        <f t="shared" si="686"/>
        <v>-32.774590980000028</v>
      </c>
      <c r="CT226" s="1012">
        <f t="shared" si="686"/>
        <v>50.722999259999995</v>
      </c>
      <c r="CU226" s="1012">
        <f t="shared" si="686"/>
        <v>2.2910128000000043</v>
      </c>
      <c r="CV226" s="1012">
        <f t="shared" si="686"/>
        <v>-14.501285599999989</v>
      </c>
      <c r="CW226" s="1012">
        <f t="shared" si="686"/>
        <v>19.61527246</v>
      </c>
      <c r="CX226" s="1012">
        <f t="shared" si="686"/>
        <v>12.381132520000008</v>
      </c>
      <c r="CY226" s="1012">
        <f t="shared" si="686"/>
        <v>376.66826180999999</v>
      </c>
      <c r="CZ226" s="1012">
        <f t="shared" si="686"/>
        <v>104.62842271999995</v>
      </c>
      <c r="DA226" s="1012">
        <f t="shared" si="686"/>
        <v>-131.47220030999995</v>
      </c>
      <c r="DB226" s="1012">
        <f t="shared" si="686"/>
        <v>85.261245450000004</v>
      </c>
      <c r="DC226" s="1012">
        <f t="shared" si="686"/>
        <v>-30.881589830000006</v>
      </c>
      <c r="DD226" s="1012">
        <f t="shared" si="686"/>
        <v>37.111138559999993</v>
      </c>
      <c r="DE226" s="1012">
        <f t="shared" si="686"/>
        <v>74.490321929999993</v>
      </c>
      <c r="DF226" s="1012">
        <f t="shared" si="686"/>
        <v>36.926753579999996</v>
      </c>
      <c r="DG226" s="1012">
        <f t="shared" si="686"/>
        <v>7.3121575899999982</v>
      </c>
      <c r="DH226" s="1012">
        <f t="shared" si="686"/>
        <v>137.68703467999998</v>
      </c>
      <c r="DJ226" s="1010"/>
      <c r="DK226" s="1010"/>
      <c r="DL226" s="1010"/>
      <c r="DM226" s="1010"/>
      <c r="DN226" s="1010"/>
      <c r="DO226" s="1010"/>
      <c r="DP226" s="1010"/>
      <c r="DQ226" s="1010"/>
      <c r="DR226" s="873"/>
      <c r="DS226" s="873"/>
      <c r="DT226" s="873"/>
      <c r="DU226" s="873"/>
      <c r="DW226" s="1010">
        <v>24.799999999999997</v>
      </c>
      <c r="DX226" s="1010">
        <v>122.8</v>
      </c>
      <c r="DY226" s="1010">
        <v>122.8</v>
      </c>
      <c r="DZ226" s="873">
        <v>22.799999999999997</v>
      </c>
      <c r="EA226" s="873">
        <v>24.799999999999997</v>
      </c>
      <c r="EB226" s="873">
        <v>24.799999999999997</v>
      </c>
      <c r="EC226" s="873">
        <v>24.799999999999997</v>
      </c>
      <c r="ED226" s="873">
        <v>24.800000000000004</v>
      </c>
      <c r="EE226" s="873">
        <v>24.800000000000004</v>
      </c>
      <c r="EF226" s="873">
        <v>24.800000000000004</v>
      </c>
      <c r="EG226" s="873">
        <v>24.800000000000004</v>
      </c>
      <c r="EH226" s="873">
        <v>24.800000000000004</v>
      </c>
      <c r="EI226" s="1010"/>
      <c r="EJ226" s="1010"/>
      <c r="EK226" s="1010"/>
      <c r="EL226" s="873"/>
      <c r="EM226" s="873"/>
      <c r="EN226" s="873"/>
      <c r="EO226" s="873"/>
      <c r="EP226" s="873"/>
      <c r="EQ226" s="873"/>
      <c r="ER226" s="873"/>
      <c r="ES226" s="873"/>
      <c r="ET226" s="873"/>
      <c r="EU226" s="1010"/>
      <c r="EV226" s="1010"/>
      <c r="EW226" s="1010"/>
      <c r="EX226" s="873"/>
      <c r="EY226" s="873"/>
      <c r="EZ226" s="873"/>
      <c r="FA226" s="873"/>
      <c r="FB226" s="873"/>
      <c r="FC226" s="873"/>
      <c r="FD226" s="873"/>
      <c r="FE226" s="873"/>
      <c r="FF226" s="873"/>
      <c r="FG226" s="873"/>
      <c r="FH226" s="873"/>
      <c r="FI226" s="873"/>
      <c r="FJ226" s="873"/>
      <c r="FK226" s="873"/>
      <c r="FL226" s="873"/>
      <c r="FM226" s="873"/>
      <c r="FN226" s="873"/>
      <c r="FO226" s="873"/>
      <c r="FP226" s="873"/>
      <c r="FQ226" s="873"/>
      <c r="FR226" s="873"/>
      <c r="FS226" s="873"/>
      <c r="FT226" s="873"/>
      <c r="FU226" s="873"/>
      <c r="FV226" s="873"/>
      <c r="FW226" s="873"/>
      <c r="FX226" s="873"/>
      <c r="FY226" s="873"/>
      <c r="FZ226" s="873"/>
      <c r="GA226" s="873"/>
      <c r="GB226" s="873"/>
      <c r="GC226" s="873"/>
      <c r="GD226" s="873"/>
      <c r="GF226" s="1013"/>
      <c r="GG226" s="1013"/>
      <c r="GH226" s="1013"/>
      <c r="GI226" s="1013"/>
      <c r="GJ226" s="1013"/>
      <c r="GK226" s="1013"/>
      <c r="GL226" s="1013"/>
      <c r="GM226" s="1013"/>
      <c r="GN226" s="1013"/>
      <c r="GO226" s="1013"/>
      <c r="HU226" s="1013"/>
      <c r="HV226" s="1013"/>
      <c r="HW226" s="1013"/>
      <c r="HX226" s="1013"/>
      <c r="HY226" s="1013"/>
      <c r="HZ226" s="1013"/>
      <c r="IA226" s="1013"/>
      <c r="IB226" s="1013"/>
      <c r="IC226" s="1013"/>
      <c r="ID226" s="1013"/>
      <c r="IE226" s="1013"/>
      <c r="IP226" s="1013"/>
      <c r="IQ226" s="1013"/>
      <c r="IR226" s="1013"/>
      <c r="IS226" s="1013"/>
      <c r="IT226" s="1013"/>
      <c r="IU226" s="1013"/>
      <c r="IV226" s="1013"/>
      <c r="IX226" s="1013"/>
      <c r="IY226" s="1013"/>
      <c r="IZ226" s="1013"/>
      <c r="JA226" s="1013"/>
      <c r="JB226" s="1013"/>
      <c r="JC226" s="1013"/>
      <c r="JD226" s="1013"/>
      <c r="JO226" s="1013"/>
      <c r="JP226" s="1013"/>
      <c r="JQ226" s="1013"/>
      <c r="JR226" s="1013"/>
      <c r="JS226" s="1013"/>
      <c r="JT226" s="1013"/>
      <c r="JU226" s="1013"/>
      <c r="JV226" s="1013"/>
      <c r="JW226" s="1013"/>
      <c r="JX226" s="1013"/>
      <c r="JY226" s="1013"/>
      <c r="KB226" s="1013"/>
      <c r="KC226" s="1013"/>
      <c r="KD226" s="1013"/>
      <c r="KE226" s="1013"/>
      <c r="KF226" s="1013"/>
      <c r="KG226" s="1013"/>
      <c r="KH226" s="1013"/>
      <c r="KJ226" s="1013"/>
      <c r="KK226" s="1013"/>
      <c r="KL226" s="1013"/>
      <c r="KM226" s="1013"/>
      <c r="KN226" s="1013"/>
      <c r="KO226" s="1013"/>
      <c r="KP226" s="1013"/>
      <c r="KR226" s="1013"/>
      <c r="KS226" s="1013"/>
      <c r="KT226" s="1013"/>
      <c r="KU226" s="1013"/>
      <c r="KV226" s="1013"/>
      <c r="KW226" s="1013"/>
      <c r="KX226" s="1013"/>
      <c r="KY226" s="1013"/>
      <c r="KZ226" s="1013"/>
    </row>
    <row r="227" spans="1:312" ht="15" thickBot="1">
      <c r="A227" s="867"/>
      <c r="C227" s="1004" t="s">
        <v>188</v>
      </c>
      <c r="D227" s="1015"/>
      <c r="E227" s="1016"/>
      <c r="F227" s="1016"/>
      <c r="G227" s="1016"/>
      <c r="H227" s="1016"/>
      <c r="I227" s="1016"/>
      <c r="J227" s="1016"/>
      <c r="K227" s="1016"/>
      <c r="L227" s="1016"/>
      <c r="M227" s="1016"/>
      <c r="N227" s="1016"/>
      <c r="O227" s="1016"/>
      <c r="P227" s="1016"/>
      <c r="Q227" s="1016"/>
      <c r="R227" s="1016"/>
      <c r="S227" s="1016"/>
      <c r="T227" s="1016"/>
      <c r="U227" s="1016"/>
      <c r="V227" s="1016"/>
      <c r="W227" s="1016"/>
      <c r="X227" s="1016"/>
      <c r="Y227" s="1016"/>
      <c r="Z227" s="1016"/>
      <c r="AA227" s="1016"/>
      <c r="AB227" s="1016"/>
      <c r="AC227" s="1016"/>
      <c r="AD227" s="1016"/>
      <c r="AE227" s="1016"/>
      <c r="AF227" s="1016"/>
      <c r="AG227" s="1016"/>
      <c r="AH227" s="1016"/>
      <c r="AI227" s="1016"/>
      <c r="AJ227" s="1016"/>
      <c r="AK227" s="1016"/>
      <c r="AL227" s="1016"/>
      <c r="AM227" s="1016"/>
      <c r="AN227" s="1016"/>
      <c r="AO227" s="1017">
        <v>-2773.87656886999</v>
      </c>
      <c r="AP227" s="1018">
        <v>1092.8382973199912</v>
      </c>
      <c r="AQ227" s="1004">
        <v>-1601.2258747299945</v>
      </c>
      <c r="AR227" s="1004">
        <v>-1068.5157370300005</v>
      </c>
      <c r="AS227" s="1017">
        <v>-700.49672850000559</v>
      </c>
      <c r="AT227" s="1017">
        <v>637.01870909000081</v>
      </c>
      <c r="AU227" s="1017">
        <v>-59.280305860000283</v>
      </c>
      <c r="AV227" s="1017">
        <v>-636.00592111999674</v>
      </c>
      <c r="AW227" s="1017">
        <v>-646.03362735000155</v>
      </c>
      <c r="AX227" s="1017">
        <v>1408.1461292400015</v>
      </c>
      <c r="AY227" s="1017">
        <v>-200.63779104000116</v>
      </c>
      <c r="AZ227" s="1017">
        <v>-516.70212886999843</v>
      </c>
      <c r="BA227" s="1017">
        <v>-915.33762259000605</v>
      </c>
      <c r="BB227" s="1017">
        <v>176.80041938000318</v>
      </c>
      <c r="BC227" s="1017">
        <v>-363.90783853999847</v>
      </c>
      <c r="BD227" s="1017">
        <v>1053.7841949100018</v>
      </c>
      <c r="BE227" s="1017">
        <v>-1006.6229507400031</v>
      </c>
      <c r="BF227" s="1017">
        <v>-338.53914281000084</v>
      </c>
      <c r="BG227" s="1017">
        <v>-233.47562952999863</v>
      </c>
      <c r="BH227" s="1017">
        <v>-252.24227626000081</v>
      </c>
      <c r="BI227" s="1017">
        <v>381.44975324000012</v>
      </c>
      <c r="BJ227" s="1017">
        <v>-66.328171709998117</v>
      </c>
      <c r="BK227" s="1017">
        <v>1012.7894656899978</v>
      </c>
      <c r="BL227" s="1017">
        <v>-446.70351644999903</v>
      </c>
      <c r="BM227" s="1017">
        <f t="shared" ref="BM227:BX227" si="687">SUM(BM222:BM226)</f>
        <v>-586.33782238999447</v>
      </c>
      <c r="BN227" s="1017">
        <f t="shared" si="687"/>
        <v>-609.35894884000356</v>
      </c>
      <c r="BO227" s="1017">
        <f t="shared" si="687"/>
        <v>423.11616083999741</v>
      </c>
      <c r="BP227" s="1017">
        <f t="shared" si="687"/>
        <v>-379.83665856000101</v>
      </c>
      <c r="BQ227" s="1017">
        <f t="shared" si="687"/>
        <v>535.80584130000364</v>
      </c>
      <c r="BR227" s="1017">
        <f t="shared" si="687"/>
        <v>-48.669332630003353</v>
      </c>
      <c r="BS227" s="1017">
        <f t="shared" si="687"/>
        <v>-284.24640592999646</v>
      </c>
      <c r="BT227" s="1017">
        <f t="shared" si="687"/>
        <v>104.80073302999885</v>
      </c>
      <c r="BU227" s="1017">
        <f t="shared" si="687"/>
        <v>-361.19821205999847</v>
      </c>
      <c r="BV227" s="1017">
        <f t="shared" si="687"/>
        <v>835.15721473999815</v>
      </c>
      <c r="BW227" s="1017">
        <f t="shared" si="687"/>
        <v>-172.90071030999695</v>
      </c>
      <c r="BX227" s="1017">
        <f t="shared" si="687"/>
        <v>459.14647982999605</v>
      </c>
      <c r="BY227" s="1019">
        <f t="shared" ref="BY227:DH227" si="688">SUM(BY222:BY226)</f>
        <v>-720.1954776700004</v>
      </c>
      <c r="BZ227" s="1019">
        <f t="shared" si="688"/>
        <v>34.108861180004716</v>
      </c>
      <c r="CA227" s="1019">
        <f t="shared" si="688"/>
        <v>-191.23711034000229</v>
      </c>
      <c r="CB227" s="1019">
        <f t="shared" si="688"/>
        <v>160.29892759000251</v>
      </c>
      <c r="CC227" s="1019">
        <f t="shared" si="688"/>
        <v>67.633332939999249</v>
      </c>
      <c r="CD227" s="1019">
        <f t="shared" si="688"/>
        <v>-109.49255223000023</v>
      </c>
      <c r="CE227" s="1019">
        <f t="shared" si="688"/>
        <v>604.37224908999951</v>
      </c>
      <c r="CF227" s="1019">
        <f t="shared" si="688"/>
        <v>-206.26283273999957</v>
      </c>
      <c r="CG227" s="1019">
        <f t="shared" si="688"/>
        <v>-727.0797346300011</v>
      </c>
      <c r="CH227" s="1019">
        <f t="shared" si="688"/>
        <v>-355.373502790006</v>
      </c>
      <c r="CI227" s="1019">
        <f t="shared" si="688"/>
        <v>-19.467824959995056</v>
      </c>
      <c r="CJ227" s="1019">
        <f t="shared" si="688"/>
        <v>163.9331067799987</v>
      </c>
      <c r="CK227" s="1019">
        <f t="shared" si="688"/>
        <v>-416.30388124999791</v>
      </c>
      <c r="CL227" s="1019">
        <f t="shared" si="688"/>
        <v>322.56746037999977</v>
      </c>
      <c r="CM227" s="1019">
        <f t="shared" si="688"/>
        <v>42.685263620000029</v>
      </c>
      <c r="CN227" s="1019">
        <f t="shared" si="688"/>
        <v>-58.241102019999644</v>
      </c>
      <c r="CO227" s="1019">
        <f t="shared" si="688"/>
        <v>76.815120290000522</v>
      </c>
      <c r="CP227" s="1019">
        <f t="shared" si="688"/>
        <v>210.33408645000222</v>
      </c>
      <c r="CQ227" s="1019">
        <f t="shared" si="688"/>
        <v>450.02995133999815</v>
      </c>
      <c r="CR227" s="1019">
        <f t="shared" si="688"/>
        <v>781.13588506000406</v>
      </c>
      <c r="CS227" s="1019">
        <f t="shared" si="688"/>
        <v>-73.072499880002681</v>
      </c>
      <c r="CT227" s="1019">
        <f t="shared" si="688"/>
        <v>-444.22046156000505</v>
      </c>
      <c r="CU227" s="1019">
        <f t="shared" si="688"/>
        <v>-437.79996888999426</v>
      </c>
      <c r="CV227" s="1019">
        <f t="shared" si="688"/>
        <v>745.61586505999594</v>
      </c>
      <c r="CW227" s="1019">
        <f t="shared" si="688"/>
        <v>-331.40039417000116</v>
      </c>
      <c r="CX227" s="1019">
        <f t="shared" si="688"/>
        <v>-746.21224277999443</v>
      </c>
      <c r="CY227" s="1019">
        <f t="shared" si="688"/>
        <v>-392.77280999000209</v>
      </c>
      <c r="CZ227" s="1019">
        <f t="shared" si="688"/>
        <v>1315.5507111400016</v>
      </c>
      <c r="DA227" s="1019">
        <f t="shared" si="688"/>
        <v>-360.46043989000316</v>
      </c>
      <c r="DB227" s="1019">
        <f t="shared" si="688"/>
        <v>485.71938031000383</v>
      </c>
      <c r="DC227" s="1019">
        <f t="shared" si="688"/>
        <v>-337.74704415000332</v>
      </c>
      <c r="DD227" s="1019">
        <f t="shared" si="688"/>
        <v>-494.48931197999718</v>
      </c>
      <c r="DE227" s="1019">
        <f t="shared" si="688"/>
        <v>-538.87220892000323</v>
      </c>
      <c r="DF227" s="1019">
        <f t="shared" si="688"/>
        <v>116.85817150999631</v>
      </c>
      <c r="DG227" s="1019">
        <f t="shared" si="688"/>
        <v>1.829820929996373</v>
      </c>
      <c r="DH227" s="1019">
        <f t="shared" si="688"/>
        <v>1023.3912418499993</v>
      </c>
      <c r="DI227" s="25"/>
      <c r="DJ227" s="1004"/>
      <c r="DK227" s="1004"/>
      <c r="DL227" s="1004"/>
      <c r="DM227" s="1004"/>
      <c r="DN227" s="1004"/>
      <c r="DO227" s="1004"/>
      <c r="DP227" s="1004"/>
      <c r="DQ227" s="1004"/>
      <c r="DR227" s="1017"/>
      <c r="DS227" s="1017"/>
      <c r="DT227" s="1017"/>
      <c r="DU227" s="1017"/>
      <c r="DW227" s="1004">
        <v>-2671.0860313800058</v>
      </c>
      <c r="DX227" s="1004">
        <v>-2272.6162548959956</v>
      </c>
      <c r="DY227" s="1004">
        <v>407.10620232700148</v>
      </c>
      <c r="DZ227" s="1017">
        <v>992.63325383556582</v>
      </c>
      <c r="EA227" s="1017">
        <v>-1224.0705814955616</v>
      </c>
      <c r="EB227" s="1017">
        <v>531.00250351409704</v>
      </c>
      <c r="EC227" s="1017">
        <v>849.79118943034416</v>
      </c>
      <c r="ED227" s="1017">
        <v>-412.09453100425549</v>
      </c>
      <c r="EE227" s="1017">
        <v>699.72414534587983</v>
      </c>
      <c r="EF227" s="1017">
        <v>1270.4551476637776</v>
      </c>
      <c r="EG227" s="1017">
        <v>830.10898348308649</v>
      </c>
      <c r="EH227" s="1017">
        <v>225.12239900250063</v>
      </c>
      <c r="EI227" s="1004">
        <f>SUM(EI222:EI226)</f>
        <v>-182.82359112956044</v>
      </c>
      <c r="EJ227" s="1004">
        <f t="shared" ref="EJ227:FF227" si="689">SUM(EJ222:EJ226)</f>
        <v>-45.584436750366365</v>
      </c>
      <c r="EK227" s="1004">
        <f t="shared" si="689"/>
        <v>-29.45856852470331</v>
      </c>
      <c r="EL227" s="1017">
        <f t="shared" si="689"/>
        <v>-97.639009168528958</v>
      </c>
      <c r="EM227" s="1017">
        <f t="shared" si="689"/>
        <v>109.24490857162789</v>
      </c>
      <c r="EN227" s="1017">
        <f t="shared" si="689"/>
        <v>320.89010179358502</v>
      </c>
      <c r="EO227" s="1017">
        <f t="shared" si="689"/>
        <v>383.86049724361192</v>
      </c>
      <c r="EP227" s="1017">
        <f t="shared" si="689"/>
        <v>453.85232322619459</v>
      </c>
      <c r="EQ227" s="1017">
        <f t="shared" si="689"/>
        <v>419.57474811203338</v>
      </c>
      <c r="ER227" s="1017">
        <f t="shared" si="689"/>
        <v>478.60959561466711</v>
      </c>
      <c r="ES227" s="1017">
        <f t="shared" si="689"/>
        <v>369.93309816674247</v>
      </c>
      <c r="ET227" s="1017">
        <f t="shared" si="689"/>
        <v>170.06329953912251</v>
      </c>
      <c r="EU227" s="1004">
        <f t="shared" si="689"/>
        <v>135.05859800000002</v>
      </c>
      <c r="EV227" s="1004">
        <f t="shared" si="689"/>
        <v>336.8367549100002</v>
      </c>
      <c r="EW227" s="1004">
        <f t="shared" si="689"/>
        <v>341.36084599999981</v>
      </c>
      <c r="EX227" s="1017">
        <f t="shared" si="689"/>
        <v>297.18355891000004</v>
      </c>
      <c r="EY227" s="1017">
        <f t="shared" si="689"/>
        <v>314.96711791000018</v>
      </c>
      <c r="EZ227" s="1017">
        <f t="shared" si="689"/>
        <v>282.30310291000006</v>
      </c>
      <c r="FA227" s="1017">
        <f t="shared" si="689"/>
        <v>307.20153890999984</v>
      </c>
      <c r="FB227" s="1017">
        <f t="shared" si="689"/>
        <v>101.67076090999996</v>
      </c>
      <c r="FC227" s="1017">
        <f t="shared" si="689"/>
        <v>-6.2338200000000938</v>
      </c>
      <c r="FD227" s="1017">
        <f t="shared" si="689"/>
        <v>-83.64703609</v>
      </c>
      <c r="FE227" s="1017">
        <f t="shared" si="689"/>
        <v>-26.128150090000162</v>
      </c>
      <c r="FF227" s="1017">
        <f t="shared" si="689"/>
        <v>-82.266508000000073</v>
      </c>
      <c r="FG227" s="1017"/>
      <c r="FH227" s="1017"/>
      <c r="FI227" s="1017"/>
      <c r="FJ227" s="1017"/>
      <c r="FK227" s="1017"/>
      <c r="FL227" s="1017"/>
      <c r="FM227" s="1017"/>
      <c r="FN227" s="1017"/>
      <c r="FO227" s="1017"/>
      <c r="FP227" s="1017"/>
      <c r="FQ227" s="1017"/>
      <c r="FR227" s="1017"/>
      <c r="FS227" s="1017"/>
      <c r="FT227" s="1017"/>
      <c r="FU227" s="1017"/>
      <c r="FV227" s="1017"/>
      <c r="FW227" s="1017"/>
      <c r="FX227" s="1017"/>
      <c r="FY227" s="1017"/>
      <c r="FZ227" s="1017"/>
      <c r="GA227" s="1017"/>
      <c r="GB227" s="1017"/>
      <c r="GC227" s="1017"/>
      <c r="GD227" s="1017"/>
      <c r="GF227" s="1009"/>
      <c r="GG227" s="1009"/>
      <c r="GH227" s="1009"/>
      <c r="GI227" s="1009"/>
      <c r="GJ227" s="1009"/>
      <c r="GK227" s="1009"/>
      <c r="GL227" s="1009"/>
      <c r="GM227" s="1009"/>
      <c r="GN227" s="1009"/>
      <c r="GO227" s="1009"/>
      <c r="HU227" s="1009"/>
      <c r="HV227" s="1009"/>
      <c r="HW227" s="1009"/>
      <c r="HX227" s="1009"/>
      <c r="HY227" s="1009"/>
      <c r="HZ227" s="1009"/>
      <c r="IA227" s="1009"/>
      <c r="IB227" s="1009"/>
      <c r="IC227" s="1009"/>
      <c r="ID227" s="1009"/>
      <c r="IE227" s="1009"/>
      <c r="IP227" s="1009"/>
      <c r="IQ227" s="1009"/>
      <c r="IR227" s="1009"/>
      <c r="IS227" s="1009"/>
      <c r="IT227" s="1009"/>
      <c r="IU227" s="1009"/>
      <c r="IV227" s="1009"/>
      <c r="IX227" s="1009"/>
      <c r="IY227" s="1009"/>
      <c r="IZ227" s="1009"/>
      <c r="JA227" s="1009"/>
      <c r="JB227" s="1009"/>
      <c r="JC227" s="1009"/>
      <c r="JD227" s="1009"/>
      <c r="JO227" s="1009"/>
      <c r="JP227" s="1009"/>
      <c r="JQ227" s="1009"/>
      <c r="JR227" s="1009"/>
      <c r="JS227" s="1009"/>
      <c r="JT227" s="1009"/>
      <c r="JU227" s="1009"/>
      <c r="JV227" s="1009"/>
      <c r="JW227" s="1009"/>
      <c r="JX227" s="1009"/>
      <c r="JY227" s="1009"/>
      <c r="KB227" s="1009"/>
      <c r="KC227" s="1009"/>
      <c r="KD227" s="1009"/>
      <c r="KE227" s="1009"/>
      <c r="KF227" s="1009"/>
      <c r="KG227" s="1009"/>
      <c r="KH227" s="1009"/>
      <c r="KJ227" s="1009"/>
      <c r="KK227" s="1009"/>
      <c r="KL227" s="1009"/>
      <c r="KM227" s="1009"/>
      <c r="KN227" s="1009"/>
      <c r="KO227" s="1009"/>
      <c r="KP227" s="1009"/>
      <c r="KR227" s="1009"/>
      <c r="KS227" s="1009"/>
      <c r="KT227" s="1009"/>
      <c r="KU227" s="1009"/>
      <c r="KV227" s="1009"/>
      <c r="KW227" s="1009"/>
      <c r="KX227" s="1009"/>
      <c r="KY227" s="1009"/>
      <c r="KZ227" s="1009"/>
    </row>
    <row r="228" spans="1:312" ht="15" thickTop="1">
      <c r="A228" s="867"/>
      <c r="C228" s="1010" t="s">
        <v>774</v>
      </c>
      <c r="D228" s="662"/>
      <c r="E228" s="1011"/>
      <c r="F228" s="1011"/>
      <c r="G228" s="1011"/>
      <c r="H228" s="1011"/>
      <c r="I228" s="1011"/>
      <c r="J228" s="1011"/>
      <c r="K228" s="1011"/>
      <c r="L228" s="1011"/>
      <c r="M228" s="1011"/>
      <c r="N228" s="1011"/>
      <c r="O228" s="1011"/>
      <c r="P228" s="1011"/>
      <c r="Q228" s="1011"/>
      <c r="R228" s="1011"/>
      <c r="S228" s="1011"/>
      <c r="T228" s="1011"/>
      <c r="U228" s="1011"/>
      <c r="V228" s="1011"/>
      <c r="W228" s="1011"/>
      <c r="X228" s="1011"/>
      <c r="Y228" s="1011"/>
      <c r="Z228" s="1011"/>
      <c r="AA228" s="1011"/>
      <c r="AB228" s="1011"/>
      <c r="AC228" s="1011"/>
      <c r="AD228" s="1011"/>
      <c r="AE228" s="1011"/>
      <c r="AF228" s="1011"/>
      <c r="AG228" s="1011"/>
      <c r="AH228" s="1011"/>
      <c r="AI228" s="1011"/>
      <c r="AJ228" s="1011"/>
      <c r="AK228" s="1011"/>
      <c r="AL228" s="1011"/>
      <c r="AM228" s="1011"/>
      <c r="AN228" s="1011"/>
      <c r="AO228" s="873">
        <v>0</v>
      </c>
      <c r="AP228" s="920">
        <v>0</v>
      </c>
      <c r="AQ228" s="1010">
        <v>0</v>
      </c>
      <c r="AR228" s="1010">
        <v>0</v>
      </c>
      <c r="AS228" s="873">
        <v>0</v>
      </c>
      <c r="AT228" s="873">
        <v>0</v>
      </c>
      <c r="AU228" s="873">
        <v>0</v>
      </c>
      <c r="AV228" s="873">
        <v>0</v>
      </c>
      <c r="AW228" s="873">
        <v>0</v>
      </c>
      <c r="AX228" s="873">
        <v>0</v>
      </c>
      <c r="AY228" s="873">
        <v>0</v>
      </c>
      <c r="AZ228" s="873">
        <v>0</v>
      </c>
      <c r="BA228" s="873">
        <v>-1.4500000000339242E-4</v>
      </c>
      <c r="BB228" s="873">
        <v>0</v>
      </c>
      <c r="BC228" s="873">
        <v>0</v>
      </c>
      <c r="BD228" s="873">
        <v>0</v>
      </c>
      <c r="BE228" s="873">
        <v>0</v>
      </c>
      <c r="BF228" s="873">
        <v>0</v>
      </c>
      <c r="BG228" s="873">
        <v>340</v>
      </c>
      <c r="BH228" s="873">
        <v>0</v>
      </c>
      <c r="BI228" s="873">
        <v>0</v>
      </c>
      <c r="BJ228" s="873">
        <v>0</v>
      </c>
      <c r="BK228" s="873">
        <v>0</v>
      </c>
      <c r="BL228" s="873">
        <v>0</v>
      </c>
      <c r="BM228" s="873">
        <f t="shared" ref="BM228:CD228" si="690">+BL197-BM197+BL198-BM198+BL199-BM199+BL207-BM207</f>
        <v>0</v>
      </c>
      <c r="BN228" s="873">
        <f t="shared" si="690"/>
        <v>0</v>
      </c>
      <c r="BO228" s="873">
        <f t="shared" si="690"/>
        <v>0</v>
      </c>
      <c r="BP228" s="873">
        <f t="shared" si="690"/>
        <v>0</v>
      </c>
      <c r="BQ228" s="873">
        <f t="shared" si="690"/>
        <v>0</v>
      </c>
      <c r="BR228" s="873">
        <f t="shared" si="690"/>
        <v>0</v>
      </c>
      <c r="BS228" s="873">
        <f t="shared" si="690"/>
        <v>0</v>
      </c>
      <c r="BT228" s="873">
        <f t="shared" si="690"/>
        <v>0</v>
      </c>
      <c r="BU228" s="873">
        <f t="shared" si="690"/>
        <v>0</v>
      </c>
      <c r="BV228" s="873">
        <f t="shared" si="690"/>
        <v>0</v>
      </c>
      <c r="BW228" s="873">
        <f t="shared" si="690"/>
        <v>0</v>
      </c>
      <c r="BX228" s="873">
        <f t="shared" si="690"/>
        <v>0</v>
      </c>
      <c r="BY228" s="1012">
        <f t="shared" si="690"/>
        <v>0</v>
      </c>
      <c r="BZ228" s="1012">
        <f t="shared" si="690"/>
        <v>0</v>
      </c>
      <c r="CA228" s="1012">
        <f t="shared" si="690"/>
        <v>0</v>
      </c>
      <c r="CB228" s="1012">
        <f t="shared" si="690"/>
        <v>0</v>
      </c>
      <c r="CC228" s="1012">
        <f t="shared" si="690"/>
        <v>0</v>
      </c>
      <c r="CD228" s="1012">
        <f t="shared" si="690"/>
        <v>0</v>
      </c>
      <c r="CE228" s="1012">
        <f t="shared" ref="CE228:DH228" si="691">-(+CD197-CE197+CD198-CE198+CD199-CE199+CD207-CE207)</f>
        <v>482.40000000000009</v>
      </c>
      <c r="CF228" s="1012">
        <f t="shared" si="691"/>
        <v>0</v>
      </c>
      <c r="CG228" s="1012">
        <f t="shared" si="691"/>
        <v>0</v>
      </c>
      <c r="CH228" s="1012">
        <f t="shared" si="691"/>
        <v>0</v>
      </c>
      <c r="CI228" s="1012">
        <f t="shared" si="691"/>
        <v>0</v>
      </c>
      <c r="CJ228" s="1012">
        <f t="shared" si="691"/>
        <v>0</v>
      </c>
      <c r="CK228" s="1012">
        <f t="shared" si="691"/>
        <v>0</v>
      </c>
      <c r="CL228" s="1012">
        <f t="shared" si="691"/>
        <v>0</v>
      </c>
      <c r="CM228" s="1012">
        <f t="shared" si="691"/>
        <v>0</v>
      </c>
      <c r="CN228" s="1012">
        <f t="shared" si="691"/>
        <v>0</v>
      </c>
      <c r="CO228" s="1012">
        <f t="shared" si="691"/>
        <v>0</v>
      </c>
      <c r="CP228" s="1012">
        <f t="shared" si="691"/>
        <v>0</v>
      </c>
      <c r="CQ228" s="1012">
        <f t="shared" si="691"/>
        <v>0</v>
      </c>
      <c r="CR228" s="1012">
        <f t="shared" si="691"/>
        <v>0</v>
      </c>
      <c r="CS228" s="1012">
        <f t="shared" si="691"/>
        <v>0</v>
      </c>
      <c r="CT228" s="1012">
        <f t="shared" si="691"/>
        <v>0</v>
      </c>
      <c r="CU228" s="1012">
        <f t="shared" si="691"/>
        <v>0</v>
      </c>
      <c r="CV228" s="1012">
        <f t="shared" si="691"/>
        <v>0</v>
      </c>
      <c r="CW228" s="1012">
        <f t="shared" si="691"/>
        <v>0</v>
      </c>
      <c r="CX228" s="1012">
        <f t="shared" si="691"/>
        <v>0</v>
      </c>
      <c r="CY228" s="1012">
        <f t="shared" si="691"/>
        <v>0</v>
      </c>
      <c r="CZ228" s="1012">
        <f t="shared" si="691"/>
        <v>0</v>
      </c>
      <c r="DA228" s="1012">
        <f t="shared" si="691"/>
        <v>0</v>
      </c>
      <c r="DB228" s="1012">
        <f t="shared" si="691"/>
        <v>0</v>
      </c>
      <c r="DC228" s="1012">
        <f t="shared" si="691"/>
        <v>0</v>
      </c>
      <c r="DD228" s="1012">
        <f t="shared" si="691"/>
        <v>0</v>
      </c>
      <c r="DE228" s="1012">
        <f t="shared" si="691"/>
        <v>0</v>
      </c>
      <c r="DF228" s="1012">
        <f t="shared" si="691"/>
        <v>0</v>
      </c>
      <c r="DG228" s="1012">
        <f t="shared" si="691"/>
        <v>0</v>
      </c>
      <c r="DH228" s="1012">
        <f t="shared" si="691"/>
        <v>0</v>
      </c>
      <c r="DJ228" s="1010"/>
      <c r="DK228" s="1010"/>
      <c r="DL228" s="1010"/>
      <c r="DM228" s="1010"/>
      <c r="DN228" s="1010"/>
      <c r="DO228" s="1010"/>
      <c r="DP228" s="1010"/>
      <c r="DQ228" s="1010"/>
      <c r="DR228" s="873"/>
      <c r="DS228" s="873"/>
      <c r="DT228" s="873"/>
      <c r="DU228" s="873"/>
      <c r="DW228" s="1010">
        <v>-476.79939265999991</v>
      </c>
      <c r="DX228" s="1010">
        <v>1576.3999999999999</v>
      </c>
      <c r="DY228" s="1010">
        <v>0</v>
      </c>
      <c r="DZ228" s="873">
        <v>0</v>
      </c>
      <c r="EA228" s="873">
        <v>0</v>
      </c>
      <c r="EB228" s="873">
        <v>0</v>
      </c>
      <c r="EC228" s="873">
        <v>0</v>
      </c>
      <c r="ED228" s="873">
        <v>0</v>
      </c>
      <c r="EE228" s="873">
        <v>0</v>
      </c>
      <c r="EF228" s="873">
        <v>0</v>
      </c>
      <c r="EG228" s="873">
        <v>0</v>
      </c>
      <c r="EH228" s="873">
        <v>0</v>
      </c>
      <c r="EI228" s="1010"/>
      <c r="EJ228" s="1010"/>
      <c r="EK228" s="1010"/>
      <c r="EL228" s="873"/>
      <c r="EM228" s="873"/>
      <c r="EN228" s="873"/>
      <c r="EO228" s="873"/>
      <c r="EP228" s="873"/>
      <c r="EQ228" s="873"/>
      <c r="ER228" s="873"/>
      <c r="ES228" s="873"/>
      <c r="ET228" s="873"/>
      <c r="EU228" s="1010"/>
      <c r="EV228" s="1010"/>
      <c r="EW228" s="1010"/>
      <c r="EX228" s="873"/>
      <c r="EY228" s="873"/>
      <c r="EZ228" s="873"/>
      <c r="FA228" s="873"/>
      <c r="FB228" s="873"/>
      <c r="FC228" s="873"/>
      <c r="FD228" s="873"/>
      <c r="FE228" s="873"/>
      <c r="FF228" s="873"/>
      <c r="FG228" s="873"/>
      <c r="FH228" s="873"/>
      <c r="FI228" s="873"/>
      <c r="FJ228" s="873"/>
      <c r="FK228" s="873"/>
      <c r="FL228" s="873"/>
      <c r="FM228" s="873"/>
      <c r="FN228" s="873"/>
      <c r="FO228" s="873"/>
      <c r="FP228" s="873"/>
      <c r="FQ228" s="873"/>
      <c r="FR228" s="873"/>
      <c r="FS228" s="873"/>
      <c r="FT228" s="873"/>
      <c r="FU228" s="873"/>
      <c r="FV228" s="873"/>
      <c r="FW228" s="873"/>
      <c r="FX228" s="873"/>
      <c r="FY228" s="873"/>
      <c r="FZ228" s="873"/>
      <c r="GA228" s="873"/>
      <c r="GB228" s="873"/>
      <c r="GC228" s="873"/>
      <c r="GD228" s="873"/>
      <c r="GF228" s="1013"/>
      <c r="GG228" s="1013"/>
      <c r="GH228" s="1013"/>
      <c r="GI228" s="1013"/>
      <c r="GJ228" s="1013"/>
      <c r="GK228" s="1013"/>
      <c r="GL228" s="1013"/>
      <c r="GM228" s="1013"/>
      <c r="GN228" s="1013"/>
      <c r="GO228" s="1013"/>
      <c r="HU228" s="1013"/>
      <c r="HV228" s="1013"/>
      <c r="HW228" s="1013"/>
      <c r="HX228" s="1013"/>
      <c r="HY228" s="1013"/>
      <c r="HZ228" s="1013"/>
      <c r="IA228" s="1013"/>
      <c r="IB228" s="1013"/>
      <c r="IC228" s="1013"/>
      <c r="ID228" s="1013"/>
      <c r="IE228" s="1013"/>
      <c r="IP228" s="1013"/>
      <c r="IQ228" s="1013"/>
      <c r="IR228" s="1013"/>
      <c r="IS228" s="1013"/>
      <c r="IT228" s="1013"/>
      <c r="IU228" s="1013"/>
      <c r="IV228" s="1013"/>
      <c r="IX228" s="1013"/>
      <c r="IY228" s="1013"/>
      <c r="IZ228" s="1013"/>
      <c r="JA228" s="1013"/>
      <c r="JB228" s="1013"/>
      <c r="JC228" s="1013"/>
      <c r="JD228" s="1013"/>
      <c r="JO228" s="1013"/>
      <c r="JP228" s="1013"/>
      <c r="JQ228" s="1013"/>
      <c r="JR228" s="1013"/>
      <c r="JS228" s="1013"/>
      <c r="JT228" s="1013"/>
      <c r="JU228" s="1013"/>
      <c r="JV228" s="1013"/>
      <c r="JW228" s="1013"/>
      <c r="JX228" s="1013"/>
      <c r="JY228" s="1013"/>
      <c r="KB228" s="1013"/>
      <c r="KC228" s="1013"/>
      <c r="KD228" s="1013"/>
      <c r="KE228" s="1013"/>
      <c r="KF228" s="1013"/>
      <c r="KG228" s="1013"/>
      <c r="KH228" s="1013"/>
      <c r="KJ228" s="1013"/>
      <c r="KK228" s="1013"/>
      <c r="KL228" s="1013"/>
      <c r="KM228" s="1013"/>
      <c r="KN228" s="1013"/>
      <c r="KO228" s="1013"/>
      <c r="KP228" s="1013"/>
      <c r="KR228" s="1013"/>
      <c r="KS228" s="1013"/>
      <c r="KT228" s="1013"/>
      <c r="KU228" s="1013"/>
      <c r="KV228" s="1013"/>
      <c r="KW228" s="1013"/>
      <c r="KX228" s="1013"/>
      <c r="KY228" s="1013"/>
      <c r="KZ228" s="1013"/>
    </row>
    <row r="229" spans="1:312">
      <c r="A229" s="867"/>
      <c r="C229" s="1010" t="s">
        <v>190</v>
      </c>
      <c r="D229" s="662"/>
      <c r="E229" s="1011"/>
      <c r="F229" s="1011"/>
      <c r="G229" s="1011"/>
      <c r="H229" s="1011"/>
      <c r="I229" s="1011"/>
      <c r="J229" s="1011"/>
      <c r="K229" s="1011"/>
      <c r="L229" s="1011"/>
      <c r="M229" s="1011"/>
      <c r="N229" s="1011"/>
      <c r="O229" s="1011"/>
      <c r="P229" s="1011"/>
      <c r="Q229" s="1011"/>
      <c r="R229" s="1011"/>
      <c r="S229" s="1011"/>
      <c r="T229" s="1011"/>
      <c r="U229" s="1011"/>
      <c r="V229" s="1011"/>
      <c r="W229" s="1011"/>
      <c r="X229" s="1011"/>
      <c r="Y229" s="1011"/>
      <c r="Z229" s="1011"/>
      <c r="AA229" s="1011"/>
      <c r="AB229" s="1011"/>
      <c r="AC229" s="1011"/>
      <c r="AD229" s="1011"/>
      <c r="AE229" s="1011"/>
      <c r="AF229" s="1011"/>
      <c r="AG229" s="1011"/>
      <c r="AH229" s="1011"/>
      <c r="AI229" s="1011"/>
      <c r="AJ229" s="1011"/>
      <c r="AK229" s="1011"/>
      <c r="AL229" s="1011"/>
      <c r="AM229" s="1011"/>
      <c r="AN229" s="1011"/>
      <c r="AO229" s="873">
        <v>-2.7284841053187847E-12</v>
      </c>
      <c r="AP229" s="920">
        <v>2.1600499167107046E-12</v>
      </c>
      <c r="AQ229" s="1010">
        <v>-2.5579538487363607E-12</v>
      </c>
      <c r="AR229" s="1010">
        <v>-1.5916157281026244E-12</v>
      </c>
      <c r="AS229" s="873">
        <v>0</v>
      </c>
      <c r="AT229" s="873">
        <v>-811.14082699999835</v>
      </c>
      <c r="AU229" s="873">
        <v>-1.3216094885137863E-12</v>
      </c>
      <c r="AV229" s="873">
        <v>1.3464784842653899E-12</v>
      </c>
      <c r="AW229" s="873">
        <v>-3.979039320256561E-13</v>
      </c>
      <c r="AX229" s="873">
        <v>0</v>
      </c>
      <c r="AY229" s="873">
        <v>1.8189894035458565E-12</v>
      </c>
      <c r="AZ229" s="873">
        <v>516.70212886999843</v>
      </c>
      <c r="BA229" s="873">
        <v>0</v>
      </c>
      <c r="BB229" s="873">
        <v>0</v>
      </c>
      <c r="BC229" s="873">
        <v>9.0949470177292824E-13</v>
      </c>
      <c r="BD229" s="873">
        <v>-1.4779288903810084E-12</v>
      </c>
      <c r="BE229" s="873">
        <v>4.1495695768389851E-12</v>
      </c>
      <c r="BF229" s="873">
        <v>-4.7748471843078732E-12</v>
      </c>
      <c r="BG229" s="873">
        <v>0</v>
      </c>
      <c r="BH229" s="873">
        <v>-2.2737367544323206E-12</v>
      </c>
      <c r="BI229" s="873">
        <v>-141.9496439999962</v>
      </c>
      <c r="BJ229" s="873">
        <v>1.4210854715202004E-12</v>
      </c>
      <c r="BK229" s="873">
        <v>-2.9558577807620168E-12</v>
      </c>
      <c r="BL229" s="873">
        <v>240</v>
      </c>
      <c r="BM229" s="873">
        <v>0</v>
      </c>
      <c r="BN229" s="873">
        <v>0</v>
      </c>
      <c r="BO229" s="873">
        <v>0</v>
      </c>
      <c r="BP229" s="873">
        <v>0</v>
      </c>
      <c r="BQ229" s="873">
        <v>0</v>
      </c>
      <c r="BR229" s="873">
        <v>0</v>
      </c>
      <c r="BS229" s="873">
        <v>0</v>
      </c>
      <c r="BT229" s="873">
        <v>0</v>
      </c>
      <c r="BU229" s="873">
        <v>0</v>
      </c>
      <c r="BV229" s="873">
        <v>0</v>
      </c>
      <c r="BW229" s="873">
        <v>0</v>
      </c>
      <c r="BX229" s="873">
        <v>0</v>
      </c>
      <c r="BY229" s="1012"/>
      <c r="BZ229" s="1012"/>
      <c r="CA229" s="1012"/>
      <c r="CB229" s="1012"/>
      <c r="CC229" s="1012"/>
      <c r="CD229" s="1012"/>
      <c r="CE229" s="1012"/>
      <c r="CF229" s="1012"/>
      <c r="CG229" s="1012"/>
      <c r="CH229" s="1012"/>
      <c r="CI229" s="1012"/>
      <c r="CJ229" s="1012"/>
      <c r="CK229" s="1012"/>
      <c r="CL229" s="1012"/>
      <c r="CM229" s="1012"/>
      <c r="CN229" s="1012"/>
      <c r="CO229" s="1012"/>
      <c r="CP229" s="1012"/>
      <c r="CQ229" s="1012"/>
      <c r="CR229" s="1012"/>
      <c r="CS229" s="1012"/>
      <c r="CT229" s="1012"/>
      <c r="CU229" s="1012"/>
      <c r="CV229" s="1012"/>
      <c r="CW229" s="1012"/>
      <c r="CX229" s="1012"/>
      <c r="CY229" s="1012"/>
      <c r="CZ229" s="1012"/>
      <c r="DA229" s="1012"/>
      <c r="DB229" s="1012"/>
      <c r="DC229" s="1012"/>
      <c r="DD229" s="1012"/>
      <c r="DE229" s="1012"/>
      <c r="DF229" s="1012"/>
      <c r="DG229" s="1012"/>
      <c r="DH229" s="1012"/>
      <c r="DJ229" s="1010"/>
      <c r="DK229" s="1010"/>
      <c r="DL229" s="1010"/>
      <c r="DM229" s="1010"/>
      <c r="DN229" s="1010"/>
      <c r="DO229" s="1010"/>
      <c r="DP229" s="1010"/>
      <c r="DQ229" s="1010"/>
      <c r="DR229" s="873"/>
      <c r="DS229" s="873"/>
      <c r="DT229" s="873"/>
      <c r="DU229" s="873"/>
      <c r="DW229" s="1010">
        <v>374.69146237000314</v>
      </c>
      <c r="DX229" s="1010">
        <v>-3.4106051316484809E-13</v>
      </c>
      <c r="DY229" s="1010">
        <v>4.8316906031686813E-13</v>
      </c>
      <c r="DZ229" s="873">
        <v>0</v>
      </c>
      <c r="EA229" s="873">
        <v>-3.694822225952521E-13</v>
      </c>
      <c r="EB229" s="873">
        <v>-3.694822225952521E-13</v>
      </c>
      <c r="EC229" s="873">
        <v>-2496.9694257934998</v>
      </c>
      <c r="ED229" s="873">
        <v>0</v>
      </c>
      <c r="EE229" s="873">
        <v>0</v>
      </c>
      <c r="EF229" s="873">
        <v>0</v>
      </c>
      <c r="EG229" s="873">
        <v>-2496.9694257934993</v>
      </c>
      <c r="EH229" s="873">
        <v>0</v>
      </c>
      <c r="EI229" s="1010"/>
      <c r="EJ229" s="1010"/>
      <c r="EK229" s="1010"/>
      <c r="EL229" s="873"/>
      <c r="EM229" s="873"/>
      <c r="EN229" s="873"/>
      <c r="EO229" s="873"/>
      <c r="EP229" s="873"/>
      <c r="EQ229" s="873"/>
      <c r="ER229" s="873"/>
      <c r="ES229" s="873"/>
      <c r="ET229" s="873"/>
      <c r="EU229" s="1010"/>
      <c r="EV229" s="1010"/>
      <c r="EW229" s="1010"/>
      <c r="EX229" s="873"/>
      <c r="EY229" s="873"/>
      <c r="EZ229" s="873"/>
      <c r="FA229" s="873"/>
      <c r="FB229" s="873"/>
      <c r="FC229" s="873"/>
      <c r="FD229" s="873"/>
      <c r="FE229" s="873"/>
      <c r="FF229" s="873"/>
      <c r="FG229" s="873"/>
      <c r="FH229" s="873"/>
      <c r="FI229" s="873"/>
      <c r="FJ229" s="873"/>
      <c r="FK229" s="873"/>
      <c r="FL229" s="873"/>
      <c r="FM229" s="873"/>
      <c r="FN229" s="873"/>
      <c r="FO229" s="873"/>
      <c r="FP229" s="873"/>
      <c r="FQ229" s="873"/>
      <c r="FR229" s="873"/>
      <c r="FS229" s="873"/>
      <c r="FT229" s="873"/>
      <c r="FU229" s="873"/>
      <c r="FV229" s="873"/>
      <c r="FW229" s="873"/>
      <c r="FX229" s="873"/>
      <c r="FY229" s="873"/>
      <c r="FZ229" s="873"/>
      <c r="GA229" s="873"/>
      <c r="GB229" s="873"/>
      <c r="GC229" s="873"/>
      <c r="GD229" s="873"/>
      <c r="GF229" s="1013"/>
      <c r="GG229" s="1013"/>
      <c r="GH229" s="1013"/>
      <c r="GI229" s="1013"/>
      <c r="GJ229" s="1013"/>
      <c r="GK229" s="1013"/>
      <c r="GL229" s="1013"/>
      <c r="GM229" s="1013"/>
      <c r="GN229" s="1013"/>
      <c r="GO229" s="1013"/>
      <c r="HU229" s="1013"/>
      <c r="HV229" s="1013"/>
      <c r="HW229" s="1013"/>
      <c r="HX229" s="1013"/>
      <c r="HY229" s="1013"/>
      <c r="HZ229" s="1013"/>
      <c r="IA229" s="1013"/>
      <c r="IB229" s="1013"/>
      <c r="IC229" s="1013"/>
      <c r="ID229" s="1013"/>
      <c r="IE229" s="1013"/>
      <c r="IP229" s="1013"/>
      <c r="IQ229" s="1013"/>
      <c r="IR229" s="1013"/>
      <c r="IS229" s="1013"/>
      <c r="IT229" s="1013"/>
      <c r="IU229" s="1013"/>
      <c r="IV229" s="1013"/>
      <c r="IX229" s="1013"/>
      <c r="IY229" s="1013"/>
      <c r="IZ229" s="1013"/>
      <c r="JA229" s="1013"/>
      <c r="JB229" s="1013"/>
      <c r="JC229" s="1013"/>
      <c r="JD229" s="1013"/>
      <c r="JO229" s="1013"/>
      <c r="JP229" s="1013"/>
      <c r="JQ229" s="1013"/>
      <c r="JR229" s="1013"/>
      <c r="JS229" s="1013"/>
      <c r="JT229" s="1013"/>
      <c r="JU229" s="1013"/>
      <c r="JV229" s="1013"/>
      <c r="JW229" s="1013"/>
      <c r="JX229" s="1013"/>
      <c r="JY229" s="1013"/>
      <c r="KB229" s="1013"/>
      <c r="KC229" s="1013"/>
      <c r="KD229" s="1013"/>
      <c r="KE229" s="1013"/>
      <c r="KF229" s="1013"/>
      <c r="KG229" s="1013"/>
      <c r="KH229" s="1013"/>
      <c r="KJ229" s="1013"/>
      <c r="KK229" s="1013"/>
      <c r="KL229" s="1013"/>
      <c r="KM229" s="1013"/>
      <c r="KN229" s="1013"/>
      <c r="KO229" s="1013"/>
      <c r="KP229" s="1013"/>
      <c r="KR229" s="1013"/>
      <c r="KS229" s="1013"/>
      <c r="KT229" s="1013"/>
      <c r="KU229" s="1013"/>
      <c r="KV229" s="1013"/>
      <c r="KW229" s="1013"/>
      <c r="KX229" s="1013"/>
      <c r="KY229" s="1013"/>
      <c r="KZ229" s="1013"/>
    </row>
    <row r="230" spans="1:312" ht="15" thickBot="1">
      <c r="A230" s="867"/>
      <c r="C230" s="1004" t="s">
        <v>191</v>
      </c>
      <c r="D230" s="1015"/>
      <c r="E230" s="1016"/>
      <c r="F230" s="1016"/>
      <c r="G230" s="1016"/>
      <c r="H230" s="1016"/>
      <c r="I230" s="1016"/>
      <c r="J230" s="1016"/>
      <c r="K230" s="1016"/>
      <c r="L230" s="1016"/>
      <c r="M230" s="1016"/>
      <c r="N230" s="1016"/>
      <c r="O230" s="1016"/>
      <c r="P230" s="1016"/>
      <c r="Q230" s="1016"/>
      <c r="R230" s="1016"/>
      <c r="S230" s="1016"/>
      <c r="T230" s="1016"/>
      <c r="U230" s="1016"/>
      <c r="V230" s="1016"/>
      <c r="W230" s="1016"/>
      <c r="X230" s="1016"/>
      <c r="Y230" s="1016"/>
      <c r="Z230" s="1016"/>
      <c r="AA230" s="1016"/>
      <c r="AB230" s="1016"/>
      <c r="AC230" s="1016"/>
      <c r="AD230" s="1016"/>
      <c r="AE230" s="1016"/>
      <c r="AF230" s="1016"/>
      <c r="AG230" s="1016"/>
      <c r="AH230" s="1016"/>
      <c r="AI230" s="1016"/>
      <c r="AJ230" s="1016"/>
      <c r="AK230" s="1016"/>
      <c r="AL230" s="1016"/>
      <c r="AM230" s="1016"/>
      <c r="AN230" s="1016"/>
      <c r="AO230" s="1017">
        <v>-2773.8765688699928</v>
      </c>
      <c r="AP230" s="1018">
        <v>1092.8382973199932</v>
      </c>
      <c r="AQ230" s="1004">
        <v>-1601.225874729997</v>
      </c>
      <c r="AR230" s="1004">
        <v>-1068.5157370300021</v>
      </c>
      <c r="AS230" s="1017">
        <v>-700.49672850000559</v>
      </c>
      <c r="AT230" s="1017">
        <v>-174.12211790999754</v>
      </c>
      <c r="AU230" s="1017">
        <v>-59.280305860001604</v>
      </c>
      <c r="AV230" s="1017">
        <v>-636.00592111999538</v>
      </c>
      <c r="AW230" s="1017">
        <v>-646.03362735000201</v>
      </c>
      <c r="AX230" s="1017">
        <v>1408.1461292400015</v>
      </c>
      <c r="AY230" s="1017">
        <v>-200.63779103999934</v>
      </c>
      <c r="AZ230" s="1017">
        <v>0</v>
      </c>
      <c r="BA230" s="1017">
        <v>-915.33776759000602</v>
      </c>
      <c r="BB230" s="1017">
        <v>176.80041938000318</v>
      </c>
      <c r="BC230" s="1017">
        <v>-363.90783853999756</v>
      </c>
      <c r="BD230" s="1017">
        <v>1053.7841949100002</v>
      </c>
      <c r="BE230" s="1017">
        <v>-1006.6229507399989</v>
      </c>
      <c r="BF230" s="1017">
        <v>-338.53914281000561</v>
      </c>
      <c r="BG230" s="1017">
        <v>106.52437047000137</v>
      </c>
      <c r="BH230" s="1017">
        <v>-252.24227626000308</v>
      </c>
      <c r="BI230" s="1017">
        <v>239.50010924000392</v>
      </c>
      <c r="BJ230" s="1017">
        <v>-66.328171709996695</v>
      </c>
      <c r="BK230" s="1017">
        <v>1012.7894656899948</v>
      </c>
      <c r="BL230" s="1017">
        <v>-206.70351644999903</v>
      </c>
      <c r="BM230" s="1017">
        <f t="shared" ref="BM230:BX230" si="692">SUM(BM227:BM229)</f>
        <v>-586.33782238999447</v>
      </c>
      <c r="BN230" s="1017">
        <f t="shared" si="692"/>
        <v>-609.35894884000356</v>
      </c>
      <c r="BO230" s="1017">
        <f t="shared" si="692"/>
        <v>423.11616083999741</v>
      </c>
      <c r="BP230" s="1017">
        <f t="shared" si="692"/>
        <v>-379.83665856000101</v>
      </c>
      <c r="BQ230" s="1017">
        <f t="shared" si="692"/>
        <v>535.80584130000364</v>
      </c>
      <c r="BR230" s="1017">
        <f t="shared" si="692"/>
        <v>-48.669332630003353</v>
      </c>
      <c r="BS230" s="1017">
        <f t="shared" si="692"/>
        <v>-284.24640592999646</v>
      </c>
      <c r="BT230" s="1017">
        <f t="shared" si="692"/>
        <v>104.80073302999885</v>
      </c>
      <c r="BU230" s="1017">
        <f t="shared" si="692"/>
        <v>-361.19821205999847</v>
      </c>
      <c r="BV230" s="1017">
        <f t="shared" si="692"/>
        <v>835.15721473999815</v>
      </c>
      <c r="BW230" s="1017">
        <f t="shared" si="692"/>
        <v>-172.90071030999695</v>
      </c>
      <c r="BX230" s="1017">
        <f t="shared" si="692"/>
        <v>459.14647982999605</v>
      </c>
      <c r="BY230" s="1019">
        <f t="shared" ref="BY230:DH230" si="693">SUM(BY227:BY229)</f>
        <v>-720.1954776700004</v>
      </c>
      <c r="BZ230" s="1019">
        <f t="shared" si="693"/>
        <v>34.108861180004716</v>
      </c>
      <c r="CA230" s="1019">
        <f t="shared" si="693"/>
        <v>-191.23711034000229</v>
      </c>
      <c r="CB230" s="1019">
        <f t="shared" si="693"/>
        <v>160.29892759000251</v>
      </c>
      <c r="CC230" s="1019">
        <f t="shared" si="693"/>
        <v>67.633332939999249</v>
      </c>
      <c r="CD230" s="1019">
        <f t="shared" si="693"/>
        <v>-109.49255223000023</v>
      </c>
      <c r="CE230" s="1019">
        <f t="shared" si="693"/>
        <v>1086.7722490899996</v>
      </c>
      <c r="CF230" s="1019">
        <f t="shared" si="693"/>
        <v>-206.26283273999957</v>
      </c>
      <c r="CG230" s="1019">
        <f t="shared" si="693"/>
        <v>-727.0797346300011</v>
      </c>
      <c r="CH230" s="1019">
        <f t="shared" si="693"/>
        <v>-355.373502790006</v>
      </c>
      <c r="CI230" s="1019">
        <f t="shared" si="693"/>
        <v>-19.467824959995056</v>
      </c>
      <c r="CJ230" s="1019">
        <f t="shared" si="693"/>
        <v>163.9331067799987</v>
      </c>
      <c r="CK230" s="1019">
        <f t="shared" si="693"/>
        <v>-416.30388124999791</v>
      </c>
      <c r="CL230" s="1019">
        <f t="shared" si="693"/>
        <v>322.56746037999977</v>
      </c>
      <c r="CM230" s="1019">
        <f t="shared" si="693"/>
        <v>42.685263620000029</v>
      </c>
      <c r="CN230" s="1019">
        <f t="shared" si="693"/>
        <v>-58.241102019999644</v>
      </c>
      <c r="CO230" s="1019">
        <f t="shared" si="693"/>
        <v>76.815120290000522</v>
      </c>
      <c r="CP230" s="1019">
        <f t="shared" si="693"/>
        <v>210.33408645000222</v>
      </c>
      <c r="CQ230" s="1019">
        <f t="shared" si="693"/>
        <v>450.02995133999815</v>
      </c>
      <c r="CR230" s="1019">
        <f t="shared" si="693"/>
        <v>781.13588506000406</v>
      </c>
      <c r="CS230" s="1019">
        <f t="shared" si="693"/>
        <v>-73.072499880002681</v>
      </c>
      <c r="CT230" s="1019">
        <f t="shared" si="693"/>
        <v>-444.22046156000505</v>
      </c>
      <c r="CU230" s="1019">
        <f t="shared" si="693"/>
        <v>-437.79996888999426</v>
      </c>
      <c r="CV230" s="1019">
        <f t="shared" si="693"/>
        <v>745.61586505999594</v>
      </c>
      <c r="CW230" s="1019">
        <f t="shared" si="693"/>
        <v>-331.40039417000116</v>
      </c>
      <c r="CX230" s="1019">
        <f t="shared" si="693"/>
        <v>-746.21224277999443</v>
      </c>
      <c r="CY230" s="1019">
        <f t="shared" si="693"/>
        <v>-392.77280999000209</v>
      </c>
      <c r="CZ230" s="1019">
        <f t="shared" si="693"/>
        <v>1315.5507111400016</v>
      </c>
      <c r="DA230" s="1019">
        <f t="shared" si="693"/>
        <v>-360.46043989000316</v>
      </c>
      <c r="DB230" s="1019">
        <f t="shared" si="693"/>
        <v>485.71938031000383</v>
      </c>
      <c r="DC230" s="1019">
        <f t="shared" si="693"/>
        <v>-337.74704415000332</v>
      </c>
      <c r="DD230" s="1019">
        <f t="shared" si="693"/>
        <v>-494.48931197999718</v>
      </c>
      <c r="DE230" s="1019">
        <f t="shared" si="693"/>
        <v>-538.87220892000323</v>
      </c>
      <c r="DF230" s="1019">
        <f t="shared" si="693"/>
        <v>116.85817150999631</v>
      </c>
      <c r="DG230" s="1019">
        <f t="shared" si="693"/>
        <v>1.829820929996373</v>
      </c>
      <c r="DH230" s="1019">
        <f t="shared" si="693"/>
        <v>1023.3912418499993</v>
      </c>
      <c r="DI230" s="25"/>
      <c r="DJ230" s="1004"/>
      <c r="DK230" s="1004"/>
      <c r="DL230" s="1004"/>
      <c r="DM230" s="1004"/>
      <c r="DN230" s="1004"/>
      <c r="DO230" s="1004"/>
      <c r="DP230" s="1004"/>
      <c r="DQ230" s="1004"/>
      <c r="DR230" s="1017"/>
      <c r="DS230" s="1017"/>
      <c r="DT230" s="1017"/>
      <c r="DU230" s="1017"/>
      <c r="DW230" s="1004">
        <v>-2773.1939616700024</v>
      </c>
      <c r="DX230" s="1004">
        <v>-696.21625489599603</v>
      </c>
      <c r="DY230" s="1004">
        <v>407.10620232700194</v>
      </c>
      <c r="DZ230" s="1017">
        <v>992.63325383556582</v>
      </c>
      <c r="EA230" s="1017">
        <v>-1224.070581495562</v>
      </c>
      <c r="EB230" s="1017">
        <v>531.0025035140967</v>
      </c>
      <c r="EC230" s="1017">
        <v>-1647.1782363631555</v>
      </c>
      <c r="ED230" s="1017">
        <v>-412.09453100425549</v>
      </c>
      <c r="EE230" s="1017">
        <v>699.72414534587983</v>
      </c>
      <c r="EF230" s="1017">
        <v>1270.4551476637776</v>
      </c>
      <c r="EG230" s="1017">
        <v>-1666.860442310413</v>
      </c>
      <c r="EH230" s="1017">
        <v>225.12239900250063</v>
      </c>
      <c r="EI230" s="1004">
        <f>SUM(EI227:EI229)</f>
        <v>-182.82359112956044</v>
      </c>
      <c r="EJ230" s="1004">
        <f t="shared" ref="EJ230:FF230" si="694">SUM(EJ227:EJ229)</f>
        <v>-45.584436750366365</v>
      </c>
      <c r="EK230" s="1004">
        <f t="shared" si="694"/>
        <v>-29.45856852470331</v>
      </c>
      <c r="EL230" s="1017">
        <f t="shared" si="694"/>
        <v>-97.639009168528958</v>
      </c>
      <c r="EM230" s="1017">
        <f t="shared" si="694"/>
        <v>109.24490857162789</v>
      </c>
      <c r="EN230" s="1017">
        <f t="shared" si="694"/>
        <v>320.89010179358502</v>
      </c>
      <c r="EO230" s="1017">
        <f t="shared" si="694"/>
        <v>383.86049724361192</v>
      </c>
      <c r="EP230" s="1017">
        <f t="shared" si="694"/>
        <v>453.85232322619459</v>
      </c>
      <c r="EQ230" s="1017">
        <f t="shared" si="694"/>
        <v>419.57474811203338</v>
      </c>
      <c r="ER230" s="1017">
        <f t="shared" si="694"/>
        <v>478.60959561466711</v>
      </c>
      <c r="ES230" s="1017">
        <f t="shared" si="694"/>
        <v>369.93309816674247</v>
      </c>
      <c r="ET230" s="1017">
        <f t="shared" si="694"/>
        <v>170.06329953912251</v>
      </c>
      <c r="EU230" s="1004">
        <f t="shared" si="694"/>
        <v>135.05859800000002</v>
      </c>
      <c r="EV230" s="1004">
        <f t="shared" si="694"/>
        <v>336.8367549100002</v>
      </c>
      <c r="EW230" s="1004">
        <f t="shared" si="694"/>
        <v>341.36084599999981</v>
      </c>
      <c r="EX230" s="1017">
        <f t="shared" si="694"/>
        <v>297.18355891000004</v>
      </c>
      <c r="EY230" s="1017">
        <f t="shared" si="694"/>
        <v>314.96711791000018</v>
      </c>
      <c r="EZ230" s="1017">
        <f t="shared" si="694"/>
        <v>282.30310291000006</v>
      </c>
      <c r="FA230" s="1017">
        <f t="shared" si="694"/>
        <v>307.20153890999984</v>
      </c>
      <c r="FB230" s="1017">
        <f t="shared" si="694"/>
        <v>101.67076090999996</v>
      </c>
      <c r="FC230" s="1017">
        <f t="shared" si="694"/>
        <v>-6.2338200000000938</v>
      </c>
      <c r="FD230" s="1017">
        <f t="shared" si="694"/>
        <v>-83.64703609</v>
      </c>
      <c r="FE230" s="1017">
        <f t="shared" si="694"/>
        <v>-26.128150090000162</v>
      </c>
      <c r="FF230" s="1017">
        <f t="shared" si="694"/>
        <v>-82.266508000000073</v>
      </c>
      <c r="FG230" s="1017"/>
      <c r="FH230" s="1017"/>
      <c r="FI230" s="1017"/>
      <c r="FJ230" s="1017"/>
      <c r="FK230" s="1017"/>
      <c r="FL230" s="1017"/>
      <c r="FM230" s="1017"/>
      <c r="FN230" s="1017"/>
      <c r="FO230" s="1017"/>
      <c r="FP230" s="1017"/>
      <c r="FQ230" s="1017"/>
      <c r="FR230" s="1017"/>
      <c r="FS230" s="1017"/>
      <c r="FT230" s="1017"/>
      <c r="FU230" s="1017"/>
      <c r="FV230" s="1017"/>
      <c r="FW230" s="1017"/>
      <c r="FX230" s="1017"/>
      <c r="FY230" s="1017"/>
      <c r="FZ230" s="1017"/>
      <c r="GA230" s="1017"/>
      <c r="GB230" s="1017"/>
      <c r="GC230" s="1017"/>
      <c r="GD230" s="1017"/>
      <c r="GF230" s="1009"/>
      <c r="GG230" s="1009"/>
      <c r="GH230" s="1009"/>
      <c r="GI230" s="1009"/>
      <c r="GJ230" s="1009"/>
      <c r="GK230" s="1009"/>
      <c r="GL230" s="1009"/>
      <c r="GM230" s="1009"/>
      <c r="GN230" s="1009"/>
      <c r="GO230" s="1009"/>
      <c r="HU230" s="1009"/>
      <c r="HV230" s="1009"/>
      <c r="HW230" s="1009"/>
      <c r="HX230" s="1009"/>
      <c r="HY230" s="1009"/>
      <c r="HZ230" s="1009"/>
      <c r="IA230" s="1009"/>
      <c r="IB230" s="1009"/>
      <c r="IC230" s="1009"/>
      <c r="ID230" s="1009"/>
      <c r="IE230" s="1009"/>
      <c r="IP230" s="1009"/>
      <c r="IQ230" s="1009"/>
      <c r="IR230" s="1009"/>
      <c r="IS230" s="1009"/>
      <c r="IT230" s="1009"/>
      <c r="IU230" s="1009"/>
      <c r="IV230" s="1009"/>
      <c r="IX230" s="1009"/>
      <c r="IY230" s="1009"/>
      <c r="IZ230" s="1009"/>
      <c r="JA230" s="1009"/>
      <c r="JB230" s="1009"/>
      <c r="JC230" s="1009"/>
      <c r="JD230" s="1009"/>
      <c r="JO230" s="1009"/>
      <c r="JP230" s="1009"/>
      <c r="JQ230" s="1009"/>
      <c r="JR230" s="1009"/>
      <c r="JS230" s="1009"/>
      <c r="JT230" s="1009"/>
      <c r="JU230" s="1009"/>
      <c r="JV230" s="1009"/>
      <c r="JW230" s="1009"/>
      <c r="JX230" s="1009"/>
      <c r="JY230" s="1009"/>
      <c r="KB230" s="1009"/>
      <c r="KC230" s="1009"/>
      <c r="KD230" s="1009"/>
      <c r="KE230" s="1009"/>
      <c r="KF230" s="1009"/>
      <c r="KG230" s="1009"/>
      <c r="KH230" s="1009"/>
      <c r="KJ230" s="1009"/>
      <c r="KK230" s="1009"/>
      <c r="KL230" s="1009"/>
      <c r="KM230" s="1009"/>
      <c r="KN230" s="1009"/>
      <c r="KO230" s="1009"/>
      <c r="KP230" s="1009"/>
      <c r="KR230" s="1009"/>
      <c r="KS230" s="1009"/>
      <c r="KT230" s="1009"/>
      <c r="KU230" s="1009"/>
      <c r="KV230" s="1009"/>
      <c r="KW230" s="1009"/>
      <c r="KX230" s="1009"/>
      <c r="KY230" s="1009"/>
      <c r="KZ230" s="1009"/>
    </row>
    <row r="231" spans="1:312" ht="15" thickTop="1">
      <c r="A231" s="867"/>
      <c r="C231" s="1010" t="s">
        <v>192</v>
      </c>
      <c r="D231" s="662"/>
      <c r="E231" s="1011"/>
      <c r="F231" s="1011"/>
      <c r="G231" s="1011"/>
      <c r="H231" s="1011"/>
      <c r="I231" s="1011"/>
      <c r="J231" s="1011"/>
      <c r="K231" s="1011"/>
      <c r="L231" s="1011"/>
      <c r="M231" s="1011"/>
      <c r="N231" s="1011"/>
      <c r="O231" s="1011"/>
      <c r="P231" s="1011"/>
      <c r="Q231" s="1011"/>
      <c r="R231" s="1011"/>
      <c r="S231" s="1011"/>
      <c r="T231" s="1011"/>
      <c r="U231" s="1011"/>
      <c r="V231" s="1011"/>
      <c r="W231" s="1011"/>
      <c r="X231" s="1011"/>
      <c r="Y231" s="1011"/>
      <c r="Z231" s="1011"/>
      <c r="AA231" s="1011"/>
      <c r="AB231" s="1011"/>
      <c r="AC231" s="1011"/>
      <c r="AD231" s="1011"/>
      <c r="AE231" s="1011"/>
      <c r="AF231" s="1011"/>
      <c r="AG231" s="1011"/>
      <c r="AH231" s="1011"/>
      <c r="AI231" s="1011"/>
      <c r="AJ231" s="1011"/>
      <c r="AK231" s="1011"/>
      <c r="AL231" s="1011"/>
      <c r="AM231" s="1011"/>
      <c r="AN231" s="1011"/>
      <c r="AO231" s="873">
        <v>6701.5506137099992</v>
      </c>
      <c r="AP231" s="920">
        <v>3927.6740448400001</v>
      </c>
      <c r="AQ231" s="1010">
        <v>5020.5123421600001</v>
      </c>
      <c r="AR231" s="1010">
        <v>3419.2864674299999</v>
      </c>
      <c r="AS231" s="873">
        <v>2350.7707303999996</v>
      </c>
      <c r="AT231" s="873">
        <v>1650.2740019</v>
      </c>
      <c r="AU231" s="873">
        <v>1476.15188399</v>
      </c>
      <c r="AV231" s="873">
        <v>1416.8715781300002</v>
      </c>
      <c r="AW231" s="873">
        <v>780.86565700999995</v>
      </c>
      <c r="AX231" s="873">
        <v>134.83202965999999</v>
      </c>
      <c r="AY231" s="873">
        <v>1542.9781589000002</v>
      </c>
      <c r="AZ231" s="873">
        <v>1555.0575291100001</v>
      </c>
      <c r="BA231" s="873">
        <v>1555.0576780000001</v>
      </c>
      <c r="BB231" s="873">
        <v>639.71991041000001</v>
      </c>
      <c r="BC231" s="873">
        <v>816.52032979000001</v>
      </c>
      <c r="BD231" s="873">
        <v>452.61249125000001</v>
      </c>
      <c r="BE231" s="873">
        <v>1506.3966861600002</v>
      </c>
      <c r="BF231" s="873">
        <v>499.77373542000004</v>
      </c>
      <c r="BG231" s="873">
        <v>161.23459261000002</v>
      </c>
      <c r="BH231" s="873">
        <v>267.75896308</v>
      </c>
      <c r="BI231" s="873">
        <v>15.51668682</v>
      </c>
      <c r="BJ231" s="873">
        <v>255.01679605999999</v>
      </c>
      <c r="BK231" s="873">
        <v>188.68862435</v>
      </c>
      <c r="BL231" s="873">
        <v>1201.4780900399999</v>
      </c>
      <c r="BM231" s="873">
        <f t="shared" ref="BM231:DH231" si="695">+BL110+BL111</f>
        <v>994.77457359000005</v>
      </c>
      <c r="BN231" s="873">
        <f t="shared" si="695"/>
        <v>718.85212844</v>
      </c>
      <c r="BO231" s="873">
        <f t="shared" si="695"/>
        <v>109.49317959999999</v>
      </c>
      <c r="BP231" s="873">
        <f t="shared" si="695"/>
        <v>532.60934043999998</v>
      </c>
      <c r="BQ231" s="873">
        <f t="shared" si="695"/>
        <v>273.69954139999999</v>
      </c>
      <c r="BR231" s="873">
        <f t="shared" si="695"/>
        <v>809.50538270000004</v>
      </c>
      <c r="BS231" s="873">
        <f t="shared" si="695"/>
        <v>760.83605007000006</v>
      </c>
      <c r="BT231" s="873">
        <f t="shared" si="695"/>
        <v>476.58964413999996</v>
      </c>
      <c r="BU231" s="873">
        <f t="shared" si="695"/>
        <v>581.39037716999997</v>
      </c>
      <c r="BV231" s="873">
        <f t="shared" si="695"/>
        <v>220.19216511000002</v>
      </c>
      <c r="BW231" s="873">
        <f t="shared" si="695"/>
        <v>1055.3493798500001</v>
      </c>
      <c r="BX231" s="873">
        <f t="shared" si="695"/>
        <v>882.44866953999997</v>
      </c>
      <c r="BY231" s="1012">
        <f t="shared" si="695"/>
        <v>1388.09621137</v>
      </c>
      <c r="BZ231" s="1012">
        <f t="shared" si="695"/>
        <v>667.90073370000005</v>
      </c>
      <c r="CA231" s="1012">
        <f t="shared" si="695"/>
        <v>702.00959488000001</v>
      </c>
      <c r="CB231" s="1012">
        <f t="shared" si="695"/>
        <v>510.77248453999999</v>
      </c>
      <c r="CC231" s="1012">
        <f t="shared" si="695"/>
        <v>671.07141213</v>
      </c>
      <c r="CD231" s="1012">
        <f t="shared" si="695"/>
        <v>738.70474507000006</v>
      </c>
      <c r="CE231" s="1012">
        <f t="shared" si="695"/>
        <v>629.21219284000006</v>
      </c>
      <c r="CF231" s="1012">
        <f t="shared" si="695"/>
        <v>1715.98444193</v>
      </c>
      <c r="CG231" s="1012">
        <f t="shared" si="695"/>
        <v>1509.72160919</v>
      </c>
      <c r="CH231" s="1012">
        <f t="shared" si="695"/>
        <v>782.64187455999991</v>
      </c>
      <c r="CI231" s="1012">
        <f t="shared" si="695"/>
        <v>427.26837176999999</v>
      </c>
      <c r="CJ231" s="1012">
        <f t="shared" si="695"/>
        <v>407.80054681000001</v>
      </c>
      <c r="CK231" s="1012">
        <f t="shared" si="695"/>
        <v>571.73365359000002</v>
      </c>
      <c r="CL231" s="1012">
        <f t="shared" si="695"/>
        <v>155.42977234</v>
      </c>
      <c r="CM231" s="1012">
        <f t="shared" si="695"/>
        <v>477.99723272000006</v>
      </c>
      <c r="CN231" s="1012">
        <f t="shared" si="695"/>
        <v>520.68249633999994</v>
      </c>
      <c r="CO231" s="1012">
        <f t="shared" si="695"/>
        <v>462.44139431999997</v>
      </c>
      <c r="CP231" s="1012">
        <f t="shared" si="695"/>
        <v>539.25651461000007</v>
      </c>
      <c r="CQ231" s="1012">
        <f t="shared" si="695"/>
        <v>749.59060105999993</v>
      </c>
      <c r="CR231" s="1012">
        <f t="shared" si="695"/>
        <v>1199.6205524000002</v>
      </c>
      <c r="CS231" s="1012">
        <f t="shared" si="695"/>
        <v>1980.7564374600001</v>
      </c>
      <c r="CT231" s="1012">
        <f t="shared" si="695"/>
        <v>1907.68393758</v>
      </c>
      <c r="CU231" s="1012">
        <f t="shared" si="695"/>
        <v>1463.4634760199999</v>
      </c>
      <c r="CV231" s="1012">
        <f t="shared" si="695"/>
        <v>1025.66350713</v>
      </c>
      <c r="CW231" s="1012">
        <f t="shared" si="695"/>
        <v>1771.27937219</v>
      </c>
      <c r="CX231" s="1012">
        <f t="shared" si="695"/>
        <v>1439.87897802</v>
      </c>
      <c r="CY231" s="1012">
        <f t="shared" si="695"/>
        <v>693.67248210000002</v>
      </c>
      <c r="CZ231" s="1012">
        <f t="shared" si="695"/>
        <v>300.89807716000001</v>
      </c>
      <c r="DA231" s="1012">
        <f t="shared" si="695"/>
        <v>1616.4487882999999</v>
      </c>
      <c r="DB231" s="1012">
        <f t="shared" si="695"/>
        <v>1255.9867732600001</v>
      </c>
      <c r="DC231" s="1012">
        <f t="shared" si="695"/>
        <v>1741.70615357</v>
      </c>
      <c r="DD231" s="1012">
        <f t="shared" si="695"/>
        <v>1403.95910942</v>
      </c>
      <c r="DE231" s="1012">
        <f t="shared" si="695"/>
        <v>909.46979744000009</v>
      </c>
      <c r="DF231" s="1012">
        <f t="shared" si="695"/>
        <v>370.59758851999999</v>
      </c>
      <c r="DG231" s="1012">
        <f t="shared" si="695"/>
        <v>487.45576002999996</v>
      </c>
      <c r="DH231" s="1012">
        <f t="shared" si="695"/>
        <v>489.28558096</v>
      </c>
      <c r="DJ231" s="1010"/>
      <c r="DK231" s="1010"/>
      <c r="DL231" s="1010"/>
      <c r="DM231" s="1010"/>
      <c r="DN231" s="1010"/>
      <c r="DO231" s="1010"/>
      <c r="DP231" s="1010"/>
      <c r="DQ231" s="1010"/>
      <c r="DR231" s="873"/>
      <c r="DS231" s="873"/>
      <c r="DT231" s="873"/>
      <c r="DU231" s="873"/>
      <c r="DW231" s="1010">
        <v>6701.5506137099992</v>
      </c>
      <c r="DX231" s="1010">
        <v>3928.35665204</v>
      </c>
      <c r="DY231" s="1010">
        <v>3232.140397144005</v>
      </c>
      <c r="DZ231" s="873">
        <v>3639.2465994710005</v>
      </c>
      <c r="EA231" s="873">
        <v>4631.8798533065683</v>
      </c>
      <c r="EB231" s="873">
        <v>3407.8092718110047</v>
      </c>
      <c r="EC231" s="873">
        <v>3938.8117753251076</v>
      </c>
      <c r="ED231" s="873">
        <v>2291.6335389619485</v>
      </c>
      <c r="EE231" s="873">
        <v>1879.5390079576912</v>
      </c>
      <c r="EF231" s="873">
        <v>2579.2631533035737</v>
      </c>
      <c r="EG231" s="873">
        <v>3849.7183009673499</v>
      </c>
      <c r="EH231" s="873">
        <v>2182.8578586569365</v>
      </c>
      <c r="EI231" s="1010"/>
      <c r="EJ231" s="1010"/>
      <c r="EK231" s="1010"/>
      <c r="EL231" s="873"/>
      <c r="EM231" s="873"/>
      <c r="EN231" s="873"/>
      <c r="EO231" s="873"/>
      <c r="EP231" s="873"/>
      <c r="EQ231" s="873"/>
      <c r="ER231" s="873"/>
      <c r="ES231" s="873"/>
      <c r="ET231" s="873"/>
      <c r="EU231" s="1010"/>
      <c r="EV231" s="1010"/>
      <c r="EW231" s="1010"/>
      <c r="EX231" s="873"/>
      <c r="EY231" s="873"/>
      <c r="EZ231" s="873"/>
      <c r="FA231" s="873"/>
      <c r="FB231" s="873"/>
      <c r="FC231" s="873"/>
      <c r="FD231" s="873"/>
      <c r="FE231" s="873"/>
      <c r="FF231" s="873"/>
      <c r="FG231" s="873"/>
      <c r="FH231" s="873"/>
      <c r="FI231" s="873"/>
      <c r="FJ231" s="873"/>
      <c r="FK231" s="873"/>
      <c r="FL231" s="873"/>
      <c r="FM231" s="873"/>
      <c r="FN231" s="873"/>
      <c r="FO231" s="873"/>
      <c r="FP231" s="873"/>
      <c r="FQ231" s="873"/>
      <c r="FR231" s="873"/>
      <c r="FS231" s="873"/>
      <c r="FT231" s="873"/>
      <c r="FU231" s="873"/>
      <c r="FV231" s="873"/>
      <c r="FW231" s="873"/>
      <c r="FX231" s="873"/>
      <c r="FY231" s="873"/>
      <c r="FZ231" s="873"/>
      <c r="GA231" s="873"/>
      <c r="GB231" s="873"/>
      <c r="GC231" s="873"/>
      <c r="GD231" s="873"/>
      <c r="GF231" s="1013"/>
      <c r="GG231" s="1013"/>
      <c r="GH231" s="1013"/>
      <c r="GI231" s="1013"/>
      <c r="GJ231" s="1013"/>
      <c r="GK231" s="1013"/>
      <c r="GL231" s="1013"/>
      <c r="GM231" s="1013"/>
      <c r="GN231" s="1013"/>
      <c r="GO231" s="1013"/>
      <c r="HU231" s="1013"/>
      <c r="HV231" s="1013"/>
      <c r="HW231" s="1013"/>
      <c r="HX231" s="1013"/>
      <c r="HY231" s="1013"/>
      <c r="HZ231" s="1013"/>
      <c r="IA231" s="1013"/>
      <c r="IB231" s="1013"/>
      <c r="IC231" s="1013"/>
      <c r="ID231" s="1013"/>
      <c r="IE231" s="1013"/>
      <c r="IP231" s="1013"/>
      <c r="IQ231" s="1013"/>
      <c r="IR231" s="1013"/>
      <c r="IS231" s="1013"/>
      <c r="IT231" s="1013"/>
      <c r="IU231" s="1013"/>
      <c r="IV231" s="1013"/>
      <c r="IX231" s="1013"/>
      <c r="IY231" s="1013"/>
      <c r="IZ231" s="1013"/>
      <c r="JA231" s="1013"/>
      <c r="JB231" s="1013"/>
      <c r="JC231" s="1013"/>
      <c r="JD231" s="1013"/>
      <c r="JO231" s="1013"/>
      <c r="JP231" s="1013"/>
      <c r="JQ231" s="1013"/>
      <c r="JR231" s="1013"/>
      <c r="JS231" s="1013"/>
      <c r="JT231" s="1013"/>
      <c r="JU231" s="1013"/>
      <c r="JV231" s="1013"/>
      <c r="JW231" s="1013"/>
      <c r="JX231" s="1013"/>
      <c r="JY231" s="1013"/>
      <c r="KB231" s="1013"/>
      <c r="KC231" s="1013"/>
      <c r="KD231" s="1013"/>
      <c r="KE231" s="1013"/>
      <c r="KF231" s="1013"/>
      <c r="KG231" s="1013"/>
      <c r="KH231" s="1013"/>
      <c r="KJ231" s="1013"/>
      <c r="KK231" s="1013"/>
      <c r="KL231" s="1013"/>
      <c r="KM231" s="1013"/>
      <c r="KN231" s="1013"/>
      <c r="KO231" s="1013"/>
      <c r="KP231" s="1013"/>
      <c r="KR231" s="1013"/>
      <c r="KS231" s="1013"/>
      <c r="KT231" s="1013"/>
      <c r="KU231" s="1013"/>
      <c r="KV231" s="1013"/>
      <c r="KW231" s="1013"/>
      <c r="KX231" s="1013"/>
      <c r="KY231" s="1013"/>
      <c r="KZ231" s="1013"/>
    </row>
    <row r="232" spans="1:312" ht="15" thickBot="1">
      <c r="A232" s="867"/>
      <c r="C232" s="1008" t="s">
        <v>193</v>
      </c>
      <c r="D232" s="662"/>
      <c r="E232" s="1005"/>
      <c r="F232" s="1005"/>
      <c r="G232" s="1005"/>
      <c r="H232" s="1005"/>
      <c r="I232" s="1005"/>
      <c r="J232" s="1005"/>
      <c r="K232" s="1005"/>
      <c r="L232" s="1005"/>
      <c r="M232" s="1005"/>
      <c r="N232" s="1005"/>
      <c r="O232" s="1005"/>
      <c r="P232" s="1005"/>
      <c r="Q232" s="1005"/>
      <c r="R232" s="1005"/>
      <c r="S232" s="1005"/>
      <c r="T232" s="1005"/>
      <c r="U232" s="1005"/>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6">
        <v>3927.6740448400064</v>
      </c>
      <c r="AP232" s="1023">
        <v>5020.5123421599928</v>
      </c>
      <c r="AQ232" s="1008">
        <v>3419.2864674300031</v>
      </c>
      <c r="AR232" s="1008">
        <v>2350.7707303999978</v>
      </c>
      <c r="AS232" s="1006">
        <v>1650.2740018999939</v>
      </c>
      <c r="AT232" s="1006">
        <v>1476.1518839900025</v>
      </c>
      <c r="AU232" s="1006">
        <v>1416.8715781299984</v>
      </c>
      <c r="AV232" s="1006">
        <v>780.86565701000484</v>
      </c>
      <c r="AW232" s="1006">
        <v>134.83202965999794</v>
      </c>
      <c r="AX232" s="1006">
        <v>1542.9781589000015</v>
      </c>
      <c r="AY232" s="1006">
        <v>1342.3403678600007</v>
      </c>
      <c r="AZ232" s="1006">
        <v>1555.0575291100001</v>
      </c>
      <c r="BA232" s="1006">
        <v>639.7199104099941</v>
      </c>
      <c r="BB232" s="1006">
        <v>816.52032979000319</v>
      </c>
      <c r="BC232" s="1006">
        <v>452.61249125000245</v>
      </c>
      <c r="BD232" s="1006">
        <v>1506.3966861600002</v>
      </c>
      <c r="BE232" s="1006">
        <v>499.77373542000123</v>
      </c>
      <c r="BF232" s="1006">
        <v>161.23459260999442</v>
      </c>
      <c r="BG232" s="1006">
        <v>267.75896308000142</v>
      </c>
      <c r="BH232" s="1006">
        <v>15.51668681999692</v>
      </c>
      <c r="BI232" s="1006">
        <v>255.01679606000391</v>
      </c>
      <c r="BJ232" s="1006">
        <v>188.68862435000329</v>
      </c>
      <c r="BK232" s="1006">
        <v>1201.4780900399949</v>
      </c>
      <c r="BL232" s="1006">
        <v>994.77457359000084</v>
      </c>
      <c r="BM232" s="1006">
        <f t="shared" ref="BM232:DH232" si="696">SUM(BM230:BM231)</f>
        <v>408.43675120000557</v>
      </c>
      <c r="BN232" s="1006">
        <f t="shared" si="696"/>
        <v>109.49317959999644</v>
      </c>
      <c r="BO232" s="1006">
        <f t="shared" si="696"/>
        <v>532.60934043999737</v>
      </c>
      <c r="BP232" s="1006">
        <f t="shared" si="696"/>
        <v>152.77268187999897</v>
      </c>
      <c r="BQ232" s="1006">
        <f t="shared" si="696"/>
        <v>809.50538270000357</v>
      </c>
      <c r="BR232" s="1006">
        <f t="shared" si="696"/>
        <v>760.83605006999665</v>
      </c>
      <c r="BS232" s="1006">
        <f t="shared" si="696"/>
        <v>476.5896441400036</v>
      </c>
      <c r="BT232" s="1006">
        <f t="shared" si="696"/>
        <v>581.39037716999883</v>
      </c>
      <c r="BU232" s="1006">
        <f t="shared" si="696"/>
        <v>220.1921651100015</v>
      </c>
      <c r="BV232" s="1006">
        <f t="shared" si="696"/>
        <v>1055.3493798499981</v>
      </c>
      <c r="BW232" s="1006">
        <f t="shared" si="696"/>
        <v>882.44866954000315</v>
      </c>
      <c r="BX232" s="1006">
        <f t="shared" si="696"/>
        <v>1341.5951493699961</v>
      </c>
      <c r="BY232" s="1007">
        <f t="shared" si="696"/>
        <v>667.90073369999959</v>
      </c>
      <c r="BZ232" s="1007">
        <f t="shared" si="696"/>
        <v>702.00959488000478</v>
      </c>
      <c r="CA232" s="1007">
        <f t="shared" si="696"/>
        <v>510.77248453999772</v>
      </c>
      <c r="CB232" s="1007">
        <f t="shared" si="696"/>
        <v>671.0714121300025</v>
      </c>
      <c r="CC232" s="1007">
        <f t="shared" si="696"/>
        <v>738.70474506999926</v>
      </c>
      <c r="CD232" s="1007">
        <f t="shared" si="696"/>
        <v>629.21219283999983</v>
      </c>
      <c r="CE232" s="1007">
        <f t="shared" si="696"/>
        <v>1715.9844419299998</v>
      </c>
      <c r="CF232" s="1007">
        <f t="shared" si="696"/>
        <v>1509.7216091900004</v>
      </c>
      <c r="CG232" s="1007">
        <f t="shared" si="696"/>
        <v>782.64187455999888</v>
      </c>
      <c r="CH232" s="1007">
        <f t="shared" si="696"/>
        <v>427.26837176999391</v>
      </c>
      <c r="CI232" s="1007">
        <f t="shared" si="696"/>
        <v>407.8005468100049</v>
      </c>
      <c r="CJ232" s="1007">
        <f t="shared" si="696"/>
        <v>571.73365358999877</v>
      </c>
      <c r="CK232" s="1007">
        <f t="shared" si="696"/>
        <v>155.4297723400021</v>
      </c>
      <c r="CL232" s="1007">
        <f t="shared" si="696"/>
        <v>477.99723271999977</v>
      </c>
      <c r="CM232" s="1007">
        <f t="shared" si="696"/>
        <v>520.68249634000006</v>
      </c>
      <c r="CN232" s="1007">
        <f t="shared" si="696"/>
        <v>462.44139432000031</v>
      </c>
      <c r="CO232" s="1007">
        <f t="shared" si="696"/>
        <v>539.25651461000052</v>
      </c>
      <c r="CP232" s="1007">
        <f t="shared" si="696"/>
        <v>749.59060106000231</v>
      </c>
      <c r="CQ232" s="1007">
        <f t="shared" si="696"/>
        <v>1199.6205523999981</v>
      </c>
      <c r="CR232" s="1007">
        <f t="shared" si="696"/>
        <v>1980.7564374600042</v>
      </c>
      <c r="CS232" s="1007">
        <f t="shared" si="696"/>
        <v>1907.6839375799975</v>
      </c>
      <c r="CT232" s="1007">
        <f t="shared" si="696"/>
        <v>1463.4634760199949</v>
      </c>
      <c r="CU232" s="1007">
        <f t="shared" si="696"/>
        <v>1025.6635071300057</v>
      </c>
      <c r="CV232" s="1007">
        <f t="shared" si="696"/>
        <v>1771.2793721899959</v>
      </c>
      <c r="CW232" s="1007">
        <f t="shared" si="696"/>
        <v>1439.8789780199988</v>
      </c>
      <c r="CX232" s="1007">
        <f t="shared" si="696"/>
        <v>693.66673524000555</v>
      </c>
      <c r="CY232" s="1007">
        <f t="shared" si="696"/>
        <v>300.89967210999794</v>
      </c>
      <c r="CZ232" s="1007">
        <f t="shared" si="696"/>
        <v>1616.4487883000015</v>
      </c>
      <c r="DA232" s="1007">
        <f t="shared" si="696"/>
        <v>1255.9883484099969</v>
      </c>
      <c r="DB232" s="1007">
        <f t="shared" si="696"/>
        <v>1741.7061535700038</v>
      </c>
      <c r="DC232" s="1007">
        <f t="shared" si="696"/>
        <v>1403.9591094199966</v>
      </c>
      <c r="DD232" s="1007">
        <f t="shared" si="696"/>
        <v>909.46979744000282</v>
      </c>
      <c r="DE232" s="1007">
        <f t="shared" si="696"/>
        <v>370.59758851999686</v>
      </c>
      <c r="DF232" s="1007">
        <f t="shared" si="696"/>
        <v>487.45576002999633</v>
      </c>
      <c r="DG232" s="1007">
        <f t="shared" si="696"/>
        <v>489.28558095999631</v>
      </c>
      <c r="DH232" s="1007">
        <f t="shared" si="696"/>
        <v>1512.6768228099993</v>
      </c>
      <c r="DJ232" s="1008"/>
      <c r="DK232" s="1008"/>
      <c r="DL232" s="1008"/>
      <c r="DM232" s="1008"/>
      <c r="DN232" s="1008"/>
      <c r="DO232" s="1008"/>
      <c r="DP232" s="1008"/>
      <c r="DQ232" s="1008"/>
      <c r="DR232" s="1006"/>
      <c r="DS232" s="1006"/>
      <c r="DT232" s="1006"/>
      <c r="DU232" s="1006"/>
      <c r="DW232" s="1008">
        <v>3928.3566520399968</v>
      </c>
      <c r="DX232" s="1008">
        <v>3232.1403971440041</v>
      </c>
      <c r="DY232" s="1008">
        <v>3639.2465994710069</v>
      </c>
      <c r="DZ232" s="1006">
        <v>4631.8798533065665</v>
      </c>
      <c r="EA232" s="1006">
        <v>3407.8092718110065</v>
      </c>
      <c r="EB232" s="1006">
        <v>3938.8117753251013</v>
      </c>
      <c r="EC232" s="1006">
        <v>2291.6335389619521</v>
      </c>
      <c r="ED232" s="1006">
        <v>1879.539007957693</v>
      </c>
      <c r="EE232" s="1006">
        <v>2579.263153303571</v>
      </c>
      <c r="EF232" s="1006">
        <v>3849.7183009673513</v>
      </c>
      <c r="EG232" s="1006">
        <v>2182.857858656937</v>
      </c>
      <c r="EH232" s="1006">
        <v>2407.980257659437</v>
      </c>
      <c r="EI232" s="1008">
        <f>SUM(EI230:EI231)</f>
        <v>-182.82359112956044</v>
      </c>
      <c r="EJ232" s="1008">
        <f>SUM(EJ230:EJ231)</f>
        <v>-45.584436750366365</v>
      </c>
      <c r="EK232" s="1008">
        <f t="shared" ref="EK232:FF232" si="697">SUM(EK230:EK231)</f>
        <v>-29.45856852470331</v>
      </c>
      <c r="EL232" s="1006">
        <f t="shared" si="697"/>
        <v>-97.639009168528958</v>
      </c>
      <c r="EM232" s="1006">
        <f t="shared" si="697"/>
        <v>109.24490857162789</v>
      </c>
      <c r="EN232" s="1006">
        <f t="shared" si="697"/>
        <v>320.89010179358502</v>
      </c>
      <c r="EO232" s="1006">
        <f t="shared" si="697"/>
        <v>383.86049724361192</v>
      </c>
      <c r="EP232" s="1006">
        <f t="shared" si="697"/>
        <v>453.85232322619459</v>
      </c>
      <c r="EQ232" s="1006">
        <f t="shared" si="697"/>
        <v>419.57474811203338</v>
      </c>
      <c r="ER232" s="1006">
        <f t="shared" si="697"/>
        <v>478.60959561466711</v>
      </c>
      <c r="ES232" s="1006">
        <f t="shared" si="697"/>
        <v>369.93309816674247</v>
      </c>
      <c r="ET232" s="1006">
        <f t="shared" si="697"/>
        <v>170.06329953912251</v>
      </c>
      <c r="EU232" s="1008">
        <f t="shared" si="697"/>
        <v>135.05859800000002</v>
      </c>
      <c r="EV232" s="1008">
        <f t="shared" si="697"/>
        <v>336.8367549100002</v>
      </c>
      <c r="EW232" s="1008">
        <f t="shared" si="697"/>
        <v>341.36084599999981</v>
      </c>
      <c r="EX232" s="1006">
        <f t="shared" si="697"/>
        <v>297.18355891000004</v>
      </c>
      <c r="EY232" s="1006">
        <f t="shared" si="697"/>
        <v>314.96711791000018</v>
      </c>
      <c r="EZ232" s="1006">
        <f t="shared" si="697"/>
        <v>282.30310291000006</v>
      </c>
      <c r="FA232" s="1006">
        <f t="shared" si="697"/>
        <v>307.20153890999984</v>
      </c>
      <c r="FB232" s="1006">
        <f t="shared" si="697"/>
        <v>101.67076090999996</v>
      </c>
      <c r="FC232" s="1006">
        <f t="shared" si="697"/>
        <v>-6.2338200000000938</v>
      </c>
      <c r="FD232" s="1006">
        <f t="shared" si="697"/>
        <v>-83.64703609</v>
      </c>
      <c r="FE232" s="1006">
        <f t="shared" si="697"/>
        <v>-26.128150090000162</v>
      </c>
      <c r="FF232" s="1006">
        <f t="shared" si="697"/>
        <v>-82.266508000000073</v>
      </c>
      <c r="FG232" s="1006"/>
      <c r="FH232" s="1006"/>
      <c r="FI232" s="1006"/>
      <c r="FJ232" s="1006"/>
      <c r="FK232" s="1006"/>
      <c r="FL232" s="1006"/>
      <c r="FM232" s="1006"/>
      <c r="FN232" s="1006"/>
      <c r="FO232" s="1006"/>
      <c r="FP232" s="1006"/>
      <c r="FQ232" s="1006"/>
      <c r="FR232" s="1006"/>
      <c r="FS232" s="1006"/>
      <c r="FT232" s="1006"/>
      <c r="FU232" s="1006"/>
      <c r="FV232" s="1006"/>
      <c r="FW232" s="1006"/>
      <c r="FX232" s="1006"/>
      <c r="FY232" s="1006"/>
      <c r="FZ232" s="1006"/>
      <c r="GA232" s="1006"/>
      <c r="GB232" s="1006"/>
      <c r="GC232" s="1006"/>
      <c r="GD232" s="1006"/>
      <c r="GF232" s="1009"/>
      <c r="GG232" s="1009"/>
      <c r="GH232" s="1009"/>
      <c r="GI232" s="1009"/>
      <c r="GJ232" s="1009"/>
      <c r="GK232" s="1009"/>
      <c r="GL232" s="1009"/>
      <c r="GM232" s="1009"/>
      <c r="GN232" s="1009"/>
      <c r="GO232" s="1009"/>
      <c r="HU232" s="1009"/>
      <c r="HV232" s="1009"/>
      <c r="HW232" s="1009"/>
      <c r="HX232" s="1009"/>
      <c r="HY232" s="1009"/>
      <c r="HZ232" s="1009"/>
      <c r="IA232" s="1009"/>
      <c r="IB232" s="1009"/>
      <c r="IC232" s="1009"/>
      <c r="ID232" s="1009"/>
      <c r="IE232" s="1009"/>
      <c r="IP232" s="1009"/>
      <c r="IQ232" s="1009"/>
      <c r="IR232" s="1009"/>
      <c r="IS232" s="1009"/>
      <c r="IT232" s="1009"/>
      <c r="IU232" s="1009"/>
      <c r="IV232" s="1009"/>
      <c r="IX232" s="1009"/>
      <c r="IY232" s="1009"/>
      <c r="IZ232" s="1009"/>
      <c r="JA232" s="1009"/>
      <c r="JB232" s="1009"/>
      <c r="JC232" s="1009"/>
      <c r="JD232" s="1009"/>
      <c r="JO232" s="1009"/>
      <c r="JP232" s="1009"/>
      <c r="JQ232" s="1009"/>
      <c r="JR232" s="1009"/>
      <c r="JS232" s="1009"/>
      <c r="JT232" s="1009"/>
      <c r="JU232" s="1009"/>
      <c r="JV232" s="1009"/>
      <c r="JW232" s="1009"/>
      <c r="JX232" s="1009"/>
      <c r="JY232" s="1009"/>
      <c r="KB232" s="1009"/>
      <c r="KC232" s="1009"/>
      <c r="KD232" s="1009"/>
      <c r="KE232" s="1009"/>
      <c r="KF232" s="1009"/>
      <c r="KG232" s="1009"/>
      <c r="KH232" s="1009"/>
      <c r="KJ232" s="1009"/>
      <c r="KK232" s="1009"/>
      <c r="KL232" s="1009"/>
      <c r="KM232" s="1009"/>
      <c r="KN232" s="1009"/>
      <c r="KO232" s="1009"/>
      <c r="KP232" s="1009"/>
      <c r="KR232" s="1009"/>
      <c r="KS232" s="1009"/>
      <c r="KT232" s="1009"/>
      <c r="KU232" s="1009"/>
      <c r="KV232" s="1009"/>
      <c r="KW232" s="1009"/>
      <c r="KX232" s="1009"/>
      <c r="KY232" s="1009"/>
      <c r="KZ232" s="1009"/>
    </row>
    <row r="233" spans="1:312" ht="15" thickTop="1">
      <c r="A233" s="867"/>
      <c r="E233" s="1010"/>
      <c r="F233" s="1010"/>
      <c r="G233" s="1010"/>
      <c r="H233" s="1010"/>
      <c r="I233" s="1010"/>
      <c r="J233" s="1010"/>
      <c r="K233" s="1010"/>
      <c r="L233" s="1010"/>
      <c r="M233" s="1010"/>
      <c r="N233" s="1010"/>
      <c r="O233" s="1010"/>
      <c r="P233" s="1010"/>
      <c r="Q233" s="1010"/>
      <c r="R233" s="1010"/>
      <c r="S233" s="1010"/>
      <c r="T233" s="1010"/>
      <c r="U233" s="1010"/>
      <c r="V233" s="1010"/>
      <c r="W233" s="1010"/>
      <c r="X233" s="1010"/>
      <c r="Y233" s="1010"/>
      <c r="Z233" s="1010"/>
      <c r="AA233" s="1010"/>
      <c r="AB233" s="1010"/>
      <c r="AC233" s="1010"/>
      <c r="AD233" s="1010"/>
      <c r="AE233" s="1010"/>
      <c r="AF233" s="1010"/>
      <c r="AG233" s="1010"/>
      <c r="AH233" s="1010"/>
      <c r="AI233" s="1010"/>
      <c r="AJ233" s="1010"/>
      <c r="AK233" s="1010"/>
      <c r="AL233" s="1010"/>
      <c r="AM233" s="1010"/>
      <c r="AN233" s="1010"/>
      <c r="AO233" s="873"/>
      <c r="AP233" s="1024"/>
      <c r="AQ233" s="1010"/>
      <c r="AR233" s="1010"/>
      <c r="AS233" s="1010"/>
      <c r="AT233" s="1010"/>
      <c r="AU233" s="873"/>
      <c r="AV233" s="873"/>
      <c r="AW233" s="873"/>
      <c r="AX233" s="873"/>
      <c r="AY233" s="873"/>
      <c r="AZ233" s="873"/>
      <c r="BA233" s="873"/>
      <c r="BB233" s="873"/>
      <c r="BC233" s="873"/>
      <c r="BD233" s="873"/>
      <c r="BE233" s="873"/>
      <c r="BF233" s="873"/>
      <c r="BG233" s="873"/>
      <c r="BH233" s="873"/>
      <c r="BI233" s="873"/>
      <c r="BJ233" s="873"/>
      <c r="BK233" s="873"/>
      <c r="BL233" s="873"/>
      <c r="BM233" s="873"/>
      <c r="BN233" s="873"/>
      <c r="BO233" s="873"/>
      <c r="BP233" s="873"/>
      <c r="BQ233" s="873"/>
      <c r="BR233" s="873"/>
      <c r="BS233" s="873"/>
      <c r="BT233" s="873"/>
      <c r="BU233" s="873"/>
      <c r="BV233" s="873"/>
      <c r="BW233" s="873"/>
      <c r="BX233" s="873"/>
      <c r="BY233" s="1012"/>
      <c r="BZ233" s="1012"/>
      <c r="CA233" s="1012"/>
      <c r="CB233" s="1012"/>
      <c r="CC233" s="1012"/>
      <c r="CD233" s="1012"/>
      <c r="CE233" s="1012"/>
      <c r="CF233" s="1012"/>
      <c r="CG233" s="1012"/>
      <c r="CH233" s="1012"/>
      <c r="CI233" s="1012"/>
      <c r="CJ233" s="1012"/>
      <c r="CK233" s="1012"/>
      <c r="CL233" s="1012"/>
      <c r="CM233" s="1012"/>
      <c r="CN233" s="1012"/>
      <c r="CO233" s="1012"/>
      <c r="CP233" s="1012"/>
      <c r="CQ233" s="1012"/>
      <c r="CR233" s="1012"/>
      <c r="CS233" s="1012"/>
      <c r="CT233" s="1012"/>
      <c r="CU233" s="1012"/>
      <c r="CV233" s="1012"/>
      <c r="CW233" s="1012"/>
      <c r="CX233" s="1012"/>
      <c r="CY233" s="1012"/>
      <c r="CZ233" s="1012"/>
      <c r="DA233" s="1012"/>
      <c r="DB233" s="1012"/>
      <c r="DC233" s="1012"/>
      <c r="DD233" s="1012"/>
      <c r="DE233" s="1012"/>
      <c r="DF233" s="1012"/>
      <c r="DG233" s="1012"/>
      <c r="DH233" s="1012"/>
      <c r="DJ233" s="1010"/>
      <c r="DK233" s="1010"/>
      <c r="DL233" s="1010"/>
      <c r="DM233" s="1010"/>
      <c r="DN233" s="1010"/>
      <c r="DO233" s="1010"/>
      <c r="DP233" s="1010"/>
      <c r="DQ233" s="873"/>
      <c r="DR233" s="873"/>
      <c r="DS233" s="873"/>
      <c r="DT233" s="873"/>
      <c r="DU233" s="873"/>
      <c r="EI233" s="1010"/>
      <c r="EJ233" s="1010"/>
      <c r="EK233" s="1010"/>
      <c r="EL233" s="873"/>
      <c r="EM233" s="873"/>
      <c r="EN233" s="873"/>
      <c r="EO233" s="873"/>
      <c r="EP233" s="873"/>
      <c r="EQ233" s="873"/>
      <c r="ER233" s="873"/>
      <c r="ES233" s="873"/>
      <c r="ET233" s="873"/>
      <c r="EU233" s="1010"/>
      <c r="EV233" s="1010"/>
      <c r="EW233" s="1010"/>
      <c r="EX233" s="873"/>
      <c r="EY233" s="873"/>
      <c r="EZ233" s="873"/>
      <c r="FA233" s="873"/>
      <c r="FB233" s="873"/>
      <c r="FC233" s="873"/>
      <c r="FD233" s="873"/>
      <c r="FE233" s="873"/>
      <c r="FF233" s="873"/>
      <c r="GF233" s="1013"/>
      <c r="GG233" s="1013"/>
      <c r="GH233" s="1013"/>
      <c r="GI233" s="1013"/>
      <c r="GJ233" s="1013"/>
      <c r="GK233" s="1013"/>
      <c r="GL233" s="1013"/>
      <c r="GM233" s="1013"/>
      <c r="GN233" s="1013"/>
      <c r="GO233" s="1013"/>
      <c r="HU233" s="1013"/>
      <c r="HV233" s="1013"/>
      <c r="HW233" s="1013"/>
      <c r="HX233" s="1013"/>
      <c r="HY233" s="1013"/>
      <c r="HZ233" s="1013"/>
      <c r="IA233" s="1013"/>
      <c r="IB233" s="1013"/>
      <c r="IC233" s="1013"/>
      <c r="ID233" s="1013"/>
      <c r="IE233" s="1013"/>
      <c r="IP233" s="1013"/>
      <c r="IQ233" s="1013"/>
      <c r="IR233" s="1013"/>
      <c r="IS233" s="1013"/>
      <c r="IT233" s="1013"/>
      <c r="IU233" s="1013"/>
      <c r="IV233" s="1013"/>
      <c r="IX233" s="1013"/>
      <c r="IY233" s="1013"/>
      <c r="IZ233" s="1013"/>
      <c r="JA233" s="1013"/>
      <c r="JB233" s="1013"/>
      <c r="JC233" s="1013"/>
      <c r="JD233" s="1013"/>
      <c r="JO233" s="1013"/>
      <c r="JP233" s="1013"/>
      <c r="JQ233" s="1013"/>
      <c r="JR233" s="1013"/>
      <c r="JS233" s="1013"/>
      <c r="JT233" s="1013"/>
      <c r="JU233" s="1013"/>
      <c r="JV233" s="1013"/>
      <c r="JW233" s="1013"/>
      <c r="JX233" s="1013"/>
      <c r="JY233" s="1013"/>
      <c r="KB233" s="1013"/>
      <c r="KC233" s="1013"/>
      <c r="KD233" s="1013"/>
      <c r="KE233" s="1013"/>
      <c r="KF233" s="1013"/>
      <c r="KG233" s="1013"/>
      <c r="KH233" s="1013"/>
      <c r="KJ233" s="1013"/>
      <c r="KK233" s="1013"/>
      <c r="KL233" s="1013"/>
      <c r="KM233" s="1013"/>
      <c r="KN233" s="1013"/>
      <c r="KO233" s="1013"/>
      <c r="KP233" s="1013"/>
      <c r="KR233" s="1013"/>
      <c r="KS233" s="1013"/>
      <c r="KT233" s="1013"/>
      <c r="KU233" s="1013"/>
      <c r="KV233" s="1013"/>
      <c r="KW233" s="1013"/>
      <c r="KX233" s="1013"/>
      <c r="KY233" s="1013"/>
      <c r="KZ233" s="1013"/>
    </row>
    <row r="234" spans="1:312">
      <c r="A234" s="867"/>
      <c r="E234" s="657"/>
      <c r="F234" s="657"/>
      <c r="G234" s="657"/>
      <c r="H234" s="657"/>
      <c r="I234" s="657"/>
      <c r="J234" s="657"/>
      <c r="K234" s="657"/>
      <c r="L234" s="657"/>
      <c r="M234" s="657"/>
      <c r="N234" s="657"/>
      <c r="O234" s="657"/>
      <c r="P234" s="657"/>
      <c r="Q234" s="657"/>
      <c r="R234" s="657"/>
      <c r="S234" s="657"/>
      <c r="T234" s="657"/>
      <c r="U234" s="657"/>
      <c r="V234" s="657"/>
      <c r="W234" s="657"/>
      <c r="X234" s="657"/>
      <c r="Y234" s="657"/>
      <c r="Z234" s="657"/>
      <c r="AA234" s="657"/>
      <c r="AB234" s="657"/>
      <c r="AC234" s="657"/>
      <c r="AD234" s="657"/>
      <c r="AE234" s="657"/>
      <c r="AF234" s="657"/>
      <c r="AG234" s="657"/>
      <c r="AH234" s="657"/>
      <c r="AI234" s="657"/>
      <c r="AJ234" s="657"/>
      <c r="AK234" s="657"/>
      <c r="AL234" s="657"/>
      <c r="AM234" s="657"/>
      <c r="AN234" s="657"/>
      <c r="AO234" s="628"/>
      <c r="AP234" s="628"/>
      <c r="AR234" s="657"/>
      <c r="AT234" s="628"/>
      <c r="AU234" s="628"/>
      <c r="AV234" s="628"/>
      <c r="AW234" s="628"/>
      <c r="AX234" s="628"/>
      <c r="AY234" s="628"/>
      <c r="AZ234" s="628"/>
      <c r="BA234" s="628">
        <f t="shared" ref="BA234:DH234" si="698">+BA232-BA110</f>
        <v>-5.9117155615240335E-12</v>
      </c>
      <c r="BB234" s="628">
        <f t="shared" si="698"/>
        <v>3.1832314562052488E-12</v>
      </c>
      <c r="BC234" s="628">
        <f t="shared" si="698"/>
        <v>2.4442670110147446E-12</v>
      </c>
      <c r="BD234" s="628">
        <f t="shared" si="698"/>
        <v>0</v>
      </c>
      <c r="BE234" s="77">
        <f t="shared" si="698"/>
        <v>1.1937117960769683E-12</v>
      </c>
      <c r="BF234" s="77">
        <f t="shared" si="698"/>
        <v>-5.5990767577895895E-12</v>
      </c>
      <c r="BG234" s="77">
        <f t="shared" si="698"/>
        <v>1.4210854715202004E-12</v>
      </c>
      <c r="BH234" s="77">
        <f t="shared" si="698"/>
        <v>-3.0802027595200343E-12</v>
      </c>
      <c r="BI234" s="77">
        <f t="shared" si="698"/>
        <v>3.922195901395753E-12</v>
      </c>
      <c r="BJ234" s="77">
        <f t="shared" si="698"/>
        <v>0.1214314100033107</v>
      </c>
      <c r="BK234" s="77">
        <f t="shared" si="698"/>
        <v>-5.0022208597511053E-12</v>
      </c>
      <c r="BL234" s="628">
        <f t="shared" si="698"/>
        <v>0</v>
      </c>
      <c r="BM234" s="873">
        <f t="shared" si="698"/>
        <v>-310.41537723999443</v>
      </c>
      <c r="BN234" s="628">
        <f t="shared" si="698"/>
        <v>-3.5527136788005009E-12</v>
      </c>
      <c r="BO234" s="628">
        <f t="shared" si="698"/>
        <v>-2.6147972675971687E-12</v>
      </c>
      <c r="BP234" s="628">
        <f t="shared" si="698"/>
        <v>-120.92685952000102</v>
      </c>
      <c r="BQ234" s="77">
        <f t="shared" si="698"/>
        <v>3.5242919693700969E-12</v>
      </c>
      <c r="BR234" s="77">
        <f t="shared" si="698"/>
        <v>-3.4106051316484809E-12</v>
      </c>
      <c r="BS234" s="77">
        <f t="shared" si="698"/>
        <v>3.637978807091713E-12</v>
      </c>
      <c r="BT234" s="77">
        <f t="shared" si="698"/>
        <v>-1.1368683772161603E-12</v>
      </c>
      <c r="BU234" s="77">
        <f t="shared" si="698"/>
        <v>1.4779288903810084E-12</v>
      </c>
      <c r="BV234" s="77">
        <f t="shared" si="698"/>
        <v>-2.0463630789890885E-12</v>
      </c>
      <c r="BW234" s="77">
        <f t="shared" si="698"/>
        <v>3.1832314562052488E-12</v>
      </c>
      <c r="BX234" s="873">
        <f t="shared" si="698"/>
        <v>-46.501062000003913</v>
      </c>
      <c r="BY234" s="873">
        <f t="shared" si="698"/>
        <v>0</v>
      </c>
      <c r="BZ234" s="873">
        <f>+BZ232-BZ110</f>
        <v>4.7748471843078732E-12</v>
      </c>
      <c r="CA234" s="873">
        <f t="shared" si="698"/>
        <v>-2.2737367544323206E-12</v>
      </c>
      <c r="CB234" s="873">
        <f t="shared" si="698"/>
        <v>2.5011104298755527E-12</v>
      </c>
      <c r="CC234" s="873">
        <f t="shared" si="698"/>
        <v>0</v>
      </c>
      <c r="CD234" s="873">
        <f t="shared" si="698"/>
        <v>0</v>
      </c>
      <c r="CE234" s="873">
        <f t="shared" si="698"/>
        <v>0</v>
      </c>
      <c r="CF234" s="873">
        <f t="shared" si="698"/>
        <v>0</v>
      </c>
      <c r="CG234" s="873">
        <f t="shared" si="698"/>
        <v>-1.0231815394945443E-12</v>
      </c>
      <c r="CH234" s="873">
        <f t="shared" si="698"/>
        <v>-6.0822458181064576E-12</v>
      </c>
      <c r="CI234" s="873">
        <f t="shared" si="698"/>
        <v>4.8885340220294893E-12</v>
      </c>
      <c r="CJ234" s="873">
        <f t="shared" si="698"/>
        <v>-1.2505552149377763E-12</v>
      </c>
      <c r="CK234" s="1025">
        <f t="shared" si="698"/>
        <v>2.1032064978498966E-12</v>
      </c>
      <c r="CL234" s="1025">
        <f t="shared" si="698"/>
        <v>0</v>
      </c>
      <c r="CM234" s="1025">
        <f t="shared" si="698"/>
        <v>0</v>
      </c>
      <c r="CN234" s="1025">
        <f t="shared" si="698"/>
        <v>0</v>
      </c>
      <c r="CO234" s="1025">
        <f t="shared" si="698"/>
        <v>0</v>
      </c>
      <c r="CP234" s="1025">
        <f t="shared" si="698"/>
        <v>2.3874235921539366E-12</v>
      </c>
      <c r="CQ234" s="1025">
        <f t="shared" si="698"/>
        <v>-2.0463630789890885E-12</v>
      </c>
      <c r="CR234" s="1025">
        <f t="shared" si="698"/>
        <v>4.0927261579781771E-12</v>
      </c>
      <c r="CS234" s="1025">
        <f t="shared" si="698"/>
        <v>-2.5011104298755527E-12</v>
      </c>
      <c r="CT234" s="1025">
        <f t="shared" si="698"/>
        <v>-5.0022208597511053E-12</v>
      </c>
      <c r="CU234" s="1025">
        <f t="shared" si="698"/>
        <v>5.6843418860808015E-12</v>
      </c>
      <c r="CV234" s="1025">
        <f t="shared" si="698"/>
        <v>-4.0927261579781771E-12</v>
      </c>
      <c r="CW234" s="1163">
        <f t="shared" si="698"/>
        <v>0</v>
      </c>
      <c r="CX234" s="1163">
        <f t="shared" si="698"/>
        <v>-5.7468599944741072E-3</v>
      </c>
      <c r="CY234" s="1163">
        <f t="shared" si="698"/>
        <v>1.5949499979228676E-3</v>
      </c>
      <c r="CZ234" s="1163">
        <f t="shared" si="698"/>
        <v>0</v>
      </c>
      <c r="DA234" s="1163">
        <f t="shared" si="698"/>
        <v>1.5751499968246208E-3</v>
      </c>
      <c r="DB234" s="1163">
        <f t="shared" si="698"/>
        <v>3.865352482534945E-12</v>
      </c>
      <c r="DC234" s="1163">
        <f t="shared" si="698"/>
        <v>-3.4106051316484809E-12</v>
      </c>
      <c r="DD234" s="1163">
        <f t="shared" si="698"/>
        <v>2.7284841053187847E-12</v>
      </c>
      <c r="DE234" s="1163">
        <f t="shared" si="698"/>
        <v>-3.1263880373444408E-12</v>
      </c>
      <c r="DF234" s="1163">
        <f t="shared" si="698"/>
        <v>-3.637978807091713E-12</v>
      </c>
      <c r="DG234" s="1163">
        <f t="shared" si="698"/>
        <v>-3.694822225952521E-12</v>
      </c>
      <c r="DH234" s="1163">
        <f t="shared" si="698"/>
        <v>0</v>
      </c>
    </row>
    <row r="235" spans="1:312">
      <c r="A235" s="917" t="s">
        <v>618</v>
      </c>
      <c r="C235" s="1026" t="s">
        <v>775</v>
      </c>
      <c r="D235" s="31"/>
      <c r="E235" s="1027"/>
      <c r="F235" s="1027"/>
      <c r="G235" s="1027"/>
      <c r="H235" s="1027"/>
      <c r="I235" s="1027"/>
      <c r="J235" s="1027"/>
      <c r="K235" s="1027"/>
      <c r="L235" s="1027"/>
      <c r="M235" s="1027"/>
      <c r="N235" s="1027"/>
      <c r="O235" s="1027"/>
      <c r="P235" s="1027"/>
      <c r="Q235" s="1027"/>
      <c r="R235" s="1027"/>
      <c r="S235" s="1027"/>
      <c r="T235" s="1027"/>
      <c r="U235" s="1027"/>
      <c r="V235" s="1027"/>
      <c r="W235" s="1027"/>
      <c r="X235" s="1027"/>
      <c r="Y235" s="1027"/>
      <c r="Z235" s="1027"/>
      <c r="AA235" s="1027"/>
      <c r="AB235" s="1027"/>
      <c r="AC235" s="1027"/>
      <c r="AD235" s="1027"/>
      <c r="AE235" s="1027"/>
      <c r="AF235" s="1027"/>
      <c r="AG235" s="1027"/>
      <c r="AH235" s="1027"/>
      <c r="AI235" s="1027"/>
      <c r="AJ235" s="1027"/>
      <c r="AK235" s="1027"/>
      <c r="AL235" s="1027"/>
      <c r="AM235" s="1027"/>
      <c r="AN235" s="1027"/>
      <c r="AO235" s="186"/>
      <c r="AP235" s="186"/>
      <c r="AQ235" s="1027"/>
      <c r="AR235" s="1027"/>
      <c r="AS235" s="186"/>
      <c r="AT235" s="186"/>
      <c r="AU235" s="186"/>
      <c r="AV235" s="186"/>
      <c r="AW235" s="186"/>
      <c r="AX235" s="186"/>
      <c r="AY235" s="186"/>
      <c r="AZ235" s="186"/>
      <c r="BA235" s="186"/>
      <c r="BB235" s="186"/>
      <c r="BC235" s="186"/>
      <c r="BD235" s="186"/>
      <c r="BL235" s="628"/>
      <c r="BM235" s="186"/>
      <c r="BN235" s="186"/>
      <c r="BO235" s="186"/>
      <c r="BP235" s="186"/>
    </row>
    <row r="236" spans="1:312">
      <c r="A236" s="884">
        <v>21051010</v>
      </c>
      <c r="B236" s="884">
        <v>21053001</v>
      </c>
      <c r="C236" s="1028" t="s">
        <v>776</v>
      </c>
      <c r="D236" s="31"/>
      <c r="E236" s="1011"/>
      <c r="F236" s="1011"/>
      <c r="G236" s="1011"/>
      <c r="H236" s="1011"/>
      <c r="I236" s="1011"/>
      <c r="J236" s="1011"/>
      <c r="K236" s="1011"/>
      <c r="L236" s="1011"/>
      <c r="M236" s="1011"/>
      <c r="N236" s="1011"/>
      <c r="O236" s="1011"/>
      <c r="P236" s="1011"/>
      <c r="Q236" s="1011"/>
      <c r="R236" s="1011"/>
      <c r="S236" s="1011"/>
      <c r="T236" s="1011"/>
      <c r="U236" s="1011"/>
      <c r="V236" s="1011"/>
      <c r="W236" s="1011"/>
      <c r="X236" s="1011"/>
      <c r="Y236" s="1011"/>
      <c r="Z236" s="1011"/>
      <c r="AA236" s="1011"/>
      <c r="AB236" s="1011"/>
      <c r="AC236" s="1011"/>
      <c r="AD236" s="1011"/>
      <c r="AE236" s="1011"/>
      <c r="AF236" s="1011"/>
      <c r="AG236" s="1011"/>
      <c r="AH236" s="1011"/>
      <c r="AI236" s="1011"/>
      <c r="AJ236" s="1011"/>
      <c r="AK236" s="1011"/>
      <c r="AL236" s="1011"/>
      <c r="AM236" s="1011"/>
      <c r="AN236" s="1011"/>
      <c r="AO236" s="1029">
        <v>3483.3333333400001</v>
      </c>
      <c r="AP236" s="1029">
        <v>3325.1189789499999</v>
      </c>
      <c r="AQ236" s="1010">
        <v>3166.7856456199997</v>
      </c>
      <c r="AR236" s="1010">
        <v>3008.45231229</v>
      </c>
      <c r="AS236" s="873">
        <v>2850.1189789599998</v>
      </c>
      <c r="AT236" s="873">
        <v>2691.7856456300001</v>
      </c>
      <c r="AU236" s="1029">
        <v>2533.4523123000004</v>
      </c>
      <c r="AV236" s="1029">
        <v>2375.1189789699997</v>
      </c>
      <c r="AW236" s="1029">
        <v>2216.78564564</v>
      </c>
      <c r="AX236" s="1029">
        <v>2058.4523123099998</v>
      </c>
      <c r="AY236" s="1029">
        <v>1900.1189789800001</v>
      </c>
      <c r="AZ236" s="1029">
        <v>1741.666667</v>
      </c>
      <c r="BA236" s="873">
        <v>1583.33333367</v>
      </c>
      <c r="BB236" s="873">
        <v>1425.0000003399998</v>
      </c>
      <c r="BC236" s="873">
        <v>1266.6666670100001</v>
      </c>
      <c r="BD236" s="873">
        <v>1266.6666670100001</v>
      </c>
      <c r="BE236" s="961">
        <v>1266.6666670100001</v>
      </c>
      <c r="BF236" s="961">
        <v>1266.6666670100001</v>
      </c>
      <c r="BG236" s="961">
        <v>1266.6666670100001</v>
      </c>
      <c r="BH236" s="961">
        <v>1266.6666670100001</v>
      </c>
      <c r="BI236" s="961">
        <v>1266.6666670100001</v>
      </c>
      <c r="BJ236" s="961">
        <v>1266.6666670100001</v>
      </c>
      <c r="BK236" s="961">
        <v>1266.6666670100001</v>
      </c>
      <c r="BL236" s="961">
        <v>1266.6666670100001</v>
      </c>
      <c r="BM236" s="873">
        <v>1266.6666670100001</v>
      </c>
      <c r="BN236" s="873">
        <v>1266.6666670100001</v>
      </c>
      <c r="BO236" s="873">
        <v>1266.6666670100001</v>
      </c>
      <c r="BP236" s="873">
        <v>1266.6666670100001</v>
      </c>
      <c r="BQ236" s="961">
        <v>1266.6666670100001</v>
      </c>
      <c r="BR236" s="961">
        <v>1266.6666670100001</v>
      </c>
      <c r="BS236" s="961">
        <v>1266.6666670100001</v>
      </c>
      <c r="BT236" s="961">
        <v>1241.3333338699999</v>
      </c>
      <c r="BU236" s="961">
        <v>1241.3333338699999</v>
      </c>
      <c r="BV236" s="961">
        <v>1241.3333338699999</v>
      </c>
      <c r="BW236" s="961">
        <v>1241.3333338699999</v>
      </c>
      <c r="BX236" s="961">
        <v>1216.0000008699999</v>
      </c>
      <c r="BY236" s="961">
        <v>1216.0000008699999</v>
      </c>
      <c r="BZ236" s="961">
        <v>1140.0000008699999</v>
      </c>
      <c r="CA236" s="961">
        <v>1140.0000008699999</v>
      </c>
      <c r="CB236" s="961">
        <v>1140.0000008699999</v>
      </c>
      <c r="CC236" s="961">
        <v>1140.0000008699999</v>
      </c>
      <c r="CD236" s="961">
        <v>1140.0000008699999</v>
      </c>
      <c r="CE236" s="961">
        <v>1140.0000008699999</v>
      </c>
      <c r="CF236" s="961">
        <v>988.00000087000001</v>
      </c>
      <c r="CG236" s="961">
        <v>988</v>
      </c>
      <c r="CH236" s="961">
        <v>988</v>
      </c>
      <c r="CI236" s="961">
        <v>988</v>
      </c>
      <c r="CJ236" s="961">
        <v>988</v>
      </c>
      <c r="CK236" s="961">
        <v>988</v>
      </c>
      <c r="CL236" s="961">
        <v>988</v>
      </c>
      <c r="CM236" s="961">
        <v>912</v>
      </c>
      <c r="CN236" s="961">
        <v>912</v>
      </c>
      <c r="CO236" s="961">
        <v>898.47686799999997</v>
      </c>
      <c r="CP236" s="961">
        <v>898.47686799999997</v>
      </c>
      <c r="CQ236" s="961">
        <v>898.47686799999997</v>
      </c>
      <c r="CR236" s="961">
        <v>884.95373600000005</v>
      </c>
      <c r="CS236" s="961">
        <v>884.95373600000005</v>
      </c>
      <c r="CT236" s="961">
        <v>884.95373600000005</v>
      </c>
      <c r="CU236" s="961">
        <v>871.43060400000002</v>
      </c>
      <c r="CV236" s="961">
        <v>871.43060400000002</v>
      </c>
      <c r="CW236" s="961">
        <v>871.43060400000002</v>
      </c>
      <c r="CX236" s="961">
        <v>857.90747199999998</v>
      </c>
      <c r="CY236" s="961">
        <v>857.90747199999998</v>
      </c>
      <c r="CZ236" s="961">
        <v>857.90747199999998</v>
      </c>
      <c r="DA236" s="961">
        <v>857.90747199999998</v>
      </c>
      <c r="DB236" s="961">
        <v>857.90747199999998</v>
      </c>
      <c r="DC236" s="963"/>
      <c r="DD236" s="963"/>
      <c r="DE236" s="963"/>
      <c r="DF236" s="963"/>
      <c r="DG236" s="963"/>
      <c r="DH236" s="963"/>
      <c r="DJ236" s="1030"/>
      <c r="DK236" s="1030"/>
      <c r="DL236" s="1030"/>
      <c r="DM236" s="1030"/>
      <c r="DN236" s="1030"/>
      <c r="DO236" s="1030"/>
      <c r="DP236" s="1030"/>
      <c r="DQ236" s="1030"/>
      <c r="DR236" s="1030"/>
      <c r="DS236" s="1030"/>
      <c r="DT236" s="1030"/>
      <c r="DU236" s="1030"/>
      <c r="GF236" s="1030"/>
      <c r="GG236" s="1030"/>
      <c r="GH236" s="1030"/>
      <c r="GI236" s="1030"/>
      <c r="GJ236" s="1031"/>
      <c r="GK236" s="1031"/>
      <c r="GL236" s="1031"/>
      <c r="GM236" s="1031"/>
      <c r="GN236" s="1030"/>
      <c r="GO236" s="1030"/>
      <c r="HU236" s="47"/>
      <c r="HV236" s="47"/>
      <c r="HW236" s="47"/>
      <c r="HX236" s="47"/>
      <c r="HY236" s="47"/>
      <c r="HZ236" s="47"/>
      <c r="IA236" s="47"/>
      <c r="IB236" s="47"/>
      <c r="IC236" s="47"/>
      <c r="ID236" s="961"/>
      <c r="IE236" s="961"/>
      <c r="IP236" s="1030"/>
      <c r="IQ236" s="1030"/>
      <c r="IR236" s="1030"/>
      <c r="IS236" s="1030"/>
      <c r="IT236" s="1030"/>
      <c r="IU236" s="1030"/>
      <c r="IV236" s="1030"/>
      <c r="IX236" s="1030"/>
      <c r="IY236" s="1030"/>
      <c r="IZ236" s="1030"/>
      <c r="JA236" s="1030"/>
      <c r="JB236" s="1030"/>
      <c r="JC236" s="1030"/>
      <c r="JD236" s="1030"/>
      <c r="JO236" s="47" t="e">
        <f>#VALUE!</f>
        <v>#VALUE!</v>
      </c>
      <c r="JP236" s="47" t="e">
        <f>#VALUE!</f>
        <v>#VALUE!</v>
      </c>
      <c r="JQ236" s="47" t="e">
        <f>#VALUE!</f>
        <v>#VALUE!</v>
      </c>
      <c r="JR236" s="961" t="e">
        <f>#VALUE!</f>
        <v>#VALUE!</v>
      </c>
      <c r="JS236" s="961" t="e">
        <f>#VALUE!</f>
        <v>#VALUE!</v>
      </c>
      <c r="JT236" s="961"/>
      <c r="JU236" s="961"/>
      <c r="JV236" s="961"/>
      <c r="JW236" s="961" t="e">
        <f>#VALUE!</f>
        <v>#VALUE!</v>
      </c>
      <c r="JX236" s="961" t="e">
        <f>#VALUE!</f>
        <v>#VALUE!</v>
      </c>
      <c r="JY236" s="961" t="e">
        <f>#VALUE!</f>
        <v>#VALUE!</v>
      </c>
      <c r="KB236" s="1030"/>
      <c r="KC236" s="1030"/>
      <c r="KD236" s="1030"/>
      <c r="KE236" s="1030"/>
      <c r="KF236" s="1030"/>
      <c r="KG236" s="1030"/>
      <c r="KH236" s="1030"/>
      <c r="KJ236" s="1030"/>
      <c r="KK236" s="1030"/>
      <c r="KL236" s="1030"/>
      <c r="KM236" s="1030"/>
      <c r="KN236" s="1030"/>
      <c r="KO236" s="1030"/>
      <c r="KP236" s="1030"/>
      <c r="KR236" s="1030"/>
      <c r="KS236" s="1030"/>
      <c r="KT236" s="1030"/>
      <c r="KU236" s="1030"/>
      <c r="KV236" s="1030"/>
      <c r="KW236" s="1030"/>
      <c r="KX236" s="1030"/>
      <c r="KY236" s="1030"/>
      <c r="KZ236" s="1030"/>
    </row>
    <row r="237" spans="1:312">
      <c r="A237" s="884">
        <v>21051011</v>
      </c>
      <c r="B237" s="884">
        <v>21053002</v>
      </c>
      <c r="C237" s="1028" t="s">
        <v>777</v>
      </c>
      <c r="D237" s="31"/>
      <c r="E237" s="1011"/>
      <c r="F237" s="1011"/>
      <c r="G237" s="1011"/>
      <c r="H237" s="1011"/>
      <c r="I237" s="1011"/>
      <c r="J237" s="1011"/>
      <c r="K237" s="1011"/>
      <c r="L237" s="1011"/>
      <c r="M237" s="1011"/>
      <c r="N237" s="1011"/>
      <c r="O237" s="1011"/>
      <c r="P237" s="1011"/>
      <c r="Q237" s="1011"/>
      <c r="R237" s="1011"/>
      <c r="S237" s="1011"/>
      <c r="T237" s="1011"/>
      <c r="U237" s="1011"/>
      <c r="V237" s="1011"/>
      <c r="W237" s="1011"/>
      <c r="X237" s="1011"/>
      <c r="Y237" s="1011"/>
      <c r="Z237" s="1011"/>
      <c r="AA237" s="1011"/>
      <c r="AB237" s="1011"/>
      <c r="AC237" s="1011"/>
      <c r="AD237" s="1011"/>
      <c r="AE237" s="1011"/>
      <c r="AF237" s="1011"/>
      <c r="AG237" s="1011"/>
      <c r="AH237" s="1011"/>
      <c r="AI237" s="1011"/>
      <c r="AJ237" s="1011"/>
      <c r="AK237" s="1011"/>
      <c r="AL237" s="1011"/>
      <c r="AM237" s="1011"/>
      <c r="AN237" s="1011"/>
      <c r="AO237" s="1029">
        <v>0</v>
      </c>
      <c r="AP237" s="1029">
        <v>3000</v>
      </c>
      <c r="AQ237" s="1010">
        <v>2916.666667</v>
      </c>
      <c r="AR237" s="1010">
        <v>2833.3333339999999</v>
      </c>
      <c r="AS237" s="873">
        <v>2750.0000009999999</v>
      </c>
      <c r="AT237" s="873">
        <v>2666.6666679999998</v>
      </c>
      <c r="AU237" s="1029">
        <v>2583.97687</v>
      </c>
      <c r="AV237" s="1029">
        <v>2500.6435369999999</v>
      </c>
      <c r="AW237" s="1029">
        <v>2417.3102039999999</v>
      </c>
      <c r="AX237" s="1029">
        <v>2333.9768709999998</v>
      </c>
      <c r="AY237" s="1029">
        <v>2250.6435379999998</v>
      </c>
      <c r="AZ237" s="1029">
        <v>2163.8800460000002</v>
      </c>
      <c r="BA237" s="873">
        <v>2083.333337</v>
      </c>
      <c r="BB237" s="873">
        <v>2000.000004</v>
      </c>
      <c r="BC237" s="873">
        <v>1917.831506</v>
      </c>
      <c r="BD237" s="873">
        <v>1917.831506</v>
      </c>
      <c r="BE237" s="920">
        <v>1917.831506</v>
      </c>
      <c r="BF237" s="920">
        <v>1917.831506</v>
      </c>
      <c r="BG237" s="920">
        <v>1916.666671</v>
      </c>
      <c r="BH237" s="920">
        <v>1916.666671</v>
      </c>
      <c r="BI237" s="920">
        <v>1916.666671</v>
      </c>
      <c r="BJ237" s="920">
        <v>1916.666671</v>
      </c>
      <c r="BK237" s="920">
        <v>1916.666671</v>
      </c>
      <c r="BL237" s="920">
        <v>1916.666671</v>
      </c>
      <c r="BM237" s="873">
        <v>1916.666671</v>
      </c>
      <c r="BN237" s="873">
        <v>1916.666671</v>
      </c>
      <c r="BO237" s="873">
        <v>1916.666671</v>
      </c>
      <c r="BP237" s="873">
        <v>1916.666671</v>
      </c>
      <c r="BQ237" s="920">
        <v>1916.666671</v>
      </c>
      <c r="BR237" s="920">
        <v>1916.666671</v>
      </c>
      <c r="BS237" s="920">
        <v>1916.666671</v>
      </c>
      <c r="BT237" s="920">
        <v>1878.3333378699999</v>
      </c>
      <c r="BU237" s="920">
        <v>1878.3333378699999</v>
      </c>
      <c r="BV237" s="920">
        <v>1878.3333378699999</v>
      </c>
      <c r="BW237" s="920">
        <v>1840.9469978699999</v>
      </c>
      <c r="BX237" s="920">
        <v>1840.9469978699999</v>
      </c>
      <c r="BY237" s="920">
        <v>1840.9469978699999</v>
      </c>
      <c r="BZ237" s="920">
        <v>1725.9469978699999</v>
      </c>
      <c r="CA237" s="920">
        <v>1725.9469978699999</v>
      </c>
      <c r="CB237" s="920">
        <v>1725.9469978699999</v>
      </c>
      <c r="CC237" s="920">
        <v>1725.9469978699999</v>
      </c>
      <c r="CD237" s="920">
        <v>1725.9469978699999</v>
      </c>
      <c r="CE237" s="920">
        <v>1725.9469978699999</v>
      </c>
      <c r="CF237" s="920">
        <v>1497.92521687</v>
      </c>
      <c r="CG237" s="920">
        <v>1497.92521687</v>
      </c>
      <c r="CH237" s="920">
        <v>1497.92521687</v>
      </c>
      <c r="CI237" s="920">
        <v>1497.92521687</v>
      </c>
      <c r="CJ237" s="920">
        <v>1497.92521687</v>
      </c>
      <c r="CK237" s="920">
        <v>1497.92521687</v>
      </c>
      <c r="CL237" s="920">
        <v>1497.92521687</v>
      </c>
      <c r="CM237" s="920">
        <v>1382.92521687</v>
      </c>
      <c r="CN237" s="920">
        <v>1382.92521687</v>
      </c>
      <c r="CO237" s="920">
        <v>1362.4625838699999</v>
      </c>
      <c r="CP237" s="920">
        <v>1362.4625838699999</v>
      </c>
      <c r="CQ237" s="920">
        <v>1362.4625838699999</v>
      </c>
      <c r="CR237" s="920">
        <v>1341.9999508699998</v>
      </c>
      <c r="CS237" s="920">
        <v>1341.9999508699998</v>
      </c>
      <c r="CT237" s="920">
        <v>1341.9999508699998</v>
      </c>
      <c r="CU237" s="920">
        <v>1321.5373178699999</v>
      </c>
      <c r="CV237" s="920">
        <v>1321.5373178699999</v>
      </c>
      <c r="CW237" s="920">
        <v>1321.5373178699999</v>
      </c>
      <c r="CX237" s="920">
        <v>1301.0746848699998</v>
      </c>
      <c r="CY237" s="920">
        <v>1301.0746848699998</v>
      </c>
      <c r="CZ237" s="920">
        <v>1301.0746848699998</v>
      </c>
      <c r="DA237" s="920">
        <v>1301.0746848699998</v>
      </c>
      <c r="DB237" s="920">
        <v>1301.0746848699998</v>
      </c>
      <c r="DC237" s="920"/>
      <c r="DD237" s="920"/>
      <c r="DE237" s="920"/>
      <c r="DF237" s="920"/>
      <c r="DG237" s="920"/>
      <c r="DH237" s="920"/>
      <c r="DJ237" s="1032"/>
      <c r="DK237" s="1032"/>
      <c r="DL237" s="1032"/>
      <c r="DM237" s="1032"/>
      <c r="DN237" s="1032"/>
      <c r="DO237" s="1032"/>
      <c r="DP237" s="1032"/>
      <c r="DQ237" s="1032"/>
      <c r="DR237" s="1032"/>
      <c r="DS237" s="1032"/>
      <c r="DT237" s="1032"/>
      <c r="DU237" s="1032"/>
      <c r="GF237" s="1032"/>
      <c r="GG237" s="1032"/>
      <c r="GH237" s="1032"/>
      <c r="GI237" s="1032"/>
      <c r="GJ237" s="1013"/>
      <c r="GK237" s="1013"/>
      <c r="GL237" s="1013"/>
      <c r="GM237" s="1013"/>
      <c r="GN237" s="1032"/>
      <c r="GO237" s="1032"/>
      <c r="ID237" s="920"/>
      <c r="IE237" s="920"/>
      <c r="IP237" s="1032"/>
      <c r="IQ237" s="1032"/>
      <c r="IR237" s="1032"/>
      <c r="IS237" s="1032"/>
      <c r="IT237" s="1032"/>
      <c r="IU237" s="1032"/>
      <c r="IV237" s="1032"/>
      <c r="IX237" s="1032"/>
      <c r="IY237" s="1032"/>
      <c r="IZ237" s="1032"/>
      <c r="JA237" s="1032"/>
      <c r="JB237" s="1032"/>
      <c r="JC237" s="1032"/>
      <c r="JD237" s="1032"/>
      <c r="JO237" s="17" t="e">
        <f>#VALUE!</f>
        <v>#VALUE!</v>
      </c>
      <c r="JP237" s="17" t="e">
        <f>#VALUE!</f>
        <v>#VALUE!</v>
      </c>
      <c r="JQ237" s="17" t="e">
        <f>#VALUE!</f>
        <v>#VALUE!</v>
      </c>
      <c r="JR237" s="920" t="e">
        <f>#VALUE!</f>
        <v>#VALUE!</v>
      </c>
      <c r="JS237" s="17" t="e">
        <f>#VALUE!</f>
        <v>#VALUE!</v>
      </c>
      <c r="JW237" s="17" t="e">
        <f>#VALUE!</f>
        <v>#VALUE!</v>
      </c>
      <c r="JX237" s="17" t="e">
        <f>#VALUE!</f>
        <v>#VALUE!</v>
      </c>
      <c r="JY237" s="920" t="e">
        <f>#VALUE!</f>
        <v>#VALUE!</v>
      </c>
      <c r="KB237" s="1032"/>
      <c r="KC237" s="1032"/>
      <c r="KD237" s="1032"/>
      <c r="KE237" s="1032"/>
      <c r="KF237" s="1032"/>
      <c r="KG237" s="1032"/>
      <c r="KH237" s="1032"/>
      <c r="KJ237" s="1032"/>
      <c r="KK237" s="1032"/>
      <c r="KL237" s="1032"/>
      <c r="KM237" s="1032"/>
      <c r="KN237" s="1032"/>
      <c r="KO237" s="1032"/>
      <c r="KP237" s="1032"/>
      <c r="KR237" s="1032"/>
      <c r="KS237" s="1032"/>
      <c r="KT237" s="1032"/>
      <c r="KU237" s="1032"/>
      <c r="KV237" s="1032"/>
      <c r="KW237" s="1032"/>
      <c r="KX237" s="1032"/>
      <c r="KY237" s="1032"/>
      <c r="KZ237" s="1032"/>
    </row>
    <row r="238" spans="1:312">
      <c r="A238" s="884">
        <v>21051012</v>
      </c>
      <c r="B238" s="884"/>
      <c r="C238" s="1028" t="s">
        <v>778</v>
      </c>
      <c r="D238" s="31"/>
      <c r="E238" s="1011"/>
      <c r="F238" s="1011"/>
      <c r="G238" s="1011"/>
      <c r="H238" s="1011"/>
      <c r="I238" s="1011"/>
      <c r="J238" s="1011"/>
      <c r="K238" s="1011"/>
      <c r="L238" s="1011"/>
      <c r="M238" s="1011"/>
      <c r="N238" s="1011"/>
      <c r="O238" s="1011"/>
      <c r="P238" s="1011"/>
      <c r="Q238" s="1011"/>
      <c r="R238" s="1011"/>
      <c r="S238" s="1011"/>
      <c r="T238" s="1011"/>
      <c r="U238" s="1011"/>
      <c r="V238" s="1011"/>
      <c r="W238" s="1011"/>
      <c r="X238" s="1011"/>
      <c r="Y238" s="1011"/>
      <c r="Z238" s="1011"/>
      <c r="AA238" s="1011"/>
      <c r="AB238" s="1011"/>
      <c r="AC238" s="1011"/>
      <c r="AD238" s="1011"/>
      <c r="AE238" s="1011"/>
      <c r="AF238" s="1011"/>
      <c r="AG238" s="1011"/>
      <c r="AH238" s="1011"/>
      <c r="AI238" s="1011"/>
      <c r="AJ238" s="1011"/>
      <c r="AK238" s="1011"/>
      <c r="AL238" s="1011"/>
      <c r="AM238" s="1011"/>
      <c r="AN238" s="1011"/>
      <c r="AO238" s="1029">
        <v>0</v>
      </c>
      <c r="AP238" s="1029">
        <v>0</v>
      </c>
      <c r="AQ238" s="1010">
        <v>0</v>
      </c>
      <c r="AR238" s="1010">
        <v>0</v>
      </c>
      <c r="AS238" s="1021">
        <v>1500</v>
      </c>
      <c r="AT238" s="920">
        <v>0</v>
      </c>
      <c r="AU238" s="1029">
        <v>0</v>
      </c>
      <c r="AV238" s="1029">
        <v>0</v>
      </c>
      <c r="AW238" s="1029">
        <v>0</v>
      </c>
      <c r="AX238" s="1029">
        <v>0</v>
      </c>
      <c r="AY238" s="1029">
        <v>0</v>
      </c>
      <c r="AZ238" s="1029">
        <v>0</v>
      </c>
      <c r="BA238" s="873">
        <v>0</v>
      </c>
      <c r="BB238" s="873">
        <v>0</v>
      </c>
      <c r="BC238" s="873">
        <v>0</v>
      </c>
      <c r="BD238" s="873">
        <v>0</v>
      </c>
      <c r="BE238" s="920">
        <v>0</v>
      </c>
      <c r="BF238" s="920">
        <v>0</v>
      </c>
      <c r="BG238" s="920">
        <v>0</v>
      </c>
      <c r="BH238" s="920">
        <v>0</v>
      </c>
      <c r="BI238" s="920">
        <v>0</v>
      </c>
      <c r="BJ238" s="920">
        <v>0</v>
      </c>
      <c r="BK238" s="920">
        <v>0</v>
      </c>
      <c r="BL238" s="920">
        <v>0</v>
      </c>
      <c r="BM238" s="873">
        <v>0</v>
      </c>
      <c r="BN238" s="873">
        <v>0</v>
      </c>
      <c r="BO238" s="873">
        <v>0</v>
      </c>
      <c r="BP238" s="873">
        <v>0</v>
      </c>
      <c r="BQ238" s="920">
        <v>0</v>
      </c>
      <c r="BR238" s="920">
        <v>0</v>
      </c>
      <c r="BS238" s="920">
        <v>0</v>
      </c>
      <c r="BT238" s="920">
        <v>0</v>
      </c>
      <c r="BU238" s="920">
        <v>0</v>
      </c>
      <c r="BV238" s="920">
        <v>0</v>
      </c>
      <c r="BW238" s="920">
        <v>0</v>
      </c>
      <c r="BX238" s="920">
        <v>0</v>
      </c>
      <c r="BY238" s="920">
        <v>0</v>
      </c>
      <c r="BZ238" s="920">
        <v>0</v>
      </c>
      <c r="CA238" s="920">
        <v>0</v>
      </c>
      <c r="CB238" s="920">
        <v>0</v>
      </c>
      <c r="CC238" s="920">
        <v>0</v>
      </c>
      <c r="CD238" s="920">
        <v>0</v>
      </c>
      <c r="CE238" s="920">
        <v>0</v>
      </c>
      <c r="CF238" s="920">
        <v>0</v>
      </c>
      <c r="CG238" s="920">
        <v>0</v>
      </c>
      <c r="CH238" s="920">
        <v>0</v>
      </c>
      <c r="CI238" s="920">
        <v>0</v>
      </c>
      <c r="CJ238" s="920">
        <v>0</v>
      </c>
      <c r="CK238" s="920">
        <v>0</v>
      </c>
      <c r="CL238" s="920">
        <v>0</v>
      </c>
      <c r="CM238" s="920">
        <v>0</v>
      </c>
      <c r="CN238" s="920">
        <v>0</v>
      </c>
      <c r="CO238" s="920">
        <v>0</v>
      </c>
      <c r="CP238" s="920">
        <v>0</v>
      </c>
      <c r="CQ238" s="920">
        <v>0</v>
      </c>
      <c r="CR238" s="920">
        <v>0</v>
      </c>
      <c r="CS238" s="920">
        <v>0</v>
      </c>
      <c r="CT238" s="920">
        <v>0</v>
      </c>
      <c r="CU238" s="920">
        <v>0</v>
      </c>
      <c r="CV238" s="920">
        <v>0</v>
      </c>
      <c r="CW238" s="920">
        <v>0</v>
      </c>
      <c r="CX238" s="920">
        <v>0</v>
      </c>
      <c r="CY238" s="920">
        <v>0</v>
      </c>
      <c r="CZ238" s="920">
        <v>0</v>
      </c>
      <c r="DA238" s="920">
        <v>0</v>
      </c>
      <c r="DB238" s="920">
        <v>0</v>
      </c>
      <c r="DC238" s="920"/>
      <c r="DD238" s="920"/>
      <c r="DE238" s="920"/>
      <c r="DF238" s="920"/>
      <c r="DG238" s="920"/>
      <c r="DH238" s="920"/>
      <c r="DJ238" s="1032"/>
      <c r="DK238" s="1032"/>
      <c r="DL238" s="1032"/>
      <c r="DM238" s="1032"/>
      <c r="DN238" s="1032"/>
      <c r="DO238" s="1032"/>
      <c r="DP238" s="1032"/>
      <c r="DQ238" s="1032"/>
      <c r="DR238" s="1032"/>
      <c r="DS238" s="1032"/>
      <c r="DT238" s="1032"/>
      <c r="DU238" s="1032"/>
      <c r="GF238" s="1032"/>
      <c r="GG238" s="1032"/>
      <c r="GH238" s="1032"/>
      <c r="GI238" s="1032"/>
      <c r="GJ238" s="1013"/>
      <c r="GK238" s="1013"/>
      <c r="GL238" s="1013"/>
      <c r="GM238" s="1013"/>
      <c r="GN238" s="1032"/>
      <c r="GO238" s="1032"/>
      <c r="ID238" s="920"/>
      <c r="IE238" s="920"/>
      <c r="IP238" s="1032"/>
      <c r="IQ238" s="1032"/>
      <c r="IR238" s="1032"/>
      <c r="IS238" s="1032"/>
      <c r="IT238" s="1032"/>
      <c r="IU238" s="1032"/>
      <c r="IV238" s="1032"/>
      <c r="IX238" s="1032"/>
      <c r="IY238" s="1032"/>
      <c r="IZ238" s="1032"/>
      <c r="JA238" s="1032"/>
      <c r="JB238" s="1032"/>
      <c r="JC238" s="1032"/>
      <c r="JD238" s="1032"/>
      <c r="JO238" s="17" t="e">
        <f>#VALUE!</f>
        <v>#VALUE!</v>
      </c>
      <c r="JP238" s="17" t="e">
        <f>#VALUE!</f>
        <v>#VALUE!</v>
      </c>
      <c r="JQ238" s="17" t="e">
        <f>#VALUE!</f>
        <v>#VALUE!</v>
      </c>
      <c r="JR238" s="920" t="e">
        <f>#VALUE!</f>
        <v>#VALUE!</v>
      </c>
      <c r="JS238" s="17" t="e">
        <f>#VALUE!</f>
        <v>#VALUE!</v>
      </c>
      <c r="JW238" s="17" t="e">
        <f>#VALUE!</f>
        <v>#VALUE!</v>
      </c>
      <c r="JX238" s="17" t="e">
        <f>#VALUE!</f>
        <v>#VALUE!</v>
      </c>
      <c r="JY238" s="920" t="e">
        <f>#VALUE!</f>
        <v>#VALUE!</v>
      </c>
      <c r="KB238" s="1032"/>
      <c r="KC238" s="1032"/>
      <c r="KD238" s="1032"/>
      <c r="KE238" s="1032"/>
      <c r="KF238" s="1032"/>
      <c r="KG238" s="1032"/>
      <c r="KH238" s="1032"/>
      <c r="KJ238" s="1032"/>
      <c r="KK238" s="1032"/>
      <c r="KL238" s="1032"/>
      <c r="KM238" s="1032"/>
      <c r="KN238" s="1032"/>
      <c r="KO238" s="1032"/>
      <c r="KP238" s="1032"/>
      <c r="KR238" s="1032"/>
      <c r="KS238" s="1032"/>
      <c r="KT238" s="1032"/>
      <c r="KU238" s="1032"/>
      <c r="KV238" s="1032"/>
      <c r="KW238" s="1032"/>
      <c r="KX238" s="1032"/>
      <c r="KY238" s="1032"/>
      <c r="KZ238" s="1032"/>
    </row>
    <row r="239" spans="1:312">
      <c r="A239" s="884">
        <v>21051013</v>
      </c>
      <c r="B239" s="884"/>
      <c r="C239" s="1028" t="s">
        <v>779</v>
      </c>
      <c r="D239" s="31"/>
      <c r="E239" s="1011"/>
      <c r="F239" s="1011"/>
      <c r="G239" s="1011"/>
      <c r="H239" s="1011"/>
      <c r="I239" s="1011"/>
      <c r="J239" s="1011"/>
      <c r="K239" s="1011"/>
      <c r="L239" s="1011"/>
      <c r="M239" s="1011"/>
      <c r="N239" s="1011"/>
      <c r="O239" s="1011"/>
      <c r="P239" s="1011"/>
      <c r="Q239" s="1011"/>
      <c r="R239" s="1011"/>
      <c r="S239" s="1011"/>
      <c r="T239" s="1011"/>
      <c r="U239" s="1011"/>
      <c r="V239" s="1011"/>
      <c r="W239" s="1011"/>
      <c r="X239" s="1011"/>
      <c r="Y239" s="1011"/>
      <c r="Z239" s="1011"/>
      <c r="AA239" s="1011"/>
      <c r="AB239" s="1011"/>
      <c r="AC239" s="1011"/>
      <c r="AD239" s="1011"/>
      <c r="AE239" s="1011"/>
      <c r="AF239" s="1011"/>
      <c r="AG239" s="1011"/>
      <c r="AH239" s="1011"/>
      <c r="AI239" s="1011"/>
      <c r="AJ239" s="1011"/>
      <c r="AK239" s="1011"/>
      <c r="AL239" s="1011"/>
      <c r="AM239" s="1011"/>
      <c r="AN239" s="1011"/>
      <c r="AO239" s="1029">
        <v>0</v>
      </c>
      <c r="AP239" s="1029">
        <v>0</v>
      </c>
      <c r="AQ239" s="1010">
        <v>0</v>
      </c>
      <c r="AR239" s="1010">
        <v>0</v>
      </c>
      <c r="AS239" s="920">
        <v>0</v>
      </c>
      <c r="AT239" s="920">
        <v>0</v>
      </c>
      <c r="AU239" s="1029">
        <v>0</v>
      </c>
      <c r="AV239" s="1029">
        <v>0</v>
      </c>
      <c r="AW239" s="1029">
        <v>500</v>
      </c>
      <c r="AX239" s="1029">
        <v>1500</v>
      </c>
      <c r="AY239" s="1029">
        <v>1500</v>
      </c>
      <c r="AZ239" s="1029">
        <v>1500</v>
      </c>
      <c r="BA239" s="873">
        <v>1500</v>
      </c>
      <c r="BB239" s="873">
        <v>1500</v>
      </c>
      <c r="BC239" s="873">
        <v>1500</v>
      </c>
      <c r="BD239" s="873">
        <v>1500</v>
      </c>
      <c r="BE239" s="920">
        <v>1500</v>
      </c>
      <c r="BF239" s="920">
        <v>1500</v>
      </c>
      <c r="BG239" s="920">
        <v>1500</v>
      </c>
      <c r="BH239" s="920">
        <v>1500</v>
      </c>
      <c r="BI239" s="920">
        <v>1500</v>
      </c>
      <c r="BJ239" s="920">
        <v>1500</v>
      </c>
      <c r="BK239" s="920">
        <v>1500</v>
      </c>
      <c r="BL239" s="920">
        <v>1500</v>
      </c>
      <c r="BM239" s="873">
        <v>1500</v>
      </c>
      <c r="BN239" s="873">
        <v>1500</v>
      </c>
      <c r="BO239" s="873">
        <v>1500</v>
      </c>
      <c r="BP239" s="873">
        <v>1500</v>
      </c>
      <c r="BQ239" s="920">
        <v>1500</v>
      </c>
      <c r="BR239" s="920">
        <v>1500</v>
      </c>
      <c r="BS239" s="920">
        <v>1500</v>
      </c>
      <c r="BT239" s="920">
        <v>1470</v>
      </c>
      <c r="BU239" s="920">
        <v>1470</v>
      </c>
      <c r="BV239" s="920">
        <v>1470</v>
      </c>
      <c r="BW239" s="920">
        <v>1440</v>
      </c>
      <c r="BX239" s="920">
        <v>1440</v>
      </c>
      <c r="BY239" s="920">
        <v>1440</v>
      </c>
      <c r="BZ239" s="920">
        <v>1350</v>
      </c>
      <c r="CA239" s="920">
        <v>1350</v>
      </c>
      <c r="CB239" s="920">
        <v>1350</v>
      </c>
      <c r="CC239" s="920">
        <v>1350</v>
      </c>
      <c r="CD239" s="920">
        <v>1350</v>
      </c>
      <c r="CE239" s="920">
        <v>1350</v>
      </c>
      <c r="CF239" s="920">
        <v>1170</v>
      </c>
      <c r="CG239" s="920">
        <v>1170</v>
      </c>
      <c r="CH239" s="920">
        <v>1170</v>
      </c>
      <c r="CI239" s="920">
        <v>1170</v>
      </c>
      <c r="CJ239" s="920">
        <v>1170</v>
      </c>
      <c r="CK239" s="920">
        <v>1170</v>
      </c>
      <c r="CL239" s="920">
        <v>1170</v>
      </c>
      <c r="CM239" s="920">
        <v>1080</v>
      </c>
      <c r="CN239" s="920">
        <v>1080</v>
      </c>
      <c r="CO239" s="920">
        <v>1063.9857649999999</v>
      </c>
      <c r="CP239" s="920">
        <v>1063.9857649999999</v>
      </c>
      <c r="CQ239" s="920">
        <v>1063.9857649999999</v>
      </c>
      <c r="CR239" s="920">
        <v>1047.97153</v>
      </c>
      <c r="CS239" s="920">
        <v>1047.97153</v>
      </c>
      <c r="CT239" s="920">
        <v>1047.97153</v>
      </c>
      <c r="CU239" s="920">
        <v>1031.9572949999999</v>
      </c>
      <c r="CV239" s="920">
        <v>1031.9572949999999</v>
      </c>
      <c r="CW239" s="920">
        <v>1031.9572949999999</v>
      </c>
      <c r="CX239" s="920">
        <v>1015.9430599999999</v>
      </c>
      <c r="CY239" s="920">
        <v>1015.9430599999999</v>
      </c>
      <c r="CZ239" s="920">
        <v>1015.9430599999999</v>
      </c>
      <c r="DA239" s="920">
        <v>1015.9430599999999</v>
      </c>
      <c r="DB239" s="920">
        <v>1015.9430599999999</v>
      </c>
      <c r="DC239" s="920"/>
      <c r="DD239" s="920"/>
      <c r="DE239" s="920"/>
      <c r="DF239" s="920"/>
      <c r="DG239" s="920"/>
      <c r="DH239" s="920"/>
      <c r="DJ239" s="1032"/>
      <c r="DK239" s="1032"/>
      <c r="DL239" s="1032"/>
      <c r="DM239" s="1032"/>
      <c r="DN239" s="1032"/>
      <c r="DO239" s="1032"/>
      <c r="DP239" s="1032"/>
      <c r="DQ239" s="1032"/>
      <c r="DR239" s="1032"/>
      <c r="DS239" s="1032"/>
      <c r="DT239" s="1032"/>
      <c r="DU239" s="1032"/>
      <c r="GF239" s="1032"/>
      <c r="GG239" s="1032"/>
      <c r="GH239" s="1032"/>
      <c r="GI239" s="1032"/>
      <c r="GJ239" s="1013"/>
      <c r="GK239" s="1013"/>
      <c r="GL239" s="1013"/>
      <c r="GM239" s="1013"/>
      <c r="GN239" s="1032"/>
      <c r="GO239" s="1032"/>
      <c r="ID239" s="920"/>
      <c r="IE239" s="920"/>
      <c r="IP239" s="1032"/>
      <c r="IQ239" s="1032"/>
      <c r="IR239" s="1032"/>
      <c r="IS239" s="1032"/>
      <c r="IT239" s="1032"/>
      <c r="IU239" s="1032"/>
      <c r="IV239" s="1032"/>
      <c r="IX239" s="1032"/>
      <c r="IY239" s="1032"/>
      <c r="IZ239" s="1032"/>
      <c r="JA239" s="1032"/>
      <c r="JB239" s="1032"/>
      <c r="JC239" s="1032"/>
      <c r="JD239" s="1032"/>
      <c r="JR239" s="920"/>
      <c r="JY239" s="920"/>
      <c r="KB239" s="1032"/>
      <c r="KC239" s="1032"/>
      <c r="KD239" s="1032"/>
      <c r="KE239" s="1032"/>
      <c r="KF239" s="1032"/>
      <c r="KG239" s="1032"/>
      <c r="KH239" s="1032"/>
      <c r="KJ239" s="1032"/>
      <c r="KK239" s="1032"/>
      <c r="KL239" s="1032"/>
      <c r="KM239" s="1032"/>
      <c r="KN239" s="1032"/>
      <c r="KO239" s="1032"/>
      <c r="KP239" s="1032"/>
      <c r="KR239" s="1032"/>
      <c r="KS239" s="1032"/>
      <c r="KT239" s="1032"/>
      <c r="KU239" s="1032"/>
      <c r="KV239" s="1032"/>
      <c r="KW239" s="1032"/>
      <c r="KX239" s="1032"/>
      <c r="KY239" s="1032"/>
      <c r="KZ239" s="1032"/>
    </row>
    <row r="240" spans="1:312">
      <c r="A240" s="884">
        <v>21052501</v>
      </c>
      <c r="B240" s="884">
        <v>21052503</v>
      </c>
      <c r="C240" s="1028" t="s">
        <v>780</v>
      </c>
      <c r="D240" s="31"/>
      <c r="E240" s="1011"/>
      <c r="F240" s="1011"/>
      <c r="G240" s="1011"/>
      <c r="H240" s="1011"/>
      <c r="I240" s="1011"/>
      <c r="J240" s="1011"/>
      <c r="K240" s="1011"/>
      <c r="L240" s="1011"/>
      <c r="M240" s="1011"/>
      <c r="N240" s="1011"/>
      <c r="O240" s="1011"/>
      <c r="P240" s="1011"/>
      <c r="Q240" s="1011"/>
      <c r="R240" s="1011"/>
      <c r="S240" s="1011"/>
      <c r="T240" s="1011"/>
      <c r="U240" s="1011"/>
      <c r="V240" s="1011"/>
      <c r="W240" s="1011"/>
      <c r="X240" s="1011"/>
      <c r="Y240" s="1011"/>
      <c r="Z240" s="1011"/>
      <c r="AA240" s="1011"/>
      <c r="AB240" s="1011"/>
      <c r="AC240" s="1011"/>
      <c r="AD240" s="1011"/>
      <c r="AE240" s="1011"/>
      <c r="AF240" s="1011"/>
      <c r="AG240" s="1011"/>
      <c r="AH240" s="1011"/>
      <c r="AI240" s="1011"/>
      <c r="AJ240" s="1011"/>
      <c r="AK240" s="1011"/>
      <c r="AL240" s="1011"/>
      <c r="AM240" s="1011"/>
      <c r="AN240" s="1011"/>
      <c r="AO240" s="1029">
        <v>0</v>
      </c>
      <c r="AP240" s="1029">
        <v>0</v>
      </c>
      <c r="AQ240" s="1010">
        <v>1.1778457499999999</v>
      </c>
      <c r="AR240" s="1010">
        <v>0.77583571000000007</v>
      </c>
      <c r="AS240" s="1010">
        <v>2.0185643600000001</v>
      </c>
      <c r="AT240" s="1010">
        <v>2.1442261899999999</v>
      </c>
      <c r="AU240" s="1029">
        <v>3.1904141299999997</v>
      </c>
      <c r="AV240" s="1029">
        <v>2.7747177399999998</v>
      </c>
      <c r="AW240" s="1029">
        <v>1.0596367899999999</v>
      </c>
      <c r="AX240" s="1029">
        <v>7.29388872</v>
      </c>
      <c r="AY240" s="1029">
        <v>1.237997</v>
      </c>
      <c r="AZ240" s="1029">
        <v>8.7127430299999986</v>
      </c>
      <c r="BA240" s="873">
        <v>3.0107861200000001</v>
      </c>
      <c r="BB240" s="873">
        <v>1.7197363999999999</v>
      </c>
      <c r="BC240" s="873">
        <v>1.3096850200000001</v>
      </c>
      <c r="BD240" s="873">
        <v>3.6832430199999999</v>
      </c>
      <c r="BE240" s="920">
        <v>7.0500190199999997</v>
      </c>
      <c r="BF240" s="920">
        <v>2.56491902</v>
      </c>
      <c r="BG240" s="920">
        <v>0.10768802000000001</v>
      </c>
      <c r="BH240" s="920">
        <v>1.6892213500000002</v>
      </c>
      <c r="BI240" s="920">
        <v>6.3103068400000009</v>
      </c>
      <c r="BJ240" s="920">
        <v>5.2997418300000003</v>
      </c>
      <c r="BK240" s="920">
        <v>3.933592</v>
      </c>
      <c r="BL240" s="920">
        <v>19.11180543</v>
      </c>
      <c r="BM240" s="873">
        <v>17.631906740000002</v>
      </c>
      <c r="BN240" s="873">
        <v>13.338942959999999</v>
      </c>
      <c r="BO240" s="873">
        <v>10.790542029999999</v>
      </c>
      <c r="BP240" s="873">
        <v>3.50859152</v>
      </c>
      <c r="BQ240" s="920">
        <v>4.8669076499999999</v>
      </c>
      <c r="BR240" s="920">
        <v>11.99256877</v>
      </c>
      <c r="BS240" s="920">
        <v>11.038243040000001</v>
      </c>
      <c r="BT240" s="920">
        <v>9.4101505799999998</v>
      </c>
      <c r="BU240" s="920">
        <v>10.21996133</v>
      </c>
      <c r="BV240" s="920">
        <v>11.517688360000001</v>
      </c>
      <c r="BW240" s="920">
        <v>9.1411382499999991</v>
      </c>
      <c r="BX240" s="920">
        <v>39.313828140000005</v>
      </c>
      <c r="BY240" s="920">
        <v>52.201774759999999</v>
      </c>
      <c r="BZ240" s="920">
        <v>46.800705409999999</v>
      </c>
      <c r="CA240" s="920">
        <v>36.775928360000002</v>
      </c>
      <c r="CB240" s="920">
        <v>46.237588240000001</v>
      </c>
      <c r="CC240" s="920">
        <v>45.963937060000006</v>
      </c>
      <c r="CD240" s="920">
        <v>47.819947070000005</v>
      </c>
      <c r="CE240" s="920">
        <v>33.204159070000003</v>
      </c>
      <c r="CF240" s="920">
        <v>48.911848879999994</v>
      </c>
      <c r="CG240" s="920">
        <v>31.64330429</v>
      </c>
      <c r="CH240" s="920">
        <v>31.933568869999998</v>
      </c>
      <c r="CI240" s="920">
        <v>47.309986960000003</v>
      </c>
      <c r="CJ240" s="920">
        <v>0</v>
      </c>
      <c r="CK240" s="920">
        <v>0</v>
      </c>
      <c r="CL240" s="920">
        <v>0</v>
      </c>
      <c r="CM240" s="920">
        <v>0</v>
      </c>
      <c r="CN240" s="920">
        <v>0</v>
      </c>
      <c r="CO240" s="920">
        <v>0</v>
      </c>
      <c r="CP240" s="920">
        <v>0</v>
      </c>
      <c r="CQ240" s="920">
        <v>0</v>
      </c>
      <c r="CR240" s="920">
        <v>0</v>
      </c>
      <c r="CS240" s="920">
        <v>0</v>
      </c>
      <c r="CT240" s="920">
        <v>0</v>
      </c>
      <c r="CU240" s="920">
        <v>0</v>
      </c>
      <c r="CV240" s="920">
        <v>0</v>
      </c>
      <c r="CW240" s="920">
        <v>0</v>
      </c>
      <c r="CX240" s="920">
        <v>0</v>
      </c>
      <c r="CY240" s="920">
        <v>0</v>
      </c>
      <c r="CZ240" s="920">
        <v>0</v>
      </c>
      <c r="DA240" s="920">
        <v>0</v>
      </c>
      <c r="DB240" s="920">
        <v>0</v>
      </c>
      <c r="DC240" s="920"/>
      <c r="DD240" s="920"/>
      <c r="DE240" s="920"/>
      <c r="DF240" s="920"/>
      <c r="DG240" s="920"/>
      <c r="DH240" s="920"/>
      <c r="DJ240" s="1033"/>
      <c r="DK240" s="1032"/>
      <c r="DL240" s="1032"/>
      <c r="DM240" s="1032"/>
      <c r="DN240" s="1032"/>
      <c r="DO240" s="1032"/>
      <c r="DP240" s="1032"/>
      <c r="DQ240" s="1032"/>
      <c r="DR240" s="1032"/>
      <c r="DS240" s="1032"/>
      <c r="DT240" s="1032"/>
      <c r="DU240" s="1032"/>
      <c r="GF240" s="1032"/>
      <c r="GG240" s="1032"/>
      <c r="GH240" s="1032"/>
      <c r="GI240" s="1032"/>
      <c r="GJ240" s="1013"/>
      <c r="GK240" s="1013"/>
      <c r="GL240" s="1013"/>
      <c r="GM240" s="1013"/>
      <c r="GN240" s="1032"/>
      <c r="GO240" s="1032"/>
      <c r="ID240" s="920"/>
      <c r="IE240" s="920"/>
      <c r="IP240" s="1032"/>
      <c r="IQ240" s="1032"/>
      <c r="IR240" s="1032"/>
      <c r="IS240" s="1032"/>
      <c r="IT240" s="1032"/>
      <c r="IU240" s="1032"/>
      <c r="IV240" s="1032"/>
      <c r="IX240" s="1032"/>
      <c r="IY240" s="1032"/>
      <c r="IZ240" s="1032"/>
      <c r="JA240" s="1032"/>
      <c r="JB240" s="1032"/>
      <c r="JC240" s="1032"/>
      <c r="JD240" s="1032"/>
      <c r="JO240" s="17" t="e">
        <f>#VALUE!</f>
        <v>#VALUE!</v>
      </c>
      <c r="JP240" s="17" t="e">
        <f>#VALUE!</f>
        <v>#VALUE!</v>
      </c>
      <c r="JQ240" s="17" t="e">
        <f>#VALUE!</f>
        <v>#VALUE!</v>
      </c>
      <c r="JR240" s="920" t="e">
        <f>#VALUE!</f>
        <v>#VALUE!</v>
      </c>
      <c r="JS240" s="17" t="e">
        <f>#VALUE!</f>
        <v>#VALUE!</v>
      </c>
      <c r="JW240" s="17" t="e">
        <f>#VALUE!</f>
        <v>#VALUE!</v>
      </c>
      <c r="JX240" s="17" t="e">
        <f>#VALUE!</f>
        <v>#VALUE!</v>
      </c>
      <c r="JY240" s="920" t="e">
        <f>#VALUE!</f>
        <v>#VALUE!</v>
      </c>
      <c r="KB240" s="1032"/>
      <c r="KC240" s="1032"/>
      <c r="KD240" s="1032"/>
      <c r="KE240" s="1032"/>
      <c r="KF240" s="1032"/>
      <c r="KG240" s="1032"/>
      <c r="KH240" s="1032"/>
      <c r="KJ240" s="1032"/>
      <c r="KK240" s="1032"/>
      <c r="KL240" s="1032"/>
      <c r="KM240" s="1032"/>
      <c r="KN240" s="1032"/>
      <c r="KO240" s="1032"/>
      <c r="KP240" s="1032"/>
      <c r="KR240" s="1032"/>
      <c r="KS240" s="1032"/>
      <c r="KT240" s="1032"/>
      <c r="KU240" s="1032"/>
      <c r="KV240" s="1032"/>
      <c r="KW240" s="1032"/>
      <c r="KX240" s="1032"/>
      <c r="KY240" s="1032"/>
      <c r="KZ240" s="1032"/>
    </row>
    <row r="241" spans="1:312">
      <c r="A241" s="884">
        <v>21052502</v>
      </c>
      <c r="B241" s="884"/>
      <c r="C241" s="1028" t="s">
        <v>781</v>
      </c>
      <c r="D241" s="31"/>
      <c r="E241" s="1011"/>
      <c r="F241" s="1011"/>
      <c r="G241" s="1011"/>
      <c r="H241" s="1011"/>
      <c r="I241" s="1011"/>
      <c r="J241" s="1011"/>
      <c r="K241" s="1011"/>
      <c r="L241" s="1011"/>
      <c r="M241" s="1011"/>
      <c r="N241" s="1011"/>
      <c r="O241" s="1011"/>
      <c r="P241" s="1011"/>
      <c r="Q241" s="1011"/>
      <c r="R241" s="1011"/>
      <c r="S241" s="1011"/>
      <c r="T241" s="1011"/>
      <c r="U241" s="1011"/>
      <c r="V241" s="1011"/>
      <c r="W241" s="1011"/>
      <c r="X241" s="1011"/>
      <c r="Y241" s="1011"/>
      <c r="Z241" s="1011"/>
      <c r="AA241" s="1011"/>
      <c r="AB241" s="1011"/>
      <c r="AC241" s="1011"/>
      <c r="AD241" s="1011"/>
      <c r="AE241" s="1011"/>
      <c r="AF241" s="1011"/>
      <c r="AG241" s="1011"/>
      <c r="AH241" s="1011"/>
      <c r="AI241" s="1011"/>
      <c r="AJ241" s="1011"/>
      <c r="AK241" s="1011"/>
      <c r="AL241" s="1011"/>
      <c r="AM241" s="1011"/>
      <c r="AN241" s="1011"/>
      <c r="AO241" s="1029">
        <v>0</v>
      </c>
      <c r="AP241" s="1029">
        <v>0</v>
      </c>
      <c r="AQ241" s="1010"/>
      <c r="AR241" s="1010"/>
      <c r="AS241" s="1010">
        <v>0</v>
      </c>
      <c r="AT241" s="1010">
        <v>2.2076830000000002E-2</v>
      </c>
      <c r="AU241" s="1029">
        <v>3.7186115099999997</v>
      </c>
      <c r="AV241" s="1029">
        <v>0</v>
      </c>
      <c r="AW241" s="1029">
        <v>0</v>
      </c>
      <c r="AX241" s="1029">
        <v>0</v>
      </c>
      <c r="AY241" s="1029">
        <v>0</v>
      </c>
      <c r="AZ241" s="1029">
        <v>0</v>
      </c>
      <c r="BA241" s="873">
        <v>0.26892315</v>
      </c>
      <c r="BB241" s="873">
        <v>0</v>
      </c>
      <c r="BC241" s="873">
        <v>0</v>
      </c>
      <c r="BD241" s="873">
        <v>0.51942959999999994</v>
      </c>
      <c r="BE241" s="920">
        <v>0</v>
      </c>
      <c r="BF241" s="920">
        <v>0</v>
      </c>
      <c r="BG241" s="920">
        <v>0</v>
      </c>
      <c r="BH241" s="920">
        <v>0</v>
      </c>
      <c r="BI241" s="920">
        <v>0</v>
      </c>
      <c r="BJ241" s="920">
        <v>0</v>
      </c>
      <c r="BK241" s="920">
        <v>0</v>
      </c>
      <c r="BL241" s="920">
        <v>0</v>
      </c>
      <c r="BM241" s="873">
        <v>0</v>
      </c>
      <c r="BN241" s="873">
        <v>0</v>
      </c>
      <c r="BO241" s="873">
        <v>0</v>
      </c>
      <c r="BP241" s="873">
        <v>0</v>
      </c>
      <c r="BQ241" s="920">
        <v>0</v>
      </c>
      <c r="BR241" s="920">
        <v>0</v>
      </c>
      <c r="BS241" s="920">
        <v>0</v>
      </c>
      <c r="BT241" s="920">
        <v>0</v>
      </c>
      <c r="BU241" s="920">
        <v>0</v>
      </c>
      <c r="BV241" s="920">
        <v>0</v>
      </c>
      <c r="BW241" s="920">
        <v>0</v>
      </c>
      <c r="BX241" s="920">
        <v>0.13481279999999998</v>
      </c>
      <c r="BY241" s="920">
        <v>0.1291958</v>
      </c>
      <c r="BZ241" s="920">
        <v>0.11988080000000001</v>
      </c>
      <c r="CA241" s="920">
        <v>0.1072298</v>
      </c>
      <c r="CB241" s="920">
        <v>9.1018799999999997E-2</v>
      </c>
      <c r="CC241" s="920">
        <v>7.2236800000000004E-2</v>
      </c>
      <c r="CD241" s="920">
        <v>4.8606800000000006E-2</v>
      </c>
      <c r="CE241" s="920">
        <v>8.8203898000000009</v>
      </c>
      <c r="CF241" s="920">
        <v>9.7738586699999992</v>
      </c>
      <c r="CG241" s="920">
        <v>34.448085460000001</v>
      </c>
      <c r="CH241" s="920">
        <v>48.022724189999998</v>
      </c>
      <c r="CI241" s="920">
        <v>35.794955189999996</v>
      </c>
      <c r="CJ241" s="920">
        <v>0</v>
      </c>
      <c r="CK241" s="920">
        <v>0</v>
      </c>
      <c r="CL241" s="920">
        <v>0</v>
      </c>
      <c r="CM241" s="920">
        <v>0</v>
      </c>
      <c r="CN241" s="920">
        <v>0</v>
      </c>
      <c r="CO241" s="920">
        <v>0</v>
      </c>
      <c r="CP241" s="920">
        <v>0</v>
      </c>
      <c r="CQ241" s="920">
        <v>0</v>
      </c>
      <c r="CR241" s="920">
        <v>0</v>
      </c>
      <c r="CS241" s="920">
        <v>0</v>
      </c>
      <c r="CT241" s="920">
        <v>0</v>
      </c>
      <c r="CU241" s="920">
        <v>0</v>
      </c>
      <c r="CV241" s="920">
        <v>0</v>
      </c>
      <c r="CW241" s="920">
        <v>0</v>
      </c>
      <c r="CX241" s="920">
        <v>0</v>
      </c>
      <c r="CY241" s="920">
        <v>0</v>
      </c>
      <c r="CZ241" s="920">
        <v>0</v>
      </c>
      <c r="DA241" s="920">
        <v>0</v>
      </c>
      <c r="DB241" s="920">
        <v>0</v>
      </c>
      <c r="DC241" s="920"/>
      <c r="DD241" s="920"/>
      <c r="DE241" s="920"/>
      <c r="DF241" s="920"/>
      <c r="DG241" s="920"/>
      <c r="DH241" s="920"/>
      <c r="DJ241" s="1032"/>
      <c r="DK241" s="1032"/>
      <c r="DL241" s="1032"/>
      <c r="DM241" s="1032"/>
      <c r="DN241" s="1032"/>
      <c r="DO241" s="1032"/>
      <c r="DP241" s="1032"/>
      <c r="DQ241" s="1032"/>
      <c r="DR241" s="1032"/>
      <c r="DS241" s="1032"/>
      <c r="DT241" s="1032"/>
      <c r="DU241" s="1032"/>
      <c r="GF241" s="1032"/>
      <c r="GG241" s="1032"/>
      <c r="GH241" s="1032"/>
      <c r="GI241" s="1032"/>
      <c r="GJ241" s="1013"/>
      <c r="GK241" s="1013"/>
      <c r="GL241" s="1013"/>
      <c r="GM241" s="1013"/>
      <c r="GN241" s="1032"/>
      <c r="GO241" s="1032"/>
      <c r="ID241" s="920"/>
      <c r="IE241" s="920"/>
      <c r="IP241" s="1032"/>
      <c r="IQ241" s="1032"/>
      <c r="IR241" s="1032"/>
      <c r="IS241" s="1032"/>
      <c r="IT241" s="1032"/>
      <c r="IU241" s="1032"/>
      <c r="IV241" s="1032"/>
      <c r="IX241" s="1032"/>
      <c r="IY241" s="1032"/>
      <c r="IZ241" s="1032"/>
      <c r="JA241" s="1032"/>
      <c r="JB241" s="1032"/>
      <c r="JC241" s="1032"/>
      <c r="JD241" s="1032"/>
      <c r="JR241" s="920"/>
      <c r="JY241" s="920"/>
      <c r="KB241" s="1032"/>
      <c r="KC241" s="1032"/>
      <c r="KD241" s="1032"/>
      <c r="KE241" s="1032"/>
      <c r="KF241" s="1032"/>
      <c r="KG241" s="1032"/>
      <c r="KH241" s="1032"/>
      <c r="KJ241" s="1032"/>
      <c r="KK241" s="1032"/>
      <c r="KL241" s="1032"/>
      <c r="KM241" s="1032"/>
      <c r="KN241" s="1032"/>
      <c r="KO241" s="1032"/>
      <c r="KP241" s="1032"/>
      <c r="KR241" s="1032"/>
      <c r="KS241" s="1032"/>
      <c r="KT241" s="1032"/>
      <c r="KU241" s="1032"/>
      <c r="KV241" s="1032"/>
      <c r="KW241" s="1032"/>
      <c r="KX241" s="1032"/>
      <c r="KY241" s="1032"/>
      <c r="KZ241" s="1032"/>
    </row>
    <row r="242" spans="1:312">
      <c r="A242" s="884">
        <v>21202007</v>
      </c>
      <c r="B242" s="884"/>
      <c r="C242" s="1028" t="s">
        <v>782</v>
      </c>
      <c r="D242" s="31"/>
      <c r="E242" s="1011"/>
      <c r="F242" s="1011"/>
      <c r="G242" s="1011"/>
      <c r="H242" s="1011"/>
      <c r="I242" s="1011"/>
      <c r="J242" s="1011"/>
      <c r="K242" s="1011"/>
      <c r="L242" s="1011"/>
      <c r="M242" s="1011"/>
      <c r="N242" s="1011"/>
      <c r="O242" s="1011"/>
      <c r="P242" s="1011"/>
      <c r="Q242" s="1011"/>
      <c r="R242" s="1011"/>
      <c r="S242" s="1011"/>
      <c r="T242" s="1011"/>
      <c r="U242" s="1011"/>
      <c r="V242" s="1011"/>
      <c r="W242" s="1011"/>
      <c r="X242" s="1011"/>
      <c r="Y242" s="1011"/>
      <c r="Z242" s="1011"/>
      <c r="AA242" s="1011"/>
      <c r="AB242" s="1011"/>
      <c r="AC242" s="1011"/>
      <c r="AD242" s="1011"/>
      <c r="AE242" s="1011"/>
      <c r="AF242" s="1011"/>
      <c r="AG242" s="1011"/>
      <c r="AH242" s="1011"/>
      <c r="AI242" s="1011"/>
      <c r="AJ242" s="1011"/>
      <c r="AK242" s="1011"/>
      <c r="AL242" s="1011"/>
      <c r="AM242" s="1011"/>
      <c r="AN242" s="1011"/>
      <c r="AO242" s="1029">
        <v>0</v>
      </c>
      <c r="AP242" s="1029">
        <v>0</v>
      </c>
      <c r="AQ242" s="1010"/>
      <c r="AR242" s="1010"/>
      <c r="AS242" s="1010">
        <v>0</v>
      </c>
      <c r="AT242" s="1010">
        <v>3350</v>
      </c>
      <c r="AU242" s="1010">
        <v>3350</v>
      </c>
      <c r="AV242" s="1010">
        <v>3350</v>
      </c>
      <c r="AW242" s="1010">
        <v>3350</v>
      </c>
      <c r="AX242" s="1010">
        <v>3350</v>
      </c>
      <c r="AY242" s="1010">
        <v>3350</v>
      </c>
      <c r="AZ242" s="1010">
        <v>3350</v>
      </c>
      <c r="BA242" s="1010">
        <v>3350</v>
      </c>
      <c r="BB242" s="1010">
        <v>3350</v>
      </c>
      <c r="BC242" s="1010">
        <v>3350</v>
      </c>
      <c r="BD242" s="1010">
        <v>3350</v>
      </c>
      <c r="BE242" s="920">
        <v>3350</v>
      </c>
      <c r="BF242" s="920">
        <v>3350</v>
      </c>
      <c r="BG242" s="920">
        <v>3350</v>
      </c>
      <c r="BH242" s="920">
        <v>3350</v>
      </c>
      <c r="BI242" s="920">
        <v>3350</v>
      </c>
      <c r="BJ242" s="920">
        <v>3350</v>
      </c>
      <c r="BK242" s="920">
        <v>3350</v>
      </c>
      <c r="BL242" s="920">
        <v>3350</v>
      </c>
      <c r="BM242" s="873">
        <v>3350</v>
      </c>
      <c r="BN242" s="1010">
        <v>3350</v>
      </c>
      <c r="BO242" s="1010">
        <v>3350</v>
      </c>
      <c r="BP242" s="1010">
        <v>3350</v>
      </c>
      <c r="BQ242" s="920">
        <v>3350</v>
      </c>
      <c r="BR242" s="920">
        <v>3350</v>
      </c>
      <c r="BS242" s="920">
        <v>3350</v>
      </c>
      <c r="BT242" s="920">
        <v>3350</v>
      </c>
      <c r="BU242" s="920">
        <v>3350</v>
      </c>
      <c r="BV242" s="920">
        <v>3350</v>
      </c>
      <c r="BW242" s="920">
        <v>3350</v>
      </c>
      <c r="BX242" s="920">
        <v>3350</v>
      </c>
      <c r="BY242" s="920">
        <v>3350</v>
      </c>
      <c r="BZ242" s="920">
        <v>3350</v>
      </c>
      <c r="CA242" s="920">
        <v>3350</v>
      </c>
      <c r="CB242" s="920">
        <v>3350</v>
      </c>
      <c r="CC242" s="920">
        <v>3350</v>
      </c>
      <c r="CD242" s="920">
        <v>3350</v>
      </c>
      <c r="CE242" s="920">
        <v>3350</v>
      </c>
      <c r="CF242" s="920">
        <v>3350</v>
      </c>
      <c r="CG242" s="920">
        <v>3350</v>
      </c>
      <c r="CH242" s="920">
        <v>3350</v>
      </c>
      <c r="CI242" s="920">
        <v>3350</v>
      </c>
      <c r="CJ242" s="920">
        <v>3350</v>
      </c>
      <c r="CK242" s="920">
        <v>3350</v>
      </c>
      <c r="CL242" s="920">
        <v>3350</v>
      </c>
      <c r="CM242" s="920">
        <v>3350</v>
      </c>
      <c r="CN242" s="920">
        <v>3350</v>
      </c>
      <c r="CO242" s="920">
        <v>3350</v>
      </c>
      <c r="CP242" s="920">
        <v>3350</v>
      </c>
      <c r="CQ242" s="920">
        <v>3350</v>
      </c>
      <c r="CR242" s="920">
        <v>3350</v>
      </c>
      <c r="CS242" s="920">
        <v>3350</v>
      </c>
      <c r="CT242" s="920">
        <v>3350</v>
      </c>
      <c r="CU242" s="920">
        <v>3350</v>
      </c>
      <c r="CV242" s="920">
        <v>3350</v>
      </c>
      <c r="CW242" s="920">
        <v>3350</v>
      </c>
      <c r="CX242" s="920">
        <v>3350</v>
      </c>
      <c r="CY242" s="920">
        <v>3350</v>
      </c>
      <c r="CZ242" s="920">
        <v>3350</v>
      </c>
      <c r="DA242" s="920">
        <v>3350</v>
      </c>
      <c r="DB242" s="920">
        <v>3350</v>
      </c>
      <c r="DC242" s="920"/>
      <c r="DD242" s="920"/>
      <c r="DE242" s="920"/>
      <c r="DF242" s="920"/>
      <c r="DG242" s="920"/>
      <c r="DH242" s="920"/>
      <c r="DJ242" s="1032"/>
      <c r="DK242" s="1032"/>
      <c r="DL242" s="1032"/>
      <c r="DM242" s="1032"/>
      <c r="DN242" s="1032"/>
      <c r="DO242" s="1032"/>
      <c r="DP242" s="1032"/>
      <c r="DQ242" s="1032"/>
      <c r="DR242" s="1032"/>
      <c r="DS242" s="1032"/>
      <c r="DT242" s="1032"/>
      <c r="DU242" s="1032"/>
      <c r="GF242" s="1032"/>
      <c r="GG242" s="1032"/>
      <c r="GH242" s="1032"/>
      <c r="GI242" s="1032"/>
      <c r="GJ242" s="1013"/>
      <c r="GK242" s="1013"/>
      <c r="GL242" s="1013"/>
      <c r="GM242" s="1013"/>
      <c r="GN242" s="1032"/>
      <c r="GO242" s="1032"/>
      <c r="ID242" s="920"/>
      <c r="IE242" s="920"/>
      <c r="IP242" s="1032"/>
      <c r="IQ242" s="1032"/>
      <c r="IR242" s="1032"/>
      <c r="IS242" s="1032"/>
      <c r="IT242" s="1032"/>
      <c r="IU242" s="1032"/>
      <c r="IV242" s="1032"/>
      <c r="IX242" s="1032"/>
      <c r="IY242" s="1032"/>
      <c r="IZ242" s="1032"/>
      <c r="JA242" s="1032"/>
      <c r="JB242" s="1032"/>
      <c r="JC242" s="1032"/>
      <c r="JD242" s="1032"/>
      <c r="JR242" s="920"/>
      <c r="JY242" s="920"/>
      <c r="KB242" s="1032"/>
      <c r="KC242" s="1032"/>
      <c r="KD242" s="1032"/>
      <c r="KE242" s="1032"/>
      <c r="KF242" s="1032"/>
      <c r="KG242" s="1032"/>
      <c r="KH242" s="1032"/>
      <c r="KJ242" s="1032"/>
      <c r="KK242" s="1032"/>
      <c r="KL242" s="1032"/>
      <c r="KM242" s="1032"/>
      <c r="KN242" s="1032"/>
      <c r="KO242" s="1032"/>
      <c r="KP242" s="1032"/>
      <c r="KR242" s="1032"/>
      <c r="KS242" s="1032"/>
      <c r="KT242" s="1032"/>
      <c r="KU242" s="1032"/>
      <c r="KV242" s="1032"/>
      <c r="KW242" s="1032"/>
      <c r="KX242" s="1032"/>
      <c r="KY242" s="1032"/>
      <c r="KZ242" s="1032"/>
    </row>
    <row r="243" spans="1:312">
      <c r="A243" s="884">
        <v>21200501</v>
      </c>
      <c r="B243" s="884"/>
      <c r="C243" s="1028" t="s">
        <v>783</v>
      </c>
      <c r="D243" s="31"/>
      <c r="E243" s="1011"/>
      <c r="F243" s="1011"/>
      <c r="G243" s="1011"/>
      <c r="H243" s="1011"/>
      <c r="I243" s="1011"/>
      <c r="J243" s="1011"/>
      <c r="K243" s="1011"/>
      <c r="L243" s="1011"/>
      <c r="M243" s="1011"/>
      <c r="N243" s="1011"/>
      <c r="O243" s="1011"/>
      <c r="P243" s="1011"/>
      <c r="Q243" s="1011"/>
      <c r="R243" s="1011"/>
      <c r="S243" s="1011"/>
      <c r="T243" s="1011"/>
      <c r="U243" s="1011"/>
      <c r="V243" s="1011"/>
      <c r="W243" s="1011"/>
      <c r="X243" s="1011"/>
      <c r="Y243" s="1011"/>
      <c r="Z243" s="1011"/>
      <c r="AA243" s="1011"/>
      <c r="AB243" s="1011"/>
      <c r="AC243" s="1011"/>
      <c r="AD243" s="1011"/>
      <c r="AE243" s="1011"/>
      <c r="AF243" s="1011"/>
      <c r="AG243" s="1011"/>
      <c r="AH243" s="1011"/>
      <c r="AI243" s="1011"/>
      <c r="AJ243" s="1011"/>
      <c r="AK243" s="1011"/>
      <c r="AL243" s="1011"/>
      <c r="AM243" s="1011"/>
      <c r="AN243" s="1011"/>
      <c r="AO243" s="1029">
        <v>0</v>
      </c>
      <c r="AP243" s="1029">
        <v>0</v>
      </c>
      <c r="AQ243" s="1010"/>
      <c r="AR243" s="1010"/>
      <c r="AS243" s="1010">
        <v>0</v>
      </c>
      <c r="AT243" s="1010">
        <v>27.987029</v>
      </c>
      <c r="AU243" s="1029">
        <v>0</v>
      </c>
      <c r="AV243" s="1029">
        <v>0</v>
      </c>
      <c r="AW243" s="1029">
        <v>0</v>
      </c>
      <c r="AX243" s="1029">
        <v>0</v>
      </c>
      <c r="AY243" s="1029">
        <v>0</v>
      </c>
      <c r="AZ243" s="1029">
        <v>0</v>
      </c>
      <c r="BA243" s="873">
        <v>0</v>
      </c>
      <c r="BB243" s="873">
        <v>0</v>
      </c>
      <c r="BC243" s="873">
        <v>0</v>
      </c>
      <c r="BD243" s="873">
        <v>0</v>
      </c>
      <c r="BE243" s="920">
        <v>0</v>
      </c>
      <c r="BF243" s="920">
        <v>0</v>
      </c>
      <c r="BG243" s="920">
        <v>0</v>
      </c>
      <c r="BH243" s="920">
        <v>0</v>
      </c>
      <c r="BI243" s="920">
        <v>1.7064560000000003E-2</v>
      </c>
      <c r="BJ243" s="920">
        <v>1.7064560000000003E-2</v>
      </c>
      <c r="BK243" s="920">
        <v>1.7064560000000003E-2</v>
      </c>
      <c r="BL243" s="920">
        <v>1.7064560000000003E-2</v>
      </c>
      <c r="BM243" s="873">
        <v>1.7064560000000003E-2</v>
      </c>
      <c r="BN243" s="873">
        <v>1.7064560000000003E-2</v>
      </c>
      <c r="BO243" s="873">
        <v>1.7064560000000003E-2</v>
      </c>
      <c r="BP243" s="873">
        <v>1.7064560000000003E-2</v>
      </c>
      <c r="BQ243" s="920">
        <v>1.7064560000000003E-2</v>
      </c>
      <c r="BR243" s="920">
        <v>1.7064560000000003E-2</v>
      </c>
      <c r="BS243" s="920">
        <v>1.7064560000000003E-2</v>
      </c>
      <c r="BT243" s="920">
        <v>1.7064560000000003E-2</v>
      </c>
      <c r="BU243" s="920">
        <v>1.7064560000000003E-2</v>
      </c>
      <c r="BV243" s="920">
        <v>3.13025456</v>
      </c>
      <c r="BW243" s="920">
        <v>1.7064560000000003E-2</v>
      </c>
      <c r="BX243" s="920">
        <v>1.7064560000000003E-2</v>
      </c>
      <c r="BY243" s="920">
        <v>1.7064560000000003E-2</v>
      </c>
      <c r="BZ243" s="920">
        <v>1.7064560000000003E-2</v>
      </c>
      <c r="CA243" s="920">
        <v>1.7064560000000003E-2</v>
      </c>
      <c r="CB243" s="920">
        <v>1.7064560000000003E-2</v>
      </c>
      <c r="CC243" s="920">
        <v>1.7064560000000003E-2</v>
      </c>
      <c r="CD243" s="920">
        <v>1.7064560000000003E-2</v>
      </c>
      <c r="CE243" s="920">
        <v>1.7064560000000003E-2</v>
      </c>
      <c r="CF243" s="920">
        <v>1.7064560000000003E-2</v>
      </c>
      <c r="CG243" s="920">
        <v>1.7064560000000003E-2</v>
      </c>
      <c r="CH243" s="920">
        <v>1.7064560000000003E-2</v>
      </c>
      <c r="CI243" s="920">
        <v>1.7064560000000003E-2</v>
      </c>
      <c r="CJ243" s="920">
        <v>0</v>
      </c>
      <c r="CK243" s="920">
        <v>0</v>
      </c>
      <c r="CL243" s="920">
        <v>0</v>
      </c>
      <c r="CM243" s="920">
        <v>0</v>
      </c>
      <c r="CN243" s="920">
        <v>0</v>
      </c>
      <c r="CO243" s="920">
        <v>0</v>
      </c>
      <c r="CP243" s="920">
        <v>0</v>
      </c>
      <c r="CQ243" s="920">
        <v>0</v>
      </c>
      <c r="CR243" s="920">
        <v>0</v>
      </c>
      <c r="CS243" s="920">
        <v>0</v>
      </c>
      <c r="CT243" s="920">
        <v>0</v>
      </c>
      <c r="CU243" s="920">
        <v>0</v>
      </c>
      <c r="CV243" s="920">
        <v>0</v>
      </c>
      <c r="CW243" s="920">
        <v>0</v>
      </c>
      <c r="CX243" s="920">
        <v>0</v>
      </c>
      <c r="CY243" s="920">
        <v>0</v>
      </c>
      <c r="CZ243" s="920">
        <v>0</v>
      </c>
      <c r="DA243" s="920">
        <v>0</v>
      </c>
      <c r="DB243" s="920">
        <v>0</v>
      </c>
      <c r="DC243" s="920"/>
      <c r="DD243" s="920"/>
      <c r="DE243" s="920"/>
      <c r="DF243" s="920"/>
      <c r="DG243" s="920"/>
      <c r="DH243" s="920"/>
      <c r="DJ243" s="1032"/>
      <c r="DK243" s="1032"/>
      <c r="DL243" s="1032"/>
      <c r="DM243" s="1032"/>
      <c r="DN243" s="1032"/>
      <c r="DO243" s="1032"/>
      <c r="DP243" s="1032"/>
      <c r="DQ243" s="1032"/>
      <c r="DR243" s="1032"/>
      <c r="DS243" s="1032"/>
      <c r="DT243" s="1032"/>
      <c r="DU243" s="1032"/>
      <c r="GF243" s="1032"/>
      <c r="GG243" s="1032"/>
      <c r="GH243" s="1032"/>
      <c r="GI243" s="1032"/>
      <c r="GJ243" s="1013"/>
      <c r="GK243" s="1013"/>
      <c r="GL243" s="1013"/>
      <c r="GM243" s="1013"/>
      <c r="GN243" s="1032"/>
      <c r="GO243" s="1032"/>
      <c r="ID243" s="920"/>
      <c r="IE243" s="920"/>
      <c r="IP243" s="1032"/>
      <c r="IQ243" s="1032"/>
      <c r="IR243" s="1032"/>
      <c r="IS243" s="1032"/>
      <c r="IT243" s="1032"/>
      <c r="IU243" s="1032"/>
      <c r="IV243" s="1032"/>
      <c r="IX243" s="1032"/>
      <c r="IY243" s="1032"/>
      <c r="IZ243" s="1032"/>
      <c r="JA243" s="1032"/>
      <c r="JB243" s="1032"/>
      <c r="JC243" s="1032"/>
      <c r="JD243" s="1032"/>
      <c r="JR243" s="920"/>
      <c r="JY243" s="920"/>
      <c r="KB243" s="1032"/>
      <c r="KC243" s="1032"/>
      <c r="KD243" s="1032"/>
      <c r="KE243" s="1032"/>
      <c r="KF243" s="1032"/>
      <c r="KG243" s="1032"/>
      <c r="KH243" s="1032"/>
      <c r="KJ243" s="1032"/>
      <c r="KK243" s="1032"/>
      <c r="KL243" s="1032"/>
      <c r="KM243" s="1032"/>
      <c r="KN243" s="1032"/>
      <c r="KO243" s="1032"/>
      <c r="KP243" s="1032"/>
      <c r="KR243" s="1032"/>
      <c r="KS243" s="1032"/>
      <c r="KT243" s="1032"/>
      <c r="KU243" s="1032"/>
      <c r="KV243" s="1032"/>
      <c r="KW243" s="1032"/>
      <c r="KX243" s="1032"/>
      <c r="KY243" s="1032"/>
      <c r="KZ243" s="1032"/>
    </row>
    <row r="244" spans="1:312">
      <c r="A244" s="884">
        <v>21202006</v>
      </c>
      <c r="C244" s="1028" t="s">
        <v>784</v>
      </c>
      <c r="D244" s="31"/>
      <c r="E244" s="1011"/>
      <c r="F244" s="1011"/>
      <c r="G244" s="1011"/>
      <c r="H244" s="1011"/>
      <c r="I244" s="1011"/>
      <c r="J244" s="1011"/>
      <c r="K244" s="1011"/>
      <c r="L244" s="1011"/>
      <c r="M244" s="1011"/>
      <c r="N244" s="1011"/>
      <c r="O244" s="1011"/>
      <c r="P244" s="1011"/>
      <c r="Q244" s="1011"/>
      <c r="R244" s="1011"/>
      <c r="S244" s="1011"/>
      <c r="T244" s="1011"/>
      <c r="U244" s="1011"/>
      <c r="V244" s="1011"/>
      <c r="W244" s="1011"/>
      <c r="X244" s="1011"/>
      <c r="Y244" s="1011"/>
      <c r="Z244" s="1011"/>
      <c r="AA244" s="1011"/>
      <c r="AB244" s="1011"/>
      <c r="AC244" s="1011"/>
      <c r="AD244" s="1011"/>
      <c r="AE244" s="1011"/>
      <c r="AF244" s="1011"/>
      <c r="AG244" s="1011"/>
      <c r="AH244" s="1011"/>
      <c r="AI244" s="1011"/>
      <c r="AJ244" s="1011"/>
      <c r="AK244" s="1011"/>
      <c r="AL244" s="1011"/>
      <c r="AM244" s="1011"/>
      <c r="AN244" s="1011"/>
      <c r="AO244" s="1029">
        <v>0</v>
      </c>
      <c r="AP244" s="1029">
        <v>0</v>
      </c>
      <c r="AQ244" s="1010"/>
      <c r="AR244" s="873">
        <v>0</v>
      </c>
      <c r="AS244" s="1021">
        <v>86.942087999999998</v>
      </c>
      <c r="AT244" s="1021">
        <v>84.760749000000004</v>
      </c>
      <c r="AU244" s="1029">
        <v>82.564316000000005</v>
      </c>
      <c r="AV244" s="1029">
        <v>80.352684999999994</v>
      </c>
      <c r="AW244" s="1029">
        <v>78.135266000000001</v>
      </c>
      <c r="AX244" s="1029">
        <v>75.894739999999999</v>
      </c>
      <c r="AY244" s="1029">
        <v>73.642101999999994</v>
      </c>
      <c r="AZ244" s="1029">
        <v>71.383497000000006</v>
      </c>
      <c r="BA244" s="873">
        <v>69.092986999999994</v>
      </c>
      <c r="BB244" s="873">
        <v>66.813282000000001</v>
      </c>
      <c r="BC244" s="873">
        <v>64.516159999999999</v>
      </c>
      <c r="BD244" s="873">
        <v>62.196800000000003</v>
      </c>
      <c r="BE244" s="920">
        <v>59.883952000000001</v>
      </c>
      <c r="BF244" s="920">
        <v>57.571103999999998</v>
      </c>
      <c r="BG244" s="920">
        <v>55.218936999999997</v>
      </c>
      <c r="BH244" s="920">
        <v>52.858184000000001</v>
      </c>
      <c r="BI244" s="920">
        <v>0</v>
      </c>
      <c r="BJ244" s="920">
        <v>0</v>
      </c>
      <c r="BK244" s="920">
        <v>0</v>
      </c>
      <c r="BL244" s="920">
        <v>0</v>
      </c>
      <c r="BM244" s="873">
        <v>0</v>
      </c>
      <c r="BN244" s="873">
        <v>0</v>
      </c>
      <c r="BO244" s="873">
        <v>0</v>
      </c>
      <c r="BP244" s="873">
        <v>0</v>
      </c>
      <c r="BQ244" s="920">
        <v>0</v>
      </c>
      <c r="BR244" s="920">
        <v>0</v>
      </c>
      <c r="BS244" s="920">
        <v>0</v>
      </c>
      <c r="BT244" s="920">
        <v>0</v>
      </c>
      <c r="BU244" s="920">
        <v>0</v>
      </c>
      <c r="BV244" s="920">
        <v>0</v>
      </c>
      <c r="BW244" s="920">
        <v>0</v>
      </c>
      <c r="BX244" s="920">
        <v>0</v>
      </c>
      <c r="BY244" s="920">
        <v>0</v>
      </c>
      <c r="BZ244" s="920">
        <v>0</v>
      </c>
      <c r="CA244" s="920">
        <v>0</v>
      </c>
      <c r="CB244" s="920">
        <v>0</v>
      </c>
      <c r="CC244" s="920">
        <v>0</v>
      </c>
      <c r="CD244" s="920">
        <v>0</v>
      </c>
      <c r="CE244" s="920">
        <v>0</v>
      </c>
      <c r="CF244" s="920">
        <v>0</v>
      </c>
      <c r="CG244" s="920">
        <v>0</v>
      </c>
      <c r="CH244" s="920">
        <v>0</v>
      </c>
      <c r="CI244" s="920">
        <v>0</v>
      </c>
      <c r="CJ244" s="920">
        <v>0</v>
      </c>
      <c r="CK244" s="920">
        <v>0</v>
      </c>
      <c r="CL244" s="920">
        <v>0</v>
      </c>
      <c r="CM244" s="920">
        <v>0</v>
      </c>
      <c r="CN244" s="920">
        <v>0</v>
      </c>
      <c r="CO244" s="920">
        <v>0</v>
      </c>
      <c r="CP244" s="920">
        <v>0</v>
      </c>
      <c r="CQ244" s="920">
        <v>0</v>
      </c>
      <c r="CR244" s="920">
        <v>0</v>
      </c>
      <c r="CS244" s="920">
        <v>0</v>
      </c>
      <c r="CT244" s="920">
        <v>0</v>
      </c>
      <c r="CU244" s="920">
        <v>0</v>
      </c>
      <c r="CV244" s="920">
        <v>0</v>
      </c>
      <c r="CW244" s="920">
        <v>0</v>
      </c>
      <c r="CX244" s="920">
        <v>0</v>
      </c>
      <c r="CY244" s="920">
        <v>0</v>
      </c>
      <c r="CZ244" s="920">
        <v>0</v>
      </c>
      <c r="DA244" s="920">
        <v>0</v>
      </c>
      <c r="DB244" s="920">
        <v>0</v>
      </c>
      <c r="DC244" s="920"/>
      <c r="DD244" s="920"/>
      <c r="DE244" s="920"/>
      <c r="DF244" s="920"/>
      <c r="DG244" s="920"/>
      <c r="DH244" s="920"/>
      <c r="DJ244" s="1032"/>
      <c r="DK244" s="1032"/>
      <c r="DL244" s="1032"/>
      <c r="DM244" s="1032"/>
      <c r="DN244" s="1032"/>
      <c r="DO244" s="1032"/>
      <c r="DP244" s="1032"/>
      <c r="DQ244" s="1032"/>
      <c r="DR244" s="1032"/>
      <c r="DS244" s="1032"/>
      <c r="DT244" s="1032"/>
      <c r="DU244" s="1032"/>
      <c r="GF244" s="1032"/>
      <c r="GG244" s="1032"/>
      <c r="GH244" s="1032"/>
      <c r="GI244" s="1032"/>
      <c r="GJ244" s="1013"/>
      <c r="GK244" s="1013"/>
      <c r="GL244" s="1013"/>
      <c r="GM244" s="1013"/>
      <c r="GN244" s="1032"/>
      <c r="GO244" s="1032"/>
      <c r="ID244" s="920"/>
      <c r="IE244" s="920"/>
      <c r="IP244" s="1032"/>
      <c r="IQ244" s="1032"/>
      <c r="IR244" s="1032"/>
      <c r="IS244" s="1032"/>
      <c r="IT244" s="1032"/>
      <c r="IU244" s="1032"/>
      <c r="IV244" s="1032"/>
      <c r="IX244" s="1032"/>
      <c r="IY244" s="1032"/>
      <c r="IZ244" s="1032"/>
      <c r="JA244" s="1032"/>
      <c r="JB244" s="1032"/>
      <c r="JC244" s="1032"/>
      <c r="JD244" s="1032"/>
      <c r="JO244" s="17" t="e">
        <f>#VALUE!</f>
        <v>#VALUE!</v>
      </c>
      <c r="JP244" s="17" t="e">
        <f>#VALUE!</f>
        <v>#VALUE!</v>
      </c>
      <c r="JQ244" s="17" t="e">
        <f>#VALUE!</f>
        <v>#VALUE!</v>
      </c>
      <c r="JR244" s="920" t="e">
        <f>#VALUE!</f>
        <v>#VALUE!</v>
      </c>
      <c r="JS244" s="17" t="e">
        <f>#VALUE!</f>
        <v>#VALUE!</v>
      </c>
      <c r="JW244" s="17" t="e">
        <f>#VALUE!</f>
        <v>#VALUE!</v>
      </c>
      <c r="JX244" s="17" t="e">
        <f>#VALUE!</f>
        <v>#VALUE!</v>
      </c>
      <c r="JY244" s="920" t="e">
        <f>#VALUE!</f>
        <v>#VALUE!</v>
      </c>
      <c r="KB244" s="1032"/>
      <c r="KC244" s="1032"/>
      <c r="KD244" s="1032"/>
      <c r="KE244" s="1032"/>
      <c r="KF244" s="1032"/>
      <c r="KG244" s="1032"/>
      <c r="KH244" s="1032"/>
      <c r="KJ244" s="1032"/>
      <c r="KK244" s="1032"/>
      <c r="KL244" s="1032"/>
      <c r="KM244" s="1032"/>
      <c r="KN244" s="1032"/>
      <c r="KO244" s="1032"/>
      <c r="KP244" s="1032"/>
      <c r="KR244" s="1032"/>
      <c r="KS244" s="1032"/>
      <c r="KT244" s="1032"/>
      <c r="KU244" s="1032"/>
      <c r="KV244" s="1032"/>
      <c r="KW244" s="1032"/>
      <c r="KX244" s="1032"/>
      <c r="KY244" s="1032"/>
      <c r="KZ244" s="1032"/>
    </row>
    <row r="245" spans="1:312">
      <c r="A245" s="884">
        <v>2195</v>
      </c>
      <c r="C245" s="1028" t="s">
        <v>785</v>
      </c>
      <c r="D245" s="31"/>
      <c r="E245" s="1011"/>
      <c r="F245" s="1011"/>
      <c r="G245" s="1011"/>
      <c r="H245" s="1011"/>
      <c r="I245" s="1011"/>
      <c r="J245" s="1011"/>
      <c r="K245" s="1011"/>
      <c r="L245" s="1011"/>
      <c r="M245" s="1011"/>
      <c r="N245" s="1011"/>
      <c r="O245" s="1011"/>
      <c r="P245" s="1011"/>
      <c r="Q245" s="1011"/>
      <c r="R245" s="1011"/>
      <c r="S245" s="1011"/>
      <c r="T245" s="1011"/>
      <c r="U245" s="1011"/>
      <c r="V245" s="1011"/>
      <c r="W245" s="1011"/>
      <c r="X245" s="1011"/>
      <c r="Y245" s="1011"/>
      <c r="Z245" s="1011"/>
      <c r="AA245" s="1011"/>
      <c r="AB245" s="1011"/>
      <c r="AC245" s="1011"/>
      <c r="AD245" s="1011"/>
      <c r="AE245" s="1011"/>
      <c r="AF245" s="1011"/>
      <c r="AG245" s="1011"/>
      <c r="AH245" s="1011"/>
      <c r="AI245" s="1011"/>
      <c r="AJ245" s="1011"/>
      <c r="AK245" s="1011"/>
      <c r="AL245" s="1011"/>
      <c r="AM245" s="1011"/>
      <c r="AN245" s="1011"/>
      <c r="AO245" s="1029"/>
      <c r="AP245" s="1029"/>
      <c r="AQ245" s="1010"/>
      <c r="AR245" s="873"/>
      <c r="AS245" s="1021"/>
      <c r="AT245" s="1021"/>
      <c r="AU245" s="1029"/>
      <c r="AV245" s="1029"/>
      <c r="AW245" s="1029"/>
      <c r="AX245" s="1029"/>
      <c r="AY245" s="1029"/>
      <c r="AZ245" s="1029"/>
      <c r="BA245" s="873"/>
      <c r="BB245" s="873"/>
      <c r="BC245" s="873"/>
      <c r="BD245" s="873"/>
      <c r="BE245" s="920"/>
      <c r="BF245" s="920"/>
      <c r="BG245" s="920">
        <f t="shared" ref="BG245:BL245" si="699">+BG164</f>
        <v>360</v>
      </c>
      <c r="BH245" s="920">
        <f t="shared" si="699"/>
        <v>360</v>
      </c>
      <c r="BI245" s="920">
        <f t="shared" si="699"/>
        <v>360</v>
      </c>
      <c r="BJ245" s="920">
        <f t="shared" si="699"/>
        <v>360</v>
      </c>
      <c r="BK245" s="920">
        <f t="shared" si="699"/>
        <v>360</v>
      </c>
      <c r="BL245" s="920">
        <f t="shared" si="699"/>
        <v>360</v>
      </c>
      <c r="BM245" s="920">
        <f>+BL164</f>
        <v>360</v>
      </c>
      <c r="BN245" s="920">
        <f>+BM245</f>
        <v>360</v>
      </c>
      <c r="BO245" s="920">
        <f t="shared" ref="BO245:BX245" si="700">+BM164</f>
        <v>360</v>
      </c>
      <c r="BP245" s="920">
        <f t="shared" si="700"/>
        <v>360</v>
      </c>
      <c r="BQ245" s="920">
        <f t="shared" si="700"/>
        <v>360</v>
      </c>
      <c r="BR245" s="920">
        <f t="shared" si="700"/>
        <v>360</v>
      </c>
      <c r="BS245" s="920">
        <f t="shared" si="700"/>
        <v>360</v>
      </c>
      <c r="BT245" s="920">
        <f t="shared" si="700"/>
        <v>360</v>
      </c>
      <c r="BU245" s="920">
        <f t="shared" si="700"/>
        <v>360</v>
      </c>
      <c r="BV245" s="920">
        <f t="shared" si="700"/>
        <v>360</v>
      </c>
      <c r="BW245" s="920">
        <f t="shared" si="700"/>
        <v>360</v>
      </c>
      <c r="BX245" s="920">
        <f t="shared" si="700"/>
        <v>360</v>
      </c>
      <c r="BY245" s="920">
        <f t="shared" ref="BY245:DB245" si="701">+BX164</f>
        <v>360</v>
      </c>
      <c r="BZ245" s="920">
        <f t="shared" si="701"/>
        <v>360</v>
      </c>
      <c r="CA245" s="920">
        <f t="shared" si="701"/>
        <v>360</v>
      </c>
      <c r="CB245" s="920">
        <f t="shared" si="701"/>
        <v>360</v>
      </c>
      <c r="CC245" s="920">
        <f t="shared" si="701"/>
        <v>360</v>
      </c>
      <c r="CD245" s="920">
        <f t="shared" si="701"/>
        <v>360</v>
      </c>
      <c r="CE245" s="920">
        <f t="shared" si="701"/>
        <v>360</v>
      </c>
      <c r="CF245" s="920">
        <f t="shared" si="701"/>
        <v>0</v>
      </c>
      <c r="CG245" s="920">
        <f t="shared" si="701"/>
        <v>0</v>
      </c>
      <c r="CH245" s="920">
        <f t="shared" si="701"/>
        <v>0</v>
      </c>
      <c r="CI245" s="920">
        <f t="shared" si="701"/>
        <v>0</v>
      </c>
      <c r="CJ245" s="920">
        <f t="shared" si="701"/>
        <v>0</v>
      </c>
      <c r="CK245" s="920">
        <f t="shared" si="701"/>
        <v>0</v>
      </c>
      <c r="CL245" s="920">
        <f t="shared" si="701"/>
        <v>0</v>
      </c>
      <c r="CM245" s="920">
        <f t="shared" si="701"/>
        <v>0</v>
      </c>
      <c r="CN245" s="920">
        <f t="shared" si="701"/>
        <v>0</v>
      </c>
      <c r="CO245" s="920">
        <f t="shared" si="701"/>
        <v>0</v>
      </c>
      <c r="CP245" s="920">
        <f t="shared" si="701"/>
        <v>0</v>
      </c>
      <c r="CQ245" s="920">
        <f t="shared" si="701"/>
        <v>0</v>
      </c>
      <c r="CR245" s="920">
        <f t="shared" si="701"/>
        <v>0</v>
      </c>
      <c r="CS245" s="920">
        <f t="shared" si="701"/>
        <v>0</v>
      </c>
      <c r="CT245" s="920">
        <f t="shared" si="701"/>
        <v>0</v>
      </c>
      <c r="CU245" s="920">
        <f t="shared" si="701"/>
        <v>0</v>
      </c>
      <c r="CV245" s="920">
        <f t="shared" si="701"/>
        <v>0</v>
      </c>
      <c r="CW245" s="920">
        <f t="shared" si="701"/>
        <v>0</v>
      </c>
      <c r="CX245" s="920">
        <f t="shared" si="701"/>
        <v>0</v>
      </c>
      <c r="CY245" s="920">
        <f t="shared" si="701"/>
        <v>0</v>
      </c>
      <c r="CZ245" s="920">
        <f t="shared" si="701"/>
        <v>0</v>
      </c>
      <c r="DA245" s="920">
        <f t="shared" si="701"/>
        <v>0</v>
      </c>
      <c r="DB245" s="920">
        <f t="shared" si="701"/>
        <v>0</v>
      </c>
      <c r="DC245" s="920"/>
      <c r="DD245" s="920"/>
      <c r="DE245" s="920"/>
      <c r="DF245" s="920"/>
      <c r="DG245" s="920"/>
      <c r="DH245" s="920"/>
      <c r="DJ245" s="1032"/>
      <c r="DK245" s="1032"/>
      <c r="DL245" s="1032"/>
      <c r="DM245" s="1032"/>
      <c r="DN245" s="1032"/>
      <c r="DO245" s="1032"/>
      <c r="DP245" s="1032"/>
      <c r="DQ245" s="1032"/>
      <c r="DR245" s="1032"/>
      <c r="DS245" s="1032"/>
      <c r="DT245" s="1032"/>
      <c r="DU245" s="1032"/>
      <c r="GF245" s="1032"/>
      <c r="GG245" s="1032"/>
      <c r="GH245" s="1032"/>
      <c r="GI245" s="1032"/>
      <c r="GJ245" s="1013"/>
      <c r="GK245" s="1013"/>
      <c r="GL245" s="1013"/>
      <c r="GM245" s="1013"/>
      <c r="GN245" s="1032"/>
      <c r="GO245" s="1032"/>
      <c r="ID245" s="920"/>
      <c r="IE245" s="920"/>
      <c r="IP245" s="1032"/>
      <c r="IQ245" s="1032"/>
      <c r="IR245" s="1032"/>
      <c r="IS245" s="1032"/>
      <c r="IT245" s="1032"/>
      <c r="IU245" s="1032"/>
      <c r="IV245" s="1032"/>
      <c r="IX245" s="1032"/>
      <c r="IY245" s="1032"/>
      <c r="IZ245" s="1032"/>
      <c r="JA245" s="1032"/>
      <c r="JB245" s="1032"/>
      <c r="JC245" s="1032"/>
      <c r="JD245" s="1032"/>
      <c r="JR245" s="920"/>
      <c r="JY245" s="920"/>
      <c r="KB245" s="1032"/>
      <c r="KC245" s="1032"/>
      <c r="KD245" s="1032"/>
      <c r="KE245" s="1032"/>
      <c r="KF245" s="1032"/>
      <c r="KG245" s="1032"/>
      <c r="KH245" s="1032"/>
      <c r="KJ245" s="1032"/>
      <c r="KK245" s="1032"/>
      <c r="KL245" s="1032"/>
      <c r="KM245" s="1032"/>
      <c r="KN245" s="1032"/>
      <c r="KO245" s="1032"/>
      <c r="KP245" s="1032"/>
      <c r="KR245" s="1032"/>
      <c r="KS245" s="1032"/>
      <c r="KT245" s="1032"/>
      <c r="KU245" s="1032"/>
      <c r="KV245" s="1032"/>
      <c r="KW245" s="1032"/>
      <c r="KX245" s="1032"/>
      <c r="KY245" s="1032"/>
      <c r="KZ245" s="1032"/>
    </row>
    <row r="246" spans="1:312" ht="15" thickBot="1">
      <c r="A246" s="867"/>
      <c r="C246" s="1034" t="s">
        <v>786</v>
      </c>
      <c r="D246" s="31"/>
      <c r="E246" s="1035"/>
      <c r="F246" s="1035"/>
      <c r="G246" s="1035"/>
      <c r="H246" s="1035"/>
      <c r="I246" s="1035"/>
      <c r="J246" s="1035"/>
      <c r="K246" s="1035"/>
      <c r="L246" s="1035"/>
      <c r="M246" s="1035"/>
      <c r="N246" s="1035"/>
      <c r="O246" s="1035"/>
      <c r="P246" s="1035"/>
      <c r="Q246" s="1035"/>
      <c r="R246" s="1035"/>
      <c r="S246" s="1035"/>
      <c r="T246" s="1035"/>
      <c r="U246" s="1035"/>
      <c r="V246" s="1035"/>
      <c r="W246" s="1035"/>
      <c r="X246" s="1035"/>
      <c r="Y246" s="1035"/>
      <c r="Z246" s="1035"/>
      <c r="AA246" s="1035"/>
      <c r="AB246" s="1035"/>
      <c r="AC246" s="1035"/>
      <c r="AD246" s="1035"/>
      <c r="AE246" s="1035"/>
      <c r="AF246" s="1035"/>
      <c r="AG246" s="1035"/>
      <c r="AH246" s="1035"/>
      <c r="AI246" s="1035"/>
      <c r="AJ246" s="1035"/>
      <c r="AK246" s="1035"/>
      <c r="AL246" s="1035"/>
      <c r="AM246" s="1035"/>
      <c r="AN246" s="1035"/>
      <c r="AO246" s="1017">
        <v>3483.3333333400001</v>
      </c>
      <c r="AP246" s="1018">
        <v>6325.1189789500004</v>
      </c>
      <c r="AQ246" s="1004">
        <v>6084.6301583700006</v>
      </c>
      <c r="AR246" s="1004">
        <v>5842.5614820000001</v>
      </c>
      <c r="AS246" s="1017">
        <v>7189.0796323199993</v>
      </c>
      <c r="AT246" s="1017">
        <v>8823.3663946499983</v>
      </c>
      <c r="AU246" s="1017">
        <v>8556.9025239399998</v>
      </c>
      <c r="AV246" s="1017">
        <v>8308.8899187099996</v>
      </c>
      <c r="AW246" s="1017">
        <v>8563.290752429999</v>
      </c>
      <c r="AX246" s="1017">
        <v>9325.6178120299992</v>
      </c>
      <c r="AY246" s="1017">
        <v>9075.6426159799994</v>
      </c>
      <c r="AZ246" s="1017">
        <v>8835.6429530299993</v>
      </c>
      <c r="BA246" s="1017">
        <f t="shared" ref="BA246:BF246" si="702">SUM(BA236:BA244)</f>
        <v>8589.03936694</v>
      </c>
      <c r="BB246" s="1017">
        <f t="shared" si="702"/>
        <v>8343.5330227399991</v>
      </c>
      <c r="BC246" s="1017">
        <f t="shared" si="702"/>
        <v>8100.3240180299999</v>
      </c>
      <c r="BD246" s="1017">
        <f t="shared" si="702"/>
        <v>8100.8976456299997</v>
      </c>
      <c r="BE246" s="1017">
        <f t="shared" si="702"/>
        <v>8101.43214403</v>
      </c>
      <c r="BF246" s="1017">
        <f t="shared" si="702"/>
        <v>8094.6341960299997</v>
      </c>
      <c r="BG246" s="1017">
        <f t="shared" ref="BG246:DB246" si="703">SUM(BG236:BG245)</f>
        <v>8448.6599630300007</v>
      </c>
      <c r="BH246" s="1017">
        <f t="shared" si="703"/>
        <v>8447.8807433599995</v>
      </c>
      <c r="BI246" s="1017">
        <f t="shared" si="703"/>
        <v>8399.66070941</v>
      </c>
      <c r="BJ246" s="1017">
        <f t="shared" si="703"/>
        <v>8398.6501444000005</v>
      </c>
      <c r="BK246" s="1017">
        <f t="shared" si="703"/>
        <v>8397.2839945699998</v>
      </c>
      <c r="BL246" s="1017">
        <f t="shared" si="703"/>
        <v>8412.4622080000008</v>
      </c>
      <c r="BM246" s="1017">
        <f t="shared" si="703"/>
        <v>8410.9823093100003</v>
      </c>
      <c r="BN246" s="1017">
        <f t="shared" si="703"/>
        <v>8406.6893455300014</v>
      </c>
      <c r="BO246" s="1017">
        <f t="shared" si="703"/>
        <v>8404.1409445999998</v>
      </c>
      <c r="BP246" s="1017">
        <f t="shared" si="703"/>
        <v>8396.8589940900001</v>
      </c>
      <c r="BQ246" s="1017">
        <f t="shared" si="703"/>
        <v>8398.2173102199995</v>
      </c>
      <c r="BR246" s="1018">
        <f t="shared" si="703"/>
        <v>8405.3429713400001</v>
      </c>
      <c r="BS246" s="1018">
        <f t="shared" si="703"/>
        <v>8404.3886456100008</v>
      </c>
      <c r="BT246" s="1018">
        <f t="shared" si="703"/>
        <v>8309.0938868800004</v>
      </c>
      <c r="BU246" s="1018">
        <f t="shared" si="703"/>
        <v>8309.9036976300013</v>
      </c>
      <c r="BV246" s="1036">
        <f t="shared" si="703"/>
        <v>8314.3146146600011</v>
      </c>
      <c r="BW246" s="1018">
        <f t="shared" si="703"/>
        <v>8241.4385345499995</v>
      </c>
      <c r="BX246" s="1018">
        <f t="shared" si="703"/>
        <v>8246.4127042399996</v>
      </c>
      <c r="BY246" s="1018">
        <f t="shared" si="703"/>
        <v>8259.2950338600003</v>
      </c>
      <c r="BZ246" s="1018">
        <f t="shared" si="703"/>
        <v>7972.8846495099997</v>
      </c>
      <c r="CA246" s="1018">
        <f t="shared" si="703"/>
        <v>7962.8472214599997</v>
      </c>
      <c r="CB246" s="1018">
        <f t="shared" si="703"/>
        <v>7972.2926703399999</v>
      </c>
      <c r="CC246" s="1018">
        <f t="shared" si="703"/>
        <v>7972.0002371599994</v>
      </c>
      <c r="CD246" s="1018">
        <f t="shared" si="703"/>
        <v>7973.83261717</v>
      </c>
      <c r="CE246" s="1018">
        <f t="shared" si="703"/>
        <v>7967.9886121700001</v>
      </c>
      <c r="CF246" s="1018">
        <f t="shared" si="703"/>
        <v>7064.6279898500006</v>
      </c>
      <c r="CG246" s="1018">
        <f t="shared" si="703"/>
        <v>7072.0336711800001</v>
      </c>
      <c r="CH246" s="1018">
        <f t="shared" si="703"/>
        <v>7085.8985744900001</v>
      </c>
      <c r="CI246" s="1018">
        <f t="shared" si="703"/>
        <v>7089.0472235799998</v>
      </c>
      <c r="CJ246" s="1018">
        <f t="shared" si="703"/>
        <v>7005.9252168700004</v>
      </c>
      <c r="CK246" s="1018">
        <f t="shared" si="703"/>
        <v>7005.9252168700004</v>
      </c>
      <c r="CL246" s="1018">
        <f t="shared" si="703"/>
        <v>7005.9252168700004</v>
      </c>
      <c r="CM246" s="1018">
        <f t="shared" si="703"/>
        <v>6724.9252168700004</v>
      </c>
      <c r="CN246" s="1018">
        <f t="shared" si="703"/>
        <v>6724.9252168700004</v>
      </c>
      <c r="CO246" s="1018">
        <f t="shared" si="703"/>
        <v>6674.9252168700004</v>
      </c>
      <c r="CP246" s="1018">
        <f t="shared" si="703"/>
        <v>6674.9252168700004</v>
      </c>
      <c r="CQ246" s="1018">
        <f t="shared" si="703"/>
        <v>6674.9252168700004</v>
      </c>
      <c r="CR246" s="1018">
        <f t="shared" si="703"/>
        <v>6624.9252168699995</v>
      </c>
      <c r="CS246" s="1018">
        <f t="shared" si="703"/>
        <v>6624.9252168699995</v>
      </c>
      <c r="CT246" s="1018">
        <f t="shared" si="703"/>
        <v>6624.9252168699995</v>
      </c>
      <c r="CU246" s="1018">
        <f t="shared" si="703"/>
        <v>6574.9252168699995</v>
      </c>
      <c r="CV246" s="1018">
        <f t="shared" si="703"/>
        <v>6574.9252168699995</v>
      </c>
      <c r="CW246" s="1018">
        <f t="shared" si="703"/>
        <v>6574.9252168699995</v>
      </c>
      <c r="CX246" s="1018">
        <f t="shared" si="703"/>
        <v>6524.9252168700004</v>
      </c>
      <c r="CY246" s="1018">
        <f t="shared" si="703"/>
        <v>6524.9252168700004</v>
      </c>
      <c r="CZ246" s="1018">
        <f t="shared" si="703"/>
        <v>6524.9252168700004</v>
      </c>
      <c r="DA246" s="1018">
        <f t="shared" si="703"/>
        <v>6524.9252168700004</v>
      </c>
      <c r="DB246" s="1018">
        <f t="shared" si="703"/>
        <v>6524.9252168700004</v>
      </c>
      <c r="DC246" s="1086"/>
      <c r="DD246" s="1086"/>
      <c r="DE246" s="1086"/>
      <c r="DF246" s="1086"/>
      <c r="DG246" s="1086"/>
      <c r="DH246" s="1086"/>
      <c r="DJ246" s="1037"/>
      <c r="DK246" s="1037"/>
      <c r="DL246" s="1037"/>
      <c r="DM246" s="1037"/>
      <c r="DN246" s="1037"/>
      <c r="DO246" s="1037"/>
      <c r="DP246" s="1037"/>
      <c r="DQ246" s="1037"/>
      <c r="DR246" s="1037"/>
      <c r="DS246" s="1037"/>
      <c r="DT246" s="1037"/>
      <c r="DU246" s="1037"/>
      <c r="GF246" s="1037"/>
      <c r="GG246" s="1037"/>
      <c r="GH246" s="1037"/>
      <c r="GI246" s="1037"/>
      <c r="GJ246" s="1038"/>
      <c r="GK246" s="1038"/>
      <c r="GL246" s="1038"/>
      <c r="GM246" s="1038"/>
      <c r="GN246" s="1037"/>
      <c r="GO246" s="1037"/>
      <c r="HU246" s="1039"/>
      <c r="HV246" s="1039"/>
      <c r="HW246" s="1039"/>
      <c r="HX246" s="1039"/>
      <c r="HY246" s="1039"/>
      <c r="HZ246" s="1039"/>
      <c r="IA246" s="1039"/>
      <c r="IB246" s="1039"/>
      <c r="IC246" s="1039"/>
      <c r="ID246" s="1018"/>
      <c r="IE246" s="1018"/>
      <c r="IP246" s="1037"/>
      <c r="IQ246" s="1037"/>
      <c r="IR246" s="1037"/>
      <c r="IS246" s="1037"/>
      <c r="IT246" s="1037"/>
      <c r="IU246" s="1037"/>
      <c r="IV246" s="1037"/>
      <c r="IX246" s="1037"/>
      <c r="IY246" s="1037"/>
      <c r="IZ246" s="1037"/>
      <c r="JA246" s="1037"/>
      <c r="JB246" s="1037"/>
      <c r="JC246" s="1037"/>
      <c r="JD246" s="1037"/>
      <c r="JO246" s="1018" t="e">
        <f>#VALUE!</f>
        <v>#VALUE!</v>
      </c>
      <c r="JP246" s="1018" t="e">
        <f>#VALUE!</f>
        <v>#VALUE!</v>
      </c>
      <c r="JQ246" s="1018" t="e">
        <f>#VALUE!</f>
        <v>#VALUE!</v>
      </c>
      <c r="JR246" s="1018" t="e">
        <f>#VALUE!</f>
        <v>#VALUE!</v>
      </c>
      <c r="JS246" s="1018" t="e">
        <f>#VALUE!</f>
        <v>#VALUE!</v>
      </c>
      <c r="JT246" s="1018"/>
      <c r="JU246" s="1018"/>
      <c r="JV246" s="1018"/>
      <c r="JW246" s="1018" t="e">
        <f>#VALUE!</f>
        <v>#VALUE!</v>
      </c>
      <c r="JX246" s="1018" t="e">
        <f>#VALUE!</f>
        <v>#VALUE!</v>
      </c>
      <c r="JY246" s="1018" t="e">
        <f>#VALUE!</f>
        <v>#VALUE!</v>
      </c>
      <c r="JZ246" s="873"/>
      <c r="KB246" s="1037"/>
      <c r="KC246" s="1037"/>
      <c r="KD246" s="1037"/>
      <c r="KE246" s="1037"/>
      <c r="KF246" s="1037"/>
      <c r="KG246" s="1037"/>
      <c r="KH246" s="1037"/>
      <c r="KJ246" s="1037"/>
      <c r="KK246" s="1037"/>
      <c r="KL246" s="1037"/>
      <c r="KM246" s="1037"/>
      <c r="KN246" s="1037"/>
      <c r="KO246" s="1037"/>
      <c r="KP246" s="1037"/>
      <c r="KR246" s="1037"/>
      <c r="KS246" s="1037"/>
      <c r="KT246" s="1037"/>
      <c r="KU246" s="1037"/>
      <c r="KV246" s="1037"/>
      <c r="KW246" s="1037"/>
      <c r="KX246" s="1037"/>
      <c r="KY246" s="1037"/>
      <c r="KZ246" s="1037"/>
    </row>
    <row r="247" spans="1:312" ht="15" thickTop="1">
      <c r="A247" s="867"/>
      <c r="C247" s="1028"/>
      <c r="D247" s="31"/>
      <c r="E247" s="657"/>
      <c r="F247" s="657"/>
      <c r="G247" s="657"/>
      <c r="H247" s="657"/>
      <c r="I247" s="657"/>
      <c r="J247" s="657"/>
      <c r="K247" s="657"/>
      <c r="L247" s="657"/>
      <c r="M247" s="657"/>
      <c r="N247" s="657"/>
      <c r="O247" s="657"/>
      <c r="P247" s="657"/>
      <c r="Q247" s="657"/>
      <c r="R247" s="657"/>
      <c r="S247" s="657"/>
      <c r="T247" s="657"/>
      <c r="U247" s="657"/>
      <c r="V247" s="657"/>
      <c r="W247" s="657"/>
      <c r="X247" s="657"/>
      <c r="Y247" s="657"/>
      <c r="Z247" s="657"/>
      <c r="AA247" s="657"/>
      <c r="AB247" s="657"/>
      <c r="AC247" s="657"/>
      <c r="AD247" s="657"/>
      <c r="AE247" s="657"/>
      <c r="AF247" s="657"/>
      <c r="AG247" s="657"/>
      <c r="AH247" s="657"/>
      <c r="AI247" s="657"/>
      <c r="AJ247" s="657"/>
      <c r="AK247" s="657"/>
      <c r="AL247" s="657"/>
      <c r="AM247" s="657"/>
      <c r="AN247" s="657"/>
      <c r="AQ247" s="17"/>
      <c r="BG247" s="77"/>
      <c r="BH247" s="77"/>
      <c r="BI247" s="77"/>
      <c r="BJ247" s="77"/>
      <c r="BK247" s="77"/>
      <c r="BL247" s="77"/>
      <c r="BM247" s="77"/>
      <c r="BN247" s="77"/>
      <c r="BO247" s="77"/>
      <c r="BP247" s="77"/>
      <c r="BQ247" s="77"/>
      <c r="BY247" s="77"/>
      <c r="BZ247" s="77"/>
      <c r="CA247" s="77"/>
      <c r="CB247" s="77"/>
      <c r="CC247" s="77"/>
      <c r="CD247" s="77"/>
      <c r="CE247" s="77"/>
      <c r="CF247" s="77"/>
      <c r="CG247" s="77"/>
      <c r="CH247" s="77"/>
      <c r="CI247" s="77"/>
      <c r="CJ247" s="77"/>
      <c r="CK247" s="77"/>
      <c r="CL247" s="77"/>
      <c r="CM247" s="77"/>
      <c r="CN247" s="77"/>
      <c r="CO247" s="77"/>
      <c r="CP247" s="77"/>
      <c r="CQ247" s="77"/>
      <c r="CR247" s="77"/>
      <c r="CS247" s="77"/>
      <c r="CT247" s="77"/>
      <c r="CU247" s="77"/>
      <c r="CV247" s="77"/>
      <c r="CW247" s="77"/>
      <c r="CX247" s="77"/>
      <c r="CY247" s="77"/>
      <c r="CZ247" s="77"/>
      <c r="DA247" s="77"/>
      <c r="DB247" s="77"/>
      <c r="DC247" s="77"/>
      <c r="DD247" s="77"/>
      <c r="DE247" s="77"/>
      <c r="DF247" s="77"/>
      <c r="DG247" s="77"/>
      <c r="DH247" s="77"/>
      <c r="DJ247" s="1032"/>
      <c r="DK247" s="1032"/>
      <c r="DL247" s="1032"/>
      <c r="DM247" s="1032"/>
      <c r="DN247" s="1032"/>
      <c r="DO247" s="1032"/>
      <c r="DP247" s="1032"/>
      <c r="DQ247" s="1032"/>
      <c r="DR247" s="1032"/>
      <c r="DS247" s="1032"/>
      <c r="DT247" s="1032"/>
      <c r="DU247" s="1032"/>
      <c r="GF247" s="1032"/>
      <c r="GG247" s="1032"/>
      <c r="GH247" s="1032"/>
      <c r="GI247" s="1032"/>
      <c r="GJ247" s="1032"/>
      <c r="GK247" s="1032"/>
      <c r="GL247" s="1032"/>
      <c r="GM247" s="1032"/>
      <c r="GN247" s="1032"/>
      <c r="GO247" s="1032"/>
      <c r="IP247" s="1032"/>
      <c r="IQ247" s="1032"/>
      <c r="IR247" s="1032"/>
      <c r="IS247" s="1032"/>
      <c r="IT247" s="1032"/>
      <c r="IU247" s="1032"/>
      <c r="IV247" s="1032"/>
      <c r="IX247" s="1032"/>
      <c r="IY247" s="1032"/>
      <c r="IZ247" s="1032"/>
      <c r="JA247" s="1032"/>
      <c r="JB247" s="1032"/>
      <c r="JC247" s="1032"/>
      <c r="JD247" s="1032"/>
      <c r="JR247" s="920"/>
      <c r="KB247" s="1032"/>
      <c r="KC247" s="1032"/>
      <c r="KD247" s="1032"/>
      <c r="KE247" s="1032"/>
      <c r="KF247" s="1032"/>
      <c r="KG247" s="1032"/>
      <c r="KH247" s="1032"/>
      <c r="KJ247" s="1032"/>
      <c r="KK247" s="1032"/>
      <c r="KL247" s="1032"/>
      <c r="KM247" s="1032"/>
      <c r="KN247" s="1032"/>
      <c r="KO247" s="1032"/>
      <c r="KP247" s="1032"/>
      <c r="KR247" s="1032"/>
      <c r="KS247" s="1032"/>
      <c r="KT247" s="1032"/>
      <c r="KU247" s="1032"/>
      <c r="KV247" s="1032"/>
      <c r="KW247" s="1032"/>
      <c r="KX247" s="1032"/>
      <c r="KY247" s="1032"/>
      <c r="KZ247" s="1032"/>
    </row>
    <row r="248" spans="1:312">
      <c r="A248" s="917" t="s">
        <v>618</v>
      </c>
      <c r="C248" s="1026" t="s">
        <v>787</v>
      </c>
      <c r="D248" s="31"/>
      <c r="E248" s="1027"/>
      <c r="F248" s="1027"/>
      <c r="G248" s="1027"/>
      <c r="H248" s="1027"/>
      <c r="I248" s="1027"/>
      <c r="J248" s="1027"/>
      <c r="K248" s="1027"/>
      <c r="L248" s="1027"/>
      <c r="M248" s="1027"/>
      <c r="N248" s="1027"/>
      <c r="O248" s="1027"/>
      <c r="P248" s="1027"/>
      <c r="Q248" s="1027"/>
      <c r="R248" s="1027"/>
      <c r="S248" s="1027"/>
      <c r="T248" s="1027"/>
      <c r="U248" s="1027"/>
      <c r="V248" s="1027"/>
      <c r="W248" s="1027"/>
      <c r="X248" s="1027"/>
      <c r="Y248" s="1027"/>
      <c r="Z248" s="1027"/>
      <c r="AA248" s="1027"/>
      <c r="AB248" s="1027"/>
      <c r="AC248" s="1027"/>
      <c r="AD248" s="1027"/>
      <c r="AE248" s="1027"/>
      <c r="AF248" s="1027"/>
      <c r="AG248" s="1027"/>
      <c r="AH248" s="1027"/>
      <c r="AI248" s="1027"/>
      <c r="AJ248" s="1027"/>
      <c r="AK248" s="1027"/>
      <c r="AL248" s="1027"/>
      <c r="AM248" s="1027"/>
      <c r="AN248" s="1027"/>
      <c r="AO248" s="186"/>
      <c r="AP248" s="186"/>
      <c r="AQ248" s="1040"/>
      <c r="AR248" s="1040"/>
      <c r="AS248" s="941"/>
      <c r="AT248" s="941"/>
      <c r="AU248" s="186"/>
      <c r="AV248" s="186"/>
      <c r="AW248" s="1041"/>
      <c r="AX248" s="1041"/>
      <c r="AY248" s="1041"/>
      <c r="AZ248" s="1041"/>
      <c r="BA248" s="1041"/>
      <c r="BB248" s="1041"/>
      <c r="BC248" s="1041"/>
      <c r="BD248" s="1041"/>
      <c r="BE248" s="186"/>
      <c r="BF248" s="186"/>
      <c r="BG248" s="186"/>
      <c r="BH248" s="186"/>
      <c r="BI248" s="186"/>
      <c r="BJ248" s="186"/>
      <c r="BK248" s="186"/>
      <c r="BL248" s="186"/>
      <c r="BM248" s="1041"/>
      <c r="BN248" s="1041"/>
      <c r="BO248" s="1041"/>
      <c r="BP248" s="1041"/>
      <c r="BQ248" s="186"/>
      <c r="BR248" s="186"/>
      <c r="BS248" s="186"/>
      <c r="BT248" s="186"/>
      <c r="BU248" s="186"/>
      <c r="BV248" s="186"/>
      <c r="BW248" s="186"/>
      <c r="BX248" s="186"/>
      <c r="BY248" s="1041"/>
      <c r="BZ248" s="1041"/>
      <c r="CA248" s="1041"/>
      <c r="CB248" s="1041"/>
      <c r="CC248" s="1041"/>
      <c r="CD248" s="1041"/>
      <c r="CE248" s="1041"/>
      <c r="CF248" s="1041"/>
      <c r="CG248" s="1041"/>
      <c r="CH248" s="1041"/>
      <c r="CI248" s="1041"/>
      <c r="CJ248" s="1041"/>
      <c r="CK248" s="1041"/>
      <c r="CL248" s="1041"/>
      <c r="CM248" s="1041"/>
      <c r="CN248" s="1041"/>
      <c r="CO248" s="1041"/>
      <c r="CP248" s="1041"/>
      <c r="CQ248" s="1041"/>
      <c r="CR248" s="1041"/>
      <c r="CS248" s="1041"/>
      <c r="CT248" s="1041"/>
      <c r="CU248" s="1041"/>
      <c r="CV248" s="1041"/>
      <c r="CW248" s="1041"/>
      <c r="CX248" s="1041"/>
      <c r="CY248" s="1041"/>
      <c r="CZ248" s="1041"/>
      <c r="DA248" s="1041"/>
      <c r="DB248" s="1041"/>
      <c r="DC248" s="78"/>
      <c r="DD248" s="78"/>
      <c r="DE248" s="78"/>
      <c r="DF248" s="78"/>
      <c r="DG248" s="78"/>
      <c r="DH248" s="78"/>
      <c r="DJ248" s="1042"/>
      <c r="DK248" s="1042"/>
      <c r="DL248" s="1042"/>
      <c r="DM248" s="1042"/>
      <c r="DN248" s="1042"/>
      <c r="DO248" s="1042"/>
      <c r="DP248" s="1042"/>
      <c r="DQ248" s="1042"/>
      <c r="DR248" s="1042"/>
      <c r="DS248" s="1042"/>
      <c r="DT248" s="1042"/>
      <c r="DU248" s="1042"/>
      <c r="GF248" s="1042"/>
      <c r="GG248" s="1042"/>
      <c r="GH248" s="1042"/>
      <c r="GI248" s="1042"/>
      <c r="GJ248" s="1042"/>
      <c r="GK248" s="1042"/>
      <c r="GL248" s="1042"/>
      <c r="GM248" s="1042"/>
      <c r="GN248" s="1042"/>
      <c r="GO248" s="1042"/>
      <c r="HU248" s="186"/>
      <c r="HV248" s="186"/>
      <c r="HW248" s="186"/>
      <c r="HX248" s="186"/>
      <c r="HY248" s="186"/>
      <c r="HZ248" s="186"/>
      <c r="IA248" s="186"/>
      <c r="IB248" s="186"/>
      <c r="IC248" s="186"/>
      <c r="ID248" s="186"/>
      <c r="IE248" s="186"/>
      <c r="IP248" s="1042"/>
      <c r="IQ248" s="1042"/>
      <c r="IR248" s="1042"/>
      <c r="IS248" s="1042"/>
      <c r="IT248" s="1042"/>
      <c r="IU248" s="1042"/>
      <c r="IV248" s="1042"/>
      <c r="IX248" s="1042"/>
      <c r="IY248" s="1042"/>
      <c r="IZ248" s="1042"/>
      <c r="JA248" s="1042"/>
      <c r="JB248" s="1042"/>
      <c r="JC248" s="1042"/>
      <c r="JD248" s="1042"/>
      <c r="JO248" s="186"/>
      <c r="JP248" s="186"/>
      <c r="JQ248" s="186"/>
      <c r="JR248" s="1043"/>
      <c r="JS248" s="186"/>
      <c r="JT248" s="186"/>
      <c r="JU248" s="186"/>
      <c r="JV248" s="186"/>
      <c r="JW248" s="186"/>
      <c r="JX248" s="186"/>
      <c r="JY248" s="186"/>
      <c r="KB248" s="1042"/>
      <c r="KC248" s="1042"/>
      <c r="KD248" s="1042"/>
      <c r="KE248" s="1042"/>
      <c r="KF248" s="1042"/>
      <c r="KG248" s="1042"/>
      <c r="KH248" s="1042"/>
      <c r="KJ248" s="1042"/>
      <c r="KK248" s="1042"/>
      <c r="KL248" s="1042"/>
      <c r="KM248" s="1042"/>
      <c r="KN248" s="1042"/>
      <c r="KO248" s="1042"/>
      <c r="KP248" s="1042"/>
      <c r="KR248" s="1042"/>
      <c r="KS248" s="1042"/>
      <c r="KT248" s="1042"/>
      <c r="KU248" s="1042"/>
      <c r="KV248" s="1042"/>
      <c r="KW248" s="1042"/>
      <c r="KX248" s="1042"/>
      <c r="KY248" s="1042"/>
      <c r="KZ248" s="1042"/>
    </row>
    <row r="249" spans="1:312" ht="15" thickBot="1">
      <c r="A249" s="884">
        <v>110510</v>
      </c>
      <c r="C249" s="1028" t="s">
        <v>788</v>
      </c>
      <c r="D249" s="31"/>
      <c r="E249" s="1011"/>
      <c r="F249" s="1011"/>
      <c r="G249" s="1011"/>
      <c r="H249" s="1011"/>
      <c r="I249" s="1011"/>
      <c r="J249" s="1011"/>
      <c r="K249" s="1011"/>
      <c r="L249" s="1011"/>
      <c r="M249" s="1011"/>
      <c r="N249" s="1011"/>
      <c r="O249" s="1011"/>
      <c r="P249" s="1011"/>
      <c r="Q249" s="1011"/>
      <c r="R249" s="1011"/>
      <c r="S249" s="1011"/>
      <c r="T249" s="1011"/>
      <c r="U249" s="1011"/>
      <c r="V249" s="1011"/>
      <c r="W249" s="1011"/>
      <c r="X249" s="1011"/>
      <c r="Y249" s="1011"/>
      <c r="Z249" s="1011"/>
      <c r="AA249" s="1011"/>
      <c r="AB249" s="1011"/>
      <c r="AC249" s="1011"/>
      <c r="AD249" s="1011"/>
      <c r="AE249" s="1011"/>
      <c r="AF249" s="1011"/>
      <c r="AG249" s="1011"/>
      <c r="AH249" s="1011"/>
      <c r="AI249" s="1011"/>
      <c r="AJ249" s="1011"/>
      <c r="AK249" s="1011"/>
      <c r="AL249" s="1011"/>
      <c r="AM249" s="1011"/>
      <c r="AN249" s="1011"/>
      <c r="AO249" s="17">
        <v>5.5</v>
      </c>
      <c r="AP249" s="17">
        <v>5.1544420000000004</v>
      </c>
      <c r="AQ249" s="1010">
        <v>5.1544420000000004</v>
      </c>
      <c r="AR249" s="1010">
        <v>4.8141319999999999</v>
      </c>
      <c r="AS249" s="940">
        <v>4.8141319999999999</v>
      </c>
      <c r="AT249" s="940">
        <v>4.8141319999999999</v>
      </c>
      <c r="AU249" s="17">
        <v>3.014132</v>
      </c>
      <c r="AV249" s="17">
        <v>0.94372723999999997</v>
      </c>
      <c r="AW249" s="17">
        <v>1.02364199</v>
      </c>
      <c r="AX249" s="17">
        <v>0.53962821999999999</v>
      </c>
      <c r="AY249" s="17">
        <v>1.7397629999999999</v>
      </c>
      <c r="AZ249" s="17">
        <v>2</v>
      </c>
      <c r="BA249" s="873">
        <v>0</v>
      </c>
      <c r="BB249" s="873">
        <v>0</v>
      </c>
      <c r="BC249" s="873">
        <v>0</v>
      </c>
      <c r="BD249" s="873">
        <v>0</v>
      </c>
      <c r="BE249" s="920">
        <v>0</v>
      </c>
      <c r="BF249" s="920">
        <v>0</v>
      </c>
      <c r="BG249" s="920">
        <v>0</v>
      </c>
      <c r="BH249" s="963">
        <v>0</v>
      </c>
      <c r="BI249" s="963">
        <v>0</v>
      </c>
      <c r="BJ249" s="963">
        <v>0</v>
      </c>
      <c r="BK249" s="920">
        <v>0</v>
      </c>
      <c r="BL249" s="963">
        <v>0</v>
      </c>
      <c r="BM249" s="873">
        <v>0</v>
      </c>
      <c r="BN249" s="873">
        <v>0</v>
      </c>
      <c r="BO249" s="873">
        <v>0</v>
      </c>
      <c r="BP249" s="873">
        <v>0</v>
      </c>
      <c r="BQ249" s="873">
        <v>0</v>
      </c>
      <c r="BR249" s="920">
        <v>0</v>
      </c>
      <c r="BS249" s="920">
        <v>0</v>
      </c>
      <c r="BT249" s="963">
        <v>0</v>
      </c>
      <c r="BU249" s="963">
        <v>0</v>
      </c>
      <c r="BV249" s="963">
        <v>0</v>
      </c>
      <c r="BW249" s="920">
        <v>0</v>
      </c>
      <c r="BX249" s="920">
        <v>1</v>
      </c>
      <c r="BY249" s="873">
        <v>1</v>
      </c>
      <c r="BZ249" s="873">
        <v>1</v>
      </c>
      <c r="CA249" s="873">
        <v>1</v>
      </c>
      <c r="CB249" s="873">
        <v>1</v>
      </c>
      <c r="CC249" s="873">
        <v>1</v>
      </c>
      <c r="CD249" s="873">
        <v>1</v>
      </c>
      <c r="CE249" s="873">
        <v>1</v>
      </c>
      <c r="CF249" s="873">
        <v>1</v>
      </c>
      <c r="CG249" s="873">
        <v>1</v>
      </c>
      <c r="CH249" s="873">
        <v>1.6037383000000001</v>
      </c>
      <c r="CI249" s="873">
        <v>1.6037383000000001</v>
      </c>
      <c r="CJ249" s="873">
        <v>1.6037383000000001</v>
      </c>
      <c r="CK249" s="873">
        <v>1.6037383000000001</v>
      </c>
      <c r="CL249" s="873">
        <v>1.6037383000000001</v>
      </c>
      <c r="CM249" s="873">
        <v>1.6037383000000001</v>
      </c>
      <c r="CN249" s="873">
        <v>1.6037383000000001</v>
      </c>
      <c r="CO249" s="873">
        <v>1.6037383000000001</v>
      </c>
      <c r="CP249" s="873">
        <v>1.6037383000000001</v>
      </c>
      <c r="CQ249" s="873">
        <v>1.6037383000000001</v>
      </c>
      <c r="CR249" s="873">
        <v>1.6037383000000001</v>
      </c>
      <c r="CS249" s="873">
        <v>1.6037383000000001</v>
      </c>
      <c r="CT249" s="873">
        <v>1.6037383000000001</v>
      </c>
      <c r="CU249" s="873">
        <v>1.6037383000000001</v>
      </c>
      <c r="CV249" s="873">
        <v>1.6037383000000001</v>
      </c>
      <c r="CW249" s="873">
        <v>1.6037383000000001</v>
      </c>
      <c r="CX249" s="873">
        <v>1.6037383000000001</v>
      </c>
      <c r="CY249" s="873">
        <v>1.6037383000000001</v>
      </c>
      <c r="CZ249" s="873">
        <v>1.6037383000000001</v>
      </c>
      <c r="DA249" s="873">
        <v>1.6037383000000001</v>
      </c>
      <c r="DB249" s="873">
        <v>1.6037383000000001</v>
      </c>
      <c r="DC249" s="873"/>
      <c r="DD249" s="873"/>
      <c r="DE249" s="873"/>
      <c r="DF249" s="873"/>
      <c r="DG249" s="873"/>
      <c r="DH249" s="873"/>
      <c r="DJ249" s="1032"/>
      <c r="DK249" s="1032"/>
      <c r="DL249" s="1032"/>
      <c r="DM249" s="1032"/>
      <c r="DN249" s="1032"/>
      <c r="DO249" s="1032"/>
      <c r="DP249" s="1032"/>
      <c r="DQ249" s="1032"/>
      <c r="DR249" s="1032"/>
      <c r="DS249" s="1032"/>
      <c r="DT249" s="1032"/>
      <c r="DU249" s="1032"/>
      <c r="GF249" s="1032"/>
      <c r="GG249" s="1032"/>
      <c r="GH249" s="1032"/>
      <c r="GI249" s="1032"/>
      <c r="GJ249" s="1032"/>
      <c r="GK249" s="1032"/>
      <c r="GL249" s="1032"/>
      <c r="GM249" s="1032"/>
      <c r="GN249" s="1032"/>
      <c r="GO249" s="1032"/>
      <c r="HU249" s="1039"/>
      <c r="HV249" s="1039"/>
      <c r="HW249" s="1039"/>
      <c r="HX249" s="1039"/>
      <c r="HY249" s="1039"/>
      <c r="HZ249" s="1039"/>
      <c r="IA249" s="1039"/>
      <c r="IB249" s="1039"/>
      <c r="IC249" s="1039"/>
      <c r="ID249" s="1039"/>
      <c r="IE249" s="1039"/>
      <c r="IP249" s="1032"/>
      <c r="IQ249" s="1032"/>
      <c r="IR249" s="1032"/>
      <c r="IS249" s="1032"/>
      <c r="IT249" s="1032"/>
      <c r="IU249" s="1032"/>
      <c r="IV249" s="1032"/>
      <c r="IX249" s="1032"/>
      <c r="IY249" s="1032"/>
      <c r="IZ249" s="1032"/>
      <c r="JA249" s="1032"/>
      <c r="JB249" s="1032"/>
      <c r="JC249" s="1032"/>
      <c r="JD249" s="1032"/>
      <c r="JO249" s="17" t="e">
        <f>#VALUE!</f>
        <v>#VALUE!</v>
      </c>
      <c r="JP249" s="17" t="e">
        <f>#VALUE!</f>
        <v>#VALUE!</v>
      </c>
      <c r="JQ249" s="17" t="e">
        <f>#VALUE!</f>
        <v>#VALUE!</v>
      </c>
      <c r="JR249" s="963" t="e">
        <f>#VALUE!</f>
        <v>#VALUE!</v>
      </c>
      <c r="JS249" s="17" t="e">
        <f>#VALUE!</f>
        <v>#VALUE!</v>
      </c>
      <c r="JW249" s="17" t="e">
        <f>#VALUE!</f>
        <v>#VALUE!</v>
      </c>
      <c r="JX249" s="17" t="e">
        <f>#VALUE!</f>
        <v>#VALUE!</v>
      </c>
      <c r="JY249" s="17" t="e">
        <f>#VALUE!</f>
        <v>#VALUE!</v>
      </c>
      <c r="KB249" s="1032"/>
      <c r="KC249" s="1032"/>
      <c r="KD249" s="1032"/>
      <c r="KE249" s="1032"/>
      <c r="KF249" s="1032"/>
      <c r="KG249" s="1032"/>
      <c r="KH249" s="1032"/>
      <c r="KJ249" s="1032"/>
      <c r="KK249" s="1032"/>
      <c r="KL249" s="1032"/>
      <c r="KM249" s="1032"/>
      <c r="KN249" s="1032"/>
      <c r="KO249" s="1032"/>
      <c r="KP249" s="1032"/>
      <c r="KR249" s="1032"/>
      <c r="KS249" s="1032"/>
      <c r="KT249" s="1032"/>
      <c r="KU249" s="1032"/>
      <c r="KV249" s="1032"/>
      <c r="KW249" s="1032"/>
      <c r="KX249" s="1032"/>
      <c r="KY249" s="1032"/>
      <c r="KZ249" s="1032"/>
    </row>
    <row r="250" spans="1:312" ht="15" thickTop="1">
      <c r="A250" s="884">
        <v>11100501</v>
      </c>
      <c r="C250" s="1028" t="s">
        <v>789</v>
      </c>
      <c r="D250" s="31"/>
      <c r="E250" s="1011"/>
      <c r="F250" s="1011"/>
      <c r="G250" s="1011"/>
      <c r="H250" s="1011"/>
      <c r="I250" s="1011"/>
      <c r="J250" s="1011"/>
      <c r="K250" s="1011"/>
      <c r="L250" s="1011"/>
      <c r="M250" s="1011"/>
      <c r="N250" s="1011"/>
      <c r="O250" s="1011"/>
      <c r="P250" s="1011"/>
      <c r="Q250" s="1011"/>
      <c r="R250" s="1011"/>
      <c r="S250" s="1011"/>
      <c r="T250" s="1011"/>
      <c r="U250" s="1011"/>
      <c r="V250" s="1011"/>
      <c r="W250" s="1011"/>
      <c r="X250" s="1011"/>
      <c r="Y250" s="1011"/>
      <c r="Z250" s="1011"/>
      <c r="AA250" s="1011"/>
      <c r="AB250" s="1011"/>
      <c r="AC250" s="1011"/>
      <c r="AD250" s="1011"/>
      <c r="AE250" s="1011"/>
      <c r="AF250" s="1011"/>
      <c r="AG250" s="1011"/>
      <c r="AH250" s="1011"/>
      <c r="AI250" s="1011"/>
      <c r="AJ250" s="1011"/>
      <c r="AK250" s="1011"/>
      <c r="AL250" s="1011"/>
      <c r="AM250" s="1011"/>
      <c r="AN250" s="1011"/>
      <c r="AO250" s="873">
        <v>234.65547018999999</v>
      </c>
      <c r="AP250" s="920">
        <v>92.218388019999992</v>
      </c>
      <c r="AQ250" s="1010">
        <v>28.56495907</v>
      </c>
      <c r="AR250" s="1010">
        <v>457.47548286</v>
      </c>
      <c r="AS250" s="873">
        <v>98.705335650000009</v>
      </c>
      <c r="AT250" s="873">
        <v>1094.1560001300002</v>
      </c>
      <c r="AU250" s="873">
        <v>24.934481219999999</v>
      </c>
      <c r="AV250" s="873">
        <v>61.686400689999999</v>
      </c>
      <c r="AW250" s="873">
        <v>37.532158750000001</v>
      </c>
      <c r="AX250" s="873">
        <v>218.29514543000002</v>
      </c>
      <c r="AY250" s="873">
        <v>30.24334026</v>
      </c>
      <c r="AZ250" s="873">
        <v>1186.4217993499999</v>
      </c>
      <c r="BA250" s="873">
        <v>0</v>
      </c>
      <c r="BB250" s="873">
        <v>0</v>
      </c>
      <c r="BC250" s="873">
        <v>0</v>
      </c>
      <c r="BD250" s="873">
        <v>0</v>
      </c>
      <c r="BE250" s="920">
        <v>0</v>
      </c>
      <c r="BF250" s="920">
        <v>0</v>
      </c>
      <c r="BG250" s="920">
        <v>0</v>
      </c>
      <c r="BH250" s="920">
        <v>0</v>
      </c>
      <c r="BI250" s="920">
        <v>215.18263019</v>
      </c>
      <c r="BJ250" s="920">
        <v>-1.4655138700000001</v>
      </c>
      <c r="BK250" s="920">
        <v>0</v>
      </c>
      <c r="BL250" s="920">
        <v>0</v>
      </c>
      <c r="BM250" s="873">
        <v>0</v>
      </c>
      <c r="BN250" s="873">
        <v>0</v>
      </c>
      <c r="BO250" s="873">
        <v>0</v>
      </c>
      <c r="BP250" s="873">
        <v>0</v>
      </c>
      <c r="BQ250" s="873">
        <v>0</v>
      </c>
      <c r="BR250" s="920">
        <v>0</v>
      </c>
      <c r="BS250" s="920">
        <v>0</v>
      </c>
      <c r="BT250" s="920">
        <v>0</v>
      </c>
      <c r="BU250" s="920">
        <v>0</v>
      </c>
      <c r="BV250" s="920">
        <v>0</v>
      </c>
      <c r="BW250" s="920">
        <v>0</v>
      </c>
      <c r="BX250" s="920">
        <v>0</v>
      </c>
      <c r="BY250" s="873">
        <v>0</v>
      </c>
      <c r="BZ250" s="873">
        <v>0</v>
      </c>
      <c r="CA250" s="873">
        <v>0</v>
      </c>
      <c r="CB250" s="873">
        <v>0</v>
      </c>
      <c r="CC250" s="873">
        <v>0</v>
      </c>
      <c r="CD250" s="873">
        <v>0</v>
      </c>
      <c r="CE250" s="873">
        <v>0</v>
      </c>
      <c r="CF250" s="873">
        <v>0</v>
      </c>
      <c r="CG250" s="873">
        <v>0</v>
      </c>
      <c r="CH250" s="873">
        <v>0</v>
      </c>
      <c r="CI250" s="873">
        <v>0</v>
      </c>
      <c r="CJ250" s="873">
        <v>0</v>
      </c>
      <c r="CK250" s="873">
        <v>0</v>
      </c>
      <c r="CL250" s="873">
        <v>0</v>
      </c>
      <c r="CM250" s="873">
        <v>0</v>
      </c>
      <c r="CN250" s="873">
        <v>0</v>
      </c>
      <c r="CO250" s="873">
        <v>0</v>
      </c>
      <c r="CP250" s="873">
        <v>0</v>
      </c>
      <c r="CQ250" s="873">
        <v>0</v>
      </c>
      <c r="CR250" s="873">
        <v>0</v>
      </c>
      <c r="CS250" s="873">
        <v>0</v>
      </c>
      <c r="CT250" s="873">
        <v>0</v>
      </c>
      <c r="CU250" s="873">
        <v>0</v>
      </c>
      <c r="CV250" s="873">
        <v>0</v>
      </c>
      <c r="CW250" s="873">
        <v>0</v>
      </c>
      <c r="CX250" s="873">
        <v>0</v>
      </c>
      <c r="CY250" s="873">
        <v>0</v>
      </c>
      <c r="CZ250" s="873">
        <v>0</v>
      </c>
      <c r="DA250" s="873">
        <v>0</v>
      </c>
      <c r="DB250" s="873">
        <v>0</v>
      </c>
      <c r="DC250" s="873"/>
      <c r="DD250" s="873"/>
      <c r="DE250" s="873"/>
      <c r="DF250" s="873"/>
      <c r="DG250" s="873"/>
      <c r="DH250" s="873"/>
      <c r="DJ250" s="1013"/>
      <c r="DK250" s="1013"/>
      <c r="DL250" s="1013"/>
      <c r="DM250" s="1013"/>
      <c r="DN250" s="1013"/>
      <c r="DO250" s="1013"/>
      <c r="DP250" s="1013"/>
      <c r="DQ250" s="1013"/>
      <c r="DR250" s="1013"/>
      <c r="DS250" s="1013"/>
      <c r="DT250" s="1013"/>
      <c r="DU250" s="1013"/>
      <c r="GF250" s="1013"/>
      <c r="GG250" s="1013"/>
      <c r="GH250" s="1013"/>
      <c r="GI250" s="1013"/>
      <c r="GJ250" s="1013"/>
      <c r="GK250" s="1013"/>
      <c r="GL250" s="1013"/>
      <c r="GM250" s="1013"/>
      <c r="GN250" s="1013"/>
      <c r="GO250" s="1013"/>
      <c r="HU250" s="920"/>
      <c r="HV250" s="920"/>
      <c r="HW250" s="920"/>
      <c r="HX250" s="920"/>
      <c r="HY250" s="920"/>
      <c r="HZ250" s="920"/>
      <c r="IA250" s="920"/>
      <c r="IB250" s="920"/>
      <c r="IC250" s="920"/>
      <c r="ID250" s="920"/>
      <c r="IE250" s="920"/>
      <c r="IP250" s="1013"/>
      <c r="IQ250" s="1013"/>
      <c r="IR250" s="1013"/>
      <c r="IS250" s="1013"/>
      <c r="IT250" s="1013"/>
      <c r="IU250" s="1013"/>
      <c r="IV250" s="1013"/>
      <c r="IX250" s="1013"/>
      <c r="IY250" s="1013"/>
      <c r="IZ250" s="1013"/>
      <c r="JA250" s="1013"/>
      <c r="JB250" s="1013"/>
      <c r="JC250" s="1013"/>
      <c r="JD250" s="1013"/>
      <c r="JO250" s="920" t="e">
        <f>#VALUE!</f>
        <v>#VALUE!</v>
      </c>
      <c r="JP250" s="920" t="e">
        <f>#VALUE!</f>
        <v>#VALUE!</v>
      </c>
      <c r="JQ250" s="920" t="e">
        <f>#VALUE!</f>
        <v>#VALUE!</v>
      </c>
      <c r="JR250" s="920" t="e">
        <f>#VALUE!</f>
        <v>#VALUE!</v>
      </c>
      <c r="JS250" s="920" t="e">
        <f>#VALUE!</f>
        <v>#VALUE!</v>
      </c>
      <c r="JT250" s="920"/>
      <c r="JU250" s="920"/>
      <c r="JV250" s="920"/>
      <c r="JW250" s="920" t="e">
        <f>#VALUE!</f>
        <v>#VALUE!</v>
      </c>
      <c r="JX250" s="920" t="e">
        <f>#VALUE!</f>
        <v>#VALUE!</v>
      </c>
      <c r="JY250" s="920" t="e">
        <f>#VALUE!</f>
        <v>#VALUE!</v>
      </c>
      <c r="KB250" s="1013"/>
      <c r="KC250" s="1013"/>
      <c r="KD250" s="1013"/>
      <c r="KE250" s="1013"/>
      <c r="KF250" s="1013"/>
      <c r="KG250" s="1013"/>
      <c r="KH250" s="1013"/>
      <c r="KJ250" s="1013"/>
      <c r="KK250" s="1013"/>
      <c r="KL250" s="1013"/>
      <c r="KM250" s="1013"/>
      <c r="KN250" s="1013"/>
      <c r="KO250" s="1013"/>
      <c r="KP250" s="1013"/>
      <c r="KR250" s="1013"/>
      <c r="KS250" s="1013"/>
      <c r="KT250" s="1013"/>
      <c r="KU250" s="1013"/>
      <c r="KV250" s="1013"/>
      <c r="KW250" s="1013"/>
      <c r="KX250" s="1013"/>
      <c r="KY250" s="1013"/>
      <c r="KZ250" s="1013"/>
    </row>
    <row r="251" spans="1:312">
      <c r="A251" s="884">
        <v>11100502</v>
      </c>
      <c r="C251" s="1028" t="s">
        <v>790</v>
      </c>
      <c r="D251" s="31"/>
      <c r="E251" s="1011"/>
      <c r="F251" s="1011"/>
      <c r="G251" s="1011"/>
      <c r="H251" s="1011"/>
      <c r="I251" s="1011"/>
      <c r="J251" s="1011"/>
      <c r="K251" s="1011"/>
      <c r="L251" s="1011"/>
      <c r="M251" s="1011"/>
      <c r="N251" s="1011"/>
      <c r="O251" s="1011"/>
      <c r="P251" s="1011"/>
      <c r="Q251" s="1011"/>
      <c r="R251" s="1011"/>
      <c r="S251" s="1011"/>
      <c r="T251" s="1011"/>
      <c r="U251" s="1011"/>
      <c r="V251" s="1011"/>
      <c r="W251" s="1011"/>
      <c r="X251" s="1011"/>
      <c r="Y251" s="1011"/>
      <c r="Z251" s="1011"/>
      <c r="AA251" s="1011"/>
      <c r="AB251" s="1011"/>
      <c r="AC251" s="1011"/>
      <c r="AD251" s="1011"/>
      <c r="AE251" s="1011"/>
      <c r="AF251" s="1011"/>
      <c r="AG251" s="1011"/>
      <c r="AH251" s="1011"/>
      <c r="AI251" s="1011"/>
      <c r="AJ251" s="1011"/>
      <c r="AK251" s="1011"/>
      <c r="AL251" s="1011"/>
      <c r="AM251" s="1011"/>
      <c r="AN251" s="1011"/>
      <c r="AO251" s="873">
        <v>11.383330390000001</v>
      </c>
      <c r="AP251" s="920">
        <v>0.37933039000000002</v>
      </c>
      <c r="AQ251" s="1010">
        <v>62.226110429999999</v>
      </c>
      <c r="AR251" s="1010">
        <v>2.0956511999999998</v>
      </c>
      <c r="AS251" s="873">
        <v>9.9148005999999995</v>
      </c>
      <c r="AT251" s="873">
        <v>1.4225820600000001</v>
      </c>
      <c r="AU251" s="873">
        <v>0.34974279999999996</v>
      </c>
      <c r="AV251" s="873">
        <v>45.602188509999998</v>
      </c>
      <c r="AW251" s="873">
        <v>3.0739276600000003</v>
      </c>
      <c r="AX251" s="873">
        <v>0.84147421999999994</v>
      </c>
      <c r="AY251" s="873">
        <v>1.8120396999999999</v>
      </c>
      <c r="AZ251" s="873">
        <v>1.4104397</v>
      </c>
      <c r="BA251" s="873">
        <v>0</v>
      </c>
      <c r="BB251" s="873">
        <v>0</v>
      </c>
      <c r="BC251" s="873">
        <v>0</v>
      </c>
      <c r="BD251" s="873">
        <v>0</v>
      </c>
      <c r="BE251" s="920">
        <v>0</v>
      </c>
      <c r="BF251" s="920">
        <v>0</v>
      </c>
      <c r="BG251" s="920">
        <v>0</v>
      </c>
      <c r="BH251" s="920">
        <v>0</v>
      </c>
      <c r="BI251" s="920">
        <v>0</v>
      </c>
      <c r="BJ251" s="920">
        <v>0</v>
      </c>
      <c r="BK251" s="920">
        <v>0</v>
      </c>
      <c r="BL251" s="920">
        <v>0</v>
      </c>
      <c r="BM251" s="873">
        <v>0</v>
      </c>
      <c r="BN251" s="873">
        <v>0</v>
      </c>
      <c r="BO251" s="873">
        <v>0</v>
      </c>
      <c r="BP251" s="873">
        <v>0</v>
      </c>
      <c r="BQ251" s="873">
        <v>0</v>
      </c>
      <c r="BR251" s="920">
        <v>0</v>
      </c>
      <c r="BS251" s="920">
        <v>0</v>
      </c>
      <c r="BT251" s="920">
        <v>0</v>
      </c>
      <c r="BU251" s="920">
        <v>0</v>
      </c>
      <c r="BV251" s="920">
        <v>0</v>
      </c>
      <c r="BW251" s="920">
        <v>0</v>
      </c>
      <c r="BX251" s="920">
        <v>0</v>
      </c>
      <c r="BY251" s="873">
        <v>0</v>
      </c>
      <c r="BZ251" s="873">
        <v>0</v>
      </c>
      <c r="CA251" s="873">
        <v>0</v>
      </c>
      <c r="CB251" s="873">
        <v>0</v>
      </c>
      <c r="CC251" s="873">
        <v>0</v>
      </c>
      <c r="CD251" s="873">
        <v>0</v>
      </c>
      <c r="CE251" s="873">
        <v>0</v>
      </c>
      <c r="CF251" s="873">
        <v>0</v>
      </c>
      <c r="CG251" s="873">
        <v>0</v>
      </c>
      <c r="CH251" s="873">
        <v>0</v>
      </c>
      <c r="CI251" s="873">
        <v>0</v>
      </c>
      <c r="CJ251" s="873">
        <v>0</v>
      </c>
      <c r="CK251" s="873">
        <v>0</v>
      </c>
      <c r="CL251" s="873">
        <v>0</v>
      </c>
      <c r="CM251" s="873">
        <v>0</v>
      </c>
      <c r="CN251" s="873">
        <v>0</v>
      </c>
      <c r="CO251" s="873">
        <v>0</v>
      </c>
      <c r="CP251" s="873">
        <v>0</v>
      </c>
      <c r="CQ251" s="873">
        <v>0</v>
      </c>
      <c r="CR251" s="873">
        <v>0</v>
      </c>
      <c r="CS251" s="873">
        <v>0</v>
      </c>
      <c r="CT251" s="873">
        <v>0</v>
      </c>
      <c r="CU251" s="873">
        <v>0</v>
      </c>
      <c r="CV251" s="873">
        <v>0</v>
      </c>
      <c r="CW251" s="873">
        <v>0</v>
      </c>
      <c r="CX251" s="873">
        <v>0</v>
      </c>
      <c r="CY251" s="873">
        <v>0</v>
      </c>
      <c r="CZ251" s="873">
        <v>0</v>
      </c>
      <c r="DA251" s="873">
        <v>0</v>
      </c>
      <c r="DB251" s="873">
        <v>0</v>
      </c>
      <c r="DC251" s="873"/>
      <c r="DD251" s="873"/>
      <c r="DE251" s="873"/>
      <c r="DF251" s="873"/>
      <c r="DG251" s="873"/>
      <c r="DH251" s="873"/>
      <c r="DJ251" s="1013"/>
      <c r="DK251" s="1013"/>
      <c r="DL251" s="1013"/>
      <c r="DM251" s="1013"/>
      <c r="DN251" s="1013"/>
      <c r="DO251" s="1013"/>
      <c r="DP251" s="1013"/>
      <c r="DQ251" s="1013"/>
      <c r="DR251" s="1013"/>
      <c r="DS251" s="1013"/>
      <c r="DT251" s="1013"/>
      <c r="DU251" s="1013"/>
      <c r="GF251" s="1013"/>
      <c r="GG251" s="1013"/>
      <c r="GH251" s="1013"/>
      <c r="GI251" s="1013"/>
      <c r="GJ251" s="1013"/>
      <c r="GK251" s="1013"/>
      <c r="GL251" s="1013"/>
      <c r="GM251" s="1013"/>
      <c r="GN251" s="1013"/>
      <c r="GO251" s="1013"/>
      <c r="HU251" s="920"/>
      <c r="HV251" s="920"/>
      <c r="HW251" s="920"/>
      <c r="HX251" s="920"/>
      <c r="HY251" s="920"/>
      <c r="HZ251" s="920"/>
      <c r="IA251" s="920"/>
      <c r="IB251" s="920"/>
      <c r="IC251" s="920"/>
      <c r="ID251" s="920"/>
      <c r="IE251" s="920"/>
      <c r="IP251" s="1013"/>
      <c r="IQ251" s="1013"/>
      <c r="IR251" s="1013"/>
      <c r="IS251" s="1013"/>
      <c r="IT251" s="1013"/>
      <c r="IU251" s="1013"/>
      <c r="IV251" s="1013"/>
      <c r="IX251" s="1013"/>
      <c r="IY251" s="1013"/>
      <c r="IZ251" s="1013"/>
      <c r="JA251" s="1013"/>
      <c r="JB251" s="1013"/>
      <c r="JC251" s="1013"/>
      <c r="JD251" s="1013"/>
      <c r="JO251" s="920" t="e">
        <f>#VALUE!</f>
        <v>#VALUE!</v>
      </c>
      <c r="JP251" s="920" t="e">
        <f>#VALUE!</f>
        <v>#VALUE!</v>
      </c>
      <c r="JQ251" s="920" t="e">
        <f>#VALUE!</f>
        <v>#VALUE!</v>
      </c>
      <c r="JR251" s="920" t="e">
        <f>#VALUE!</f>
        <v>#VALUE!</v>
      </c>
      <c r="JS251" s="920" t="e">
        <f>#VALUE!</f>
        <v>#VALUE!</v>
      </c>
      <c r="JT251" s="920"/>
      <c r="JU251" s="920"/>
      <c r="JV251" s="920"/>
      <c r="JW251" s="920" t="e">
        <f>#VALUE!</f>
        <v>#VALUE!</v>
      </c>
      <c r="JX251" s="920" t="e">
        <f>#VALUE!</f>
        <v>#VALUE!</v>
      </c>
      <c r="JY251" s="920" t="e">
        <f>#VALUE!</f>
        <v>#VALUE!</v>
      </c>
      <c r="KB251" s="1013"/>
      <c r="KC251" s="1013"/>
      <c r="KD251" s="1013"/>
      <c r="KE251" s="1013"/>
      <c r="KF251" s="1013"/>
      <c r="KG251" s="1013"/>
      <c r="KH251" s="1013"/>
      <c r="KJ251" s="1013"/>
      <c r="KK251" s="1013"/>
      <c r="KL251" s="1013"/>
      <c r="KM251" s="1013"/>
      <c r="KN251" s="1013"/>
      <c r="KO251" s="1013"/>
      <c r="KP251" s="1013"/>
      <c r="KR251" s="1013"/>
      <c r="KS251" s="1013"/>
      <c r="KT251" s="1013"/>
      <c r="KU251" s="1013"/>
      <c r="KV251" s="1013"/>
      <c r="KW251" s="1013"/>
      <c r="KX251" s="1013"/>
      <c r="KY251" s="1013"/>
      <c r="KZ251" s="1013"/>
    </row>
    <row r="252" spans="1:312">
      <c r="A252" s="884">
        <v>11100503</v>
      </c>
      <c r="C252" s="1028" t="s">
        <v>791</v>
      </c>
      <c r="D252" s="31"/>
      <c r="E252" s="1011"/>
      <c r="F252" s="1011"/>
      <c r="G252" s="1011"/>
      <c r="H252" s="1011"/>
      <c r="I252" s="1011"/>
      <c r="J252" s="1011"/>
      <c r="K252" s="1011"/>
      <c r="L252" s="1011"/>
      <c r="M252" s="1011"/>
      <c r="N252" s="1011"/>
      <c r="O252" s="1011"/>
      <c r="P252" s="1011"/>
      <c r="Q252" s="1011"/>
      <c r="R252" s="1011"/>
      <c r="S252" s="1011"/>
      <c r="T252" s="1011"/>
      <c r="U252" s="1011"/>
      <c r="V252" s="1011"/>
      <c r="W252" s="1011"/>
      <c r="X252" s="1011"/>
      <c r="Y252" s="1011"/>
      <c r="Z252" s="1011"/>
      <c r="AA252" s="1011"/>
      <c r="AB252" s="1011"/>
      <c r="AC252" s="1011"/>
      <c r="AD252" s="1011"/>
      <c r="AE252" s="1011"/>
      <c r="AF252" s="1011"/>
      <c r="AG252" s="1011"/>
      <c r="AH252" s="1011"/>
      <c r="AI252" s="1011"/>
      <c r="AJ252" s="1011"/>
      <c r="AK252" s="1011"/>
      <c r="AL252" s="1011"/>
      <c r="AM252" s="1011"/>
      <c r="AN252" s="1011"/>
      <c r="AO252" s="873">
        <v>82.877509979999999</v>
      </c>
      <c r="AP252" s="920">
        <v>0.46384065999999996</v>
      </c>
      <c r="AQ252" s="1010">
        <v>0.37825966</v>
      </c>
      <c r="AR252" s="1010">
        <v>0.94747266000000008</v>
      </c>
      <c r="AS252" s="873">
        <v>46.131139659999995</v>
      </c>
      <c r="AT252" s="873">
        <v>30.639685660000001</v>
      </c>
      <c r="AU252" s="873">
        <v>4.1097435999999998</v>
      </c>
      <c r="AV252" s="873">
        <v>2.5618536000000001</v>
      </c>
      <c r="AW252" s="873">
        <v>4.5986965999999994</v>
      </c>
      <c r="AX252" s="873">
        <v>24.581145940000003</v>
      </c>
      <c r="AY252" s="873">
        <v>9.8044749399999986</v>
      </c>
      <c r="AZ252" s="873">
        <v>7.4761489400000007</v>
      </c>
      <c r="BA252" s="873">
        <v>0</v>
      </c>
      <c r="BB252" s="873">
        <v>0</v>
      </c>
      <c r="BC252" s="873">
        <v>0</v>
      </c>
      <c r="BD252" s="873">
        <v>0</v>
      </c>
      <c r="BE252" s="920">
        <v>0</v>
      </c>
      <c r="BF252" s="920">
        <v>0</v>
      </c>
      <c r="BG252" s="920">
        <v>0</v>
      </c>
      <c r="BH252" s="920">
        <v>0</v>
      </c>
      <c r="BI252" s="920">
        <v>-0.10026500000000001</v>
      </c>
      <c r="BJ252" s="920">
        <v>0</v>
      </c>
      <c r="BK252" s="920">
        <v>0</v>
      </c>
      <c r="BL252" s="920">
        <v>0</v>
      </c>
      <c r="BM252" s="873">
        <v>0</v>
      </c>
      <c r="BN252" s="873">
        <v>0</v>
      </c>
      <c r="BO252" s="873">
        <v>0</v>
      </c>
      <c r="BP252" s="873">
        <v>0</v>
      </c>
      <c r="BQ252" s="873">
        <v>0</v>
      </c>
      <c r="BR252" s="920">
        <v>0</v>
      </c>
      <c r="BS252" s="920">
        <v>0</v>
      </c>
      <c r="BT252" s="920">
        <v>0</v>
      </c>
      <c r="BU252" s="920">
        <v>0</v>
      </c>
      <c r="BV252" s="920">
        <v>0</v>
      </c>
      <c r="BW252" s="920">
        <v>0</v>
      </c>
      <c r="BX252" s="920">
        <v>0</v>
      </c>
      <c r="BY252" s="873">
        <v>0</v>
      </c>
      <c r="BZ252" s="873">
        <v>0</v>
      </c>
      <c r="CA252" s="873">
        <v>0</v>
      </c>
      <c r="CB252" s="873">
        <v>0</v>
      </c>
      <c r="CC252" s="873">
        <v>0</v>
      </c>
      <c r="CD252" s="873">
        <v>0</v>
      </c>
      <c r="CE252" s="873">
        <v>0</v>
      </c>
      <c r="CF252" s="873">
        <v>0</v>
      </c>
      <c r="CG252" s="873">
        <v>0</v>
      </c>
      <c r="CH252" s="873">
        <v>0</v>
      </c>
      <c r="CI252" s="873">
        <v>0</v>
      </c>
      <c r="CJ252" s="873">
        <v>0</v>
      </c>
      <c r="CK252" s="873">
        <v>0</v>
      </c>
      <c r="CL252" s="873">
        <v>0</v>
      </c>
      <c r="CM252" s="873">
        <v>0</v>
      </c>
      <c r="CN252" s="873">
        <v>0</v>
      </c>
      <c r="CO252" s="873">
        <v>0</v>
      </c>
      <c r="CP252" s="873">
        <v>0</v>
      </c>
      <c r="CQ252" s="873">
        <v>0</v>
      </c>
      <c r="CR252" s="873">
        <v>0</v>
      </c>
      <c r="CS252" s="873">
        <v>0</v>
      </c>
      <c r="CT252" s="873">
        <v>0</v>
      </c>
      <c r="CU252" s="873">
        <v>0</v>
      </c>
      <c r="CV252" s="873">
        <v>0</v>
      </c>
      <c r="CW252" s="873">
        <v>0</v>
      </c>
      <c r="CX252" s="873">
        <v>0</v>
      </c>
      <c r="CY252" s="873">
        <v>0</v>
      </c>
      <c r="CZ252" s="873">
        <v>0</v>
      </c>
      <c r="DA252" s="873">
        <v>0</v>
      </c>
      <c r="DB252" s="873">
        <v>0</v>
      </c>
      <c r="DC252" s="873"/>
      <c r="DD252" s="873"/>
      <c r="DE252" s="873"/>
      <c r="DF252" s="873"/>
      <c r="DG252" s="873"/>
      <c r="DH252" s="873"/>
      <c r="DJ252" s="1013"/>
      <c r="DK252" s="1013"/>
      <c r="DL252" s="1013"/>
      <c r="DM252" s="1013"/>
      <c r="DN252" s="1013"/>
      <c r="DO252" s="1013"/>
      <c r="DP252" s="1013"/>
      <c r="DQ252" s="1013"/>
      <c r="DR252" s="1013"/>
      <c r="DS252" s="1013"/>
      <c r="DT252" s="1013"/>
      <c r="DU252" s="1013"/>
      <c r="GF252" s="1013"/>
      <c r="GG252" s="1013"/>
      <c r="GH252" s="1013"/>
      <c r="GI252" s="1013"/>
      <c r="GJ252" s="1013"/>
      <c r="GK252" s="1013"/>
      <c r="GL252" s="1013"/>
      <c r="GM252" s="1013"/>
      <c r="GN252" s="1013"/>
      <c r="GO252" s="1013"/>
      <c r="HU252" s="920"/>
      <c r="HV252" s="920"/>
      <c r="HW252" s="920"/>
      <c r="HX252" s="920"/>
      <c r="HY252" s="920"/>
      <c r="HZ252" s="920"/>
      <c r="IA252" s="920"/>
      <c r="IB252" s="920"/>
      <c r="IC252" s="920"/>
      <c r="ID252" s="920"/>
      <c r="IE252" s="920"/>
      <c r="IP252" s="1013"/>
      <c r="IQ252" s="1013"/>
      <c r="IR252" s="1013"/>
      <c r="IS252" s="1013"/>
      <c r="IT252" s="1013"/>
      <c r="IU252" s="1013"/>
      <c r="IV252" s="1013"/>
      <c r="IX252" s="1013"/>
      <c r="IY252" s="1013"/>
      <c r="IZ252" s="1013"/>
      <c r="JA252" s="1013"/>
      <c r="JB252" s="1013"/>
      <c r="JC252" s="1013"/>
      <c r="JD252" s="1013"/>
      <c r="JO252" s="920" t="e">
        <f>#VALUE!</f>
        <v>#VALUE!</v>
      </c>
      <c r="JP252" s="920" t="e">
        <f>#VALUE!</f>
        <v>#VALUE!</v>
      </c>
      <c r="JQ252" s="920" t="e">
        <f>#VALUE!</f>
        <v>#VALUE!</v>
      </c>
      <c r="JR252" s="920" t="e">
        <f>#VALUE!</f>
        <v>#VALUE!</v>
      </c>
      <c r="JS252" s="920" t="e">
        <f>#VALUE!</f>
        <v>#VALUE!</v>
      </c>
      <c r="JT252" s="920"/>
      <c r="JU252" s="920"/>
      <c r="JV252" s="920"/>
      <c r="JW252" s="920" t="e">
        <f>#VALUE!</f>
        <v>#VALUE!</v>
      </c>
      <c r="JX252" s="920" t="e">
        <f>#VALUE!</f>
        <v>#VALUE!</v>
      </c>
      <c r="JY252" s="920" t="e">
        <f>#VALUE!</f>
        <v>#VALUE!</v>
      </c>
      <c r="KB252" s="1013"/>
      <c r="KC252" s="1013"/>
      <c r="KD252" s="1013"/>
      <c r="KE252" s="1013"/>
      <c r="KF252" s="1013"/>
      <c r="KG252" s="1013"/>
      <c r="KH252" s="1013"/>
      <c r="KJ252" s="1013"/>
      <c r="KK252" s="1013"/>
      <c r="KL252" s="1013"/>
      <c r="KM252" s="1013"/>
      <c r="KN252" s="1013"/>
      <c r="KO252" s="1013"/>
      <c r="KP252" s="1013"/>
      <c r="KR252" s="1013"/>
      <c r="KS252" s="1013"/>
      <c r="KT252" s="1013"/>
      <c r="KU252" s="1013"/>
      <c r="KV252" s="1013"/>
      <c r="KW252" s="1013"/>
      <c r="KX252" s="1013"/>
      <c r="KY252" s="1013"/>
      <c r="KZ252" s="1013"/>
    </row>
    <row r="253" spans="1:312">
      <c r="A253" s="884">
        <v>11100504</v>
      </c>
      <c r="C253" s="1028" t="s">
        <v>792</v>
      </c>
      <c r="D253" s="31"/>
      <c r="E253" s="1011"/>
      <c r="F253" s="1011"/>
      <c r="G253" s="1011"/>
      <c r="H253" s="1011"/>
      <c r="I253" s="1011"/>
      <c r="J253" s="1011"/>
      <c r="K253" s="1011"/>
      <c r="L253" s="1011"/>
      <c r="M253" s="1011"/>
      <c r="N253" s="1011"/>
      <c r="O253" s="1011"/>
      <c r="P253" s="1011"/>
      <c r="Q253" s="1011"/>
      <c r="R253" s="1011"/>
      <c r="S253" s="1011"/>
      <c r="T253" s="1011"/>
      <c r="U253" s="1011"/>
      <c r="V253" s="1011"/>
      <c r="W253" s="1011"/>
      <c r="X253" s="1011"/>
      <c r="Y253" s="1011"/>
      <c r="Z253" s="1011"/>
      <c r="AA253" s="1011"/>
      <c r="AB253" s="1011"/>
      <c r="AC253" s="1011"/>
      <c r="AD253" s="1011"/>
      <c r="AE253" s="1011"/>
      <c r="AF253" s="1011"/>
      <c r="AG253" s="1011"/>
      <c r="AH253" s="1011"/>
      <c r="AI253" s="1011"/>
      <c r="AJ253" s="1011"/>
      <c r="AK253" s="1011"/>
      <c r="AL253" s="1011"/>
      <c r="AM253" s="1011"/>
      <c r="AN253" s="1011"/>
      <c r="AO253" s="873">
        <v>0.38568919000000002</v>
      </c>
      <c r="AP253" s="920">
        <v>0.38568919000000002</v>
      </c>
      <c r="AQ253" s="1010">
        <v>0.38568919000000002</v>
      </c>
      <c r="AR253" s="1010">
        <v>0</v>
      </c>
      <c r="AS253" s="873">
        <v>0</v>
      </c>
      <c r="AT253" s="873">
        <v>0</v>
      </c>
      <c r="AU253" s="873">
        <v>0</v>
      </c>
      <c r="AV253" s="873">
        <v>0</v>
      </c>
      <c r="AW253" s="873">
        <v>0</v>
      </c>
      <c r="AX253" s="873">
        <v>0</v>
      </c>
      <c r="AY253" s="873">
        <v>0</v>
      </c>
      <c r="AZ253" s="873">
        <v>0</v>
      </c>
      <c r="BA253" s="873">
        <v>0</v>
      </c>
      <c r="BB253" s="873">
        <v>0</v>
      </c>
      <c r="BC253" s="873">
        <v>0</v>
      </c>
      <c r="BD253" s="873">
        <v>0</v>
      </c>
      <c r="BE253" s="920">
        <v>0</v>
      </c>
      <c r="BF253" s="920">
        <v>0</v>
      </c>
      <c r="BG253" s="920">
        <v>0</v>
      </c>
      <c r="BH253" s="920">
        <v>0</v>
      </c>
      <c r="BI253" s="920">
        <v>0</v>
      </c>
      <c r="BJ253" s="920">
        <v>0</v>
      </c>
      <c r="BK253" s="920">
        <v>0</v>
      </c>
      <c r="BL253" s="920">
        <v>0</v>
      </c>
      <c r="BM253" s="873">
        <v>0</v>
      </c>
      <c r="BN253" s="873">
        <v>0</v>
      </c>
      <c r="BO253" s="873">
        <v>0</v>
      </c>
      <c r="BP253" s="873">
        <v>0</v>
      </c>
      <c r="BQ253" s="873">
        <v>0</v>
      </c>
      <c r="BR253" s="920">
        <v>0</v>
      </c>
      <c r="BS253" s="920">
        <v>0</v>
      </c>
      <c r="BT253" s="920">
        <v>0</v>
      </c>
      <c r="BU253" s="920">
        <v>0</v>
      </c>
      <c r="BV253" s="920">
        <v>0</v>
      </c>
      <c r="BW253" s="920">
        <v>0</v>
      </c>
      <c r="BX253" s="920">
        <v>0</v>
      </c>
      <c r="BY253" s="873">
        <v>0</v>
      </c>
      <c r="BZ253" s="873">
        <v>0</v>
      </c>
      <c r="CA253" s="873">
        <v>0</v>
      </c>
      <c r="CB253" s="873">
        <v>0</v>
      </c>
      <c r="CC253" s="873">
        <v>0</v>
      </c>
      <c r="CD253" s="873">
        <v>0</v>
      </c>
      <c r="CE253" s="873">
        <v>0</v>
      </c>
      <c r="CF253" s="873">
        <v>0</v>
      </c>
      <c r="CG253" s="873">
        <v>0</v>
      </c>
      <c r="CH253" s="873">
        <v>0</v>
      </c>
      <c r="CI253" s="873">
        <v>0</v>
      </c>
      <c r="CJ253" s="873">
        <v>0</v>
      </c>
      <c r="CK253" s="873">
        <v>0</v>
      </c>
      <c r="CL253" s="873">
        <v>0</v>
      </c>
      <c r="CM253" s="873">
        <v>0</v>
      </c>
      <c r="CN253" s="873">
        <v>0</v>
      </c>
      <c r="CO253" s="873">
        <v>0</v>
      </c>
      <c r="CP253" s="873">
        <v>0</v>
      </c>
      <c r="CQ253" s="873">
        <v>0</v>
      </c>
      <c r="CR253" s="873">
        <v>0</v>
      </c>
      <c r="CS253" s="873">
        <v>0</v>
      </c>
      <c r="CT253" s="873">
        <v>0</v>
      </c>
      <c r="CU253" s="873">
        <v>0</v>
      </c>
      <c r="CV253" s="873">
        <v>0</v>
      </c>
      <c r="CW253" s="873">
        <v>0</v>
      </c>
      <c r="CX253" s="873">
        <v>0</v>
      </c>
      <c r="CY253" s="873">
        <v>0</v>
      </c>
      <c r="CZ253" s="873">
        <v>0</v>
      </c>
      <c r="DA253" s="873">
        <v>0</v>
      </c>
      <c r="DB253" s="873">
        <v>0</v>
      </c>
      <c r="DC253" s="873"/>
      <c r="DD253" s="873"/>
      <c r="DE253" s="873"/>
      <c r="DF253" s="873"/>
      <c r="DG253" s="873"/>
      <c r="DH253" s="873"/>
      <c r="DJ253" s="1013"/>
      <c r="DK253" s="1013"/>
      <c r="DL253" s="1013"/>
      <c r="DM253" s="1013"/>
      <c r="DN253" s="1013"/>
      <c r="DO253" s="1013"/>
      <c r="DP253" s="1013"/>
      <c r="DQ253" s="1013"/>
      <c r="DR253" s="1013"/>
      <c r="DS253" s="1013"/>
      <c r="DT253" s="1013"/>
      <c r="DU253" s="1013"/>
      <c r="GF253" s="1013"/>
      <c r="GG253" s="1013"/>
      <c r="GH253" s="1013"/>
      <c r="GI253" s="1013"/>
      <c r="GJ253" s="1013"/>
      <c r="GK253" s="1013"/>
      <c r="GL253" s="1013"/>
      <c r="GM253" s="1013"/>
      <c r="GN253" s="1013"/>
      <c r="GO253" s="1013"/>
      <c r="HU253" s="920"/>
      <c r="HV253" s="920"/>
      <c r="HW253" s="920"/>
      <c r="HX253" s="920"/>
      <c r="HY253" s="920"/>
      <c r="HZ253" s="920"/>
      <c r="IA253" s="920"/>
      <c r="IB253" s="920"/>
      <c r="IC253" s="920"/>
      <c r="ID253" s="920"/>
      <c r="IE253" s="920"/>
      <c r="IP253" s="1013"/>
      <c r="IQ253" s="1013"/>
      <c r="IR253" s="1013"/>
      <c r="IS253" s="1013"/>
      <c r="IT253" s="1013"/>
      <c r="IU253" s="1013"/>
      <c r="IV253" s="1013"/>
      <c r="IX253" s="1013"/>
      <c r="IY253" s="1013"/>
      <c r="IZ253" s="1013"/>
      <c r="JA253" s="1013"/>
      <c r="JB253" s="1013"/>
      <c r="JC253" s="1013"/>
      <c r="JD253" s="1013"/>
      <c r="JO253" s="920" t="e">
        <f>#VALUE!</f>
        <v>#VALUE!</v>
      </c>
      <c r="JP253" s="920" t="e">
        <f>#VALUE!</f>
        <v>#VALUE!</v>
      </c>
      <c r="JQ253" s="920" t="e">
        <f>#VALUE!</f>
        <v>#VALUE!</v>
      </c>
      <c r="JR253" s="920" t="e">
        <f>#VALUE!</f>
        <v>#VALUE!</v>
      </c>
      <c r="JS253" s="920" t="e">
        <f>#VALUE!</f>
        <v>#VALUE!</v>
      </c>
      <c r="JT253" s="920"/>
      <c r="JU253" s="920"/>
      <c r="JV253" s="920"/>
      <c r="JW253" s="920" t="e">
        <f>#VALUE!</f>
        <v>#VALUE!</v>
      </c>
      <c r="JX253" s="920" t="e">
        <f>#VALUE!</f>
        <v>#VALUE!</v>
      </c>
      <c r="JY253" s="920" t="e">
        <f>#VALUE!</f>
        <v>#VALUE!</v>
      </c>
      <c r="KB253" s="1013"/>
      <c r="KC253" s="1013"/>
      <c r="KD253" s="1013"/>
      <c r="KE253" s="1013"/>
      <c r="KF253" s="1013"/>
      <c r="KG253" s="1013"/>
      <c r="KH253" s="1013"/>
      <c r="KJ253" s="1013"/>
      <c r="KK253" s="1013"/>
      <c r="KL253" s="1013"/>
      <c r="KM253" s="1013"/>
      <c r="KN253" s="1013"/>
      <c r="KO253" s="1013"/>
      <c r="KP253" s="1013"/>
      <c r="KR253" s="1013"/>
      <c r="KS253" s="1013"/>
      <c r="KT253" s="1013"/>
      <c r="KU253" s="1013"/>
      <c r="KV253" s="1013"/>
      <c r="KW253" s="1013"/>
      <c r="KX253" s="1013"/>
      <c r="KY253" s="1013"/>
      <c r="KZ253" s="1013"/>
    </row>
    <row r="254" spans="1:312">
      <c r="A254" s="884">
        <v>11100505</v>
      </c>
      <c r="C254" s="1028" t="s">
        <v>793</v>
      </c>
      <c r="D254" s="31"/>
      <c r="E254" s="1011"/>
      <c r="F254" s="1011"/>
      <c r="G254" s="1011"/>
      <c r="H254" s="1011"/>
      <c r="I254" s="1011"/>
      <c r="J254" s="1011"/>
      <c r="K254" s="1011"/>
      <c r="L254" s="1011"/>
      <c r="M254" s="1011"/>
      <c r="N254" s="1011"/>
      <c r="O254" s="1011"/>
      <c r="P254" s="1011"/>
      <c r="Q254" s="1011"/>
      <c r="R254" s="1011"/>
      <c r="S254" s="1011"/>
      <c r="T254" s="1011"/>
      <c r="U254" s="1011"/>
      <c r="V254" s="1011"/>
      <c r="W254" s="1011"/>
      <c r="X254" s="1011"/>
      <c r="Y254" s="1011"/>
      <c r="Z254" s="1011"/>
      <c r="AA254" s="1011"/>
      <c r="AB254" s="1011"/>
      <c r="AC254" s="1011"/>
      <c r="AD254" s="1011"/>
      <c r="AE254" s="1011"/>
      <c r="AF254" s="1011"/>
      <c r="AG254" s="1011"/>
      <c r="AH254" s="1011"/>
      <c r="AI254" s="1011"/>
      <c r="AJ254" s="1011"/>
      <c r="AK254" s="1011"/>
      <c r="AL254" s="1011"/>
      <c r="AM254" s="1011"/>
      <c r="AN254" s="1011"/>
      <c r="AO254" s="873">
        <v>98.663510000000002</v>
      </c>
      <c r="AP254" s="920">
        <v>98.663510000000002</v>
      </c>
      <c r="AQ254" s="1010">
        <v>32.649899470000001</v>
      </c>
      <c r="AR254" s="1010">
        <v>2.1919840399999999</v>
      </c>
      <c r="AS254" s="873">
        <v>2.0635222400000002</v>
      </c>
      <c r="AT254" s="873">
        <v>1.93506044</v>
      </c>
      <c r="AU254" s="873">
        <v>100.59856943999999</v>
      </c>
      <c r="AV254" s="873">
        <v>100.59856943999999</v>
      </c>
      <c r="AW254" s="873">
        <v>0.22303277999999999</v>
      </c>
      <c r="AX254" s="873">
        <v>1.4478000000000001E-4</v>
      </c>
      <c r="AY254" s="873">
        <v>1.4478000000000001E-4</v>
      </c>
      <c r="AZ254" s="873">
        <v>1.4478000000000001E-4</v>
      </c>
      <c r="BA254" s="873">
        <v>0</v>
      </c>
      <c r="BB254" s="873">
        <v>0</v>
      </c>
      <c r="BC254" s="873">
        <v>0</v>
      </c>
      <c r="BD254" s="873">
        <v>0</v>
      </c>
      <c r="BE254" s="920">
        <v>0</v>
      </c>
      <c r="BF254" s="920">
        <v>0</v>
      </c>
      <c r="BG254" s="920">
        <v>0</v>
      </c>
      <c r="BH254" s="920">
        <v>0</v>
      </c>
      <c r="BI254" s="920">
        <v>0</v>
      </c>
      <c r="BJ254" s="920">
        <v>0</v>
      </c>
      <c r="BK254" s="920">
        <v>0</v>
      </c>
      <c r="BL254" s="920">
        <v>0</v>
      </c>
      <c r="BM254" s="873">
        <v>0</v>
      </c>
      <c r="BN254" s="873">
        <v>0</v>
      </c>
      <c r="BO254" s="873">
        <v>0</v>
      </c>
      <c r="BP254" s="873">
        <v>0</v>
      </c>
      <c r="BQ254" s="873">
        <v>0</v>
      </c>
      <c r="BR254" s="920">
        <v>0</v>
      </c>
      <c r="BS254" s="920">
        <v>0</v>
      </c>
      <c r="BT254" s="920">
        <v>0</v>
      </c>
      <c r="BU254" s="920">
        <v>0</v>
      </c>
      <c r="BV254" s="920">
        <v>0</v>
      </c>
      <c r="BW254" s="920">
        <v>0</v>
      </c>
      <c r="BX254" s="920">
        <v>0</v>
      </c>
      <c r="BY254" s="873">
        <v>0</v>
      </c>
      <c r="BZ254" s="873">
        <v>0</v>
      </c>
      <c r="CA254" s="873">
        <v>0</v>
      </c>
      <c r="CB254" s="873">
        <v>0</v>
      </c>
      <c r="CC254" s="873">
        <v>0</v>
      </c>
      <c r="CD254" s="873">
        <v>0</v>
      </c>
      <c r="CE254" s="873">
        <v>0</v>
      </c>
      <c r="CF254" s="873">
        <v>0</v>
      </c>
      <c r="CG254" s="873">
        <v>0</v>
      </c>
      <c r="CH254" s="873">
        <v>0</v>
      </c>
      <c r="CI254" s="873">
        <v>0</v>
      </c>
      <c r="CJ254" s="873">
        <v>0</v>
      </c>
      <c r="CK254" s="873">
        <v>0</v>
      </c>
      <c r="CL254" s="873">
        <v>0</v>
      </c>
      <c r="CM254" s="873">
        <v>0</v>
      </c>
      <c r="CN254" s="873">
        <v>0</v>
      </c>
      <c r="CO254" s="873">
        <v>0</v>
      </c>
      <c r="CP254" s="873">
        <v>0</v>
      </c>
      <c r="CQ254" s="873">
        <v>0</v>
      </c>
      <c r="CR254" s="873">
        <v>0</v>
      </c>
      <c r="CS254" s="873">
        <v>0</v>
      </c>
      <c r="CT254" s="873">
        <v>0</v>
      </c>
      <c r="CU254" s="873">
        <v>0</v>
      </c>
      <c r="CV254" s="873">
        <v>0</v>
      </c>
      <c r="CW254" s="873">
        <v>0</v>
      </c>
      <c r="CX254" s="873">
        <v>0</v>
      </c>
      <c r="CY254" s="873">
        <v>0</v>
      </c>
      <c r="CZ254" s="873">
        <v>0</v>
      </c>
      <c r="DA254" s="873">
        <v>0</v>
      </c>
      <c r="DB254" s="873">
        <v>0</v>
      </c>
      <c r="DC254" s="873"/>
      <c r="DD254" s="873"/>
      <c r="DE254" s="873"/>
      <c r="DF254" s="873"/>
      <c r="DG254" s="873"/>
      <c r="DH254" s="873"/>
      <c r="DJ254" s="1013"/>
      <c r="DK254" s="1013"/>
      <c r="DL254" s="1013"/>
      <c r="DM254" s="1013"/>
      <c r="DN254" s="1013"/>
      <c r="DO254" s="1013"/>
      <c r="DP254" s="1013"/>
      <c r="DQ254" s="1013"/>
      <c r="DR254" s="1013"/>
      <c r="DS254" s="1013"/>
      <c r="DT254" s="1013"/>
      <c r="DU254" s="1013"/>
      <c r="GF254" s="1013"/>
      <c r="GG254" s="1013"/>
      <c r="GH254" s="1013"/>
      <c r="GI254" s="1013"/>
      <c r="GJ254" s="1013"/>
      <c r="GK254" s="1013"/>
      <c r="GL254" s="1013"/>
      <c r="GM254" s="1013"/>
      <c r="GN254" s="1013"/>
      <c r="GO254" s="1013"/>
      <c r="HU254" s="920"/>
      <c r="HV254" s="920"/>
      <c r="HW254" s="920"/>
      <c r="HX254" s="920"/>
      <c r="HY254" s="920"/>
      <c r="HZ254" s="920"/>
      <c r="IA254" s="920"/>
      <c r="IB254" s="920"/>
      <c r="IC254" s="920"/>
      <c r="ID254" s="920"/>
      <c r="IE254" s="920"/>
      <c r="IP254" s="1013"/>
      <c r="IQ254" s="1013"/>
      <c r="IR254" s="1013"/>
      <c r="IS254" s="1013"/>
      <c r="IT254" s="1013"/>
      <c r="IU254" s="1013"/>
      <c r="IV254" s="1013"/>
      <c r="IX254" s="1013"/>
      <c r="IY254" s="1013"/>
      <c r="IZ254" s="1013"/>
      <c r="JA254" s="1013"/>
      <c r="JB254" s="1013"/>
      <c r="JC254" s="1013"/>
      <c r="JD254" s="1013"/>
      <c r="JO254" s="920" t="e">
        <f>#VALUE!</f>
        <v>#VALUE!</v>
      </c>
      <c r="JP254" s="920" t="e">
        <f>#VALUE!</f>
        <v>#VALUE!</v>
      </c>
      <c r="JQ254" s="920" t="e">
        <f>#VALUE!</f>
        <v>#VALUE!</v>
      </c>
      <c r="JR254" s="920" t="e">
        <f>#VALUE!</f>
        <v>#VALUE!</v>
      </c>
      <c r="JS254" s="920" t="e">
        <f>#VALUE!</f>
        <v>#VALUE!</v>
      </c>
      <c r="JT254" s="920"/>
      <c r="JU254" s="920"/>
      <c r="JV254" s="920"/>
      <c r="JW254" s="920" t="e">
        <f>#VALUE!</f>
        <v>#VALUE!</v>
      </c>
      <c r="JX254" s="920" t="e">
        <f>#VALUE!</f>
        <v>#VALUE!</v>
      </c>
      <c r="JY254" s="920" t="e">
        <f>#VALUE!</f>
        <v>#VALUE!</v>
      </c>
      <c r="KB254" s="1013"/>
      <c r="KC254" s="1013"/>
      <c r="KD254" s="1013"/>
      <c r="KE254" s="1013"/>
      <c r="KF254" s="1013"/>
      <c r="KG254" s="1013"/>
      <c r="KH254" s="1013"/>
      <c r="KJ254" s="1013"/>
      <c r="KK254" s="1013"/>
      <c r="KL254" s="1013"/>
      <c r="KM254" s="1013"/>
      <c r="KN254" s="1013"/>
      <c r="KO254" s="1013"/>
      <c r="KP254" s="1013"/>
      <c r="KR254" s="1013"/>
      <c r="KS254" s="1013"/>
      <c r="KT254" s="1013"/>
      <c r="KU254" s="1013"/>
      <c r="KV254" s="1013"/>
      <c r="KW254" s="1013"/>
      <c r="KX254" s="1013"/>
      <c r="KY254" s="1013"/>
      <c r="KZ254" s="1013"/>
    </row>
    <row r="255" spans="1:312">
      <c r="A255" s="884">
        <v>11100506</v>
      </c>
      <c r="C255" s="1028" t="s">
        <v>794</v>
      </c>
      <c r="D255" s="31"/>
      <c r="E255" s="1011"/>
      <c r="F255" s="1011"/>
      <c r="G255" s="1011"/>
      <c r="H255" s="1011"/>
      <c r="I255" s="1011"/>
      <c r="J255" s="1011"/>
      <c r="K255" s="1011"/>
      <c r="L255" s="1011"/>
      <c r="M255" s="1011"/>
      <c r="N255" s="1011"/>
      <c r="O255" s="1011"/>
      <c r="P255" s="1011"/>
      <c r="Q255" s="1011"/>
      <c r="R255" s="1011"/>
      <c r="S255" s="1011"/>
      <c r="T255" s="1011"/>
      <c r="U255" s="1011"/>
      <c r="V255" s="1011"/>
      <c r="W255" s="1011"/>
      <c r="X255" s="1011"/>
      <c r="Y255" s="1011"/>
      <c r="Z255" s="1011"/>
      <c r="AA255" s="1011"/>
      <c r="AB255" s="1011"/>
      <c r="AC255" s="1011"/>
      <c r="AD255" s="1011"/>
      <c r="AE255" s="1011"/>
      <c r="AF255" s="1011"/>
      <c r="AG255" s="1011"/>
      <c r="AH255" s="1011"/>
      <c r="AI255" s="1011"/>
      <c r="AJ255" s="1011"/>
      <c r="AK255" s="1011"/>
      <c r="AL255" s="1011"/>
      <c r="AM255" s="1011"/>
      <c r="AN255" s="1011"/>
      <c r="AO255" s="873">
        <v>0</v>
      </c>
      <c r="AP255" s="920">
        <v>3000</v>
      </c>
      <c r="AQ255" s="1010">
        <v>84.180257260000005</v>
      </c>
      <c r="AR255" s="1010">
        <v>0.72332088000000005</v>
      </c>
      <c r="AS255" s="873">
        <v>0.72332088000000005</v>
      </c>
      <c r="AT255" s="873">
        <v>4.7233208800000002</v>
      </c>
      <c r="AU255" s="873">
        <v>4.7233208800000002</v>
      </c>
      <c r="AV255" s="873">
        <v>2.91325506</v>
      </c>
      <c r="AW255" s="873">
        <v>1.7847590600000001</v>
      </c>
      <c r="AX255" s="873">
        <v>1.7847590600000001</v>
      </c>
      <c r="AY255" s="873">
        <v>1.7847590600000001</v>
      </c>
      <c r="AZ255" s="873">
        <v>1.7847590600000001</v>
      </c>
      <c r="BA255" s="873">
        <v>0</v>
      </c>
      <c r="BB255" s="873">
        <v>0</v>
      </c>
      <c r="BC255" s="873">
        <v>0</v>
      </c>
      <c r="BD255" s="873">
        <v>0</v>
      </c>
      <c r="BE255" s="920">
        <v>0</v>
      </c>
      <c r="BF255" s="920">
        <v>0</v>
      </c>
      <c r="BG255" s="920">
        <v>0</v>
      </c>
      <c r="BH255" s="920">
        <v>0</v>
      </c>
      <c r="BI255" s="920">
        <v>0</v>
      </c>
      <c r="BJ255" s="920">
        <v>0</v>
      </c>
      <c r="BK255" s="920">
        <v>0</v>
      </c>
      <c r="BL255" s="920">
        <v>0</v>
      </c>
      <c r="BM255" s="873">
        <v>0</v>
      </c>
      <c r="BN255" s="873">
        <v>0</v>
      </c>
      <c r="BO255" s="873">
        <v>0</v>
      </c>
      <c r="BP255" s="873">
        <v>0</v>
      </c>
      <c r="BQ255" s="873">
        <v>0</v>
      </c>
      <c r="BR255" s="920">
        <v>0</v>
      </c>
      <c r="BS255" s="920">
        <v>0</v>
      </c>
      <c r="BT255" s="920">
        <v>0</v>
      </c>
      <c r="BU255" s="920">
        <v>0</v>
      </c>
      <c r="BV255" s="920">
        <v>0</v>
      </c>
      <c r="BW255" s="920">
        <v>0</v>
      </c>
      <c r="BX255" s="920">
        <v>0</v>
      </c>
      <c r="BY255" s="873">
        <v>0</v>
      </c>
      <c r="BZ255" s="873">
        <v>0</v>
      </c>
      <c r="CA255" s="873">
        <v>0</v>
      </c>
      <c r="CB255" s="873">
        <v>0</v>
      </c>
      <c r="CC255" s="873">
        <v>0</v>
      </c>
      <c r="CD255" s="873">
        <v>0</v>
      </c>
      <c r="CE255" s="873">
        <v>0</v>
      </c>
      <c r="CF255" s="873">
        <v>0</v>
      </c>
      <c r="CG255" s="873">
        <v>0</v>
      </c>
      <c r="CH255" s="873">
        <v>0</v>
      </c>
      <c r="CI255" s="873">
        <v>0</v>
      </c>
      <c r="CJ255" s="873">
        <v>0</v>
      </c>
      <c r="CK255" s="873">
        <v>0</v>
      </c>
      <c r="CL255" s="873">
        <v>0</v>
      </c>
      <c r="CM255" s="873">
        <v>0</v>
      </c>
      <c r="CN255" s="873">
        <v>0</v>
      </c>
      <c r="CO255" s="873">
        <v>0</v>
      </c>
      <c r="CP255" s="873">
        <v>0</v>
      </c>
      <c r="CQ255" s="873">
        <v>0</v>
      </c>
      <c r="CR255" s="873">
        <v>0</v>
      </c>
      <c r="CS255" s="873">
        <v>0</v>
      </c>
      <c r="CT255" s="873">
        <v>0</v>
      </c>
      <c r="CU255" s="873">
        <v>0</v>
      </c>
      <c r="CV255" s="873">
        <v>0</v>
      </c>
      <c r="CW255" s="873">
        <v>0</v>
      </c>
      <c r="CX255" s="873">
        <v>0</v>
      </c>
      <c r="CY255" s="873">
        <v>0</v>
      </c>
      <c r="CZ255" s="873">
        <v>0</v>
      </c>
      <c r="DA255" s="873">
        <v>0</v>
      </c>
      <c r="DB255" s="873">
        <v>0</v>
      </c>
      <c r="DC255" s="873"/>
      <c r="DD255" s="873"/>
      <c r="DE255" s="873"/>
      <c r="DF255" s="873"/>
      <c r="DG255" s="873"/>
      <c r="DH255" s="873"/>
      <c r="DJ255" s="1013"/>
      <c r="DK255" s="1013"/>
      <c r="DL255" s="1013"/>
      <c r="DM255" s="1013"/>
      <c r="DN255" s="1013"/>
      <c r="DO255" s="1013"/>
      <c r="DP255" s="1013"/>
      <c r="DQ255" s="1013"/>
      <c r="DR255" s="1013"/>
      <c r="DS255" s="1013"/>
      <c r="DT255" s="1013"/>
      <c r="DU255" s="1013"/>
      <c r="GF255" s="1013"/>
      <c r="GG255" s="1013"/>
      <c r="GH255" s="1013"/>
      <c r="GI255" s="1013"/>
      <c r="GJ255" s="1013"/>
      <c r="GK255" s="1013"/>
      <c r="GL255" s="1013"/>
      <c r="GM255" s="1013"/>
      <c r="GN255" s="1013"/>
      <c r="GO255" s="1013"/>
      <c r="HU255" s="920"/>
      <c r="HV255" s="920"/>
      <c r="HW255" s="920"/>
      <c r="HX255" s="920"/>
      <c r="HY255" s="920"/>
      <c r="HZ255" s="920"/>
      <c r="IA255" s="920"/>
      <c r="IB255" s="920"/>
      <c r="IC255" s="920"/>
      <c r="ID255" s="920"/>
      <c r="IE255" s="920"/>
      <c r="IP255" s="1013"/>
      <c r="IQ255" s="1013"/>
      <c r="IR255" s="1013"/>
      <c r="IS255" s="1013"/>
      <c r="IT255" s="1013"/>
      <c r="IU255" s="1013"/>
      <c r="IV255" s="1013"/>
      <c r="IX255" s="1013"/>
      <c r="IY255" s="1013"/>
      <c r="IZ255" s="1013"/>
      <c r="JA255" s="1013"/>
      <c r="JB255" s="1013"/>
      <c r="JC255" s="1013"/>
      <c r="JD255" s="1013"/>
      <c r="JO255" s="920" t="e">
        <f>#VALUE!</f>
        <v>#VALUE!</v>
      </c>
      <c r="JP255" s="920" t="e">
        <f>#VALUE!</f>
        <v>#VALUE!</v>
      </c>
      <c r="JQ255" s="920" t="e">
        <f>#VALUE!</f>
        <v>#VALUE!</v>
      </c>
      <c r="JR255" s="920" t="e">
        <f>#VALUE!</f>
        <v>#VALUE!</v>
      </c>
      <c r="JS255" s="920" t="e">
        <f>#VALUE!</f>
        <v>#VALUE!</v>
      </c>
      <c r="JT255" s="920"/>
      <c r="JU255" s="920"/>
      <c r="JV255" s="920"/>
      <c r="JW255" s="920" t="e">
        <f>#VALUE!</f>
        <v>#VALUE!</v>
      </c>
      <c r="JX255" s="920" t="e">
        <f>#VALUE!</f>
        <v>#VALUE!</v>
      </c>
      <c r="JY255" s="920" t="e">
        <f>#VALUE!</f>
        <v>#VALUE!</v>
      </c>
      <c r="KB255" s="1013"/>
      <c r="KC255" s="1013"/>
      <c r="KD255" s="1013"/>
      <c r="KE255" s="1013"/>
      <c r="KF255" s="1013"/>
      <c r="KG255" s="1013"/>
      <c r="KH255" s="1013"/>
      <c r="KJ255" s="1013"/>
      <c r="KK255" s="1013"/>
      <c r="KL255" s="1013"/>
      <c r="KM255" s="1013"/>
      <c r="KN255" s="1013"/>
      <c r="KO255" s="1013"/>
      <c r="KP255" s="1013"/>
      <c r="KR255" s="1013"/>
      <c r="KS255" s="1013"/>
      <c r="KT255" s="1013"/>
      <c r="KU255" s="1013"/>
      <c r="KV255" s="1013"/>
      <c r="KW255" s="1013"/>
      <c r="KX255" s="1013"/>
      <c r="KY255" s="1013"/>
      <c r="KZ255" s="1013"/>
    </row>
    <row r="256" spans="1:312">
      <c r="A256" s="884">
        <v>11101001</v>
      </c>
      <c r="C256" s="1028" t="s">
        <v>795</v>
      </c>
      <c r="D256" s="31"/>
      <c r="E256" s="1011"/>
      <c r="F256" s="1011"/>
      <c r="G256" s="1011"/>
      <c r="H256" s="1011"/>
      <c r="I256" s="1011"/>
      <c r="J256" s="1011"/>
      <c r="K256" s="1011"/>
      <c r="L256" s="1011"/>
      <c r="M256" s="1011"/>
      <c r="N256" s="1011"/>
      <c r="O256" s="1011"/>
      <c r="P256" s="1011"/>
      <c r="Q256" s="1011"/>
      <c r="R256" s="1011"/>
      <c r="S256" s="1011"/>
      <c r="T256" s="1011"/>
      <c r="U256" s="1011"/>
      <c r="V256" s="1011"/>
      <c r="W256" s="1011"/>
      <c r="X256" s="1011"/>
      <c r="Y256" s="1011"/>
      <c r="Z256" s="1011"/>
      <c r="AA256" s="1011"/>
      <c r="AB256" s="1011"/>
      <c r="AC256" s="1011"/>
      <c r="AD256" s="1011"/>
      <c r="AE256" s="1011"/>
      <c r="AF256" s="1011"/>
      <c r="AG256" s="1011"/>
      <c r="AH256" s="1011"/>
      <c r="AI256" s="1011"/>
      <c r="AJ256" s="1011"/>
      <c r="AK256" s="1011"/>
      <c r="AL256" s="1011"/>
      <c r="AM256" s="1011"/>
      <c r="AN256" s="1011"/>
      <c r="AO256" s="873">
        <v>1396.72382083</v>
      </c>
      <c r="AP256" s="920">
        <v>1428.9764384</v>
      </c>
      <c r="AQ256" s="1010">
        <v>1536.8641655399999</v>
      </c>
      <c r="AR256" s="1010">
        <v>332.65327144000003</v>
      </c>
      <c r="AS256" s="873">
        <v>5.7042960899999997</v>
      </c>
      <c r="AT256" s="873">
        <v>56.199748530000001</v>
      </c>
      <c r="AU256" s="873">
        <v>179.07060909999998</v>
      </c>
      <c r="AV256" s="873">
        <v>7.55462072</v>
      </c>
      <c r="AW256" s="873">
        <v>7.5446987400000003</v>
      </c>
      <c r="AX256" s="873">
        <v>7.0047505800000005</v>
      </c>
      <c r="AY256" s="873">
        <v>7.4667665599999999</v>
      </c>
      <c r="AZ256" s="873">
        <v>138.68625005999999</v>
      </c>
      <c r="BA256" s="873">
        <v>0</v>
      </c>
      <c r="BB256" s="873">
        <v>0</v>
      </c>
      <c r="BC256" s="873">
        <v>0</v>
      </c>
      <c r="BD256" s="873">
        <v>0</v>
      </c>
      <c r="BE256" s="920">
        <v>0</v>
      </c>
      <c r="BF256" s="920">
        <v>0</v>
      </c>
      <c r="BG256" s="920">
        <v>0</v>
      </c>
      <c r="BH256" s="920">
        <v>0</v>
      </c>
      <c r="BI256" s="920">
        <v>0</v>
      </c>
      <c r="BJ256" s="920">
        <v>71.377307069999986</v>
      </c>
      <c r="BK256" s="920">
        <v>0</v>
      </c>
      <c r="BL256" s="920">
        <v>-0.51056800000000002</v>
      </c>
      <c r="BM256" s="873">
        <v>0.51056800000000002</v>
      </c>
      <c r="BN256" s="873">
        <v>0.51056800000000002</v>
      </c>
      <c r="BO256" s="873">
        <v>0</v>
      </c>
      <c r="BP256" s="873">
        <v>0</v>
      </c>
      <c r="BQ256" s="873">
        <v>0</v>
      </c>
      <c r="BR256" s="920">
        <v>0</v>
      </c>
      <c r="BS256" s="920">
        <v>0</v>
      </c>
      <c r="BT256" s="920">
        <v>0</v>
      </c>
      <c r="BU256" s="920">
        <v>0</v>
      </c>
      <c r="BV256" s="920">
        <v>0</v>
      </c>
      <c r="BW256" s="920">
        <v>-8.0000000000000002E-8</v>
      </c>
      <c r="BX256" s="920">
        <v>-8.0000000000000002E-8</v>
      </c>
      <c r="BY256" s="873">
        <v>0</v>
      </c>
      <c r="BZ256" s="873">
        <v>0</v>
      </c>
      <c r="CA256" s="873">
        <v>0</v>
      </c>
      <c r="CB256" s="873">
        <v>0</v>
      </c>
      <c r="CC256" s="873">
        <v>0</v>
      </c>
      <c r="CD256" s="873">
        <v>0</v>
      </c>
      <c r="CE256" s="873">
        <v>0</v>
      </c>
      <c r="CF256" s="873">
        <v>0</v>
      </c>
      <c r="CG256" s="873">
        <v>0</v>
      </c>
      <c r="CH256" s="873">
        <v>0</v>
      </c>
      <c r="CI256" s="873">
        <v>0</v>
      </c>
      <c r="CJ256" s="873">
        <v>0</v>
      </c>
      <c r="CK256" s="873">
        <v>0</v>
      </c>
      <c r="CL256" s="873">
        <v>0</v>
      </c>
      <c r="CM256" s="873">
        <v>0</v>
      </c>
      <c r="CN256" s="873">
        <v>0</v>
      </c>
      <c r="CO256" s="873">
        <v>0</v>
      </c>
      <c r="CP256" s="873">
        <v>0</v>
      </c>
      <c r="CQ256" s="873">
        <v>0</v>
      </c>
      <c r="CR256" s="873">
        <v>0</v>
      </c>
      <c r="CS256" s="873">
        <v>0</v>
      </c>
      <c r="CT256" s="873">
        <v>0</v>
      </c>
      <c r="CU256" s="873">
        <v>0</v>
      </c>
      <c r="CV256" s="873">
        <v>0</v>
      </c>
      <c r="CW256" s="873">
        <v>0</v>
      </c>
      <c r="CX256" s="873">
        <v>0</v>
      </c>
      <c r="CY256" s="873">
        <v>0</v>
      </c>
      <c r="CZ256" s="873">
        <v>0</v>
      </c>
      <c r="DA256" s="873">
        <v>0</v>
      </c>
      <c r="DB256" s="873">
        <v>0</v>
      </c>
      <c r="DC256" s="873"/>
      <c r="DD256" s="873"/>
      <c r="DE256" s="873"/>
      <c r="DF256" s="873"/>
      <c r="DG256" s="873"/>
      <c r="DH256" s="873"/>
      <c r="DJ256" s="1013"/>
      <c r="DK256" s="1013"/>
      <c r="DL256" s="1013"/>
      <c r="DM256" s="1013"/>
      <c r="DN256" s="1013"/>
      <c r="DO256" s="1013"/>
      <c r="DP256" s="1013"/>
      <c r="DQ256" s="1013"/>
      <c r="DR256" s="1013"/>
      <c r="DS256" s="1013"/>
      <c r="DT256" s="1013"/>
      <c r="DU256" s="1013"/>
      <c r="GF256" s="1013"/>
      <c r="GG256" s="1013"/>
      <c r="GH256" s="1013"/>
      <c r="GI256" s="1013"/>
      <c r="GJ256" s="1013"/>
      <c r="GK256" s="1013"/>
      <c r="GL256" s="1013"/>
      <c r="GM256" s="1013"/>
      <c r="GN256" s="1013"/>
      <c r="GO256" s="1013"/>
      <c r="HU256" s="920"/>
      <c r="HV256" s="920"/>
      <c r="HW256" s="920"/>
      <c r="HX256" s="920"/>
      <c r="HY256" s="920"/>
      <c r="HZ256" s="920"/>
      <c r="IA256" s="920"/>
      <c r="IB256" s="920"/>
      <c r="IC256" s="920"/>
      <c r="ID256" s="920"/>
      <c r="IE256" s="920"/>
      <c r="IP256" s="1013"/>
      <c r="IQ256" s="1013"/>
      <c r="IR256" s="1013"/>
      <c r="IS256" s="1013"/>
      <c r="IT256" s="1013"/>
      <c r="IU256" s="1013"/>
      <c r="IV256" s="1013"/>
      <c r="IX256" s="1013"/>
      <c r="IY256" s="1013"/>
      <c r="IZ256" s="1013"/>
      <c r="JA256" s="1013"/>
      <c r="JB256" s="1013"/>
      <c r="JC256" s="1013"/>
      <c r="JD256" s="1013"/>
      <c r="JO256" s="920" t="e">
        <f>#VALUE!</f>
        <v>#VALUE!</v>
      </c>
      <c r="JP256" s="920" t="e">
        <f>#VALUE!</f>
        <v>#VALUE!</v>
      </c>
      <c r="JQ256" s="920" t="e">
        <f>#VALUE!</f>
        <v>#VALUE!</v>
      </c>
      <c r="JR256" s="920" t="e">
        <f>#VALUE!</f>
        <v>#VALUE!</v>
      </c>
      <c r="JS256" s="920" t="e">
        <f>#VALUE!</f>
        <v>#VALUE!</v>
      </c>
      <c r="JT256" s="920"/>
      <c r="JU256" s="920"/>
      <c r="JV256" s="920"/>
      <c r="JW256" s="920" t="e">
        <f>#VALUE!</f>
        <v>#VALUE!</v>
      </c>
      <c r="JX256" s="920" t="e">
        <f>#VALUE!</f>
        <v>#VALUE!</v>
      </c>
      <c r="JY256" s="920" t="e">
        <f>#VALUE!</f>
        <v>#VALUE!</v>
      </c>
      <c r="KB256" s="1013"/>
      <c r="KC256" s="1013"/>
      <c r="KD256" s="1013"/>
      <c r="KE256" s="1013"/>
      <c r="KF256" s="1013"/>
      <c r="KG256" s="1013"/>
      <c r="KH256" s="1013"/>
      <c r="KJ256" s="1013"/>
      <c r="KK256" s="1013"/>
      <c r="KL256" s="1013"/>
      <c r="KM256" s="1013"/>
      <c r="KN256" s="1013"/>
      <c r="KO256" s="1013"/>
      <c r="KP256" s="1013"/>
      <c r="KR256" s="1013"/>
      <c r="KS256" s="1013"/>
      <c r="KT256" s="1013"/>
      <c r="KU256" s="1013"/>
      <c r="KV256" s="1013"/>
      <c r="KW256" s="1013"/>
      <c r="KX256" s="1013"/>
      <c r="KY256" s="1013"/>
      <c r="KZ256" s="1013"/>
    </row>
    <row r="257" spans="1:312">
      <c r="A257" s="884">
        <v>11200501</v>
      </c>
      <c r="C257" s="1028" t="s">
        <v>796</v>
      </c>
      <c r="D257" s="31"/>
      <c r="E257" s="1011"/>
      <c r="F257" s="1011"/>
      <c r="G257" s="1011"/>
      <c r="H257" s="1011"/>
      <c r="I257" s="1011"/>
      <c r="J257" s="1011"/>
      <c r="K257" s="1011"/>
      <c r="L257" s="1011"/>
      <c r="M257" s="1011"/>
      <c r="N257" s="1011"/>
      <c r="O257" s="1011"/>
      <c r="P257" s="1011"/>
      <c r="Q257" s="1011"/>
      <c r="R257" s="1011"/>
      <c r="S257" s="1011"/>
      <c r="T257" s="1011"/>
      <c r="U257" s="1011"/>
      <c r="V257" s="1011"/>
      <c r="W257" s="1011"/>
      <c r="X257" s="1011"/>
      <c r="Y257" s="1011"/>
      <c r="Z257" s="1011"/>
      <c r="AA257" s="1011"/>
      <c r="AB257" s="1011"/>
      <c r="AC257" s="1011"/>
      <c r="AD257" s="1011"/>
      <c r="AE257" s="1011"/>
      <c r="AF257" s="1011"/>
      <c r="AG257" s="1011"/>
      <c r="AH257" s="1011"/>
      <c r="AI257" s="1011"/>
      <c r="AJ257" s="1011"/>
      <c r="AK257" s="1011"/>
      <c r="AL257" s="1011"/>
      <c r="AM257" s="1011"/>
      <c r="AN257" s="1011"/>
      <c r="AO257" s="873">
        <v>5.83846928</v>
      </c>
      <c r="AP257" s="920">
        <v>3.2321534000000001</v>
      </c>
      <c r="AQ257" s="1010">
        <v>0.11227192</v>
      </c>
      <c r="AR257" s="1010">
        <v>0.11260792</v>
      </c>
      <c r="AS257" s="873">
        <v>1438.6221091800001</v>
      </c>
      <c r="AT257" s="873">
        <v>47.928197259999997</v>
      </c>
      <c r="AU257" s="873">
        <v>322.62002364</v>
      </c>
      <c r="AV257" s="873">
        <v>365.78328799000002</v>
      </c>
      <c r="AW257" s="873">
        <v>11.83455459</v>
      </c>
      <c r="AX257" s="873">
        <v>1245.9517702400001</v>
      </c>
      <c r="AY257" s="873">
        <v>1258.4191226500002</v>
      </c>
      <c r="AZ257" s="873">
        <v>135.12235095</v>
      </c>
      <c r="BA257" s="873">
        <v>0</v>
      </c>
      <c r="BB257" s="873">
        <v>0</v>
      </c>
      <c r="BC257" s="873">
        <v>0</v>
      </c>
      <c r="BD257" s="873">
        <v>0</v>
      </c>
      <c r="BE257" s="920">
        <v>0</v>
      </c>
      <c r="BF257" s="920">
        <v>0</v>
      </c>
      <c r="BG257" s="920">
        <v>0</v>
      </c>
      <c r="BH257" s="920">
        <v>0</v>
      </c>
      <c r="BI257" s="920">
        <v>2.04E-6</v>
      </c>
      <c r="BJ257" s="920">
        <v>0.83994499</v>
      </c>
      <c r="BK257" s="920">
        <v>0</v>
      </c>
      <c r="BL257" s="920">
        <v>0</v>
      </c>
      <c r="BM257" s="873">
        <v>0</v>
      </c>
      <c r="BN257" s="873">
        <v>0</v>
      </c>
      <c r="BO257" s="873">
        <v>0</v>
      </c>
      <c r="BP257" s="873">
        <v>2.9999999999999999E-7</v>
      </c>
      <c r="BQ257" s="873">
        <v>1.3E-6</v>
      </c>
      <c r="BR257" s="920">
        <v>0</v>
      </c>
      <c r="BS257" s="920">
        <v>0</v>
      </c>
      <c r="BT257" s="920">
        <v>0</v>
      </c>
      <c r="BU257" s="920">
        <v>0</v>
      </c>
      <c r="BV257" s="920">
        <v>0</v>
      </c>
      <c r="BW257" s="920">
        <v>0</v>
      </c>
      <c r="BX257" s="920">
        <v>0</v>
      </c>
      <c r="BY257" s="873">
        <v>0</v>
      </c>
      <c r="BZ257" s="873">
        <v>0</v>
      </c>
      <c r="CA257" s="873">
        <v>0</v>
      </c>
      <c r="CB257" s="873">
        <v>0</v>
      </c>
      <c r="CC257" s="873">
        <v>0</v>
      </c>
      <c r="CD257" s="873">
        <v>0</v>
      </c>
      <c r="CE257" s="873">
        <v>0</v>
      </c>
      <c r="CF257" s="873">
        <v>0</v>
      </c>
      <c r="CG257" s="873">
        <v>0</v>
      </c>
      <c r="CH257" s="873">
        <v>0</v>
      </c>
      <c r="CI257" s="873">
        <v>0</v>
      </c>
      <c r="CJ257" s="873">
        <v>0</v>
      </c>
      <c r="CK257" s="873">
        <v>0</v>
      </c>
      <c r="CL257" s="873">
        <v>0</v>
      </c>
      <c r="CM257" s="873">
        <v>0</v>
      </c>
      <c r="CN257" s="873">
        <v>0</v>
      </c>
      <c r="CO257" s="873">
        <v>0</v>
      </c>
      <c r="CP257" s="873">
        <v>0</v>
      </c>
      <c r="CQ257" s="873">
        <v>0</v>
      </c>
      <c r="CR257" s="873">
        <v>1.44195E-3</v>
      </c>
      <c r="CS257" s="873">
        <v>0</v>
      </c>
      <c r="CT257" s="873">
        <v>0</v>
      </c>
      <c r="CU257" s="873">
        <v>0</v>
      </c>
      <c r="CV257" s="873">
        <v>0</v>
      </c>
      <c r="CW257" s="873">
        <v>0</v>
      </c>
      <c r="CX257" s="873">
        <v>0</v>
      </c>
      <c r="CY257" s="873">
        <v>0</v>
      </c>
      <c r="CZ257" s="873">
        <v>0</v>
      </c>
      <c r="DA257" s="873">
        <v>0</v>
      </c>
      <c r="DB257" s="873">
        <v>0</v>
      </c>
      <c r="DC257" s="873"/>
      <c r="DD257" s="873"/>
      <c r="DE257" s="873"/>
      <c r="DF257" s="873"/>
      <c r="DG257" s="873"/>
      <c r="DH257" s="873"/>
      <c r="DJ257" s="1013"/>
      <c r="DK257" s="1013"/>
      <c r="DL257" s="1013"/>
      <c r="DM257" s="1013"/>
      <c r="DN257" s="1013"/>
      <c r="DO257" s="1013"/>
      <c r="DP257" s="1013"/>
      <c r="DQ257" s="1013"/>
      <c r="DR257" s="1013"/>
      <c r="DS257" s="1013"/>
      <c r="DT257" s="1013"/>
      <c r="DU257" s="1013"/>
      <c r="GF257" s="1013"/>
      <c r="GG257" s="1013"/>
      <c r="GH257" s="1013"/>
      <c r="GI257" s="1013"/>
      <c r="GJ257" s="1013"/>
      <c r="GK257" s="1013"/>
      <c r="GL257" s="1013"/>
      <c r="GM257" s="1013"/>
      <c r="GN257" s="1013"/>
      <c r="GO257" s="1013"/>
      <c r="HU257" s="920"/>
      <c r="HV257" s="920"/>
      <c r="HW257" s="920"/>
      <c r="HX257" s="920"/>
      <c r="HY257" s="920"/>
      <c r="HZ257" s="920"/>
      <c r="IA257" s="920"/>
      <c r="IB257" s="920"/>
      <c r="IC257" s="920"/>
      <c r="ID257" s="920"/>
      <c r="IE257" s="920"/>
      <c r="IP257" s="1013"/>
      <c r="IQ257" s="1013"/>
      <c r="IR257" s="1013"/>
      <c r="IS257" s="1013"/>
      <c r="IT257" s="1013"/>
      <c r="IU257" s="1013"/>
      <c r="IV257" s="1013"/>
      <c r="IX257" s="1013"/>
      <c r="IY257" s="1013"/>
      <c r="IZ257" s="1013"/>
      <c r="JA257" s="1013"/>
      <c r="JB257" s="1013"/>
      <c r="JC257" s="1013"/>
      <c r="JD257" s="1013"/>
      <c r="JO257" s="920" t="e">
        <f>#VALUE!</f>
        <v>#VALUE!</v>
      </c>
      <c r="JP257" s="920" t="e">
        <f>#VALUE!</f>
        <v>#VALUE!</v>
      </c>
      <c r="JQ257" s="920" t="e">
        <f>#VALUE!</f>
        <v>#VALUE!</v>
      </c>
      <c r="JR257" s="920" t="e">
        <f>#VALUE!</f>
        <v>#VALUE!</v>
      </c>
      <c r="JS257" s="920" t="e">
        <f>#VALUE!</f>
        <v>#VALUE!</v>
      </c>
      <c r="JT257" s="920"/>
      <c r="JU257" s="920"/>
      <c r="JV257" s="920"/>
      <c r="JW257" s="920" t="e">
        <f>#VALUE!</f>
        <v>#VALUE!</v>
      </c>
      <c r="JX257" s="920" t="e">
        <f>#VALUE!</f>
        <v>#VALUE!</v>
      </c>
      <c r="JY257" s="920" t="e">
        <f>#VALUE!</f>
        <v>#VALUE!</v>
      </c>
      <c r="KB257" s="1013"/>
      <c r="KC257" s="1013"/>
      <c r="KD257" s="1013"/>
      <c r="KE257" s="1013"/>
      <c r="KF257" s="1013"/>
      <c r="KG257" s="1013"/>
      <c r="KH257" s="1013"/>
      <c r="KJ257" s="1013"/>
      <c r="KK257" s="1013"/>
      <c r="KL257" s="1013"/>
      <c r="KM257" s="1013"/>
      <c r="KN257" s="1013"/>
      <c r="KO257" s="1013"/>
      <c r="KP257" s="1013"/>
      <c r="KR257" s="1013"/>
      <c r="KS257" s="1013"/>
      <c r="KT257" s="1013"/>
      <c r="KU257" s="1013"/>
      <c r="KV257" s="1013"/>
      <c r="KW257" s="1013"/>
      <c r="KX257" s="1013"/>
      <c r="KY257" s="1013"/>
      <c r="KZ257" s="1013"/>
    </row>
    <row r="258" spans="1:312">
      <c r="A258" s="884">
        <v>11200502</v>
      </c>
      <c r="C258" s="1028" t="s">
        <v>797</v>
      </c>
      <c r="D258" s="31"/>
      <c r="E258" s="1011"/>
      <c r="F258" s="1011"/>
      <c r="G258" s="1011"/>
      <c r="H258" s="1011"/>
      <c r="I258" s="1011"/>
      <c r="J258" s="1011"/>
      <c r="K258" s="1011"/>
      <c r="L258" s="1011"/>
      <c r="M258" s="1011"/>
      <c r="N258" s="1011"/>
      <c r="O258" s="1011"/>
      <c r="P258" s="1011"/>
      <c r="Q258" s="1011"/>
      <c r="R258" s="1011"/>
      <c r="S258" s="1011"/>
      <c r="T258" s="1011"/>
      <c r="U258" s="1011"/>
      <c r="V258" s="1011"/>
      <c r="W258" s="1011"/>
      <c r="X258" s="1011"/>
      <c r="Y258" s="1011"/>
      <c r="Z258" s="1011"/>
      <c r="AA258" s="1011"/>
      <c r="AB258" s="1011"/>
      <c r="AC258" s="1011"/>
      <c r="AD258" s="1011"/>
      <c r="AE258" s="1011"/>
      <c r="AF258" s="1011"/>
      <c r="AG258" s="1011"/>
      <c r="AH258" s="1011"/>
      <c r="AI258" s="1011"/>
      <c r="AJ258" s="1011"/>
      <c r="AK258" s="1011"/>
      <c r="AL258" s="1011"/>
      <c r="AM258" s="1011"/>
      <c r="AN258" s="1011"/>
      <c r="AO258" s="873">
        <v>1082.0599278</v>
      </c>
      <c r="AP258" s="920">
        <v>79.999450890000006</v>
      </c>
      <c r="AQ258" s="1010">
        <v>105.21998184</v>
      </c>
      <c r="AR258" s="1010">
        <v>82.507284560000002</v>
      </c>
      <c r="AS258" s="873">
        <v>35.248375229999994</v>
      </c>
      <c r="AT258" s="873">
        <v>74.832957659999991</v>
      </c>
      <c r="AU258" s="873">
        <v>167.07143686000001</v>
      </c>
      <c r="AV258" s="873">
        <v>62.315325270000002</v>
      </c>
      <c r="AW258" s="873">
        <v>35.104505859999996</v>
      </c>
      <c r="AX258" s="873">
        <v>21.757166429999998</v>
      </c>
      <c r="AY258" s="873">
        <v>5.8113828300000003</v>
      </c>
      <c r="AZ258" s="873">
        <v>50.842953610000002</v>
      </c>
      <c r="BA258" s="873">
        <v>0</v>
      </c>
      <c r="BB258" s="873">
        <v>0</v>
      </c>
      <c r="BC258" s="873">
        <v>0</v>
      </c>
      <c r="BD258" s="873">
        <v>0</v>
      </c>
      <c r="BE258" s="920">
        <v>0</v>
      </c>
      <c r="BF258" s="920">
        <v>0</v>
      </c>
      <c r="BG258" s="920">
        <v>0</v>
      </c>
      <c r="BH258" s="920">
        <v>0</v>
      </c>
      <c r="BI258" s="920">
        <v>0</v>
      </c>
      <c r="BJ258" s="920">
        <v>-0.85635617000000008</v>
      </c>
      <c r="BK258" s="920">
        <v>0</v>
      </c>
      <c r="BL258" s="920">
        <v>0</v>
      </c>
      <c r="BM258" s="873">
        <v>-338.85345264</v>
      </c>
      <c r="BN258" s="873">
        <v>0</v>
      </c>
      <c r="BO258" s="873">
        <v>0</v>
      </c>
      <c r="BP258" s="873">
        <v>0</v>
      </c>
      <c r="BQ258" s="873">
        <v>0</v>
      </c>
      <c r="BR258" s="920">
        <v>0</v>
      </c>
      <c r="BS258" s="920">
        <v>0</v>
      </c>
      <c r="BT258" s="920">
        <v>0</v>
      </c>
      <c r="BU258" s="920">
        <v>0</v>
      </c>
      <c r="BV258" s="920">
        <v>0</v>
      </c>
      <c r="BW258" s="920">
        <v>0</v>
      </c>
      <c r="BX258" s="920">
        <v>0</v>
      </c>
      <c r="BY258" s="873">
        <v>0</v>
      </c>
      <c r="BZ258" s="873">
        <v>0</v>
      </c>
      <c r="CA258" s="873">
        <v>0</v>
      </c>
      <c r="CB258" s="873">
        <v>0</v>
      </c>
      <c r="CC258" s="873">
        <v>0</v>
      </c>
      <c r="CD258" s="873">
        <v>0</v>
      </c>
      <c r="CE258" s="873">
        <v>0</v>
      </c>
      <c r="CF258" s="873">
        <v>0</v>
      </c>
      <c r="CG258" s="873">
        <v>0</v>
      </c>
      <c r="CH258" s="873">
        <v>0</v>
      </c>
      <c r="CI258" s="873">
        <v>0</v>
      </c>
      <c r="CJ258" s="873">
        <v>0</v>
      </c>
      <c r="CK258" s="873">
        <v>0</v>
      </c>
      <c r="CL258" s="873">
        <v>0</v>
      </c>
      <c r="CM258" s="873">
        <v>0</v>
      </c>
      <c r="CN258" s="873">
        <v>0</v>
      </c>
      <c r="CO258" s="873">
        <v>0</v>
      </c>
      <c r="CP258" s="873">
        <v>0</v>
      </c>
      <c r="CQ258" s="873">
        <v>0</v>
      </c>
      <c r="CR258" s="873">
        <v>0</v>
      </c>
      <c r="CS258" s="873">
        <v>0</v>
      </c>
      <c r="CT258" s="873">
        <v>0</v>
      </c>
      <c r="CU258" s="873">
        <v>0</v>
      </c>
      <c r="CV258" s="873">
        <v>0</v>
      </c>
      <c r="CW258" s="873">
        <v>0</v>
      </c>
      <c r="CX258" s="873">
        <v>0</v>
      </c>
      <c r="CY258" s="873">
        <v>0</v>
      </c>
      <c r="CZ258" s="873">
        <v>0</v>
      </c>
      <c r="DA258" s="873">
        <v>0</v>
      </c>
      <c r="DB258" s="873">
        <v>0</v>
      </c>
      <c r="DC258" s="873"/>
      <c r="DD258" s="873"/>
      <c r="DE258" s="873"/>
      <c r="DF258" s="873"/>
      <c r="DG258" s="873"/>
      <c r="DH258" s="873"/>
      <c r="DJ258" s="1013"/>
      <c r="DK258" s="1013"/>
      <c r="DL258" s="1013"/>
      <c r="DM258" s="1013"/>
      <c r="DN258" s="1013"/>
      <c r="DO258" s="1013"/>
      <c r="DP258" s="1013"/>
      <c r="DQ258" s="1013"/>
      <c r="DR258" s="1013"/>
      <c r="DS258" s="1013"/>
      <c r="DT258" s="1013"/>
      <c r="DU258" s="1013"/>
      <c r="GF258" s="1013"/>
      <c r="GG258" s="1013"/>
      <c r="GH258" s="1013"/>
      <c r="GI258" s="1013"/>
      <c r="GJ258" s="1013"/>
      <c r="GK258" s="1013"/>
      <c r="GL258" s="1013"/>
      <c r="GM258" s="1013"/>
      <c r="GN258" s="1013"/>
      <c r="GO258" s="1013"/>
      <c r="HU258" s="920"/>
      <c r="HV258" s="920"/>
      <c r="HW258" s="920"/>
      <c r="HX258" s="920"/>
      <c r="HY258" s="920"/>
      <c r="HZ258" s="920"/>
      <c r="IA258" s="920"/>
      <c r="IB258" s="920"/>
      <c r="IC258" s="920"/>
      <c r="ID258" s="920"/>
      <c r="IE258" s="920"/>
      <c r="IP258" s="1013"/>
      <c r="IQ258" s="1013"/>
      <c r="IR258" s="1013"/>
      <c r="IS258" s="1013"/>
      <c r="IT258" s="1013"/>
      <c r="IU258" s="1013"/>
      <c r="IV258" s="1013"/>
      <c r="IX258" s="1013"/>
      <c r="IY258" s="1013"/>
      <c r="IZ258" s="1013"/>
      <c r="JA258" s="1013"/>
      <c r="JB258" s="1013"/>
      <c r="JC258" s="1013"/>
      <c r="JD258" s="1013"/>
      <c r="JO258" s="920" t="e">
        <f>#VALUE!</f>
        <v>#VALUE!</v>
      </c>
      <c r="JP258" s="920" t="e">
        <f>#VALUE!</f>
        <v>#VALUE!</v>
      </c>
      <c r="JQ258" s="920" t="e">
        <f>#VALUE!</f>
        <v>#VALUE!</v>
      </c>
      <c r="JR258" s="920" t="e">
        <f>#VALUE!</f>
        <v>#VALUE!</v>
      </c>
      <c r="JS258" s="920" t="e">
        <f>#VALUE!</f>
        <v>#VALUE!</v>
      </c>
      <c r="JT258" s="920"/>
      <c r="JU258" s="920"/>
      <c r="JV258" s="920"/>
      <c r="JW258" s="920" t="e">
        <f>#VALUE!</f>
        <v>#VALUE!</v>
      </c>
      <c r="JX258" s="920" t="e">
        <f>#VALUE!</f>
        <v>#VALUE!</v>
      </c>
      <c r="JY258" s="920" t="e">
        <f>#VALUE!</f>
        <v>#VALUE!</v>
      </c>
      <c r="KB258" s="1013"/>
      <c r="KC258" s="1013"/>
      <c r="KD258" s="1013"/>
      <c r="KE258" s="1013"/>
      <c r="KF258" s="1013"/>
      <c r="KG258" s="1013"/>
      <c r="KH258" s="1013"/>
      <c r="KJ258" s="1013"/>
      <c r="KK258" s="1013"/>
      <c r="KL258" s="1013"/>
      <c r="KM258" s="1013"/>
      <c r="KN258" s="1013"/>
      <c r="KO258" s="1013"/>
      <c r="KP258" s="1013"/>
      <c r="KR258" s="1013"/>
      <c r="KS258" s="1013"/>
      <c r="KT258" s="1013"/>
      <c r="KU258" s="1013"/>
      <c r="KV258" s="1013"/>
      <c r="KW258" s="1013"/>
      <c r="KX258" s="1013"/>
      <c r="KY258" s="1013"/>
      <c r="KZ258" s="1013"/>
    </row>
    <row r="259" spans="1:312">
      <c r="A259" s="884">
        <v>11200503</v>
      </c>
      <c r="C259" s="1028" t="s">
        <v>798</v>
      </c>
      <c r="D259" s="31"/>
      <c r="E259" s="1011"/>
      <c r="F259" s="1011"/>
      <c r="G259" s="1011"/>
      <c r="H259" s="1011"/>
      <c r="I259" s="1011"/>
      <c r="J259" s="1011"/>
      <c r="K259" s="1011"/>
      <c r="L259" s="1011"/>
      <c r="M259" s="1011"/>
      <c r="N259" s="1011"/>
      <c r="O259" s="1011"/>
      <c r="P259" s="1011"/>
      <c r="Q259" s="1011"/>
      <c r="R259" s="1011"/>
      <c r="S259" s="1011"/>
      <c r="T259" s="1011"/>
      <c r="U259" s="1011"/>
      <c r="V259" s="1011"/>
      <c r="W259" s="1011"/>
      <c r="X259" s="1011"/>
      <c r="Y259" s="1011"/>
      <c r="Z259" s="1011"/>
      <c r="AA259" s="1011"/>
      <c r="AB259" s="1011"/>
      <c r="AC259" s="1011"/>
      <c r="AD259" s="1011"/>
      <c r="AE259" s="1011"/>
      <c r="AF259" s="1011"/>
      <c r="AG259" s="1011"/>
      <c r="AH259" s="1011"/>
      <c r="AI259" s="1011"/>
      <c r="AJ259" s="1011"/>
      <c r="AK259" s="1011"/>
      <c r="AL259" s="1011"/>
      <c r="AM259" s="1011"/>
      <c r="AN259" s="1011"/>
      <c r="AO259" s="873">
        <v>1.7600000000000001E-2</v>
      </c>
      <c r="AP259" s="920">
        <v>1.7600000000000001E-2</v>
      </c>
      <c r="AQ259" s="1010">
        <v>1.7601249999999999E-2</v>
      </c>
      <c r="AR259" s="1010">
        <v>0</v>
      </c>
      <c r="AS259" s="873">
        <v>0</v>
      </c>
      <c r="AT259" s="873">
        <v>0</v>
      </c>
      <c r="AU259" s="873">
        <v>0</v>
      </c>
      <c r="AV259" s="873">
        <v>0</v>
      </c>
      <c r="AW259" s="873">
        <v>0</v>
      </c>
      <c r="AX259" s="873">
        <v>0</v>
      </c>
      <c r="AY259" s="873">
        <v>0</v>
      </c>
      <c r="AZ259" s="873">
        <v>0</v>
      </c>
      <c r="BA259" s="873">
        <v>0</v>
      </c>
      <c r="BB259" s="873">
        <v>0</v>
      </c>
      <c r="BC259" s="873">
        <v>0</v>
      </c>
      <c r="BD259" s="873">
        <v>0</v>
      </c>
      <c r="BE259" s="920">
        <v>0</v>
      </c>
      <c r="BF259" s="920">
        <v>0</v>
      </c>
      <c r="BG259" s="920">
        <v>0</v>
      </c>
      <c r="BH259" s="920">
        <v>0</v>
      </c>
      <c r="BI259" s="920">
        <v>0</v>
      </c>
      <c r="BJ259" s="920">
        <v>0</v>
      </c>
      <c r="BK259" s="920">
        <v>0</v>
      </c>
      <c r="BL259" s="920">
        <v>0</v>
      </c>
      <c r="BM259" s="873">
        <v>0</v>
      </c>
      <c r="BN259" s="873">
        <v>0</v>
      </c>
      <c r="BO259" s="873">
        <v>0</v>
      </c>
      <c r="BP259" s="873">
        <v>0</v>
      </c>
      <c r="BQ259" s="873">
        <v>0</v>
      </c>
      <c r="BR259" s="920">
        <v>0</v>
      </c>
      <c r="BS259" s="920">
        <v>0</v>
      </c>
      <c r="BT259" s="920">
        <v>0</v>
      </c>
      <c r="BU259" s="920">
        <v>0</v>
      </c>
      <c r="BV259" s="920">
        <v>0</v>
      </c>
      <c r="BW259" s="920">
        <v>0</v>
      </c>
      <c r="BX259" s="920">
        <v>0</v>
      </c>
      <c r="BY259" s="873">
        <v>0</v>
      </c>
      <c r="BZ259" s="873">
        <v>0</v>
      </c>
      <c r="CA259" s="873">
        <v>0</v>
      </c>
      <c r="CB259" s="873">
        <v>0</v>
      </c>
      <c r="CC259" s="873">
        <v>0</v>
      </c>
      <c r="CD259" s="873">
        <v>0</v>
      </c>
      <c r="CE259" s="873">
        <v>0</v>
      </c>
      <c r="CF259" s="873">
        <v>0</v>
      </c>
      <c r="CG259" s="873">
        <v>0</v>
      </c>
      <c r="CH259" s="873">
        <v>0</v>
      </c>
      <c r="CI259" s="873">
        <v>0</v>
      </c>
      <c r="CJ259" s="873">
        <v>0</v>
      </c>
      <c r="CK259" s="873">
        <v>0</v>
      </c>
      <c r="CL259" s="873">
        <v>0</v>
      </c>
      <c r="CM259" s="873">
        <v>0</v>
      </c>
      <c r="CN259" s="873">
        <v>0</v>
      </c>
      <c r="CO259" s="873">
        <v>0</v>
      </c>
      <c r="CP259" s="873">
        <v>0</v>
      </c>
      <c r="CQ259" s="873">
        <v>0</v>
      </c>
      <c r="CR259" s="873">
        <v>0</v>
      </c>
      <c r="CS259" s="873">
        <v>0</v>
      </c>
      <c r="CT259" s="873">
        <v>0</v>
      </c>
      <c r="CU259" s="873">
        <v>0</v>
      </c>
      <c r="CV259" s="873">
        <v>0</v>
      </c>
      <c r="CW259" s="873">
        <v>0</v>
      </c>
      <c r="CX259" s="873">
        <v>0</v>
      </c>
      <c r="CY259" s="873">
        <v>0</v>
      </c>
      <c r="CZ259" s="873">
        <v>0</v>
      </c>
      <c r="DA259" s="873">
        <v>0</v>
      </c>
      <c r="DB259" s="873">
        <v>0</v>
      </c>
      <c r="DC259" s="873"/>
      <c r="DD259" s="873"/>
      <c r="DE259" s="873"/>
      <c r="DF259" s="873"/>
      <c r="DG259" s="873"/>
      <c r="DH259" s="873"/>
      <c r="DJ259" s="1013"/>
      <c r="DK259" s="1013"/>
      <c r="DL259" s="1013"/>
      <c r="DM259" s="1013"/>
      <c r="DN259" s="1013"/>
      <c r="DO259" s="1013"/>
      <c r="DP259" s="1013"/>
      <c r="DQ259" s="1013"/>
      <c r="DR259" s="1013"/>
      <c r="DS259" s="1013"/>
      <c r="DT259" s="1013"/>
      <c r="DU259" s="1013"/>
      <c r="GF259" s="1013"/>
      <c r="GG259" s="1013"/>
      <c r="GH259" s="1013"/>
      <c r="GI259" s="1013"/>
      <c r="GJ259" s="1013"/>
      <c r="GK259" s="1013"/>
      <c r="GL259" s="1013"/>
      <c r="GM259" s="1013"/>
      <c r="GN259" s="1013"/>
      <c r="GO259" s="1013"/>
      <c r="HU259" s="920"/>
      <c r="HV259" s="920"/>
      <c r="HW259" s="920"/>
      <c r="HX259" s="920"/>
      <c r="HY259" s="920"/>
      <c r="HZ259" s="920"/>
      <c r="IA259" s="920"/>
      <c r="IB259" s="920"/>
      <c r="IC259" s="920"/>
      <c r="ID259" s="920"/>
      <c r="IE259" s="920"/>
      <c r="IP259" s="1013"/>
      <c r="IQ259" s="1013"/>
      <c r="IR259" s="1013"/>
      <c r="IS259" s="1013"/>
      <c r="IT259" s="1013"/>
      <c r="IU259" s="1013"/>
      <c r="IV259" s="1013"/>
      <c r="IX259" s="1013"/>
      <c r="IY259" s="1013"/>
      <c r="IZ259" s="1013"/>
      <c r="JA259" s="1013"/>
      <c r="JB259" s="1013"/>
      <c r="JC259" s="1013"/>
      <c r="JD259" s="1013"/>
      <c r="JO259" s="920" t="e">
        <f>#VALUE!</f>
        <v>#VALUE!</v>
      </c>
      <c r="JP259" s="920" t="e">
        <f>#VALUE!</f>
        <v>#VALUE!</v>
      </c>
      <c r="JQ259" s="920" t="e">
        <f>#VALUE!</f>
        <v>#VALUE!</v>
      </c>
      <c r="JR259" s="920" t="e">
        <f>#VALUE!</f>
        <v>#VALUE!</v>
      </c>
      <c r="JS259" s="920" t="e">
        <f>#VALUE!</f>
        <v>#VALUE!</v>
      </c>
      <c r="JT259" s="920"/>
      <c r="JU259" s="920"/>
      <c r="JV259" s="920"/>
      <c r="JW259" s="920" t="e">
        <f>#VALUE!</f>
        <v>#VALUE!</v>
      </c>
      <c r="JX259" s="920" t="e">
        <f>#VALUE!</f>
        <v>#VALUE!</v>
      </c>
      <c r="JY259" s="920" t="e">
        <f>#VALUE!</f>
        <v>#VALUE!</v>
      </c>
      <c r="KB259" s="1013"/>
      <c r="KC259" s="1013"/>
      <c r="KD259" s="1013"/>
      <c r="KE259" s="1013"/>
      <c r="KF259" s="1013"/>
      <c r="KG259" s="1013"/>
      <c r="KH259" s="1013"/>
      <c r="KJ259" s="1013"/>
      <c r="KK259" s="1013"/>
      <c r="KL259" s="1013"/>
      <c r="KM259" s="1013"/>
      <c r="KN259" s="1013"/>
      <c r="KO259" s="1013"/>
      <c r="KP259" s="1013"/>
      <c r="KR259" s="1013"/>
      <c r="KS259" s="1013"/>
      <c r="KT259" s="1013"/>
      <c r="KU259" s="1013"/>
      <c r="KV259" s="1013"/>
      <c r="KW259" s="1013"/>
      <c r="KX259" s="1013"/>
      <c r="KY259" s="1013"/>
      <c r="KZ259" s="1013"/>
    </row>
    <row r="260" spans="1:312">
      <c r="A260" s="884">
        <v>12450501</v>
      </c>
      <c r="C260" s="1028" t="s">
        <v>799</v>
      </c>
      <c r="D260" s="31"/>
      <c r="E260" s="1011"/>
      <c r="F260" s="1011"/>
      <c r="G260" s="1011"/>
      <c r="H260" s="1011"/>
      <c r="I260" s="1011"/>
      <c r="J260" s="1011"/>
      <c r="K260" s="1011"/>
      <c r="L260" s="1011"/>
      <c r="M260" s="1011"/>
      <c r="N260" s="1011"/>
      <c r="O260" s="1011"/>
      <c r="P260" s="1011"/>
      <c r="Q260" s="1011"/>
      <c r="R260" s="1011"/>
      <c r="S260" s="1011"/>
      <c r="T260" s="1011"/>
      <c r="U260" s="1011"/>
      <c r="V260" s="1011"/>
      <c r="W260" s="1011"/>
      <c r="X260" s="1011"/>
      <c r="Y260" s="1011"/>
      <c r="Z260" s="1011"/>
      <c r="AA260" s="1011"/>
      <c r="AB260" s="1011"/>
      <c r="AC260" s="1011"/>
      <c r="AD260" s="1011"/>
      <c r="AE260" s="1011"/>
      <c r="AF260" s="1011"/>
      <c r="AG260" s="1011"/>
      <c r="AH260" s="1011"/>
      <c r="AI260" s="1011"/>
      <c r="AJ260" s="1011"/>
      <c r="AK260" s="1011"/>
      <c r="AL260" s="1011"/>
      <c r="AM260" s="1011"/>
      <c r="AN260" s="1011"/>
      <c r="AO260" s="873">
        <v>1009.5687171799999</v>
      </c>
      <c r="AP260" s="920">
        <v>311.02149921</v>
      </c>
      <c r="AQ260" s="1010">
        <v>1563.5328297999999</v>
      </c>
      <c r="AR260" s="1010">
        <v>1467.2495228399998</v>
      </c>
      <c r="AS260" s="873">
        <v>8.3469703699999993</v>
      </c>
      <c r="AT260" s="873">
        <v>138.96333928000001</v>
      </c>
      <c r="AU260" s="873">
        <v>589.82929442</v>
      </c>
      <c r="AV260" s="873">
        <v>110.33883231999999</v>
      </c>
      <c r="AW260" s="873">
        <v>11.527627460000001</v>
      </c>
      <c r="AX260" s="873">
        <v>1.6203488300000002</v>
      </c>
      <c r="AY260" s="873">
        <v>4.6398889099999998</v>
      </c>
      <c r="AZ260" s="873">
        <v>10.67657249</v>
      </c>
      <c r="BA260" s="873">
        <v>0</v>
      </c>
      <c r="BB260" s="873">
        <v>0</v>
      </c>
      <c r="BC260" s="873">
        <v>0</v>
      </c>
      <c r="BD260" s="873">
        <v>0</v>
      </c>
      <c r="BE260" s="920">
        <v>0</v>
      </c>
      <c r="BF260" s="920">
        <v>0</v>
      </c>
      <c r="BG260" s="920">
        <v>0</v>
      </c>
      <c r="BH260" s="920">
        <v>0</v>
      </c>
      <c r="BI260" s="920">
        <v>0</v>
      </c>
      <c r="BJ260" s="920">
        <v>0.12143141</v>
      </c>
      <c r="BK260" s="920">
        <v>0</v>
      </c>
      <c r="BL260" s="920">
        <v>0</v>
      </c>
      <c r="BM260" s="873">
        <v>0</v>
      </c>
      <c r="BN260" s="873">
        <v>0</v>
      </c>
      <c r="BO260" s="873">
        <v>0</v>
      </c>
      <c r="BP260" s="873">
        <v>0</v>
      </c>
      <c r="BQ260" s="873">
        <v>0</v>
      </c>
      <c r="BR260" s="920">
        <v>0</v>
      </c>
      <c r="BS260" s="920">
        <v>0</v>
      </c>
      <c r="BT260" s="920">
        <v>0</v>
      </c>
      <c r="BU260" s="920">
        <v>0</v>
      </c>
      <c r="BV260" s="920">
        <v>0</v>
      </c>
      <c r="BW260" s="920">
        <v>0</v>
      </c>
      <c r="BX260" s="920">
        <v>0</v>
      </c>
      <c r="BY260" s="873">
        <v>0</v>
      </c>
      <c r="BZ260" s="873">
        <v>0</v>
      </c>
      <c r="CA260" s="873">
        <v>0</v>
      </c>
      <c r="CB260" s="873">
        <v>0</v>
      </c>
      <c r="CC260" s="873">
        <v>0</v>
      </c>
      <c r="CD260" s="873">
        <v>0</v>
      </c>
      <c r="CE260" s="873">
        <v>0</v>
      </c>
      <c r="CF260" s="873">
        <v>0</v>
      </c>
      <c r="CG260" s="873">
        <v>0</v>
      </c>
      <c r="CH260" s="873">
        <v>0</v>
      </c>
      <c r="CI260" s="873">
        <v>0</v>
      </c>
      <c r="CJ260" s="873">
        <v>0</v>
      </c>
      <c r="CK260" s="873">
        <v>0</v>
      </c>
      <c r="CL260" s="873">
        <v>0</v>
      </c>
      <c r="CM260" s="873">
        <v>0</v>
      </c>
      <c r="CN260" s="873">
        <v>0</v>
      </c>
      <c r="CO260" s="873">
        <v>0</v>
      </c>
      <c r="CP260" s="873">
        <v>0</v>
      </c>
      <c r="CQ260" s="873">
        <v>0</v>
      </c>
      <c r="CR260" s="873">
        <v>0</v>
      </c>
      <c r="CS260" s="873">
        <v>0</v>
      </c>
      <c r="CT260" s="873">
        <v>0</v>
      </c>
      <c r="CU260" s="873">
        <v>0</v>
      </c>
      <c r="CV260" s="873">
        <v>0</v>
      </c>
      <c r="CW260" s="873">
        <v>0</v>
      </c>
      <c r="CX260" s="873">
        <v>0</v>
      </c>
      <c r="CY260" s="873">
        <v>0</v>
      </c>
      <c r="CZ260" s="873">
        <v>0</v>
      </c>
      <c r="DA260" s="873">
        <v>0</v>
      </c>
      <c r="DB260" s="873">
        <v>0</v>
      </c>
      <c r="DC260" s="873"/>
      <c r="DD260" s="873"/>
      <c r="DE260" s="873"/>
      <c r="DF260" s="873"/>
      <c r="DG260" s="873"/>
      <c r="DH260" s="873"/>
      <c r="DJ260" s="1013"/>
      <c r="DK260" s="1013"/>
      <c r="DL260" s="1013"/>
      <c r="DM260" s="1013"/>
      <c r="DN260" s="1013"/>
      <c r="DO260" s="1013"/>
      <c r="DP260" s="1013"/>
      <c r="DQ260" s="1013"/>
      <c r="DR260" s="1013"/>
      <c r="DS260" s="1013"/>
      <c r="DT260" s="1013"/>
      <c r="DU260" s="1013"/>
      <c r="GF260" s="1013"/>
      <c r="GG260" s="1013"/>
      <c r="GH260" s="1013"/>
      <c r="GI260" s="1013"/>
      <c r="GJ260" s="1013"/>
      <c r="GK260" s="1013"/>
      <c r="GL260" s="1013"/>
      <c r="GM260" s="1013"/>
      <c r="GN260" s="1013"/>
      <c r="GO260" s="1013"/>
      <c r="HU260" s="920"/>
      <c r="HV260" s="920"/>
      <c r="HW260" s="920"/>
      <c r="HX260" s="920"/>
      <c r="HY260" s="920"/>
      <c r="HZ260" s="920"/>
      <c r="IA260" s="920"/>
      <c r="IB260" s="920"/>
      <c r="IC260" s="920"/>
      <c r="ID260" s="920"/>
      <c r="IE260" s="920"/>
      <c r="IP260" s="1013"/>
      <c r="IQ260" s="1013"/>
      <c r="IR260" s="1013"/>
      <c r="IS260" s="1013"/>
      <c r="IT260" s="1013"/>
      <c r="IU260" s="1013"/>
      <c r="IV260" s="1013"/>
      <c r="IX260" s="1013"/>
      <c r="IY260" s="1013"/>
      <c r="IZ260" s="1013"/>
      <c r="JA260" s="1013"/>
      <c r="JB260" s="1013"/>
      <c r="JC260" s="1013"/>
      <c r="JD260" s="1013"/>
      <c r="JO260" s="920" t="e">
        <f>#VALUE!</f>
        <v>#VALUE!</v>
      </c>
      <c r="JP260" s="920" t="e">
        <f>#VALUE!</f>
        <v>#VALUE!</v>
      </c>
      <c r="JQ260" s="920" t="e">
        <f>#VALUE!</f>
        <v>#VALUE!</v>
      </c>
      <c r="JR260" s="920" t="e">
        <f>#VALUE!</f>
        <v>#VALUE!</v>
      </c>
      <c r="JS260" s="920" t="e">
        <f>#VALUE!</f>
        <v>#VALUE!</v>
      </c>
      <c r="JT260" s="920"/>
      <c r="JU260" s="920"/>
      <c r="JV260" s="920"/>
      <c r="JW260" s="920" t="e">
        <f>#VALUE!</f>
        <v>#VALUE!</v>
      </c>
      <c r="JX260" s="920" t="e">
        <f>#VALUE!</f>
        <v>#VALUE!</v>
      </c>
      <c r="JY260" s="920" t="e">
        <f>#VALUE!</f>
        <v>#VALUE!</v>
      </c>
      <c r="KB260" s="1013"/>
      <c r="KC260" s="1013"/>
      <c r="KD260" s="1013"/>
      <c r="KE260" s="1013"/>
      <c r="KF260" s="1013"/>
      <c r="KG260" s="1013"/>
      <c r="KH260" s="1013"/>
      <c r="KJ260" s="1013"/>
      <c r="KK260" s="1013"/>
      <c r="KL260" s="1013"/>
      <c r="KM260" s="1013"/>
      <c r="KN260" s="1013"/>
      <c r="KO260" s="1013"/>
      <c r="KP260" s="1013"/>
      <c r="KR260" s="1013"/>
      <c r="KS260" s="1013"/>
      <c r="KT260" s="1013"/>
      <c r="KU260" s="1013"/>
      <c r="KV260" s="1013"/>
      <c r="KW260" s="1013"/>
      <c r="KX260" s="1013"/>
      <c r="KY260" s="1013"/>
      <c r="KZ260" s="1013"/>
    </row>
    <row r="261" spans="1:312">
      <c r="A261" s="884">
        <v>12450504</v>
      </c>
      <c r="C261" s="1028" t="s">
        <v>800</v>
      </c>
      <c r="D261" s="31"/>
      <c r="E261" s="1011"/>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1"/>
      <c r="AI261" s="1011"/>
      <c r="AJ261" s="1011"/>
      <c r="AK261" s="1011"/>
      <c r="AL261" s="1011"/>
      <c r="AM261" s="1011"/>
      <c r="AN261" s="1011"/>
      <c r="AO261" s="873">
        <v>0</v>
      </c>
      <c r="AP261" s="920">
        <v>0</v>
      </c>
      <c r="AQ261" s="1010">
        <v>0</v>
      </c>
      <c r="AR261" s="1010">
        <v>0</v>
      </c>
      <c r="AS261" s="873">
        <v>0</v>
      </c>
      <c r="AT261" s="873">
        <v>20.536860090000001</v>
      </c>
      <c r="AU261" s="873">
        <v>20.550224170000003</v>
      </c>
      <c r="AV261" s="873">
        <v>20.567596170000002</v>
      </c>
      <c r="AW261" s="873">
        <v>20.58442617</v>
      </c>
      <c r="AX261" s="873">
        <v>20.601825170000001</v>
      </c>
      <c r="AY261" s="873">
        <v>20.618685170000003</v>
      </c>
      <c r="AZ261" s="873">
        <v>20.636110170000002</v>
      </c>
      <c r="BA261" s="873">
        <v>0</v>
      </c>
      <c r="BB261" s="873">
        <v>0</v>
      </c>
      <c r="BC261" s="873">
        <v>0</v>
      </c>
      <c r="BD261" s="873">
        <v>0</v>
      </c>
      <c r="BE261" s="920">
        <v>0</v>
      </c>
      <c r="BF261" s="920">
        <v>0</v>
      </c>
      <c r="BG261" s="920">
        <v>0</v>
      </c>
      <c r="BH261" s="920">
        <v>0</v>
      </c>
      <c r="BI261" s="920">
        <v>0</v>
      </c>
      <c r="BJ261" s="920">
        <v>0</v>
      </c>
      <c r="BK261" s="920">
        <v>0</v>
      </c>
      <c r="BL261" s="920">
        <v>0</v>
      </c>
      <c r="BM261" s="873">
        <v>0</v>
      </c>
      <c r="BN261" s="873">
        <v>0</v>
      </c>
      <c r="BO261" s="873">
        <v>0</v>
      </c>
      <c r="BP261" s="873">
        <v>0</v>
      </c>
      <c r="BQ261" s="873">
        <v>0</v>
      </c>
      <c r="BR261" s="920">
        <v>0</v>
      </c>
      <c r="BS261" s="920">
        <v>0</v>
      </c>
      <c r="BT261" s="920">
        <v>0</v>
      </c>
      <c r="BU261" s="920">
        <v>0</v>
      </c>
      <c r="BV261" s="920">
        <v>0</v>
      </c>
      <c r="BW261" s="920">
        <v>0</v>
      </c>
      <c r="BX261" s="920">
        <v>0</v>
      </c>
      <c r="BY261" s="873">
        <v>0</v>
      </c>
      <c r="BZ261" s="873">
        <v>0</v>
      </c>
      <c r="CA261" s="873">
        <v>0</v>
      </c>
      <c r="CB261" s="873">
        <v>0</v>
      </c>
      <c r="CC261" s="873">
        <v>0</v>
      </c>
      <c r="CD261" s="873">
        <v>0</v>
      </c>
      <c r="CE261" s="873">
        <v>0</v>
      </c>
      <c r="CF261" s="873">
        <v>0</v>
      </c>
      <c r="CG261" s="873">
        <v>0</v>
      </c>
      <c r="CH261" s="873">
        <v>0</v>
      </c>
      <c r="CI261" s="873">
        <v>0</v>
      </c>
      <c r="CJ261" s="873">
        <v>0</v>
      </c>
      <c r="CK261" s="873">
        <v>0</v>
      </c>
      <c r="CL261" s="873">
        <v>0</v>
      </c>
      <c r="CM261" s="873">
        <v>0</v>
      </c>
      <c r="CN261" s="873">
        <v>0</v>
      </c>
      <c r="CO261" s="873">
        <v>0</v>
      </c>
      <c r="CP261" s="873">
        <v>0</v>
      </c>
      <c r="CQ261" s="873">
        <v>0</v>
      </c>
      <c r="CR261" s="873">
        <v>0</v>
      </c>
      <c r="CS261" s="873">
        <v>0</v>
      </c>
      <c r="CT261" s="873">
        <v>0</v>
      </c>
      <c r="CU261" s="873">
        <v>0</v>
      </c>
      <c r="CV261" s="873">
        <v>0</v>
      </c>
      <c r="CW261" s="873">
        <v>0</v>
      </c>
      <c r="CX261" s="873">
        <v>0</v>
      </c>
      <c r="CY261" s="873">
        <v>0</v>
      </c>
      <c r="CZ261" s="873">
        <v>0</v>
      </c>
      <c r="DA261" s="873">
        <v>0</v>
      </c>
      <c r="DB261" s="873">
        <v>0</v>
      </c>
      <c r="DC261" s="873"/>
      <c r="DD261" s="873"/>
      <c r="DE261" s="873"/>
      <c r="DF261" s="873"/>
      <c r="DG261" s="873"/>
      <c r="DH261" s="873"/>
      <c r="DJ261" s="1013"/>
      <c r="DK261" s="1013"/>
      <c r="DL261" s="1013"/>
      <c r="DM261" s="1013"/>
      <c r="DN261" s="1013"/>
      <c r="DO261" s="1013"/>
      <c r="DP261" s="1013"/>
      <c r="DQ261" s="1013"/>
      <c r="DR261" s="1013"/>
      <c r="DS261" s="1013"/>
      <c r="DT261" s="1013"/>
      <c r="DU261" s="1013"/>
      <c r="GF261" s="1013"/>
      <c r="GG261" s="1013"/>
      <c r="GH261" s="1013"/>
      <c r="GI261" s="1013"/>
      <c r="GJ261" s="1013"/>
      <c r="GK261" s="1013"/>
      <c r="GL261" s="1013"/>
      <c r="GM261" s="1013"/>
      <c r="GN261" s="1013"/>
      <c r="GO261" s="1013"/>
      <c r="HU261" s="920"/>
      <c r="HV261" s="920"/>
      <c r="HW261" s="920"/>
      <c r="HX261" s="920"/>
      <c r="HY261" s="920"/>
      <c r="HZ261" s="920"/>
      <c r="IA261" s="920"/>
      <c r="IB261" s="920"/>
      <c r="IC261" s="920"/>
      <c r="ID261" s="920"/>
      <c r="IE261" s="920"/>
      <c r="IP261" s="1013"/>
      <c r="IQ261" s="1013"/>
      <c r="IR261" s="1013"/>
      <c r="IS261" s="1013"/>
      <c r="IT261" s="1013"/>
      <c r="IU261" s="1013"/>
      <c r="IV261" s="1013"/>
      <c r="IX261" s="1013"/>
      <c r="IY261" s="1013"/>
      <c r="IZ261" s="1013"/>
      <c r="JA261" s="1013"/>
      <c r="JB261" s="1013"/>
      <c r="JC261" s="1013"/>
      <c r="JD261" s="1013"/>
      <c r="JO261" s="920" t="e">
        <f>#VALUE!</f>
        <v>#VALUE!</v>
      </c>
      <c r="JP261" s="920" t="e">
        <f>#VALUE!</f>
        <v>#VALUE!</v>
      </c>
      <c r="JQ261" s="920" t="e">
        <f>#VALUE!</f>
        <v>#VALUE!</v>
      </c>
      <c r="JR261" s="920" t="e">
        <f>#VALUE!</f>
        <v>#VALUE!</v>
      </c>
      <c r="JS261" s="920" t="e">
        <f>#VALUE!</f>
        <v>#VALUE!</v>
      </c>
      <c r="JT261" s="920"/>
      <c r="JU261" s="920"/>
      <c r="JV261" s="920"/>
      <c r="JW261" s="920" t="e">
        <f>#VALUE!</f>
        <v>#VALUE!</v>
      </c>
      <c r="JX261" s="920" t="e">
        <f>#VALUE!</f>
        <v>#VALUE!</v>
      </c>
      <c r="JY261" s="920" t="e">
        <f>#VALUE!</f>
        <v>#VALUE!</v>
      </c>
      <c r="KB261" s="1013"/>
      <c r="KC261" s="1013"/>
      <c r="KD261" s="1013"/>
      <c r="KE261" s="1013"/>
      <c r="KF261" s="1013"/>
      <c r="KG261" s="1013"/>
      <c r="KH261" s="1013"/>
      <c r="KJ261" s="1013"/>
      <c r="KK261" s="1013"/>
      <c r="KL261" s="1013"/>
      <c r="KM261" s="1013"/>
      <c r="KN261" s="1013"/>
      <c r="KO261" s="1013"/>
      <c r="KP261" s="1013"/>
      <c r="KR261" s="1013"/>
      <c r="KS261" s="1013"/>
      <c r="KT261" s="1013"/>
      <c r="KU261" s="1013"/>
      <c r="KV261" s="1013"/>
      <c r="KW261" s="1013"/>
      <c r="KX261" s="1013"/>
      <c r="KY261" s="1013"/>
      <c r="KZ261" s="1013"/>
    </row>
    <row r="262" spans="1:312">
      <c r="A262" s="884">
        <v>11109001</v>
      </c>
      <c r="C262" s="1028" t="s">
        <v>801</v>
      </c>
      <c r="D262" s="31"/>
      <c r="E262" s="1011"/>
      <c r="F262" s="1011"/>
      <c r="G262" s="1011"/>
      <c r="H262" s="1011"/>
      <c r="I262" s="1011"/>
      <c r="J262" s="1011"/>
      <c r="K262" s="1011"/>
      <c r="L262" s="1011"/>
      <c r="M262" s="1011"/>
      <c r="N262" s="1011"/>
      <c r="O262" s="1011"/>
      <c r="P262" s="1011"/>
      <c r="Q262" s="1011"/>
      <c r="R262" s="1011"/>
      <c r="S262" s="1011"/>
      <c r="T262" s="1011"/>
      <c r="U262" s="1011"/>
      <c r="V262" s="1011"/>
      <c r="W262" s="1011"/>
      <c r="X262" s="1011"/>
      <c r="Y262" s="1011"/>
      <c r="Z262" s="1011"/>
      <c r="AA262" s="1011"/>
      <c r="AB262" s="1011"/>
      <c r="AC262" s="1011"/>
      <c r="AD262" s="1011"/>
      <c r="AE262" s="1011"/>
      <c r="AF262" s="1011"/>
      <c r="AG262" s="1011"/>
      <c r="AH262" s="1011"/>
      <c r="AI262" s="1011"/>
      <c r="AJ262" s="1011"/>
      <c r="AK262" s="1011"/>
      <c r="AL262" s="1011"/>
      <c r="AM262" s="1011"/>
      <c r="AN262" s="1011"/>
      <c r="AO262" s="873">
        <v>0</v>
      </c>
      <c r="AP262" s="920">
        <v>0</v>
      </c>
      <c r="AQ262" s="1010">
        <v>0</v>
      </c>
      <c r="AR262" s="1010">
        <v>0</v>
      </c>
      <c r="AS262" s="873">
        <v>0</v>
      </c>
      <c r="AT262" s="873">
        <v>0</v>
      </c>
      <c r="AU262" s="873">
        <v>0</v>
      </c>
      <c r="AV262" s="873">
        <v>0</v>
      </c>
      <c r="AW262" s="873">
        <v>0</v>
      </c>
      <c r="AX262" s="873">
        <v>0</v>
      </c>
      <c r="AY262" s="873">
        <v>0</v>
      </c>
      <c r="AZ262" s="873">
        <v>0</v>
      </c>
      <c r="BA262" s="873">
        <v>639.71991041000001</v>
      </c>
      <c r="BB262" s="873">
        <v>816.52032979000001</v>
      </c>
      <c r="BC262" s="873">
        <v>452.61249125000001</v>
      </c>
      <c r="BD262" s="873">
        <v>1506.3966861600002</v>
      </c>
      <c r="BE262" s="920">
        <v>499.77373542000004</v>
      </c>
      <c r="BF262" s="920">
        <v>161.23459261000002</v>
      </c>
      <c r="BG262" s="920">
        <v>267.75896308</v>
      </c>
      <c r="BH262" s="920">
        <v>15.51668682</v>
      </c>
      <c r="BI262" s="920">
        <v>39.934428830000002</v>
      </c>
      <c r="BJ262" s="920">
        <v>118.67181092</v>
      </c>
      <c r="BK262" s="920">
        <v>1201.4780900399999</v>
      </c>
      <c r="BL262" s="920">
        <v>995.28514159000008</v>
      </c>
      <c r="BM262" s="873">
        <v>1057.1950130800001</v>
      </c>
      <c r="BN262" s="873">
        <v>108.9826116</v>
      </c>
      <c r="BO262" s="873">
        <v>532.60934043999998</v>
      </c>
      <c r="BP262" s="873">
        <v>273.69954110000003</v>
      </c>
      <c r="BQ262" s="873">
        <v>809.50538140000003</v>
      </c>
      <c r="BR262" s="920">
        <v>760.83605007000006</v>
      </c>
      <c r="BS262" s="920">
        <v>476.58964413999996</v>
      </c>
      <c r="BT262" s="920">
        <v>581.39037716999997</v>
      </c>
      <c r="BU262" s="920">
        <v>220.19216511000002</v>
      </c>
      <c r="BV262" s="920">
        <v>1055.3493798500001</v>
      </c>
      <c r="BW262" s="920">
        <v>882.44866962000003</v>
      </c>
      <c r="BX262" s="920">
        <v>1387.0962114500001</v>
      </c>
      <c r="BY262" s="873">
        <v>666.90073370000005</v>
      </c>
      <c r="BZ262" s="873">
        <v>701.00959488000001</v>
      </c>
      <c r="CA262" s="873">
        <v>509.77248453999999</v>
      </c>
      <c r="CB262" s="873">
        <v>670.07141213</v>
      </c>
      <c r="CC262" s="873">
        <v>737.70474507000006</v>
      </c>
      <c r="CD262" s="873">
        <v>628.21219284000006</v>
      </c>
      <c r="CE262" s="873">
        <v>1714.98444193</v>
      </c>
      <c r="CF262" s="873">
        <v>1508.72160919</v>
      </c>
      <c r="CG262" s="873">
        <v>781.64187455999991</v>
      </c>
      <c r="CH262" s="873">
        <v>425.66463347000001</v>
      </c>
      <c r="CI262" s="873">
        <v>406.19680850999998</v>
      </c>
      <c r="CJ262" s="873">
        <v>570.12991528999999</v>
      </c>
      <c r="CK262" s="873">
        <v>153.82603404</v>
      </c>
      <c r="CL262" s="873">
        <v>476.39349442000002</v>
      </c>
      <c r="CM262" s="873">
        <v>519.07875804000003</v>
      </c>
      <c r="CN262" s="873">
        <v>460.83765602</v>
      </c>
      <c r="CO262" s="873">
        <v>537.65277630999992</v>
      </c>
      <c r="CP262" s="873">
        <v>747.98686276000001</v>
      </c>
      <c r="CQ262" s="873">
        <v>1198.0168140999999</v>
      </c>
      <c r="CR262" s="873">
        <v>1979.15125721</v>
      </c>
      <c r="CS262" s="873">
        <v>1906.08019928</v>
      </c>
      <c r="CT262" s="873">
        <v>1461.8597377200001</v>
      </c>
      <c r="CU262" s="873">
        <v>1024.0597688299999</v>
      </c>
      <c r="CV262" s="873">
        <v>1769.6756338900002</v>
      </c>
      <c r="CW262" s="873">
        <v>1438.2752397199999</v>
      </c>
      <c r="CX262" s="873">
        <v>692.06874379999999</v>
      </c>
      <c r="CY262" s="873">
        <v>299.29433886000004</v>
      </c>
      <c r="CZ262" s="873">
        <v>1614.8450499999999</v>
      </c>
      <c r="DA262" s="873">
        <v>1254.38303496</v>
      </c>
      <c r="DB262" s="873">
        <v>1740.1024152699999</v>
      </c>
      <c r="DC262" s="873"/>
      <c r="DD262" s="873"/>
      <c r="DE262" s="873"/>
      <c r="DF262" s="873"/>
      <c r="DG262" s="873"/>
      <c r="DH262" s="873"/>
      <c r="DJ262" s="1013"/>
      <c r="DK262" s="1013"/>
      <c r="DL262" s="1013"/>
      <c r="DM262" s="1013"/>
      <c r="DN262" s="1013"/>
      <c r="DO262" s="1013"/>
      <c r="DP262" s="1013"/>
      <c r="DQ262" s="1013"/>
      <c r="DR262" s="1013"/>
      <c r="DS262" s="1013"/>
      <c r="DT262" s="1013"/>
      <c r="DU262" s="1013"/>
      <c r="GF262" s="1013"/>
      <c r="GG262" s="1013"/>
      <c r="GH262" s="1013"/>
      <c r="GI262" s="1013"/>
      <c r="GJ262" s="1013"/>
      <c r="GK262" s="1013"/>
      <c r="GL262" s="1013"/>
      <c r="GM262" s="1013"/>
      <c r="GN262" s="1013"/>
      <c r="GO262" s="1013"/>
      <c r="HU262" s="920"/>
      <c r="HV262" s="920"/>
      <c r="HW262" s="920"/>
      <c r="HX262" s="920"/>
      <c r="HY262" s="920"/>
      <c r="HZ262" s="920"/>
      <c r="IA262" s="920"/>
      <c r="IB262" s="920"/>
      <c r="IC262" s="920"/>
      <c r="ID262" s="920"/>
      <c r="IE262" s="920"/>
      <c r="IP262" s="1013"/>
      <c r="IQ262" s="1013"/>
      <c r="IR262" s="1013"/>
      <c r="IS262" s="1013"/>
      <c r="IT262" s="1013"/>
      <c r="IU262" s="1013"/>
      <c r="IV262" s="1013"/>
      <c r="IX262" s="1013"/>
      <c r="IY262" s="1013"/>
      <c r="IZ262" s="1013"/>
      <c r="JA262" s="1013"/>
      <c r="JB262" s="1013"/>
      <c r="JC262" s="1013"/>
      <c r="JD262" s="1013"/>
      <c r="JO262" s="920" t="e">
        <f>#VALUE!</f>
        <v>#VALUE!</v>
      </c>
      <c r="JP262" s="920" t="e">
        <f>#VALUE!</f>
        <v>#VALUE!</v>
      </c>
      <c r="JQ262" s="920" t="e">
        <f>#VALUE!</f>
        <v>#VALUE!</v>
      </c>
      <c r="JR262" s="920" t="e">
        <f>#VALUE!</f>
        <v>#VALUE!</v>
      </c>
      <c r="JS262" s="920" t="e">
        <f>#VALUE!</f>
        <v>#VALUE!</v>
      </c>
      <c r="JT262" s="920"/>
      <c r="JU262" s="920"/>
      <c r="JV262" s="920"/>
      <c r="JW262" s="920" t="e">
        <f>#VALUE!</f>
        <v>#VALUE!</v>
      </c>
      <c r="JX262" s="920" t="e">
        <f>#VALUE!</f>
        <v>#VALUE!</v>
      </c>
      <c r="JY262" s="920" t="e">
        <f>#VALUE!</f>
        <v>#VALUE!</v>
      </c>
      <c r="KB262" s="1013"/>
      <c r="KC262" s="1013"/>
      <c r="KD262" s="1013"/>
      <c r="KE262" s="1013"/>
      <c r="KF262" s="1013"/>
      <c r="KG262" s="1013"/>
      <c r="KH262" s="1013"/>
      <c r="KJ262" s="1013"/>
      <c r="KK262" s="1013"/>
      <c r="KL262" s="1013"/>
      <c r="KM262" s="1013"/>
      <c r="KN262" s="1013"/>
      <c r="KO262" s="1013"/>
      <c r="KP262" s="1013"/>
      <c r="KR262" s="1013"/>
      <c r="KS262" s="1013"/>
      <c r="KT262" s="1013"/>
      <c r="KU262" s="1013"/>
      <c r="KV262" s="1013"/>
      <c r="KW262" s="1013"/>
      <c r="KX262" s="1013"/>
      <c r="KY262" s="1013"/>
      <c r="KZ262" s="1013"/>
    </row>
    <row r="263" spans="1:312" ht="15" thickBot="1">
      <c r="A263" s="884"/>
      <c r="C263" s="1034" t="s">
        <v>802</v>
      </c>
      <c r="D263" s="31"/>
      <c r="E263" s="1016"/>
      <c r="F263" s="1016"/>
      <c r="G263" s="1016"/>
      <c r="H263" s="1016"/>
      <c r="I263" s="1016"/>
      <c r="J263" s="1016"/>
      <c r="K263" s="1016"/>
      <c r="L263" s="1016"/>
      <c r="M263" s="1016"/>
      <c r="N263" s="1016"/>
      <c r="O263" s="1016"/>
      <c r="P263" s="1016"/>
      <c r="Q263" s="1016"/>
      <c r="R263" s="1016"/>
      <c r="S263" s="1016"/>
      <c r="T263" s="1016"/>
      <c r="U263" s="1016"/>
      <c r="V263" s="1016"/>
      <c r="W263" s="1016"/>
      <c r="X263" s="1016"/>
      <c r="Y263" s="1016"/>
      <c r="Z263" s="1016"/>
      <c r="AA263" s="1016"/>
      <c r="AB263" s="1016"/>
      <c r="AC263" s="1016"/>
      <c r="AD263" s="1016"/>
      <c r="AE263" s="1016"/>
      <c r="AF263" s="1016"/>
      <c r="AG263" s="1016"/>
      <c r="AH263" s="1016"/>
      <c r="AI263" s="1016"/>
      <c r="AJ263" s="1016"/>
      <c r="AK263" s="1016"/>
      <c r="AL263" s="1016"/>
      <c r="AM263" s="1016"/>
      <c r="AN263" s="1016"/>
      <c r="AO263" s="1004">
        <v>3927.6740448400001</v>
      </c>
      <c r="AP263" s="1044">
        <v>5020.5123421600001</v>
      </c>
      <c r="AQ263" s="1004">
        <v>3419.2864674299999</v>
      </c>
      <c r="AR263" s="1004">
        <v>2350.7707304</v>
      </c>
      <c r="AS263" s="1004">
        <v>1650.2740019</v>
      </c>
      <c r="AT263" s="1004">
        <v>1476.1518839899998</v>
      </c>
      <c r="AU263" s="1004">
        <v>1416.87157813</v>
      </c>
      <c r="AV263" s="1004">
        <v>780.86565701000006</v>
      </c>
      <c r="AW263" s="1004">
        <v>134.83202965999999</v>
      </c>
      <c r="AX263" s="1004">
        <v>1542.9781589000002</v>
      </c>
      <c r="AY263" s="1004">
        <v>1342.3403678600002</v>
      </c>
      <c r="AZ263" s="1004">
        <v>1555.0575291099999</v>
      </c>
      <c r="BA263" s="1004">
        <v>639.71991041000001</v>
      </c>
      <c r="BB263" s="1004">
        <v>816.52032979000001</v>
      </c>
      <c r="BC263" s="1004">
        <v>452.61249125000001</v>
      </c>
      <c r="BD263" s="1004">
        <v>1506.3966861600002</v>
      </c>
      <c r="BE263" s="1044">
        <v>499.77373542000004</v>
      </c>
      <c r="BF263" s="1044">
        <v>161.23459261000002</v>
      </c>
      <c r="BG263" s="1044">
        <v>267.75896308</v>
      </c>
      <c r="BH263" s="1044">
        <v>15.51668682</v>
      </c>
      <c r="BI263" s="1044">
        <v>255.01679605999999</v>
      </c>
      <c r="BJ263" s="1044">
        <v>188.68862435</v>
      </c>
      <c r="BK263" s="1044">
        <v>1201.4780900399999</v>
      </c>
      <c r="BL263" s="1044">
        <v>994.77457359000005</v>
      </c>
      <c r="BM263" s="1004">
        <f t="shared" ref="BM263:BR263" si="704">SUM(BM249:BM262)</f>
        <v>718.85212844000012</v>
      </c>
      <c r="BN263" s="1004">
        <f t="shared" si="704"/>
        <v>109.4931796</v>
      </c>
      <c r="BO263" s="1004">
        <f t="shared" si="704"/>
        <v>532.60934043999998</v>
      </c>
      <c r="BP263" s="1004">
        <f t="shared" si="704"/>
        <v>273.69954140000004</v>
      </c>
      <c r="BQ263" s="1004">
        <f t="shared" si="704"/>
        <v>809.50538270000004</v>
      </c>
      <c r="BR263" s="1044">
        <f t="shared" si="704"/>
        <v>760.83605007000006</v>
      </c>
      <c r="BS263" s="1044">
        <f t="shared" ref="BS263:DB263" si="705">SUM(BS249:BS262)</f>
        <v>476.58964413999996</v>
      </c>
      <c r="BT263" s="1044">
        <f t="shared" si="705"/>
        <v>581.39037716999997</v>
      </c>
      <c r="BU263" s="1044">
        <f t="shared" si="705"/>
        <v>220.19216511000002</v>
      </c>
      <c r="BV263" s="1044">
        <f t="shared" si="705"/>
        <v>1055.3493798500001</v>
      </c>
      <c r="BW263" s="1044">
        <f t="shared" si="705"/>
        <v>882.44866954000008</v>
      </c>
      <c r="BX263" s="1044">
        <f t="shared" si="705"/>
        <v>1388.09621137</v>
      </c>
      <c r="BY263" s="1004">
        <f t="shared" si="705"/>
        <v>667.90073370000005</v>
      </c>
      <c r="BZ263" s="1004">
        <f t="shared" si="705"/>
        <v>702.00959488000001</v>
      </c>
      <c r="CA263" s="1004">
        <f t="shared" si="705"/>
        <v>510.77248453999999</v>
      </c>
      <c r="CB263" s="1004">
        <f t="shared" si="705"/>
        <v>671.07141213</v>
      </c>
      <c r="CC263" s="1004">
        <f t="shared" si="705"/>
        <v>738.70474507000006</v>
      </c>
      <c r="CD263" s="1004">
        <f t="shared" si="705"/>
        <v>629.21219284000006</v>
      </c>
      <c r="CE263" s="1004">
        <f t="shared" si="705"/>
        <v>1715.98444193</v>
      </c>
      <c r="CF263" s="1004">
        <f t="shared" si="705"/>
        <v>1509.72160919</v>
      </c>
      <c r="CG263" s="1004">
        <f t="shared" si="705"/>
        <v>782.64187455999991</v>
      </c>
      <c r="CH263" s="1004">
        <f t="shared" si="705"/>
        <v>427.26837176999999</v>
      </c>
      <c r="CI263" s="1004">
        <f t="shared" si="705"/>
        <v>407.80054680999996</v>
      </c>
      <c r="CJ263" s="1004">
        <f t="shared" si="705"/>
        <v>571.73365359000002</v>
      </c>
      <c r="CK263" s="1004">
        <f t="shared" si="705"/>
        <v>155.42977234</v>
      </c>
      <c r="CL263" s="1004">
        <f t="shared" si="705"/>
        <v>477.99723272</v>
      </c>
      <c r="CM263" s="1004">
        <f t="shared" si="705"/>
        <v>520.68249634000006</v>
      </c>
      <c r="CN263" s="1004">
        <f t="shared" si="705"/>
        <v>462.44139431999997</v>
      </c>
      <c r="CO263" s="1004">
        <f t="shared" si="705"/>
        <v>539.25651460999995</v>
      </c>
      <c r="CP263" s="1004">
        <f t="shared" si="705"/>
        <v>749.59060106000004</v>
      </c>
      <c r="CQ263" s="1004">
        <f t="shared" si="705"/>
        <v>1199.6205524</v>
      </c>
      <c r="CR263" s="1004">
        <f t="shared" si="705"/>
        <v>1980.7564374600001</v>
      </c>
      <c r="CS263" s="1004">
        <f t="shared" si="705"/>
        <v>1907.68393758</v>
      </c>
      <c r="CT263" s="1004">
        <f t="shared" si="705"/>
        <v>1463.4634760200001</v>
      </c>
      <c r="CU263" s="1004">
        <f t="shared" si="705"/>
        <v>1025.66350713</v>
      </c>
      <c r="CV263" s="1004">
        <f t="shared" si="705"/>
        <v>1771.2793721900002</v>
      </c>
      <c r="CW263" s="1004">
        <f t="shared" si="705"/>
        <v>1439.87897802</v>
      </c>
      <c r="CX263" s="1004">
        <f t="shared" si="705"/>
        <v>693.67248210000002</v>
      </c>
      <c r="CY263" s="1004">
        <f t="shared" si="705"/>
        <v>300.89807716000001</v>
      </c>
      <c r="CZ263" s="1004">
        <f t="shared" si="705"/>
        <v>1616.4487882999999</v>
      </c>
      <c r="DA263" s="1004">
        <f t="shared" si="705"/>
        <v>1255.9867732600001</v>
      </c>
      <c r="DB263" s="1004">
        <f t="shared" si="705"/>
        <v>1741.70615357</v>
      </c>
      <c r="DC263" s="1087"/>
      <c r="DD263" s="1087"/>
      <c r="DE263" s="1087"/>
      <c r="DF263" s="1087"/>
      <c r="DG263" s="1087"/>
      <c r="DH263" s="1087"/>
      <c r="DJ263" s="1045"/>
      <c r="DK263" s="1045"/>
      <c r="DL263" s="1045"/>
      <c r="DM263" s="1045"/>
      <c r="DN263" s="1045"/>
      <c r="DO263" s="1045"/>
      <c r="DP263" s="1045"/>
      <c r="DQ263" s="1045"/>
      <c r="DR263" s="1045"/>
      <c r="DS263" s="1045"/>
      <c r="DT263" s="1045"/>
      <c r="DU263" s="1045"/>
      <c r="GF263" s="1045"/>
      <c r="GG263" s="1045"/>
      <c r="GH263" s="1045"/>
      <c r="GI263" s="1045"/>
      <c r="GJ263" s="1045"/>
      <c r="GK263" s="1045"/>
      <c r="GL263" s="1045"/>
      <c r="GM263" s="1045"/>
      <c r="GN263" s="1045"/>
      <c r="GO263" s="1045"/>
      <c r="HU263" s="1044"/>
      <c r="HV263" s="1044"/>
      <c r="HW263" s="1044"/>
      <c r="HX263" s="1044"/>
      <c r="HY263" s="1044"/>
      <c r="HZ263" s="1044"/>
      <c r="IA263" s="1044"/>
      <c r="IB263" s="1044"/>
      <c r="IC263" s="1044"/>
      <c r="ID263" s="1044"/>
      <c r="IE263" s="1044"/>
      <c r="IP263" s="1045"/>
      <c r="IQ263" s="1045"/>
      <c r="IR263" s="1045"/>
      <c r="IS263" s="1045"/>
      <c r="IT263" s="1045"/>
      <c r="IU263" s="1045"/>
      <c r="IV263" s="1045"/>
      <c r="IX263" s="1045"/>
      <c r="IY263" s="1045"/>
      <c r="IZ263" s="1045"/>
      <c r="JA263" s="1045"/>
      <c r="JB263" s="1045"/>
      <c r="JC263" s="1045"/>
      <c r="JD263" s="1045"/>
      <c r="JO263" s="1044" t="e">
        <f>#VALUE!</f>
        <v>#VALUE!</v>
      </c>
      <c r="JP263" s="1044" t="e">
        <f>#VALUE!</f>
        <v>#VALUE!</v>
      </c>
      <c r="JQ263" s="1044" t="e">
        <f>#VALUE!</f>
        <v>#VALUE!</v>
      </c>
      <c r="JR263" s="1044" t="e">
        <f>#VALUE!</f>
        <v>#VALUE!</v>
      </c>
      <c r="JS263" s="1044" t="e">
        <f>#VALUE!</f>
        <v>#VALUE!</v>
      </c>
      <c r="JT263" s="1044"/>
      <c r="JU263" s="1044"/>
      <c r="JV263" s="1044"/>
      <c r="JW263" s="1044" t="e">
        <f>#VALUE!</f>
        <v>#VALUE!</v>
      </c>
      <c r="JX263" s="1044" t="e">
        <f>#VALUE!</f>
        <v>#VALUE!</v>
      </c>
      <c r="JY263" s="1044" t="e">
        <f>#VALUE!</f>
        <v>#VALUE!</v>
      </c>
      <c r="KB263" s="1045"/>
      <c r="KC263" s="1045"/>
      <c r="KD263" s="1045"/>
      <c r="KE263" s="1045"/>
      <c r="KF263" s="1045"/>
      <c r="KG263" s="1045"/>
      <c r="KH263" s="1045"/>
      <c r="KJ263" s="1045"/>
      <c r="KK263" s="1045"/>
      <c r="KL263" s="1045"/>
      <c r="KM263" s="1045"/>
      <c r="KN263" s="1045"/>
      <c r="KO263" s="1045"/>
      <c r="KP263" s="1045"/>
      <c r="KR263" s="1045"/>
      <c r="KS263" s="1045"/>
      <c r="KT263" s="1045"/>
      <c r="KU263" s="1045"/>
      <c r="KV263" s="1045"/>
      <c r="KW263" s="1045"/>
      <c r="KX263" s="1045"/>
      <c r="KY263" s="1045"/>
      <c r="KZ263" s="1045"/>
    </row>
    <row r="264" spans="1:312" ht="15" thickTop="1">
      <c r="A264" s="884"/>
      <c r="C264" s="1046"/>
      <c r="D264" s="31"/>
    </row>
    <row r="265" spans="1:312" ht="15" thickBot="1">
      <c r="A265" s="917" t="s">
        <v>618</v>
      </c>
      <c r="C265" s="1034" t="s">
        <v>803</v>
      </c>
      <c r="D265" s="31"/>
      <c r="BM265" s="628"/>
      <c r="BN265" s="972"/>
      <c r="BY265" s="628"/>
      <c r="BZ265" s="628"/>
      <c r="CA265" s="628"/>
      <c r="CB265" s="628"/>
      <c r="CC265" s="628"/>
      <c r="CD265" s="628"/>
      <c r="CE265" s="628"/>
      <c r="CF265" s="628"/>
      <c r="CG265" s="628"/>
      <c r="CH265" s="628"/>
      <c r="CI265" s="628"/>
      <c r="CJ265" s="628"/>
      <c r="CK265" s="628"/>
      <c r="CL265" s="628"/>
      <c r="CM265" s="628"/>
      <c r="CN265" s="628"/>
      <c r="CO265" s="628"/>
      <c r="CP265" s="628"/>
      <c r="CQ265" s="628"/>
      <c r="CR265" s="628"/>
      <c r="CS265" s="628"/>
      <c r="CT265" s="628"/>
      <c r="CU265" s="628"/>
      <c r="CV265" s="628"/>
      <c r="CW265" s="628"/>
      <c r="CX265" s="628"/>
      <c r="CY265" s="628"/>
      <c r="CZ265" s="628"/>
      <c r="DA265" s="628"/>
      <c r="DB265" s="628"/>
      <c r="DC265" s="628"/>
      <c r="DD265" s="628"/>
      <c r="DE265" s="628"/>
      <c r="DF265" s="628"/>
      <c r="DG265" s="628"/>
      <c r="DH265" s="628"/>
    </row>
    <row r="266" spans="1:312" ht="15" thickTop="1">
      <c r="A266" s="867"/>
      <c r="C266" s="1046"/>
      <c r="D266" s="31"/>
      <c r="BM266" s="628"/>
      <c r="BN266" s="972"/>
      <c r="BY266" s="628"/>
      <c r="BZ266" s="628"/>
      <c r="CA266" s="628"/>
      <c r="CB266" s="628"/>
      <c r="CC266" s="628"/>
      <c r="CD266" s="628"/>
      <c r="CE266" s="628"/>
      <c r="CF266" s="628"/>
      <c r="CG266" s="628"/>
      <c r="CH266" s="628"/>
      <c r="CI266" s="628"/>
      <c r="CJ266" s="628"/>
      <c r="CK266" s="628"/>
      <c r="CL266" s="628"/>
      <c r="CM266" s="628"/>
      <c r="CN266" s="628"/>
      <c r="CO266" s="628"/>
      <c r="CP266" s="628"/>
      <c r="CQ266" s="628"/>
      <c r="CR266" s="628"/>
      <c r="CS266" s="628"/>
      <c r="CT266" s="628"/>
      <c r="CU266" s="628"/>
      <c r="CV266" s="628"/>
      <c r="CW266" s="628"/>
      <c r="CX266" s="628"/>
      <c r="CY266" s="628"/>
      <c r="CZ266" s="628"/>
      <c r="DA266" s="628"/>
      <c r="DB266" s="628"/>
      <c r="DC266" s="628"/>
      <c r="DD266" s="628"/>
      <c r="DE266" s="628"/>
      <c r="DF266" s="628"/>
      <c r="DG266" s="628"/>
      <c r="DH266" s="628"/>
    </row>
    <row r="267" spans="1:312">
      <c r="A267" s="867"/>
      <c r="C267" s="185" t="s">
        <v>804</v>
      </c>
      <c r="D267" s="307"/>
      <c r="BN267" s="972"/>
    </row>
    <row r="268" spans="1:312">
      <c r="A268" s="867"/>
      <c r="C268" s="47" t="s">
        <v>805</v>
      </c>
      <c r="D268" s="51" t="s">
        <v>251</v>
      </c>
      <c r="E268" s="1047">
        <f t="shared" ref="E268:AN268" si="706">+IFERROR(E109/E160," ")</f>
        <v>1.4065036334052081</v>
      </c>
      <c r="F268" s="1047">
        <f t="shared" si="706"/>
        <v>1.7806352537151209</v>
      </c>
      <c r="G268" s="1047">
        <f t="shared" si="706"/>
        <v>1.5644732149196212</v>
      </c>
      <c r="H268" s="1047">
        <f t="shared" si="706"/>
        <v>1.5789857810110495</v>
      </c>
      <c r="I268" s="1047">
        <f t="shared" si="706"/>
        <v>1.702257059309471</v>
      </c>
      <c r="J268" s="1047">
        <f t="shared" si="706"/>
        <v>1.7487208800336556</v>
      </c>
      <c r="K268" s="1047">
        <f t="shared" si="706"/>
        <v>1.8606910607485825</v>
      </c>
      <c r="L268" s="1047">
        <f t="shared" si="706"/>
        <v>2.2200536586914423</v>
      </c>
      <c r="M268" s="1047">
        <f t="shared" si="706"/>
        <v>2.6451243177301298</v>
      </c>
      <c r="N268" s="1047">
        <f t="shared" si="706"/>
        <v>3.4161700077172337</v>
      </c>
      <c r="O268" s="1047">
        <f t="shared" si="706"/>
        <v>4.0026948890365528</v>
      </c>
      <c r="P268" s="1047">
        <f t="shared" si="706"/>
        <v>4.1307979688131402</v>
      </c>
      <c r="Q268" s="1047">
        <f t="shared" si="706"/>
        <v>3.078562847249656</v>
      </c>
      <c r="R268" s="1047">
        <f t="shared" si="706"/>
        <v>3.3859623956138911</v>
      </c>
      <c r="S268" s="1047">
        <f t="shared" si="706"/>
        <v>3.4601094538779882</v>
      </c>
      <c r="T268" s="1047">
        <f t="shared" si="706"/>
        <v>1.5516777847397305</v>
      </c>
      <c r="U268" s="1047">
        <f t="shared" si="706"/>
        <v>1.7995295354783507</v>
      </c>
      <c r="V268" s="1047">
        <f t="shared" si="706"/>
        <v>2.0670395461184832</v>
      </c>
      <c r="W268" s="1047">
        <f t="shared" si="706"/>
        <v>2.3958391090661859</v>
      </c>
      <c r="X268" s="1047">
        <f t="shared" si="706"/>
        <v>2.5896274735931413</v>
      </c>
      <c r="Y268" s="1047">
        <f t="shared" si="706"/>
        <v>2.660397898760384</v>
      </c>
      <c r="Z268" s="1047">
        <f t="shared" si="706"/>
        <v>2.5422671510577222</v>
      </c>
      <c r="AA268" s="1047">
        <f t="shared" si="706"/>
        <v>2.9400032712271456</v>
      </c>
      <c r="AB268" s="1047">
        <f t="shared" si="706"/>
        <v>3.2368800409341851</v>
      </c>
      <c r="AC268" s="1047">
        <f t="shared" si="706"/>
        <v>3.6766143100026345</v>
      </c>
      <c r="AD268" s="1047">
        <f t="shared" si="706"/>
        <v>4.1232345213244557</v>
      </c>
      <c r="AE268" s="1047">
        <f t="shared" si="706"/>
        <v>4.558271668067869</v>
      </c>
      <c r="AF268" s="1047">
        <f t="shared" si="706"/>
        <v>1.9690067262142088</v>
      </c>
      <c r="AG268" s="1047">
        <f t="shared" si="706"/>
        <v>2.0332440960943443</v>
      </c>
      <c r="AH268" s="1047">
        <f t="shared" si="706"/>
        <v>2.1886805118616337</v>
      </c>
      <c r="AI268" s="1047">
        <f t="shared" si="706"/>
        <v>2.2695357577993107</v>
      </c>
      <c r="AJ268" s="1047">
        <f t="shared" si="706"/>
        <v>2.1217877068852831</v>
      </c>
      <c r="AK268" s="1047">
        <f t="shared" si="706"/>
        <v>2.2930758758427809</v>
      </c>
      <c r="AL268" s="1047">
        <f t="shared" si="706"/>
        <v>2.3595378992842906</v>
      </c>
      <c r="AM268" s="1047">
        <f t="shared" si="706"/>
        <v>2.2463169090626267</v>
      </c>
      <c r="AN268" s="1047">
        <f t="shared" si="706"/>
        <v>2.6041482093249506</v>
      </c>
      <c r="AO268" s="1047">
        <v>3.1377234038498005</v>
      </c>
      <c r="AP268" s="1047">
        <v>2.0207876502164517</v>
      </c>
      <c r="AQ268" s="1047">
        <v>2.2729100046457531</v>
      </c>
      <c r="AR268" s="1047">
        <v>1.60402433735282</v>
      </c>
      <c r="AS268" s="1047">
        <v>1.3815444199844089</v>
      </c>
      <c r="AT268" s="1047">
        <v>1.1655034157375821</v>
      </c>
      <c r="AU268" s="1047">
        <v>1.1970099940262025</v>
      </c>
      <c r="AV268" s="1047">
        <v>1.2046665611770913</v>
      </c>
      <c r="AW268" s="1047">
        <v>1.1542787824093528</v>
      </c>
      <c r="AX268" s="1047">
        <v>1.1624737729325487</v>
      </c>
      <c r="AY268" s="1047">
        <v>1.1060857811730693</v>
      </c>
      <c r="AZ268" s="1047">
        <v>1.062706998521763</v>
      </c>
      <c r="BA268" s="1047">
        <v>0.94158713266583105</v>
      </c>
      <c r="BB268" s="1047">
        <v>0.8945046402038912</v>
      </c>
      <c r="BC268" s="1047">
        <v>0.82294186545678005</v>
      </c>
      <c r="BD268" s="1047">
        <v>0.86844668575220951</v>
      </c>
      <c r="BE268" s="1047">
        <v>0.78393984835725194</v>
      </c>
      <c r="BF268" s="1047">
        <v>0.72442534924832991</v>
      </c>
      <c r="BG268" s="1047">
        <v>0.73618441517757938</v>
      </c>
      <c r="BH268" s="1047">
        <v>0.64025333965000697</v>
      </c>
      <c r="BI268" s="1047">
        <v>0.63118718610313251</v>
      </c>
      <c r="BJ268" s="1047">
        <v>0.62704817285532888</v>
      </c>
      <c r="BK268" s="1047">
        <v>0.65572711652164384</v>
      </c>
      <c r="BL268" s="1047">
        <v>0.69416544440611305</v>
      </c>
      <c r="BM268" s="1047">
        <f t="shared" ref="BM268:DB268" si="707">+IFERROR(BM109/BM160," ")</f>
        <v>0.71215727344469226</v>
      </c>
      <c r="BN268" s="1047">
        <f t="shared" si="707"/>
        <v>0.72255619677901184</v>
      </c>
      <c r="BO268" s="1047">
        <f t="shared" si="707"/>
        <v>0.73099081886735229</v>
      </c>
      <c r="BP268" s="1047">
        <f t="shared" si="707"/>
        <v>0.76657043060233931</v>
      </c>
      <c r="BQ268" s="1047">
        <f t="shared" si="707"/>
        <v>0.75786717616603461</v>
      </c>
      <c r="BR268" s="1047">
        <f t="shared" si="707"/>
        <v>0.76664172764518734</v>
      </c>
      <c r="BS268" s="1047">
        <f t="shared" si="707"/>
        <v>0.77583675468023372</v>
      </c>
      <c r="BT268" s="1047">
        <f t="shared" si="707"/>
        <v>0.7860040766047961</v>
      </c>
      <c r="BU268" s="1047">
        <f t="shared" si="707"/>
        <v>0.77952656504410278</v>
      </c>
      <c r="BV268" s="1047">
        <f t="shared" si="707"/>
        <v>0.81188316507193348</v>
      </c>
      <c r="BW268" s="1047">
        <f t="shared" si="707"/>
        <v>0.83553325447944349</v>
      </c>
      <c r="BX268" s="1047">
        <f t="shared" si="707"/>
        <v>0.77763285741302846</v>
      </c>
      <c r="BY268" s="1047">
        <f t="shared" si="707"/>
        <v>0.78586757028218945</v>
      </c>
      <c r="BZ268" s="1047">
        <f t="shared" si="707"/>
        <v>0.76836420258598981</v>
      </c>
      <c r="CA268" s="1047">
        <f t="shared" si="707"/>
        <v>0.74872044014343575</v>
      </c>
      <c r="CB268" s="1047">
        <f t="shared" si="707"/>
        <v>0.7328803216542652</v>
      </c>
      <c r="CC268" s="1047">
        <f t="shared" si="707"/>
        <v>0.70512661098107032</v>
      </c>
      <c r="CD268" s="1047">
        <f t="shared" si="707"/>
        <v>0.70712661813028455</v>
      </c>
      <c r="CE268" s="1047">
        <f t="shared" si="707"/>
        <v>0.72400171451254225</v>
      </c>
      <c r="CF268" s="1047">
        <f t="shared" si="707"/>
        <v>0.76600284595248502</v>
      </c>
      <c r="CG268" s="1047">
        <f t="shared" si="707"/>
        <v>0.76625064102499207</v>
      </c>
      <c r="CH268" s="1047">
        <f t="shared" si="707"/>
        <v>0.7811976476381246</v>
      </c>
      <c r="CI268" s="1047">
        <f t="shared" si="707"/>
        <v>0.82642282995038285</v>
      </c>
      <c r="CJ268" s="1047">
        <f t="shared" si="707"/>
        <v>0.77972140477301077</v>
      </c>
      <c r="CK268" s="1047">
        <f t="shared" si="707"/>
        <v>0.83165396312636464</v>
      </c>
      <c r="CL268" s="1047">
        <f t="shared" si="707"/>
        <v>0.81290613903957132</v>
      </c>
      <c r="CM268" s="1047">
        <f t="shared" si="707"/>
        <v>0.85164147142086888</v>
      </c>
      <c r="CN268" s="1047">
        <f t="shared" si="707"/>
        <v>0.87137122466929806</v>
      </c>
      <c r="CO268" s="1047">
        <f t="shared" si="707"/>
        <v>0.9160575734971903</v>
      </c>
      <c r="CP268" s="1047">
        <f t="shared" si="707"/>
        <v>0.89561993652044447</v>
      </c>
      <c r="CQ268" s="1047">
        <f t="shared" si="707"/>
        <v>0.90401421426700601</v>
      </c>
      <c r="CR268" s="1047">
        <f t="shared" si="707"/>
        <v>0.94466943435343875</v>
      </c>
      <c r="CS268" s="1047">
        <f t="shared" si="707"/>
        <v>0.9600110082259895</v>
      </c>
      <c r="CT268" s="1047">
        <f t="shared" si="707"/>
        <v>1.0260154725096888</v>
      </c>
      <c r="CU268" s="1047">
        <f t="shared" si="707"/>
        <v>1.0532361572281639</v>
      </c>
      <c r="CV268" s="1047">
        <f t="shared" si="707"/>
        <v>0.96245090233221853</v>
      </c>
      <c r="CW268" s="1047">
        <f t="shared" si="707"/>
        <v>1.0528766956261184</v>
      </c>
      <c r="CX268" s="1047">
        <f t="shared" si="707"/>
        <v>1.0447412920774861</v>
      </c>
      <c r="CY268" s="1047">
        <f t="shared" si="707"/>
        <v>1.1247085659621918</v>
      </c>
      <c r="CZ268" s="1047">
        <f t="shared" si="707"/>
        <v>1.0800602838648148</v>
      </c>
      <c r="DA268" s="1047">
        <f t="shared" si="707"/>
        <v>1.0403923902566057</v>
      </c>
      <c r="DB268" s="1047">
        <f t="shared" si="707"/>
        <v>0.80867998348866155</v>
      </c>
      <c r="DC268" s="1049"/>
      <c r="DD268" s="1049"/>
      <c r="DE268" s="1049"/>
      <c r="DF268" s="1049"/>
      <c r="DG268" s="1049"/>
      <c r="DH268" s="1049"/>
      <c r="DJ268" s="1047">
        <f t="shared" ref="DJ268:DT268" si="708">+IFERROR(CL109/CL160," ")</f>
        <v>0.81290613903957132</v>
      </c>
      <c r="DK268" s="1047">
        <f t="shared" si="708"/>
        <v>0.85164147142086888</v>
      </c>
      <c r="DL268" s="1047">
        <f t="shared" si="708"/>
        <v>0.87137122466929806</v>
      </c>
      <c r="DM268" s="1047">
        <f t="shared" si="708"/>
        <v>0.9160575734971903</v>
      </c>
      <c r="DN268" s="1047">
        <f t="shared" si="708"/>
        <v>0.89561993652044447</v>
      </c>
      <c r="DO268" s="1047">
        <f t="shared" si="708"/>
        <v>0.90401421426700601</v>
      </c>
      <c r="DP268" s="1047">
        <f t="shared" si="708"/>
        <v>0.94466943435343875</v>
      </c>
      <c r="DQ268" s="1047">
        <f t="shared" si="708"/>
        <v>0.9600110082259895</v>
      </c>
      <c r="DR268" s="1047">
        <f t="shared" si="708"/>
        <v>1.0260154725096888</v>
      </c>
      <c r="DS268" s="1047">
        <f t="shared" si="708"/>
        <v>1.0532361572281639</v>
      </c>
      <c r="DT268" s="1047">
        <f t="shared" si="708"/>
        <v>0.96245090233221853</v>
      </c>
      <c r="DU268" s="1047" t="str">
        <f t="shared" ref="DU268" si="709">+IFERROR(DI109/DI160," ")</f>
        <v xml:space="preserve"> </v>
      </c>
      <c r="GF268" s="1047">
        <f>+IFERROR(GF109/GF160," ")</f>
        <v>4.1307979688131402</v>
      </c>
      <c r="GG268" s="1047">
        <f>+IFERROR(GG109/GG160," ")</f>
        <v>3.2368800409341851</v>
      </c>
      <c r="GH268" s="1047">
        <f>+IFERROR(GH109/GH160," ")</f>
        <v>2.6041482093249506</v>
      </c>
      <c r="GI268" s="1047">
        <f>+IFERROR(GI109/GI160," ")</f>
        <v>0.9737510970275608</v>
      </c>
      <c r="GJ268" s="1047">
        <f t="shared" ref="GJ268:GK274" si="710">+SUMIFS($E268:$BL268,$E$6:$BL$6,GJ$7,$E$5:$BL$5,12)</f>
        <v>0.69416544440611305</v>
      </c>
      <c r="GK268" s="1047">
        <f t="shared" si="710"/>
        <v>0</v>
      </c>
      <c r="GL268" s="1047"/>
      <c r="GM268" s="1047"/>
      <c r="GN268" s="1047"/>
      <c r="GO268" s="1047">
        <f>+IFERROR(GO109/GO160," ")</f>
        <v>0.91310761297328225</v>
      </c>
      <c r="GW268" s="1048"/>
      <c r="GX268" s="1048"/>
      <c r="GY268" s="1048"/>
      <c r="HB268" s="1048"/>
      <c r="HC268" s="1048"/>
      <c r="HD268" s="1048"/>
      <c r="HE268" s="1048"/>
      <c r="HF268" s="1048"/>
      <c r="HG268" s="1048"/>
      <c r="HH268" s="1048"/>
      <c r="HI268" s="1048"/>
      <c r="HK268" s="1048"/>
      <c r="HL268" s="1048"/>
      <c r="HM268" s="1048"/>
      <c r="HN268" s="1048"/>
      <c r="HO268" s="1048"/>
      <c r="HP268" s="1048"/>
      <c r="HQ268" s="1048"/>
      <c r="HR268" s="1048"/>
      <c r="HS268" s="1048"/>
      <c r="HU268" s="1047">
        <f>+IFERROR(HU109/HU160," ")</f>
        <v>1.7487208800336556</v>
      </c>
      <c r="HV268" s="1047">
        <f>+IFERROR(HV109/HV160," ")</f>
        <v>2.0670395461184832</v>
      </c>
      <c r="HW268" s="1047">
        <f>+IFERROR(HW109/HW160," ")</f>
        <v>2.1886805118616337</v>
      </c>
      <c r="HX268" s="1047"/>
      <c r="HY268" s="1047"/>
      <c r="HZ268" s="1047"/>
      <c r="IA268" s="1047"/>
      <c r="IB268" s="1047"/>
      <c r="IC268" s="1047">
        <f>+IFERROR(IC109/IC160," ")</f>
        <v>0.80867998348866155</v>
      </c>
      <c r="ID268" s="1047" t="str">
        <f>+IFERROR(ID109/ID160," ")</f>
        <v xml:space="preserve"> </v>
      </c>
      <c r="IE268" s="1047" t="str">
        <f>+IFERROR(IE109/IE160," ")</f>
        <v xml:space="preserve"> </v>
      </c>
      <c r="IP268" s="1048"/>
      <c r="IQ268" s="1048"/>
      <c r="IR268" s="1048"/>
      <c r="IS268" s="1048"/>
      <c r="IT268" s="1048"/>
      <c r="IU268" s="1048"/>
      <c r="IV268" s="1048"/>
      <c r="IX268" s="1048"/>
      <c r="IY268" s="1048"/>
      <c r="IZ268" s="1048"/>
      <c r="JA268" s="1048"/>
      <c r="JB268" s="1048"/>
      <c r="JC268" s="1048"/>
      <c r="JD268" s="1048"/>
      <c r="JF268" s="1048"/>
      <c r="JG268" s="1048"/>
      <c r="JH268" s="1048"/>
      <c r="JI268" s="1048"/>
      <c r="JJ268" s="1048"/>
      <c r="JK268" s="1048"/>
      <c r="JL268" s="1048"/>
      <c r="JM268" s="1048"/>
      <c r="JO268" s="1047">
        <f>+IFERROR(JO109/JO160," ")</f>
        <v>1.7487208800336556</v>
      </c>
      <c r="JP268" s="1047">
        <f>+IFERROR(JP109/JP160," ")</f>
        <v>2.0670395461184832</v>
      </c>
      <c r="JQ268" s="1047">
        <f>+IFERROR(JQ109/JQ160," ")</f>
        <v>2.1886805118616337</v>
      </c>
      <c r="JR268" s="1047">
        <f>+IFERROR(JR109/JR160," ")</f>
        <v>1.1655034157375821</v>
      </c>
      <c r="JS268" s="1047">
        <f>+IFERROR(JS109/JS160," ")</f>
        <v>0.72442534924832991</v>
      </c>
      <c r="JT268" s="1047"/>
      <c r="JU268" s="1047"/>
      <c r="JV268" s="1047"/>
      <c r="JW268" s="1047">
        <f>+IFERROR(JW109/JW160," ")</f>
        <v>0.80867998348866155</v>
      </c>
      <c r="JX268" s="1047" t="str">
        <f>+IFERROR(JX109/JX160," ")</f>
        <v xml:space="preserve"> </v>
      </c>
      <c r="JY268" s="1047" t="str">
        <f>+IFERROR(JY109/JY160," ")</f>
        <v xml:space="preserve"> </v>
      </c>
    </row>
    <row r="269" spans="1:312">
      <c r="A269" s="867"/>
      <c r="C269" s="17" t="s">
        <v>806</v>
      </c>
      <c r="D269" s="18" t="s">
        <v>251</v>
      </c>
      <c r="E269" s="1049">
        <f t="shared" ref="E269:AN269" si="711">+IFERROR((E109-E115)/E160," ")</f>
        <v>1.4065036334052081</v>
      </c>
      <c r="F269" s="1049">
        <f t="shared" si="711"/>
        <v>1.7806352537151209</v>
      </c>
      <c r="G269" s="1049">
        <f t="shared" si="711"/>
        <v>1.5644732149196212</v>
      </c>
      <c r="H269" s="1049">
        <f t="shared" si="711"/>
        <v>1.5789857810110495</v>
      </c>
      <c r="I269" s="1049">
        <f t="shared" si="711"/>
        <v>1.702257059309471</v>
      </c>
      <c r="J269" s="1049">
        <f t="shared" si="711"/>
        <v>1.7487208800336556</v>
      </c>
      <c r="K269" s="1049">
        <f t="shared" si="711"/>
        <v>1.8606910607485825</v>
      </c>
      <c r="L269" s="1049">
        <f t="shared" si="711"/>
        <v>2.2200536586914423</v>
      </c>
      <c r="M269" s="1049">
        <f t="shared" si="711"/>
        <v>2.6451243177301298</v>
      </c>
      <c r="N269" s="1049">
        <f t="shared" si="711"/>
        <v>3.2769383356775879</v>
      </c>
      <c r="O269" s="1049">
        <f t="shared" si="711"/>
        <v>3.8578082414166857</v>
      </c>
      <c r="P269" s="1049">
        <f t="shared" si="711"/>
        <v>3.9593864032107513</v>
      </c>
      <c r="Q269" s="1049">
        <f t="shared" si="711"/>
        <v>2.8917291466238537</v>
      </c>
      <c r="R269" s="1049">
        <f t="shared" si="711"/>
        <v>3.1823306865133838</v>
      </c>
      <c r="S269" s="1049">
        <f t="shared" si="711"/>
        <v>3.3123309128358547</v>
      </c>
      <c r="T269" s="1049">
        <f t="shared" si="711"/>
        <v>1.4455605822023461</v>
      </c>
      <c r="U269" s="1049">
        <f t="shared" si="711"/>
        <v>1.7085775674961574</v>
      </c>
      <c r="V269" s="1049">
        <f t="shared" si="711"/>
        <v>1.9727533178274237</v>
      </c>
      <c r="W269" s="1049">
        <f t="shared" si="711"/>
        <v>2.2785955017306994</v>
      </c>
      <c r="X269" s="1049">
        <f t="shared" si="711"/>
        <v>2.4757163054391036</v>
      </c>
      <c r="Y269" s="1049">
        <f t="shared" si="711"/>
        <v>2.5249912486636479</v>
      </c>
      <c r="Z269" s="1049">
        <f t="shared" si="711"/>
        <v>2.4155449262217101</v>
      </c>
      <c r="AA269" s="1049">
        <f t="shared" si="711"/>
        <v>2.8301677152662656</v>
      </c>
      <c r="AB269" s="1049">
        <f t="shared" si="711"/>
        <v>3.1609181634620835</v>
      </c>
      <c r="AC269" s="1049">
        <f t="shared" si="711"/>
        <v>3.5833283096821003</v>
      </c>
      <c r="AD269" s="1049">
        <f t="shared" si="711"/>
        <v>4.0302100889978094</v>
      </c>
      <c r="AE269" s="1049">
        <f t="shared" si="711"/>
        <v>4.4607214841910769</v>
      </c>
      <c r="AF269" s="1049">
        <f t="shared" si="711"/>
        <v>1.9187403680059723</v>
      </c>
      <c r="AG269" s="1049">
        <f t="shared" si="711"/>
        <v>1.9833058206599088</v>
      </c>
      <c r="AH269" s="1049">
        <f t="shared" si="711"/>
        <v>2.1371878408771035</v>
      </c>
      <c r="AI269" s="1049">
        <f t="shared" si="711"/>
        <v>2.216516016406759</v>
      </c>
      <c r="AJ269" s="1049">
        <f t="shared" si="711"/>
        <v>2.080118019850294</v>
      </c>
      <c r="AK269" s="1049">
        <f t="shared" si="711"/>
        <v>2.2458041032454181</v>
      </c>
      <c r="AL269" s="1049">
        <f t="shared" si="711"/>
        <v>2.3172488589948803</v>
      </c>
      <c r="AM269" s="1049">
        <f t="shared" si="711"/>
        <v>2.2145268233636548</v>
      </c>
      <c r="AN269" s="1049">
        <f t="shared" si="711"/>
        <v>2.5719456964920724</v>
      </c>
      <c r="AO269" s="1049">
        <v>3.0929753104459401</v>
      </c>
      <c r="AP269" s="1049">
        <v>1.9966598031460141</v>
      </c>
      <c r="AQ269" s="1049">
        <v>2.2400852833519829</v>
      </c>
      <c r="AR269" s="1049">
        <v>1.5738944781313142</v>
      </c>
      <c r="AS269" s="1049">
        <v>1.3537104247522811</v>
      </c>
      <c r="AT269" s="1049">
        <v>1.1373403117217253</v>
      </c>
      <c r="AU269" s="1049">
        <v>1.1659640861680587</v>
      </c>
      <c r="AV269" s="1049">
        <v>1.1750150352954596</v>
      </c>
      <c r="AW269" s="1049">
        <v>1.1273614585249334</v>
      </c>
      <c r="AX269" s="1049">
        <v>1.1363894158844494</v>
      </c>
      <c r="AY269" s="1049">
        <v>1.0811393601594175</v>
      </c>
      <c r="AZ269" s="1049">
        <v>1.0301903481789274</v>
      </c>
      <c r="BA269" s="1049">
        <v>0.90884228208732143</v>
      </c>
      <c r="BB269" s="1049">
        <v>0.86089194494050514</v>
      </c>
      <c r="BC269" s="1049">
        <v>0.78787914189842267</v>
      </c>
      <c r="BD269" s="1049">
        <v>0.83077028856564394</v>
      </c>
      <c r="BE269" s="1049">
        <v>0.74577908625490652</v>
      </c>
      <c r="BF269" s="1049">
        <v>0.68892577440511893</v>
      </c>
      <c r="BG269" s="1049">
        <v>0.70164403596991953</v>
      </c>
      <c r="BH269" s="1049">
        <v>0.60565060134298332</v>
      </c>
      <c r="BI269" s="1049">
        <v>0.59323960074287052</v>
      </c>
      <c r="BJ269" s="1049">
        <v>0.5911519279275651</v>
      </c>
      <c r="BK269" s="1049">
        <v>0.6212905147293859</v>
      </c>
      <c r="BL269" s="1049">
        <v>0.66179878684283644</v>
      </c>
      <c r="BM269" s="1049">
        <f t="shared" ref="BM269:DB269" si="712">+IFERROR((BM109-BM115)/BM160," ")</f>
        <v>0.67863155078924153</v>
      </c>
      <c r="BN269" s="1049">
        <f t="shared" si="712"/>
        <v>0.68907751864965705</v>
      </c>
      <c r="BO269" s="1049">
        <f t="shared" si="712"/>
        <v>0.69988123705564165</v>
      </c>
      <c r="BP269" s="1049">
        <f t="shared" si="712"/>
        <v>0.73277439066432515</v>
      </c>
      <c r="BQ269" s="1049">
        <f t="shared" si="712"/>
        <v>0.71865890026806356</v>
      </c>
      <c r="BR269" s="1049">
        <f t="shared" si="712"/>
        <v>0.72389985678566315</v>
      </c>
      <c r="BS269" s="1049">
        <f t="shared" si="712"/>
        <v>0.73763721706927377</v>
      </c>
      <c r="BT269" s="1049">
        <f t="shared" si="712"/>
        <v>0.74576658041281718</v>
      </c>
      <c r="BU269" s="1049">
        <f t="shared" si="712"/>
        <v>0.73374921708376328</v>
      </c>
      <c r="BV269" s="1049">
        <f t="shared" si="712"/>
        <v>0.76343576801338109</v>
      </c>
      <c r="BW269" s="1049">
        <f t="shared" si="712"/>
        <v>0.78196310627972343</v>
      </c>
      <c r="BX269" s="1049">
        <f t="shared" si="712"/>
        <v>0.7240076974802987</v>
      </c>
      <c r="BY269" s="1049">
        <f t="shared" si="712"/>
        <v>0.73341430865895196</v>
      </c>
      <c r="BZ269" s="1049">
        <f t="shared" si="712"/>
        <v>0.71365072218100301</v>
      </c>
      <c r="CA269" s="1049">
        <f t="shared" si="712"/>
        <v>0.69752531990190914</v>
      </c>
      <c r="CB269" s="1049">
        <f t="shared" si="712"/>
        <v>0.67988037676182478</v>
      </c>
      <c r="CC269" s="1049">
        <f t="shared" si="712"/>
        <v>0.65088462500210831</v>
      </c>
      <c r="CD269" s="1049">
        <f t="shared" si="712"/>
        <v>0.65377656175373144</v>
      </c>
      <c r="CE269" s="1049">
        <f t="shared" si="712"/>
        <v>0.66706886717654557</v>
      </c>
      <c r="CF269" s="1049">
        <f t="shared" si="712"/>
        <v>0.70543250517774025</v>
      </c>
      <c r="CG269" s="1049">
        <f t="shared" si="712"/>
        <v>0.70097051681467615</v>
      </c>
      <c r="CH269" s="1049">
        <f t="shared" si="712"/>
        <v>0.71571286614480922</v>
      </c>
      <c r="CI269" s="1049">
        <f t="shared" si="712"/>
        <v>0.76355072406907187</v>
      </c>
      <c r="CJ269" s="1049">
        <f t="shared" si="712"/>
        <v>0.71662809342709277</v>
      </c>
      <c r="CK269" s="1049">
        <f t="shared" si="712"/>
        <v>0.7648451178715503</v>
      </c>
      <c r="CL269" s="1049">
        <f t="shared" si="712"/>
        <v>0.74386084820523801</v>
      </c>
      <c r="CM269" s="1049">
        <f t="shared" si="712"/>
        <v>0.78213399426121522</v>
      </c>
      <c r="CN269" s="1049">
        <f t="shared" si="712"/>
        <v>0.80515856690314536</v>
      </c>
      <c r="CO269" s="1049">
        <f t="shared" si="712"/>
        <v>0.84199537148400982</v>
      </c>
      <c r="CP269" s="1049">
        <f t="shared" si="712"/>
        <v>0.82220847200077507</v>
      </c>
      <c r="CQ269" s="1049">
        <f t="shared" si="712"/>
        <v>0.82024936271340565</v>
      </c>
      <c r="CR269" s="1049">
        <f t="shared" si="712"/>
        <v>0.85824394286060957</v>
      </c>
      <c r="CS269" s="1049">
        <f t="shared" si="712"/>
        <v>0.87260005741718694</v>
      </c>
      <c r="CT269" s="1049">
        <f t="shared" si="712"/>
        <v>0.9406332420071507</v>
      </c>
      <c r="CU269" s="1049">
        <f t="shared" si="712"/>
        <v>0.96960087613862656</v>
      </c>
      <c r="CV269" s="1049">
        <f t="shared" si="712"/>
        <v>0.88280009179636165</v>
      </c>
      <c r="CW269" s="1049">
        <f t="shared" si="712"/>
        <v>0.9632166801936286</v>
      </c>
      <c r="CX269" s="1049">
        <f t="shared" si="712"/>
        <v>0.95585941593319568</v>
      </c>
      <c r="CY269" s="1049">
        <f t="shared" si="712"/>
        <v>1.0362152869337098</v>
      </c>
      <c r="CZ269" s="1049">
        <f t="shared" si="712"/>
        <v>0.98603662140936332</v>
      </c>
      <c r="DA269" s="1049">
        <f t="shared" si="712"/>
        <v>0.93360386870095369</v>
      </c>
      <c r="DB269" s="1049">
        <f t="shared" si="712"/>
        <v>0.68181177559892092</v>
      </c>
      <c r="DC269" s="1049"/>
      <c r="DD269" s="1049"/>
      <c r="DE269" s="1049"/>
      <c r="DF269" s="1049"/>
      <c r="DG269" s="1049"/>
      <c r="DH269" s="1049"/>
      <c r="DJ269" s="1049">
        <f t="shared" ref="DJ269:DT269" si="713">+IFERROR((CL109-CL115)/CL160," ")</f>
        <v>0.74386084820523801</v>
      </c>
      <c r="DK269" s="1049">
        <f t="shared" si="713"/>
        <v>0.78213399426121522</v>
      </c>
      <c r="DL269" s="1049">
        <f t="shared" si="713"/>
        <v>0.80515856690314536</v>
      </c>
      <c r="DM269" s="1049">
        <f t="shared" si="713"/>
        <v>0.84199537148400982</v>
      </c>
      <c r="DN269" s="1049">
        <f t="shared" si="713"/>
        <v>0.82220847200077507</v>
      </c>
      <c r="DO269" s="1049">
        <f t="shared" si="713"/>
        <v>0.82024936271340565</v>
      </c>
      <c r="DP269" s="1049">
        <f t="shared" si="713"/>
        <v>0.85824394286060957</v>
      </c>
      <c r="DQ269" s="1049">
        <f t="shared" si="713"/>
        <v>0.87260005741718694</v>
      </c>
      <c r="DR269" s="1049">
        <f t="shared" si="713"/>
        <v>0.9406332420071507</v>
      </c>
      <c r="DS269" s="1049">
        <f t="shared" si="713"/>
        <v>0.96960087613862656</v>
      </c>
      <c r="DT269" s="1049">
        <f t="shared" si="713"/>
        <v>0.88280009179636165</v>
      </c>
      <c r="DU269" s="1049" t="str">
        <f t="shared" ref="DU269" si="714">+IFERROR((DI109-DI115)/DI160," ")</f>
        <v xml:space="preserve"> </v>
      </c>
      <c r="GF269" s="1049">
        <f>+IFERROR((GF109-GF115)/GF160," ")</f>
        <v>3.9593864032107513</v>
      </c>
      <c r="GG269" s="1049">
        <f>+IFERROR((GG109-GG115)/GG160," ")</f>
        <v>3.1609181634620835</v>
      </c>
      <c r="GH269" s="1049">
        <f>+IFERROR((GH109-GH115)/GH160," ")</f>
        <v>2.5719456964920724</v>
      </c>
      <c r="GI269" s="1049">
        <f>+IFERROR((GI109-GI115)/GI160," ")</f>
        <v>0.94141661664639065</v>
      </c>
      <c r="GJ269" s="1049">
        <f t="shared" si="710"/>
        <v>0.66179878684283644</v>
      </c>
      <c r="GK269" s="1049">
        <f t="shared" si="710"/>
        <v>0</v>
      </c>
      <c r="GL269" s="1049"/>
      <c r="GM269" s="1049"/>
      <c r="GN269" s="1049"/>
      <c r="GO269" s="1049">
        <f>+IFERROR((GO109-GO115)/GO160," ")</f>
        <v>0.78379707728983472</v>
      </c>
      <c r="GW269" s="1050"/>
      <c r="GX269" s="1050"/>
      <c r="GY269" s="1050"/>
      <c r="HB269" s="1050"/>
      <c r="HC269" s="1050"/>
      <c r="HD269" s="1050"/>
      <c r="HE269" s="1050"/>
      <c r="HF269" s="1050"/>
      <c r="HG269" s="1050"/>
      <c r="HH269" s="1050"/>
      <c r="HI269" s="1050"/>
      <c r="HK269" s="1050"/>
      <c r="HL269" s="1050"/>
      <c r="HM269" s="1050"/>
      <c r="HN269" s="1050"/>
      <c r="HO269" s="1050"/>
      <c r="HP269" s="1050"/>
      <c r="HQ269" s="1050"/>
      <c r="HR269" s="1050"/>
      <c r="HS269" s="1050"/>
      <c r="HU269" s="1049">
        <f>+IFERROR((HU109-HU115)/HU160," ")</f>
        <v>1.7487208800336556</v>
      </c>
      <c r="HV269" s="1049">
        <f>+IFERROR((HV109-HV115)/HV160," ")</f>
        <v>1.9727533178274237</v>
      </c>
      <c r="HW269" s="1049">
        <f>+IFERROR((HW109-HW115)/HW160," ")</f>
        <v>2.1371878408771035</v>
      </c>
      <c r="HX269" s="1049"/>
      <c r="HY269" s="1049"/>
      <c r="HZ269" s="1049"/>
      <c r="IA269" s="1049"/>
      <c r="IB269" s="1049"/>
      <c r="IC269" s="1049">
        <f>+IFERROR((IC109-IC115)/IC160," ")</f>
        <v>0.68181177559892092</v>
      </c>
      <c r="ID269" s="1049" t="str">
        <f>+IFERROR((ID109-ID115)/ID160," ")</f>
        <v xml:space="preserve"> </v>
      </c>
      <c r="IE269" s="1049" t="str">
        <f>+IFERROR((IE109-IE115)/IE160," ")</f>
        <v xml:space="preserve"> </v>
      </c>
      <c r="IP269" s="1050"/>
      <c r="IQ269" s="1050"/>
      <c r="IR269" s="1050"/>
      <c r="IS269" s="1050"/>
      <c r="IT269" s="1050"/>
      <c r="IU269" s="1050"/>
      <c r="IV269" s="1050"/>
      <c r="IX269" s="1050"/>
      <c r="IY269" s="1050"/>
      <c r="IZ269" s="1050"/>
      <c r="JA269" s="1050"/>
      <c r="JB269" s="1050"/>
      <c r="JC269" s="1050"/>
      <c r="JD269" s="1050"/>
      <c r="JF269" s="1050"/>
      <c r="JG269" s="1050"/>
      <c r="JH269" s="1050"/>
      <c r="JI269" s="1050"/>
      <c r="JJ269" s="1050"/>
      <c r="JK269" s="1050"/>
      <c r="JL269" s="1050"/>
      <c r="JM269" s="1050"/>
      <c r="JO269" s="1049">
        <f>+IFERROR((JO109-JO115)/JO160," ")</f>
        <v>1.7487208800336556</v>
      </c>
      <c r="JP269" s="1049">
        <f>+IFERROR((JP109-JP115)/JP160," ")</f>
        <v>1.9727533178274237</v>
      </c>
      <c r="JQ269" s="1049">
        <f>+IFERROR((JQ109-JQ115)/JQ160," ")</f>
        <v>2.1371878408771035</v>
      </c>
      <c r="JR269" s="1049">
        <f>+IFERROR((JR109-JR115)/JR160," ")</f>
        <v>1.1373403117217253</v>
      </c>
      <c r="JS269" s="1049">
        <f>+IFERROR((JS109-JS115)/JS160," ")</f>
        <v>0.68892577440511893</v>
      </c>
      <c r="JT269" s="1049"/>
      <c r="JU269" s="1049"/>
      <c r="JV269" s="1049"/>
      <c r="JW269" s="1049">
        <f>+IFERROR((JW109-JW115)/JW160," ")</f>
        <v>0.68181177559892092</v>
      </c>
      <c r="JX269" s="1049" t="str">
        <f>+IFERROR((JX109-JX115)/JX160," ")</f>
        <v xml:space="preserve"> </v>
      </c>
      <c r="JY269" s="1049" t="str">
        <f>+IFERROR((JY109-JY115)/JY160," ")</f>
        <v xml:space="preserve"> </v>
      </c>
    </row>
    <row r="270" spans="1:312">
      <c r="A270" s="867"/>
      <c r="C270" s="17" t="s">
        <v>807</v>
      </c>
      <c r="D270" s="18" t="s">
        <v>251</v>
      </c>
      <c r="E270" s="1049">
        <f t="shared" ref="E270:AN270" si="715">+IFERROR((E161+E183)/E196," ")</f>
        <v>0.15986363739592385</v>
      </c>
      <c r="F270" s="1049">
        <f t="shared" si="715"/>
        <v>0.15014033410032193</v>
      </c>
      <c r="G270" s="1049">
        <f t="shared" si="715"/>
        <v>0.13367960994026645</v>
      </c>
      <c r="H270" s="1049">
        <f t="shared" si="715"/>
        <v>0.11527752562031474</v>
      </c>
      <c r="I270" s="1049">
        <f t="shared" si="715"/>
        <v>0.14465795652998986</v>
      </c>
      <c r="J270" s="1049">
        <f t="shared" si="715"/>
        <v>0.15168589063193605</v>
      </c>
      <c r="K270" s="1049">
        <f t="shared" si="715"/>
        <v>0.13338756422687659</v>
      </c>
      <c r="L270" s="1049">
        <f t="shared" si="715"/>
        <v>0.11397033460165999</v>
      </c>
      <c r="M270" s="1049">
        <f t="shared" si="715"/>
        <v>2.4574495645128057E-2</v>
      </c>
      <c r="N270" s="1049">
        <f t="shared" si="715"/>
        <v>5.3154387158148311E-2</v>
      </c>
      <c r="O270" s="1049">
        <f t="shared" si="715"/>
        <v>6.2411570452226776E-2</v>
      </c>
      <c r="P270" s="1049">
        <f t="shared" si="715"/>
        <v>6.3464240667009744E-2</v>
      </c>
      <c r="Q270" s="1049">
        <f t="shared" si="715"/>
        <v>6.0042557333804251E-2</v>
      </c>
      <c r="R270" s="1049">
        <f t="shared" si="715"/>
        <v>8.5298179980039093E-2</v>
      </c>
      <c r="S270" s="1049">
        <f t="shared" si="715"/>
        <v>8.1957639052664386E-2</v>
      </c>
      <c r="T270" s="1049">
        <f t="shared" si="715"/>
        <v>0.21528881940036174</v>
      </c>
      <c r="U270" s="1049">
        <f t="shared" si="715"/>
        <v>0.18735959380574033</v>
      </c>
      <c r="V270" s="1049">
        <f t="shared" si="715"/>
        <v>0.16901381021831335</v>
      </c>
      <c r="W270" s="1049">
        <f t="shared" si="715"/>
        <v>0.13276212248054384</v>
      </c>
      <c r="X270" s="1049">
        <f t="shared" si="715"/>
        <v>9.5395182502963971E-2</v>
      </c>
      <c r="Y270" s="1049">
        <f t="shared" si="715"/>
        <v>9.4673057620464698E-2</v>
      </c>
      <c r="Z270" s="1049">
        <f t="shared" si="715"/>
        <v>8.9586978264441369E-2</v>
      </c>
      <c r="AA270" s="1049">
        <f t="shared" si="715"/>
        <v>7.9042556468724698E-2</v>
      </c>
      <c r="AB270" s="1049">
        <f t="shared" si="715"/>
        <v>6.4404035781375837E-2</v>
      </c>
      <c r="AC270" s="1049">
        <f t="shared" si="715"/>
        <v>3.2669252697716041E-2</v>
      </c>
      <c r="AD270" s="1049">
        <f t="shared" si="715"/>
        <v>6.259112573450519E-2</v>
      </c>
      <c r="AE270" s="1049">
        <f t="shared" si="715"/>
        <v>7.9934290781419448E-2</v>
      </c>
      <c r="AF270" s="1049">
        <f t="shared" si="715"/>
        <v>0.32951481827828205</v>
      </c>
      <c r="AG270" s="1049">
        <f t="shared" si="715"/>
        <v>0.30108380335010992</v>
      </c>
      <c r="AH270" s="1049">
        <f t="shared" si="715"/>
        <v>0.27798434893887719</v>
      </c>
      <c r="AI270" s="1049">
        <f t="shared" si="715"/>
        <v>0.25877890699943362</v>
      </c>
      <c r="AJ270" s="1049">
        <f t="shared" si="715"/>
        <v>0.27557664327270703</v>
      </c>
      <c r="AK270" s="1049">
        <f t="shared" si="715"/>
        <v>0.26555557262442031</v>
      </c>
      <c r="AL270" s="1049">
        <f t="shared" si="715"/>
        <v>0.23648312833036261</v>
      </c>
      <c r="AM270" s="1049">
        <f t="shared" si="715"/>
        <v>0.38348572069210507</v>
      </c>
      <c r="AN270" s="1049">
        <f t="shared" si="715"/>
        <v>0.21143248895709668</v>
      </c>
      <c r="AO270" s="1049">
        <v>0.19346790825993124</v>
      </c>
      <c r="AP270" s="1049">
        <v>0.3583882998730607</v>
      </c>
      <c r="AQ270" s="1049">
        <v>0.34557002755004779</v>
      </c>
      <c r="AR270" s="1049">
        <v>0.34977335102717677</v>
      </c>
      <c r="AS270" s="1049">
        <v>0.44599637835647377</v>
      </c>
      <c r="AT270" s="1049">
        <v>0.60183502018152923</v>
      </c>
      <c r="AU270" s="1049">
        <v>0.58152839085555252</v>
      </c>
      <c r="AV270" s="1049">
        <v>0.56586163276819079</v>
      </c>
      <c r="AW270" s="1049">
        <v>0.58934417427326957</v>
      </c>
      <c r="AX270" s="1049">
        <v>0.70554520142488808</v>
      </c>
      <c r="AY270" s="1049">
        <v>0.72258974014417154</v>
      </c>
      <c r="AZ270" s="1049">
        <v>0.83461656580813626</v>
      </c>
      <c r="BA270" s="1049">
        <v>0.66023571257778446</v>
      </c>
      <c r="BB270" s="1049">
        <v>0.67413612660601008</v>
      </c>
      <c r="BC270" s="1049">
        <v>0.70565864615958607</v>
      </c>
      <c r="BD270" s="1049">
        <v>0.75014924862097809</v>
      </c>
      <c r="BE270" s="1049">
        <v>0.78176852479973669</v>
      </c>
      <c r="BF270" s="1049">
        <v>0.85447889523995246</v>
      </c>
      <c r="BG270" s="1049">
        <v>0.90600007835940632</v>
      </c>
      <c r="BH270" s="1049">
        <v>0.94590352093174512</v>
      </c>
      <c r="BI270" s="1049">
        <v>0.96858858259863345</v>
      </c>
      <c r="BJ270" s="1049">
        <v>0.99392244613436764</v>
      </c>
      <c r="BK270" s="1049">
        <v>1.0002574350360989</v>
      </c>
      <c r="BL270" s="1049">
        <v>0.98709953710246845</v>
      </c>
      <c r="BM270" s="1049">
        <f t="shared" ref="BM270:DB270" si="716">+IFERROR((BM161+BM183)/BM196," ")</f>
        <v>0.90105685760690801</v>
      </c>
      <c r="BN270" s="1049">
        <f t="shared" si="716"/>
        <v>0.88725678126064322</v>
      </c>
      <c r="BO270" s="1049">
        <f t="shared" si="716"/>
        <v>0.87846503890875782</v>
      </c>
      <c r="BP270" s="1049">
        <f t="shared" si="716"/>
        <v>0.84620852277821956</v>
      </c>
      <c r="BQ270" s="1049">
        <f t="shared" si="716"/>
        <v>0.84732588873845982</v>
      </c>
      <c r="BR270" s="1049">
        <f t="shared" si="716"/>
        <v>0.84040212257418134</v>
      </c>
      <c r="BS270" s="1049">
        <f t="shared" si="716"/>
        <v>0.8352079669378969</v>
      </c>
      <c r="BT270" s="1049">
        <f t="shared" si="716"/>
        <v>0.82214108545299025</v>
      </c>
      <c r="BU270" s="1049">
        <f t="shared" si="716"/>
        <v>0.82574697240616368</v>
      </c>
      <c r="BV270" s="1049">
        <f t="shared" si="716"/>
        <v>0.80522308898729655</v>
      </c>
      <c r="BW270" s="1049">
        <f t="shared" si="716"/>
        <v>0.78382883257136604</v>
      </c>
      <c r="BX270" s="1049">
        <f t="shared" si="716"/>
        <v>0.78739177925393844</v>
      </c>
      <c r="BY270" s="1049">
        <f t="shared" si="716"/>
        <v>0.8004994088427636</v>
      </c>
      <c r="BZ270" s="1049">
        <f t="shared" si="716"/>
        <v>0.77109041239378551</v>
      </c>
      <c r="CA270" s="1049">
        <f t="shared" si="716"/>
        <v>0.7747286302698474</v>
      </c>
      <c r="CB270" s="1049">
        <f t="shared" si="716"/>
        <v>0.78252659935788449</v>
      </c>
      <c r="CC270" s="1049">
        <f t="shared" si="716"/>
        <v>0.79318180120696669</v>
      </c>
      <c r="CD270" s="1049">
        <f t="shared" si="716"/>
        <v>0.79479412929865734</v>
      </c>
      <c r="CE270" s="1049">
        <f t="shared" si="716"/>
        <v>0.73475185489215122</v>
      </c>
      <c r="CF270" s="1049">
        <f t="shared" si="716"/>
        <v>0.6514892246834586</v>
      </c>
      <c r="CG270" s="1049">
        <f t="shared" si="716"/>
        <v>0.65481759558815511</v>
      </c>
      <c r="CH270" s="1049">
        <f t="shared" si="716"/>
        <v>0.64672792493200937</v>
      </c>
      <c r="CI270" s="1049">
        <f t="shared" si="716"/>
        <v>0.61713375645913793</v>
      </c>
      <c r="CJ270" s="1049">
        <f t="shared" si="716"/>
        <v>0.62652211396649093</v>
      </c>
      <c r="CK270" s="1049">
        <f t="shared" si="716"/>
        <v>0.62080433388741296</v>
      </c>
      <c r="CL270" s="1049">
        <f t="shared" si="716"/>
        <v>0.63100954102377804</v>
      </c>
      <c r="CM270" s="1049">
        <f t="shared" si="716"/>
        <v>0.58372131052909537</v>
      </c>
      <c r="CN270" s="1049">
        <f t="shared" si="716"/>
        <v>0.57756493791460983</v>
      </c>
      <c r="CO270" s="1049">
        <f t="shared" si="716"/>
        <v>0.55122514744223017</v>
      </c>
      <c r="CP270" s="1049">
        <f t="shared" si="716"/>
        <v>0.55531859365126457</v>
      </c>
      <c r="CQ270" s="1049">
        <f t="shared" si="716"/>
        <v>0.55301627588986002</v>
      </c>
      <c r="CR270" s="1049">
        <f t="shared" si="716"/>
        <v>0.53682351148285645</v>
      </c>
      <c r="CS270" s="1049">
        <f t="shared" si="716"/>
        <v>0.52682646607939176</v>
      </c>
      <c r="CT270" s="1049">
        <f t="shared" si="716"/>
        <v>0.49922277902088352</v>
      </c>
      <c r="CU270" s="1049">
        <f t="shared" si="716"/>
        <v>0.48416865772210255</v>
      </c>
      <c r="CV270" s="1049">
        <f t="shared" si="716"/>
        <v>0.51853588824609631</v>
      </c>
      <c r="CW270" s="1049">
        <f t="shared" si="716"/>
        <v>0.50559995848779604</v>
      </c>
      <c r="CX270" s="1049">
        <f t="shared" si="716"/>
        <v>0.49738168981843811</v>
      </c>
      <c r="CY270" s="1049">
        <f t="shared" si="716"/>
        <v>0.46565430692586213</v>
      </c>
      <c r="CZ270" s="1049">
        <f t="shared" si="716"/>
        <v>0.47612660497228743</v>
      </c>
      <c r="DA270" s="1049">
        <f t="shared" si="716"/>
        <v>0.49302912932990034</v>
      </c>
      <c r="DB270" s="1049">
        <f t="shared" si="716"/>
        <v>0.50624237843660225</v>
      </c>
      <c r="DC270" s="1049"/>
      <c r="DD270" s="1049"/>
      <c r="DE270" s="1049"/>
      <c r="DF270" s="1049"/>
      <c r="DG270" s="1049"/>
      <c r="DH270" s="1049"/>
      <c r="DJ270" s="1049">
        <f t="shared" ref="DJ270:DT270" si="717">+IFERROR((CL161+CL183)/CL196," ")</f>
        <v>0.63100954102377804</v>
      </c>
      <c r="DK270" s="1049">
        <f t="shared" si="717"/>
        <v>0.58372131052909537</v>
      </c>
      <c r="DL270" s="1049">
        <f t="shared" si="717"/>
        <v>0.57756493791460983</v>
      </c>
      <c r="DM270" s="1049">
        <f t="shared" si="717"/>
        <v>0.55122514744223017</v>
      </c>
      <c r="DN270" s="1049">
        <f t="shared" si="717"/>
        <v>0.55531859365126457</v>
      </c>
      <c r="DO270" s="1049">
        <f t="shared" si="717"/>
        <v>0.55301627588986002</v>
      </c>
      <c r="DP270" s="1049">
        <f t="shared" si="717"/>
        <v>0.53682351148285645</v>
      </c>
      <c r="DQ270" s="1049">
        <f t="shared" si="717"/>
        <v>0.52682646607939176</v>
      </c>
      <c r="DR270" s="1049">
        <f t="shared" si="717"/>
        <v>0.49922277902088352</v>
      </c>
      <c r="DS270" s="1049">
        <f t="shared" si="717"/>
        <v>0.48416865772210255</v>
      </c>
      <c r="DT270" s="1049">
        <f t="shared" si="717"/>
        <v>0.51853588824609631</v>
      </c>
      <c r="DU270" s="1049" t="str">
        <f t="shared" ref="DU270" si="718">+IFERROR((DI161+DI183)/DI196," ")</f>
        <v xml:space="preserve"> </v>
      </c>
      <c r="GF270" s="1049">
        <f>+IFERROR((GF161+GF183)/GF196," ")</f>
        <v>6.3464240667009744E-2</v>
      </c>
      <c r="GG270" s="1049">
        <f>+IFERROR((GG161+GG183)/GG196," ")</f>
        <v>6.4404035781375837E-2</v>
      </c>
      <c r="GH270" s="1049">
        <f>+IFERROR((GH161+GH183)/GH196," ")</f>
        <v>0.21143248895709668</v>
      </c>
      <c r="GI270" s="1049">
        <f>+IFERROR((GI161+GI183)/GI196," ")</f>
        <v>0.66972051084286544</v>
      </c>
      <c r="GJ270" s="1049">
        <f t="shared" si="710"/>
        <v>0.98709953710246845</v>
      </c>
      <c r="GK270" s="1049">
        <f t="shared" si="710"/>
        <v>0</v>
      </c>
      <c r="GL270" s="1049"/>
      <c r="GM270" s="1049"/>
      <c r="GN270" s="1049"/>
      <c r="GO270" s="1049">
        <f>+IFERROR((GO161+GO183)/GO196," ")</f>
        <v>0.51119054109437523</v>
      </c>
      <c r="GW270" s="1050"/>
      <c r="GX270" s="1050"/>
      <c r="GY270" s="1050"/>
      <c r="HB270" s="1050"/>
      <c r="HC270" s="1050"/>
      <c r="HD270" s="1050"/>
      <c r="HE270" s="1050"/>
      <c r="HF270" s="1050"/>
      <c r="HG270" s="1050"/>
      <c r="HH270" s="1050"/>
      <c r="HI270" s="1050"/>
      <c r="HK270" s="1050"/>
      <c r="HL270" s="1050"/>
      <c r="HM270" s="1050"/>
      <c r="HN270" s="1050"/>
      <c r="HO270" s="1050"/>
      <c r="HP270" s="1050"/>
      <c r="HQ270" s="1050"/>
      <c r="HR270" s="1050"/>
      <c r="HS270" s="1050"/>
      <c r="HU270" s="1049">
        <f>+IFERROR((HU161+HU183)/HU196," ")</f>
        <v>0.15168589063193605</v>
      </c>
      <c r="HV270" s="1049">
        <f>+IFERROR((HV161+HV183)/HV196," ")</f>
        <v>0.16901381021831335</v>
      </c>
      <c r="HW270" s="1049">
        <f>+IFERROR((HW161+HW183)/HW196," ")</f>
        <v>0.27798434893887719</v>
      </c>
      <c r="HX270" s="1049"/>
      <c r="HY270" s="1049"/>
      <c r="HZ270" s="1049"/>
      <c r="IA270" s="1049"/>
      <c r="IB270" s="1049"/>
      <c r="IC270" s="1049">
        <f>+IFERROR((IC161+IC183)/IC196," ")</f>
        <v>0.50624237843660225</v>
      </c>
      <c r="ID270" s="1049" t="str">
        <f>+IFERROR((ID161+ID183)/ID196," ")</f>
        <v xml:space="preserve"> </v>
      </c>
      <c r="IE270" s="1049" t="str">
        <f>+IFERROR((IE161+IE183)/IE196," ")</f>
        <v xml:space="preserve"> </v>
      </c>
      <c r="IP270" s="1050"/>
      <c r="IQ270" s="1050"/>
      <c r="IR270" s="1050"/>
      <c r="IS270" s="1050"/>
      <c r="IT270" s="1050"/>
      <c r="IU270" s="1050"/>
      <c r="IV270" s="1050"/>
      <c r="IX270" s="1050"/>
      <c r="IY270" s="1050"/>
      <c r="IZ270" s="1050"/>
      <c r="JA270" s="1050"/>
      <c r="JB270" s="1050"/>
      <c r="JC270" s="1050"/>
      <c r="JD270" s="1050"/>
      <c r="JF270" s="1050"/>
      <c r="JG270" s="1050"/>
      <c r="JH270" s="1050"/>
      <c r="JI270" s="1050"/>
      <c r="JJ270" s="1050"/>
      <c r="JK270" s="1050"/>
      <c r="JL270" s="1050"/>
      <c r="JM270" s="1050"/>
      <c r="JO270" s="1049">
        <f>+IFERROR((JO161+JO183)/JO196," ")</f>
        <v>0.15168589063193605</v>
      </c>
      <c r="JP270" s="1049">
        <f>+IFERROR((JP161+JP183)/JP196," ")</f>
        <v>0.16901381021831335</v>
      </c>
      <c r="JQ270" s="1049">
        <f>+IFERROR((JQ161+JQ183)/JQ196," ")</f>
        <v>0.27798434893887719</v>
      </c>
      <c r="JR270" s="1049">
        <f>+IFERROR((JR161+JR183)/JR196," ")</f>
        <v>0.60183502018152923</v>
      </c>
      <c r="JS270" s="1049">
        <f>+IFERROR((JS161+JS183)/JS196," ")</f>
        <v>0.84436876360420787</v>
      </c>
      <c r="JT270" s="1049"/>
      <c r="JU270" s="1049"/>
      <c r="JV270" s="1049"/>
      <c r="JW270" s="1049">
        <f>+IFERROR((JW161+JW183)/JW196," ")</f>
        <v>0.50624237843660225</v>
      </c>
      <c r="JX270" s="1049" t="str">
        <f>+IFERROR((JX161+JX183)/JX196," ")</f>
        <v xml:space="preserve"> </v>
      </c>
      <c r="JY270" s="1049" t="str">
        <f>+IFERROR((JY161+JY183)/JY196," ")</f>
        <v xml:space="preserve"> </v>
      </c>
    </row>
    <row r="271" spans="1:312">
      <c r="A271" s="867"/>
      <c r="C271" s="186" t="s">
        <v>808</v>
      </c>
      <c r="D271" s="191" t="s">
        <v>251</v>
      </c>
      <c r="E271" s="1051" t="str">
        <f t="shared" ref="E271:AN271" si="719">+IFERROR((E161+E183)/E222," ")</f>
        <v xml:space="preserve"> </v>
      </c>
      <c r="F271" s="1051" t="str">
        <f t="shared" si="719"/>
        <v xml:space="preserve"> </v>
      </c>
      <c r="G271" s="1051" t="str">
        <f t="shared" si="719"/>
        <v xml:space="preserve"> </v>
      </c>
      <c r="H271" s="1051" t="str">
        <f t="shared" si="719"/>
        <v xml:space="preserve"> </v>
      </c>
      <c r="I271" s="1051" t="str">
        <f t="shared" si="719"/>
        <v xml:space="preserve"> </v>
      </c>
      <c r="J271" s="1051" t="str">
        <f t="shared" si="719"/>
        <v xml:space="preserve"> </v>
      </c>
      <c r="K271" s="1051" t="str">
        <f t="shared" si="719"/>
        <v xml:space="preserve"> </v>
      </c>
      <c r="L271" s="1051" t="str">
        <f t="shared" si="719"/>
        <v xml:space="preserve"> </v>
      </c>
      <c r="M271" s="1051" t="str">
        <f t="shared" si="719"/>
        <v xml:space="preserve"> </v>
      </c>
      <c r="N271" s="1051" t="str">
        <f t="shared" si="719"/>
        <v xml:space="preserve"> </v>
      </c>
      <c r="O271" s="1051" t="str">
        <f t="shared" si="719"/>
        <v xml:space="preserve"> </v>
      </c>
      <c r="P271" s="1051" t="str">
        <f t="shared" si="719"/>
        <v xml:space="preserve"> </v>
      </c>
      <c r="Q271" s="1051" t="str">
        <f t="shared" si="719"/>
        <v xml:space="preserve"> </v>
      </c>
      <c r="R271" s="1051" t="str">
        <f t="shared" si="719"/>
        <v xml:space="preserve"> </v>
      </c>
      <c r="S271" s="1051" t="str">
        <f t="shared" si="719"/>
        <v xml:space="preserve"> </v>
      </c>
      <c r="T271" s="1051" t="str">
        <f t="shared" si="719"/>
        <v xml:space="preserve"> </v>
      </c>
      <c r="U271" s="1051" t="str">
        <f t="shared" si="719"/>
        <v xml:space="preserve"> </v>
      </c>
      <c r="V271" s="1051" t="str">
        <f t="shared" si="719"/>
        <v xml:space="preserve"> </v>
      </c>
      <c r="W271" s="1051" t="str">
        <f t="shared" si="719"/>
        <v xml:space="preserve"> </v>
      </c>
      <c r="X271" s="1051" t="str">
        <f t="shared" si="719"/>
        <v xml:space="preserve"> </v>
      </c>
      <c r="Y271" s="1051" t="str">
        <f t="shared" si="719"/>
        <v xml:space="preserve"> </v>
      </c>
      <c r="Z271" s="1051" t="str">
        <f t="shared" si="719"/>
        <v xml:space="preserve"> </v>
      </c>
      <c r="AA271" s="1051" t="str">
        <f t="shared" si="719"/>
        <v xml:space="preserve"> </v>
      </c>
      <c r="AB271" s="1051" t="str">
        <f t="shared" si="719"/>
        <v xml:space="preserve"> </v>
      </c>
      <c r="AC271" s="1051" t="str">
        <f t="shared" si="719"/>
        <v xml:space="preserve"> </v>
      </c>
      <c r="AD271" s="1051" t="str">
        <f t="shared" si="719"/>
        <v xml:space="preserve"> </v>
      </c>
      <c r="AE271" s="1051" t="str">
        <f t="shared" si="719"/>
        <v xml:space="preserve"> </v>
      </c>
      <c r="AF271" s="1051" t="str">
        <f t="shared" si="719"/>
        <v xml:space="preserve"> </v>
      </c>
      <c r="AG271" s="1051" t="str">
        <f t="shared" si="719"/>
        <v xml:space="preserve"> </v>
      </c>
      <c r="AH271" s="1051" t="str">
        <f t="shared" si="719"/>
        <v xml:space="preserve"> </v>
      </c>
      <c r="AI271" s="1051" t="str">
        <f t="shared" si="719"/>
        <v xml:space="preserve"> </v>
      </c>
      <c r="AJ271" s="1051" t="str">
        <f t="shared" si="719"/>
        <v xml:space="preserve"> </v>
      </c>
      <c r="AK271" s="1051" t="str">
        <f t="shared" si="719"/>
        <v xml:space="preserve"> </v>
      </c>
      <c r="AL271" s="1051" t="str">
        <f t="shared" si="719"/>
        <v xml:space="preserve"> </v>
      </c>
      <c r="AM271" s="1051" t="str">
        <f t="shared" si="719"/>
        <v xml:space="preserve"> </v>
      </c>
      <c r="AN271" s="1051" t="str">
        <f t="shared" si="719"/>
        <v xml:space="preserve"> </v>
      </c>
      <c r="AO271" s="1051">
        <v>-1.3294312998140572</v>
      </c>
      <c r="AP271" s="1051">
        <v>-3.6125212088242029</v>
      </c>
      <c r="AQ271" s="1051">
        <v>-4.4252669338722983</v>
      </c>
      <c r="AR271" s="1051">
        <v>-12.430346106179536</v>
      </c>
      <c r="AS271" s="1051">
        <v>-3.596886550422874</v>
      </c>
      <c r="AT271" s="1051">
        <v>-9.8180980860894582</v>
      </c>
      <c r="AU271" s="1051">
        <v>260.50932841925663</v>
      </c>
      <c r="AV271" s="1051">
        <v>-22.940524291565843</v>
      </c>
      <c r="AW271" s="1051">
        <v>-12.489587082565325</v>
      </c>
      <c r="AX271" s="1051">
        <v>12.226709457637952</v>
      </c>
      <c r="AY271" s="1051">
        <v>110.44747346055274</v>
      </c>
      <c r="AZ271" s="1051">
        <v>5.9630772140395818</v>
      </c>
      <c r="BA271" s="1051">
        <v>-12.773582935556345</v>
      </c>
      <c r="BB271" s="1051">
        <v>17.933952490817795</v>
      </c>
      <c r="BC271" s="1051">
        <v>133.10513502288313</v>
      </c>
      <c r="BD271" s="1051">
        <v>7.4821868913913114</v>
      </c>
      <c r="BE271" s="1051">
        <v>-8.3089191053201912</v>
      </c>
      <c r="BF271" s="1051">
        <v>-47.354271523890766</v>
      </c>
      <c r="BG271" s="1051">
        <v>-18.550425597634472</v>
      </c>
      <c r="BH271" s="1051">
        <v>13412.887438113594</v>
      </c>
      <c r="BI271" s="1051">
        <v>47.927469229790852</v>
      </c>
      <c r="BJ271" s="1051">
        <v>-83.908807199961487</v>
      </c>
      <c r="BK271" s="1051">
        <v>6.8245315289365029</v>
      </c>
      <c r="BL271" s="1051">
        <v>-29.36827207988431</v>
      </c>
      <c r="BM271" s="1051">
        <f t="shared" ref="BM271:DB271" si="720">+IFERROR((BM161+BM183)/BM222," ")</f>
        <v>-16.787203656834684</v>
      </c>
      <c r="BN271" s="1051">
        <f t="shared" si="720"/>
        <v>-15.810187648439667</v>
      </c>
      <c r="BO271" s="1051">
        <f t="shared" si="720"/>
        <v>15.398301818892968</v>
      </c>
      <c r="BP271" s="1051">
        <f t="shared" si="720"/>
        <v>-35.52263219999849</v>
      </c>
      <c r="BQ271" s="1051">
        <f t="shared" si="720"/>
        <v>14.312618651108528</v>
      </c>
      <c r="BR271" s="1051">
        <f t="shared" si="720"/>
        <v>1052.6094345194631</v>
      </c>
      <c r="BS271" s="1051">
        <f t="shared" si="720"/>
        <v>-40.953056525166026</v>
      </c>
      <c r="BT271" s="1051">
        <f t="shared" si="720"/>
        <v>24.34891659489168</v>
      </c>
      <c r="BU271" s="1051">
        <f t="shared" si="720"/>
        <v>-36.479173106929004</v>
      </c>
      <c r="BV271" s="1051">
        <f t="shared" si="720"/>
        <v>9.08037659599092</v>
      </c>
      <c r="BW271" s="1051">
        <f t="shared" si="720"/>
        <v>108.42284705468909</v>
      </c>
      <c r="BX271" s="1051">
        <f t="shared" si="720"/>
        <v>14.775669697474179</v>
      </c>
      <c r="BY271" s="1051">
        <f t="shared" si="720"/>
        <v>-15.27239397295395</v>
      </c>
      <c r="BZ271" s="1051">
        <f t="shared" si="720"/>
        <v>21.396140170804749</v>
      </c>
      <c r="CA271" s="1051">
        <f t="shared" si="720"/>
        <v>-151.68727689716653</v>
      </c>
      <c r="CB271" s="1051">
        <f t="shared" si="720"/>
        <v>40.135894775825761</v>
      </c>
      <c r="CC271" s="1051">
        <f t="shared" si="720"/>
        <v>76.232852251121301</v>
      </c>
      <c r="CD271" s="1051">
        <f t="shared" si="720"/>
        <v>-94.503613755680774</v>
      </c>
      <c r="CE271" s="1051">
        <f t="shared" si="720"/>
        <v>7.3805906698070842</v>
      </c>
      <c r="CF271" s="1051">
        <f t="shared" si="720"/>
        <v>18.564626845639584</v>
      </c>
      <c r="CG271" s="1051">
        <f t="shared" si="720"/>
        <v>-10.35233388392742</v>
      </c>
      <c r="CH271" s="1051">
        <f t="shared" si="720"/>
        <v>-19.416241002524934</v>
      </c>
      <c r="CI271" s="1051">
        <f t="shared" si="720"/>
        <v>3896.4276430419254</v>
      </c>
      <c r="CJ271" s="1051">
        <f t="shared" si="720"/>
        <v>51.727988237796964</v>
      </c>
      <c r="CK271" s="1051">
        <f t="shared" si="720"/>
        <v>-19.858041689396849</v>
      </c>
      <c r="CL271" s="1051">
        <f t="shared" si="720"/>
        <v>15.352352172648452</v>
      </c>
      <c r="CM271" s="1051">
        <f t="shared" si="720"/>
        <v>17.975085963837355</v>
      </c>
      <c r="CN271" s="1051">
        <f t="shared" si="720"/>
        <v>-382.69320137728658</v>
      </c>
      <c r="CO271" s="1051">
        <f t="shared" si="720"/>
        <v>41.077415119733047</v>
      </c>
      <c r="CP271" s="1051">
        <f t="shared" si="720"/>
        <v>20.061010731285378</v>
      </c>
      <c r="CQ271" s="1051">
        <f t="shared" si="720"/>
        <v>12.094056268236878</v>
      </c>
      <c r="CR271" s="1051">
        <f t="shared" si="720"/>
        <v>7.7653132888357037</v>
      </c>
      <c r="CS271" s="1051">
        <f t="shared" si="720"/>
        <v>69.727215105470577</v>
      </c>
      <c r="CT271" s="1051">
        <f t="shared" si="720"/>
        <v>-18.671295542817429</v>
      </c>
      <c r="CU271" s="1051">
        <f t="shared" si="720"/>
        <v>-23.332583236268476</v>
      </c>
      <c r="CV271" s="1051">
        <f t="shared" si="720"/>
        <v>6.6036590612590755</v>
      </c>
      <c r="CW271" s="1051">
        <f t="shared" si="720"/>
        <v>-27.82756359552452</v>
      </c>
      <c r="CX271" s="1051">
        <f t="shared" si="720"/>
        <v>-10.190176529785679</v>
      </c>
      <c r="CY271" s="1051">
        <f t="shared" si="720"/>
        <v>-9.6745036526159058</v>
      </c>
      <c r="CZ271" s="1051">
        <f t="shared" si="720"/>
        <v>4.2735144981507949</v>
      </c>
      <c r="DA271" s="1051">
        <f t="shared" si="720"/>
        <v>54.512063444705845</v>
      </c>
      <c r="DB271" s="1051">
        <f t="shared" si="720"/>
        <v>11.745244182011824</v>
      </c>
      <c r="DC271" s="1049"/>
      <c r="DD271" s="1049"/>
      <c r="DE271" s="1049"/>
      <c r="DF271" s="1049"/>
      <c r="DG271" s="1049"/>
      <c r="DH271" s="1049"/>
      <c r="DJ271" s="1051">
        <f t="shared" ref="DJ271:DT271" si="721">+IFERROR((CL161+CL183)/CL222," ")</f>
        <v>15.352352172648452</v>
      </c>
      <c r="DK271" s="1051">
        <f t="shared" si="721"/>
        <v>17.975085963837355</v>
      </c>
      <c r="DL271" s="1051">
        <f t="shared" si="721"/>
        <v>-382.69320137728658</v>
      </c>
      <c r="DM271" s="1051">
        <f t="shared" si="721"/>
        <v>41.077415119733047</v>
      </c>
      <c r="DN271" s="1051">
        <f t="shared" si="721"/>
        <v>20.061010731285378</v>
      </c>
      <c r="DO271" s="1051">
        <f t="shared" si="721"/>
        <v>12.094056268236878</v>
      </c>
      <c r="DP271" s="1051">
        <f t="shared" si="721"/>
        <v>7.7653132888357037</v>
      </c>
      <c r="DQ271" s="1051">
        <f t="shared" si="721"/>
        <v>69.727215105470577</v>
      </c>
      <c r="DR271" s="1051">
        <f t="shared" si="721"/>
        <v>-18.671295542817429</v>
      </c>
      <c r="DS271" s="1051">
        <f t="shared" si="721"/>
        <v>-23.332583236268476</v>
      </c>
      <c r="DT271" s="1051">
        <f t="shared" si="721"/>
        <v>6.6036590612590755</v>
      </c>
      <c r="DU271" s="1051" t="str">
        <f t="shared" ref="DU271" si="722">+IFERROR((DI161+DI183)/DI222," ")</f>
        <v xml:space="preserve"> </v>
      </c>
      <c r="GF271" s="1051" t="str">
        <f>+IFERROR((GF161+GF183)/GF222," ")</f>
        <v xml:space="preserve"> </v>
      </c>
      <c r="GG271" s="1051" t="str">
        <f>+IFERROR((GG161+GG183)/GG222," ")</f>
        <v xml:space="preserve"> </v>
      </c>
      <c r="GH271" s="1051" t="str">
        <f>+IFERROR((GH161+GH183)/GH222," ")</f>
        <v xml:space="preserve"> </v>
      </c>
      <c r="GI271" s="1051" t="str">
        <f>+IFERROR((GI161+GI183)/GI222," ")</f>
        <v xml:space="preserve"> </v>
      </c>
      <c r="GJ271" s="1051">
        <f t="shared" si="710"/>
        <v>-29.36827207988431</v>
      </c>
      <c r="GK271" s="1051">
        <f t="shared" si="710"/>
        <v>0</v>
      </c>
      <c r="GL271" s="1051"/>
      <c r="GM271" s="1051"/>
      <c r="GN271" s="1051"/>
      <c r="GO271" s="1051" t="str">
        <f>+IFERROR((GO161+GO183)/GO222," ")</f>
        <v xml:space="preserve"> </v>
      </c>
      <c r="GW271" s="1052"/>
      <c r="GX271" s="1052"/>
      <c r="GY271" s="1052"/>
      <c r="HB271" s="1052"/>
      <c r="HC271" s="1052"/>
      <c r="HD271" s="1052"/>
      <c r="HE271" s="1052"/>
      <c r="HF271" s="1052"/>
      <c r="HG271" s="1052"/>
      <c r="HH271" s="1052"/>
      <c r="HI271" s="1052"/>
      <c r="HK271" s="1052"/>
      <c r="HL271" s="1052"/>
      <c r="HM271" s="1052"/>
      <c r="HN271" s="1052"/>
      <c r="HO271" s="1052"/>
      <c r="HP271" s="1052"/>
      <c r="HQ271" s="1052"/>
      <c r="HR271" s="1052"/>
      <c r="HS271" s="1052"/>
      <c r="HU271" s="1051" t="str">
        <f>+IFERROR((HU161+HU183)/HU222," ")</f>
        <v xml:space="preserve"> </v>
      </c>
      <c r="HV271" s="1051" t="str">
        <f>+IFERROR((HV161+HV183)/HV222," ")</f>
        <v xml:space="preserve"> </v>
      </c>
      <c r="HW271" s="1051" t="str">
        <f>+IFERROR((HW161+HW183)/HW222," ")</f>
        <v xml:space="preserve"> </v>
      </c>
      <c r="HX271" s="1051"/>
      <c r="HY271" s="1051"/>
      <c r="HZ271" s="1051"/>
      <c r="IA271" s="1051"/>
      <c r="IB271" s="1051"/>
      <c r="IC271" s="1051" t="str">
        <f>+IFERROR((IC161+IC183)/IC222," ")</f>
        <v xml:space="preserve"> </v>
      </c>
      <c r="ID271" s="1051" t="str">
        <f>+IFERROR((ID161+ID183)/ID222," ")</f>
        <v xml:space="preserve"> </v>
      </c>
      <c r="IE271" s="1051" t="str">
        <f>+IFERROR((IE161+IE183)/IE222," ")</f>
        <v xml:space="preserve"> </v>
      </c>
      <c r="IP271" s="1052"/>
      <c r="IQ271" s="1052"/>
      <c r="IR271" s="1052"/>
      <c r="IS271" s="1052"/>
      <c r="IT271" s="1052"/>
      <c r="IU271" s="1052"/>
      <c r="IV271" s="1052"/>
      <c r="IX271" s="1052"/>
      <c r="IY271" s="1052"/>
      <c r="IZ271" s="1052"/>
      <c r="JA271" s="1052"/>
      <c r="JB271" s="1052"/>
      <c r="JC271" s="1052"/>
      <c r="JD271" s="1052"/>
      <c r="JF271" s="1052"/>
      <c r="JG271" s="1052"/>
      <c r="JH271" s="1052"/>
      <c r="JI271" s="1052"/>
      <c r="JJ271" s="1052"/>
      <c r="JK271" s="1052"/>
      <c r="JL271" s="1052"/>
      <c r="JM271" s="1052"/>
      <c r="JO271" s="1051" t="str">
        <f>+IFERROR((JO161+JO183)/JO222," ")</f>
        <v xml:space="preserve"> </v>
      </c>
      <c r="JP271" s="1051" t="str">
        <f>+IFERROR((JP161+JP183)/JP222," ")</f>
        <v xml:space="preserve"> </v>
      </c>
      <c r="JQ271" s="1051" t="str">
        <f>+IFERROR((JQ161+JQ183)/JQ222," ")</f>
        <v xml:space="preserve"> </v>
      </c>
      <c r="JR271" s="1051" t="str">
        <f>+IFERROR((JR161+JR183)/JR222," ")</f>
        <v xml:space="preserve"> </v>
      </c>
      <c r="JS271" s="1051" t="str">
        <f>+IFERROR((JS161+JS183)/JS222," ")</f>
        <v xml:space="preserve"> </v>
      </c>
      <c r="JT271" s="1051"/>
      <c r="JU271" s="1051"/>
      <c r="JV271" s="1051"/>
      <c r="JW271" s="1051" t="str">
        <f>+IFERROR((JW161+JW183)/JW222," ")</f>
        <v xml:space="preserve"> </v>
      </c>
      <c r="JX271" s="1051" t="str">
        <f>+IFERROR((JX161+JX183)/JX222," ")</f>
        <v xml:space="preserve"> </v>
      </c>
      <c r="JY271" s="1051" t="str">
        <f>+IFERROR((JY161+JY183)/JY222," ")</f>
        <v xml:space="preserve"> </v>
      </c>
    </row>
    <row r="272" spans="1:312">
      <c r="A272" s="867"/>
      <c r="C272" s="657"/>
      <c r="D272" s="18"/>
      <c r="AQ272" s="17"/>
    </row>
    <row r="273" spans="1:285">
      <c r="A273" s="867"/>
      <c r="C273" s="185" t="s">
        <v>263</v>
      </c>
      <c r="D273" s="191"/>
      <c r="AQ273" s="17"/>
    </row>
    <row r="274" spans="1:285">
      <c r="A274" s="867"/>
      <c r="C274" s="17" t="s">
        <v>809</v>
      </c>
      <c r="D274" s="18" t="s">
        <v>59</v>
      </c>
      <c r="E274" s="1053">
        <f t="shared" ref="E274:AN274" si="723">+SUM(E113:E127)-SUM(E161:E175)</f>
        <v>-3310.1281169200015</v>
      </c>
      <c r="F274" s="1053">
        <f t="shared" si="723"/>
        <v>151.44569386999956</v>
      </c>
      <c r="G274" s="1053">
        <f t="shared" si="723"/>
        <v>-564.18657432000145</v>
      </c>
      <c r="H274" s="1053">
        <f t="shared" si="723"/>
        <v>9.4352325399995607</v>
      </c>
      <c r="I274" s="1053">
        <f t="shared" si="723"/>
        <v>846.72961034999844</v>
      </c>
      <c r="J274" s="1053">
        <f t="shared" si="723"/>
        <v>1130.0356621499986</v>
      </c>
      <c r="K274" s="1053">
        <f t="shared" si="723"/>
        <v>554.40992096999889</v>
      </c>
      <c r="L274" s="1053">
        <f t="shared" si="723"/>
        <v>2183.5749249399996</v>
      </c>
      <c r="M274" s="1053">
        <f t="shared" si="723"/>
        <v>2759.3862050000016</v>
      </c>
      <c r="N274" s="1053">
        <f t="shared" si="723"/>
        <v>3395.3514779700017</v>
      </c>
      <c r="O274" s="1053">
        <f t="shared" si="723"/>
        <v>5197.4469050700009</v>
      </c>
      <c r="P274" s="1053">
        <f t="shared" si="723"/>
        <v>4646.0965365399989</v>
      </c>
      <c r="Q274" s="1053">
        <f t="shared" si="723"/>
        <v>3027.11438567</v>
      </c>
      <c r="R274" s="1053">
        <f t="shared" si="723"/>
        <v>5603.8152087799999</v>
      </c>
      <c r="S274" s="1053">
        <f t="shared" si="723"/>
        <v>3802.0984213900028</v>
      </c>
      <c r="T274" s="1053">
        <f t="shared" si="723"/>
        <v>-2297.496793459999</v>
      </c>
      <c r="U274" s="1053">
        <f t="shared" si="723"/>
        <v>-183.42203487999905</v>
      </c>
      <c r="V274" s="1053">
        <f t="shared" si="723"/>
        <v>355.965788659998</v>
      </c>
      <c r="W274" s="1053">
        <f t="shared" si="723"/>
        <v>857.50047892000202</v>
      </c>
      <c r="X274" s="1053">
        <f t="shared" si="723"/>
        <v>2036.7296002399989</v>
      </c>
      <c r="Y274" s="1053">
        <f t="shared" si="723"/>
        <v>1839.8360151100014</v>
      </c>
      <c r="Z274" s="1053">
        <f t="shared" si="723"/>
        <v>1795.1473001099985</v>
      </c>
      <c r="AA274" s="1053">
        <f t="shared" si="723"/>
        <v>3789.5660362900026</v>
      </c>
      <c r="AB274" s="1053">
        <f t="shared" si="723"/>
        <v>4526.0165277899996</v>
      </c>
      <c r="AC274" s="1053">
        <f t="shared" si="723"/>
        <v>5427.6434272700017</v>
      </c>
      <c r="AD274" s="1053">
        <f t="shared" si="723"/>
        <v>8503.4629413499988</v>
      </c>
      <c r="AE274" s="1053">
        <f t="shared" si="723"/>
        <v>9180.3562599299948</v>
      </c>
      <c r="AF274" s="1053">
        <f t="shared" si="723"/>
        <v>369.59161294999649</v>
      </c>
      <c r="AG274" s="1053">
        <f t="shared" si="723"/>
        <v>764.13656623999668</v>
      </c>
      <c r="AH274" s="1053">
        <f t="shared" si="723"/>
        <v>2906.3250314899997</v>
      </c>
      <c r="AI274" s="1053">
        <f t="shared" si="723"/>
        <v>3131.8301997000017</v>
      </c>
      <c r="AJ274" s="1053">
        <f t="shared" si="723"/>
        <v>2030.7160156600039</v>
      </c>
      <c r="AK274" s="1053">
        <f t="shared" si="723"/>
        <v>2750.1214892199987</v>
      </c>
      <c r="AL274" s="1053">
        <f t="shared" si="723"/>
        <v>4154.970340869997</v>
      </c>
      <c r="AM274" s="1053">
        <f t="shared" si="723"/>
        <v>-989.17333063000478</v>
      </c>
      <c r="AN274" s="1053">
        <f t="shared" si="723"/>
        <v>3473.7227598999962</v>
      </c>
      <c r="AO274" s="345">
        <v>8190.8005409299876</v>
      </c>
      <c r="AP274" s="345">
        <v>-666.10701269000856</v>
      </c>
      <c r="AQ274" s="345">
        <v>1147.7565694899931</v>
      </c>
      <c r="AR274" s="345">
        <v>-2917.1198457900064</v>
      </c>
      <c r="AS274" s="345">
        <v>-5420.1098593899987</v>
      </c>
      <c r="AT274" s="345">
        <v>-8919.3164212199972</v>
      </c>
      <c r="AU274" s="345">
        <v>-7979.5680737000093</v>
      </c>
      <c r="AV274" s="345">
        <v>-6772.4387825300073</v>
      </c>
      <c r="AW274" s="345">
        <v>-7179.2915862600039</v>
      </c>
      <c r="AX274" s="345">
        <v>-9069.951805210012</v>
      </c>
      <c r="AY274" s="345">
        <v>-9595.024736870002</v>
      </c>
      <c r="AZ274" s="345">
        <v>-10076.086040540002</v>
      </c>
      <c r="BA274" s="960">
        <v>-10310.227171099999</v>
      </c>
      <c r="BB274" s="960">
        <v>-10405.802270630002</v>
      </c>
      <c r="BC274" s="960">
        <v>-10509.270796570006</v>
      </c>
      <c r="BD274" s="960">
        <v>-10832.958171030006</v>
      </c>
      <c r="BE274" s="961">
        <v>-10659.483003579997</v>
      </c>
      <c r="BF274" s="961">
        <v>-11026.040453170004</v>
      </c>
      <c r="BG274" s="961">
        <v>-11215.51135809</v>
      </c>
      <c r="BH274" s="961">
        <v>-12023.929779870001</v>
      </c>
      <c r="BI274" s="961">
        <v>-12285.21188287</v>
      </c>
      <c r="BJ274" s="961">
        <v>-12443.584590959999</v>
      </c>
      <c r="BK274" s="961">
        <v>-13080.653537309996</v>
      </c>
      <c r="BL274" s="961">
        <v>-12604.75903637</v>
      </c>
      <c r="BM274" s="960">
        <f t="shared" ref="BM274:BY274" si="724">+SUM(BM113:BM127)-SUM(BM161:BM175)</f>
        <v>-12399.1289638</v>
      </c>
      <c r="BN274" s="960">
        <f t="shared" si="724"/>
        <v>-11062.778569870008</v>
      </c>
      <c r="BO274" s="960">
        <f t="shared" si="724"/>
        <v>-11416.728518849995</v>
      </c>
      <c r="BP274" s="960">
        <f t="shared" si="724"/>
        <v>-10854.005781329995</v>
      </c>
      <c r="BQ274" s="960">
        <f t="shared" si="724"/>
        <v>-11412.565925330002</v>
      </c>
      <c r="BR274" s="961">
        <f t="shared" si="724"/>
        <v>-10993.7469153</v>
      </c>
      <c r="BS274" s="961">
        <f t="shared" si="724"/>
        <v>-10715.412976979998</v>
      </c>
      <c r="BT274" s="961">
        <f t="shared" si="724"/>
        <v>-10452.652420480003</v>
      </c>
      <c r="BU274" s="961">
        <f t="shared" si="724"/>
        <v>-10385.782976159999</v>
      </c>
      <c r="BV274" s="961">
        <f t="shared" si="724"/>
        <v>-10991.907318840005</v>
      </c>
      <c r="BW274" s="961">
        <f t="shared" si="724"/>
        <v>-10649.669568960006</v>
      </c>
      <c r="BX274" s="961">
        <f t="shared" si="724"/>
        <v>-11874.201359500001</v>
      </c>
      <c r="BY274" s="960">
        <f t="shared" si="724"/>
        <v>-10971.114466079995</v>
      </c>
      <c r="BZ274" s="960">
        <f t="shared" ref="BZ274:DB274" si="725">+SUM(BZ113:BZ127)-SUM(BZ161:BZ175)</f>
        <v>-10555.005634619998</v>
      </c>
      <c r="CA274" s="960">
        <f t="shared" si="725"/>
        <v>-10770.596279700001</v>
      </c>
      <c r="CB274" s="960">
        <f t="shared" si="725"/>
        <v>-11093.917851700002</v>
      </c>
      <c r="CC274" s="960">
        <f t="shared" si="725"/>
        <v>-11294.616037200003</v>
      </c>
      <c r="CD274" s="960">
        <f t="shared" si="725"/>
        <v>-11214.090523520008</v>
      </c>
      <c r="CE274" s="960">
        <f t="shared" si="725"/>
        <v>-11746.462082900005</v>
      </c>
      <c r="CF274" s="960">
        <f t="shared" si="725"/>
        <v>-10493.136240470001</v>
      </c>
      <c r="CG274" s="960">
        <f t="shared" si="725"/>
        <v>-9728.7962641100021</v>
      </c>
      <c r="CH274" s="960">
        <f t="shared" si="725"/>
        <v>-9788.8310765000024</v>
      </c>
      <c r="CI274" s="960">
        <f t="shared" si="725"/>
        <v>-9482.4539417200012</v>
      </c>
      <c r="CJ274" s="960">
        <f t="shared" si="725"/>
        <v>-10173.174961360002</v>
      </c>
      <c r="CK274" s="960">
        <f t="shared" si="725"/>
        <v>-9264.7769362199979</v>
      </c>
      <c r="CL274" s="960">
        <f t="shared" si="725"/>
        <v>-9631.4520505199998</v>
      </c>
      <c r="CM274" s="960">
        <f t="shared" si="725"/>
        <v>-9169.05666647</v>
      </c>
      <c r="CN274" s="960">
        <f t="shared" si="725"/>
        <v>-8995.9378658100031</v>
      </c>
      <c r="CO274" s="960">
        <f t="shared" si="725"/>
        <v>-8611.7738491300024</v>
      </c>
      <c r="CP274" s="960">
        <f t="shared" si="725"/>
        <v>-8921.621583330003</v>
      </c>
      <c r="CQ274" s="960">
        <f t="shared" si="725"/>
        <v>-9370.7151251400064</v>
      </c>
      <c r="CR274" s="960">
        <f t="shared" si="725"/>
        <v>-9825.6814358100073</v>
      </c>
      <c r="CS274" s="960">
        <f t="shared" si="725"/>
        <v>-9630.8250022800003</v>
      </c>
      <c r="CT274" s="960">
        <f t="shared" si="725"/>
        <v>-8606.9846354900037</v>
      </c>
      <c r="CU274" s="960">
        <f t="shared" si="725"/>
        <v>-7870.3452418899997</v>
      </c>
      <c r="CV274" s="960">
        <f t="shared" si="725"/>
        <v>-9629.6137318900001</v>
      </c>
      <c r="CW274" s="960">
        <f t="shared" si="725"/>
        <v>-8284.8911711899982</v>
      </c>
      <c r="CX274" s="960">
        <f t="shared" si="725"/>
        <v>-7106.2529335300023</v>
      </c>
      <c r="CY274" s="960">
        <f t="shared" si="725"/>
        <v>-5839.2759903300012</v>
      </c>
      <c r="CZ274" s="960">
        <f t="shared" si="725"/>
        <v>-7497.3120411100044</v>
      </c>
      <c r="DA274" s="960">
        <f t="shared" si="725"/>
        <v>-7449.8002745799968</v>
      </c>
      <c r="DB274" s="960">
        <f t="shared" si="725"/>
        <v>-9675.5227270700016</v>
      </c>
      <c r="DC274" s="940"/>
      <c r="DD274" s="940"/>
      <c r="DE274" s="940"/>
      <c r="DF274" s="940"/>
      <c r="DG274" s="940"/>
      <c r="DH274" s="940"/>
      <c r="DJ274" s="1053">
        <f t="shared" ref="DJ274:DT274" si="726">+SUM(CL113:CL127)-SUM(CL161:CL175)</f>
        <v>-9631.4520505199998</v>
      </c>
      <c r="DK274" s="1053">
        <f t="shared" si="726"/>
        <v>-9169.05666647</v>
      </c>
      <c r="DL274" s="1053">
        <f t="shared" si="726"/>
        <v>-8995.9378658100031</v>
      </c>
      <c r="DM274" s="1053">
        <f t="shared" si="726"/>
        <v>-8611.7738491300024</v>
      </c>
      <c r="DN274" s="1053">
        <f t="shared" si="726"/>
        <v>-8921.621583330003</v>
      </c>
      <c r="DO274" s="1053">
        <f t="shared" si="726"/>
        <v>-9370.7151251400064</v>
      </c>
      <c r="DP274" s="1053">
        <f t="shared" si="726"/>
        <v>-9825.6814358100073</v>
      </c>
      <c r="DQ274" s="1053">
        <f t="shared" si="726"/>
        <v>-9630.8250022800003</v>
      </c>
      <c r="DR274" s="1053">
        <f t="shared" si="726"/>
        <v>-8606.9846354900037</v>
      </c>
      <c r="DS274" s="1053">
        <f t="shared" si="726"/>
        <v>-7870.3452418899997</v>
      </c>
      <c r="DT274" s="1053">
        <f t="shared" si="726"/>
        <v>-9629.6137318900001</v>
      </c>
      <c r="DU274" s="1053">
        <f t="shared" ref="DU274" si="727">+SUM(DI113:DI127)-SUM(DI161:DI175)</f>
        <v>0</v>
      </c>
      <c r="GF274" s="1053">
        <f>+SUM(GF113:GF127)-SUM(GF161:GF175)</f>
        <v>4646.0965365399989</v>
      </c>
      <c r="GG274" s="1053">
        <f>+SUM(GG113:GG127)-SUM(GG161:GG175)</f>
        <v>4526.0165277899996</v>
      </c>
      <c r="GH274" s="1053">
        <f>+SUM(GH113:GH127)-SUM(GH161:GH175)</f>
        <v>3473.7227598999962</v>
      </c>
      <c r="GI274" s="1053">
        <f>+SUM(GI113:GI127)-SUM(GI161:GI175)</f>
        <v>-11205.13976034</v>
      </c>
      <c r="GJ274" s="960">
        <f t="shared" si="710"/>
        <v>-12604.75903637</v>
      </c>
      <c r="GK274" s="960">
        <f t="shared" si="710"/>
        <v>0</v>
      </c>
      <c r="GL274" s="960"/>
      <c r="GM274" s="960"/>
      <c r="GN274" s="1053"/>
      <c r="GO274" s="1053">
        <f>+SUM(GO113:GO127)-SUM(GO161:GO175)</f>
        <v>-8729.6945085599982</v>
      </c>
      <c r="HU274" s="1053">
        <f>+SUM(HU113:HU127)-SUM(HU161:HU175)</f>
        <v>1130.0356621499986</v>
      </c>
      <c r="HV274" s="1053">
        <f>+SUM(HV113:HV127)-SUM(HV161:HV175)</f>
        <v>355.965788659998</v>
      </c>
      <c r="HW274" s="1053">
        <f>+SUM(HW113:HW127)-SUM(HW161:HW175)</f>
        <v>2906.3250314899997</v>
      </c>
      <c r="HX274" s="1053"/>
      <c r="HY274" s="1053"/>
      <c r="HZ274" s="1053"/>
      <c r="IA274" s="1053"/>
      <c r="IB274" s="1053"/>
      <c r="IC274" s="1053">
        <f>+SUM(IC113:IC127)-SUM(IC161:IC175)</f>
        <v>-9675.5227270700016</v>
      </c>
      <c r="ID274" s="1053" t="e">
        <f>+SUM(ID113:ID127)-SUM(ID161:ID175)</f>
        <v>#VALUE!</v>
      </c>
      <c r="IE274" s="1053" t="e">
        <f>+SUM(IE113:IE127)-SUM(IE161:IE175)</f>
        <v>#VALUE!</v>
      </c>
      <c r="JO274" s="1053">
        <f>+SUM(JO113:JO127)-SUM(JO161:JO175)</f>
        <v>1130.0356621499986</v>
      </c>
      <c r="JP274" s="1053">
        <f>+SUM(JP113:JP127)-SUM(JP161:JP175)</f>
        <v>355.965788659998</v>
      </c>
      <c r="JQ274" s="1053">
        <f>+SUM(JQ113:JQ127)-SUM(JQ161:JQ175)</f>
        <v>2906.3250314899997</v>
      </c>
      <c r="JR274" s="1053">
        <f>+SUM(JR113:JR127)-SUM(JR161:JR175)</f>
        <v>-8919.3164212199972</v>
      </c>
      <c r="JS274" s="1053">
        <f>+SUM(JS113:JS127)-SUM(JS161:JS175)</f>
        <v>-11026.040453170004</v>
      </c>
      <c r="JT274" s="1053"/>
      <c r="JU274" s="1053"/>
      <c r="JV274" s="1053"/>
      <c r="JW274" s="1053">
        <f>+SUM(JW113:JW127)-SUM(JW161:JW175)</f>
        <v>-9675.5227270700016</v>
      </c>
      <c r="JX274" s="1053" t="e">
        <f>+SUM(JX113:JX127)-SUM(JX161:JX175)</f>
        <v>#VALUE!</v>
      </c>
      <c r="JY274" s="1053" t="e">
        <f>+SUM(JY113:JY127)-SUM(JY161:JY175)</f>
        <v>#VALUE!</v>
      </c>
    </row>
    <row r="275" spans="1:285">
      <c r="A275" s="867"/>
      <c r="C275" s="17" t="s">
        <v>810</v>
      </c>
      <c r="D275" s="18" t="s">
        <v>269</v>
      </c>
      <c r="Q275" s="1049">
        <f t="shared" ref="Q275:AN275" si="728">+SUM(Q110:Q111)/SUM(F11:Q11)*365</f>
        <v>33.035501446779591</v>
      </c>
      <c r="R275" s="1049">
        <f t="shared" si="728"/>
        <v>16.074437724047758</v>
      </c>
      <c r="S275" s="1049">
        <f t="shared" si="728"/>
        <v>28.507006839195864</v>
      </c>
      <c r="T275" s="1049">
        <f t="shared" si="728"/>
        <v>18.201506885104671</v>
      </c>
      <c r="U275" s="1049">
        <f t="shared" si="728"/>
        <v>10.906517435461929</v>
      </c>
      <c r="V275" s="1049">
        <f t="shared" si="728"/>
        <v>21.544026652524664</v>
      </c>
      <c r="W275" s="1049">
        <f t="shared" si="728"/>
        <v>24.937705824612777</v>
      </c>
      <c r="X275" s="1049">
        <f t="shared" si="728"/>
        <v>24.132917565936143</v>
      </c>
      <c r="Y275" s="1049">
        <f t="shared" si="728"/>
        <v>20.383838182594136</v>
      </c>
      <c r="Z275" s="1049">
        <f t="shared" si="728"/>
        <v>19.920739205884317</v>
      </c>
      <c r="AA275" s="1049">
        <f t="shared" si="728"/>
        <v>23.302143665525289</v>
      </c>
      <c r="AB275" s="1049">
        <f t="shared" si="728"/>
        <v>46.128768900222596</v>
      </c>
      <c r="AC275" s="1049">
        <f t="shared" si="728"/>
        <v>36.0754813265251</v>
      </c>
      <c r="AD275" s="1049">
        <f t="shared" si="728"/>
        <v>23.557476977861988</v>
      </c>
      <c r="AE275" s="1049">
        <f t="shared" si="728"/>
        <v>20.221986170059328</v>
      </c>
      <c r="AF275" s="1049">
        <f t="shared" si="728"/>
        <v>15.855522325255947</v>
      </c>
      <c r="AG275" s="1049">
        <f t="shared" si="728"/>
        <v>19.43973964927422</v>
      </c>
      <c r="AH275" s="1049">
        <f t="shared" si="728"/>
        <v>9.632355472826081</v>
      </c>
      <c r="AI275" s="1049">
        <f t="shared" si="728"/>
        <v>10.759480584191641</v>
      </c>
      <c r="AJ275" s="1049">
        <f t="shared" si="728"/>
        <v>18.294134115075607</v>
      </c>
      <c r="AK275" s="1049">
        <f t="shared" si="728"/>
        <v>17.528214965546148</v>
      </c>
      <c r="AL275" s="1049">
        <f t="shared" si="728"/>
        <v>16.430952917673512</v>
      </c>
      <c r="AM275" s="1049">
        <f t="shared" si="728"/>
        <v>64.160435460471959</v>
      </c>
      <c r="AN275" s="1049">
        <f t="shared" si="728"/>
        <v>62.109720684120127</v>
      </c>
      <c r="AO275" s="1029">
        <v>35.21592275191292</v>
      </c>
      <c r="AP275" s="1029">
        <v>47.705737623773494</v>
      </c>
      <c r="AQ275" s="1029">
        <v>33.383045031140803</v>
      </c>
      <c r="AR275" s="1029">
        <v>23.981818244356401</v>
      </c>
      <c r="AS275" s="1029">
        <v>17.666269300880085</v>
      </c>
      <c r="AT275" s="1029">
        <v>16.587618114969814</v>
      </c>
      <c r="AU275" s="1029">
        <v>16.399238216066365</v>
      </c>
      <c r="AV275" s="1029">
        <v>9.5660570356544596</v>
      </c>
      <c r="AW275" s="1029">
        <v>1.7335164458747589</v>
      </c>
      <c r="AX275" s="1029">
        <v>21.398375841905622</v>
      </c>
      <c r="AY275" s="1029">
        <v>22.897562492682201</v>
      </c>
      <c r="AZ275" s="1029">
        <v>33.679659308812234</v>
      </c>
      <c r="BA275" s="1029">
        <v>9.5268850559729756</v>
      </c>
      <c r="BB275" s="1029">
        <v>12.795515106694266</v>
      </c>
      <c r="BC275" s="1029">
        <v>7.3742994707457212</v>
      </c>
      <c r="BD275" s="1029">
        <v>25.507521683691717</v>
      </c>
      <c r="BE275" s="963">
        <v>8.596671849668537</v>
      </c>
      <c r="BF275" s="963">
        <v>2.9137266274644213</v>
      </c>
      <c r="BG275" s="963">
        <v>5.0600531238069184</v>
      </c>
      <c r="BH275" s="963">
        <v>0.30550004657145463</v>
      </c>
      <c r="BI275" s="963">
        <v>5.321899557605394</v>
      </c>
      <c r="BJ275" s="963">
        <v>3.9870932549932054</v>
      </c>
      <c r="BK275" s="963">
        <v>24.540950510030797</v>
      </c>
      <c r="BL275" s="963">
        <v>18.817994094376882</v>
      </c>
      <c r="BM275" s="1029">
        <f t="shared" ref="BM275:BX275" si="729">+SUM(BM110:BM111)/SUM(AT12:BM12)*365</f>
        <v>20.164530217136868</v>
      </c>
      <c r="BN275" s="1029">
        <f t="shared" si="729"/>
        <v>2.9761516202179936</v>
      </c>
      <c r="BO275" s="1029">
        <f t="shared" si="729"/>
        <v>14.680542316775785</v>
      </c>
      <c r="BP275" s="1029">
        <f t="shared" si="729"/>
        <v>7.4336104424038476</v>
      </c>
      <c r="BQ275" s="1029">
        <f t="shared" si="729"/>
        <v>22.361808143934581</v>
      </c>
      <c r="BR275" s="963">
        <f t="shared" si="729"/>
        <v>21.599094104582946</v>
      </c>
      <c r="BS275" s="963">
        <f t="shared" si="729"/>
        <v>13.213555953383883</v>
      </c>
      <c r="BT275" s="963">
        <f t="shared" si="729"/>
        <v>15.33583335855254</v>
      </c>
      <c r="BU275" s="963">
        <f t="shared" si="729"/>
        <v>5.6332224889970135</v>
      </c>
      <c r="BV275" s="963">
        <f t="shared" si="729"/>
        <v>25.504906279383029</v>
      </c>
      <c r="BW275" s="963">
        <f t="shared" si="729"/>
        <v>19.916787047223526</v>
      </c>
      <c r="BX275" s="963">
        <f t="shared" si="729"/>
        <v>29.68635398943281</v>
      </c>
      <c r="BY275" s="1029">
        <f t="shared" ref="BY275:DB275" si="730">+SUM(BY110:BY111)/SUM(BG12:BY12)*365</f>
        <v>13.971512896859272</v>
      </c>
      <c r="BZ275" s="1029">
        <f t="shared" si="730"/>
        <v>14.162633242908658</v>
      </c>
      <c r="CA275" s="1029">
        <f t="shared" si="730"/>
        <v>10.015400081933972</v>
      </c>
      <c r="CB275" s="1029">
        <f t="shared" si="730"/>
        <v>12.798983797817918</v>
      </c>
      <c r="CC275" s="1029">
        <f t="shared" si="730"/>
        <v>14.038852485661891</v>
      </c>
      <c r="CD275" s="1029">
        <f t="shared" si="730"/>
        <v>12.094042589450448</v>
      </c>
      <c r="CE275" s="1029">
        <f t="shared" si="730"/>
        <v>33.643154650276841</v>
      </c>
      <c r="CF275" s="1029">
        <f t="shared" si="730"/>
        <v>28.834058354607404</v>
      </c>
      <c r="CG275" s="1029">
        <f t="shared" si="730"/>
        <v>14.936957793515617</v>
      </c>
      <c r="CH275" s="1029">
        <f t="shared" si="730"/>
        <v>8.0262527551649789</v>
      </c>
      <c r="CI275" s="1029">
        <f t="shared" si="730"/>
        <v>7.5260938675729232</v>
      </c>
      <c r="CJ275" s="1029">
        <f t="shared" si="730"/>
        <v>10.288191821873662</v>
      </c>
      <c r="CK275" s="1029">
        <f t="shared" si="730"/>
        <v>2.7195180147514728</v>
      </c>
      <c r="CL275" s="1029">
        <f t="shared" si="730"/>
        <v>8.3316237655433376</v>
      </c>
      <c r="CM275" s="1029">
        <f t="shared" si="730"/>
        <v>8.8234486059030797</v>
      </c>
      <c r="CN275" s="1029">
        <f t="shared" si="730"/>
        <v>7.6100663890879803</v>
      </c>
      <c r="CO275" s="1029">
        <f t="shared" si="730"/>
        <v>8.6721212660082188</v>
      </c>
      <c r="CP275" s="1029">
        <f t="shared" si="730"/>
        <v>11.832597637176228</v>
      </c>
      <c r="CQ275" s="1029">
        <f t="shared" si="730"/>
        <v>18.359956586246032</v>
      </c>
      <c r="CR275" s="1029">
        <f t="shared" si="730"/>
        <v>29.080602812459674</v>
      </c>
      <c r="CS275" s="1029">
        <f t="shared" si="730"/>
        <v>27.12459951207363</v>
      </c>
      <c r="CT275" s="1029">
        <f t="shared" si="730"/>
        <v>19.8601612837708</v>
      </c>
      <c r="CU275" s="1029">
        <f t="shared" si="730"/>
        <v>13.338978736076774</v>
      </c>
      <c r="CV275" s="1029">
        <f t="shared" si="730"/>
        <v>22.077843814106448</v>
      </c>
      <c r="CW275" s="1029">
        <f t="shared" si="730"/>
        <v>17.318640842186724</v>
      </c>
      <c r="CX275" s="1029">
        <f t="shared" si="730"/>
        <v>8.2044959477708979</v>
      </c>
      <c r="CY275" s="1029">
        <f t="shared" si="730"/>
        <v>3.5479043306682176</v>
      </c>
      <c r="CZ275" s="1029">
        <f t="shared" si="730"/>
        <v>19.532414860695152</v>
      </c>
      <c r="DA275" s="1029">
        <f t="shared" si="730"/>
        <v>15.70141290229081</v>
      </c>
      <c r="DB275" s="1029">
        <f t="shared" si="730"/>
        <v>22.839914728184603</v>
      </c>
      <c r="DC275" s="1029"/>
      <c r="DD275" s="1029"/>
      <c r="DE275" s="1029"/>
      <c r="DF275" s="1029"/>
      <c r="DG275" s="1029"/>
      <c r="DH275" s="1029"/>
      <c r="DJ275" s="1032"/>
      <c r="DK275" s="1032"/>
      <c r="DL275" s="1032"/>
      <c r="DM275" s="1032"/>
      <c r="DN275" s="1032"/>
      <c r="DO275" s="1032"/>
      <c r="DP275" s="1032"/>
      <c r="DQ275" s="1032"/>
      <c r="DR275" s="1032"/>
      <c r="DS275" s="1032"/>
      <c r="DT275" s="1032"/>
      <c r="DU275" s="1032"/>
      <c r="GF275" s="1032"/>
      <c r="GG275" s="1032"/>
      <c r="GH275" s="1032"/>
      <c r="GI275" s="1032"/>
      <c r="GJ275" s="1054"/>
      <c r="GK275" s="1054"/>
      <c r="GL275" s="1054"/>
      <c r="GM275" s="1054"/>
      <c r="GN275" s="1032"/>
      <c r="GO275" s="1032"/>
      <c r="HU275" s="1032"/>
      <c r="HV275" s="1032"/>
      <c r="HW275" s="1032"/>
      <c r="HX275" s="1032"/>
      <c r="HY275" s="1032"/>
      <c r="HZ275" s="1032"/>
      <c r="IA275" s="1032"/>
      <c r="IB275" s="1032"/>
      <c r="IC275" s="1032"/>
      <c r="ID275" s="1032"/>
      <c r="IE275" s="1032"/>
      <c r="JO275" s="1032"/>
      <c r="JP275" s="1032"/>
      <c r="JQ275" s="1032"/>
      <c r="JR275" s="1032"/>
      <c r="JS275" s="1032"/>
      <c r="JT275" s="1032"/>
      <c r="JU275" s="1032"/>
      <c r="JV275" s="1032"/>
      <c r="JW275" s="1032"/>
      <c r="JX275" s="1032"/>
      <c r="JY275" s="1032"/>
    </row>
    <row r="276" spans="1:285">
      <c r="A276" s="867"/>
      <c r="C276" s="17" t="s">
        <v>811</v>
      </c>
      <c r="D276" s="18" t="s">
        <v>269</v>
      </c>
      <c r="Q276" s="1049">
        <f t="shared" ref="Q276:AN276" si="731">+SUM(Q113,Q116)/SUM(F11:Q11)*365</f>
        <v>42.175346633291646</v>
      </c>
      <c r="R276" s="1049">
        <f t="shared" si="731"/>
        <v>60.873417192493079</v>
      </c>
      <c r="S276" s="1049">
        <f t="shared" si="731"/>
        <v>41.89413573463252</v>
      </c>
      <c r="T276" s="1049">
        <f t="shared" si="731"/>
        <v>36.589577480970831</v>
      </c>
      <c r="U276" s="1049">
        <f t="shared" si="731"/>
        <v>54.495845368564595</v>
      </c>
      <c r="V276" s="1049">
        <f t="shared" si="731"/>
        <v>48.270200330482453</v>
      </c>
      <c r="W276" s="1049">
        <f t="shared" si="731"/>
        <v>36.995755314062087</v>
      </c>
      <c r="X276" s="1049">
        <f t="shared" si="731"/>
        <v>45.350182652350227</v>
      </c>
      <c r="Y276" s="1049">
        <f t="shared" si="731"/>
        <v>38.361598541225625</v>
      </c>
      <c r="Z276" s="1049">
        <f t="shared" si="731"/>
        <v>39.710091944253172</v>
      </c>
      <c r="AA276" s="1049">
        <f t="shared" si="731"/>
        <v>62.687645506889105</v>
      </c>
      <c r="AB276" s="1049">
        <f t="shared" si="731"/>
        <v>67.760442398574128</v>
      </c>
      <c r="AC276" s="1049">
        <f t="shared" si="731"/>
        <v>61.436599130016134</v>
      </c>
      <c r="AD276" s="1049">
        <f t="shared" si="731"/>
        <v>85.460363307555781</v>
      </c>
      <c r="AE276" s="1049">
        <f t="shared" si="731"/>
        <v>85.689361328096396</v>
      </c>
      <c r="AF276" s="1049">
        <f t="shared" si="731"/>
        <v>90.878024740624497</v>
      </c>
      <c r="AG276" s="1049">
        <f t="shared" si="731"/>
        <v>96.997175859255734</v>
      </c>
      <c r="AH276" s="1049">
        <f t="shared" si="731"/>
        <v>107.43356765360105</v>
      </c>
      <c r="AI276" s="1049">
        <f t="shared" si="731"/>
        <v>99.888637742037403</v>
      </c>
      <c r="AJ276" s="1049">
        <f t="shared" si="731"/>
        <v>102.83967086462621</v>
      </c>
      <c r="AK276" s="1049">
        <f t="shared" si="731"/>
        <v>99.421766718380482</v>
      </c>
      <c r="AL276" s="1049">
        <f t="shared" si="731"/>
        <v>110.39316492866993</v>
      </c>
      <c r="AM276" s="1049">
        <f t="shared" si="731"/>
        <v>110.63439345697905</v>
      </c>
      <c r="AN276" s="1049">
        <f t="shared" si="731"/>
        <v>107.47180703539416</v>
      </c>
      <c r="AO276" s="1029">
        <v>110.16113237176808</v>
      </c>
      <c r="AP276" s="1029">
        <v>103.93124240814241</v>
      </c>
      <c r="AQ276" s="1029">
        <v>93.824912213401291</v>
      </c>
      <c r="AR276" s="1029">
        <v>100.80261295375536</v>
      </c>
      <c r="AS276" s="1029">
        <v>105.34895893689597</v>
      </c>
      <c r="AT276" s="1029">
        <v>100.52334243275857</v>
      </c>
      <c r="AU276" s="1029">
        <v>97.904523732796989</v>
      </c>
      <c r="AV276" s="1029">
        <v>110.26263511770097</v>
      </c>
      <c r="AW276" s="1029">
        <v>119.97132984075128</v>
      </c>
      <c r="AX276" s="1029">
        <v>123.5837709238313</v>
      </c>
      <c r="AY276" s="1029">
        <v>136.94640021531364</v>
      </c>
      <c r="AZ276" s="1029">
        <v>130.95260213584379</v>
      </c>
      <c r="BA276" s="1029">
        <v>86.251467881200512</v>
      </c>
      <c r="BB276" s="1029">
        <v>76.101604823519068</v>
      </c>
      <c r="BC276" s="1029">
        <v>63.672642054398032</v>
      </c>
      <c r="BD276" s="1029">
        <v>45.997902842926216</v>
      </c>
      <c r="BE276" s="963">
        <v>54.09618012106931</v>
      </c>
      <c r="BF276" s="963">
        <v>58.985468698094586</v>
      </c>
      <c r="BG276" s="963">
        <v>66.02702425946282</v>
      </c>
      <c r="BH276" s="963">
        <v>68.661419214713817</v>
      </c>
      <c r="BI276" s="963">
        <v>69.954266142567235</v>
      </c>
      <c r="BJ276" s="963">
        <v>74.622635554503177</v>
      </c>
      <c r="BK276" s="963">
        <v>89.866541020682021</v>
      </c>
      <c r="BL276" s="963">
        <v>92.031715366021373</v>
      </c>
      <c r="BM276" s="1029">
        <f>SUM(BM114,BM116)/SUM(BA11:BL11)*365</f>
        <v>132.60041051754465</v>
      </c>
      <c r="BN276" s="1029">
        <f t="shared" ref="BN276:BX276" si="732">SUM(BN114,BN116)/SUM(BB11:BL11)*365</f>
        <v>186.37571890451048</v>
      </c>
      <c r="BO276" s="1029">
        <f t="shared" si="732"/>
        <v>125.25326411858924</v>
      </c>
      <c r="BP276" s="1029">
        <f t="shared" si="732"/>
        <v>115.30082875472442</v>
      </c>
      <c r="BQ276" s="1029">
        <f t="shared" si="732"/>
        <v>107.38213783550923</v>
      </c>
      <c r="BR276" s="963">
        <f t="shared" si="732"/>
        <v>100.77566775717798</v>
      </c>
      <c r="BS276" s="963">
        <f t="shared" si="732"/>
        <v>97.792622467892841</v>
      </c>
      <c r="BT276" s="963">
        <f t="shared" si="732"/>
        <v>79.914499416410848</v>
      </c>
      <c r="BU276" s="963">
        <f t="shared" si="732"/>
        <v>75.494436760866165</v>
      </c>
      <c r="BV276" s="963">
        <f t="shared" si="732"/>
        <v>73.204228616768688</v>
      </c>
      <c r="BW276" s="963">
        <f t="shared" si="732"/>
        <v>69.716990387909576</v>
      </c>
      <c r="BX276" s="963">
        <f t="shared" si="732"/>
        <v>68.477169154251229</v>
      </c>
      <c r="BY276" s="1029">
        <f t="shared" ref="BY276:DB276" si="733">SUM(BY113)/SUM(BN11:BY11)*360</f>
        <v>113.99254762176029</v>
      </c>
      <c r="BZ276" s="1029">
        <f t="shared" si="733"/>
        <v>101.09596929075788</v>
      </c>
      <c r="CA276" s="1029">
        <f t="shared" si="733"/>
        <v>100.37309889492558</v>
      </c>
      <c r="CB276" s="1029">
        <f t="shared" si="733"/>
        <v>88.344893166354638</v>
      </c>
      <c r="CC276" s="1029">
        <f t="shared" si="733"/>
        <v>67.323634805040086</v>
      </c>
      <c r="CD276" s="1029">
        <f t="shared" si="733"/>
        <v>77.561914696781344</v>
      </c>
      <c r="CE276" s="1029">
        <f t="shared" si="733"/>
        <v>84.363782943796792</v>
      </c>
      <c r="CF276" s="1029">
        <f t="shared" si="733"/>
        <v>79.253913986259192</v>
      </c>
      <c r="CG276" s="1029">
        <f t="shared" si="733"/>
        <v>93.05902630469997</v>
      </c>
      <c r="CH276" s="1029">
        <f t="shared" si="733"/>
        <v>117.9045756831439</v>
      </c>
      <c r="CI276" s="1029">
        <f t="shared" si="733"/>
        <v>126.88705649862992</v>
      </c>
      <c r="CJ276" s="1029">
        <f t="shared" si="733"/>
        <v>115.88299501170471</v>
      </c>
      <c r="CK276" s="1029">
        <f t="shared" si="733"/>
        <v>129.83049807695576</v>
      </c>
      <c r="CL276" s="1029">
        <f t="shared" si="733"/>
        <v>105.47955426047416</v>
      </c>
      <c r="CM276" s="1029">
        <f t="shared" si="733"/>
        <v>104.27981352890158</v>
      </c>
      <c r="CN276" s="1029">
        <f t="shared" si="733"/>
        <v>105.50451059178388</v>
      </c>
      <c r="CO276" s="1029">
        <f t="shared" si="733"/>
        <v>91.024029906365712</v>
      </c>
      <c r="CP276" s="1029">
        <f t="shared" si="733"/>
        <v>78.748157371108505</v>
      </c>
      <c r="CQ276" s="1029">
        <f t="shared" si="733"/>
        <v>84.421929768647658</v>
      </c>
      <c r="CR276" s="1029">
        <f t="shared" si="733"/>
        <v>73.333439299060288</v>
      </c>
      <c r="CS276" s="1029">
        <f t="shared" si="733"/>
        <v>71.933238690905497</v>
      </c>
      <c r="CT276" s="1029">
        <f t="shared" si="733"/>
        <v>90.78024943767916</v>
      </c>
      <c r="CU276" s="1029">
        <f t="shared" si="733"/>
        <v>91.170206602895647</v>
      </c>
      <c r="CV276" s="1029">
        <f t="shared" si="733"/>
        <v>76.26574299998525</v>
      </c>
      <c r="CW276" s="1029">
        <f t="shared" si="733"/>
        <v>75.657775007027041</v>
      </c>
      <c r="CX276" s="1029">
        <f t="shared" si="733"/>
        <v>85.845456998700584</v>
      </c>
      <c r="CY276" s="1029">
        <f t="shared" si="733"/>
        <v>110.75240583549085</v>
      </c>
      <c r="CZ276" s="1029">
        <f t="shared" si="733"/>
        <v>70.802911596617605</v>
      </c>
      <c r="DA276" s="1029">
        <f t="shared" si="733"/>
        <v>45.933557631234798</v>
      </c>
      <c r="DB276" s="1029">
        <f t="shared" si="733"/>
        <v>24.609219081052675</v>
      </c>
      <c r="DC276" s="1029"/>
      <c r="DD276" s="1029"/>
      <c r="DE276" s="1029"/>
      <c r="DF276" s="1029"/>
      <c r="DG276" s="1029"/>
      <c r="DH276" s="1029"/>
      <c r="DJ276" s="1032"/>
      <c r="DK276" s="1032"/>
      <c r="DL276" s="1032"/>
      <c r="DM276" s="1032"/>
      <c r="DN276" s="1032"/>
      <c r="DO276" s="1032"/>
      <c r="DP276" s="1032"/>
      <c r="DQ276" s="1032"/>
      <c r="DR276" s="1032"/>
      <c r="DS276" s="1032"/>
      <c r="DT276" s="1032"/>
      <c r="DU276" s="1032"/>
      <c r="GF276" s="1032"/>
      <c r="GG276" s="1032"/>
      <c r="GH276" s="1032"/>
      <c r="GI276" s="1032"/>
      <c r="GJ276" s="1054"/>
      <c r="GK276" s="1054"/>
      <c r="GL276" s="1054"/>
      <c r="GM276" s="1054"/>
      <c r="GN276" s="1032"/>
      <c r="GO276" s="1032"/>
      <c r="HU276" s="1032"/>
      <c r="HV276" s="1032"/>
      <c r="HW276" s="1032"/>
      <c r="HX276" s="1032"/>
      <c r="HY276" s="1032"/>
      <c r="HZ276" s="1032"/>
      <c r="IA276" s="1032"/>
      <c r="IB276" s="1032"/>
      <c r="IC276" s="1032"/>
      <c r="ID276" s="1032"/>
      <c r="IE276" s="1032"/>
      <c r="JO276" s="1032"/>
      <c r="JP276" s="1032"/>
      <c r="JQ276" s="1032"/>
      <c r="JR276" s="1032"/>
      <c r="JS276" s="1032"/>
      <c r="JT276" s="1032"/>
      <c r="JU276" s="1032"/>
      <c r="JV276" s="1032"/>
      <c r="JW276" s="1032"/>
      <c r="JX276" s="1032"/>
      <c r="JY276" s="1032"/>
    </row>
    <row r="277" spans="1:285">
      <c r="A277" s="867"/>
      <c r="C277" s="17" t="s">
        <v>812</v>
      </c>
      <c r="D277" s="18" t="s">
        <v>269</v>
      </c>
      <c r="Q277" s="1049">
        <f t="shared" ref="Q277:AN277" si="734">+SUM(Q115)/SUM(F11:Q11)*365</f>
        <v>7.3669932951232244</v>
      </c>
      <c r="R277" s="1049">
        <f t="shared" si="734"/>
        <v>7.5913768310704146</v>
      </c>
      <c r="S277" s="1049">
        <f t="shared" si="734"/>
        <v>5.1851246194046476</v>
      </c>
      <c r="T277" s="1049">
        <f t="shared" si="734"/>
        <v>5.5208725242713159</v>
      </c>
      <c r="U277" s="1049">
        <f t="shared" si="734"/>
        <v>4.8595240243255873</v>
      </c>
      <c r="V277" s="1049">
        <f t="shared" si="734"/>
        <v>4.7792663460270353</v>
      </c>
      <c r="W277" s="1049">
        <f t="shared" si="734"/>
        <v>5.0137836238459608</v>
      </c>
      <c r="X277" s="1049">
        <f t="shared" si="734"/>
        <v>5.0456391222898569</v>
      </c>
      <c r="Y277" s="1049">
        <f t="shared" si="734"/>
        <v>5.5581322170741387</v>
      </c>
      <c r="Z277" s="1049">
        <f t="shared" si="734"/>
        <v>5.6831525391726361</v>
      </c>
      <c r="AA277" s="1049">
        <f t="shared" si="734"/>
        <v>5.4040024324004756</v>
      </c>
      <c r="AB277" s="1049">
        <f t="shared" si="734"/>
        <v>4.0126768335093344</v>
      </c>
      <c r="AC277" s="1049">
        <f t="shared" si="734"/>
        <v>4.0183054479562994</v>
      </c>
      <c r="AD277" s="1049">
        <f t="shared" si="734"/>
        <v>3.8884581141734431</v>
      </c>
      <c r="AE277" s="1049">
        <f t="shared" si="734"/>
        <v>3.6603693561416573</v>
      </c>
      <c r="AF277" s="1049">
        <f t="shared" si="734"/>
        <v>3.6245657766491313</v>
      </c>
      <c r="AG277" s="1049">
        <f t="shared" si="734"/>
        <v>3.8137095349000067</v>
      </c>
      <c r="AH277" s="1049">
        <f t="shared" si="734"/>
        <v>3.7535948397494145</v>
      </c>
      <c r="AI277" s="1049">
        <f t="shared" si="734"/>
        <v>3.7122765269868911</v>
      </c>
      <c r="AJ277" s="1049">
        <f t="shared" si="734"/>
        <v>3.4026479157455332</v>
      </c>
      <c r="AK277" s="1049">
        <f t="shared" si="734"/>
        <v>3.5285665084542095</v>
      </c>
      <c r="AL277" s="1049">
        <f t="shared" si="734"/>
        <v>3.2854104733235787</v>
      </c>
      <c r="AM277" s="1049">
        <f t="shared" si="734"/>
        <v>3.3772613213753404</v>
      </c>
      <c r="AN277" s="1049">
        <f t="shared" si="734"/>
        <v>2.8553383792864362</v>
      </c>
      <c r="AO277" s="1029">
        <v>2.9861467539206008</v>
      </c>
      <c r="AP277" s="1029">
        <v>2.6142683554069892</v>
      </c>
      <c r="AQ277" s="1029">
        <v>2.8519997116256328</v>
      </c>
      <c r="AR277" s="1029">
        <v>3.0214462640473498</v>
      </c>
      <c r="AS277" s="1029">
        <v>3.3073740457451302</v>
      </c>
      <c r="AT277" s="1029">
        <v>3.9524909205431964</v>
      </c>
      <c r="AU277" s="1029">
        <v>4.3180657584022173</v>
      </c>
      <c r="AV277" s="1029">
        <v>4.3435785043784412</v>
      </c>
      <c r="AW277" s="1029">
        <v>4.2890041732794737</v>
      </c>
      <c r="AX277" s="1029">
        <v>4.8177436465211363</v>
      </c>
      <c r="AY277" s="1029">
        <v>5.6133894422751682</v>
      </c>
      <c r="AZ277" s="1029">
        <v>8.4932323430245162</v>
      </c>
      <c r="BA277" s="1029">
        <v>5.4368649002309661</v>
      </c>
      <c r="BB277" s="1029">
        <v>5.8171015363142224</v>
      </c>
      <c r="BC277" s="1029">
        <v>6.0086523059886909</v>
      </c>
      <c r="BD277" s="1029">
        <v>6.23859520291062</v>
      </c>
      <c r="BE277" s="963">
        <v>6.2647380499450236</v>
      </c>
      <c r="BF277" s="963">
        <v>6.394243839218567</v>
      </c>
      <c r="BG277" s="963">
        <v>6.6127788084645864</v>
      </c>
      <c r="BH277" s="963">
        <v>6.7804720485749685</v>
      </c>
      <c r="BI277" s="963">
        <v>7.8359898591966326</v>
      </c>
      <c r="BJ277" s="963">
        <v>7.6418949180160674</v>
      </c>
      <c r="BK277" s="963">
        <v>6.8879132193016908</v>
      </c>
      <c r="BL277" s="963">
        <v>6.5872754454309499</v>
      </c>
      <c r="BM277" s="1029"/>
      <c r="BN277" s="1029"/>
      <c r="BO277" s="1029"/>
      <c r="BP277" s="1029"/>
      <c r="BQ277" s="963"/>
      <c r="BR277" s="963"/>
      <c r="BS277" s="963"/>
      <c r="BT277" s="963"/>
      <c r="BU277" s="963"/>
      <c r="BV277" s="963"/>
      <c r="BW277" s="963"/>
      <c r="BX277" s="963"/>
      <c r="BY277" s="1029"/>
      <c r="BZ277" s="1029"/>
      <c r="CA277" s="1029"/>
      <c r="CB277" s="1029"/>
      <c r="CC277" s="1029"/>
      <c r="CD277" s="1029"/>
      <c r="CE277" s="1029"/>
      <c r="CF277" s="1029"/>
      <c r="CG277" s="1029"/>
      <c r="CH277" s="1029"/>
      <c r="CI277" s="1029"/>
      <c r="CJ277" s="1029"/>
      <c r="CK277" s="1029"/>
      <c r="CL277" s="1029"/>
      <c r="CM277" s="1029"/>
      <c r="CN277" s="1029"/>
      <c r="CO277" s="1029"/>
      <c r="CP277" s="1029"/>
      <c r="CQ277" s="1029"/>
      <c r="CR277" s="1029"/>
      <c r="CS277" s="1029"/>
      <c r="CT277" s="1029"/>
      <c r="CU277" s="1029"/>
      <c r="CV277" s="1029"/>
      <c r="CW277" s="1029"/>
      <c r="CX277" s="1029"/>
      <c r="CY277" s="1029"/>
      <c r="CZ277" s="1029"/>
      <c r="DA277" s="1029"/>
      <c r="DB277" s="1029"/>
      <c r="DC277" s="1029"/>
      <c r="DD277" s="1029"/>
      <c r="DE277" s="1029"/>
      <c r="DF277" s="1029"/>
      <c r="DG277" s="1029"/>
      <c r="DH277" s="1029"/>
      <c r="DJ277" s="1032"/>
      <c r="DK277" s="1032"/>
      <c r="DL277" s="1032"/>
      <c r="DM277" s="1032"/>
      <c r="DN277" s="1032"/>
      <c r="DO277" s="1032"/>
      <c r="DP277" s="1032"/>
      <c r="DQ277" s="1032"/>
      <c r="DR277" s="1032"/>
      <c r="DS277" s="1032"/>
      <c r="DT277" s="1032"/>
      <c r="DU277" s="1032"/>
      <c r="GF277" s="1032"/>
      <c r="GG277" s="1032"/>
      <c r="GH277" s="1032"/>
      <c r="GI277" s="1032"/>
      <c r="GJ277" s="1054"/>
      <c r="GK277" s="1054"/>
      <c r="GL277" s="1054"/>
      <c r="GM277" s="1054"/>
      <c r="GN277" s="1032"/>
      <c r="GO277" s="1032"/>
      <c r="HU277" s="1032"/>
      <c r="HV277" s="1032"/>
      <c r="HW277" s="1032"/>
      <c r="HX277" s="1032"/>
      <c r="HY277" s="1032"/>
      <c r="HZ277" s="1032"/>
      <c r="IA277" s="1032"/>
      <c r="IB277" s="1032"/>
      <c r="IC277" s="1032"/>
      <c r="ID277" s="1032"/>
      <c r="IE277" s="1032"/>
      <c r="JO277" s="1032"/>
      <c r="JP277" s="1032"/>
      <c r="JQ277" s="1032"/>
      <c r="JR277" s="1032"/>
      <c r="JS277" s="1032"/>
      <c r="JT277" s="1032"/>
      <c r="JU277" s="1032"/>
      <c r="JV277" s="1032"/>
      <c r="JW277" s="1032"/>
      <c r="JX277" s="1032"/>
      <c r="JY277" s="1032"/>
    </row>
    <row r="278" spans="1:285">
      <c r="A278" s="867"/>
      <c r="C278" s="186" t="s">
        <v>813</v>
      </c>
      <c r="D278" s="191" t="s">
        <v>269</v>
      </c>
      <c r="E278" s="186"/>
      <c r="F278" s="186"/>
      <c r="G278" s="186"/>
      <c r="H278" s="186"/>
      <c r="I278" s="186"/>
      <c r="J278" s="186"/>
      <c r="K278" s="186"/>
      <c r="L278" s="186"/>
      <c r="M278" s="186"/>
      <c r="N278" s="186"/>
      <c r="O278" s="186"/>
      <c r="P278" s="186"/>
      <c r="Q278" s="1051">
        <f t="shared" ref="Q278:AN278" si="735">+SUM(Q165)/SUM(F21:Q21,F42:Q42)*365</f>
        <v>-7.9862410539807556</v>
      </c>
      <c r="R278" s="1051">
        <f t="shared" si="735"/>
        <v>-4.7844332774676657</v>
      </c>
      <c r="S278" s="1051">
        <f t="shared" si="735"/>
        <v>-4.1904898068823613</v>
      </c>
      <c r="T278" s="1051">
        <f t="shared" si="735"/>
        <v>-7.5082290463601238</v>
      </c>
      <c r="U278" s="1051">
        <f t="shared" si="735"/>
        <v>-7.840395893978684</v>
      </c>
      <c r="V278" s="1051">
        <f t="shared" si="735"/>
        <v>-6.5615180460052516</v>
      </c>
      <c r="W278" s="1051">
        <f t="shared" si="735"/>
        <v>-5.4742335520919241</v>
      </c>
      <c r="X278" s="1051">
        <f t="shared" si="735"/>
        <v>-4.5603357002737486</v>
      </c>
      <c r="Y278" s="1051">
        <f t="shared" si="735"/>
        <v>-3.6302870532933831</v>
      </c>
      <c r="Z278" s="1051">
        <f t="shared" si="735"/>
        <v>-3.2430928463902364</v>
      </c>
      <c r="AA278" s="1051">
        <f t="shared" si="735"/>
        <v>-3.233537711681242</v>
      </c>
      <c r="AB278" s="1051">
        <f t="shared" si="735"/>
        <v>-2.4686710925027859</v>
      </c>
      <c r="AC278" s="1051">
        <f t="shared" si="735"/>
        <v>-3.0972226891124786</v>
      </c>
      <c r="AD278" s="1051">
        <f t="shared" si="735"/>
        <v>-4.8015066836596798</v>
      </c>
      <c r="AE278" s="1051">
        <f t="shared" si="735"/>
        <v>-2.7492848211963334</v>
      </c>
      <c r="AF278" s="1051">
        <f t="shared" si="735"/>
        <v>-4.6184357123421265</v>
      </c>
      <c r="AG278" s="1051">
        <f t="shared" si="735"/>
        <v>-4.0854406707001019</v>
      </c>
      <c r="AH278" s="1051">
        <f t="shared" si="735"/>
        <v>-3.3114488953014853</v>
      </c>
      <c r="AI278" s="1051">
        <f t="shared" si="735"/>
        <v>-3.959651597851499</v>
      </c>
      <c r="AJ278" s="1051">
        <f t="shared" si="735"/>
        <v>-5.4621233025565292</v>
      </c>
      <c r="AK278" s="1051">
        <f t="shared" si="735"/>
        <v>-5.376440067190158</v>
      </c>
      <c r="AL278" s="1051">
        <f t="shared" si="735"/>
        <v>-7.1785062025097304</v>
      </c>
      <c r="AM278" s="1051">
        <f t="shared" si="735"/>
        <v>-9.6456397660001123</v>
      </c>
      <c r="AN278" s="1051">
        <f t="shared" si="735"/>
        <v>-12.027430909003899</v>
      </c>
      <c r="AO278" s="233">
        <v>-8.3401564685490683</v>
      </c>
      <c r="AP278" s="233">
        <v>-31.765056170830974</v>
      </c>
      <c r="AQ278" s="233">
        <v>-11.296767174460149</v>
      </c>
      <c r="AR278" s="233">
        <v>-15.459061551135166</v>
      </c>
      <c r="AS278" s="233">
        <v>-11.774700779159753</v>
      </c>
      <c r="AT278" s="233">
        <v>-15.570245550015491</v>
      </c>
      <c r="AU278" s="233">
        <v>-14.68803938664405</v>
      </c>
      <c r="AV278" s="233">
        <v>-19.071555020885576</v>
      </c>
      <c r="AW278" s="233">
        <v>-19.316979271782298</v>
      </c>
      <c r="AX278" s="233">
        <v>-18.511847136309001</v>
      </c>
      <c r="AY278" s="233">
        <v>-21.899757825798954</v>
      </c>
      <c r="AZ278" s="233">
        <v>-20.499777709748315</v>
      </c>
      <c r="BA278" s="233">
        <v>-10.771375313488358</v>
      </c>
      <c r="BB278" s="233">
        <v>-12.76191126145426</v>
      </c>
      <c r="BC278" s="233">
        <v>-10.545676466396749</v>
      </c>
      <c r="BD278" s="233">
        <v>-7.5646229386378154</v>
      </c>
      <c r="BE278" s="1043">
        <v>-6.2861200801374695</v>
      </c>
      <c r="BF278" s="1043">
        <v>-9.1068016759447463</v>
      </c>
      <c r="BG278" s="1043">
        <v>-9.8663600653573145</v>
      </c>
      <c r="BH278" s="1043">
        <v>-7.9023026820429125</v>
      </c>
      <c r="BI278" s="1043">
        <v>-9.2161085044693021</v>
      </c>
      <c r="BJ278" s="1043">
        <v>-9.6905629828271831</v>
      </c>
      <c r="BK278" s="1043">
        <v>-5.0577242406465972</v>
      </c>
      <c r="BL278" s="1043">
        <v>-7.8827831486418303</v>
      </c>
      <c r="BM278" s="233"/>
      <c r="BN278" s="233"/>
      <c r="BO278" s="233"/>
      <c r="BP278" s="233"/>
      <c r="BQ278" s="1043"/>
      <c r="BR278" s="1043"/>
      <c r="BS278" s="1043"/>
      <c r="BT278" s="1043"/>
      <c r="BU278" s="1043"/>
      <c r="BV278" s="1043"/>
      <c r="BW278" s="1043"/>
      <c r="BX278" s="1043"/>
      <c r="BY278" s="233">
        <f t="shared" ref="BY278:DB278" si="736">+SUM(BY165,BY166)/-SUM(BN21:BY21)*360</f>
        <v>48.003050932558011</v>
      </c>
      <c r="BZ278" s="233">
        <f t="shared" si="736"/>
        <v>57.450269046599644</v>
      </c>
      <c r="CA278" s="233">
        <f t="shared" si="736"/>
        <v>67.266733485886746</v>
      </c>
      <c r="CB278" s="233">
        <f t="shared" si="736"/>
        <v>48.350553689350612</v>
      </c>
      <c r="CC278" s="233">
        <f t="shared" si="736"/>
        <v>35.904050428938461</v>
      </c>
      <c r="CD278" s="233">
        <f t="shared" si="736"/>
        <v>35.478053868499529</v>
      </c>
      <c r="CE278" s="233">
        <f t="shared" si="736"/>
        <v>40.172859339863372</v>
      </c>
      <c r="CF278" s="233">
        <f t="shared" si="736"/>
        <v>47.158778795033292</v>
      </c>
      <c r="CG278" s="233">
        <f t="shared" si="736"/>
        <v>56.694574713867738</v>
      </c>
      <c r="CH278" s="233">
        <f t="shared" si="736"/>
        <v>70.899129147719265</v>
      </c>
      <c r="CI278" s="233">
        <f t="shared" si="736"/>
        <v>74.377633138915371</v>
      </c>
      <c r="CJ278" s="233">
        <f t="shared" si="736"/>
        <v>101.40683737915479</v>
      </c>
      <c r="CK278" s="233">
        <f t="shared" si="736"/>
        <v>83.803717407423022</v>
      </c>
      <c r="CL278" s="233">
        <f t="shared" si="736"/>
        <v>88.450747761553501</v>
      </c>
      <c r="CM278" s="233">
        <f t="shared" si="736"/>
        <v>80.891129112424892</v>
      </c>
      <c r="CN278" s="233">
        <f t="shared" si="736"/>
        <v>88.391901664566333</v>
      </c>
      <c r="CO278" s="233">
        <f t="shared" si="736"/>
        <v>63.146021709571826</v>
      </c>
      <c r="CP278" s="233">
        <f t="shared" si="736"/>
        <v>75.997813760495646</v>
      </c>
      <c r="CQ278" s="233">
        <f t="shared" si="736"/>
        <v>54.83441219008327</v>
      </c>
      <c r="CR278" s="233">
        <f t="shared" si="736"/>
        <v>64.948710331165572</v>
      </c>
      <c r="CS278" s="233">
        <f t="shared" si="736"/>
        <v>52.508020617920145</v>
      </c>
      <c r="CT278" s="233">
        <f t="shared" si="736"/>
        <v>66.944436434465189</v>
      </c>
      <c r="CU278" s="233">
        <f t="shared" si="736"/>
        <v>48.819891602307543</v>
      </c>
      <c r="CV278" s="233">
        <f t="shared" si="736"/>
        <v>76.843688473732499</v>
      </c>
      <c r="CW278" s="233">
        <f t="shared" si="736"/>
        <v>45.787042779290601</v>
      </c>
      <c r="CX278" s="233">
        <f t="shared" si="736"/>
        <v>68.264892975880258</v>
      </c>
      <c r="CY278" s="233">
        <f t="shared" si="736"/>
        <v>74.689473590152488</v>
      </c>
      <c r="CZ278" s="233">
        <f t="shared" si="736"/>
        <v>87.186595313299634</v>
      </c>
      <c r="DA278" s="233">
        <f t="shared" si="736"/>
        <v>56.72398721790185</v>
      </c>
      <c r="DB278" s="233">
        <f t="shared" si="736"/>
        <v>24.023165402546176</v>
      </c>
      <c r="DC278" s="1029"/>
      <c r="DD278" s="1029"/>
      <c r="DE278" s="1029"/>
      <c r="DF278" s="1029"/>
      <c r="DG278" s="1029"/>
      <c r="DH278" s="1029"/>
      <c r="DJ278" s="1042"/>
      <c r="DK278" s="1042"/>
      <c r="DL278" s="1042"/>
      <c r="DM278" s="1042"/>
      <c r="DN278" s="1042"/>
      <c r="DO278" s="1042"/>
      <c r="DP278" s="1042"/>
      <c r="DQ278" s="1042"/>
      <c r="DR278" s="1042"/>
      <c r="DS278" s="1042"/>
      <c r="DT278" s="1042"/>
      <c r="DU278" s="1042"/>
      <c r="GF278" s="1042"/>
      <c r="GG278" s="1042"/>
      <c r="GH278" s="1042"/>
      <c r="GI278" s="1042"/>
      <c r="GJ278" s="1055"/>
      <c r="GK278" s="1055"/>
      <c r="GL278" s="1055"/>
      <c r="GM278" s="1055"/>
      <c r="GN278" s="1042"/>
      <c r="GO278" s="1042"/>
      <c r="HU278" s="1042"/>
      <c r="HV278" s="1042"/>
      <c r="HW278" s="1042"/>
      <c r="HX278" s="1042"/>
      <c r="HY278" s="1042"/>
      <c r="HZ278" s="1042"/>
      <c r="IA278" s="1042"/>
      <c r="IB278" s="1042"/>
      <c r="IC278" s="1042"/>
      <c r="ID278" s="1042"/>
      <c r="IE278" s="1042"/>
      <c r="JO278" s="1042"/>
      <c r="JP278" s="1042"/>
      <c r="JQ278" s="1042"/>
      <c r="JR278" s="1042"/>
      <c r="JS278" s="1042"/>
      <c r="JT278" s="1042"/>
      <c r="JU278" s="1042"/>
      <c r="JV278" s="1042"/>
      <c r="JW278" s="1042"/>
      <c r="JX278" s="1042"/>
      <c r="JY278" s="1042"/>
    </row>
    <row r="279" spans="1:285">
      <c r="A279" s="867"/>
      <c r="D279" s="18"/>
      <c r="AO279" s="1029"/>
      <c r="AP279" s="1029"/>
      <c r="AQ279" s="1029"/>
      <c r="AR279" s="1029"/>
      <c r="AS279" s="1029"/>
      <c r="AT279" s="1029"/>
      <c r="AU279" s="1029"/>
      <c r="AV279" s="1029"/>
      <c r="AW279" s="1029"/>
      <c r="AX279" s="1029"/>
      <c r="AY279" s="1029"/>
      <c r="AZ279" s="1029"/>
      <c r="BA279" s="1029"/>
      <c r="BB279" s="1029"/>
      <c r="BC279" s="1029"/>
      <c r="BD279" s="1029"/>
      <c r="BE279" s="873"/>
      <c r="BF279" s="873"/>
      <c r="BG279" s="873"/>
      <c r="BH279" s="873"/>
      <c r="BI279" s="873"/>
      <c r="BL279" s="972"/>
      <c r="BM279" s="1029"/>
      <c r="BN279" s="1029"/>
      <c r="BO279" s="1029"/>
      <c r="BP279" s="1029"/>
      <c r="BQ279" s="873"/>
      <c r="BR279" s="873"/>
      <c r="BS279" s="873"/>
      <c r="BT279" s="873"/>
      <c r="BU279" s="873"/>
      <c r="BY279" s="1029"/>
      <c r="BZ279" s="1029"/>
      <c r="CA279" s="1029"/>
      <c r="CB279" s="1029"/>
      <c r="CC279" s="1029"/>
      <c r="CD279" s="1029"/>
      <c r="CE279" s="1029"/>
      <c r="CF279" s="1029"/>
      <c r="CG279" s="1029"/>
      <c r="CH279" s="1029"/>
      <c r="CI279" s="1029"/>
      <c r="CJ279" s="1029"/>
      <c r="CK279" s="1029"/>
      <c r="CL279" s="1029"/>
      <c r="CM279" s="1029"/>
      <c r="CN279" s="1029"/>
      <c r="CO279" s="1029"/>
      <c r="CP279" s="1029"/>
      <c r="CQ279" s="1029"/>
      <c r="CR279" s="1029"/>
      <c r="CS279" s="1029"/>
      <c r="CT279" s="1029"/>
      <c r="CU279" s="1029"/>
      <c r="CV279" s="1029"/>
      <c r="CW279" s="1029"/>
      <c r="CX279" s="1029"/>
      <c r="CY279" s="1029"/>
      <c r="CZ279" s="1029"/>
      <c r="DA279" s="1029"/>
      <c r="DB279" s="1029"/>
      <c r="DC279" s="1029"/>
      <c r="DD279" s="1029"/>
      <c r="DE279" s="1029"/>
      <c r="DF279" s="1029"/>
      <c r="DG279" s="1029"/>
      <c r="DH279" s="1029"/>
    </row>
    <row r="280" spans="1:285">
      <c r="A280" s="867"/>
      <c r="C280" s="25" t="s">
        <v>814</v>
      </c>
      <c r="D280" s="18"/>
      <c r="AO280" s="1029"/>
      <c r="AP280" s="1029"/>
      <c r="AQ280" s="1029"/>
      <c r="AR280" s="1029"/>
      <c r="AS280" s="1029"/>
      <c r="AT280" s="1029"/>
      <c r="AU280" s="1029"/>
      <c r="AV280" s="1029"/>
      <c r="AW280" s="1029"/>
      <c r="AX280" s="1029"/>
      <c r="AY280" s="1029"/>
      <c r="AZ280" s="1029"/>
      <c r="BA280" s="1029"/>
      <c r="BB280" s="1029"/>
      <c r="BC280" s="1029"/>
      <c r="BD280" s="1029"/>
      <c r="BE280" s="873"/>
      <c r="BF280" s="873"/>
      <c r="BG280" s="873"/>
      <c r="BH280" s="873"/>
      <c r="BI280" s="873"/>
      <c r="BL280" s="972"/>
      <c r="BM280" s="1029"/>
      <c r="BN280" s="1029"/>
      <c r="BO280" s="1029"/>
      <c r="BP280" s="1029"/>
      <c r="BQ280" s="873"/>
      <c r="BR280" s="873"/>
      <c r="BS280" s="873"/>
      <c r="BT280" s="873"/>
      <c r="BU280" s="873"/>
      <c r="BY280" s="1029"/>
      <c r="BZ280" s="1029"/>
      <c r="CA280" s="1029"/>
      <c r="CB280" s="1029"/>
      <c r="CC280" s="1029"/>
      <c r="CD280" s="1029"/>
      <c r="CE280" s="1029"/>
      <c r="CF280" s="1029"/>
      <c r="CG280" s="1029"/>
      <c r="CH280" s="1029"/>
      <c r="CI280" s="1029"/>
      <c r="CJ280" s="1029"/>
      <c r="CK280" s="1029"/>
      <c r="CL280" s="1029"/>
      <c r="CM280" s="1029"/>
      <c r="CN280" s="1029"/>
      <c r="CO280" s="1029"/>
      <c r="CP280" s="1029"/>
      <c r="CQ280" s="1029"/>
      <c r="CR280" s="1029"/>
      <c r="CS280" s="1029"/>
      <c r="CT280" s="1029"/>
      <c r="CU280" s="1029"/>
      <c r="CV280" s="1029"/>
      <c r="CW280" s="1029"/>
      <c r="CX280" s="1029"/>
      <c r="CY280" s="1029"/>
      <c r="CZ280" s="1029"/>
      <c r="DA280" s="1029"/>
      <c r="DB280" s="1029"/>
      <c r="DC280" s="1029"/>
      <c r="DD280" s="1029"/>
      <c r="DE280" s="1029"/>
      <c r="DF280" s="1029"/>
      <c r="DG280" s="1029"/>
      <c r="DH280" s="1029"/>
    </row>
    <row r="281" spans="1:285">
      <c r="A281" s="867"/>
      <c r="C281" s="47" t="s">
        <v>815</v>
      </c>
      <c r="D281" s="51" t="s">
        <v>35</v>
      </c>
      <c r="E281" s="1048"/>
      <c r="F281" s="1048"/>
      <c r="G281" s="1048"/>
      <c r="H281" s="1048"/>
      <c r="I281" s="1048"/>
      <c r="J281" s="1048"/>
      <c r="K281" s="1048"/>
      <c r="L281" s="1048"/>
      <c r="M281" s="1048"/>
      <c r="N281" s="1048"/>
      <c r="O281" s="1048"/>
      <c r="P281" s="1048"/>
      <c r="Q281" s="1047">
        <f t="shared" ref="Q281:AN281" si="737">+(SUM(F74:Q74)*39%)/SUM(F197:Q197,F161:Q161,F183:Q183)</f>
        <v>0.27755435864272571</v>
      </c>
      <c r="R281" s="1047">
        <f t="shared" si="737"/>
        <v>0.28198560289823699</v>
      </c>
      <c r="S281" s="1047">
        <f t="shared" si="737"/>
        <v>0.26565501212242493</v>
      </c>
      <c r="T281" s="1047">
        <f t="shared" si="737"/>
        <v>0.21511798594507592</v>
      </c>
      <c r="U281" s="1047">
        <f t="shared" si="737"/>
        <v>0.20700999636561399</v>
      </c>
      <c r="V281" s="1047">
        <f t="shared" si="737"/>
        <v>0.21496402033571696</v>
      </c>
      <c r="W281" s="1047">
        <f t="shared" si="737"/>
        <v>0.20646511328791825</v>
      </c>
      <c r="X281" s="1047">
        <f t="shared" si="737"/>
        <v>0.19408638163001929</v>
      </c>
      <c r="Y281" s="1047">
        <f t="shared" si="737"/>
        <v>0.14393826136730931</v>
      </c>
      <c r="Z281" s="1047">
        <f t="shared" si="737"/>
        <v>0.11911724076571197</v>
      </c>
      <c r="AA281" s="1047">
        <f t="shared" si="737"/>
        <v>0.13635027095060745</v>
      </c>
      <c r="AB281" s="1047">
        <f t="shared" si="737"/>
        <v>0.15199044006384607</v>
      </c>
      <c r="AC281" s="1047">
        <f t="shared" si="737"/>
        <v>0.13025074010104234</v>
      </c>
      <c r="AD281" s="1047">
        <f t="shared" si="737"/>
        <v>0.11904120256717482</v>
      </c>
      <c r="AE281" s="1047">
        <f t="shared" si="737"/>
        <v>0.11290280753513296</v>
      </c>
      <c r="AF281" s="1047">
        <f t="shared" si="737"/>
        <v>0.11206896299223396</v>
      </c>
      <c r="AG281" s="1047">
        <f t="shared" si="737"/>
        <v>9.0679928274689403E-2</v>
      </c>
      <c r="AH281" s="1047">
        <f t="shared" si="737"/>
        <v>7.5109427771559323E-2</v>
      </c>
      <c r="AI281" s="1047">
        <f t="shared" si="737"/>
        <v>6.5632337159963805E-2</v>
      </c>
      <c r="AJ281" s="1047">
        <f t="shared" si="737"/>
        <v>5.774365269402381E-2</v>
      </c>
      <c r="AK281" s="1047">
        <f t="shared" si="737"/>
        <v>6.0627453887171473E-2</v>
      </c>
      <c r="AL281" s="1047">
        <f t="shared" si="737"/>
        <v>6.1391628282350556E-2</v>
      </c>
      <c r="AM281" s="1047">
        <f t="shared" si="737"/>
        <v>5.8461737870958916E-2</v>
      </c>
      <c r="AN281" s="1047">
        <f t="shared" si="737"/>
        <v>4.5056633612296525E-2</v>
      </c>
      <c r="AO281" s="345">
        <v>5.0593828986426406E-2</v>
      </c>
      <c r="AP281" s="345">
        <v>3.8169855057002329E-2</v>
      </c>
      <c r="AQ281" s="345">
        <v>3.3669008726366523E-2</v>
      </c>
      <c r="AR281" s="345">
        <v>2.810688820940745E-2</v>
      </c>
      <c r="AS281" s="345">
        <v>1.9446645123001458E-2</v>
      </c>
      <c r="AT281" s="345">
        <v>1.3269016620293166E-2</v>
      </c>
      <c r="AU281" s="345">
        <v>1.1341291661979044E-2</v>
      </c>
      <c r="AV281" s="345">
        <v>8.428949451272507E-3</v>
      </c>
      <c r="AW281" s="345">
        <v>5.5984845727536422E-3</v>
      </c>
      <c r="AX281" s="345">
        <v>1.899220860706327E-3</v>
      </c>
      <c r="AY281" s="345">
        <v>-9.7579654914363694E-3</v>
      </c>
      <c r="AZ281" s="345">
        <v>-1.1026934782369104E-2</v>
      </c>
      <c r="BA281" s="345">
        <v>-2.9883779219698984E-2</v>
      </c>
      <c r="BB281" s="345">
        <v>-3.0473310043786922E-2</v>
      </c>
      <c r="BC281" s="345">
        <v>-3.0957649042384849E-2</v>
      </c>
      <c r="BD281" s="345">
        <v>-2.9270377506716003E-2</v>
      </c>
      <c r="BE281" s="960">
        <v>-2.7831203789239031E-2</v>
      </c>
      <c r="BF281" s="960">
        <v>-2.9677384087628191E-2</v>
      </c>
      <c r="BG281" s="960">
        <v>-3.0535970481987487E-2</v>
      </c>
      <c r="BH281" s="960">
        <v>-3.0720101277818407E-2</v>
      </c>
      <c r="BI281" s="960">
        <v>-3.1909819535393187E-2</v>
      </c>
      <c r="BJ281" s="960">
        <v>-3.107505125415563E-2</v>
      </c>
      <c r="BK281" s="345">
        <v>-2.465680504747873E-2</v>
      </c>
      <c r="BL281" s="1056">
        <v>-9.643176811518708E-3</v>
      </c>
      <c r="BM281" s="1056"/>
      <c r="BN281" s="1056"/>
      <c r="BO281" s="1056"/>
      <c r="BP281" s="345"/>
      <c r="BQ281" s="960"/>
      <c r="BR281" s="960"/>
      <c r="BS281" s="960"/>
      <c r="BT281" s="960"/>
      <c r="BU281" s="960"/>
      <c r="BV281" s="960"/>
      <c r="BW281" s="345"/>
      <c r="BX281" s="345"/>
      <c r="BY281" s="1056"/>
      <c r="BZ281" s="1056"/>
      <c r="CA281" s="1056"/>
      <c r="CB281" s="1056"/>
      <c r="CC281" s="1056"/>
      <c r="CD281" s="1056"/>
      <c r="CE281" s="1056"/>
      <c r="CF281" s="1056"/>
      <c r="CG281" s="1056"/>
      <c r="CH281" s="1056"/>
      <c r="CI281" s="1056"/>
      <c r="CJ281" s="1056"/>
      <c r="CK281" s="1056"/>
      <c r="CL281" s="1056"/>
      <c r="CM281" s="1056"/>
      <c r="CN281" s="1056"/>
      <c r="CO281" s="1056"/>
      <c r="CP281" s="1056"/>
      <c r="CQ281" s="1056"/>
      <c r="CR281" s="1056"/>
      <c r="CS281" s="1056"/>
      <c r="CT281" s="1056"/>
      <c r="CU281" s="1056"/>
      <c r="CV281" s="1056"/>
      <c r="CW281" s="1056"/>
      <c r="CX281" s="1056"/>
      <c r="CY281" s="1056"/>
      <c r="CZ281" s="1056"/>
      <c r="DA281" s="1056"/>
      <c r="DB281" s="1056"/>
      <c r="DC281" s="113"/>
      <c r="DD281" s="113"/>
      <c r="DE281" s="113"/>
      <c r="DF281" s="113"/>
      <c r="DG281" s="113"/>
      <c r="DH281" s="113"/>
      <c r="DJ281" s="47"/>
      <c r="DK281" s="47"/>
      <c r="DL281" s="47"/>
      <c r="DM281" s="47"/>
      <c r="DN281" s="47"/>
      <c r="DO281" s="47"/>
      <c r="DP281" s="47"/>
      <c r="DQ281" s="47"/>
      <c r="DR281" s="47"/>
      <c r="DS281" s="47"/>
      <c r="DT281" s="47"/>
      <c r="DU281" s="47"/>
    </row>
    <row r="282" spans="1:285">
      <c r="A282" s="867"/>
      <c r="C282" s="17" t="s">
        <v>816</v>
      </c>
      <c r="D282" s="18" t="s">
        <v>35</v>
      </c>
      <c r="E282" s="1050"/>
      <c r="F282" s="1050"/>
      <c r="G282" s="1050"/>
      <c r="H282" s="1050"/>
      <c r="I282" s="1050"/>
      <c r="J282" s="1050"/>
      <c r="K282" s="1050"/>
      <c r="L282" s="1050"/>
      <c r="M282" s="1050"/>
      <c r="N282" s="1050"/>
      <c r="O282" s="1050"/>
      <c r="P282" s="1050"/>
      <c r="Q282" s="1049">
        <f t="shared" ref="Q282:AN282" si="738">+SUM(F103:Q103)/AVERAGE(F158:Q158)</f>
        <v>0.39891204909690303</v>
      </c>
      <c r="R282" s="1049">
        <f t="shared" si="738"/>
        <v>0.39266941852362286</v>
      </c>
      <c r="S282" s="1049">
        <f t="shared" si="738"/>
        <v>0.36223159411007172</v>
      </c>
      <c r="T282" s="1049">
        <f t="shared" si="738"/>
        <v>0.31233630391311101</v>
      </c>
      <c r="U282" s="1049">
        <f t="shared" si="738"/>
        <v>0.31151028336574327</v>
      </c>
      <c r="V282" s="1049">
        <f t="shared" si="738"/>
        <v>0.33107112099089975</v>
      </c>
      <c r="W282" s="1049">
        <f t="shared" si="738"/>
        <v>0.32131835250652929</v>
      </c>
      <c r="X282" s="1049">
        <f t="shared" si="738"/>
        <v>0.30037262119179448</v>
      </c>
      <c r="Y282" s="1049">
        <f t="shared" si="738"/>
        <v>0.24149997519849054</v>
      </c>
      <c r="Z282" s="1049">
        <f t="shared" si="738"/>
        <v>0.21263313201741893</v>
      </c>
      <c r="AA282" s="1049">
        <f t="shared" si="738"/>
        <v>0.23639643764323801</v>
      </c>
      <c r="AB282" s="1049">
        <f t="shared" si="738"/>
        <v>0.34453696004534079</v>
      </c>
      <c r="AC282" s="1049">
        <f t="shared" si="738"/>
        <v>0.32915574787020591</v>
      </c>
      <c r="AD282" s="1049">
        <f t="shared" si="738"/>
        <v>0.34680158081538243</v>
      </c>
      <c r="AE282" s="1049">
        <f t="shared" si="738"/>
        <v>0.36016106049600799</v>
      </c>
      <c r="AF282" s="1049">
        <f t="shared" si="738"/>
        <v>0.40073804376064431</v>
      </c>
      <c r="AG282" s="1049">
        <f t="shared" si="738"/>
        <v>0.36224368743477248</v>
      </c>
      <c r="AH282" s="1049">
        <f t="shared" si="738"/>
        <v>0.33039119306083314</v>
      </c>
      <c r="AI282" s="1049">
        <f t="shared" si="738"/>
        <v>0.31478900889665457</v>
      </c>
      <c r="AJ282" s="1049">
        <f t="shared" si="738"/>
        <v>0.29916192407414693</v>
      </c>
      <c r="AK282" s="1049">
        <f t="shared" si="738"/>
        <v>0.3363889338575487</v>
      </c>
      <c r="AL282" s="1049">
        <f t="shared" si="738"/>
        <v>0.35856357546492257</v>
      </c>
      <c r="AM282" s="1049">
        <f t="shared" si="738"/>
        <v>0.37962913480698385</v>
      </c>
      <c r="AN282" s="1049">
        <f t="shared" si="738"/>
        <v>0.28082329697103275</v>
      </c>
      <c r="AO282" s="1029">
        <v>0.32092922290174386</v>
      </c>
      <c r="AP282" s="1029">
        <v>0.24545097257437304</v>
      </c>
      <c r="AQ282" s="1029">
        <v>0.22733883543570385</v>
      </c>
      <c r="AR282" s="1029">
        <v>0.17090152933962255</v>
      </c>
      <c r="AS282" s="1029">
        <v>0.13108560202009592</v>
      </c>
      <c r="AT282" s="1029">
        <v>9.5955859060312163E-2</v>
      </c>
      <c r="AU282" s="1029">
        <v>9.017727953330322E-2</v>
      </c>
      <c r="AV282" s="1029">
        <v>7.2491430093603426E-2</v>
      </c>
      <c r="AW282" s="1029">
        <v>4.7766553807969507E-2</v>
      </c>
      <c r="AX282" s="1029">
        <v>-2.3123378524454605E-2</v>
      </c>
      <c r="AY282" s="1029">
        <v>-0.13036676667999847</v>
      </c>
      <c r="AZ282" s="1029">
        <v>-0.15336597409448338</v>
      </c>
      <c r="BA282" s="1029">
        <v>-0.43663154761355788</v>
      </c>
      <c r="BB282" s="1029">
        <v>-0.46786772388641612</v>
      </c>
      <c r="BC282" s="1029">
        <v>-0.4736177179073523</v>
      </c>
      <c r="BD282" s="1029">
        <v>-0.4901259748951019</v>
      </c>
      <c r="BE282" s="940">
        <v>-0.48972258889164944</v>
      </c>
      <c r="BF282" s="940">
        <v>-0.53717197984882226</v>
      </c>
      <c r="BG282" s="940">
        <v>-0.5665233641122791</v>
      </c>
      <c r="BH282" s="940">
        <v>-0.58766216850387165</v>
      </c>
      <c r="BI282" s="940">
        <v>-0.55364979995564756</v>
      </c>
      <c r="BJ282" s="940">
        <v>-0.54926345188853587</v>
      </c>
      <c r="BK282" s="1029">
        <v>-0.47011661083443007</v>
      </c>
      <c r="BL282" s="113">
        <v>-0.47818335521001171</v>
      </c>
      <c r="BM282" s="113"/>
      <c r="BN282" s="113"/>
      <c r="BO282" s="113"/>
      <c r="BP282" s="1029"/>
      <c r="BQ282" s="940"/>
      <c r="BR282" s="940"/>
      <c r="BS282" s="940"/>
      <c r="BT282" s="940"/>
      <c r="BU282" s="940"/>
      <c r="BV282" s="940"/>
      <c r="BW282" s="1029"/>
      <c r="BX282" s="1029"/>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c r="CZ282" s="113"/>
      <c r="DA282" s="113"/>
      <c r="DB282" s="113"/>
      <c r="DC282" s="113"/>
      <c r="DD282" s="113"/>
      <c r="DE282" s="113"/>
      <c r="DF282" s="113"/>
      <c r="DG282" s="113"/>
      <c r="DH282" s="113"/>
    </row>
    <row r="283" spans="1:285">
      <c r="A283" s="867"/>
      <c r="C283" s="186" t="s">
        <v>817</v>
      </c>
      <c r="D283" s="191" t="s">
        <v>35</v>
      </c>
      <c r="E283" s="1052"/>
      <c r="F283" s="1052"/>
      <c r="G283" s="1052"/>
      <c r="H283" s="1052"/>
      <c r="I283" s="1052"/>
      <c r="J283" s="1052"/>
      <c r="K283" s="1052"/>
      <c r="L283" s="1052"/>
      <c r="M283" s="1052"/>
      <c r="N283" s="1052"/>
      <c r="O283" s="1052"/>
      <c r="P283" s="1052"/>
      <c r="Q283" s="1051">
        <f t="shared" ref="Q283:AN283" si="739">+SUM(F103:Q103)/AVERAGE(F196:Q196)</f>
        <v>0.66112021232582496</v>
      </c>
      <c r="R283" s="1051">
        <f t="shared" si="739"/>
        <v>0.64518565799126859</v>
      </c>
      <c r="S283" s="1051">
        <f t="shared" si="739"/>
        <v>0.58826077180037928</v>
      </c>
      <c r="T283" s="1051">
        <f t="shared" si="739"/>
        <v>0.50326948257074489</v>
      </c>
      <c r="U283" s="1051">
        <f t="shared" si="739"/>
        <v>0.49807752140582973</v>
      </c>
      <c r="V283" s="1051">
        <f t="shared" si="739"/>
        <v>0.52500121561435598</v>
      </c>
      <c r="W283" s="1051">
        <f t="shared" si="739"/>
        <v>0.50325987423237184</v>
      </c>
      <c r="X283" s="1051">
        <f t="shared" si="739"/>
        <v>0.46619174971816568</v>
      </c>
      <c r="Y283" s="1051">
        <f t="shared" si="739"/>
        <v>0.3860831165800358</v>
      </c>
      <c r="Z283" s="1051">
        <f t="shared" si="739"/>
        <v>0.33893763884732708</v>
      </c>
      <c r="AA283" s="1051">
        <f t="shared" si="739"/>
        <v>0.3766546477043497</v>
      </c>
      <c r="AB283" s="1051">
        <f t="shared" si="739"/>
        <v>0.54625457343208195</v>
      </c>
      <c r="AC283" s="1051">
        <f t="shared" si="739"/>
        <v>0.51790686245954975</v>
      </c>
      <c r="AD283" s="1051">
        <f t="shared" si="739"/>
        <v>0.54218173130525982</v>
      </c>
      <c r="AE283" s="1051">
        <f t="shared" si="739"/>
        <v>0.57713553926442662</v>
      </c>
      <c r="AF283" s="1051">
        <f t="shared" si="739"/>
        <v>0.64690551956688425</v>
      </c>
      <c r="AG283" s="1051">
        <f t="shared" si="739"/>
        <v>0.58896376411196527</v>
      </c>
      <c r="AH283" s="1051">
        <f t="shared" si="739"/>
        <v>0.54068670240456684</v>
      </c>
      <c r="AI283" s="1051">
        <f t="shared" si="739"/>
        <v>0.5194890806025958</v>
      </c>
      <c r="AJ283" s="1051">
        <f t="shared" si="739"/>
        <v>0.49959713271604961</v>
      </c>
      <c r="AK283" s="1051">
        <f t="shared" si="739"/>
        <v>0.56880053990788526</v>
      </c>
      <c r="AL283" s="1051">
        <f t="shared" si="739"/>
        <v>0.61405510872694946</v>
      </c>
      <c r="AM283" s="1051">
        <f t="shared" si="739"/>
        <v>0.66451080349080127</v>
      </c>
      <c r="AN283" s="1051">
        <f t="shared" si="739"/>
        <v>0.49959058669746248</v>
      </c>
      <c r="AO283" s="233">
        <v>0.57573724829164585</v>
      </c>
      <c r="AP283" s="233">
        <v>0.4506349172281347</v>
      </c>
      <c r="AQ283" s="233">
        <v>0.41339963441349697</v>
      </c>
      <c r="AR283" s="233">
        <v>0.30898955687826102</v>
      </c>
      <c r="AS283" s="233">
        <v>0.23638261367537966</v>
      </c>
      <c r="AT283" s="233">
        <v>0.17401000111124226</v>
      </c>
      <c r="AU283" s="233">
        <v>0.16437781434539203</v>
      </c>
      <c r="AV283" s="233">
        <v>0.13240467158349031</v>
      </c>
      <c r="AW283" s="233">
        <v>8.7595273026594589E-2</v>
      </c>
      <c r="AX283" s="233">
        <v>-4.2901116688958969E-2</v>
      </c>
      <c r="AY283" s="233">
        <v>-0.24318706847950211</v>
      </c>
      <c r="AZ283" s="233">
        <v>-0.28962854839723357</v>
      </c>
      <c r="BA283" s="233">
        <v>-0.83844336182261991</v>
      </c>
      <c r="BB283" s="233">
        <v>-0.90875038683770226</v>
      </c>
      <c r="BC283" s="233">
        <v>-0.93933430194155965</v>
      </c>
      <c r="BD283" s="233">
        <v>-0.98951614981615732</v>
      </c>
      <c r="BE283" s="941">
        <v>-0.9995755847088279</v>
      </c>
      <c r="BF283" s="941">
        <v>-1.1157236622954501</v>
      </c>
      <c r="BG283" s="941">
        <v>-1.2001956595353573</v>
      </c>
      <c r="BH283" s="941">
        <v>-1.268336874458714</v>
      </c>
      <c r="BI283" s="941">
        <v>-1.2043549980199761</v>
      </c>
      <c r="BJ283" s="941">
        <v>-1.2039867136121081</v>
      </c>
      <c r="BK283" s="233">
        <v>-1.0307436294873478</v>
      </c>
      <c r="BL283" s="236">
        <v>-1.0560992653006787</v>
      </c>
      <c r="BM283" s="236"/>
      <c r="BN283" s="236"/>
      <c r="BO283" s="236"/>
      <c r="BP283" s="233"/>
      <c r="BQ283" s="941"/>
      <c r="BR283" s="941"/>
      <c r="BS283" s="941"/>
      <c r="BT283" s="941"/>
      <c r="BU283" s="941"/>
      <c r="BV283" s="941"/>
      <c r="BW283" s="233"/>
      <c r="BX283" s="233"/>
      <c r="BY283" s="236"/>
      <c r="BZ283" s="236"/>
      <c r="CA283" s="236"/>
      <c r="CB283" s="236"/>
      <c r="CC283" s="236"/>
      <c r="CD283" s="236"/>
      <c r="CE283" s="236"/>
      <c r="CF283" s="236"/>
      <c r="CG283" s="236"/>
      <c r="CH283" s="236"/>
      <c r="CI283" s="236"/>
      <c r="CJ283" s="236"/>
      <c r="CK283" s="236"/>
      <c r="CL283" s="236"/>
      <c r="CM283" s="236"/>
      <c r="CN283" s="236"/>
      <c r="CO283" s="236"/>
      <c r="CP283" s="236"/>
      <c r="CQ283" s="236"/>
      <c r="CR283" s="236"/>
      <c r="CS283" s="236"/>
      <c r="CT283" s="236"/>
      <c r="CU283" s="236"/>
      <c r="CV283" s="236"/>
      <c r="CW283" s="236"/>
      <c r="CX283" s="236"/>
      <c r="CY283" s="236"/>
      <c r="CZ283" s="236"/>
      <c r="DA283" s="236"/>
      <c r="DB283" s="236"/>
      <c r="DC283" s="113"/>
      <c r="DD283" s="113"/>
      <c r="DE283" s="113"/>
      <c r="DF283" s="113"/>
      <c r="DG283" s="113"/>
      <c r="DH283" s="113"/>
      <c r="DJ283" s="186"/>
      <c r="DK283" s="186"/>
      <c r="DL283" s="186"/>
      <c r="DM283" s="186"/>
      <c r="DN283" s="186"/>
      <c r="DO283" s="186"/>
      <c r="DP283" s="186"/>
      <c r="DQ283" s="186"/>
      <c r="DR283" s="186"/>
      <c r="DS283" s="186"/>
      <c r="DT283" s="186"/>
      <c r="DU283" s="186"/>
    </row>
    <row r="284" spans="1:285">
      <c r="A284" s="867"/>
      <c r="D284" s="31"/>
      <c r="BK284" s="1029"/>
      <c r="BW284" s="1029"/>
      <c r="BX284" s="1029"/>
    </row>
    <row r="285" spans="1:285">
      <c r="A285" s="917" t="s">
        <v>618</v>
      </c>
      <c r="D285" s="31"/>
    </row>
    <row r="286" spans="1:285">
      <c r="A286" s="867"/>
      <c r="C286" s="29"/>
      <c r="D286" s="31"/>
    </row>
    <row r="287" spans="1:285">
      <c r="C287" s="17" t="s">
        <v>819</v>
      </c>
      <c r="AQ287" s="17"/>
      <c r="BY287" s="963">
        <f>+(BY113/SUM(BN11:BY11))*360</f>
        <v>113.99254762176029</v>
      </c>
      <c r="BZ287" s="963">
        <f t="shared" ref="BZ287:DB287" si="740">+(BZ113/SUM(BO11:BZ11))*360</f>
        <v>101.09596929075788</v>
      </c>
      <c r="CA287" s="963">
        <f t="shared" si="740"/>
        <v>100.37309889492558</v>
      </c>
      <c r="CB287" s="963">
        <f t="shared" si="740"/>
        <v>88.344893166354638</v>
      </c>
      <c r="CC287" s="963">
        <f t="shared" si="740"/>
        <v>67.323634805040086</v>
      </c>
      <c r="CD287" s="963">
        <f t="shared" si="740"/>
        <v>77.561914696781344</v>
      </c>
      <c r="CE287" s="963">
        <f t="shared" si="740"/>
        <v>84.363782943796792</v>
      </c>
      <c r="CF287" s="963">
        <f t="shared" si="740"/>
        <v>79.253913986259192</v>
      </c>
      <c r="CG287" s="963">
        <f t="shared" si="740"/>
        <v>93.05902630469997</v>
      </c>
      <c r="CH287" s="963">
        <f t="shared" si="740"/>
        <v>117.9045756831439</v>
      </c>
      <c r="CI287" s="963">
        <f t="shared" si="740"/>
        <v>126.88705649862992</v>
      </c>
      <c r="CJ287" s="963">
        <f t="shared" si="740"/>
        <v>115.88299501170471</v>
      </c>
      <c r="CK287" s="963">
        <f t="shared" si="740"/>
        <v>129.83049807695576</v>
      </c>
      <c r="CL287" s="963">
        <f t="shared" si="740"/>
        <v>105.47955426047416</v>
      </c>
      <c r="CM287" s="963">
        <f t="shared" si="740"/>
        <v>104.27981352890158</v>
      </c>
      <c r="CN287" s="963">
        <f t="shared" si="740"/>
        <v>105.50451059178388</v>
      </c>
      <c r="CO287" s="963">
        <f t="shared" si="740"/>
        <v>91.024029906365712</v>
      </c>
      <c r="CP287" s="963">
        <f t="shared" si="740"/>
        <v>78.748157371108505</v>
      </c>
      <c r="CQ287" s="963">
        <f t="shared" si="740"/>
        <v>84.421929768647658</v>
      </c>
      <c r="CR287" s="963">
        <f t="shared" si="740"/>
        <v>73.333439299060288</v>
      </c>
      <c r="CS287" s="963">
        <f t="shared" si="740"/>
        <v>71.933238690905497</v>
      </c>
      <c r="CT287" s="963">
        <f t="shared" si="740"/>
        <v>90.78024943767916</v>
      </c>
      <c r="CU287" s="963">
        <f t="shared" si="740"/>
        <v>91.170206602895647</v>
      </c>
      <c r="CV287" s="963">
        <f t="shared" si="740"/>
        <v>76.26574299998525</v>
      </c>
      <c r="CW287" s="963">
        <f t="shared" si="740"/>
        <v>75.657775007027041</v>
      </c>
      <c r="CX287" s="963">
        <f t="shared" si="740"/>
        <v>85.845456998700584</v>
      </c>
      <c r="CY287" s="963">
        <f t="shared" si="740"/>
        <v>110.75240583549085</v>
      </c>
      <c r="CZ287" s="963">
        <f t="shared" si="740"/>
        <v>70.802911596617605</v>
      </c>
      <c r="DA287" s="963">
        <f t="shared" si="740"/>
        <v>45.933557631234798</v>
      </c>
      <c r="DB287" s="963">
        <f t="shared" si="740"/>
        <v>24.609219081052675</v>
      </c>
      <c r="DC287" s="963"/>
      <c r="DD287" s="963"/>
      <c r="DE287" s="963"/>
      <c r="DF287" s="963"/>
      <c r="DG287" s="963"/>
      <c r="DH287" s="963"/>
    </row>
    <row r="288" spans="1:285">
      <c r="C288" s="17" t="s">
        <v>820</v>
      </c>
      <c r="BY288" s="963">
        <f>+(BY115/SUM(BN11:BY11))*360</f>
        <v>14.759449027843349</v>
      </c>
      <c r="BZ288" s="963">
        <f t="shared" ref="BZ288:DB288" si="741">+(BZ115/SUM(BO11:BZ11))*360</f>
        <v>15.429683042129138</v>
      </c>
      <c r="CA288" s="963">
        <f t="shared" si="741"/>
        <v>14.712252069907963</v>
      </c>
      <c r="CB288" s="963">
        <f t="shared" si="741"/>
        <v>15.465212391280508</v>
      </c>
      <c r="CC288" s="963">
        <f t="shared" si="741"/>
        <v>15.502313469157247</v>
      </c>
      <c r="CD288" s="963">
        <f t="shared" si="741"/>
        <v>15.533399995841664</v>
      </c>
      <c r="CE288" s="963">
        <f t="shared" si="741"/>
        <v>16.188925519920367</v>
      </c>
      <c r="CF288" s="963">
        <f t="shared" si="741"/>
        <v>15.946976113404506</v>
      </c>
      <c r="CG288" s="963">
        <f t="shared" si="741"/>
        <v>17.019416316185183</v>
      </c>
      <c r="CH288" s="963">
        <f t="shared" si="741"/>
        <v>17.706719464632677</v>
      </c>
      <c r="CI288" s="963">
        <f t="shared" si="741"/>
        <v>16.515450104569361</v>
      </c>
      <c r="CJ288" s="963">
        <f t="shared" si="741"/>
        <v>16.915927067189639</v>
      </c>
      <c r="CK288" s="963">
        <f t="shared" si="741"/>
        <v>16.883858245621127</v>
      </c>
      <c r="CL288" s="963">
        <f t="shared" si="741"/>
        <v>17.097351806920891</v>
      </c>
      <c r="CM288" s="963">
        <f t="shared" si="741"/>
        <v>16.364359061648923</v>
      </c>
      <c r="CN288" s="963">
        <f t="shared" si="741"/>
        <v>15.104884226620271</v>
      </c>
      <c r="CO288" s="963">
        <f t="shared" si="741"/>
        <v>15.21680317634776</v>
      </c>
      <c r="CP288" s="963">
        <f t="shared" si="741"/>
        <v>14.636013662714703</v>
      </c>
      <c r="CQ288" s="963">
        <f t="shared" si="741"/>
        <v>15.609864308253014</v>
      </c>
      <c r="CR288" s="963">
        <f t="shared" si="741"/>
        <v>16.388303426170836</v>
      </c>
      <c r="CS288" s="963">
        <f t="shared" si="741"/>
        <v>16.070264644980174</v>
      </c>
      <c r="CT288" s="963">
        <f t="shared" si="741"/>
        <v>15.868309269749114</v>
      </c>
      <c r="CU288" s="963">
        <f t="shared" si="741"/>
        <v>15.011752000390814</v>
      </c>
      <c r="CV288" s="963">
        <f t="shared" si="741"/>
        <v>15.490786804319603</v>
      </c>
      <c r="CW288" s="963">
        <f t="shared" si="741"/>
        <v>15.670871741817052</v>
      </c>
      <c r="CX288" s="963">
        <f t="shared" si="741"/>
        <v>15.606484146214932</v>
      </c>
      <c r="CY288" s="963">
        <f t="shared" si="741"/>
        <v>16.229494768915913</v>
      </c>
      <c r="CZ288" s="963">
        <f t="shared" si="741"/>
        <v>17.136518519916731</v>
      </c>
      <c r="DA288" s="963">
        <f t="shared" si="741"/>
        <v>18.22024723809341</v>
      </c>
      <c r="DB288" s="963">
        <f t="shared" si="741"/>
        <v>19.204372248310928</v>
      </c>
      <c r="DC288" s="963"/>
      <c r="DD288" s="963"/>
      <c r="DE288" s="963"/>
      <c r="DF288" s="963"/>
      <c r="DG288" s="963"/>
      <c r="DH288" s="963"/>
    </row>
    <row r="289" spans="1:112">
      <c r="C289" s="17" t="s">
        <v>821</v>
      </c>
      <c r="BY289" s="963">
        <f t="shared" ref="BY289:CM289" si="742">+SUM(BY287:BY288)</f>
        <v>128.75199664960365</v>
      </c>
      <c r="BZ289" s="963">
        <f t="shared" si="742"/>
        <v>116.52565233288702</v>
      </c>
      <c r="CA289" s="963">
        <f t="shared" si="742"/>
        <v>115.08535096483354</v>
      </c>
      <c r="CB289" s="963">
        <f t="shared" si="742"/>
        <v>103.81010555763514</v>
      </c>
      <c r="CC289" s="963">
        <f t="shared" si="742"/>
        <v>82.82594827419733</v>
      </c>
      <c r="CD289" s="963">
        <f t="shared" si="742"/>
        <v>93.095314692623006</v>
      </c>
      <c r="CE289" s="963">
        <f t="shared" si="742"/>
        <v>100.55270846371715</v>
      </c>
      <c r="CF289" s="963">
        <f t="shared" si="742"/>
        <v>95.200890099663695</v>
      </c>
      <c r="CG289" s="963">
        <f t="shared" si="742"/>
        <v>110.07844262088516</v>
      </c>
      <c r="CH289" s="963">
        <f t="shared" si="742"/>
        <v>135.61129514777659</v>
      </c>
      <c r="CI289" s="963">
        <f t="shared" si="742"/>
        <v>143.40250660319927</v>
      </c>
      <c r="CJ289" s="963">
        <f t="shared" si="742"/>
        <v>132.79892207889435</v>
      </c>
      <c r="CK289" s="963">
        <f t="shared" si="742"/>
        <v>146.71435632257689</v>
      </c>
      <c r="CL289" s="963">
        <f t="shared" si="742"/>
        <v>122.57690606739504</v>
      </c>
      <c r="CM289" s="963">
        <f t="shared" si="742"/>
        <v>120.64417259055051</v>
      </c>
      <c r="CN289" s="963">
        <f t="shared" ref="CN289:CO289" si="743">+SUM(CN287:CN288)</f>
        <v>120.60939481840416</v>
      </c>
      <c r="CO289" s="963">
        <f t="shared" si="743"/>
        <v>106.24083308271346</v>
      </c>
      <c r="CP289" s="963">
        <f t="shared" ref="CP289:DB289" si="744">+SUM(CP287:CP288)</f>
        <v>93.384171033823208</v>
      </c>
      <c r="CQ289" s="963">
        <f t="shared" si="744"/>
        <v>100.03179407690067</v>
      </c>
      <c r="CR289" s="963">
        <f t="shared" si="744"/>
        <v>89.721742725231124</v>
      </c>
      <c r="CS289" s="963">
        <f t="shared" si="744"/>
        <v>88.003503335885668</v>
      </c>
      <c r="CT289" s="963">
        <f t="shared" si="744"/>
        <v>106.64855870742828</v>
      </c>
      <c r="CU289" s="963">
        <f t="shared" si="744"/>
        <v>106.18195860328646</v>
      </c>
      <c r="CV289" s="963">
        <f t="shared" si="744"/>
        <v>91.756529804304847</v>
      </c>
      <c r="CW289" s="963">
        <f t="shared" si="744"/>
        <v>91.328646748844093</v>
      </c>
      <c r="CX289" s="963">
        <f t="shared" si="744"/>
        <v>101.45194114491551</v>
      </c>
      <c r="CY289" s="963">
        <f t="shared" si="744"/>
        <v>126.98190060440676</v>
      </c>
      <c r="CZ289" s="963">
        <f t="shared" si="744"/>
        <v>87.939430116534339</v>
      </c>
      <c r="DA289" s="963">
        <f t="shared" si="744"/>
        <v>64.153804869328212</v>
      </c>
      <c r="DB289" s="963">
        <f t="shared" si="744"/>
        <v>43.813591329363604</v>
      </c>
      <c r="DC289" s="963"/>
      <c r="DD289" s="963"/>
      <c r="DE289" s="963"/>
      <c r="DF289" s="963"/>
      <c r="DG289" s="963"/>
      <c r="DH289" s="963"/>
    </row>
    <row r="290" spans="1:112">
      <c r="AQ290" s="17"/>
    </row>
    <row r="291" spans="1:112">
      <c r="C291" s="17" t="s">
        <v>822</v>
      </c>
      <c r="BY291" s="963">
        <f>+(BY165/-SUM(BN21:BY21))*360</f>
        <v>22.773921029704638</v>
      </c>
      <c r="BZ291" s="963">
        <f t="shared" ref="BZ291:DB291" si="745">+(BZ165/-SUM(BO21:BZ21))*360</f>
        <v>27.58797627214755</v>
      </c>
      <c r="CA291" s="963">
        <f t="shared" si="745"/>
        <v>36.906899269700055</v>
      </c>
      <c r="CB291" s="963">
        <f t="shared" si="745"/>
        <v>23.862781170170596</v>
      </c>
      <c r="CC291" s="963">
        <f t="shared" si="745"/>
        <v>17.065336920116234</v>
      </c>
      <c r="CD291" s="963">
        <f t="shared" si="745"/>
        <v>10.640094559450976</v>
      </c>
      <c r="CE291" s="963">
        <f t="shared" si="745"/>
        <v>15.806915671526543</v>
      </c>
      <c r="CF291" s="963">
        <f t="shared" si="745"/>
        <v>19.801101808944065</v>
      </c>
      <c r="CG291" s="963">
        <f t="shared" si="745"/>
        <v>25.224139217731434</v>
      </c>
      <c r="CH291" s="963">
        <f t="shared" si="745"/>
        <v>33.834192181187831</v>
      </c>
      <c r="CI291" s="963">
        <f t="shared" si="745"/>
        <v>35.707921943644784</v>
      </c>
      <c r="CJ291" s="963">
        <f t="shared" si="745"/>
        <v>42.166583784243898</v>
      </c>
      <c r="CK291" s="963">
        <f t="shared" si="745"/>
        <v>39.146874177247831</v>
      </c>
      <c r="CL291" s="963">
        <f t="shared" si="745"/>
        <v>33.453852877392485</v>
      </c>
      <c r="CM291" s="963">
        <f t="shared" si="745"/>
        <v>38.407224491365135</v>
      </c>
      <c r="CN291" s="963">
        <f t="shared" si="745"/>
        <v>27.399910517253613</v>
      </c>
      <c r="CO291" s="963">
        <f t="shared" si="745"/>
        <v>18.642914627369464</v>
      </c>
      <c r="CP291" s="963">
        <f t="shared" si="745"/>
        <v>20.665301709607252</v>
      </c>
      <c r="CQ291" s="963">
        <f t="shared" si="745"/>
        <v>23.390253970827473</v>
      </c>
      <c r="CR291" s="963">
        <f t="shared" si="745"/>
        <v>24.493159247278857</v>
      </c>
      <c r="CS291" s="963">
        <f t="shared" si="745"/>
        <v>28.343396958593644</v>
      </c>
      <c r="CT291" s="963">
        <f t="shared" si="745"/>
        <v>29.928225713326846</v>
      </c>
      <c r="CU291" s="963">
        <f t="shared" si="745"/>
        <v>23.222618873515533</v>
      </c>
      <c r="CV291" s="963">
        <f t="shared" si="745"/>
        <v>26.185781163703354</v>
      </c>
      <c r="CW291" s="963">
        <f t="shared" si="745"/>
        <v>23.410444418403195</v>
      </c>
      <c r="CX291" s="963">
        <f t="shared" si="745"/>
        <v>27.894267593778252</v>
      </c>
      <c r="CY291" s="963">
        <f t="shared" si="745"/>
        <v>30.328534422094329</v>
      </c>
      <c r="CZ291" s="963">
        <f t="shared" si="745"/>
        <v>30.597928391700226</v>
      </c>
      <c r="DA291" s="963">
        <f t="shared" si="745"/>
        <v>14.896512870513654</v>
      </c>
      <c r="DB291" s="963">
        <f t="shared" si="745"/>
        <v>6.491200087489891</v>
      </c>
      <c r="DC291" s="963"/>
      <c r="DD291" s="963"/>
      <c r="DE291" s="963"/>
      <c r="DF291" s="963"/>
      <c r="DG291" s="963"/>
      <c r="DH291" s="963"/>
    </row>
    <row r="292" spans="1:112">
      <c r="C292" s="17" t="s">
        <v>847</v>
      </c>
      <c r="AQ292" s="17"/>
      <c r="BY292" s="963">
        <f>+(BY166/-SUM(BN21:BY21))*360</f>
        <v>25.229129902853373</v>
      </c>
      <c r="BZ292" s="963">
        <f t="shared" ref="BZ292:DB292" si="746">+(BZ166/-SUM(BO21:BZ21))*360</f>
        <v>29.862292774452097</v>
      </c>
      <c r="CA292" s="963">
        <f t="shared" si="746"/>
        <v>30.359834216186691</v>
      </c>
      <c r="CB292" s="963">
        <f t="shared" si="746"/>
        <v>24.487772519180023</v>
      </c>
      <c r="CC292" s="963">
        <f t="shared" si="746"/>
        <v>18.838713508822227</v>
      </c>
      <c r="CD292" s="963">
        <f t="shared" si="746"/>
        <v>24.837959309048561</v>
      </c>
      <c r="CE292" s="963">
        <f t="shared" si="746"/>
        <v>24.365943668336829</v>
      </c>
      <c r="CF292" s="963">
        <f t="shared" si="746"/>
        <v>27.357676986089228</v>
      </c>
      <c r="CG292" s="963">
        <f t="shared" si="746"/>
        <v>31.470435496136311</v>
      </c>
      <c r="CH292" s="963">
        <f t="shared" si="746"/>
        <v>37.064936966531434</v>
      </c>
      <c r="CI292" s="963">
        <f t="shared" si="746"/>
        <v>38.669711195270587</v>
      </c>
      <c r="CJ292" s="963">
        <f t="shared" si="746"/>
        <v>59.240253594910904</v>
      </c>
      <c r="CK292" s="963">
        <f t="shared" si="746"/>
        <v>44.656843230175184</v>
      </c>
      <c r="CL292" s="963">
        <f t="shared" si="746"/>
        <v>54.996894884161001</v>
      </c>
      <c r="CM292" s="963">
        <f t="shared" si="746"/>
        <v>42.483904621059772</v>
      </c>
      <c r="CN292" s="963">
        <f t="shared" si="746"/>
        <v>60.991991147312724</v>
      </c>
      <c r="CO292" s="963">
        <f t="shared" si="746"/>
        <v>44.503107082202355</v>
      </c>
      <c r="CP292" s="963">
        <f t="shared" si="746"/>
        <v>55.332512050888404</v>
      </c>
      <c r="CQ292" s="963">
        <f t="shared" si="746"/>
        <v>31.444158219255797</v>
      </c>
      <c r="CR292" s="963">
        <f t="shared" si="746"/>
        <v>40.455551083886732</v>
      </c>
      <c r="CS292" s="963">
        <f t="shared" si="746"/>
        <v>24.164623659326498</v>
      </c>
      <c r="CT292" s="963">
        <f t="shared" si="746"/>
        <v>37.01621072113835</v>
      </c>
      <c r="CU292" s="963">
        <f t="shared" si="746"/>
        <v>25.597272728792007</v>
      </c>
      <c r="CV292" s="963">
        <f t="shared" si="746"/>
        <v>50.657907310029145</v>
      </c>
      <c r="CW292" s="963">
        <f t="shared" si="746"/>
        <v>22.376598360887407</v>
      </c>
      <c r="CX292" s="963">
        <f t="shared" si="746"/>
        <v>40.370625382102006</v>
      </c>
      <c r="CY292" s="963">
        <f t="shared" si="746"/>
        <v>44.360939168058167</v>
      </c>
      <c r="CZ292" s="963">
        <f t="shared" si="746"/>
        <v>56.588666921599419</v>
      </c>
      <c r="DA292" s="963">
        <f t="shared" si="746"/>
        <v>41.82747434738819</v>
      </c>
      <c r="DB292" s="963">
        <f t="shared" si="746"/>
        <v>17.531965315056286</v>
      </c>
      <c r="DC292" s="963"/>
      <c r="DD292" s="963"/>
      <c r="DE292" s="963"/>
      <c r="DF292" s="963"/>
      <c r="DG292" s="963"/>
      <c r="DH292" s="963"/>
    </row>
    <row r="293" spans="1:112">
      <c r="C293" s="17" t="s">
        <v>824</v>
      </c>
      <c r="AQ293" s="17"/>
      <c r="BX293" s="17">
        <v>0</v>
      </c>
      <c r="BY293" s="963">
        <f t="shared" ref="BY293:DB293" si="747">+((BY171+BY168)/-SUM(BN21:BY21))*360*$BX$293</f>
        <v>0</v>
      </c>
      <c r="BZ293" s="963">
        <f t="shared" si="747"/>
        <v>0</v>
      </c>
      <c r="CA293" s="963">
        <f t="shared" si="747"/>
        <v>0</v>
      </c>
      <c r="CB293" s="963">
        <f t="shared" si="747"/>
        <v>0</v>
      </c>
      <c r="CC293" s="963">
        <f t="shared" si="747"/>
        <v>0</v>
      </c>
      <c r="CD293" s="963">
        <f t="shared" si="747"/>
        <v>0</v>
      </c>
      <c r="CE293" s="963">
        <f t="shared" si="747"/>
        <v>0</v>
      </c>
      <c r="CF293" s="963">
        <f t="shared" si="747"/>
        <v>0</v>
      </c>
      <c r="CG293" s="963">
        <f t="shared" si="747"/>
        <v>0</v>
      </c>
      <c r="CH293" s="963">
        <f t="shared" si="747"/>
        <v>0</v>
      </c>
      <c r="CI293" s="963">
        <f t="shared" si="747"/>
        <v>0</v>
      </c>
      <c r="CJ293" s="963">
        <f t="shared" si="747"/>
        <v>0</v>
      </c>
      <c r="CK293" s="963">
        <f t="shared" si="747"/>
        <v>0</v>
      </c>
      <c r="CL293" s="963">
        <f t="shared" si="747"/>
        <v>0</v>
      </c>
      <c r="CM293" s="963">
        <f t="shared" si="747"/>
        <v>0</v>
      </c>
      <c r="CN293" s="963">
        <f t="shared" si="747"/>
        <v>0</v>
      </c>
      <c r="CO293" s="963">
        <f t="shared" si="747"/>
        <v>0</v>
      </c>
      <c r="CP293" s="963">
        <f t="shared" si="747"/>
        <v>0</v>
      </c>
      <c r="CQ293" s="963">
        <f t="shared" si="747"/>
        <v>0</v>
      </c>
      <c r="CR293" s="963">
        <f t="shared" si="747"/>
        <v>0</v>
      </c>
      <c r="CS293" s="963">
        <f t="shared" si="747"/>
        <v>0</v>
      </c>
      <c r="CT293" s="963">
        <f t="shared" si="747"/>
        <v>0</v>
      </c>
      <c r="CU293" s="963">
        <f t="shared" si="747"/>
        <v>0</v>
      </c>
      <c r="CV293" s="963">
        <f t="shared" si="747"/>
        <v>0</v>
      </c>
      <c r="CW293" s="963">
        <f t="shared" si="747"/>
        <v>0</v>
      </c>
      <c r="CX293" s="963">
        <f t="shared" si="747"/>
        <v>0</v>
      </c>
      <c r="CY293" s="963">
        <f t="shared" si="747"/>
        <v>0</v>
      </c>
      <c r="CZ293" s="963">
        <f t="shared" si="747"/>
        <v>0</v>
      </c>
      <c r="DA293" s="963">
        <f t="shared" si="747"/>
        <v>0</v>
      </c>
      <c r="DB293" s="963">
        <f t="shared" si="747"/>
        <v>0</v>
      </c>
      <c r="DC293" s="963"/>
      <c r="DD293" s="963"/>
      <c r="DE293" s="963"/>
      <c r="DF293" s="963"/>
      <c r="DG293" s="963"/>
      <c r="DH293" s="963"/>
    </row>
    <row r="294" spans="1:112">
      <c r="C294" s="17" t="s">
        <v>825</v>
      </c>
      <c r="BY294" s="628">
        <f t="shared" ref="BY294:CM294" si="748">+SUM(BY291:BY293)</f>
        <v>48.003050932558011</v>
      </c>
      <c r="BZ294" s="628">
        <f t="shared" si="748"/>
        <v>57.450269046599644</v>
      </c>
      <c r="CA294" s="628">
        <f t="shared" si="748"/>
        <v>67.266733485886746</v>
      </c>
      <c r="CB294" s="628">
        <f t="shared" si="748"/>
        <v>48.350553689350619</v>
      </c>
      <c r="CC294" s="628">
        <f t="shared" si="748"/>
        <v>35.904050428938461</v>
      </c>
      <c r="CD294" s="628">
        <f t="shared" si="748"/>
        <v>35.478053868499536</v>
      </c>
      <c r="CE294" s="628">
        <f t="shared" si="748"/>
        <v>40.172859339863372</v>
      </c>
      <c r="CF294" s="628">
        <f t="shared" si="748"/>
        <v>47.158778795033292</v>
      </c>
      <c r="CG294" s="628">
        <f t="shared" si="748"/>
        <v>56.694574713867745</v>
      </c>
      <c r="CH294" s="628">
        <f t="shared" si="748"/>
        <v>70.899129147719265</v>
      </c>
      <c r="CI294" s="628">
        <f t="shared" si="748"/>
        <v>74.377633138915371</v>
      </c>
      <c r="CJ294" s="628">
        <f t="shared" si="748"/>
        <v>101.40683737915481</v>
      </c>
      <c r="CK294" s="628">
        <f t="shared" si="748"/>
        <v>83.803717407423022</v>
      </c>
      <c r="CL294" s="628">
        <f t="shared" si="748"/>
        <v>88.450747761553487</v>
      </c>
      <c r="CM294" s="628">
        <f t="shared" si="748"/>
        <v>80.891129112424906</v>
      </c>
      <c r="CN294" s="628">
        <f t="shared" ref="CN294:CO294" si="749">+SUM(CN291:CN293)</f>
        <v>88.391901664566333</v>
      </c>
      <c r="CO294" s="628">
        <f t="shared" si="749"/>
        <v>63.146021709571819</v>
      </c>
      <c r="CP294" s="628">
        <f t="shared" ref="CP294:DB294" si="750">+SUM(CP291:CP293)</f>
        <v>75.99781376049566</v>
      </c>
      <c r="CQ294" s="628">
        <f t="shared" si="750"/>
        <v>54.83441219008327</v>
      </c>
      <c r="CR294" s="628">
        <f t="shared" si="750"/>
        <v>64.948710331165586</v>
      </c>
      <c r="CS294" s="628">
        <f t="shared" si="750"/>
        <v>52.508020617920138</v>
      </c>
      <c r="CT294" s="628">
        <f t="shared" si="750"/>
        <v>66.944436434465189</v>
      </c>
      <c r="CU294" s="628">
        <f t="shared" si="750"/>
        <v>48.819891602307536</v>
      </c>
      <c r="CV294" s="628">
        <f t="shared" si="750"/>
        <v>76.843688473732499</v>
      </c>
      <c r="CW294" s="628">
        <f t="shared" si="750"/>
        <v>45.787042779290601</v>
      </c>
      <c r="CX294" s="628">
        <f t="shared" si="750"/>
        <v>68.264892975880258</v>
      </c>
      <c r="CY294" s="628">
        <f t="shared" si="750"/>
        <v>74.689473590152488</v>
      </c>
      <c r="CZ294" s="628">
        <f t="shared" si="750"/>
        <v>87.186595313299648</v>
      </c>
      <c r="DA294" s="628">
        <f t="shared" si="750"/>
        <v>56.723987217901843</v>
      </c>
      <c r="DB294" s="628">
        <f t="shared" si="750"/>
        <v>24.023165402546176</v>
      </c>
      <c r="DC294" s="628"/>
      <c r="DD294" s="628"/>
      <c r="DE294" s="628"/>
      <c r="DF294" s="628"/>
      <c r="DG294" s="628"/>
      <c r="DH294" s="628"/>
    </row>
    <row r="295" spans="1:112">
      <c r="CD295" s="1057"/>
    </row>
    <row r="296" spans="1:112"/>
    <row r="297" spans="1:112">
      <c r="C297" s="17" t="s">
        <v>818</v>
      </c>
      <c r="BY297" s="628">
        <f t="shared" ref="BY297:DB297" si="751">+BY289-BY294</f>
        <v>80.748945717045643</v>
      </c>
      <c r="BZ297" s="628">
        <f t="shared" si="751"/>
        <v>59.075383286287376</v>
      </c>
      <c r="CA297" s="628">
        <f t="shared" si="751"/>
        <v>47.818617478946791</v>
      </c>
      <c r="CB297" s="628">
        <f t="shared" si="751"/>
        <v>55.459551868284521</v>
      </c>
      <c r="CC297" s="102">
        <f t="shared" si="751"/>
        <v>46.921897845258869</v>
      </c>
      <c r="CD297" s="628">
        <f t="shared" si="751"/>
        <v>57.61726082412347</v>
      </c>
      <c r="CE297" s="628">
        <f t="shared" si="751"/>
        <v>60.379849123853781</v>
      </c>
      <c r="CF297" s="628">
        <f t="shared" si="751"/>
        <v>48.042111304630403</v>
      </c>
      <c r="CG297" s="628">
        <f t="shared" si="751"/>
        <v>53.383867907017411</v>
      </c>
      <c r="CH297" s="628">
        <f t="shared" si="751"/>
        <v>64.712166000057323</v>
      </c>
      <c r="CI297" s="628">
        <f t="shared" si="751"/>
        <v>69.0248734642839</v>
      </c>
      <c r="CJ297" s="628">
        <f t="shared" si="751"/>
        <v>31.392084699739542</v>
      </c>
      <c r="CK297" s="628">
        <f t="shared" si="751"/>
        <v>62.910638915153868</v>
      </c>
      <c r="CL297" s="628">
        <f t="shared" si="751"/>
        <v>34.126158305841557</v>
      </c>
      <c r="CM297" s="628">
        <f t="shared" si="751"/>
        <v>39.753043478125605</v>
      </c>
      <c r="CN297" s="628">
        <f t="shared" si="751"/>
        <v>32.217493153837822</v>
      </c>
      <c r="CO297" s="628">
        <f t="shared" si="751"/>
        <v>43.094811373141646</v>
      </c>
      <c r="CP297" s="628">
        <f t="shared" si="751"/>
        <v>17.386357273327548</v>
      </c>
      <c r="CQ297" s="628">
        <f t="shared" si="751"/>
        <v>45.197381886817396</v>
      </c>
      <c r="CR297" s="628">
        <f t="shared" si="751"/>
        <v>24.773032394065538</v>
      </c>
      <c r="CS297" s="628">
        <f t="shared" si="751"/>
        <v>35.49548271796553</v>
      </c>
      <c r="CT297" s="628">
        <f t="shared" si="751"/>
        <v>39.70412227296309</v>
      </c>
      <c r="CU297" s="628">
        <f t="shared" si="751"/>
        <v>57.362067000978925</v>
      </c>
      <c r="CV297" s="628">
        <f t="shared" si="751"/>
        <v>14.912841330572348</v>
      </c>
      <c r="CW297" s="628">
        <f t="shared" si="751"/>
        <v>45.541603969553492</v>
      </c>
      <c r="CX297" s="628">
        <f t="shared" si="751"/>
        <v>33.187048169035251</v>
      </c>
      <c r="CY297" s="628">
        <f t="shared" si="751"/>
        <v>52.292427014254272</v>
      </c>
      <c r="CZ297" s="628">
        <f t="shared" si="751"/>
        <v>0.75283480323469121</v>
      </c>
      <c r="DA297" s="628">
        <f t="shared" si="751"/>
        <v>7.4298176514263687</v>
      </c>
      <c r="DB297" s="628">
        <f t="shared" si="751"/>
        <v>19.790425926817427</v>
      </c>
      <c r="DC297" s="628"/>
      <c r="DD297" s="628"/>
      <c r="DE297" s="628"/>
      <c r="DF297" s="628"/>
      <c r="DG297" s="628"/>
      <c r="DH297" s="628"/>
    </row>
    <row r="298" spans="1:112">
      <c r="CC298" s="102"/>
    </row>
    <row r="299" spans="1:112">
      <c r="C299" s="17" t="s">
        <v>848</v>
      </c>
      <c r="BY299" s="77">
        <f t="shared" ref="BY299:DB299" si="752">+(BY297/360)*SUM(BN11:BY11)</f>
        <v>3009.4382680283061</v>
      </c>
      <c r="BZ299" s="77">
        <f t="shared" si="752"/>
        <v>2177.6920046007995</v>
      </c>
      <c r="CA299" s="77">
        <f t="shared" si="752"/>
        <v>1741.5506294870058</v>
      </c>
      <c r="CB299" s="77">
        <f t="shared" si="752"/>
        <v>1919.3394032245653</v>
      </c>
      <c r="CC299" s="102">
        <f t="shared" si="752"/>
        <v>1578.8995828901436</v>
      </c>
      <c r="CD299" s="77">
        <f t="shared" si="752"/>
        <v>1916.8871874758638</v>
      </c>
      <c r="CE299" s="77">
        <f t="shared" si="752"/>
        <v>2012.3415212517364</v>
      </c>
      <c r="CF299" s="77">
        <f t="shared" si="752"/>
        <v>1672.5609177407575</v>
      </c>
      <c r="CG299" s="77">
        <f t="shared" si="752"/>
        <v>1906.5846386271328</v>
      </c>
      <c r="CH299" s="77">
        <f t="shared" si="752"/>
        <v>2351.4736965346497</v>
      </c>
      <c r="CI299" s="77">
        <f t="shared" si="752"/>
        <v>2612.2472364283731</v>
      </c>
      <c r="CJ299" s="77">
        <f t="shared" si="752"/>
        <v>1233.929880620032</v>
      </c>
      <c r="CK299" s="77">
        <f t="shared" si="752"/>
        <v>2576.7836998126095</v>
      </c>
      <c r="CL299" s="77">
        <f t="shared" si="752"/>
        <v>1420.6484170366386</v>
      </c>
      <c r="CM299" s="77">
        <f t="shared" si="752"/>
        <v>1749.6694853327406</v>
      </c>
      <c r="CN299" s="77">
        <f t="shared" si="752"/>
        <v>1482.1605986661737</v>
      </c>
      <c r="CO299" s="77">
        <f t="shared" si="752"/>
        <v>2117.7129171248143</v>
      </c>
      <c r="CP299" s="77">
        <f t="shared" si="752"/>
        <v>885.91458555216047</v>
      </c>
      <c r="CQ299" s="77">
        <f t="shared" si="752"/>
        <v>2381.8780279795251</v>
      </c>
      <c r="CR299" s="77">
        <f t="shared" si="752"/>
        <v>1320.7934115130879</v>
      </c>
      <c r="CS299" s="77">
        <f t="shared" si="752"/>
        <v>1955.4433898981515</v>
      </c>
      <c r="CT299" s="77">
        <f t="shared" si="752"/>
        <v>2285.0560017063981</v>
      </c>
      <c r="CU299" s="77">
        <f t="shared" si="752"/>
        <v>3330.5639525912411</v>
      </c>
      <c r="CV299" s="77">
        <f t="shared" si="752"/>
        <v>879.41650668259069</v>
      </c>
      <c r="CW299" s="77">
        <f t="shared" si="752"/>
        <v>2733.5009217613342</v>
      </c>
      <c r="CX299" s="77">
        <f t="shared" si="752"/>
        <v>2021.0939233257034</v>
      </c>
      <c r="CY299" s="77">
        <f t="shared" si="752"/>
        <v>3190.0922093687873</v>
      </c>
      <c r="CZ299" s="77">
        <f t="shared" si="752"/>
        <v>43.495720705493419</v>
      </c>
      <c r="DA299" s="77">
        <f t="shared" si="752"/>
        <v>400.56289177999281</v>
      </c>
      <c r="DB299" s="77">
        <f t="shared" si="752"/>
        <v>1003.2296930865259</v>
      </c>
      <c r="DC299" s="77"/>
      <c r="DD299" s="77"/>
      <c r="DE299" s="77"/>
      <c r="DF299" s="77"/>
      <c r="DG299" s="77"/>
      <c r="DH299" s="77"/>
    </row>
    <row r="300" spans="1:112">
      <c r="CC300"/>
    </row>
    <row r="301" spans="1:112">
      <c r="CC301"/>
    </row>
    <row r="302" spans="1:112">
      <c r="CC302"/>
    </row>
    <row r="303" spans="1:112">
      <c r="A303" s="17">
        <v>754505</v>
      </c>
      <c r="BY303" s="102">
        <v>0</v>
      </c>
      <c r="BZ303" s="102">
        <v>0</v>
      </c>
      <c r="CA303" s="102">
        <v>0</v>
      </c>
      <c r="CB303" s="102">
        <v>0</v>
      </c>
      <c r="CC303" s="102">
        <v>0</v>
      </c>
      <c r="CD303" s="102">
        <v>0</v>
      </c>
      <c r="CE303" s="102">
        <v>0</v>
      </c>
      <c r="CF303" s="102">
        <v>0</v>
      </c>
      <c r="CG303" s="102">
        <v>0</v>
      </c>
      <c r="CH303" s="102">
        <v>0</v>
      </c>
      <c r="CI303" s="102">
        <v>0</v>
      </c>
      <c r="CJ303" s="102">
        <v>0</v>
      </c>
      <c r="CK303" s="102">
        <v>0</v>
      </c>
      <c r="CL303" s="102">
        <v>0</v>
      </c>
      <c r="CM303" s="102">
        <v>0</v>
      </c>
      <c r="CN303" s="102">
        <v>0</v>
      </c>
      <c r="CO303" s="102">
        <v>0</v>
      </c>
      <c r="CP303" s="102">
        <v>0</v>
      </c>
      <c r="CQ303" s="102">
        <v>0</v>
      </c>
      <c r="CR303" s="102">
        <v>0</v>
      </c>
      <c r="CS303" s="102">
        <v>0</v>
      </c>
      <c r="CT303" s="102">
        <v>0</v>
      </c>
      <c r="CU303" s="102">
        <v>0</v>
      </c>
      <c r="CV303" s="102">
        <v>0</v>
      </c>
      <c r="CW303" s="102">
        <v>0</v>
      </c>
      <c r="CX303" s="102">
        <v>0</v>
      </c>
      <c r="CY303" s="102">
        <v>0</v>
      </c>
      <c r="CZ303" s="102">
        <v>0</v>
      </c>
      <c r="DA303" s="102">
        <v>0</v>
      </c>
      <c r="DB303" s="102">
        <v>0</v>
      </c>
      <c r="DC303" s="102"/>
      <c r="DD303" s="102"/>
      <c r="DE303" s="102"/>
      <c r="DF303" s="102"/>
      <c r="DG303" s="102"/>
      <c r="DH303" s="102"/>
    </row>
    <row r="304" spans="1:112">
      <c r="A304" s="884">
        <v>744510</v>
      </c>
      <c r="BY304" s="102">
        <v>0</v>
      </c>
      <c r="BZ304" s="102">
        <v>0</v>
      </c>
      <c r="CA304" s="102">
        <v>0</v>
      </c>
      <c r="CB304" s="102">
        <v>0</v>
      </c>
      <c r="CC304" s="102">
        <v>0</v>
      </c>
      <c r="CD304" s="102">
        <v>0</v>
      </c>
      <c r="CE304" s="102">
        <v>0</v>
      </c>
      <c r="CF304" s="102">
        <v>0</v>
      </c>
      <c r="CG304" s="102">
        <v>0</v>
      </c>
      <c r="CH304" s="102">
        <v>0</v>
      </c>
      <c r="CI304" s="102">
        <v>0</v>
      </c>
      <c r="CJ304" s="102">
        <v>0</v>
      </c>
      <c r="CK304" s="102">
        <v>0</v>
      </c>
      <c r="CL304" s="102">
        <v>0</v>
      </c>
      <c r="CM304" s="102">
        <v>0</v>
      </c>
      <c r="CN304" s="102">
        <v>0</v>
      </c>
      <c r="CO304" s="102">
        <v>0</v>
      </c>
      <c r="CP304" s="102">
        <v>0</v>
      </c>
      <c r="CQ304" s="102">
        <v>0</v>
      </c>
      <c r="CR304" s="102">
        <v>0</v>
      </c>
      <c r="CS304" s="102">
        <v>0</v>
      </c>
      <c r="CT304" s="102">
        <v>0</v>
      </c>
      <c r="CU304" s="102">
        <v>0</v>
      </c>
      <c r="CV304" s="102">
        <v>0</v>
      </c>
      <c r="CW304" s="102">
        <v>0</v>
      </c>
      <c r="CX304" s="102">
        <v>0</v>
      </c>
      <c r="CY304" s="102">
        <v>0</v>
      </c>
      <c r="CZ304" s="102">
        <v>0</v>
      </c>
      <c r="DA304" s="102">
        <v>0</v>
      </c>
      <c r="DB304" s="102">
        <v>0</v>
      </c>
      <c r="DC304" s="102"/>
      <c r="DD304" s="102"/>
      <c r="DE304" s="102"/>
      <c r="DF304" s="102"/>
      <c r="DG304" s="102"/>
      <c r="DH304" s="102"/>
    </row>
    <row r="305" spans="1:112">
      <c r="A305" s="17">
        <f t="shared" ref="A305:A310" si="753">+A304+5</f>
        <v>744515</v>
      </c>
      <c r="BY305" s="102">
        <v>0</v>
      </c>
      <c r="BZ305" s="102">
        <v>0</v>
      </c>
      <c r="CA305" s="102">
        <v>0</v>
      </c>
      <c r="CB305" s="102">
        <v>0</v>
      </c>
      <c r="CC305" s="102">
        <v>0</v>
      </c>
      <c r="CD305" s="102">
        <v>0</v>
      </c>
      <c r="CE305" s="102">
        <v>0</v>
      </c>
      <c r="CF305" s="102">
        <v>0</v>
      </c>
      <c r="CG305" s="102">
        <v>0</v>
      </c>
      <c r="CH305" s="102">
        <v>0</v>
      </c>
      <c r="CI305" s="102">
        <v>0</v>
      </c>
      <c r="CJ305" s="102">
        <v>0</v>
      </c>
      <c r="CK305" s="102">
        <v>0</v>
      </c>
      <c r="CL305" s="102">
        <v>0</v>
      </c>
      <c r="CM305" s="102">
        <v>0</v>
      </c>
      <c r="CN305" s="102">
        <v>0</v>
      </c>
      <c r="CO305" s="102">
        <v>0</v>
      </c>
      <c r="CP305" s="102">
        <v>0</v>
      </c>
      <c r="CQ305" s="102">
        <v>0</v>
      </c>
      <c r="CR305" s="102">
        <v>0</v>
      </c>
      <c r="CS305" s="102">
        <v>0</v>
      </c>
      <c r="CT305" s="102">
        <v>0</v>
      </c>
      <c r="CU305" s="102">
        <v>0</v>
      </c>
      <c r="CV305" s="102">
        <v>0</v>
      </c>
      <c r="CW305" s="102">
        <v>0</v>
      </c>
      <c r="CX305" s="102">
        <v>0</v>
      </c>
      <c r="CY305" s="102">
        <v>0</v>
      </c>
      <c r="CZ305" s="102">
        <v>0</v>
      </c>
      <c r="DA305" s="102">
        <v>0</v>
      </c>
      <c r="DB305" s="102">
        <v>0</v>
      </c>
      <c r="DC305" s="102"/>
      <c r="DD305" s="102"/>
      <c r="DE305" s="102"/>
      <c r="DF305" s="102"/>
      <c r="DG305" s="102"/>
      <c r="DH305" s="102"/>
    </row>
    <row r="306" spans="1:112">
      <c r="A306" s="17">
        <f t="shared" si="753"/>
        <v>744520</v>
      </c>
      <c r="C306" s="1058" t="s">
        <v>849</v>
      </c>
      <c r="BY306" s="102">
        <v>0</v>
      </c>
      <c r="BZ306" s="102">
        <v>0</v>
      </c>
      <c r="CA306" s="102">
        <v>0</v>
      </c>
      <c r="CB306" s="102">
        <v>0</v>
      </c>
      <c r="CC306" s="102">
        <v>-0.01</v>
      </c>
      <c r="CD306" s="102">
        <v>0</v>
      </c>
      <c r="CE306" s="102">
        <v>-3.4</v>
      </c>
      <c r="CF306" s="102">
        <v>3.4</v>
      </c>
      <c r="CG306" s="102">
        <v>0</v>
      </c>
      <c r="CH306" s="102">
        <v>0</v>
      </c>
      <c r="CI306" s="102">
        <v>0</v>
      </c>
      <c r="CJ306" s="102">
        <v>0</v>
      </c>
      <c r="CK306" s="102">
        <v>0</v>
      </c>
      <c r="CL306" s="102">
        <v>0</v>
      </c>
      <c r="CM306" s="102">
        <v>0</v>
      </c>
      <c r="CN306" s="102">
        <v>0</v>
      </c>
      <c r="CO306" s="102">
        <v>0</v>
      </c>
      <c r="CP306" s="102">
        <v>0</v>
      </c>
      <c r="CQ306" s="102">
        <v>0</v>
      </c>
      <c r="CR306" s="102">
        <v>-6.4000000000000001E-2</v>
      </c>
      <c r="CS306" s="102">
        <v>0</v>
      </c>
      <c r="CT306" s="102">
        <v>0</v>
      </c>
      <c r="CU306" s="102">
        <v>0</v>
      </c>
      <c r="CV306" s="102">
        <v>0</v>
      </c>
      <c r="CW306" s="102">
        <v>0</v>
      </c>
      <c r="CX306" s="102">
        <v>0</v>
      </c>
      <c r="CY306" s="102">
        <v>0</v>
      </c>
      <c r="CZ306" s="102">
        <v>0</v>
      </c>
      <c r="DA306" s="102">
        <v>0</v>
      </c>
      <c r="DB306" s="102">
        <v>0</v>
      </c>
      <c r="DC306" s="102"/>
      <c r="DD306" s="102"/>
      <c r="DE306" s="102"/>
      <c r="DF306" s="102"/>
      <c r="DG306" s="102"/>
      <c r="DH306" s="102"/>
    </row>
    <row r="307" spans="1:112">
      <c r="A307" s="17">
        <f t="shared" si="753"/>
        <v>744525</v>
      </c>
      <c r="C307" s="1058" t="s">
        <v>850</v>
      </c>
      <c r="BY307" s="102">
        <v>0</v>
      </c>
      <c r="BZ307" s="102">
        <v>0</v>
      </c>
      <c r="CA307" s="102">
        <v>0</v>
      </c>
      <c r="CB307" s="102">
        <v>0</v>
      </c>
      <c r="CC307" s="102">
        <v>0</v>
      </c>
      <c r="CD307" s="102">
        <v>0</v>
      </c>
      <c r="CE307" s="102">
        <v>-1.1755</v>
      </c>
      <c r="CF307" s="102">
        <v>1.1755</v>
      </c>
      <c r="CG307" s="102">
        <v>-0.46</v>
      </c>
      <c r="CH307" s="102">
        <v>0</v>
      </c>
      <c r="CI307" s="102">
        <v>-0.17796045000000002</v>
      </c>
      <c r="CJ307" s="102">
        <v>-1.99</v>
      </c>
      <c r="CK307" s="102">
        <v>-1.07995E-2</v>
      </c>
      <c r="CL307" s="102">
        <v>0</v>
      </c>
      <c r="CM307" s="102">
        <v>0</v>
      </c>
      <c r="CN307" s="102">
        <v>0</v>
      </c>
      <c r="CO307" s="102">
        <v>0</v>
      </c>
      <c r="CP307" s="102">
        <v>-0.30859999999999999</v>
      </c>
      <c r="CQ307" s="102">
        <v>-0.318075</v>
      </c>
      <c r="CR307" s="102">
        <v>0</v>
      </c>
      <c r="CS307" s="102">
        <v>-0.39369999999999999</v>
      </c>
      <c r="CT307" s="102">
        <v>-2.8000000000000001E-2</v>
      </c>
      <c r="CU307" s="102">
        <v>0</v>
      </c>
      <c r="CV307" s="102">
        <v>-0.26609521000000003</v>
      </c>
      <c r="CW307" s="102">
        <v>-0.54010000000000002</v>
      </c>
      <c r="CX307" s="102">
        <v>0</v>
      </c>
      <c r="CY307" s="102">
        <v>0</v>
      </c>
      <c r="CZ307" s="102">
        <v>0</v>
      </c>
      <c r="DA307" s="102">
        <v>0</v>
      </c>
      <c r="DB307" s="102">
        <v>-9.1999999999999998E-2</v>
      </c>
      <c r="DC307" s="102"/>
      <c r="DD307" s="102"/>
      <c r="DE307" s="102"/>
      <c r="DF307" s="102"/>
      <c r="DG307" s="102"/>
      <c r="DH307" s="102"/>
    </row>
    <row r="308" spans="1:112">
      <c r="A308" s="17">
        <f t="shared" si="753"/>
        <v>744530</v>
      </c>
      <c r="C308" s="1058" t="s">
        <v>851</v>
      </c>
      <c r="BY308" s="102">
        <v>31.519138000000002</v>
      </c>
      <c r="BZ308" s="102">
        <v>8.9255089999999999</v>
      </c>
      <c r="CA308" s="102">
        <v>70.796949999999995</v>
      </c>
      <c r="CB308" s="102">
        <v>15.210231000000004</v>
      </c>
      <c r="CC308" s="102">
        <v>1.930758</v>
      </c>
      <c r="CD308" s="102">
        <v>32.048088999999997</v>
      </c>
      <c r="CE308" s="102">
        <v>17.164634</v>
      </c>
      <c r="CF308" s="102">
        <v>48.586128250000009</v>
      </c>
      <c r="CG308" s="102">
        <v>-7.7248799999999997</v>
      </c>
      <c r="CH308" s="102">
        <v>-13.474595449999995</v>
      </c>
      <c r="CI308" s="102">
        <v>-26.127813539999998</v>
      </c>
      <c r="CJ308" s="102">
        <v>-8.1396853199999981</v>
      </c>
      <c r="CK308" s="102">
        <v>-16.808454820000001</v>
      </c>
      <c r="CL308" s="102">
        <v>-19.9689212</v>
      </c>
      <c r="CM308" s="102">
        <v>-9.0541584900000007</v>
      </c>
      <c r="CN308" s="102">
        <v>-13.915666880000002</v>
      </c>
      <c r="CO308" s="102">
        <v>-24.557796769999999</v>
      </c>
      <c r="CP308" s="102">
        <v>-1.6400998100000002</v>
      </c>
      <c r="CQ308" s="102">
        <v>-10.85158148</v>
      </c>
      <c r="CR308" s="102">
        <v>-19.947645420000001</v>
      </c>
      <c r="CS308" s="102">
        <v>-11.037976</v>
      </c>
      <c r="CT308" s="102">
        <v>-4.7511754499999999</v>
      </c>
      <c r="CU308" s="102">
        <v>-16.261321559999999</v>
      </c>
      <c r="CV308" s="102">
        <v>-10.027589220000001</v>
      </c>
      <c r="CW308" s="102">
        <v>-10.36245864</v>
      </c>
      <c r="CX308" s="102">
        <v>-18.736691530000002</v>
      </c>
      <c r="CY308" s="102">
        <v>-4.0612479800000001</v>
      </c>
      <c r="CZ308" s="102">
        <v>-4.9408859999999999</v>
      </c>
      <c r="DA308" s="102">
        <v>-2.3675890000000002</v>
      </c>
      <c r="DB308" s="102">
        <v>-2.835089</v>
      </c>
      <c r="DC308" s="102"/>
      <c r="DD308" s="102"/>
      <c r="DE308" s="102"/>
      <c r="DF308" s="102"/>
      <c r="DG308" s="102"/>
      <c r="DH308" s="102"/>
    </row>
    <row r="309" spans="1:112">
      <c r="A309" s="17">
        <f t="shared" si="753"/>
        <v>744535</v>
      </c>
      <c r="C309" s="1058" t="s">
        <v>852</v>
      </c>
      <c r="BY309" s="102">
        <v>-78.33034606999999</v>
      </c>
      <c r="BZ309" s="102">
        <v>-32.854851490000001</v>
      </c>
      <c r="CA309" s="102">
        <v>-109.95221594</v>
      </c>
      <c r="CB309" s="102">
        <v>-41.882151979999996</v>
      </c>
      <c r="CC309" s="102">
        <v>-7.2142073199999999</v>
      </c>
      <c r="CD309" s="102">
        <v>-61.499565390000001</v>
      </c>
      <c r="CE309" s="102">
        <v>-60.191078390000001</v>
      </c>
      <c r="CF309" s="102">
        <v>-88.082491669999996</v>
      </c>
      <c r="CG309" s="102">
        <v>-38.525172299999994</v>
      </c>
      <c r="CH309" s="102">
        <v>-28.574414879999999</v>
      </c>
      <c r="CI309" s="102">
        <v>-43.570527409999997</v>
      </c>
      <c r="CJ309" s="102">
        <v>-45.318165239999999</v>
      </c>
      <c r="CK309" s="102">
        <v>-14.997786300000001</v>
      </c>
      <c r="CL309" s="102">
        <v>-56.71773864</v>
      </c>
      <c r="CM309" s="102">
        <v>-27.446206290000006</v>
      </c>
      <c r="CN309" s="102">
        <v>-44.047476930000002</v>
      </c>
      <c r="CO309" s="102">
        <v>-34.758179009999999</v>
      </c>
      <c r="CP309" s="102">
        <v>-25.928027480000001</v>
      </c>
      <c r="CQ309" s="102">
        <v>-26.1369848</v>
      </c>
      <c r="CR309" s="102">
        <v>-82.100963769999993</v>
      </c>
      <c r="CS309" s="102">
        <v>-18.249558820000001</v>
      </c>
      <c r="CT309" s="102">
        <v>-30.001840130000001</v>
      </c>
      <c r="CU309" s="102">
        <v>-89.551863620000006</v>
      </c>
      <c r="CV309" s="102">
        <v>-32.176563460000004</v>
      </c>
      <c r="CW309" s="102">
        <v>-46.129037279999999</v>
      </c>
      <c r="CX309" s="102">
        <v>-13.822371310000001</v>
      </c>
      <c r="CY309" s="102">
        <v>-7.5609478899999996</v>
      </c>
      <c r="CZ309" s="102">
        <v>0</v>
      </c>
      <c r="DA309" s="102">
        <v>-10</v>
      </c>
      <c r="DB309" s="102">
        <v>-10.952500000000001</v>
      </c>
      <c r="DC309" s="102"/>
      <c r="DD309" s="102"/>
      <c r="DE309" s="102"/>
      <c r="DF309" s="102"/>
      <c r="DG309" s="102"/>
      <c r="DH309" s="102"/>
    </row>
    <row r="310" spans="1:112">
      <c r="A310" s="17">
        <f t="shared" si="753"/>
        <v>744540</v>
      </c>
      <c r="BY310" s="102">
        <v>0</v>
      </c>
      <c r="BZ310" s="102">
        <v>0</v>
      </c>
      <c r="CA310" s="102">
        <v>0</v>
      </c>
      <c r="CB310" s="102">
        <v>0</v>
      </c>
      <c r="CC310" s="102">
        <v>0</v>
      </c>
      <c r="CD310" s="102">
        <v>0</v>
      </c>
      <c r="CE310" s="102">
        <v>0</v>
      </c>
      <c r="CF310" s="102">
        <v>0</v>
      </c>
      <c r="CG310" s="102">
        <v>0</v>
      </c>
      <c r="CH310" s="102">
        <v>0</v>
      </c>
      <c r="CI310" s="102">
        <v>0</v>
      </c>
      <c r="CJ310" s="102">
        <v>0</v>
      </c>
      <c r="CK310" s="102">
        <v>0</v>
      </c>
      <c r="CL310" s="102">
        <v>0</v>
      </c>
      <c r="CM310" s="102">
        <v>0</v>
      </c>
      <c r="CN310" s="102">
        <v>0</v>
      </c>
      <c r="CO310" s="102">
        <v>0</v>
      </c>
      <c r="CP310" s="102">
        <v>0</v>
      </c>
      <c r="CQ310" s="102">
        <v>0</v>
      </c>
      <c r="CR310" s="102">
        <v>0</v>
      </c>
      <c r="CS310" s="102">
        <v>0</v>
      </c>
      <c r="CT310" s="102">
        <v>0</v>
      </c>
      <c r="CU310" s="102">
        <v>0</v>
      </c>
      <c r="CV310" s="102">
        <v>0</v>
      </c>
      <c r="CW310" s="102">
        <v>0</v>
      </c>
      <c r="CX310" s="102">
        <v>0</v>
      </c>
      <c r="CY310" s="102">
        <v>0</v>
      </c>
      <c r="CZ310" s="102">
        <v>0</v>
      </c>
      <c r="DA310" s="102">
        <v>0</v>
      </c>
      <c r="DB310" s="102">
        <v>0</v>
      </c>
      <c r="DC310" s="102"/>
      <c r="DD310" s="102"/>
      <c r="DE310" s="102"/>
      <c r="DF310" s="102"/>
      <c r="DG310" s="102"/>
      <c r="DH310" s="102"/>
    </row>
    <row r="311" spans="1:112">
      <c r="CC311"/>
    </row>
    <row r="312" spans="1:112">
      <c r="CC312"/>
    </row>
    <row r="313" spans="1:112">
      <c r="CC313"/>
    </row>
    <row r="314" spans="1:112">
      <c r="CC314"/>
    </row>
    <row r="315" spans="1:112">
      <c r="CC315"/>
    </row>
    <row r="316" spans="1:112">
      <c r="CC316"/>
    </row>
    <row r="317" spans="1:112" hidden="1">
      <c r="CC317"/>
    </row>
    <row r="318" spans="1:112" hidden="1">
      <c r="CC318"/>
    </row>
    <row r="319" spans="1:112" hidden="1">
      <c r="CC319"/>
    </row>
    <row r="320" spans="1:112" hidden="1">
      <c r="CC320"/>
    </row>
    <row r="321" spans="81:81" hidden="1">
      <c r="CC321"/>
    </row>
    <row r="322" spans="81:81" hidden="1">
      <c r="CC322"/>
    </row>
    <row r="323" spans="81:81" hidden="1">
      <c r="CC323"/>
    </row>
    <row r="324" spans="81:81" hidden="1">
      <c r="CC324"/>
    </row>
    <row r="325" spans="81:81" hidden="1">
      <c r="CC325"/>
    </row>
    <row r="326" spans="81:81" hidden="1">
      <c r="CC326"/>
    </row>
    <row r="327" spans="81:81" hidden="1">
      <c r="CC327"/>
    </row>
    <row r="328" spans="81:81" hidden="1">
      <c r="CC328"/>
    </row>
    <row r="329" spans="81:81" hidden="1">
      <c r="CC329"/>
    </row>
    <row r="330" spans="81:81" hidden="1">
      <c r="CC330"/>
    </row>
    <row r="331" spans="81:81" hidden="1">
      <c r="CC331"/>
    </row>
    <row r="332" spans="81:81" hidden="1">
      <c r="CC332"/>
    </row>
    <row r="333" spans="81:81" hidden="1">
      <c r="CC333"/>
    </row>
    <row r="334" spans="81:81" hidden="1">
      <c r="CC334"/>
    </row>
    <row r="335" spans="81:81" hidden="1">
      <c r="CC335"/>
    </row>
    <row r="336" spans="81:81" hidden="1">
      <c r="CC336"/>
    </row>
    <row r="337" spans="81:81" hidden="1">
      <c r="CC337"/>
    </row>
    <row r="338" spans="81:81" hidden="1">
      <c r="CC338"/>
    </row>
    <row r="339" spans="81:81" hidden="1">
      <c r="CC339"/>
    </row>
    <row r="340" spans="81:81" hidden="1">
      <c r="CC340"/>
    </row>
    <row r="341" spans="81:81" hidden="1">
      <c r="CC341"/>
    </row>
    <row r="342" spans="81:81" hidden="1">
      <c r="CC342"/>
    </row>
    <row r="343" spans="81:81" hidden="1">
      <c r="CC343"/>
    </row>
    <row r="344" spans="81:81" hidden="1">
      <c r="CC344"/>
    </row>
    <row r="345" spans="81:81" hidden="1">
      <c r="CC345"/>
    </row>
    <row r="346" spans="81:81" hidden="1">
      <c r="CC346"/>
    </row>
    <row r="347" spans="81:81" hidden="1">
      <c r="CC347"/>
    </row>
    <row r="348" spans="81:81" hidden="1">
      <c r="CC348"/>
    </row>
    <row r="349" spans="81:81" hidden="1">
      <c r="CC349"/>
    </row>
    <row r="350" spans="81:81" hidden="1">
      <c r="CC350"/>
    </row>
    <row r="351" spans="81:81" hidden="1">
      <c r="CC351"/>
    </row>
    <row r="352" spans="81:81" hidden="1">
      <c r="CC352"/>
    </row>
    <row r="353" spans="81:81" hidden="1">
      <c r="CC353"/>
    </row>
    <row r="354" spans="81:81" hidden="1">
      <c r="CC354"/>
    </row>
    <row r="355" spans="81:81" hidden="1">
      <c r="CC355"/>
    </row>
    <row r="356" spans="81:81" hidden="1">
      <c r="CC356"/>
    </row>
    <row r="357" spans="81:81" hidden="1">
      <c r="CC357"/>
    </row>
    <row r="358" spans="81:81" hidden="1">
      <c r="CC358"/>
    </row>
    <row r="359" spans="81:81" hidden="1">
      <c r="CC359"/>
    </row>
    <row r="360" spans="81:81" hidden="1">
      <c r="CC360"/>
    </row>
    <row r="361" spans="81:81" hidden="1">
      <c r="CC361"/>
    </row>
    <row r="362" spans="81:81" hidden="1">
      <c r="CC362"/>
    </row>
    <row r="363" spans="81:81" hidden="1">
      <c r="CC363"/>
    </row>
    <row r="364" spans="81:81" hidden="1">
      <c r="CC364"/>
    </row>
    <row r="365" spans="81:81" hidden="1">
      <c r="CC365"/>
    </row>
    <row r="366" spans="81:81" hidden="1">
      <c r="CC366"/>
    </row>
    <row r="367" spans="81:81" hidden="1">
      <c r="CC367"/>
    </row>
    <row r="368" spans="81:81" hidden="1">
      <c r="CC368"/>
    </row>
    <row r="369" spans="81:81" hidden="1">
      <c r="CC369"/>
    </row>
    <row r="370" spans="81:81" hidden="1">
      <c r="CC370"/>
    </row>
    <row r="371" spans="81:81" hidden="1">
      <c r="CC371"/>
    </row>
    <row r="372" spans="81:81" hidden="1">
      <c r="CC372"/>
    </row>
    <row r="373" spans="81:81" hidden="1">
      <c r="CC373"/>
    </row>
    <row r="374" spans="81:81" hidden="1">
      <c r="CC374"/>
    </row>
    <row r="375" spans="81:81" hidden="1">
      <c r="CC375"/>
    </row>
    <row r="376" spans="81:81" hidden="1">
      <c r="CC376"/>
    </row>
    <row r="377" spans="81:81" hidden="1">
      <c r="CC377"/>
    </row>
    <row r="378" spans="81:81" hidden="1">
      <c r="CC378"/>
    </row>
    <row r="379" spans="81:81" hidden="1">
      <c r="CC379"/>
    </row>
    <row r="380" spans="81:81" hidden="1">
      <c r="CC380"/>
    </row>
    <row r="381" spans="81:81" hidden="1">
      <c r="CC381"/>
    </row>
    <row r="382" spans="81:81" hidden="1">
      <c r="CC382"/>
    </row>
    <row r="383" spans="81:81" hidden="1">
      <c r="CC383"/>
    </row>
    <row r="384" spans="81:81" hidden="1">
      <c r="CC384"/>
    </row>
    <row r="385" spans="81:81" hidden="1">
      <c r="CC385"/>
    </row>
    <row r="386" spans="81:81" hidden="1">
      <c r="CC386"/>
    </row>
    <row r="387" spans="81:81" hidden="1">
      <c r="CC387"/>
    </row>
    <row r="388" spans="81:81" hidden="1">
      <c r="CC388"/>
    </row>
    <row r="389" spans="81:81" hidden="1">
      <c r="CC389"/>
    </row>
    <row r="390" spans="81:81" hidden="1">
      <c r="CC390"/>
    </row>
    <row r="391" spans="81:81" hidden="1">
      <c r="CC391"/>
    </row>
    <row r="392" spans="81:81" hidden="1">
      <c r="CC392"/>
    </row>
    <row r="393" spans="81:81" hidden="1">
      <c r="CC393"/>
    </row>
    <row r="394" spans="81:81" hidden="1">
      <c r="CC394"/>
    </row>
    <row r="395" spans="81:81" hidden="1">
      <c r="CC395"/>
    </row>
    <row r="396" spans="81:81" hidden="1">
      <c r="CC396"/>
    </row>
    <row r="397" spans="81:81" hidden="1">
      <c r="CC397"/>
    </row>
    <row r="398" spans="81:81" hidden="1">
      <c r="CC398"/>
    </row>
    <row r="399" spans="81:81" hidden="1">
      <c r="CC399"/>
    </row>
    <row r="400" spans="81:81" hidden="1">
      <c r="CC400"/>
    </row>
    <row r="401" spans="81:81" hidden="1">
      <c r="CC401"/>
    </row>
    <row r="402" spans="81:81" hidden="1">
      <c r="CC402"/>
    </row>
    <row r="403" spans="81:81" hidden="1">
      <c r="CC403"/>
    </row>
    <row r="404" spans="81:81" hidden="1">
      <c r="CC404"/>
    </row>
    <row r="405" spans="81:81" hidden="1">
      <c r="CC405"/>
    </row>
    <row r="406" spans="81:81" hidden="1">
      <c r="CC406"/>
    </row>
    <row r="407" spans="81:81" hidden="1">
      <c r="CC407"/>
    </row>
    <row r="408" spans="81:81" hidden="1">
      <c r="CC408"/>
    </row>
    <row r="409" spans="81:81" hidden="1">
      <c r="CC409"/>
    </row>
    <row r="410" spans="81:81" hidden="1">
      <c r="CC410"/>
    </row>
    <row r="411" spans="81:81" hidden="1">
      <c r="CC411"/>
    </row>
    <row r="412" spans="81:81" hidden="1">
      <c r="CC412"/>
    </row>
    <row r="413" spans="81:81" hidden="1">
      <c r="CC413"/>
    </row>
    <row r="414" spans="81:81" hidden="1">
      <c r="CC414"/>
    </row>
    <row r="415" spans="81:81" hidden="1">
      <c r="CC415"/>
    </row>
    <row r="416" spans="81:81" hidden="1">
      <c r="CC416"/>
    </row>
    <row r="417" spans="81:81" hidden="1">
      <c r="CC417"/>
    </row>
    <row r="418" spans="81:81" hidden="1">
      <c r="CC418"/>
    </row>
    <row r="419" spans="81:81" hidden="1">
      <c r="CC419"/>
    </row>
    <row r="420" spans="81:81" hidden="1">
      <c r="CC420"/>
    </row>
    <row r="421" spans="81:81" hidden="1">
      <c r="CC421"/>
    </row>
    <row r="422" spans="81:81" hidden="1">
      <c r="CC422"/>
    </row>
    <row r="423" spans="81:81" hidden="1">
      <c r="CC423"/>
    </row>
    <row r="424" spans="81:81" hidden="1">
      <c r="CC424"/>
    </row>
    <row r="425" spans="81:81" hidden="1">
      <c r="CC425"/>
    </row>
    <row r="426" spans="81:81" hidden="1">
      <c r="CC426"/>
    </row>
    <row r="427" spans="81:81" hidden="1">
      <c r="CC427"/>
    </row>
    <row r="428" spans="81:81" hidden="1">
      <c r="CC428"/>
    </row>
    <row r="429" spans="81:81" hidden="1">
      <c r="CC429"/>
    </row>
    <row r="430" spans="81:81" hidden="1">
      <c r="CC430"/>
    </row>
    <row r="431" spans="81:81" hidden="1">
      <c r="CC431"/>
    </row>
    <row r="432" spans="81:81" hidden="1">
      <c r="CC432"/>
    </row>
    <row r="433" spans="81:81" hidden="1">
      <c r="CC433"/>
    </row>
    <row r="434" spans="81:81" hidden="1">
      <c r="CC434"/>
    </row>
    <row r="435" spans="81:81" hidden="1">
      <c r="CC435"/>
    </row>
    <row r="436" spans="81:81" hidden="1">
      <c r="CC436"/>
    </row>
    <row r="437" spans="81:81" hidden="1">
      <c r="CC437"/>
    </row>
    <row r="438" spans="81:81" hidden="1">
      <c r="CC438"/>
    </row>
    <row r="439" spans="81:81" hidden="1">
      <c r="CC439"/>
    </row>
    <row r="440" spans="81:81" hidden="1">
      <c r="CC440"/>
    </row>
    <row r="441" spans="81:81" hidden="1">
      <c r="CC441"/>
    </row>
    <row r="442" spans="81:81" hidden="1">
      <c r="CC442"/>
    </row>
    <row r="443" spans="81:81" hidden="1">
      <c r="CC443"/>
    </row>
    <row r="444" spans="81:81" hidden="1">
      <c r="CC444"/>
    </row>
    <row r="445" spans="81:81" hidden="1">
      <c r="CC445"/>
    </row>
    <row r="446" spans="81:81" hidden="1">
      <c r="CC446"/>
    </row>
    <row r="447" spans="81:81" hidden="1">
      <c r="CC447"/>
    </row>
    <row r="448" spans="81:81" hidden="1">
      <c r="CC448"/>
    </row>
    <row r="449" spans="81:81" hidden="1">
      <c r="CC449"/>
    </row>
    <row r="450" spans="81:81" hidden="1">
      <c r="CC450"/>
    </row>
    <row r="451" spans="81:81" hidden="1">
      <c r="CC451"/>
    </row>
    <row r="452" spans="81:81" hidden="1">
      <c r="CC452"/>
    </row>
    <row r="453" spans="81:81" hidden="1">
      <c r="CC453"/>
    </row>
    <row r="454" spans="81:81" hidden="1">
      <c r="CC454"/>
    </row>
    <row r="455" spans="81:81" hidden="1">
      <c r="CC455"/>
    </row>
    <row r="456" spans="81:81" hidden="1">
      <c r="CC456"/>
    </row>
    <row r="457" spans="81:81" hidden="1">
      <c r="CC457"/>
    </row>
    <row r="458" spans="81:81" hidden="1">
      <c r="CC458"/>
    </row>
    <row r="459" spans="81:81" hidden="1">
      <c r="CC459"/>
    </row>
    <row r="460" spans="81:81" hidden="1">
      <c r="CC460"/>
    </row>
    <row r="461" spans="81:81" hidden="1">
      <c r="CC461"/>
    </row>
    <row r="462" spans="81:81" hidden="1">
      <c r="CC462"/>
    </row>
    <row r="463" spans="81:81" hidden="1">
      <c r="CC463"/>
    </row>
    <row r="464" spans="81:81" hidden="1">
      <c r="CC464"/>
    </row>
    <row r="465" spans="81:81" hidden="1">
      <c r="CC465"/>
    </row>
    <row r="466" spans="81:81" hidden="1">
      <c r="CC466"/>
    </row>
    <row r="467" spans="81:81" hidden="1">
      <c r="CC467"/>
    </row>
    <row r="468" spans="81:81" hidden="1">
      <c r="CC468"/>
    </row>
    <row r="469" spans="81:81" hidden="1">
      <c r="CC469"/>
    </row>
    <row r="470" spans="81:81" hidden="1">
      <c r="CC470"/>
    </row>
    <row r="471" spans="81:81" hidden="1">
      <c r="CC471"/>
    </row>
    <row r="472" spans="81:81" hidden="1">
      <c r="CC472"/>
    </row>
    <row r="473" spans="81:81" hidden="1">
      <c r="CC473"/>
    </row>
    <row r="474" spans="81:81" hidden="1">
      <c r="CC474"/>
    </row>
    <row r="475" spans="81:81" hidden="1">
      <c r="CC475"/>
    </row>
    <row r="476" spans="81:81" hidden="1">
      <c r="CC476"/>
    </row>
    <row r="477" spans="81:81" hidden="1">
      <c r="CC477"/>
    </row>
    <row r="478" spans="81:81" hidden="1">
      <c r="CC478"/>
    </row>
    <row r="479" spans="81:81" hidden="1">
      <c r="CC479"/>
    </row>
    <row r="480" spans="81:81" hidden="1">
      <c r="CC480"/>
    </row>
    <row r="481" spans="81:81" hidden="1">
      <c r="CC481"/>
    </row>
    <row r="482" spans="81:81" hidden="1">
      <c r="CC482"/>
    </row>
    <row r="483" spans="81:81" hidden="1">
      <c r="CC483"/>
    </row>
    <row r="484" spans="81:81" hidden="1">
      <c r="CC484"/>
    </row>
    <row r="485" spans="81:81" hidden="1">
      <c r="CC485"/>
    </row>
    <row r="486" spans="81:81" hidden="1">
      <c r="CC486"/>
    </row>
    <row r="487" spans="81:81" hidden="1">
      <c r="CC487"/>
    </row>
    <row r="488" spans="81:81" hidden="1">
      <c r="CC488"/>
    </row>
    <row r="489" spans="81:81" hidden="1">
      <c r="CC489"/>
    </row>
    <row r="490" spans="81:81" hidden="1">
      <c r="CC490"/>
    </row>
    <row r="491" spans="81:81" hidden="1">
      <c r="CC491"/>
    </row>
    <row r="492" spans="81:81" hidden="1">
      <c r="CC492"/>
    </row>
    <row r="493" spans="81:81" hidden="1">
      <c r="CC493"/>
    </row>
    <row r="494" spans="81:81" hidden="1">
      <c r="CC494"/>
    </row>
    <row r="495" spans="81:81" hidden="1">
      <c r="CC495"/>
    </row>
    <row r="496" spans="81:81" hidden="1">
      <c r="CC496"/>
    </row>
    <row r="497" spans="81:81" hidden="1">
      <c r="CC497"/>
    </row>
    <row r="498" spans="81:81" hidden="1">
      <c r="CC498"/>
    </row>
    <row r="499" spans="81:81" hidden="1">
      <c r="CC499"/>
    </row>
    <row r="500" spans="81:81" hidden="1">
      <c r="CC500"/>
    </row>
    <row r="501" spans="81:81" hidden="1">
      <c r="CC501"/>
    </row>
    <row r="502" spans="81:81" hidden="1">
      <c r="CC502"/>
    </row>
    <row r="503" spans="81:81" hidden="1">
      <c r="CC503"/>
    </row>
    <row r="504" spans="81:81" hidden="1">
      <c r="CC504"/>
    </row>
    <row r="505" spans="81:81" hidden="1">
      <c r="CC505"/>
    </row>
    <row r="506" spans="81:81" hidden="1">
      <c r="CC506"/>
    </row>
    <row r="507" spans="81:81" hidden="1">
      <c r="CC507"/>
    </row>
    <row r="508" spans="81:81" hidden="1">
      <c r="CC508"/>
    </row>
    <row r="509" spans="81:81" hidden="1">
      <c r="CC509"/>
    </row>
    <row r="510" spans="81:81" hidden="1">
      <c r="CC510"/>
    </row>
    <row r="511" spans="81:81" hidden="1">
      <c r="CC511"/>
    </row>
    <row r="512" spans="81:81" hidden="1">
      <c r="CC512"/>
    </row>
    <row r="513" spans="81:81" hidden="1">
      <c r="CC513"/>
    </row>
    <row r="514" spans="81:81" hidden="1">
      <c r="CC514"/>
    </row>
    <row r="515" spans="81:81" hidden="1">
      <c r="CC515"/>
    </row>
    <row r="516" spans="81:81" hidden="1">
      <c r="CC516"/>
    </row>
    <row r="517" spans="81:81" hidden="1">
      <c r="CC517"/>
    </row>
    <row r="518" spans="81:81" hidden="1">
      <c r="CC518"/>
    </row>
    <row r="519" spans="81:81" hidden="1">
      <c r="CC519"/>
    </row>
    <row r="520" spans="81:81" hidden="1">
      <c r="CC520"/>
    </row>
    <row r="521" spans="81:81" hidden="1">
      <c r="CC521"/>
    </row>
    <row r="522" spans="81:81" hidden="1">
      <c r="CC522"/>
    </row>
    <row r="523" spans="81:81" hidden="1">
      <c r="CC523"/>
    </row>
    <row r="524" spans="81:81" hidden="1">
      <c r="CC524"/>
    </row>
    <row r="525" spans="81:81" hidden="1">
      <c r="CC525"/>
    </row>
    <row r="526" spans="81:81" hidden="1">
      <c r="CC526"/>
    </row>
    <row r="527" spans="81:81" hidden="1">
      <c r="CC527"/>
    </row>
    <row r="528" spans="81:81" hidden="1">
      <c r="CC528"/>
    </row>
    <row r="529" spans="81:81" hidden="1">
      <c r="CC529"/>
    </row>
    <row r="530" spans="81:81" hidden="1">
      <c r="CC530"/>
    </row>
    <row r="531" spans="81:81" hidden="1">
      <c r="CC531"/>
    </row>
    <row r="532" spans="81:81" hidden="1">
      <c r="CC532"/>
    </row>
    <row r="533" spans="81:81" hidden="1">
      <c r="CC533"/>
    </row>
    <row r="534" spans="81:81" hidden="1">
      <c r="CC534"/>
    </row>
    <row r="535" spans="81:81" hidden="1">
      <c r="CC535"/>
    </row>
    <row r="536" spans="81:81" hidden="1">
      <c r="CC536"/>
    </row>
    <row r="537" spans="81:81" hidden="1">
      <c r="CC537"/>
    </row>
    <row r="538" spans="81:81" hidden="1">
      <c r="CC538"/>
    </row>
    <row r="539" spans="81:81" hidden="1">
      <c r="CC539"/>
    </row>
    <row r="540" spans="81:81" hidden="1">
      <c r="CC540"/>
    </row>
    <row r="541" spans="81:81" hidden="1">
      <c r="CC541"/>
    </row>
    <row r="542" spans="81:81" hidden="1">
      <c r="CC542"/>
    </row>
    <row r="543" spans="81:81" hidden="1">
      <c r="CC543"/>
    </row>
    <row r="544" spans="81:81" hidden="1">
      <c r="CC544"/>
    </row>
    <row r="545" spans="81:81" hidden="1">
      <c r="CC545"/>
    </row>
    <row r="546" spans="81:81" hidden="1">
      <c r="CC546"/>
    </row>
    <row r="547" spans="81:81" hidden="1">
      <c r="CC547"/>
    </row>
    <row r="548" spans="81:81" hidden="1">
      <c r="CC548"/>
    </row>
    <row r="549" spans="81:81" hidden="1">
      <c r="CC549"/>
    </row>
    <row r="550" spans="81:81" hidden="1">
      <c r="CC550"/>
    </row>
    <row r="551" spans="81:81" hidden="1">
      <c r="CC551"/>
    </row>
    <row r="552" spans="81:81" hidden="1">
      <c r="CC552"/>
    </row>
    <row r="553" spans="81:81" hidden="1">
      <c r="CC553"/>
    </row>
    <row r="554" spans="81:81" hidden="1">
      <c r="CC554"/>
    </row>
    <row r="555" spans="81:81" hidden="1">
      <c r="CC555"/>
    </row>
    <row r="556" spans="81:81" hidden="1">
      <c r="CC556"/>
    </row>
    <row r="557" spans="81:81" hidden="1">
      <c r="CC557"/>
    </row>
    <row r="558" spans="81:81" hidden="1">
      <c r="CC558"/>
    </row>
  </sheetData>
  <mergeCells count="27">
    <mergeCell ref="KR4:KZ4"/>
    <mergeCell ref="IG5:IN5"/>
    <mergeCell ref="IP4:IV4"/>
    <mergeCell ref="IX4:JD4"/>
    <mergeCell ref="JF4:JM4"/>
    <mergeCell ref="JO4:JY4"/>
    <mergeCell ref="KB4:KH4"/>
    <mergeCell ref="KJ4:KP4"/>
    <mergeCell ref="IG4:IN4"/>
    <mergeCell ref="FG4:FR4"/>
    <mergeCell ref="FS4:GD4"/>
    <mergeCell ref="GF4:GO4"/>
    <mergeCell ref="HA4:HI4"/>
    <mergeCell ref="HK4:HS4"/>
    <mergeCell ref="EU4:FF4"/>
    <mergeCell ref="E4:P4"/>
    <mergeCell ref="Q4:AB4"/>
    <mergeCell ref="AC4:AN4"/>
    <mergeCell ref="AO4:AZ4"/>
    <mergeCell ref="BA4:BL4"/>
    <mergeCell ref="BM4:BX4"/>
    <mergeCell ref="BY4:CJ4"/>
    <mergeCell ref="CK4:CV4"/>
    <mergeCell ref="DJ4:DU4"/>
    <mergeCell ref="DW4:EH4"/>
    <mergeCell ref="EI4:ET4"/>
    <mergeCell ref="CW4:DH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AE31E-E09D-4CEC-A13D-2F0EB511CEDE}">
  <dimension ref="B3:C8"/>
  <sheetViews>
    <sheetView workbookViewId="0">
      <selection activeCell="C3" sqref="C3"/>
    </sheetView>
  </sheetViews>
  <sheetFormatPr baseColWidth="10" defaultColWidth="11.453125" defaultRowHeight="14.5"/>
  <cols>
    <col min="2" max="2" width="26.7265625" customWidth="1"/>
    <col min="3" max="3" width="15" customWidth="1"/>
  </cols>
  <sheetData>
    <row r="3" spans="2:3">
      <c r="B3" s="1136" t="s">
        <v>853</v>
      </c>
      <c r="C3" s="1137">
        <v>3350000000</v>
      </c>
    </row>
    <row r="4" spans="2:3">
      <c r="B4" s="1136" t="s">
        <v>854</v>
      </c>
      <c r="C4" s="1137">
        <v>27987000</v>
      </c>
    </row>
    <row r="5" spans="2:3">
      <c r="B5" s="1136" t="s">
        <v>855</v>
      </c>
      <c r="C5" s="1138" t="s">
        <v>856</v>
      </c>
    </row>
    <row r="6" spans="2:3">
      <c r="B6" s="1136" t="s">
        <v>857</v>
      </c>
      <c r="C6" s="1139">
        <v>45809</v>
      </c>
    </row>
    <row r="8" spans="2:3">
      <c r="B8" t="s">
        <v>858</v>
      </c>
    </row>
  </sheetData>
  <protectedRanges>
    <protectedRange sqref="C3" name="Rango1_7_2_1"/>
  </protectedRange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46DCE-1698-4C54-854E-CBB6C629EE92}">
  <dimension ref="B2:T56"/>
  <sheetViews>
    <sheetView topLeftCell="A38" workbookViewId="0">
      <selection activeCell="G40" sqref="G40:G56"/>
    </sheetView>
  </sheetViews>
  <sheetFormatPr baseColWidth="10" defaultColWidth="11.453125" defaultRowHeight="14.5"/>
  <cols>
    <col min="5" max="5" width="10.453125" bestFit="1" customWidth="1"/>
    <col min="6" max="9" width="14.26953125" customWidth="1"/>
    <col min="10" max="10" width="13.453125" bestFit="1" customWidth="1"/>
    <col min="11" max="11" width="15.81640625" customWidth="1"/>
    <col min="18" max="18" width="15.81640625" customWidth="1"/>
    <col min="20" max="20" width="17.453125" customWidth="1"/>
  </cols>
  <sheetData>
    <row r="2" spans="2:20">
      <c r="B2" t="s">
        <v>859</v>
      </c>
      <c r="H2" t="s">
        <v>860</v>
      </c>
      <c r="M2" t="s">
        <v>861</v>
      </c>
    </row>
    <row r="3" spans="2:20" ht="52">
      <c r="B3" s="1117" t="s">
        <v>862</v>
      </c>
      <c r="C3" s="1117" t="s">
        <v>863</v>
      </c>
      <c r="D3" s="1117" t="s">
        <v>864</v>
      </c>
      <c r="E3" s="1117" t="s">
        <v>865</v>
      </c>
      <c r="F3" s="1118" t="s">
        <v>866</v>
      </c>
      <c r="G3" s="1117" t="s">
        <v>867</v>
      </c>
      <c r="H3" s="1119" t="s">
        <v>868</v>
      </c>
      <c r="I3" s="1119" t="s">
        <v>853</v>
      </c>
      <c r="J3" s="1120"/>
      <c r="K3" s="1121" t="s">
        <v>869</v>
      </c>
      <c r="M3" s="1117" t="s">
        <v>862</v>
      </c>
      <c r="N3" s="1117" t="s">
        <v>863</v>
      </c>
      <c r="O3" s="1117" t="s">
        <v>864</v>
      </c>
      <c r="P3" s="1117" t="s">
        <v>865</v>
      </c>
      <c r="Q3" s="1118" t="s">
        <v>866</v>
      </c>
      <c r="R3" s="1117" t="s">
        <v>867</v>
      </c>
      <c r="S3" s="1119" t="s">
        <v>868</v>
      </c>
      <c r="T3" s="1119" t="s">
        <v>853</v>
      </c>
    </row>
    <row r="4" spans="2:20">
      <c r="B4" s="1122">
        <v>1</v>
      </c>
      <c r="C4" s="1123">
        <v>2020</v>
      </c>
      <c r="D4" s="1124">
        <v>30</v>
      </c>
      <c r="E4" s="1125">
        <v>43860</v>
      </c>
      <c r="F4" s="1126">
        <v>0</v>
      </c>
      <c r="G4" s="1127">
        <v>0</v>
      </c>
      <c r="H4" s="1127">
        <v>24527475.025632817</v>
      </c>
      <c r="I4" s="1127">
        <v>3222000003.3672009</v>
      </c>
      <c r="J4" s="1128"/>
      <c r="K4" s="1127">
        <v>4206783.629931788</v>
      </c>
      <c r="M4" s="1122">
        <v>1</v>
      </c>
      <c r="N4" s="1123">
        <v>2020</v>
      </c>
      <c r="O4" s="1124">
        <v>30</v>
      </c>
      <c r="P4" s="1125">
        <v>43860</v>
      </c>
      <c r="Q4" s="1126">
        <v>0</v>
      </c>
      <c r="R4" s="1127">
        <v>0</v>
      </c>
      <c r="S4" s="1127">
        <v>24527475.025632817</v>
      </c>
      <c r="T4" s="1127">
        <v>3222000003.3672009</v>
      </c>
    </row>
    <row r="5" spans="2:20">
      <c r="B5" s="1122">
        <v>2</v>
      </c>
      <c r="C5" s="1123">
        <v>2020</v>
      </c>
      <c r="D5" s="1124">
        <v>31</v>
      </c>
      <c r="E5" s="1125">
        <v>43890</v>
      </c>
      <c r="F5" s="1126">
        <v>1.0676156572968934E-2</v>
      </c>
      <c r="G5" s="1127">
        <v>50000000</v>
      </c>
      <c r="H5" s="1127">
        <v>24527475.025632817</v>
      </c>
      <c r="I5" s="1127">
        <v>3172000003.3672009</v>
      </c>
      <c r="J5" s="1128"/>
      <c r="K5" s="1127">
        <v>4206783.629931788</v>
      </c>
      <c r="M5" s="1122">
        <v>2</v>
      </c>
      <c r="N5" s="1123">
        <v>2020</v>
      </c>
      <c r="O5" s="1124">
        <v>31</v>
      </c>
      <c r="P5" s="1125">
        <v>43890</v>
      </c>
      <c r="Q5" s="1126">
        <v>1.0676156572968934E-2</v>
      </c>
      <c r="R5" s="1127">
        <v>50000000</v>
      </c>
      <c r="S5" s="1127">
        <v>24527475.025632817</v>
      </c>
      <c r="T5" s="1127">
        <v>3172000003.3672009</v>
      </c>
    </row>
    <row r="6" spans="2:20">
      <c r="B6" s="1122">
        <v>3</v>
      </c>
      <c r="C6" s="1123">
        <v>2020</v>
      </c>
      <c r="D6" s="1124">
        <v>32</v>
      </c>
      <c r="E6" s="1125">
        <v>43920</v>
      </c>
      <c r="F6" s="1126">
        <v>0</v>
      </c>
      <c r="G6" s="1127">
        <v>0</v>
      </c>
      <c r="H6" s="1127">
        <v>24146850.025632817</v>
      </c>
      <c r="I6" s="1127">
        <v>3172000003.3672009</v>
      </c>
      <c r="J6" s="1128"/>
      <c r="K6" s="1127">
        <v>4206783.629931788</v>
      </c>
      <c r="M6" s="1122">
        <v>3</v>
      </c>
      <c r="N6" s="1123">
        <v>2020</v>
      </c>
      <c r="O6" s="1124">
        <v>32</v>
      </c>
      <c r="P6" s="1125">
        <v>43920</v>
      </c>
      <c r="Q6" s="1126">
        <v>0</v>
      </c>
      <c r="R6" s="1127">
        <v>0</v>
      </c>
      <c r="S6" s="1127">
        <v>24146850.025632817</v>
      </c>
      <c r="T6" s="1127">
        <v>3172000003.3672009</v>
      </c>
    </row>
    <row r="7" spans="2:20">
      <c r="B7" s="1122">
        <v>4</v>
      </c>
      <c r="C7" s="1123">
        <v>2020</v>
      </c>
      <c r="D7" s="1124">
        <v>33</v>
      </c>
      <c r="E7" s="1125">
        <v>43951</v>
      </c>
      <c r="F7" s="1126">
        <v>0</v>
      </c>
      <c r="G7" s="1127">
        <v>0</v>
      </c>
      <c r="H7" s="1127">
        <v>24146850.025632817</v>
      </c>
      <c r="I7" s="1127">
        <v>3172000003.3672009</v>
      </c>
      <c r="J7" s="1128"/>
      <c r="K7" s="1127">
        <v>4206783.629931788</v>
      </c>
      <c r="M7" s="1122">
        <v>4</v>
      </c>
      <c r="N7" s="1123">
        <v>2020</v>
      </c>
      <c r="O7" s="1124">
        <v>33</v>
      </c>
      <c r="P7" s="1125">
        <v>43951</v>
      </c>
      <c r="Q7" s="1126">
        <v>0</v>
      </c>
      <c r="R7" s="1127">
        <v>0</v>
      </c>
      <c r="S7" s="1127">
        <v>24146850.025632817</v>
      </c>
      <c r="T7" s="1127">
        <v>3172000003.3672009</v>
      </c>
    </row>
    <row r="8" spans="2:20">
      <c r="B8" s="1122">
        <v>5</v>
      </c>
      <c r="C8" s="1123">
        <v>2020</v>
      </c>
      <c r="D8" s="1124">
        <v>34</v>
      </c>
      <c r="E8" s="1125">
        <v>43981</v>
      </c>
      <c r="F8" s="1126">
        <v>0</v>
      </c>
      <c r="G8" s="1127">
        <v>0</v>
      </c>
      <c r="H8" s="1127">
        <v>24146850.025632817</v>
      </c>
      <c r="I8" s="1127">
        <v>3172000003.3672009</v>
      </c>
      <c r="J8" s="1128"/>
      <c r="K8" s="1127">
        <v>4206783.629931788</v>
      </c>
      <c r="M8" s="1122">
        <v>5</v>
      </c>
      <c r="N8" s="1123">
        <v>2020</v>
      </c>
      <c r="O8" s="1124">
        <v>34</v>
      </c>
      <c r="P8" s="1125">
        <v>43981</v>
      </c>
      <c r="Q8" s="1126">
        <v>0</v>
      </c>
      <c r="R8" s="1127">
        <v>0</v>
      </c>
      <c r="S8" s="1127">
        <v>24146850.025632817</v>
      </c>
      <c r="T8" s="1127">
        <v>3172000003.3672009</v>
      </c>
    </row>
    <row r="9" spans="2:20">
      <c r="B9" s="1122">
        <v>6</v>
      </c>
      <c r="C9" s="1123">
        <v>2020</v>
      </c>
      <c r="D9" s="1124">
        <v>35</v>
      </c>
      <c r="E9" s="1125">
        <v>44012</v>
      </c>
      <c r="F9" s="1126">
        <v>0</v>
      </c>
      <c r="G9" s="1127">
        <v>0</v>
      </c>
      <c r="H9" s="1127">
        <v>24146850.025632817</v>
      </c>
      <c r="I9" s="1127">
        <v>3172000003.3672009</v>
      </c>
      <c r="J9" s="1128"/>
      <c r="K9" s="1127">
        <v>4206783.629931788</v>
      </c>
      <c r="M9" s="1122">
        <v>6</v>
      </c>
      <c r="N9" s="1123">
        <v>2020</v>
      </c>
      <c r="O9" s="1124">
        <v>35</v>
      </c>
      <c r="P9" s="1125">
        <v>44012</v>
      </c>
      <c r="Q9" s="1126">
        <v>0</v>
      </c>
      <c r="R9" s="1127">
        <v>0</v>
      </c>
      <c r="S9" s="1127">
        <v>24146850.025632817</v>
      </c>
      <c r="T9" s="1127">
        <v>3172000003.3672009</v>
      </c>
    </row>
    <row r="10" spans="2:20">
      <c r="B10" s="1122">
        <v>7</v>
      </c>
      <c r="C10" s="1123">
        <v>2020</v>
      </c>
      <c r="D10" s="1124">
        <v>36</v>
      </c>
      <c r="E10" s="1125">
        <v>44042</v>
      </c>
      <c r="F10" s="1126">
        <v>0</v>
      </c>
      <c r="G10" s="1127">
        <v>0</v>
      </c>
      <c r="H10" s="1127">
        <v>24146850.025632817</v>
      </c>
      <c r="I10" s="1127">
        <v>3172000003.3672009</v>
      </c>
      <c r="J10" s="1128"/>
      <c r="K10" s="1127">
        <v>4206783.629931788</v>
      </c>
      <c r="M10" s="1122">
        <v>7</v>
      </c>
      <c r="N10" s="1123">
        <v>2020</v>
      </c>
      <c r="O10" s="1124">
        <v>36</v>
      </c>
      <c r="P10" s="1125">
        <v>44042</v>
      </c>
      <c r="Q10" s="1126">
        <v>0</v>
      </c>
      <c r="R10" s="1127">
        <v>0</v>
      </c>
      <c r="S10" s="1127">
        <v>24146850.025632817</v>
      </c>
      <c r="T10" s="1127">
        <v>3172000003.3672009</v>
      </c>
    </row>
    <row r="11" spans="2:20">
      <c r="B11" s="1122">
        <v>8</v>
      </c>
      <c r="C11" s="1123">
        <v>2020</v>
      </c>
      <c r="D11" s="1124">
        <v>37</v>
      </c>
      <c r="E11" s="1125">
        <v>44073</v>
      </c>
      <c r="F11" s="1126">
        <v>0</v>
      </c>
      <c r="G11" s="1127">
        <v>0</v>
      </c>
      <c r="H11" s="1127">
        <v>24146850.025632817</v>
      </c>
      <c r="I11" s="1127">
        <v>3172000003.3672009</v>
      </c>
      <c r="J11" s="1128"/>
      <c r="K11" s="1127">
        <v>4206783.629931788</v>
      </c>
      <c r="M11" s="1122">
        <v>8</v>
      </c>
      <c r="N11" s="1123">
        <v>2020</v>
      </c>
      <c r="O11" s="1124">
        <v>37</v>
      </c>
      <c r="P11" s="1125">
        <v>44073</v>
      </c>
      <c r="Q11" s="1126">
        <v>0</v>
      </c>
      <c r="R11" s="1127">
        <v>0</v>
      </c>
      <c r="S11" s="1127">
        <v>24146850.025632817</v>
      </c>
      <c r="T11" s="1127">
        <v>3172000003.3672009</v>
      </c>
    </row>
    <row r="12" spans="2:20">
      <c r="B12" s="1122">
        <v>9</v>
      </c>
      <c r="C12" s="1123">
        <v>2020</v>
      </c>
      <c r="D12" s="1124">
        <v>38</v>
      </c>
      <c r="E12" s="1125">
        <v>44104</v>
      </c>
      <c r="F12" s="1126">
        <v>0</v>
      </c>
      <c r="G12" s="1127">
        <v>0</v>
      </c>
      <c r="H12" s="1127">
        <v>24146850.025632817</v>
      </c>
      <c r="I12" s="1127">
        <v>3172000003.3672009</v>
      </c>
      <c r="J12" s="1128"/>
      <c r="K12" s="1127">
        <v>4206783.629931788</v>
      </c>
      <c r="M12" s="1122">
        <v>9</v>
      </c>
      <c r="N12" s="1123">
        <v>2020</v>
      </c>
      <c r="O12" s="1124">
        <v>38</v>
      </c>
      <c r="P12" s="1125">
        <v>44104</v>
      </c>
      <c r="Q12" s="1126">
        <v>0</v>
      </c>
      <c r="R12" s="1127">
        <v>0</v>
      </c>
      <c r="S12" s="1127">
        <v>24146850.025632817</v>
      </c>
      <c r="T12" s="1127">
        <v>3172000003.3672009</v>
      </c>
    </row>
    <row r="13" spans="2:20">
      <c r="B13" s="1122">
        <v>10</v>
      </c>
      <c r="C13" s="1123">
        <v>2020</v>
      </c>
      <c r="D13" s="1124">
        <v>39</v>
      </c>
      <c r="E13" s="1125">
        <v>44134</v>
      </c>
      <c r="F13" s="1126">
        <v>0</v>
      </c>
      <c r="G13" s="1127">
        <v>0</v>
      </c>
      <c r="H13" s="1127">
        <v>24146850.025632817</v>
      </c>
      <c r="I13" s="1127">
        <v>3172000003.3672009</v>
      </c>
      <c r="J13" s="1128"/>
      <c r="K13" s="1127">
        <v>4206783.629931788</v>
      </c>
      <c r="M13" s="1122">
        <v>10</v>
      </c>
      <c r="N13" s="1123">
        <v>2020</v>
      </c>
      <c r="O13" s="1124">
        <v>39</v>
      </c>
      <c r="P13" s="1125">
        <v>44134</v>
      </c>
      <c r="Q13" s="1126">
        <v>0</v>
      </c>
      <c r="R13" s="1127">
        <v>0</v>
      </c>
      <c r="S13" s="1127">
        <v>24146850.025632817</v>
      </c>
      <c r="T13" s="1127">
        <v>3172000003.3672009</v>
      </c>
    </row>
    <row r="14" spans="2:20">
      <c r="B14" s="1122">
        <v>11</v>
      </c>
      <c r="C14" s="1123">
        <v>2020</v>
      </c>
      <c r="D14" s="1124">
        <v>40</v>
      </c>
      <c r="E14" s="1125">
        <v>44165</v>
      </c>
      <c r="F14" s="1126">
        <v>2.4819691580541689E-2</v>
      </c>
      <c r="G14" s="1129"/>
      <c r="H14" s="1127">
        <v>24146850.025632817</v>
      </c>
      <c r="I14" s="1127">
        <v>3055761114.3489237</v>
      </c>
      <c r="J14" s="1128"/>
      <c r="K14" s="1127">
        <v>4206783.629931788</v>
      </c>
      <c r="M14" s="1122">
        <v>11</v>
      </c>
      <c r="N14" s="1123">
        <v>2020</v>
      </c>
      <c r="O14" s="1124">
        <v>40</v>
      </c>
      <c r="P14" s="1125">
        <v>44165</v>
      </c>
      <c r="Q14" s="1126">
        <v>2.4819691580541689E-2</v>
      </c>
      <c r="R14" s="1129">
        <v>116238889.018277</v>
      </c>
      <c r="S14" s="1127">
        <v>24146850.025632817</v>
      </c>
      <c r="T14" s="1127">
        <v>3055761114.3489237</v>
      </c>
    </row>
    <row r="15" spans="2:20">
      <c r="B15" s="1122">
        <v>12</v>
      </c>
      <c r="C15" s="1123">
        <v>2020</v>
      </c>
      <c r="D15" s="1124">
        <v>41</v>
      </c>
      <c r="E15" s="1125">
        <v>44195</v>
      </c>
      <c r="F15" s="1126">
        <v>0</v>
      </c>
      <c r="G15" s="1127">
        <v>0</v>
      </c>
      <c r="H15" s="1127">
        <v>23261981.482981183</v>
      </c>
      <c r="I15" s="1127">
        <v>3055761114.3489237</v>
      </c>
      <c r="J15" s="1128"/>
      <c r="K15" s="1127">
        <v>4206783.629931788</v>
      </c>
      <c r="M15" s="1122">
        <v>12</v>
      </c>
      <c r="N15" s="1123">
        <v>2020</v>
      </c>
      <c r="O15" s="1124">
        <v>41</v>
      </c>
      <c r="P15" s="1125">
        <v>44195</v>
      </c>
      <c r="Q15" s="1126">
        <v>0</v>
      </c>
      <c r="R15" s="1127">
        <v>0</v>
      </c>
      <c r="S15" s="1127">
        <v>23261981.482981183</v>
      </c>
      <c r="T15" s="1127">
        <v>3055761114.3489237</v>
      </c>
    </row>
    <row r="16" spans="2:20">
      <c r="B16" s="1130">
        <v>1</v>
      </c>
      <c r="C16" s="1131">
        <v>2021</v>
      </c>
      <c r="D16" s="1132">
        <v>42</v>
      </c>
      <c r="E16" s="1133">
        <v>44226</v>
      </c>
      <c r="F16" s="1134">
        <v>0</v>
      </c>
      <c r="G16" s="1135">
        <v>0</v>
      </c>
      <c r="H16" s="1135">
        <v>23261981.482981183</v>
      </c>
      <c r="I16" s="1135">
        <v>3055761114.3489237</v>
      </c>
      <c r="J16" s="1128"/>
      <c r="K16" s="1135">
        <v>4206783.629931788</v>
      </c>
      <c r="M16" s="1130">
        <v>1</v>
      </c>
      <c r="N16" s="1131">
        <v>2021</v>
      </c>
      <c r="O16" s="1132">
        <v>42</v>
      </c>
      <c r="P16" s="1133">
        <v>44226</v>
      </c>
      <c r="Q16" s="1134">
        <v>0</v>
      </c>
      <c r="R16" s="1135">
        <v>0</v>
      </c>
      <c r="S16" s="1135">
        <v>23261981.482981183</v>
      </c>
      <c r="T16" s="1135">
        <v>3055761114.3489237</v>
      </c>
    </row>
    <row r="17" spans="2:20">
      <c r="B17" s="1130">
        <v>2</v>
      </c>
      <c r="C17" s="1131">
        <v>2021</v>
      </c>
      <c r="D17" s="1132">
        <v>43</v>
      </c>
      <c r="E17" s="1133">
        <v>44255</v>
      </c>
      <c r="F17" s="1134">
        <v>2.4819691580541689E-2</v>
      </c>
      <c r="G17" s="1135"/>
      <c r="H17" s="1135">
        <v>23261981.482981183</v>
      </c>
      <c r="I17" s="1135">
        <v>2939522225.3306465</v>
      </c>
      <c r="J17" s="1128"/>
      <c r="K17" s="1135">
        <v>4206783.629931788</v>
      </c>
      <c r="M17" s="1130">
        <v>2</v>
      </c>
      <c r="N17" s="1131">
        <v>2021</v>
      </c>
      <c r="O17" s="1132">
        <v>43</v>
      </c>
      <c r="P17" s="1133">
        <v>44255</v>
      </c>
      <c r="Q17" s="1134">
        <v>2.4819691580541689E-2</v>
      </c>
      <c r="R17" s="1135">
        <v>116238889.018277</v>
      </c>
      <c r="S17" s="1135">
        <v>23261981.482981183</v>
      </c>
      <c r="T17" s="1135">
        <v>2939522225.3306465</v>
      </c>
    </row>
    <row r="18" spans="2:20">
      <c r="B18" s="1130">
        <v>3</v>
      </c>
      <c r="C18" s="1131">
        <v>2021</v>
      </c>
      <c r="D18" s="1132">
        <v>44</v>
      </c>
      <c r="E18" s="1133">
        <v>44285</v>
      </c>
      <c r="F18" s="1134">
        <v>0</v>
      </c>
      <c r="G18" s="1135"/>
      <c r="H18" s="1135">
        <v>22377112.940329548</v>
      </c>
      <c r="I18" s="1135">
        <v>2939522225.3306465</v>
      </c>
      <c r="J18" s="1128"/>
      <c r="K18" s="1135">
        <v>4206783.629931788</v>
      </c>
      <c r="M18" s="1130">
        <v>3</v>
      </c>
      <c r="N18" s="1131">
        <v>2021</v>
      </c>
      <c r="O18" s="1132">
        <v>44</v>
      </c>
      <c r="P18" s="1133">
        <v>44285</v>
      </c>
      <c r="Q18" s="1134">
        <v>0</v>
      </c>
      <c r="R18" s="1135">
        <v>0</v>
      </c>
      <c r="S18" s="1135">
        <v>22377112.940329548</v>
      </c>
      <c r="T18" s="1135">
        <v>2939522225.3306465</v>
      </c>
    </row>
    <row r="19" spans="2:20">
      <c r="B19" s="1130">
        <v>4</v>
      </c>
      <c r="C19" s="1131">
        <v>2021</v>
      </c>
      <c r="D19" s="1132">
        <v>45</v>
      </c>
      <c r="E19" s="1133">
        <v>44316</v>
      </c>
      <c r="F19" s="1134">
        <v>0</v>
      </c>
      <c r="G19" s="1135"/>
      <c r="H19" s="1135">
        <v>22377112.940329548</v>
      </c>
      <c r="I19" s="1135">
        <v>2939522225.3306465</v>
      </c>
      <c r="J19" s="1128"/>
      <c r="K19" s="1135">
        <v>4206783.629931788</v>
      </c>
      <c r="M19" s="1130">
        <v>4</v>
      </c>
      <c r="N19" s="1131">
        <v>2021</v>
      </c>
      <c r="O19" s="1132">
        <v>45</v>
      </c>
      <c r="P19" s="1133">
        <v>44316</v>
      </c>
      <c r="Q19" s="1134">
        <v>0</v>
      </c>
      <c r="R19" s="1135">
        <v>0</v>
      </c>
      <c r="S19" s="1135">
        <v>22377112.940329548</v>
      </c>
      <c r="T19" s="1135">
        <v>2939522225.3306465</v>
      </c>
    </row>
    <row r="20" spans="2:20">
      <c r="B20" s="1130">
        <v>5</v>
      </c>
      <c r="C20" s="1131">
        <v>2021</v>
      </c>
      <c r="D20" s="1132">
        <v>46</v>
      </c>
      <c r="E20" s="1133">
        <v>44346</v>
      </c>
      <c r="F20" s="1134">
        <v>2.4819691580541689E-2</v>
      </c>
      <c r="G20" s="1135"/>
      <c r="H20" s="1135">
        <v>22377112.940329548</v>
      </c>
      <c r="I20" s="1135">
        <v>2823283336.3123693</v>
      </c>
      <c r="J20" s="1128"/>
      <c r="K20" s="1135">
        <v>4206783.629931788</v>
      </c>
      <c r="M20" s="1130">
        <v>5</v>
      </c>
      <c r="N20" s="1131">
        <v>2021</v>
      </c>
      <c r="O20" s="1132">
        <v>46</v>
      </c>
      <c r="P20" s="1133">
        <v>44346</v>
      </c>
      <c r="Q20" s="1134">
        <v>2.4819691580541689E-2</v>
      </c>
      <c r="R20" s="1135">
        <v>116238889.018277</v>
      </c>
      <c r="S20" s="1135">
        <v>22377112.940329548</v>
      </c>
      <c r="T20" s="1135">
        <v>2823283336.3123693</v>
      </c>
    </row>
    <row r="21" spans="2:20">
      <c r="B21" s="1130">
        <v>6</v>
      </c>
      <c r="C21" s="1131">
        <v>2021</v>
      </c>
      <c r="D21" s="1132">
        <v>47</v>
      </c>
      <c r="E21" s="1133">
        <v>44377</v>
      </c>
      <c r="F21" s="1134">
        <v>0</v>
      </c>
      <c r="G21" s="1135">
        <v>0</v>
      </c>
      <c r="H21" s="1135">
        <v>21492244.397677913</v>
      </c>
      <c r="I21" s="1135">
        <v>2823283336.3123693</v>
      </c>
      <c r="J21" s="1128"/>
      <c r="K21" s="1135">
        <v>4206783.629931788</v>
      </c>
      <c r="M21" s="1130">
        <v>6</v>
      </c>
      <c r="N21" s="1131">
        <v>2021</v>
      </c>
      <c r="O21" s="1132">
        <v>47</v>
      </c>
      <c r="P21" s="1133">
        <v>44377</v>
      </c>
      <c r="Q21" s="1134">
        <v>0</v>
      </c>
      <c r="R21" s="1135">
        <v>0</v>
      </c>
      <c r="S21" s="1135">
        <v>21492244.397677913</v>
      </c>
      <c r="T21" s="1135">
        <v>2823283336.3123693</v>
      </c>
    </row>
    <row r="22" spans="2:20">
      <c r="B22" s="1130">
        <v>7</v>
      </c>
      <c r="C22" s="1131">
        <v>2021</v>
      </c>
      <c r="D22" s="1132">
        <v>48</v>
      </c>
      <c r="E22" s="1133">
        <v>44407</v>
      </c>
      <c r="F22" s="1134">
        <v>0</v>
      </c>
      <c r="G22" s="1135">
        <v>0</v>
      </c>
      <c r="H22" s="1135">
        <v>21492244.397677913</v>
      </c>
      <c r="I22" s="1135">
        <v>2823283336.3123693</v>
      </c>
      <c r="J22" s="1128"/>
      <c r="K22" s="1135">
        <v>4206783.629931788</v>
      </c>
      <c r="M22" s="1130">
        <v>7</v>
      </c>
      <c r="N22" s="1131">
        <v>2021</v>
      </c>
      <c r="O22" s="1132">
        <v>48</v>
      </c>
      <c r="P22" s="1133">
        <v>44407</v>
      </c>
      <c r="Q22" s="1134">
        <v>0</v>
      </c>
      <c r="R22" s="1135">
        <v>0</v>
      </c>
      <c r="S22" s="1135">
        <v>21492244.397677913</v>
      </c>
      <c r="T22" s="1135">
        <v>2823283336.3123693</v>
      </c>
    </row>
    <row r="23" spans="2:20">
      <c r="B23" s="1130">
        <v>8</v>
      </c>
      <c r="C23" s="1131">
        <v>2021</v>
      </c>
      <c r="D23" s="1132">
        <v>49</v>
      </c>
      <c r="E23" s="1133">
        <v>44438</v>
      </c>
      <c r="F23" s="1134">
        <v>2.4819691580541689E-2</v>
      </c>
      <c r="G23" s="1135">
        <v>116238889.018277</v>
      </c>
      <c r="H23" s="1135">
        <v>21492244.397677913</v>
      </c>
      <c r="I23" s="1135">
        <v>2707044447.2940922</v>
      </c>
      <c r="J23" s="1128"/>
      <c r="K23" s="1135">
        <v>4206783.629931788</v>
      </c>
      <c r="M23" s="1130">
        <v>8</v>
      </c>
      <c r="N23" s="1131">
        <v>2021</v>
      </c>
      <c r="O23" s="1132">
        <v>49</v>
      </c>
      <c r="P23" s="1133">
        <v>44438</v>
      </c>
      <c r="Q23" s="1134">
        <v>2.4819691580541689E-2</v>
      </c>
      <c r="R23" s="1135">
        <v>116238889.018277</v>
      </c>
      <c r="S23" s="1135">
        <v>21492244.397677913</v>
      </c>
      <c r="T23" s="1135">
        <v>2707044447.2940922</v>
      </c>
    </row>
    <row r="24" spans="2:20">
      <c r="B24" s="1130">
        <v>9</v>
      </c>
      <c r="C24" s="1131">
        <v>2021</v>
      </c>
      <c r="D24" s="1132">
        <v>50</v>
      </c>
      <c r="E24" s="1133">
        <v>44469</v>
      </c>
      <c r="F24" s="1134">
        <v>0</v>
      </c>
      <c r="G24" s="1135">
        <v>0</v>
      </c>
      <c r="H24" s="1135">
        <v>20607375.855026275</v>
      </c>
      <c r="I24" s="1135">
        <v>2707044447.2940922</v>
      </c>
      <c r="J24" s="1128"/>
      <c r="K24" s="1135">
        <v>4206783.629931788</v>
      </c>
      <c r="M24" s="1130">
        <v>9</v>
      </c>
      <c r="N24" s="1131">
        <v>2021</v>
      </c>
      <c r="O24" s="1132">
        <v>50</v>
      </c>
      <c r="P24" s="1133">
        <v>44469</v>
      </c>
      <c r="Q24" s="1134">
        <v>0</v>
      </c>
      <c r="R24" s="1135">
        <v>0</v>
      </c>
      <c r="S24" s="1135">
        <v>20607375.855026275</v>
      </c>
      <c r="T24" s="1135">
        <v>2707044447.2940922</v>
      </c>
    </row>
    <row r="25" spans="2:20">
      <c r="B25" s="1130">
        <v>10</v>
      </c>
      <c r="C25" s="1131">
        <v>2021</v>
      </c>
      <c r="D25" s="1132">
        <v>51</v>
      </c>
      <c r="E25" s="1133">
        <v>44499</v>
      </c>
      <c r="F25" s="1134">
        <v>0</v>
      </c>
      <c r="G25" s="1135">
        <v>0</v>
      </c>
      <c r="H25" s="1135">
        <v>20607375.855026275</v>
      </c>
      <c r="I25" s="1135">
        <v>2707044447.2940922</v>
      </c>
      <c r="J25" s="1128"/>
      <c r="K25" s="1135">
        <v>4206783.629931788</v>
      </c>
      <c r="M25" s="1130">
        <v>10</v>
      </c>
      <c r="N25" s="1131">
        <v>2021</v>
      </c>
      <c r="O25" s="1132">
        <v>51</v>
      </c>
      <c r="P25" s="1133">
        <v>44499</v>
      </c>
      <c r="Q25" s="1134">
        <v>0</v>
      </c>
      <c r="R25" s="1135">
        <v>0</v>
      </c>
      <c r="S25" s="1135">
        <v>20607375.855026275</v>
      </c>
      <c r="T25" s="1135">
        <v>2707044447.2940922</v>
      </c>
    </row>
    <row r="26" spans="2:20">
      <c r="B26" s="1130">
        <v>11</v>
      </c>
      <c r="C26" s="1131">
        <v>2021</v>
      </c>
      <c r="D26" s="1132">
        <v>52</v>
      </c>
      <c r="E26" s="1133">
        <v>44530</v>
      </c>
      <c r="F26" s="1134">
        <v>4.4819691580541686E-2</v>
      </c>
      <c r="G26" s="1135">
        <v>209905555.77847701</v>
      </c>
      <c r="H26" s="1135">
        <v>20607375.855026275</v>
      </c>
      <c r="I26" s="1135">
        <v>2497138891.515615</v>
      </c>
      <c r="J26" s="1128"/>
      <c r="K26" s="1135">
        <v>4206783.629931788</v>
      </c>
      <c r="M26" s="1130">
        <v>11</v>
      </c>
      <c r="N26" s="1131">
        <v>2021</v>
      </c>
      <c r="O26" s="1132">
        <v>52</v>
      </c>
      <c r="P26" s="1133">
        <v>44530</v>
      </c>
      <c r="Q26" s="1134">
        <v>4.4819691580541686E-2</v>
      </c>
      <c r="R26" s="1135">
        <v>209905555.77847701</v>
      </c>
      <c r="S26" s="1135">
        <v>20607375.855026275</v>
      </c>
      <c r="T26" s="1135">
        <v>2497138891.515615</v>
      </c>
    </row>
    <row r="27" spans="2:20">
      <c r="B27" s="1130">
        <v>12</v>
      </c>
      <c r="C27" s="1131">
        <v>2021</v>
      </c>
      <c r="D27" s="1132">
        <v>53</v>
      </c>
      <c r="E27" s="1133">
        <v>44560</v>
      </c>
      <c r="F27" s="1134">
        <v>0</v>
      </c>
      <c r="G27" s="1135">
        <v>0</v>
      </c>
      <c r="H27" s="1135">
        <v>19009469.811662618</v>
      </c>
      <c r="I27" s="1135">
        <v>2497138891.515615</v>
      </c>
      <c r="J27" s="1128"/>
      <c r="K27" s="1135">
        <v>4206783.629931788</v>
      </c>
      <c r="M27" s="1130">
        <v>12</v>
      </c>
      <c r="N27" s="1131">
        <v>2021</v>
      </c>
      <c r="O27" s="1132">
        <v>53</v>
      </c>
      <c r="P27" s="1133">
        <v>44560</v>
      </c>
      <c r="Q27" s="1134">
        <v>0</v>
      </c>
      <c r="R27" s="1135">
        <v>0</v>
      </c>
      <c r="S27" s="1135">
        <v>19009469.811662618</v>
      </c>
      <c r="T27" s="1135">
        <v>2497138891.515615</v>
      </c>
    </row>
    <row r="28" spans="2:20">
      <c r="B28" s="1122">
        <v>1</v>
      </c>
      <c r="C28" s="1123">
        <v>2022</v>
      </c>
      <c r="D28" s="1124">
        <v>54</v>
      </c>
      <c r="E28" s="1125">
        <v>44591</v>
      </c>
      <c r="F28" s="1126">
        <v>0</v>
      </c>
      <c r="G28" s="1127">
        <v>0</v>
      </c>
      <c r="H28" s="1127">
        <v>19009469.811662618</v>
      </c>
      <c r="I28" s="1127">
        <v>2497138891.515615</v>
      </c>
      <c r="J28" s="1128"/>
      <c r="K28" s="1127">
        <v>4206783.629931788</v>
      </c>
      <c r="M28" s="1122">
        <v>1</v>
      </c>
      <c r="N28" s="1123">
        <v>2022</v>
      </c>
      <c r="O28" s="1124">
        <v>54</v>
      </c>
      <c r="P28" s="1125">
        <v>44591</v>
      </c>
      <c r="Q28" s="1126">
        <v>0</v>
      </c>
      <c r="R28" s="1127">
        <v>0</v>
      </c>
      <c r="S28" s="1127">
        <v>19009469.811662618</v>
      </c>
      <c r="T28" s="1127">
        <v>2497138891.515615</v>
      </c>
    </row>
    <row r="29" spans="2:20">
      <c r="B29" s="1122">
        <v>2</v>
      </c>
      <c r="C29" s="1123">
        <v>2022</v>
      </c>
      <c r="D29" s="1124">
        <v>55</v>
      </c>
      <c r="E29" s="1125">
        <v>44620</v>
      </c>
      <c r="F29" s="1126">
        <v>4.4819691580541686E-2</v>
      </c>
      <c r="G29" s="1127"/>
      <c r="H29" s="1127">
        <v>19009469.811662618</v>
      </c>
      <c r="I29" s="1127">
        <v>2287233335.7371378</v>
      </c>
      <c r="J29" s="1128"/>
      <c r="K29" s="1127">
        <v>4206783.629931788</v>
      </c>
      <c r="M29" s="1122">
        <v>2</v>
      </c>
      <c r="N29" s="1123">
        <v>2022</v>
      </c>
      <c r="O29" s="1124">
        <v>55</v>
      </c>
      <c r="P29" s="1125">
        <v>44620</v>
      </c>
      <c r="Q29" s="1126">
        <v>4.4819691580541686E-2</v>
      </c>
      <c r="R29" s="1127">
        <v>209905555.77847701</v>
      </c>
      <c r="S29" s="1127">
        <v>19009469.811662618</v>
      </c>
      <c r="T29" s="1127">
        <v>2287233335.7371378</v>
      </c>
    </row>
    <row r="30" spans="2:20">
      <c r="B30" s="1122">
        <v>3</v>
      </c>
      <c r="C30" s="1123">
        <v>2022</v>
      </c>
      <c r="D30" s="1124">
        <v>56</v>
      </c>
      <c r="E30" s="1125">
        <v>44650</v>
      </c>
      <c r="F30" s="1126">
        <v>0</v>
      </c>
      <c r="G30" s="1127"/>
      <c r="H30" s="1127">
        <v>17411563.768298961</v>
      </c>
      <c r="I30" s="1127">
        <v>2287233335.7371378</v>
      </c>
      <c r="J30" s="1128"/>
      <c r="K30" s="1127">
        <v>4206783.629931788</v>
      </c>
      <c r="M30" s="1122">
        <v>3</v>
      </c>
      <c r="N30" s="1123">
        <v>2022</v>
      </c>
      <c r="O30" s="1124">
        <v>56</v>
      </c>
      <c r="P30" s="1125">
        <v>44650</v>
      </c>
      <c r="Q30" s="1126">
        <v>0</v>
      </c>
      <c r="R30" s="1127">
        <v>0</v>
      </c>
      <c r="S30" s="1127">
        <v>17411563.768298961</v>
      </c>
      <c r="T30" s="1127">
        <v>2287233335.7371378</v>
      </c>
    </row>
    <row r="31" spans="2:20">
      <c r="B31" s="1122">
        <v>4</v>
      </c>
      <c r="C31" s="1123">
        <v>2022</v>
      </c>
      <c r="D31" s="1124">
        <v>57</v>
      </c>
      <c r="E31" s="1125">
        <v>44681</v>
      </c>
      <c r="F31" s="1126">
        <v>0</v>
      </c>
      <c r="G31" s="1127"/>
      <c r="H31" s="1127">
        <v>17411563.768298961</v>
      </c>
      <c r="I31" s="1127">
        <v>2287233335.7371378</v>
      </c>
      <c r="J31" s="1128"/>
      <c r="K31" s="1127">
        <v>4206783.629931788</v>
      </c>
      <c r="M31" s="1122">
        <v>4</v>
      </c>
      <c r="N31" s="1123">
        <v>2022</v>
      </c>
      <c r="O31" s="1124">
        <v>57</v>
      </c>
      <c r="P31" s="1125">
        <v>44681</v>
      </c>
      <c r="Q31" s="1126">
        <v>0</v>
      </c>
      <c r="R31" s="1127">
        <v>0</v>
      </c>
      <c r="S31" s="1127">
        <v>17411563.768298961</v>
      </c>
      <c r="T31" s="1127">
        <v>2287233335.7371378</v>
      </c>
    </row>
    <row r="32" spans="2:20">
      <c r="B32" s="1122">
        <v>5</v>
      </c>
      <c r="C32" s="1123">
        <v>2022</v>
      </c>
      <c r="D32" s="1124">
        <v>58</v>
      </c>
      <c r="E32" s="1125">
        <v>44711</v>
      </c>
      <c r="F32" s="1126">
        <v>4.4819691580541686E-2</v>
      </c>
      <c r="G32" s="1127"/>
      <c r="H32" s="1127">
        <v>17411563.768298961</v>
      </c>
      <c r="I32" s="1127">
        <v>2077327779.9586608</v>
      </c>
      <c r="J32" s="1128"/>
      <c r="K32" s="1127">
        <v>4206783.629931788</v>
      </c>
      <c r="M32" s="1122">
        <v>5</v>
      </c>
      <c r="N32" s="1123">
        <v>2022</v>
      </c>
      <c r="O32" s="1124">
        <v>58</v>
      </c>
      <c r="P32" s="1125">
        <v>44711</v>
      </c>
      <c r="Q32" s="1126">
        <v>4.4819691580541686E-2</v>
      </c>
      <c r="R32" s="1127">
        <v>209905555.77847701</v>
      </c>
      <c r="S32" s="1127">
        <v>17411563.768298961</v>
      </c>
      <c r="T32" s="1127">
        <v>2077327779.9586608</v>
      </c>
    </row>
    <row r="33" spans="2:20">
      <c r="B33" s="1122">
        <v>6</v>
      </c>
      <c r="C33" s="1123">
        <v>2022</v>
      </c>
      <c r="D33" s="1124">
        <v>59</v>
      </c>
      <c r="E33" s="1125">
        <v>44742</v>
      </c>
      <c r="F33" s="1126">
        <v>0</v>
      </c>
      <c r="G33" s="1127">
        <v>0</v>
      </c>
      <c r="H33" s="1127">
        <v>15813657.724935304</v>
      </c>
      <c r="I33" s="1127">
        <v>2077327779.9586608</v>
      </c>
      <c r="J33" s="1128"/>
      <c r="K33" s="1127">
        <v>4206783.629931788</v>
      </c>
      <c r="M33" s="1122">
        <v>6</v>
      </c>
      <c r="N33" s="1123">
        <v>2022</v>
      </c>
      <c r="O33" s="1124">
        <v>59</v>
      </c>
      <c r="P33" s="1125">
        <v>44742</v>
      </c>
      <c r="Q33" s="1126">
        <v>0</v>
      </c>
      <c r="R33" s="1127">
        <v>0</v>
      </c>
      <c r="S33" s="1127">
        <v>15813657.724935304</v>
      </c>
      <c r="T33" s="1127">
        <v>2077327779.9586608</v>
      </c>
    </row>
    <row r="34" spans="2:20">
      <c r="B34" s="1122">
        <v>7</v>
      </c>
      <c r="C34" s="1123">
        <v>2022</v>
      </c>
      <c r="D34" s="1124">
        <v>60</v>
      </c>
      <c r="E34" s="1125">
        <v>44772</v>
      </c>
      <c r="F34" s="1126">
        <v>0</v>
      </c>
      <c r="G34" s="1127">
        <v>0</v>
      </c>
      <c r="H34" s="1127">
        <v>15813657.724935304</v>
      </c>
      <c r="I34" s="1127">
        <v>2077327779.9586608</v>
      </c>
      <c r="J34" s="1128"/>
      <c r="K34" s="1127">
        <v>4206783.629931788</v>
      </c>
      <c r="M34" s="1122">
        <v>7</v>
      </c>
      <c r="N34" s="1123">
        <v>2022</v>
      </c>
      <c r="O34" s="1124">
        <v>60</v>
      </c>
      <c r="P34" s="1125">
        <v>44772</v>
      </c>
      <c r="Q34" s="1126">
        <v>0</v>
      </c>
      <c r="R34" s="1127">
        <v>0</v>
      </c>
      <c r="S34" s="1127">
        <v>15813657.724935304</v>
      </c>
      <c r="T34" s="1127">
        <v>2077327779.9586608</v>
      </c>
    </row>
    <row r="35" spans="2:20">
      <c r="B35" s="1122">
        <v>8</v>
      </c>
      <c r="C35" s="1123">
        <v>2022</v>
      </c>
      <c r="D35" s="1124">
        <v>61</v>
      </c>
      <c r="E35" s="1125">
        <v>44803</v>
      </c>
      <c r="F35" s="1126">
        <v>4.4819691580541686E-2</v>
      </c>
      <c r="G35" s="1127">
        <v>209905555.77847701</v>
      </c>
      <c r="H35" s="1127">
        <v>15813657.724935304</v>
      </c>
      <c r="I35" s="1127">
        <v>1867422224.1801839</v>
      </c>
      <c r="J35" s="1128"/>
      <c r="K35" s="1127">
        <v>4206783.629931788</v>
      </c>
      <c r="M35" s="1122">
        <v>8</v>
      </c>
      <c r="N35" s="1123">
        <v>2022</v>
      </c>
      <c r="O35" s="1124">
        <v>61</v>
      </c>
      <c r="P35" s="1125">
        <v>44803</v>
      </c>
      <c r="Q35" s="1126">
        <v>4.4819691580541686E-2</v>
      </c>
      <c r="R35" s="1127">
        <v>209905555.77847701</v>
      </c>
      <c r="S35" s="1127">
        <v>15813657.724935304</v>
      </c>
      <c r="T35" s="1127">
        <v>1867422224.1801839</v>
      </c>
    </row>
    <row r="36" spans="2:20">
      <c r="B36" s="1122">
        <v>9</v>
      </c>
      <c r="C36" s="1123">
        <v>2022</v>
      </c>
      <c r="D36" s="1124">
        <v>62</v>
      </c>
      <c r="E36" s="1125">
        <v>44834</v>
      </c>
      <c r="F36" s="1126">
        <v>0</v>
      </c>
      <c r="G36" s="1127">
        <v>0</v>
      </c>
      <c r="H36" s="1127">
        <v>14215751.681571649</v>
      </c>
      <c r="I36" s="1127">
        <v>1867422224.1801839</v>
      </c>
      <c r="J36" s="1128"/>
      <c r="K36" s="1127">
        <v>4206783.629931788</v>
      </c>
      <c r="M36" s="1122">
        <v>9</v>
      </c>
      <c r="N36" s="1123">
        <v>2022</v>
      </c>
      <c r="O36" s="1124">
        <v>62</v>
      </c>
      <c r="P36" s="1125">
        <v>44834</v>
      </c>
      <c r="Q36" s="1126">
        <v>0</v>
      </c>
      <c r="R36" s="1127">
        <v>0</v>
      </c>
      <c r="S36" s="1127">
        <v>14215751.681571649</v>
      </c>
      <c r="T36" s="1127">
        <v>1867422224.1801839</v>
      </c>
    </row>
    <row r="37" spans="2:20">
      <c r="B37" s="1122">
        <v>10</v>
      </c>
      <c r="C37" s="1123">
        <v>2022</v>
      </c>
      <c r="D37" s="1124">
        <v>63</v>
      </c>
      <c r="E37" s="1125">
        <v>44864</v>
      </c>
      <c r="F37" s="1126">
        <v>0</v>
      </c>
      <c r="G37" s="1127">
        <v>0</v>
      </c>
      <c r="H37" s="1127">
        <v>14215751.681571649</v>
      </c>
      <c r="I37" s="1127">
        <v>1867422224.1801839</v>
      </c>
      <c r="J37" s="1128"/>
      <c r="K37" s="1127">
        <v>4206783.629931788</v>
      </c>
      <c r="M37" s="1122">
        <v>10</v>
      </c>
      <c r="N37" s="1123">
        <v>2022</v>
      </c>
      <c r="O37" s="1124">
        <v>63</v>
      </c>
      <c r="P37" s="1125">
        <v>44864</v>
      </c>
      <c r="Q37" s="1126">
        <v>0</v>
      </c>
      <c r="R37" s="1127">
        <v>0</v>
      </c>
      <c r="S37" s="1127">
        <v>14215751.681571649</v>
      </c>
      <c r="T37" s="1127">
        <v>1867422224.1801839</v>
      </c>
    </row>
    <row r="38" spans="2:20">
      <c r="B38" s="1122">
        <v>11</v>
      </c>
      <c r="C38" s="1123">
        <v>2022</v>
      </c>
      <c r="D38" s="1124">
        <v>64</v>
      </c>
      <c r="E38" s="1125">
        <v>44895</v>
      </c>
      <c r="F38" s="1126">
        <v>5.4819691580541688E-2</v>
      </c>
      <c r="G38" s="1127">
        <v>256738889.158577</v>
      </c>
      <c r="H38" s="1127">
        <v>14215751.681571649</v>
      </c>
      <c r="I38" s="1127">
        <v>1610683335.0216069</v>
      </c>
      <c r="J38" s="1128"/>
      <c r="K38" s="1127">
        <v>4206783.629931788</v>
      </c>
      <c r="M38" s="1122">
        <v>11</v>
      </c>
      <c r="N38" s="1123">
        <v>2022</v>
      </c>
      <c r="O38" s="1124">
        <v>64</v>
      </c>
      <c r="P38" s="1125">
        <v>44895</v>
      </c>
      <c r="Q38" s="1126">
        <v>5.4819691580541688E-2</v>
      </c>
      <c r="R38" s="1127">
        <v>256738889.158577</v>
      </c>
      <c r="S38" s="1127">
        <v>14215751.681571649</v>
      </c>
      <c r="T38" s="1127">
        <v>1610683335.0216069</v>
      </c>
    </row>
    <row r="39" spans="2:20">
      <c r="B39" s="1122">
        <v>12</v>
      </c>
      <c r="C39" s="1123">
        <v>2022</v>
      </c>
      <c r="D39" s="1124">
        <v>65</v>
      </c>
      <c r="E39" s="1125">
        <v>44925</v>
      </c>
      <c r="F39" s="1126">
        <v>0</v>
      </c>
      <c r="G39" s="1127">
        <v>0</v>
      </c>
      <c r="H39" s="1127">
        <v>12261326.887851983</v>
      </c>
      <c r="I39" s="1127">
        <v>1610683335.0216069</v>
      </c>
      <c r="J39" s="1128"/>
      <c r="K39" s="1127">
        <v>4206783.629931788</v>
      </c>
      <c r="M39" s="1122">
        <v>12</v>
      </c>
      <c r="N39" s="1123">
        <v>2022</v>
      </c>
      <c r="O39" s="1124">
        <v>65</v>
      </c>
      <c r="P39" s="1125">
        <v>44925</v>
      </c>
      <c r="Q39" s="1126">
        <v>0</v>
      </c>
      <c r="R39" s="1127">
        <v>0</v>
      </c>
      <c r="S39" s="1127">
        <v>12261326.887851983</v>
      </c>
      <c r="T39" s="1127">
        <v>1610683335.0216069</v>
      </c>
    </row>
    <row r="40" spans="2:20">
      <c r="B40" s="1130">
        <v>1</v>
      </c>
      <c r="C40" s="1131">
        <v>2023</v>
      </c>
      <c r="D40" s="1132">
        <v>66</v>
      </c>
      <c r="E40" s="1133">
        <v>44956</v>
      </c>
      <c r="F40" s="1134">
        <v>0</v>
      </c>
      <c r="G40" s="1135">
        <v>0</v>
      </c>
      <c r="H40" s="1135">
        <v>12261326.887851983</v>
      </c>
      <c r="I40" s="1135">
        <v>1610683335.0216069</v>
      </c>
      <c r="J40" s="1128"/>
      <c r="K40" s="1135">
        <v>4206783.629931788</v>
      </c>
      <c r="M40" s="1130">
        <v>1</v>
      </c>
      <c r="N40" s="1131">
        <v>2023</v>
      </c>
      <c r="O40" s="1132">
        <v>66</v>
      </c>
      <c r="P40" s="1133">
        <v>44956</v>
      </c>
      <c r="Q40" s="1134">
        <v>0</v>
      </c>
      <c r="R40" s="1135">
        <v>0</v>
      </c>
      <c r="S40" s="1135">
        <v>12261326.887851983</v>
      </c>
      <c r="T40" s="1135">
        <v>1610683335.0216069</v>
      </c>
    </row>
    <row r="41" spans="2:20">
      <c r="B41" s="1130">
        <v>2</v>
      </c>
      <c r="C41" s="1131">
        <v>2023</v>
      </c>
      <c r="D41" s="1132">
        <v>67</v>
      </c>
      <c r="E41" s="1133">
        <v>44985</v>
      </c>
      <c r="F41" s="1134">
        <v>5.4819691580541688E-2</v>
      </c>
      <c r="G41" s="1135"/>
      <c r="H41" s="1135">
        <v>12261326.887851983</v>
      </c>
      <c r="I41" s="1135">
        <v>1353944445.86303</v>
      </c>
      <c r="J41" s="1128"/>
      <c r="K41" s="1135">
        <v>4206783.629931788</v>
      </c>
      <c r="M41" s="1130">
        <v>2</v>
      </c>
      <c r="N41" s="1131">
        <v>2023</v>
      </c>
      <c r="O41" s="1132">
        <v>67</v>
      </c>
      <c r="P41" s="1133">
        <v>44985</v>
      </c>
      <c r="Q41" s="1134">
        <v>5.4819691580541688E-2</v>
      </c>
      <c r="R41" s="1135">
        <v>256738889.158577</v>
      </c>
      <c r="S41" s="1135">
        <v>12261326.887851983</v>
      </c>
      <c r="T41" s="1135">
        <v>1353944445.86303</v>
      </c>
    </row>
    <row r="42" spans="2:20">
      <c r="B42" s="1130">
        <v>3</v>
      </c>
      <c r="C42" s="1131">
        <v>2023</v>
      </c>
      <c r="D42" s="1132">
        <v>68</v>
      </c>
      <c r="E42" s="1133">
        <v>45015</v>
      </c>
      <c r="F42" s="1134">
        <v>0</v>
      </c>
      <c r="G42" s="1135"/>
      <c r="H42" s="1135">
        <v>10306902.094132315</v>
      </c>
      <c r="I42" s="1135">
        <v>1353944445.86303</v>
      </c>
      <c r="J42" s="1128"/>
      <c r="K42" s="1135">
        <v>4206783.629931788</v>
      </c>
      <c r="M42" s="1130">
        <v>3</v>
      </c>
      <c r="N42" s="1131">
        <v>2023</v>
      </c>
      <c r="O42" s="1132">
        <v>68</v>
      </c>
      <c r="P42" s="1133">
        <v>45015</v>
      </c>
      <c r="Q42" s="1134">
        <v>0</v>
      </c>
      <c r="R42" s="1135">
        <v>0</v>
      </c>
      <c r="S42" s="1135">
        <v>10306902.094132315</v>
      </c>
      <c r="T42" s="1135">
        <v>1353944445.86303</v>
      </c>
    </row>
    <row r="43" spans="2:20">
      <c r="B43" s="1130">
        <v>4</v>
      </c>
      <c r="C43" s="1131">
        <v>2023</v>
      </c>
      <c r="D43" s="1132">
        <v>69</v>
      </c>
      <c r="E43" s="1133">
        <v>45046</v>
      </c>
      <c r="F43" s="1134">
        <v>0</v>
      </c>
      <c r="G43" s="1135"/>
      <c r="H43" s="1135">
        <v>10306902.094132315</v>
      </c>
      <c r="I43" s="1135">
        <v>1353944445.86303</v>
      </c>
      <c r="J43" s="1128"/>
      <c r="K43" s="1135">
        <v>4206783.629931788</v>
      </c>
      <c r="M43" s="1130">
        <v>4</v>
      </c>
      <c r="N43" s="1131">
        <v>2023</v>
      </c>
      <c r="O43" s="1132">
        <v>69</v>
      </c>
      <c r="P43" s="1133">
        <v>45046</v>
      </c>
      <c r="Q43" s="1134">
        <v>0</v>
      </c>
      <c r="R43" s="1135">
        <v>0</v>
      </c>
      <c r="S43" s="1135">
        <v>10306902.094132315</v>
      </c>
      <c r="T43" s="1135">
        <v>1353944445.86303</v>
      </c>
    </row>
    <row r="44" spans="2:20">
      <c r="B44" s="1130">
        <v>5</v>
      </c>
      <c r="C44" s="1131">
        <v>2023</v>
      </c>
      <c r="D44" s="1132">
        <v>70</v>
      </c>
      <c r="E44" s="1133">
        <v>45076</v>
      </c>
      <c r="F44" s="1134">
        <v>5.4819691580541688E-2</v>
      </c>
      <c r="G44" s="1135"/>
      <c r="H44" s="1135">
        <v>10306902.094132315</v>
      </c>
      <c r="I44" s="1135">
        <v>1097205556.704453</v>
      </c>
      <c r="J44" s="1128"/>
      <c r="K44" s="1135">
        <v>4206783.629931788</v>
      </c>
      <c r="M44" s="1130">
        <v>5</v>
      </c>
      <c r="N44" s="1131">
        <v>2023</v>
      </c>
      <c r="O44" s="1132">
        <v>70</v>
      </c>
      <c r="P44" s="1133">
        <v>45076</v>
      </c>
      <c r="Q44" s="1134">
        <v>5.4819691580541688E-2</v>
      </c>
      <c r="R44" s="1135">
        <v>256738889.158577</v>
      </c>
      <c r="S44" s="1135">
        <v>10306902.094132315</v>
      </c>
      <c r="T44" s="1135">
        <v>1097205556.704453</v>
      </c>
    </row>
    <row r="45" spans="2:20">
      <c r="B45" s="1130">
        <v>6</v>
      </c>
      <c r="C45" s="1131">
        <v>2023</v>
      </c>
      <c r="D45" s="1132">
        <v>71</v>
      </c>
      <c r="E45" s="1133">
        <v>45107</v>
      </c>
      <c r="F45" s="1134">
        <v>0</v>
      </c>
      <c r="G45" s="1135">
        <v>0</v>
      </c>
      <c r="H45" s="1135">
        <v>8352477.3004126484</v>
      </c>
      <c r="I45" s="1135">
        <v>1097205556.704453</v>
      </c>
      <c r="J45" s="1128"/>
      <c r="K45" s="1135">
        <v>4206783.629931788</v>
      </c>
      <c r="M45" s="1130">
        <v>6</v>
      </c>
      <c r="N45" s="1131">
        <v>2023</v>
      </c>
      <c r="O45" s="1132">
        <v>71</v>
      </c>
      <c r="P45" s="1133">
        <v>45107</v>
      </c>
      <c r="Q45" s="1134">
        <v>0</v>
      </c>
      <c r="R45" s="1135">
        <v>0</v>
      </c>
      <c r="S45" s="1135">
        <v>8352477.3004126484</v>
      </c>
      <c r="T45" s="1135">
        <v>1097205556.704453</v>
      </c>
    </row>
    <row r="46" spans="2:20">
      <c r="B46" s="1130">
        <v>7</v>
      </c>
      <c r="C46" s="1131">
        <v>2023</v>
      </c>
      <c r="D46" s="1132">
        <v>72</v>
      </c>
      <c r="E46" s="1133">
        <v>45137</v>
      </c>
      <c r="F46" s="1134">
        <v>0</v>
      </c>
      <c r="G46" s="1135">
        <v>0</v>
      </c>
      <c r="H46" s="1135">
        <v>8352477.3004126484</v>
      </c>
      <c r="I46" s="1135">
        <v>1097205556.704453</v>
      </c>
      <c r="J46" s="1128"/>
      <c r="K46" s="1135">
        <v>4206783.629931788</v>
      </c>
      <c r="M46" s="1130">
        <v>7</v>
      </c>
      <c r="N46" s="1131">
        <v>2023</v>
      </c>
      <c r="O46" s="1132">
        <v>72</v>
      </c>
      <c r="P46" s="1133">
        <v>45137</v>
      </c>
      <c r="Q46" s="1134">
        <v>0</v>
      </c>
      <c r="R46" s="1135">
        <v>0</v>
      </c>
      <c r="S46" s="1135">
        <v>8352477.3004126484</v>
      </c>
      <c r="T46" s="1135">
        <v>1097205556.704453</v>
      </c>
    </row>
    <row r="47" spans="2:20">
      <c r="B47" s="1130">
        <v>8</v>
      </c>
      <c r="C47" s="1131">
        <v>2023</v>
      </c>
      <c r="D47" s="1132">
        <v>73</v>
      </c>
      <c r="E47" s="1133">
        <v>45168</v>
      </c>
      <c r="F47" s="1134">
        <v>5.4819691580541688E-2</v>
      </c>
      <c r="G47" s="1135">
        <v>256738889.158577</v>
      </c>
      <c r="H47" s="1135">
        <v>8352477.3004126484</v>
      </c>
      <c r="I47" s="1135">
        <v>840466667.54587603</v>
      </c>
      <c r="J47" s="1128"/>
      <c r="K47" s="1135">
        <v>4206783.629931788</v>
      </c>
      <c r="M47" s="1130">
        <v>8</v>
      </c>
      <c r="N47" s="1131">
        <v>2023</v>
      </c>
      <c r="O47" s="1132">
        <v>73</v>
      </c>
      <c r="P47" s="1133">
        <v>45168</v>
      </c>
      <c r="Q47" s="1134">
        <v>5.4819691580541688E-2</v>
      </c>
      <c r="R47" s="1135">
        <v>256738889.158577</v>
      </c>
      <c r="S47" s="1135">
        <v>8352477.3004126484</v>
      </c>
      <c r="T47" s="1135">
        <v>840466667.54587603</v>
      </c>
    </row>
    <row r="48" spans="2:20">
      <c r="B48" s="1130">
        <v>9</v>
      </c>
      <c r="C48" s="1131">
        <v>2023</v>
      </c>
      <c r="D48" s="1132">
        <v>74</v>
      </c>
      <c r="E48" s="1133">
        <v>45199</v>
      </c>
      <c r="F48" s="1134">
        <v>0</v>
      </c>
      <c r="G48" s="1135">
        <v>0</v>
      </c>
      <c r="H48" s="1135">
        <v>6398052.5066929813</v>
      </c>
      <c r="I48" s="1135">
        <v>840466667.54587603</v>
      </c>
      <c r="J48" s="1128"/>
      <c r="K48" s="1135">
        <v>4206783.629931788</v>
      </c>
      <c r="M48" s="1130">
        <v>9</v>
      </c>
      <c r="N48" s="1131">
        <v>2023</v>
      </c>
      <c r="O48" s="1132">
        <v>74</v>
      </c>
      <c r="P48" s="1133">
        <v>45199</v>
      </c>
      <c r="Q48" s="1134">
        <v>0</v>
      </c>
      <c r="R48" s="1135">
        <v>0</v>
      </c>
      <c r="S48" s="1135">
        <v>6398052.5066929813</v>
      </c>
      <c r="T48" s="1135">
        <v>840466667.54587603</v>
      </c>
    </row>
    <row r="49" spans="2:20">
      <c r="B49" s="1130">
        <v>10</v>
      </c>
      <c r="C49" s="1131">
        <v>2023</v>
      </c>
      <c r="D49" s="1132">
        <v>75</v>
      </c>
      <c r="E49" s="1133">
        <v>45229</v>
      </c>
      <c r="F49" s="1134">
        <v>0</v>
      </c>
      <c r="G49" s="1135">
        <v>0</v>
      </c>
      <c r="H49" s="1135">
        <v>6398052.5066929813</v>
      </c>
      <c r="I49" s="1135">
        <v>840466667.54587603</v>
      </c>
      <c r="J49" s="1128"/>
      <c r="K49" s="1135">
        <v>4206783.629931788</v>
      </c>
      <c r="M49" s="1130">
        <v>10</v>
      </c>
      <c r="N49" s="1131">
        <v>2023</v>
      </c>
      <c r="O49" s="1132">
        <v>75</v>
      </c>
      <c r="P49" s="1133">
        <v>45229</v>
      </c>
      <c r="Q49" s="1134">
        <v>0</v>
      </c>
      <c r="R49" s="1135">
        <v>0</v>
      </c>
      <c r="S49" s="1135">
        <v>6398052.5066929813</v>
      </c>
      <c r="T49" s="1135">
        <v>840466667.54587603</v>
      </c>
    </row>
    <row r="50" spans="2:20">
      <c r="B50" s="1130">
        <v>11</v>
      </c>
      <c r="C50" s="1131">
        <v>2023</v>
      </c>
      <c r="D50" s="1132">
        <v>76</v>
      </c>
      <c r="E50" s="1133">
        <v>45260</v>
      </c>
      <c r="F50" s="1134">
        <v>5.9819691580541678E-2</v>
      </c>
      <c r="G50" s="1135">
        <v>280155555.84862697</v>
      </c>
      <c r="H50" s="1135">
        <v>6398052.5066929813</v>
      </c>
      <c r="I50" s="1135">
        <v>560311111.69724905</v>
      </c>
      <c r="J50" s="1128"/>
      <c r="K50" s="1135">
        <v>4206783.629931788</v>
      </c>
      <c r="M50" s="1130">
        <v>11</v>
      </c>
      <c r="N50" s="1131">
        <v>2023</v>
      </c>
      <c r="O50" s="1132">
        <v>76</v>
      </c>
      <c r="P50" s="1133">
        <v>45260</v>
      </c>
      <c r="Q50" s="1134">
        <v>5.9819691580541678E-2</v>
      </c>
      <c r="R50" s="1135">
        <v>280155555.84862697</v>
      </c>
      <c r="S50" s="1135">
        <v>6398052.5066929813</v>
      </c>
      <c r="T50" s="1135">
        <v>560311111.69724905</v>
      </c>
    </row>
    <row r="51" spans="2:20">
      <c r="B51" s="1130">
        <v>12</v>
      </c>
      <c r="C51" s="1131">
        <v>2023</v>
      </c>
      <c r="D51" s="1132">
        <v>77</v>
      </c>
      <c r="E51" s="1133">
        <v>45290</v>
      </c>
      <c r="F51" s="1134">
        <v>0</v>
      </c>
      <c r="G51" s="1135">
        <v>0</v>
      </c>
      <c r="H51" s="1135">
        <v>4265368.3377953079</v>
      </c>
      <c r="I51" s="1135">
        <v>560311111.69724905</v>
      </c>
      <c r="J51" s="1128"/>
      <c r="K51" s="1135"/>
      <c r="M51" s="1130">
        <v>12</v>
      </c>
      <c r="N51" s="1131">
        <v>2023</v>
      </c>
      <c r="O51" s="1132">
        <v>77</v>
      </c>
      <c r="P51" s="1133">
        <v>45290</v>
      </c>
      <c r="Q51" s="1134">
        <v>0</v>
      </c>
      <c r="R51" s="1135">
        <v>0</v>
      </c>
      <c r="S51" s="1135">
        <v>4265368.3377953079</v>
      </c>
      <c r="T51" s="1135">
        <v>560311111.69724905</v>
      </c>
    </row>
    <row r="52" spans="2:20">
      <c r="B52" s="1122">
        <v>1</v>
      </c>
      <c r="C52" s="1123">
        <v>2024</v>
      </c>
      <c r="D52" s="1124">
        <v>78</v>
      </c>
      <c r="E52" s="1125">
        <v>45321</v>
      </c>
      <c r="F52" s="1126">
        <v>0</v>
      </c>
      <c r="G52" s="1127">
        <v>0</v>
      </c>
      <c r="H52" s="1127">
        <v>4265368.3377953079</v>
      </c>
      <c r="I52" s="1127">
        <v>560311111.69724905</v>
      </c>
      <c r="J52" s="1128"/>
      <c r="K52" s="1127"/>
      <c r="M52" s="1122">
        <v>1</v>
      </c>
      <c r="N52" s="1123">
        <v>2024</v>
      </c>
      <c r="O52" s="1124">
        <v>78</v>
      </c>
      <c r="P52" s="1125">
        <v>45321</v>
      </c>
      <c r="Q52" s="1126">
        <v>0</v>
      </c>
      <c r="R52" s="1127">
        <v>0</v>
      </c>
      <c r="S52" s="1127">
        <v>4265368.3377953079</v>
      </c>
      <c r="T52" s="1127">
        <v>560311111.69724905</v>
      </c>
    </row>
    <row r="53" spans="2:20">
      <c r="B53" s="1122">
        <v>2</v>
      </c>
      <c r="C53" s="1123">
        <v>2024</v>
      </c>
      <c r="D53" s="1124">
        <v>79</v>
      </c>
      <c r="E53" s="1125">
        <v>45351</v>
      </c>
      <c r="F53" s="1126">
        <v>5.9819691580541678E-2</v>
      </c>
      <c r="G53" s="1127">
        <v>280155555.84862697</v>
      </c>
      <c r="H53" s="1127">
        <v>4265368.3377953079</v>
      </c>
      <c r="I53" s="1127">
        <v>280155555.84862208</v>
      </c>
      <c r="J53" s="1128"/>
      <c r="K53" s="1127"/>
      <c r="M53" s="1122">
        <v>2</v>
      </c>
      <c r="N53" s="1123">
        <v>2024</v>
      </c>
      <c r="O53" s="1124">
        <v>79</v>
      </c>
      <c r="P53" s="1125">
        <v>45351</v>
      </c>
      <c r="Q53" s="1126">
        <v>5.9819691580541678E-2</v>
      </c>
      <c r="R53" s="1127">
        <v>280155555.84862697</v>
      </c>
      <c r="S53" s="1127">
        <v>4265368.3377953079</v>
      </c>
      <c r="T53" s="1127">
        <v>280155555.84862208</v>
      </c>
    </row>
    <row r="54" spans="2:20">
      <c r="B54" s="1122">
        <v>3</v>
      </c>
      <c r="C54" s="1123">
        <v>2024</v>
      </c>
      <c r="D54" s="1124">
        <v>80</v>
      </c>
      <c r="E54" s="1125">
        <v>45381</v>
      </c>
      <c r="F54" s="1126">
        <v>0</v>
      </c>
      <c r="G54" s="1127">
        <v>0</v>
      </c>
      <c r="H54" s="1127">
        <v>2132684.1688976358</v>
      </c>
      <c r="I54" s="1127">
        <v>280155555.84862208</v>
      </c>
      <c r="J54" s="1128"/>
      <c r="K54" s="1127"/>
      <c r="M54" s="1122">
        <v>3</v>
      </c>
      <c r="N54" s="1123">
        <v>2024</v>
      </c>
      <c r="O54" s="1124">
        <v>80</v>
      </c>
      <c r="P54" s="1125">
        <v>45381</v>
      </c>
      <c r="Q54" s="1126">
        <v>0</v>
      </c>
      <c r="R54" s="1127">
        <v>0</v>
      </c>
      <c r="S54" s="1127">
        <v>2132684.1688976358</v>
      </c>
      <c r="T54" s="1127">
        <v>280155555.84862208</v>
      </c>
    </row>
    <row r="55" spans="2:20">
      <c r="B55" s="1122">
        <v>4</v>
      </c>
      <c r="C55" s="1123">
        <v>2024</v>
      </c>
      <c r="D55" s="1124">
        <v>81</v>
      </c>
      <c r="E55" s="1125">
        <v>45412</v>
      </c>
      <c r="F55" s="1126">
        <v>0</v>
      </c>
      <c r="G55" s="1127">
        <v>0</v>
      </c>
      <c r="H55" s="1127">
        <v>2132684.1688976358</v>
      </c>
      <c r="I55" s="1127">
        <v>280155555.84862208</v>
      </c>
      <c r="J55" s="1128"/>
      <c r="K55" s="1127"/>
      <c r="M55" s="1122">
        <v>4</v>
      </c>
      <c r="N55" s="1123">
        <v>2024</v>
      </c>
      <c r="O55" s="1124">
        <v>81</v>
      </c>
      <c r="P55" s="1125">
        <v>45412</v>
      </c>
      <c r="Q55" s="1126">
        <v>0</v>
      </c>
      <c r="R55" s="1127">
        <v>0</v>
      </c>
      <c r="S55" s="1127">
        <v>2132684.1688976358</v>
      </c>
      <c r="T55" s="1127">
        <v>280155555.84862208</v>
      </c>
    </row>
    <row r="56" spans="2:20">
      <c r="B56" s="1122">
        <v>5</v>
      </c>
      <c r="C56" s="1123">
        <v>2024</v>
      </c>
      <c r="D56" s="1124">
        <v>82</v>
      </c>
      <c r="E56" s="1125">
        <v>45442</v>
      </c>
      <c r="F56" s="1126">
        <v>5.9819691580541678E-2</v>
      </c>
      <c r="G56" s="1127">
        <v>280155555.84862697</v>
      </c>
      <c r="H56" s="1127">
        <v>2132684.1688976358</v>
      </c>
      <c r="I56" s="1127">
        <v>-4.8875808715820313E-6</v>
      </c>
      <c r="J56" s="1128"/>
      <c r="K56" s="1127"/>
      <c r="M56" s="1122">
        <v>5</v>
      </c>
      <c r="N56" s="1123">
        <v>2024</v>
      </c>
      <c r="O56" s="1124">
        <v>82</v>
      </c>
      <c r="P56" s="1125">
        <v>45442</v>
      </c>
      <c r="Q56" s="1126">
        <v>5.9819691580541678E-2</v>
      </c>
      <c r="R56" s="1127">
        <v>280155555.84862697</v>
      </c>
      <c r="S56" s="1127">
        <v>2132684.1688976358</v>
      </c>
      <c r="T56" s="1127">
        <v>-4.8875808715820313E-6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3406B-40AB-46D6-8C83-DF0DD9F2EC11}">
  <sheetPr>
    <tabColor rgb="FFFF0000"/>
    <outlinePr summaryBelow="0"/>
    <pageSetUpPr fitToPage="1"/>
  </sheetPr>
  <dimension ref="A1:BB106"/>
  <sheetViews>
    <sheetView showGridLines="0" topLeftCell="A61" workbookViewId="0">
      <selection activeCell="F87" sqref="F87"/>
    </sheetView>
  </sheetViews>
  <sheetFormatPr baseColWidth="10" defaultColWidth="0" defaultRowHeight="15" customHeight="1" zeroHeight="1" outlineLevelRow="1"/>
  <cols>
    <col min="1" max="1" width="3.26953125" customWidth="1"/>
    <col min="2" max="2" width="20.453125" bestFit="1" customWidth="1"/>
    <col min="3" max="5" width="13.81640625" style="693" bestFit="1" customWidth="1"/>
    <col min="6" max="6" width="13.26953125" style="693" bestFit="1" customWidth="1"/>
    <col min="7" max="7" width="13.81640625" style="693" bestFit="1" customWidth="1"/>
    <col min="8" max="9" width="13.26953125" style="693" bestFit="1" customWidth="1"/>
    <col min="10" max="10" width="13.81640625" style="693" bestFit="1" customWidth="1"/>
    <col min="11" max="11" width="13.26953125" style="693" bestFit="1" customWidth="1"/>
    <col min="12" max="14" width="13.81640625" style="693" bestFit="1" customWidth="1"/>
    <col min="15" max="15" width="12.453125" style="693" bestFit="1" customWidth="1"/>
    <col min="16" max="16" width="11.453125" style="693" customWidth="1"/>
    <col min="17" max="17" width="3.453125" customWidth="1"/>
    <col min="18" max="18" width="9.1796875" hidden="1" customWidth="1"/>
    <col min="19" max="19" width="16.453125" hidden="1" customWidth="1"/>
    <col min="20" max="16384" width="9.1796875" hidden="1"/>
  </cols>
  <sheetData>
    <row r="1" spans="2:31" s="184" customFormat="1" ht="12.75" customHeight="1">
      <c r="C1" s="413"/>
      <c r="D1" s="413"/>
      <c r="E1" s="413"/>
      <c r="F1" s="413"/>
      <c r="G1" s="413"/>
      <c r="H1" s="413"/>
      <c r="I1" s="413"/>
      <c r="J1" s="413"/>
      <c r="K1" s="413"/>
      <c r="L1" s="413"/>
      <c r="M1" s="413"/>
      <c r="N1" s="413"/>
      <c r="O1" s="413"/>
      <c r="P1" s="413"/>
    </row>
    <row r="2" spans="2:31" s="184" customFormat="1" ht="15" customHeight="1">
      <c r="B2"/>
      <c r="C2" s="1624" t="s">
        <v>870</v>
      </c>
      <c r="D2" s="1624"/>
      <c r="E2" s="1624"/>
      <c r="F2" s="1624"/>
      <c r="G2" s="1624"/>
      <c r="H2" s="1624"/>
      <c r="I2" s="1624"/>
      <c r="J2" s="1624"/>
      <c r="K2" s="1624"/>
      <c r="L2" s="1624"/>
      <c r="M2" s="1624"/>
      <c r="N2" s="1625"/>
      <c r="O2" s="1626" t="s">
        <v>871</v>
      </c>
      <c r="P2" s="1626"/>
    </row>
    <row r="3" spans="2:31" s="184" customFormat="1" ht="15" customHeight="1">
      <c r="B3"/>
      <c r="C3" s="1624"/>
      <c r="D3" s="1624"/>
      <c r="E3" s="1624"/>
      <c r="F3" s="1624"/>
      <c r="G3" s="1624"/>
      <c r="H3" s="1624"/>
      <c r="I3" s="1624"/>
      <c r="J3" s="1624"/>
      <c r="K3" s="1624"/>
      <c r="L3" s="1624"/>
      <c r="M3" s="1624"/>
      <c r="N3" s="1625"/>
      <c r="O3" s="1626"/>
      <c r="P3" s="1626"/>
    </row>
    <row r="4" spans="2:31" s="184" customFormat="1" thickBot="1">
      <c r="B4"/>
      <c r="C4" s="1627" t="s">
        <v>872</v>
      </c>
      <c r="D4" s="1627"/>
      <c r="E4" s="1627"/>
      <c r="F4" s="1627"/>
      <c r="G4" s="1627"/>
      <c r="H4" s="1627"/>
      <c r="I4" s="1627"/>
      <c r="J4" s="1627"/>
      <c r="K4" s="1627"/>
      <c r="L4" s="1627"/>
      <c r="M4" s="1627"/>
      <c r="N4" s="1627"/>
      <c r="O4" s="1628"/>
      <c r="P4" s="1628"/>
      <c r="S4" s="673">
        <f>DATE(RIGHT(O2,4),VLOOKUP(LEFT(O2,LEN(O2)-5),'Reporte de Seguimiento_BG 20-06'!$S$6:$T$18,2,FALSE),1)</f>
        <v>43983</v>
      </c>
      <c r="T4" s="674">
        <v>1</v>
      </c>
      <c r="U4" s="674">
        <v>2</v>
      </c>
      <c r="V4" s="674">
        <v>3</v>
      </c>
      <c r="W4" s="674">
        <v>4</v>
      </c>
      <c r="X4" s="674">
        <v>5</v>
      </c>
      <c r="Y4" s="674">
        <v>6</v>
      </c>
      <c r="Z4" s="674">
        <v>7</v>
      </c>
      <c r="AA4" s="674">
        <v>8</v>
      </c>
      <c r="AB4" s="674">
        <v>9</v>
      </c>
      <c r="AC4" s="674">
        <v>10</v>
      </c>
      <c r="AD4" s="674">
        <v>11</v>
      </c>
      <c r="AE4" s="674">
        <v>12</v>
      </c>
    </row>
    <row r="5" spans="2:31" s="184" customFormat="1" ht="13">
      <c r="B5" s="1059" t="s">
        <v>873</v>
      </c>
      <c r="C5" s="1060" t="s">
        <v>874</v>
      </c>
      <c r="D5" s="1061" t="s">
        <v>875</v>
      </c>
      <c r="E5" s="1061" t="s">
        <v>876</v>
      </c>
      <c r="F5" s="1061" t="s">
        <v>877</v>
      </c>
      <c r="G5" s="1061" t="s">
        <v>878</v>
      </c>
      <c r="H5" s="1061" t="s">
        <v>879</v>
      </c>
      <c r="I5" s="1061" t="s">
        <v>880</v>
      </c>
      <c r="J5" s="1061" t="s">
        <v>881</v>
      </c>
      <c r="K5" s="1061" t="s">
        <v>882</v>
      </c>
      <c r="L5" s="1061" t="s">
        <v>883</v>
      </c>
      <c r="M5" s="1061" t="s">
        <v>884</v>
      </c>
      <c r="N5" s="1061" t="s">
        <v>885</v>
      </c>
      <c r="O5" s="1062" t="str">
        <f>"Acum "&amp;LEFT($O$2,3)</f>
        <v>Acum JUN</v>
      </c>
      <c r="P5" s="1063" t="s">
        <v>886</v>
      </c>
      <c r="S5" s="1562" t="s">
        <v>887</v>
      </c>
      <c r="T5" s="1562" t="s">
        <v>888</v>
      </c>
      <c r="U5" s="1562" t="s">
        <v>875</v>
      </c>
      <c r="V5" s="1562" t="s">
        <v>876</v>
      </c>
      <c r="W5" s="1562" t="s">
        <v>877</v>
      </c>
      <c r="X5" s="1562" t="s">
        <v>878</v>
      </c>
      <c r="Y5" s="1562" t="s">
        <v>879</v>
      </c>
      <c r="Z5" s="1562" t="s">
        <v>880</v>
      </c>
      <c r="AA5" s="1562" t="s">
        <v>881</v>
      </c>
      <c r="AB5" s="1562" t="s">
        <v>882</v>
      </c>
      <c r="AC5" s="1562" t="s">
        <v>883</v>
      </c>
      <c r="AD5" s="1562" t="s">
        <v>884</v>
      </c>
      <c r="AE5" s="1562" t="s">
        <v>885</v>
      </c>
    </row>
    <row r="6" spans="2:31" s="184" customFormat="1" ht="13">
      <c r="B6" s="675" t="s">
        <v>889</v>
      </c>
      <c r="C6" s="1563">
        <v>429</v>
      </c>
      <c r="D6" s="1409">
        <v>344</v>
      </c>
      <c r="E6" s="1409">
        <v>305</v>
      </c>
      <c r="F6" s="1409">
        <v>25</v>
      </c>
      <c r="G6" s="1409">
        <v>40</v>
      </c>
      <c r="H6" s="1409">
        <v>82</v>
      </c>
      <c r="I6" s="676">
        <v>110</v>
      </c>
      <c r="J6" s="676">
        <v>197</v>
      </c>
      <c r="K6" s="676">
        <v>187</v>
      </c>
      <c r="L6" s="676">
        <v>132</v>
      </c>
      <c r="M6" s="676">
        <v>120</v>
      </c>
      <c r="N6" s="676">
        <v>120</v>
      </c>
      <c r="O6" s="677">
        <f>SUM(T6:AE6)</f>
        <v>1225</v>
      </c>
      <c r="P6" s="678">
        <f>SUM(C6:N6)</f>
        <v>2091</v>
      </c>
      <c r="S6" s="413" t="str">
        <f>+B6</f>
        <v>Dias de Operacion</v>
      </c>
      <c r="T6" s="679">
        <f t="shared" ref="T6:AE8" si="0">IF(MONTH($S$4)&gt;=T$4,C6,0)</f>
        <v>429</v>
      </c>
      <c r="U6" s="679">
        <f t="shared" si="0"/>
        <v>344</v>
      </c>
      <c r="V6" s="679">
        <f t="shared" si="0"/>
        <v>305</v>
      </c>
      <c r="W6" s="679">
        <f t="shared" si="0"/>
        <v>25</v>
      </c>
      <c r="X6" s="679">
        <f t="shared" si="0"/>
        <v>40</v>
      </c>
      <c r="Y6" s="679">
        <f t="shared" si="0"/>
        <v>82</v>
      </c>
      <c r="Z6" s="679">
        <f t="shared" si="0"/>
        <v>0</v>
      </c>
      <c r="AA6" s="679">
        <f t="shared" si="0"/>
        <v>0</v>
      </c>
      <c r="AB6" s="679">
        <f t="shared" si="0"/>
        <v>0</v>
      </c>
      <c r="AC6" s="679">
        <f t="shared" si="0"/>
        <v>0</v>
      </c>
      <c r="AD6" s="679">
        <f t="shared" si="0"/>
        <v>0</v>
      </c>
      <c r="AE6" s="679">
        <f t="shared" si="0"/>
        <v>0</v>
      </c>
    </row>
    <row r="7" spans="2:31" s="184" customFormat="1" ht="13">
      <c r="B7" s="675" t="s">
        <v>890</v>
      </c>
      <c r="C7" s="680">
        <v>20</v>
      </c>
      <c r="D7" s="681">
        <v>16</v>
      </c>
      <c r="E7" s="681">
        <v>16</v>
      </c>
      <c r="F7" s="681">
        <v>3</v>
      </c>
      <c r="G7" s="681">
        <v>2</v>
      </c>
      <c r="H7" s="681">
        <v>7</v>
      </c>
      <c r="I7" s="682">
        <v>7</v>
      </c>
      <c r="J7" s="682">
        <v>9</v>
      </c>
      <c r="K7" s="682">
        <v>9</v>
      </c>
      <c r="L7" s="682">
        <v>7</v>
      </c>
      <c r="M7" s="682">
        <v>6</v>
      </c>
      <c r="N7" s="682">
        <v>6</v>
      </c>
      <c r="O7" s="683">
        <f>SUM(T7:AE7)</f>
        <v>64</v>
      </c>
      <c r="P7" s="684">
        <f>SUM(C7:N7)</f>
        <v>108</v>
      </c>
      <c r="S7" s="413" t="str">
        <f>+B7</f>
        <v>Cabinas en Operación</v>
      </c>
      <c r="T7" s="685">
        <f t="shared" si="0"/>
        <v>20</v>
      </c>
      <c r="U7" s="685">
        <f t="shared" si="0"/>
        <v>16</v>
      </c>
      <c r="V7" s="685">
        <f t="shared" si="0"/>
        <v>16</v>
      </c>
      <c r="W7" s="685">
        <f t="shared" si="0"/>
        <v>3</v>
      </c>
      <c r="X7" s="685">
        <f t="shared" si="0"/>
        <v>2</v>
      </c>
      <c r="Y7" s="685">
        <f t="shared" si="0"/>
        <v>7</v>
      </c>
      <c r="Z7" s="685">
        <f t="shared" si="0"/>
        <v>0</v>
      </c>
      <c r="AA7" s="685">
        <f t="shared" si="0"/>
        <v>0</v>
      </c>
      <c r="AB7" s="685">
        <f t="shared" si="0"/>
        <v>0</v>
      </c>
      <c r="AC7" s="685">
        <f t="shared" si="0"/>
        <v>0</v>
      </c>
      <c r="AD7" s="685">
        <f t="shared" si="0"/>
        <v>0</v>
      </c>
      <c r="AE7" s="685">
        <f t="shared" si="0"/>
        <v>0</v>
      </c>
    </row>
    <row r="8" spans="2:31" s="184" customFormat="1" ht="13">
      <c r="B8" s="675" t="s">
        <v>891</v>
      </c>
      <c r="C8" s="686">
        <f>C17/C6*1000</f>
        <v>4546.3848929370624</v>
      </c>
      <c r="D8" s="687">
        <f>D17/D6*1000</f>
        <v>4611.1031656104642</v>
      </c>
      <c r="E8" s="687">
        <f>E17/E6*1000</f>
        <v>6078.3137789836055</v>
      </c>
      <c r="F8" s="687">
        <v>4931.6790842500004</v>
      </c>
      <c r="G8" s="687">
        <v>4928.9810115</v>
      </c>
      <c r="H8" s="687">
        <f>IFERROR(H17/H6*1000,0)</f>
        <v>4522.4517430487813</v>
      </c>
      <c r="I8" s="676">
        <f>IFERROR(I17/I6*1000,0)</f>
        <v>4478.764112529092</v>
      </c>
      <c r="J8" s="676">
        <f>IFERROR(J17/J6*1000,0)</f>
        <v>4479.6082333543154</v>
      </c>
      <c r="K8" s="676">
        <f>K17/K6*1000</f>
        <v>4301.8992871347591</v>
      </c>
      <c r="L8" s="676">
        <f>L17/L6*1000</f>
        <v>4332.3430812939387</v>
      </c>
      <c r="M8" s="676">
        <f>M17/M6*1000</f>
        <v>4147.1630933083334</v>
      </c>
      <c r="N8" s="676">
        <f>N17/N6*1000</f>
        <v>4334.5526800333337</v>
      </c>
      <c r="O8" s="677">
        <f>O17/O6*1000</f>
        <v>5308.2320110693872</v>
      </c>
      <c r="P8" s="678">
        <f>AVERAGE(C8:N8)</f>
        <v>4641.1036803319739</v>
      </c>
      <c r="S8" s="413" t="str">
        <f>+B8</f>
        <v>Tarifa ML (COP$ miles)</v>
      </c>
      <c r="T8" s="679">
        <f t="shared" si="0"/>
        <v>4546.3848929370624</v>
      </c>
      <c r="U8" s="679">
        <f t="shared" si="0"/>
        <v>4611.1031656104642</v>
      </c>
      <c r="V8" s="679">
        <f t="shared" si="0"/>
        <v>6078.3137789836055</v>
      </c>
      <c r="W8" s="679">
        <f t="shared" si="0"/>
        <v>4931.6790842500004</v>
      </c>
      <c r="X8" s="679">
        <f t="shared" si="0"/>
        <v>4928.9810115</v>
      </c>
      <c r="Y8" s="679">
        <f t="shared" si="0"/>
        <v>4522.4517430487813</v>
      </c>
      <c r="Z8" s="679">
        <f t="shared" si="0"/>
        <v>0</v>
      </c>
      <c r="AA8" s="679">
        <f t="shared" si="0"/>
        <v>0</v>
      </c>
      <c r="AB8" s="679">
        <f t="shared" si="0"/>
        <v>0</v>
      </c>
      <c r="AC8" s="679">
        <f t="shared" si="0"/>
        <v>0</v>
      </c>
      <c r="AD8" s="679">
        <f t="shared" si="0"/>
        <v>0</v>
      </c>
      <c r="AE8" s="679">
        <f t="shared" si="0"/>
        <v>0</v>
      </c>
    </row>
    <row r="9" spans="2:31" s="184" customFormat="1" ht="13" outlineLevel="1">
      <c r="B9" s="675" t="s">
        <v>892</v>
      </c>
      <c r="C9" s="686">
        <f>C8/3800*1000</f>
        <v>1196.4170770887006</v>
      </c>
      <c r="D9" s="687">
        <f>D8/3800*1000</f>
        <v>1213.4482014764378</v>
      </c>
      <c r="E9" s="687">
        <f>E8/3800*1000</f>
        <v>1599.5562576272646</v>
      </c>
      <c r="F9" s="687">
        <f>F8/3800*1000</f>
        <v>1297.8102853289474</v>
      </c>
      <c r="G9" s="687">
        <f>IFERROR(G8/3800*1000,"")</f>
        <v>1297.1002661842106</v>
      </c>
      <c r="H9" s="687">
        <f t="shared" ref="H9:N9" si="1">IFERROR(H8/3600*1000,"")</f>
        <v>1256.2365952913281</v>
      </c>
      <c r="I9" s="676">
        <f t="shared" si="1"/>
        <v>1244.1011423691923</v>
      </c>
      <c r="J9" s="676">
        <f t="shared" si="1"/>
        <v>1244.3356203761989</v>
      </c>
      <c r="K9" s="676">
        <f t="shared" si="1"/>
        <v>1194.9720242040999</v>
      </c>
      <c r="L9" s="676">
        <f t="shared" si="1"/>
        <v>1203.4286336927607</v>
      </c>
      <c r="M9" s="676">
        <f t="shared" si="1"/>
        <v>1151.9897481412038</v>
      </c>
      <c r="N9" s="676">
        <f t="shared" si="1"/>
        <v>1204.0424111203704</v>
      </c>
      <c r="O9" s="677">
        <f t="shared" ref="O9:P9" si="2">O8/3300*1000</f>
        <v>1608.5551548695112</v>
      </c>
      <c r="P9" s="678">
        <f t="shared" si="2"/>
        <v>1406.3950546460526</v>
      </c>
      <c r="S9" s="413"/>
      <c r="T9" s="679"/>
      <c r="U9" s="679"/>
      <c r="V9" s="679"/>
      <c r="W9" s="679"/>
      <c r="X9" s="679"/>
      <c r="Y9" s="679"/>
      <c r="Z9" s="679"/>
      <c r="AA9" s="679"/>
      <c r="AB9" s="679"/>
      <c r="AC9" s="679"/>
      <c r="AD9" s="679"/>
      <c r="AE9" s="679"/>
    </row>
    <row r="10" spans="2:31" s="184" customFormat="1" ht="13">
      <c r="B10" s="675" t="s">
        <v>893</v>
      </c>
      <c r="C10" s="686">
        <v>155</v>
      </c>
      <c r="D10" s="687">
        <v>145</v>
      </c>
      <c r="E10" s="687">
        <v>142</v>
      </c>
      <c r="F10" s="687">
        <f t="shared" ref="F10:N10" si="3">+F11+F12</f>
        <v>128</v>
      </c>
      <c r="G10" s="687">
        <f t="shared" si="3"/>
        <v>116</v>
      </c>
      <c r="H10" s="687">
        <f t="shared" si="3"/>
        <v>80</v>
      </c>
      <c r="I10" s="676">
        <f t="shared" si="3"/>
        <v>44</v>
      </c>
      <c r="J10" s="676">
        <f t="shared" si="3"/>
        <v>44</v>
      </c>
      <c r="K10" s="676">
        <f t="shared" si="3"/>
        <v>44</v>
      </c>
      <c r="L10" s="676">
        <f t="shared" si="3"/>
        <v>44</v>
      </c>
      <c r="M10" s="676">
        <f t="shared" si="3"/>
        <v>44</v>
      </c>
      <c r="N10" s="676">
        <f t="shared" si="3"/>
        <v>44</v>
      </c>
      <c r="O10" s="677">
        <f>G10</f>
        <v>116</v>
      </c>
      <c r="P10" s="678">
        <f>N10</f>
        <v>44</v>
      </c>
      <c r="S10" s="413" t="str">
        <f>+B10</f>
        <v>Personal Total</v>
      </c>
      <c r="T10" s="679">
        <f t="shared" ref="T10:AE10" si="4">IF(MONTH($S$4)&gt;=T$4,C10,0)</f>
        <v>155</v>
      </c>
      <c r="U10" s="679">
        <f t="shared" si="4"/>
        <v>145</v>
      </c>
      <c r="V10" s="679">
        <f t="shared" si="4"/>
        <v>142</v>
      </c>
      <c r="W10" s="679">
        <f t="shared" si="4"/>
        <v>128</v>
      </c>
      <c r="X10" s="679">
        <f t="shared" si="4"/>
        <v>116</v>
      </c>
      <c r="Y10" s="679">
        <f t="shared" si="4"/>
        <v>80</v>
      </c>
      <c r="Z10" s="679">
        <f t="shared" si="4"/>
        <v>0</v>
      </c>
      <c r="AA10" s="679">
        <f t="shared" si="4"/>
        <v>0</v>
      </c>
      <c r="AB10" s="679">
        <f t="shared" si="4"/>
        <v>0</v>
      </c>
      <c r="AC10" s="679">
        <f t="shared" si="4"/>
        <v>0</v>
      </c>
      <c r="AD10" s="679">
        <f t="shared" si="4"/>
        <v>0</v>
      </c>
      <c r="AE10" s="679">
        <f t="shared" si="4"/>
        <v>0</v>
      </c>
    </row>
    <row r="11" spans="2:31" s="184" customFormat="1" ht="13">
      <c r="B11" s="675" t="s">
        <v>894</v>
      </c>
      <c r="C11" s="686">
        <f>+C10-C12</f>
        <v>118</v>
      </c>
      <c r="D11" s="687">
        <f>+D10-D12</f>
        <v>115</v>
      </c>
      <c r="E11" s="687">
        <f>+E10-E12</f>
        <v>114</v>
      </c>
      <c r="F11" s="687">
        <f>75+29</f>
        <v>104</v>
      </c>
      <c r="G11" s="687">
        <f>75+27</f>
        <v>102</v>
      </c>
      <c r="H11" s="687">
        <f>44+27</f>
        <v>71</v>
      </c>
      <c r="I11" s="676">
        <f t="shared" ref="I11:N11" si="5">22+20</f>
        <v>42</v>
      </c>
      <c r="J11" s="676">
        <f t="shared" si="5"/>
        <v>42</v>
      </c>
      <c r="K11" s="676">
        <f t="shared" si="5"/>
        <v>42</v>
      </c>
      <c r="L11" s="676">
        <f t="shared" si="5"/>
        <v>42</v>
      </c>
      <c r="M11" s="676">
        <f t="shared" si="5"/>
        <v>42</v>
      </c>
      <c r="N11" s="676">
        <f t="shared" si="5"/>
        <v>42</v>
      </c>
      <c r="O11" s="677">
        <f>G11</f>
        <v>102</v>
      </c>
      <c r="P11" s="678">
        <f>N11</f>
        <v>42</v>
      </c>
      <c r="S11" s="413"/>
      <c r="T11" s="679"/>
      <c r="U11" s="679"/>
      <c r="V11" s="679"/>
      <c r="W11" s="679"/>
      <c r="X11" s="679"/>
      <c r="Y11" s="679"/>
      <c r="Z11" s="679"/>
      <c r="AA11" s="679"/>
      <c r="AB11" s="679"/>
      <c r="AC11" s="679"/>
      <c r="AD11" s="679"/>
      <c r="AE11" s="679"/>
    </row>
    <row r="12" spans="2:31" s="184" customFormat="1" ht="13.5" thickBot="1">
      <c r="B12" s="688" t="s">
        <v>895</v>
      </c>
      <c r="C12" s="689">
        <v>37</v>
      </c>
      <c r="D12" s="1064">
        <f>5+25</f>
        <v>30</v>
      </c>
      <c r="E12" s="1064">
        <f>23+5</f>
        <v>28</v>
      </c>
      <c r="F12" s="1064">
        <f>20+4</f>
        <v>24</v>
      </c>
      <c r="G12" s="1410">
        <f>11+3</f>
        <v>14</v>
      </c>
      <c r="H12" s="1410">
        <f>7+2</f>
        <v>9</v>
      </c>
      <c r="I12" s="1411">
        <v>2</v>
      </c>
      <c r="J12" s="1411">
        <v>2</v>
      </c>
      <c r="K12" s="1411">
        <v>2</v>
      </c>
      <c r="L12" s="1411">
        <v>2</v>
      </c>
      <c r="M12" s="1411">
        <v>2</v>
      </c>
      <c r="N12" s="1411">
        <v>2</v>
      </c>
      <c r="O12" s="690">
        <f>G12</f>
        <v>14</v>
      </c>
      <c r="P12" s="691">
        <f>N12</f>
        <v>2</v>
      </c>
      <c r="S12" s="413" t="str">
        <f>+B12</f>
        <v>Personal Temporal</v>
      </c>
      <c r="T12" s="679">
        <f t="shared" ref="T12:AE12" si="6">IF(MONTH($S$4)&gt;=T$4,C12,0)</f>
        <v>37</v>
      </c>
      <c r="U12" s="679">
        <f t="shared" si="6"/>
        <v>30</v>
      </c>
      <c r="V12" s="679">
        <f t="shared" si="6"/>
        <v>28</v>
      </c>
      <c r="W12" s="679">
        <f t="shared" si="6"/>
        <v>24</v>
      </c>
      <c r="X12" s="679">
        <f t="shared" si="6"/>
        <v>14</v>
      </c>
      <c r="Y12" s="679">
        <f t="shared" si="6"/>
        <v>9</v>
      </c>
      <c r="Z12" s="679">
        <f t="shared" si="6"/>
        <v>0</v>
      </c>
      <c r="AA12" s="679">
        <f t="shared" si="6"/>
        <v>0</v>
      </c>
      <c r="AB12" s="679">
        <f t="shared" si="6"/>
        <v>0</v>
      </c>
      <c r="AC12" s="679">
        <f t="shared" si="6"/>
        <v>0</v>
      </c>
      <c r="AD12" s="679">
        <f t="shared" si="6"/>
        <v>0</v>
      </c>
      <c r="AE12" s="679">
        <f t="shared" si="6"/>
        <v>0</v>
      </c>
    </row>
    <row r="13" spans="2:31" s="184" customFormat="1" ht="7.5" customHeight="1" thickBot="1">
      <c r="B13"/>
      <c r="C13" s="692"/>
      <c r="D13" s="693"/>
      <c r="E13" s="693"/>
      <c r="F13" s="693"/>
      <c r="G13" s="693"/>
      <c r="H13" s="693"/>
      <c r="I13" s="693"/>
      <c r="J13" s="693"/>
      <c r="K13" s="693"/>
      <c r="L13" s="693"/>
      <c r="M13" s="693"/>
      <c r="N13" s="693"/>
      <c r="O13" s="694"/>
      <c r="P13" s="694"/>
      <c r="S13" s="413"/>
      <c r="T13" s="674"/>
      <c r="U13" s="674"/>
      <c r="V13" s="674"/>
      <c r="W13" s="674"/>
      <c r="X13" s="674"/>
      <c r="Y13" s="674"/>
      <c r="Z13" s="674"/>
      <c r="AA13" s="674"/>
      <c r="AB13" s="674"/>
      <c r="AC13" s="674"/>
      <c r="AD13" s="674"/>
      <c r="AE13" s="674"/>
    </row>
    <row r="14" spans="2:31" s="184" customFormat="1" ht="13">
      <c r="B14" s="1059" t="s">
        <v>896</v>
      </c>
      <c r="C14" s="1060" t="s">
        <v>874</v>
      </c>
      <c r="D14" s="1061" t="s">
        <v>875</v>
      </c>
      <c r="E14" s="1061" t="s">
        <v>876</v>
      </c>
      <c r="F14" s="1061" t="s">
        <v>877</v>
      </c>
      <c r="G14" s="1061" t="s">
        <v>878</v>
      </c>
      <c r="H14" s="1061" t="s">
        <v>879</v>
      </c>
      <c r="I14" s="1061" t="s">
        <v>880</v>
      </c>
      <c r="J14" s="1061" t="s">
        <v>881</v>
      </c>
      <c r="K14" s="1061" t="s">
        <v>882</v>
      </c>
      <c r="L14" s="1061" t="s">
        <v>883</v>
      </c>
      <c r="M14" s="1061" t="s">
        <v>884</v>
      </c>
      <c r="N14" s="1061" t="s">
        <v>885</v>
      </c>
      <c r="O14" s="1062" t="str">
        <f>"Acum "&amp;LEFT($O$2,3)</f>
        <v>Acum JUN</v>
      </c>
      <c r="P14" s="1063" t="s">
        <v>886</v>
      </c>
      <c r="S14" s="1562" t="s">
        <v>897</v>
      </c>
      <c r="T14" s="1562" t="s">
        <v>888</v>
      </c>
      <c r="U14" s="1562" t="s">
        <v>875</v>
      </c>
      <c r="V14" s="1562" t="s">
        <v>876</v>
      </c>
      <c r="W14" s="1562" t="s">
        <v>877</v>
      </c>
      <c r="X14" s="1562" t="s">
        <v>878</v>
      </c>
      <c r="Y14" s="1562" t="s">
        <v>879</v>
      </c>
      <c r="Z14" s="1562" t="s">
        <v>880</v>
      </c>
      <c r="AA14" s="1562" t="s">
        <v>881</v>
      </c>
      <c r="AB14" s="1562" t="s">
        <v>882</v>
      </c>
      <c r="AC14" s="1562" t="s">
        <v>883</v>
      </c>
      <c r="AD14" s="1562" t="s">
        <v>884</v>
      </c>
      <c r="AE14" s="1562" t="s">
        <v>885</v>
      </c>
    </row>
    <row r="15" spans="2:31" s="184" customFormat="1" ht="13">
      <c r="B15" s="675" t="s">
        <v>898</v>
      </c>
      <c r="C15" s="1564">
        <v>976.94844864000004</v>
      </c>
      <c r="D15" s="695">
        <v>1028.9742510999999</v>
      </c>
      <c r="E15" s="695">
        <v>957.86658106000004</v>
      </c>
      <c r="F15" s="695">
        <v>804.32309081000005</v>
      </c>
      <c r="G15" s="695">
        <v>644.19455078999999</v>
      </c>
      <c r="H15" s="695">
        <v>877.14804475000005</v>
      </c>
      <c r="I15" s="695">
        <v>1117.23890689</v>
      </c>
      <c r="J15" s="695">
        <v>1688.7400678199999</v>
      </c>
      <c r="K15" s="695">
        <v>1194.37995181</v>
      </c>
      <c r="L15" s="695">
        <v>1444.8642172100001</v>
      </c>
      <c r="M15" s="695">
        <v>1860.8430799499999</v>
      </c>
      <c r="N15" s="695">
        <v>1555.01265463</v>
      </c>
      <c r="O15" s="696">
        <f>SUM(T15:AE15)</f>
        <v>5289.4549671499999</v>
      </c>
      <c r="P15" s="697">
        <f>SUM(C15:N15)</f>
        <v>14150.533845460001</v>
      </c>
      <c r="S15" s="413">
        <v>2018</v>
      </c>
      <c r="T15" s="679">
        <f t="shared" ref="T15:AE18" si="7">IF(MONTH($S$4)&gt;=T$4,C15,0)</f>
        <v>976.94844864000004</v>
      </c>
      <c r="U15" s="679">
        <f t="shared" si="7"/>
        <v>1028.9742510999999</v>
      </c>
      <c r="V15" s="679">
        <f t="shared" si="7"/>
        <v>957.86658106000004</v>
      </c>
      <c r="W15" s="679">
        <f t="shared" si="7"/>
        <v>804.32309081000005</v>
      </c>
      <c r="X15" s="679">
        <f t="shared" si="7"/>
        <v>644.19455078999999</v>
      </c>
      <c r="Y15" s="679">
        <f t="shared" si="7"/>
        <v>877.14804475000005</v>
      </c>
      <c r="Z15" s="679">
        <f t="shared" si="7"/>
        <v>0</v>
      </c>
      <c r="AA15" s="679">
        <f t="shared" si="7"/>
        <v>0</v>
      </c>
      <c r="AB15" s="679">
        <f t="shared" si="7"/>
        <v>0</v>
      </c>
      <c r="AC15" s="679">
        <f t="shared" si="7"/>
        <v>0</v>
      </c>
      <c r="AD15" s="679">
        <f t="shared" si="7"/>
        <v>0</v>
      </c>
      <c r="AE15" s="679">
        <f t="shared" si="7"/>
        <v>0</v>
      </c>
    </row>
    <row r="16" spans="2:31" s="184" customFormat="1" ht="13">
      <c r="B16" s="675" t="s">
        <v>899</v>
      </c>
      <c r="C16" s="698">
        <v>1571.8081952499999</v>
      </c>
      <c r="D16" s="695">
        <v>1270.13219377</v>
      </c>
      <c r="E16" s="695">
        <v>1816.16514104</v>
      </c>
      <c r="F16" s="695">
        <v>1521.21518292</v>
      </c>
      <c r="G16" s="695">
        <v>1773.13543863</v>
      </c>
      <c r="H16" s="695">
        <v>1530.11486666</v>
      </c>
      <c r="I16" s="695">
        <v>1745.3978690599999</v>
      </c>
      <c r="J16" s="695">
        <v>1910.61006845</v>
      </c>
      <c r="K16" s="695">
        <v>1833.0731707800001</v>
      </c>
      <c r="L16" s="695">
        <v>2331.2516409300001</v>
      </c>
      <c r="M16" s="695">
        <v>2044.4513902599999</v>
      </c>
      <c r="N16" s="695">
        <v>1881.9958014599999</v>
      </c>
      <c r="O16" s="696">
        <f>SUM(T16:AE16)</f>
        <v>9482.5710182700004</v>
      </c>
      <c r="P16" s="697">
        <f>SUM(C16:N16)</f>
        <v>21229.350959210002</v>
      </c>
      <c r="S16" s="413">
        <v>2019</v>
      </c>
      <c r="T16" s="679">
        <f t="shared" si="7"/>
        <v>1571.8081952499999</v>
      </c>
      <c r="U16" s="679">
        <f t="shared" si="7"/>
        <v>1270.13219377</v>
      </c>
      <c r="V16" s="679">
        <f t="shared" si="7"/>
        <v>1816.16514104</v>
      </c>
      <c r="W16" s="679">
        <f t="shared" si="7"/>
        <v>1521.21518292</v>
      </c>
      <c r="X16" s="679">
        <f t="shared" si="7"/>
        <v>1773.13543863</v>
      </c>
      <c r="Y16" s="679">
        <f t="shared" si="7"/>
        <v>1530.11486666</v>
      </c>
      <c r="Z16" s="679">
        <f t="shared" si="7"/>
        <v>0</v>
      </c>
      <c r="AA16" s="679">
        <f t="shared" si="7"/>
        <v>0</v>
      </c>
      <c r="AB16" s="679">
        <f t="shared" si="7"/>
        <v>0</v>
      </c>
      <c r="AC16" s="679">
        <f t="shared" si="7"/>
        <v>0</v>
      </c>
      <c r="AD16" s="679">
        <f t="shared" si="7"/>
        <v>0</v>
      </c>
      <c r="AE16" s="679">
        <f t="shared" si="7"/>
        <v>0</v>
      </c>
    </row>
    <row r="17" spans="2:54" s="184" customFormat="1" ht="13">
      <c r="B17" s="699" t="s">
        <v>900</v>
      </c>
      <c r="C17" s="700">
        <v>1950.3991190699999</v>
      </c>
      <c r="D17" s="701">
        <v>1586.2194889699997</v>
      </c>
      <c r="E17" s="701">
        <v>1853.8857025899997</v>
      </c>
      <c r="F17" s="701">
        <v>358.79537143000005</v>
      </c>
      <c r="G17" s="701">
        <v>382.44348857</v>
      </c>
      <c r="H17" s="701">
        <v>370.84104293000001</v>
      </c>
      <c r="I17" s="702">
        <v>492.6640523782001</v>
      </c>
      <c r="J17" s="702">
        <v>882.48282197080016</v>
      </c>
      <c r="K17" s="702">
        <v>804.45516669419999</v>
      </c>
      <c r="L17" s="702">
        <v>571.8692867307999</v>
      </c>
      <c r="M17" s="702">
        <v>497.65957119700005</v>
      </c>
      <c r="N17" s="702">
        <v>520.14632160400004</v>
      </c>
      <c r="O17" s="703">
        <f>SUM(T17:AE17)</f>
        <v>6502.5842135599996</v>
      </c>
      <c r="P17" s="704">
        <f>SUM(C17:N17)</f>
        <v>10271.861434135</v>
      </c>
      <c r="Q17" s="705"/>
      <c r="S17" s="413" t="s">
        <v>901</v>
      </c>
      <c r="T17" s="679">
        <f t="shared" si="7"/>
        <v>1950.3991190699999</v>
      </c>
      <c r="U17" s="679">
        <f t="shared" si="7"/>
        <v>1586.2194889699997</v>
      </c>
      <c r="V17" s="679">
        <f t="shared" si="7"/>
        <v>1853.8857025899997</v>
      </c>
      <c r="W17" s="679">
        <f t="shared" si="7"/>
        <v>358.79537143000005</v>
      </c>
      <c r="X17" s="679">
        <f t="shared" si="7"/>
        <v>382.44348857</v>
      </c>
      <c r="Y17" s="679">
        <f t="shared" si="7"/>
        <v>370.84104293000001</v>
      </c>
      <c r="Z17" s="679">
        <f t="shared" si="7"/>
        <v>0</v>
      </c>
      <c r="AA17" s="679">
        <f t="shared" si="7"/>
        <v>0</v>
      </c>
      <c r="AB17" s="679">
        <f t="shared" si="7"/>
        <v>0</v>
      </c>
      <c r="AC17" s="679">
        <f t="shared" si="7"/>
        <v>0</v>
      </c>
      <c r="AD17" s="679">
        <f t="shared" si="7"/>
        <v>0</v>
      </c>
      <c r="AE17" s="679">
        <f t="shared" si="7"/>
        <v>0</v>
      </c>
    </row>
    <row r="18" spans="2:54" s="184" customFormat="1" ht="13">
      <c r="B18" s="706" t="s">
        <v>902</v>
      </c>
      <c r="C18" s="707">
        <v>1949.3336890983501</v>
      </c>
      <c r="D18" s="708">
        <v>1449.89302030155</v>
      </c>
      <c r="E18" s="708">
        <v>1724.07502030155</v>
      </c>
      <c r="F18" s="708">
        <v>1813.6861923705001</v>
      </c>
      <c r="G18" s="708">
        <v>1896.8461923704999</v>
      </c>
      <c r="H18" s="708">
        <v>1805.4654773298</v>
      </c>
      <c r="I18" s="709">
        <v>1875.0039437646001</v>
      </c>
      <c r="J18" s="709">
        <v>1696.6231588052999</v>
      </c>
      <c r="K18" s="709">
        <v>1878.8385437646</v>
      </c>
      <c r="L18" s="709">
        <v>1791.00427169565</v>
      </c>
      <c r="M18" s="709">
        <v>1953.3081716956499</v>
      </c>
      <c r="N18" s="709">
        <v>1963.10845665495</v>
      </c>
      <c r="O18" s="710">
        <f>SUM(T18:AE18)</f>
        <v>10639.299591772251</v>
      </c>
      <c r="P18" s="711">
        <f>SUM(C18:N18)</f>
        <v>21797.186138153003</v>
      </c>
      <c r="Q18" s="705"/>
      <c r="S18" s="413" t="s">
        <v>903</v>
      </c>
      <c r="T18" s="679">
        <f t="shared" si="7"/>
        <v>1949.3336890983501</v>
      </c>
      <c r="U18" s="679">
        <f t="shared" si="7"/>
        <v>1449.89302030155</v>
      </c>
      <c r="V18" s="679">
        <f t="shared" si="7"/>
        <v>1724.07502030155</v>
      </c>
      <c r="W18" s="679">
        <f t="shared" si="7"/>
        <v>1813.6861923705001</v>
      </c>
      <c r="X18" s="679">
        <f t="shared" si="7"/>
        <v>1896.8461923704999</v>
      </c>
      <c r="Y18" s="679">
        <f t="shared" si="7"/>
        <v>1805.4654773298</v>
      </c>
      <c r="Z18" s="679">
        <f t="shared" si="7"/>
        <v>0</v>
      </c>
      <c r="AA18" s="679">
        <f t="shared" si="7"/>
        <v>0</v>
      </c>
      <c r="AB18" s="679">
        <f t="shared" si="7"/>
        <v>0</v>
      </c>
      <c r="AC18" s="679">
        <f t="shared" si="7"/>
        <v>0</v>
      </c>
      <c r="AD18" s="679">
        <f t="shared" si="7"/>
        <v>0</v>
      </c>
      <c r="AE18" s="679">
        <f t="shared" si="7"/>
        <v>0</v>
      </c>
    </row>
    <row r="19" spans="2:54" s="184" customFormat="1" ht="13">
      <c r="B19" s="712" t="s">
        <v>904</v>
      </c>
      <c r="C19" s="713">
        <f t="shared" ref="C19:P19" si="8">C17/C18</f>
        <v>1.000546561103216</v>
      </c>
      <c r="D19" s="714">
        <f t="shared" si="8"/>
        <v>1.0940251913483219</v>
      </c>
      <c r="E19" s="714">
        <f t="shared" si="8"/>
        <v>1.0752929430331548</v>
      </c>
      <c r="F19" s="714">
        <f t="shared" si="8"/>
        <v>0.19782659918750997</v>
      </c>
      <c r="G19" s="714">
        <f t="shared" si="8"/>
        <v>0.20162071659171169</v>
      </c>
      <c r="H19" s="714">
        <f t="shared" si="8"/>
        <v>0.20539913257076328</v>
      </c>
      <c r="I19" s="715">
        <f t="shared" si="8"/>
        <v>0.26275360860790398</v>
      </c>
      <c r="J19" s="715">
        <f t="shared" si="8"/>
        <v>0.52014073802470806</v>
      </c>
      <c r="K19" s="715">
        <f t="shared" si="8"/>
        <v>0.42816620372409731</v>
      </c>
      <c r="L19" s="715">
        <f t="shared" si="8"/>
        <v>0.31930090607175232</v>
      </c>
      <c r="M19" s="715">
        <f t="shared" si="8"/>
        <v>0.25477780639446468</v>
      </c>
      <c r="N19" s="715">
        <f t="shared" si="8"/>
        <v>0.26496056284649006</v>
      </c>
      <c r="O19" s="716">
        <f t="shared" si="8"/>
        <v>0.61118536586644101</v>
      </c>
      <c r="P19" s="717">
        <f t="shared" si="8"/>
        <v>0.47124713112191607</v>
      </c>
    </row>
    <row r="20" spans="2:54" s="184" customFormat="1" ht="13">
      <c r="B20" s="718" t="s">
        <v>905</v>
      </c>
      <c r="C20" s="719">
        <f t="shared" ref="C20:P21" si="9">C16/C15-1</f>
        <v>0.60889573798709451</v>
      </c>
      <c r="D20" s="720">
        <f t="shared" si="9"/>
        <v>0.23436732494734058</v>
      </c>
      <c r="E20" s="720">
        <f t="shared" si="9"/>
        <v>0.89605230723279283</v>
      </c>
      <c r="F20" s="720">
        <f t="shared" si="9"/>
        <v>0.89129865883627435</v>
      </c>
      <c r="G20" s="720">
        <f t="shared" si="9"/>
        <v>1.7524843798438487</v>
      </c>
      <c r="H20" s="720">
        <f t="shared" si="9"/>
        <v>0.74442031287444177</v>
      </c>
      <c r="I20" s="720">
        <f t="shared" si="9"/>
        <v>0.56224229061139086</v>
      </c>
      <c r="J20" s="720">
        <f t="shared" si="9"/>
        <v>0.1313819721920928</v>
      </c>
      <c r="K20" s="720">
        <f t="shared" si="9"/>
        <v>0.53474877739039806</v>
      </c>
      <c r="L20" s="720">
        <f t="shared" si="9"/>
        <v>0.61347454879296137</v>
      </c>
      <c r="M20" s="720">
        <f t="shared" si="9"/>
        <v>9.8669421558605253E-2</v>
      </c>
      <c r="N20" s="720">
        <f t="shared" si="9"/>
        <v>0.21027683977774592</v>
      </c>
      <c r="O20" s="721">
        <f t="shared" si="9"/>
        <v>0.79273121279247505</v>
      </c>
      <c r="P20" s="722">
        <f t="shared" si="9"/>
        <v>0.50025088742649371</v>
      </c>
    </row>
    <row r="21" spans="2:54" s="184" customFormat="1" ht="13.5" thickBot="1">
      <c r="B21" s="723" t="s">
        <v>906</v>
      </c>
      <c r="C21" s="724">
        <f t="shared" si="9"/>
        <v>0.24086330950818335</v>
      </c>
      <c r="D21" s="725">
        <f t="shared" si="9"/>
        <v>0.24886173010211721</v>
      </c>
      <c r="E21" s="725">
        <f t="shared" si="9"/>
        <v>2.0769345638029124E-2</v>
      </c>
      <c r="F21" s="725">
        <f t="shared" si="9"/>
        <v>-0.76413897556472854</v>
      </c>
      <c r="G21" s="725">
        <f t="shared" si="9"/>
        <v>-0.78431230901036408</v>
      </c>
      <c r="H21" s="725">
        <f t="shared" si="9"/>
        <v>-0.75763842897658551</v>
      </c>
      <c r="I21" s="726">
        <f t="shared" si="9"/>
        <v>-0.71773538795281744</v>
      </c>
      <c r="J21" s="726">
        <f t="shared" si="9"/>
        <v>-0.53811463859461262</v>
      </c>
      <c r="K21" s="726">
        <f t="shared" si="9"/>
        <v>-0.56114399604032594</v>
      </c>
      <c r="L21" s="726">
        <f t="shared" si="9"/>
        <v>-0.75469431240693274</v>
      </c>
      <c r="M21" s="726">
        <f t="shared" si="9"/>
        <v>-0.75658038456286758</v>
      </c>
      <c r="N21" s="726">
        <f t="shared" si="9"/>
        <v>-0.72361982890690557</v>
      </c>
      <c r="O21" s="727">
        <f t="shared" si="9"/>
        <v>-0.3142593711102698</v>
      </c>
      <c r="P21" s="728">
        <f t="shared" si="9"/>
        <v>-0.51614811711053643</v>
      </c>
    </row>
    <row r="22" spans="2:54" s="184" customFormat="1" ht="7.5" customHeight="1" thickBot="1">
      <c r="B22"/>
      <c r="C22" s="692"/>
      <c r="D22" s="692"/>
      <c r="E22" s="693"/>
      <c r="F22" s="693"/>
      <c r="G22" s="693"/>
      <c r="H22" s="693"/>
      <c r="I22" s="693"/>
      <c r="J22" s="693"/>
      <c r="K22" s="693"/>
      <c r="L22" s="693"/>
      <c r="M22" s="693"/>
      <c r="N22" s="693"/>
      <c r="O22" s="694"/>
      <c r="P22" s="694"/>
      <c r="S22" s="413"/>
      <c r="T22" s="674"/>
      <c r="U22" s="674"/>
      <c r="V22" s="674"/>
      <c r="W22" s="674"/>
      <c r="X22" s="674"/>
      <c r="Y22" s="674"/>
      <c r="Z22" s="674"/>
      <c r="AA22" s="674"/>
      <c r="AB22" s="674"/>
      <c r="AC22" s="674"/>
      <c r="AD22" s="674"/>
      <c r="AE22" s="674"/>
    </row>
    <row r="23" spans="2:54" s="184" customFormat="1" ht="13">
      <c r="B23" s="1059" t="s">
        <v>907</v>
      </c>
      <c r="C23" s="1060" t="s">
        <v>874</v>
      </c>
      <c r="D23" s="1061" t="s">
        <v>875</v>
      </c>
      <c r="E23" s="1061" t="s">
        <v>876</v>
      </c>
      <c r="F23" s="1061" t="s">
        <v>877</v>
      </c>
      <c r="G23" s="1061" t="s">
        <v>878</v>
      </c>
      <c r="H23" s="1061" t="s">
        <v>879</v>
      </c>
      <c r="I23" s="1061" t="s">
        <v>880</v>
      </c>
      <c r="J23" s="1061" t="s">
        <v>881</v>
      </c>
      <c r="K23" s="1061" t="s">
        <v>882</v>
      </c>
      <c r="L23" s="1061" t="s">
        <v>883</v>
      </c>
      <c r="M23" s="1061" t="s">
        <v>884</v>
      </c>
      <c r="N23" s="1061" t="s">
        <v>885</v>
      </c>
      <c r="O23" s="1062" t="str">
        <f>"Acum "&amp;LEFT($O$2,3)</f>
        <v>Acum JUN</v>
      </c>
      <c r="P23" s="1063" t="s">
        <v>886</v>
      </c>
      <c r="S23" s="1562" t="s">
        <v>908</v>
      </c>
      <c r="T23" s="1562" t="s">
        <v>888</v>
      </c>
      <c r="U23" s="1562" t="s">
        <v>875</v>
      </c>
      <c r="V23" s="1562" t="s">
        <v>876</v>
      </c>
      <c r="W23" s="1562" t="s">
        <v>877</v>
      </c>
      <c r="X23" s="1562" t="s">
        <v>878</v>
      </c>
      <c r="Y23" s="1562" t="s">
        <v>879</v>
      </c>
      <c r="Z23" s="1562" t="s">
        <v>880</v>
      </c>
      <c r="AA23" s="1562" t="s">
        <v>881</v>
      </c>
      <c r="AB23" s="1562" t="s">
        <v>882</v>
      </c>
      <c r="AC23" s="1562" t="s">
        <v>883</v>
      </c>
      <c r="AD23" s="1562" t="s">
        <v>884</v>
      </c>
      <c r="AE23" s="1562" t="s">
        <v>885</v>
      </c>
    </row>
    <row r="24" spans="2:54" s="184" customFormat="1" ht="13">
      <c r="B24" s="675" t="s">
        <v>898</v>
      </c>
      <c r="C24" s="698">
        <v>706.81998206000003</v>
      </c>
      <c r="D24" s="695">
        <v>727.10186700999998</v>
      </c>
      <c r="E24" s="695">
        <v>612.83807980999995</v>
      </c>
      <c r="F24" s="695">
        <v>606.97499547999996</v>
      </c>
      <c r="G24" s="695">
        <v>505.01884984999998</v>
      </c>
      <c r="H24" s="695">
        <v>616.18498879000003</v>
      </c>
      <c r="I24" s="695">
        <v>800.13194665000003</v>
      </c>
      <c r="J24" s="695">
        <v>864.28348873000004</v>
      </c>
      <c r="K24" s="695">
        <v>931.31570858999999</v>
      </c>
      <c r="L24" s="695">
        <v>1021.52465724</v>
      </c>
      <c r="M24" s="695">
        <v>1050.0185907600001</v>
      </c>
      <c r="N24" s="695">
        <v>1039.08799045</v>
      </c>
      <c r="O24" s="696">
        <f>SUM(T24:AE24)</f>
        <v>3774.9387630000001</v>
      </c>
      <c r="P24" s="697">
        <f>SUM(C24:N24)</f>
        <v>9481.3011454200005</v>
      </c>
      <c r="S24" s="413">
        <f>$S$15</f>
        <v>2018</v>
      </c>
      <c r="T24" s="679">
        <f t="shared" ref="T24:AE27" si="10">IF(MONTH($S$4)&gt;=T$4,C24,0)</f>
        <v>706.81998206000003</v>
      </c>
      <c r="U24" s="679">
        <f t="shared" si="10"/>
        <v>727.10186700999998</v>
      </c>
      <c r="V24" s="679">
        <f t="shared" si="10"/>
        <v>612.83807980999995</v>
      </c>
      <c r="W24" s="679">
        <f t="shared" si="10"/>
        <v>606.97499547999996</v>
      </c>
      <c r="X24" s="679">
        <f t="shared" si="10"/>
        <v>505.01884984999998</v>
      </c>
      <c r="Y24" s="679">
        <f t="shared" si="10"/>
        <v>616.18498879000003</v>
      </c>
      <c r="Z24" s="679">
        <f t="shared" si="10"/>
        <v>0</v>
      </c>
      <c r="AA24" s="679">
        <f t="shared" si="10"/>
        <v>0</v>
      </c>
      <c r="AB24" s="679">
        <f t="shared" si="10"/>
        <v>0</v>
      </c>
      <c r="AC24" s="679">
        <f t="shared" si="10"/>
        <v>0</v>
      </c>
      <c r="AD24" s="679">
        <f t="shared" si="10"/>
        <v>0</v>
      </c>
      <c r="AE24" s="679">
        <f t="shared" si="10"/>
        <v>0</v>
      </c>
      <c r="AN24" s="679"/>
      <c r="AO24" s="679"/>
      <c r="AP24" s="679"/>
      <c r="AQ24" s="679"/>
      <c r="AR24" s="679"/>
      <c r="AS24" s="679"/>
      <c r="AT24" s="679"/>
      <c r="AU24" s="679"/>
      <c r="AV24" s="679"/>
      <c r="AW24" s="679"/>
      <c r="AX24" s="679"/>
      <c r="AY24" s="679"/>
      <c r="AZ24" s="679"/>
      <c r="BA24" s="679"/>
      <c r="BB24" s="679"/>
    </row>
    <row r="25" spans="2:54" s="184" customFormat="1" ht="13">
      <c r="B25" s="675" t="s">
        <v>899</v>
      </c>
      <c r="C25" s="698">
        <v>1138.5907875099999</v>
      </c>
      <c r="D25" s="695">
        <v>1023.94393243</v>
      </c>
      <c r="E25" s="695">
        <v>1098.8733732999999</v>
      </c>
      <c r="F25" s="695">
        <v>1082.14053831</v>
      </c>
      <c r="G25" s="695">
        <v>1056.41970945</v>
      </c>
      <c r="H25" s="695">
        <v>1168.0652395899999</v>
      </c>
      <c r="I25" s="695">
        <v>1165.33049863</v>
      </c>
      <c r="J25" s="695">
        <v>1305.1232654600001</v>
      </c>
      <c r="K25" s="695">
        <v>1182.44874837</v>
      </c>
      <c r="L25" s="695">
        <v>1313.07952041</v>
      </c>
      <c r="M25" s="695">
        <v>1332.30631567</v>
      </c>
      <c r="N25" s="695">
        <v>1264.77173795</v>
      </c>
      <c r="O25" s="696">
        <f>SUM(T25:AE25)</f>
        <v>6568.0335805899995</v>
      </c>
      <c r="P25" s="697">
        <f>SUM(C25:N25)</f>
        <v>14131.093667079997</v>
      </c>
      <c r="Q25" s="705"/>
      <c r="S25" s="413">
        <f>$S$16</f>
        <v>2019</v>
      </c>
      <c r="T25" s="679">
        <f t="shared" si="10"/>
        <v>1138.5907875099999</v>
      </c>
      <c r="U25" s="679">
        <f t="shared" si="10"/>
        <v>1023.94393243</v>
      </c>
      <c r="V25" s="679">
        <f t="shared" si="10"/>
        <v>1098.8733732999999</v>
      </c>
      <c r="W25" s="679">
        <f t="shared" si="10"/>
        <v>1082.14053831</v>
      </c>
      <c r="X25" s="679">
        <f t="shared" si="10"/>
        <v>1056.41970945</v>
      </c>
      <c r="Y25" s="679">
        <f t="shared" si="10"/>
        <v>1168.0652395899999</v>
      </c>
      <c r="Z25" s="679">
        <f t="shared" si="10"/>
        <v>0</v>
      </c>
      <c r="AA25" s="679">
        <f t="shared" si="10"/>
        <v>0</v>
      </c>
      <c r="AB25" s="679">
        <f t="shared" si="10"/>
        <v>0</v>
      </c>
      <c r="AC25" s="679">
        <f t="shared" si="10"/>
        <v>0</v>
      </c>
      <c r="AD25" s="679">
        <f t="shared" si="10"/>
        <v>0</v>
      </c>
      <c r="AE25" s="679">
        <f t="shared" si="10"/>
        <v>0</v>
      </c>
      <c r="AN25" s="679"/>
      <c r="AO25" s="679"/>
      <c r="AP25" s="679"/>
      <c r="AQ25" s="679"/>
      <c r="AR25" s="679"/>
      <c r="AS25" s="679"/>
      <c r="AT25" s="679"/>
      <c r="AU25" s="679"/>
      <c r="AV25" s="679"/>
      <c r="AW25" s="679"/>
      <c r="AX25" s="679"/>
      <c r="AY25" s="679"/>
      <c r="AZ25" s="679"/>
      <c r="BA25" s="679"/>
      <c r="BB25" s="679"/>
    </row>
    <row r="26" spans="2:54" s="184" customFormat="1" ht="13">
      <c r="B26" s="699" t="s">
        <v>900</v>
      </c>
      <c r="C26" s="700">
        <v>1264.6535315100002</v>
      </c>
      <c r="D26" s="701">
        <v>1074.4162024899999</v>
      </c>
      <c r="E26" s="701">
        <v>957.06310078999991</v>
      </c>
      <c r="F26" s="701">
        <v>233.07126712000002</v>
      </c>
      <c r="G26" s="701">
        <v>189.48939859000001</v>
      </c>
      <c r="H26" s="701">
        <v>375.31922624000003</v>
      </c>
      <c r="I26" s="702">
        <v>452.71010739224994</v>
      </c>
      <c r="J26" s="702">
        <v>561.54128882649991</v>
      </c>
      <c r="K26" s="702">
        <v>560.88459999724989</v>
      </c>
      <c r="L26" s="702">
        <v>486.53567537649991</v>
      </c>
      <c r="M26" s="702">
        <v>441.44628401874991</v>
      </c>
      <c r="N26" s="702">
        <v>460.63020763499992</v>
      </c>
      <c r="O26" s="703">
        <f>SUM(T26:AE26)</f>
        <v>4094.0127267399994</v>
      </c>
      <c r="P26" s="704">
        <f>SUM(C26:N26)</f>
        <v>7057.7608899862498</v>
      </c>
      <c r="Q26" s="705"/>
      <c r="S26" s="413" t="str">
        <f>$S$17</f>
        <v xml:space="preserve"> 2020 (R) </v>
      </c>
      <c r="T26" s="679">
        <f t="shared" si="10"/>
        <v>1264.6535315100002</v>
      </c>
      <c r="U26" s="679">
        <f t="shared" si="10"/>
        <v>1074.4162024899999</v>
      </c>
      <c r="V26" s="679">
        <f t="shared" si="10"/>
        <v>957.06310078999991</v>
      </c>
      <c r="W26" s="679">
        <f t="shared" si="10"/>
        <v>233.07126712000002</v>
      </c>
      <c r="X26" s="679">
        <f t="shared" si="10"/>
        <v>189.48939859000001</v>
      </c>
      <c r="Y26" s="679">
        <f t="shared" si="10"/>
        <v>375.31922624000003</v>
      </c>
      <c r="Z26" s="679">
        <f t="shared" si="10"/>
        <v>0</v>
      </c>
      <c r="AA26" s="679">
        <f t="shared" si="10"/>
        <v>0</v>
      </c>
      <c r="AB26" s="679">
        <f t="shared" si="10"/>
        <v>0</v>
      </c>
      <c r="AC26" s="679">
        <f t="shared" si="10"/>
        <v>0</v>
      </c>
      <c r="AD26" s="679">
        <f t="shared" si="10"/>
        <v>0</v>
      </c>
      <c r="AE26" s="679">
        <f t="shared" si="10"/>
        <v>0</v>
      </c>
      <c r="AQ26" s="679"/>
    </row>
    <row r="27" spans="2:54" s="184" customFormat="1" ht="13">
      <c r="B27" s="706" t="s">
        <v>902</v>
      </c>
      <c r="C27" s="707">
        <v>1255.96488905</v>
      </c>
      <c r="D27" s="708">
        <v>995.20227929587497</v>
      </c>
      <c r="E27" s="708">
        <v>1161.86471429588</v>
      </c>
      <c r="F27" s="708">
        <v>1205.4383037462501</v>
      </c>
      <c r="G27" s="708">
        <v>1245.6165237462501</v>
      </c>
      <c r="H27" s="708">
        <v>1196.4052139465</v>
      </c>
      <c r="I27" s="709">
        <v>1257.0345144055</v>
      </c>
      <c r="J27" s="709">
        <v>1138.5393654552499</v>
      </c>
      <c r="K27" s="709">
        <v>1265.6206869055</v>
      </c>
      <c r="L27" s="709">
        <v>1205.76850870513</v>
      </c>
      <c r="M27" s="709">
        <v>1329.8320674551301</v>
      </c>
      <c r="N27" s="709">
        <v>1308.0410801553801</v>
      </c>
      <c r="O27" s="710">
        <f>SUM(T27:AE27)</f>
        <v>7060.4919240807558</v>
      </c>
      <c r="P27" s="711">
        <f>SUM(C27:N27)</f>
        <v>14565.328147162649</v>
      </c>
      <c r="S27" s="413" t="str">
        <f>$S$18</f>
        <v xml:space="preserve"> 2020 (P) </v>
      </c>
      <c r="T27" s="679">
        <f t="shared" si="10"/>
        <v>1255.96488905</v>
      </c>
      <c r="U27" s="679">
        <f t="shared" si="10"/>
        <v>995.20227929587497</v>
      </c>
      <c r="V27" s="679">
        <f t="shared" si="10"/>
        <v>1161.86471429588</v>
      </c>
      <c r="W27" s="679">
        <f t="shared" si="10"/>
        <v>1205.4383037462501</v>
      </c>
      <c r="X27" s="679">
        <f t="shared" si="10"/>
        <v>1245.6165237462501</v>
      </c>
      <c r="Y27" s="679">
        <f t="shared" si="10"/>
        <v>1196.4052139465</v>
      </c>
      <c r="Z27" s="679">
        <f t="shared" si="10"/>
        <v>0</v>
      </c>
      <c r="AA27" s="679">
        <f t="shared" si="10"/>
        <v>0</v>
      </c>
      <c r="AB27" s="679">
        <f t="shared" si="10"/>
        <v>0</v>
      </c>
      <c r="AC27" s="679">
        <f t="shared" si="10"/>
        <v>0</v>
      </c>
      <c r="AD27" s="679">
        <f t="shared" si="10"/>
        <v>0</v>
      </c>
      <c r="AE27" s="679">
        <f t="shared" si="10"/>
        <v>0</v>
      </c>
    </row>
    <row r="28" spans="2:54" s="184" customFormat="1" ht="13">
      <c r="B28" s="712" t="s">
        <v>904</v>
      </c>
      <c r="C28" s="713">
        <f t="shared" ref="C28:P28" si="11">C26/C27</f>
        <v>1.0069179023520094</v>
      </c>
      <c r="D28" s="714">
        <f t="shared" si="11"/>
        <v>1.0795958016195164</v>
      </c>
      <c r="E28" s="714">
        <f t="shared" si="11"/>
        <v>0.8237302407191226</v>
      </c>
      <c r="F28" s="714">
        <f t="shared" si="11"/>
        <v>0.1933498101028176</v>
      </c>
      <c r="G28" s="714">
        <f t="shared" si="11"/>
        <v>0.1521249878896129</v>
      </c>
      <c r="H28" s="714">
        <f t="shared" si="11"/>
        <v>0.31370577615752793</v>
      </c>
      <c r="I28" s="715">
        <f t="shared" si="11"/>
        <v>0.36014135030043626</v>
      </c>
      <c r="J28" s="715">
        <f t="shared" si="11"/>
        <v>0.49321200993517267</v>
      </c>
      <c r="K28" s="715">
        <f t="shared" si="11"/>
        <v>0.44316958927768335</v>
      </c>
      <c r="L28" s="715">
        <f t="shared" si="11"/>
        <v>0.40350670287366242</v>
      </c>
      <c r="M28" s="715">
        <f t="shared" si="11"/>
        <v>0.33195641376248042</v>
      </c>
      <c r="N28" s="715">
        <f t="shared" si="11"/>
        <v>0.35215270729898057</v>
      </c>
      <c r="O28" s="716">
        <f t="shared" si="11"/>
        <v>0.57984808576535851</v>
      </c>
      <c r="P28" s="717">
        <f t="shared" si="11"/>
        <v>0.4845590033178287</v>
      </c>
    </row>
    <row r="29" spans="2:54" s="184" customFormat="1" ht="13">
      <c r="B29" s="718" t="s">
        <v>905</v>
      </c>
      <c r="C29" s="719">
        <f t="shared" ref="C29:P30" si="12">C25/C24-1</f>
        <v>0.61086389237556671</v>
      </c>
      <c r="D29" s="720">
        <f t="shared" si="12"/>
        <v>0.40825375217461457</v>
      </c>
      <c r="E29" s="720">
        <f t="shared" si="12"/>
        <v>0.79308925065604097</v>
      </c>
      <c r="F29" s="720">
        <f t="shared" si="12"/>
        <v>0.78284203858222523</v>
      </c>
      <c r="G29" s="720">
        <f t="shared" si="12"/>
        <v>1.091842135721818</v>
      </c>
      <c r="H29" s="720">
        <f t="shared" si="12"/>
        <v>0.89564053139906075</v>
      </c>
      <c r="I29" s="720">
        <f t="shared" si="12"/>
        <v>0.45642291063244844</v>
      </c>
      <c r="J29" s="720">
        <f t="shared" si="12"/>
        <v>0.51006386501468537</v>
      </c>
      <c r="K29" s="720">
        <f t="shared" si="12"/>
        <v>0.26965403618093386</v>
      </c>
      <c r="L29" s="720">
        <f t="shared" si="12"/>
        <v>0.2854114789140143</v>
      </c>
      <c r="M29" s="720">
        <f t="shared" si="12"/>
        <v>0.26884069234020047</v>
      </c>
      <c r="N29" s="720">
        <f t="shared" si="12"/>
        <v>0.21719406785007944</v>
      </c>
      <c r="O29" s="721">
        <f t="shared" si="12"/>
        <v>0.73990466943900435</v>
      </c>
      <c r="P29" s="722">
        <f t="shared" si="12"/>
        <v>0.49041713266391773</v>
      </c>
    </row>
    <row r="30" spans="2:54" s="184" customFormat="1" ht="13.5" thickBot="1">
      <c r="B30" s="723" t="s">
        <v>906</v>
      </c>
      <c r="C30" s="724">
        <f t="shared" si="12"/>
        <v>0.1107182188569158</v>
      </c>
      <c r="D30" s="725">
        <f t="shared" si="12"/>
        <v>4.9292025140693196E-2</v>
      </c>
      <c r="E30" s="725">
        <f t="shared" si="12"/>
        <v>-0.12905060396916623</v>
      </c>
      <c r="F30" s="725">
        <f t="shared" si="12"/>
        <v>-0.78462014972288907</v>
      </c>
      <c r="G30" s="725">
        <f t="shared" si="12"/>
        <v>-0.8206305723994366</v>
      </c>
      <c r="H30" s="725">
        <f t="shared" si="12"/>
        <v>-0.67868299345014327</v>
      </c>
      <c r="I30" s="726">
        <f t="shared" si="12"/>
        <v>-0.61151784156986322</v>
      </c>
      <c r="J30" s="726">
        <f t="shared" si="12"/>
        <v>-0.56974080250681869</v>
      </c>
      <c r="K30" s="726">
        <f t="shared" si="12"/>
        <v>-0.52565842640501192</v>
      </c>
      <c r="L30" s="726">
        <f t="shared" si="12"/>
        <v>-0.6294697557809884</v>
      </c>
      <c r="M30" s="726">
        <f t="shared" si="12"/>
        <v>-0.66866006801389954</v>
      </c>
      <c r="N30" s="726">
        <f t="shared" si="12"/>
        <v>-0.6357997306441947</v>
      </c>
      <c r="O30" s="727">
        <f t="shared" si="12"/>
        <v>-0.37667603606066846</v>
      </c>
      <c r="P30" s="728">
        <f t="shared" si="12"/>
        <v>-0.50055097954462546</v>
      </c>
    </row>
    <row r="31" spans="2:54" s="184" customFormat="1" ht="5.25" customHeight="1" thickBot="1">
      <c r="B31"/>
      <c r="C31" s="729"/>
      <c r="D31" s="729"/>
      <c r="E31" s="730"/>
      <c r="F31" s="730"/>
      <c r="G31" s="730"/>
      <c r="H31" s="730"/>
      <c r="I31" s="730"/>
      <c r="J31" s="730"/>
      <c r="K31" s="730"/>
      <c r="L31" s="730"/>
      <c r="M31" s="730"/>
      <c r="N31" s="730"/>
      <c r="O31" s="694"/>
      <c r="P31" s="694"/>
      <c r="S31" s="413"/>
      <c r="T31" s="674"/>
      <c r="U31" s="674"/>
      <c r="V31" s="674"/>
      <c r="W31" s="674"/>
      <c r="X31" s="674"/>
      <c r="Y31" s="674"/>
      <c r="Z31" s="674"/>
      <c r="AA31" s="674"/>
      <c r="AB31" s="674"/>
      <c r="AC31" s="674"/>
      <c r="AD31" s="674"/>
      <c r="AE31" s="674"/>
    </row>
    <row r="32" spans="2:54" s="184" customFormat="1" ht="13">
      <c r="B32" s="1069" t="s">
        <v>909</v>
      </c>
      <c r="C32" s="1070">
        <f t="shared" ref="C32:P35" si="13">(C15-C24)/C15</f>
        <v>0.27650227292549889</v>
      </c>
      <c r="D32" s="1071">
        <f t="shared" si="13"/>
        <v>0.29337214586982191</v>
      </c>
      <c r="E32" s="1071">
        <f t="shared" si="13"/>
        <v>0.36020517687148307</v>
      </c>
      <c r="F32" s="1071">
        <f t="shared" si="13"/>
        <v>0.2453592313646735</v>
      </c>
      <c r="G32" s="1071">
        <f t="shared" si="13"/>
        <v>0.21604606988575675</v>
      </c>
      <c r="H32" s="1071">
        <f t="shared" si="13"/>
        <v>0.29751312508982253</v>
      </c>
      <c r="I32" s="1071">
        <f t="shared" si="13"/>
        <v>0.28383093202752324</v>
      </c>
      <c r="J32" s="1071">
        <f t="shared" si="13"/>
        <v>0.4882080995178219</v>
      </c>
      <c r="K32" s="1071">
        <f t="shared" si="13"/>
        <v>0.2202517237679219</v>
      </c>
      <c r="L32" s="1071">
        <f t="shared" si="13"/>
        <v>0.29299608567195273</v>
      </c>
      <c r="M32" s="1071">
        <f t="shared" si="13"/>
        <v>0.435729642078034</v>
      </c>
      <c r="N32" s="1071">
        <f t="shared" si="13"/>
        <v>0.3317816499073824</v>
      </c>
      <c r="O32" s="1072">
        <f t="shared" si="13"/>
        <v>0.28632745973939788</v>
      </c>
      <c r="P32" s="1073">
        <f t="shared" si="13"/>
        <v>0.32996866061968805</v>
      </c>
    </row>
    <row r="33" spans="2:51" s="184" customFormat="1" ht="13">
      <c r="B33" s="675" t="s">
        <v>910</v>
      </c>
      <c r="C33" s="719">
        <f t="shared" si="13"/>
        <v>0.27561722164904207</v>
      </c>
      <c r="D33" s="720">
        <f t="shared" si="13"/>
        <v>0.19382884911315032</v>
      </c>
      <c r="E33" s="720">
        <f t="shared" si="13"/>
        <v>0.39494853828614596</v>
      </c>
      <c r="F33" s="720">
        <f t="shared" si="13"/>
        <v>0.2886341456092939</v>
      </c>
      <c r="G33" s="720">
        <f t="shared" si="13"/>
        <v>0.40420811268301371</v>
      </c>
      <c r="H33" s="720">
        <f t="shared" si="13"/>
        <v>0.23661597894300407</v>
      </c>
      <c r="I33" s="720">
        <f t="shared" si="13"/>
        <v>0.332341055705769</v>
      </c>
      <c r="J33" s="720">
        <f t="shared" si="13"/>
        <v>0.31690757470005726</v>
      </c>
      <c r="K33" s="720">
        <f t="shared" si="13"/>
        <v>0.35493641649511987</v>
      </c>
      <c r="L33" s="720">
        <f t="shared" si="13"/>
        <v>0.43674912765480067</v>
      </c>
      <c r="M33" s="720">
        <f t="shared" si="13"/>
        <v>0.34833064654055385</v>
      </c>
      <c r="N33" s="720">
        <f t="shared" si="13"/>
        <v>0.32796250822194967</v>
      </c>
      <c r="O33" s="731">
        <f t="shared" si="13"/>
        <v>0.30735730131254307</v>
      </c>
      <c r="P33" s="732">
        <f t="shared" si="13"/>
        <v>0.33436054195762138</v>
      </c>
    </row>
    <row r="34" spans="2:51" s="184" customFormat="1" ht="13">
      <c r="B34" s="733" t="s">
        <v>911</v>
      </c>
      <c r="C34" s="734">
        <f t="shared" si="13"/>
        <v>0.35159244118556648</v>
      </c>
      <c r="D34" s="735">
        <f t="shared" si="13"/>
        <v>0.32265603218148303</v>
      </c>
      <c r="E34" s="735">
        <f t="shared" si="13"/>
        <v>0.48375290911790297</v>
      </c>
      <c r="F34" s="735">
        <f t="shared" si="13"/>
        <v>0.35040614879985554</v>
      </c>
      <c r="G34" s="735">
        <f>IFERROR((G17-G26)/G17,"n.m")</f>
        <v>0.50452967757792777</v>
      </c>
      <c r="H34" s="735">
        <f>IFERROR((H17-H26)/H17,"n.m")</f>
        <v>-1.2075748883182065E-2</v>
      </c>
      <c r="I34" s="736">
        <f>IFERROR((I17-I26)/I17,"n.m")</f>
        <v>8.10977476296139E-2</v>
      </c>
      <c r="J34" s="736">
        <f>IFERROR((J17-J26)/J17,"n.m")</f>
        <v>0.36368020447985522</v>
      </c>
      <c r="K34" s="736">
        <f t="shared" si="13"/>
        <v>0.30277705555409695</v>
      </c>
      <c r="L34" s="736">
        <f t="shared" si="13"/>
        <v>0.14921873465547678</v>
      </c>
      <c r="M34" s="736">
        <f t="shared" si="13"/>
        <v>0.11295530204119784</v>
      </c>
      <c r="N34" s="736">
        <f t="shared" si="13"/>
        <v>0.11442186841861619</v>
      </c>
      <c r="O34" s="760">
        <f t="shared" si="13"/>
        <v>0.37040219822103138</v>
      </c>
      <c r="P34" s="737">
        <f t="shared" si="13"/>
        <v>0.31290341723923498</v>
      </c>
    </row>
    <row r="35" spans="2:51" s="184" customFormat="1" ht="13.5" thickBot="1">
      <c r="B35" s="738" t="s">
        <v>912</v>
      </c>
      <c r="C35" s="739">
        <f t="shared" si="13"/>
        <v>0.35569528394549149</v>
      </c>
      <c r="D35" s="740">
        <f t="shared" si="13"/>
        <v>0.31360295872802263</v>
      </c>
      <c r="E35" s="740">
        <f t="shared" si="13"/>
        <v>0.3260938760700427</v>
      </c>
      <c r="F35" s="740">
        <f t="shared" si="13"/>
        <v>0.33536556168477299</v>
      </c>
      <c r="G35" s="740">
        <f>(G18-G27)/G18</f>
        <v>0.34332233749031821</v>
      </c>
      <c r="H35" s="740">
        <f>(H18-H27)/H18</f>
        <v>0.33734251417760253</v>
      </c>
      <c r="I35" s="741">
        <f>(I18-I27)/I18</f>
        <v>0.32958300243270522</v>
      </c>
      <c r="J35" s="741">
        <f>(J18-J27)/J18</f>
        <v>0.32893797921692419</v>
      </c>
      <c r="K35" s="741">
        <f t="shared" si="13"/>
        <v>0.32638134814415976</v>
      </c>
      <c r="L35" s="741">
        <f t="shared" si="13"/>
        <v>0.32676402409495237</v>
      </c>
      <c r="M35" s="741">
        <f t="shared" si="13"/>
        <v>0.31918983050139271</v>
      </c>
      <c r="N35" s="741">
        <f t="shared" si="13"/>
        <v>0.33368883633448138</v>
      </c>
      <c r="O35" s="742">
        <f t="shared" si="13"/>
        <v>0.33637624702843355</v>
      </c>
      <c r="P35" s="743">
        <f t="shared" si="13"/>
        <v>0.33177942992980974</v>
      </c>
    </row>
    <row r="36" spans="2:51" s="184" customFormat="1" ht="7.5" customHeight="1" thickBot="1">
      <c r="B36"/>
      <c r="C36" s="692"/>
      <c r="D36" s="692"/>
      <c r="E36" s="693"/>
      <c r="F36" s="693"/>
      <c r="G36" s="693"/>
      <c r="H36" s="693"/>
      <c r="I36" s="693"/>
      <c r="J36" s="693"/>
      <c r="K36" s="693"/>
      <c r="L36" s="693"/>
      <c r="M36" s="693"/>
      <c r="N36" s="693"/>
      <c r="O36" s="694"/>
      <c r="P36" s="694"/>
      <c r="S36" s="413"/>
      <c r="T36" s="674"/>
      <c r="U36" s="674"/>
      <c r="V36" s="674"/>
      <c r="W36" s="674"/>
      <c r="X36" s="674"/>
      <c r="Y36" s="674"/>
      <c r="Z36" s="674"/>
      <c r="AA36" s="674"/>
      <c r="AB36" s="674"/>
      <c r="AC36" s="674"/>
      <c r="AD36" s="674"/>
      <c r="AE36" s="674"/>
    </row>
    <row r="37" spans="2:51" s="184" customFormat="1" ht="13">
      <c r="B37" s="1059" t="s">
        <v>913</v>
      </c>
      <c r="C37" s="1060" t="s">
        <v>874</v>
      </c>
      <c r="D37" s="1061" t="s">
        <v>875</v>
      </c>
      <c r="E37" s="1061" t="s">
        <v>876</v>
      </c>
      <c r="F37" s="1061" t="s">
        <v>877</v>
      </c>
      <c r="G37" s="1061" t="s">
        <v>878</v>
      </c>
      <c r="H37" s="1061" t="s">
        <v>879</v>
      </c>
      <c r="I37" s="1061" t="s">
        <v>880</v>
      </c>
      <c r="J37" s="1061" t="s">
        <v>881</v>
      </c>
      <c r="K37" s="1061" t="s">
        <v>882</v>
      </c>
      <c r="L37" s="1061" t="s">
        <v>883</v>
      </c>
      <c r="M37" s="1061" t="s">
        <v>884</v>
      </c>
      <c r="N37" s="1061" t="s">
        <v>885</v>
      </c>
      <c r="O37" s="1062" t="str">
        <f>"Acum "&amp;LEFT($O$2,3)</f>
        <v>Acum JUN</v>
      </c>
      <c r="P37" s="1063" t="s">
        <v>886</v>
      </c>
      <c r="S37" s="1562" t="s">
        <v>914</v>
      </c>
      <c r="T37" s="1562" t="s">
        <v>888</v>
      </c>
      <c r="U37" s="1562" t="s">
        <v>875</v>
      </c>
      <c r="V37" s="1562" t="s">
        <v>876</v>
      </c>
      <c r="W37" s="1562" t="s">
        <v>877</v>
      </c>
      <c r="X37" s="1562" t="s">
        <v>878</v>
      </c>
      <c r="Y37" s="1562" t="s">
        <v>879</v>
      </c>
      <c r="Z37" s="1562" t="s">
        <v>880</v>
      </c>
      <c r="AA37" s="1562" t="s">
        <v>881</v>
      </c>
      <c r="AB37" s="1562" t="s">
        <v>882</v>
      </c>
      <c r="AC37" s="1562" t="s">
        <v>883</v>
      </c>
      <c r="AD37" s="1562" t="s">
        <v>884</v>
      </c>
      <c r="AE37" s="1562" t="s">
        <v>885</v>
      </c>
    </row>
    <row r="38" spans="2:51" s="184" customFormat="1" ht="13">
      <c r="B38" s="675" t="s">
        <v>898</v>
      </c>
      <c r="C38" s="698">
        <v>181.22297311</v>
      </c>
      <c r="D38" s="695">
        <v>174.78818222999999</v>
      </c>
      <c r="E38" s="695">
        <v>222.94683112000001</v>
      </c>
      <c r="F38" s="695">
        <v>188.24918661000001</v>
      </c>
      <c r="G38" s="695">
        <v>186.72206482999999</v>
      </c>
      <c r="H38" s="695">
        <v>198.97076118000001</v>
      </c>
      <c r="I38" s="695">
        <v>364.28971898999998</v>
      </c>
      <c r="J38" s="695">
        <v>237.59032925</v>
      </c>
      <c r="K38" s="695">
        <v>193.46034929000001</v>
      </c>
      <c r="L38" s="695">
        <v>203.54290989</v>
      </c>
      <c r="M38" s="695">
        <v>196.97318156</v>
      </c>
      <c r="N38" s="695">
        <v>283.81099705000003</v>
      </c>
      <c r="O38" s="696">
        <f>SUM(T38:AE38)</f>
        <v>1152.89999908</v>
      </c>
      <c r="P38" s="697">
        <f>SUM(C38:N38)</f>
        <v>2632.5674851099998</v>
      </c>
      <c r="S38" s="413">
        <f>$S$15</f>
        <v>2018</v>
      </c>
      <c r="T38" s="679">
        <f t="shared" ref="T38:AE41" si="14">IF(MONTH($S$4)&gt;=T$4,C38,0)</f>
        <v>181.22297311</v>
      </c>
      <c r="U38" s="679">
        <f t="shared" si="14"/>
        <v>174.78818222999999</v>
      </c>
      <c r="V38" s="679">
        <f t="shared" si="14"/>
        <v>222.94683112000001</v>
      </c>
      <c r="W38" s="679">
        <f t="shared" si="14"/>
        <v>188.24918661000001</v>
      </c>
      <c r="X38" s="679">
        <f t="shared" si="14"/>
        <v>186.72206482999999</v>
      </c>
      <c r="Y38" s="679">
        <f t="shared" si="14"/>
        <v>198.97076118000001</v>
      </c>
      <c r="Z38" s="679">
        <f t="shared" si="14"/>
        <v>0</v>
      </c>
      <c r="AA38" s="679">
        <f t="shared" si="14"/>
        <v>0</v>
      </c>
      <c r="AB38" s="679">
        <f t="shared" si="14"/>
        <v>0</v>
      </c>
      <c r="AC38" s="679">
        <f t="shared" si="14"/>
        <v>0</v>
      </c>
      <c r="AD38" s="679">
        <f t="shared" si="14"/>
        <v>0</v>
      </c>
      <c r="AE38" s="679">
        <f t="shared" si="14"/>
        <v>0</v>
      </c>
    </row>
    <row r="39" spans="2:51" s="184" customFormat="1" ht="13">
      <c r="B39" s="675" t="s">
        <v>899</v>
      </c>
      <c r="C39" s="698">
        <v>193.44605920000001</v>
      </c>
      <c r="D39" s="695">
        <v>204.10403681</v>
      </c>
      <c r="E39" s="695">
        <v>207.49946095000001</v>
      </c>
      <c r="F39" s="695">
        <v>200.75380096999999</v>
      </c>
      <c r="G39" s="695">
        <v>209.85679820999999</v>
      </c>
      <c r="H39" s="695">
        <v>197.80734236000001</v>
      </c>
      <c r="I39" s="695">
        <v>342.41129943999999</v>
      </c>
      <c r="J39" s="695">
        <v>199.48581809000001</v>
      </c>
      <c r="K39" s="695">
        <v>211.43898981999999</v>
      </c>
      <c r="L39" s="695">
        <v>257.74548587999999</v>
      </c>
      <c r="M39" s="695">
        <v>225.86746661000001</v>
      </c>
      <c r="N39" s="695">
        <v>334.95103949999998</v>
      </c>
      <c r="O39" s="696">
        <f>SUM(T39:AE39)</f>
        <v>1213.4674984999999</v>
      </c>
      <c r="P39" s="697">
        <f>SUM(C39:N39)</f>
        <v>2785.3675978399997</v>
      </c>
      <c r="S39" s="413">
        <f>$S$16</f>
        <v>2019</v>
      </c>
      <c r="T39" s="679">
        <f t="shared" si="14"/>
        <v>193.44605920000001</v>
      </c>
      <c r="U39" s="679">
        <f t="shared" si="14"/>
        <v>204.10403681</v>
      </c>
      <c r="V39" s="679">
        <f t="shared" si="14"/>
        <v>207.49946095000001</v>
      </c>
      <c r="W39" s="679">
        <f t="shared" si="14"/>
        <v>200.75380096999999</v>
      </c>
      <c r="X39" s="679">
        <f t="shared" si="14"/>
        <v>209.85679820999999</v>
      </c>
      <c r="Y39" s="679">
        <f t="shared" si="14"/>
        <v>197.80734236000001</v>
      </c>
      <c r="Z39" s="679">
        <f t="shared" si="14"/>
        <v>0</v>
      </c>
      <c r="AA39" s="679">
        <f t="shared" si="14"/>
        <v>0</v>
      </c>
      <c r="AB39" s="679">
        <f t="shared" si="14"/>
        <v>0</v>
      </c>
      <c r="AC39" s="679">
        <f t="shared" si="14"/>
        <v>0</v>
      </c>
      <c r="AD39" s="679">
        <f t="shared" si="14"/>
        <v>0</v>
      </c>
      <c r="AE39" s="679">
        <f t="shared" si="14"/>
        <v>0</v>
      </c>
      <c r="AN39" s="679"/>
      <c r="AO39" s="679"/>
      <c r="AP39" s="679"/>
      <c r="AQ39" s="679"/>
      <c r="AR39" s="679"/>
      <c r="AS39" s="679"/>
      <c r="AT39" s="679"/>
      <c r="AU39" s="679"/>
      <c r="AV39" s="679"/>
      <c r="AW39" s="679"/>
      <c r="AX39" s="679"/>
      <c r="AY39" s="679"/>
    </row>
    <row r="40" spans="2:51" s="184" customFormat="1" ht="13">
      <c r="B40" s="699" t="s">
        <v>900</v>
      </c>
      <c r="C40" s="700">
        <v>224.69614934000001</v>
      </c>
      <c r="D40" s="701">
        <v>264.14915397999999</v>
      </c>
      <c r="E40" s="701">
        <v>216.89250323000002</v>
      </c>
      <c r="F40" s="701">
        <v>198.83581763000001</v>
      </c>
      <c r="G40" s="701">
        <v>161.27905158000002</v>
      </c>
      <c r="H40" s="701">
        <v>197.50782130000005</v>
      </c>
      <c r="I40" s="702">
        <v>199.71942234779999</v>
      </c>
      <c r="J40" s="702">
        <v>182.4892443478</v>
      </c>
      <c r="K40" s="702">
        <v>185.28874634779999</v>
      </c>
      <c r="L40" s="702">
        <v>182.54527334779999</v>
      </c>
      <c r="M40" s="702">
        <v>182.6187463478</v>
      </c>
      <c r="N40" s="702">
        <v>197.30535034779999</v>
      </c>
      <c r="O40" s="703">
        <f>SUM(T40:AE40)</f>
        <v>1263.3604970599999</v>
      </c>
      <c r="P40" s="704">
        <f>SUM(C40:N40)</f>
        <v>2393.3272801468001</v>
      </c>
      <c r="Q40" s="679"/>
      <c r="S40" s="413" t="str">
        <f>$S$17</f>
        <v xml:space="preserve"> 2020 (R) </v>
      </c>
      <c r="T40" s="679">
        <f t="shared" si="14"/>
        <v>224.69614934000001</v>
      </c>
      <c r="U40" s="679">
        <f t="shared" si="14"/>
        <v>264.14915397999999</v>
      </c>
      <c r="V40" s="679">
        <f t="shared" si="14"/>
        <v>216.89250323000002</v>
      </c>
      <c r="W40" s="679">
        <f t="shared" si="14"/>
        <v>198.83581763000001</v>
      </c>
      <c r="X40" s="679">
        <f t="shared" si="14"/>
        <v>161.27905158000002</v>
      </c>
      <c r="Y40" s="679">
        <f t="shared" si="14"/>
        <v>197.50782130000005</v>
      </c>
      <c r="Z40" s="679">
        <f t="shared" si="14"/>
        <v>0</v>
      </c>
      <c r="AA40" s="679">
        <f t="shared" si="14"/>
        <v>0</v>
      </c>
      <c r="AB40" s="679">
        <f t="shared" si="14"/>
        <v>0</v>
      </c>
      <c r="AC40" s="679">
        <f t="shared" si="14"/>
        <v>0</v>
      </c>
      <c r="AD40" s="679">
        <f t="shared" si="14"/>
        <v>0</v>
      </c>
      <c r="AE40" s="679">
        <f t="shared" si="14"/>
        <v>0</v>
      </c>
    </row>
    <row r="41" spans="2:51" s="184" customFormat="1" ht="13">
      <c r="B41" s="706" t="s">
        <v>902</v>
      </c>
      <c r="C41" s="707">
        <v>224.12614934000001</v>
      </c>
      <c r="D41" s="708">
        <v>219.264453340828</v>
      </c>
      <c r="E41" s="708">
        <v>225.172853340828</v>
      </c>
      <c r="F41" s="708">
        <v>415.06555734082798</v>
      </c>
      <c r="G41" s="708">
        <v>219.38090334082801</v>
      </c>
      <c r="H41" s="708">
        <v>218.656255930828</v>
      </c>
      <c r="I41" s="709">
        <v>238.99293193082801</v>
      </c>
      <c r="J41" s="709">
        <v>219.76275393082801</v>
      </c>
      <c r="K41" s="709">
        <v>221.462584930828</v>
      </c>
      <c r="L41" s="709">
        <v>219.01857293082799</v>
      </c>
      <c r="M41" s="709">
        <v>222.57225593082799</v>
      </c>
      <c r="N41" s="709">
        <v>262.36885993082802</v>
      </c>
      <c r="O41" s="710">
        <f>SUM(T41:AE41)</f>
        <v>1521.6661726341401</v>
      </c>
      <c r="P41" s="711">
        <f>SUM(C41:N41)</f>
        <v>2905.8441322191084</v>
      </c>
      <c r="S41" s="413" t="str">
        <f>$S$18</f>
        <v xml:space="preserve"> 2020 (P) </v>
      </c>
      <c r="T41" s="679">
        <f t="shared" si="14"/>
        <v>224.12614934000001</v>
      </c>
      <c r="U41" s="679">
        <f t="shared" si="14"/>
        <v>219.264453340828</v>
      </c>
      <c r="V41" s="679">
        <f t="shared" si="14"/>
        <v>225.172853340828</v>
      </c>
      <c r="W41" s="679">
        <f t="shared" si="14"/>
        <v>415.06555734082798</v>
      </c>
      <c r="X41" s="679">
        <f t="shared" si="14"/>
        <v>219.38090334082801</v>
      </c>
      <c r="Y41" s="679">
        <f t="shared" si="14"/>
        <v>218.656255930828</v>
      </c>
      <c r="Z41" s="679">
        <f t="shared" si="14"/>
        <v>0</v>
      </c>
      <c r="AA41" s="679">
        <f t="shared" si="14"/>
        <v>0</v>
      </c>
      <c r="AB41" s="679">
        <f t="shared" si="14"/>
        <v>0</v>
      </c>
      <c r="AC41" s="679">
        <f t="shared" si="14"/>
        <v>0</v>
      </c>
      <c r="AD41" s="679">
        <f t="shared" si="14"/>
        <v>0</v>
      </c>
      <c r="AE41" s="679">
        <f t="shared" si="14"/>
        <v>0</v>
      </c>
    </row>
    <row r="42" spans="2:51" s="184" customFormat="1" ht="13">
      <c r="B42" s="712" t="s">
        <v>904</v>
      </c>
      <c r="C42" s="713">
        <f t="shared" ref="C42:P42" si="15">C40/C41</f>
        <v>1.0025432106056278</v>
      </c>
      <c r="D42" s="714">
        <f t="shared" si="15"/>
        <v>1.2047057785942281</v>
      </c>
      <c r="E42" s="714">
        <f t="shared" si="15"/>
        <v>0.96322669456830745</v>
      </c>
      <c r="F42" s="714">
        <f t="shared" si="15"/>
        <v>0.4790467773425186</v>
      </c>
      <c r="G42" s="714">
        <f t="shared" si="15"/>
        <v>0.73515538100159272</v>
      </c>
      <c r="H42" s="714">
        <f t="shared" si="15"/>
        <v>0.90327999287832739</v>
      </c>
      <c r="I42" s="715">
        <f t="shared" si="15"/>
        <v>0.83567083233074446</v>
      </c>
      <c r="J42" s="715">
        <f t="shared" si="15"/>
        <v>0.83039205271899652</v>
      </c>
      <c r="K42" s="715">
        <f t="shared" si="15"/>
        <v>0.83665936801773255</v>
      </c>
      <c r="L42" s="715">
        <f t="shared" si="15"/>
        <v>0.83346937615858152</v>
      </c>
      <c r="M42" s="715">
        <f t="shared" si="15"/>
        <v>0.82049195926986995</v>
      </c>
      <c r="N42" s="715">
        <f t="shared" si="15"/>
        <v>0.75201512252566238</v>
      </c>
      <c r="O42" s="716">
        <f t="shared" si="15"/>
        <v>0.83024813180476376</v>
      </c>
      <c r="P42" s="717">
        <f t="shared" si="15"/>
        <v>0.82362548410987413</v>
      </c>
    </row>
    <row r="43" spans="2:51" s="184" customFormat="1" ht="13">
      <c r="B43" s="718" t="s">
        <v>905</v>
      </c>
      <c r="C43" s="719">
        <f t="shared" ref="C43:P44" si="16">C39/C38-1</f>
        <v>6.744777375758404E-2</v>
      </c>
      <c r="D43" s="720">
        <f t="shared" si="16"/>
        <v>0.16772217781533949</v>
      </c>
      <c r="E43" s="720">
        <f t="shared" si="16"/>
        <v>-6.928723809348758E-2</v>
      </c>
      <c r="F43" s="720">
        <f t="shared" si="16"/>
        <v>6.6425861302158218E-2</v>
      </c>
      <c r="G43" s="720">
        <f t="shared" si="16"/>
        <v>0.12389930135499982</v>
      </c>
      <c r="H43" s="720">
        <f t="shared" si="16"/>
        <v>-5.8471848481672639E-3</v>
      </c>
      <c r="I43" s="720">
        <f t="shared" si="16"/>
        <v>-6.0057746374666654E-2</v>
      </c>
      <c r="J43" s="720">
        <f t="shared" si="16"/>
        <v>-0.16037904943473191</v>
      </c>
      <c r="K43" s="720">
        <f t="shared" si="16"/>
        <v>9.293191393472422E-2</v>
      </c>
      <c r="L43" s="720">
        <f t="shared" si="16"/>
        <v>0.26629557383891433</v>
      </c>
      <c r="M43" s="720">
        <f t="shared" si="16"/>
        <v>0.14669146744323935</v>
      </c>
      <c r="N43" s="720">
        <f t="shared" si="16"/>
        <v>0.18019048938047466</v>
      </c>
      <c r="O43" s="721">
        <f t="shared" si="16"/>
        <v>5.253491149998446E-2</v>
      </c>
      <c r="P43" s="722">
        <f t="shared" si="16"/>
        <v>5.8042239598509404E-2</v>
      </c>
    </row>
    <row r="44" spans="2:51" s="184" customFormat="1" ht="13.5" thickBot="1">
      <c r="B44" s="723" t="s">
        <v>906</v>
      </c>
      <c r="C44" s="724">
        <f t="shared" si="16"/>
        <v>0.1615442065309336</v>
      </c>
      <c r="D44" s="725">
        <f t="shared" si="16"/>
        <v>0.29418877798039755</v>
      </c>
      <c r="E44" s="725">
        <f t="shared" si="16"/>
        <v>4.5267791236640376E-2</v>
      </c>
      <c r="F44" s="725">
        <f t="shared" si="16"/>
        <v>-9.5539079745075028E-3</v>
      </c>
      <c r="G44" s="725">
        <f t="shared" si="16"/>
        <v>-0.23148045259600825</v>
      </c>
      <c r="H44" s="725">
        <f t="shared" si="16"/>
        <v>-1.5142059765145266E-3</v>
      </c>
      <c r="I44" s="726">
        <f t="shared" si="16"/>
        <v>-0.41672654297789491</v>
      </c>
      <c r="J44" s="726">
        <f t="shared" si="16"/>
        <v>-8.520191512828168E-2</v>
      </c>
      <c r="K44" s="726">
        <f t="shared" si="16"/>
        <v>-0.12367748963642866</v>
      </c>
      <c r="L44" s="726">
        <f t="shared" si="16"/>
        <v>-0.29176151145945339</v>
      </c>
      <c r="M44" s="726">
        <f t="shared" si="16"/>
        <v>-0.19147830766117613</v>
      </c>
      <c r="N44" s="726">
        <f t="shared" si="16"/>
        <v>-0.41094271376996283</v>
      </c>
      <c r="O44" s="727">
        <f t="shared" si="16"/>
        <v>4.1116056772574572E-2</v>
      </c>
      <c r="P44" s="728">
        <f t="shared" si="16"/>
        <v>-0.1407499383554327</v>
      </c>
    </row>
    <row r="45" spans="2:51" s="184" customFormat="1" ht="7.5" customHeight="1" thickBot="1">
      <c r="B45"/>
      <c r="C45" s="692"/>
      <c r="D45" s="692"/>
      <c r="E45" s="693"/>
      <c r="F45" s="693"/>
      <c r="G45" s="693"/>
      <c r="H45" s="693"/>
      <c r="I45" s="693"/>
      <c r="J45" s="693"/>
      <c r="K45" s="693"/>
      <c r="L45" s="693"/>
      <c r="M45" s="693"/>
      <c r="N45" s="693"/>
      <c r="O45" s="694"/>
      <c r="P45" s="694"/>
      <c r="S45" s="413"/>
      <c r="T45" s="674"/>
      <c r="U45" s="674"/>
      <c r="V45" s="674"/>
      <c r="W45" s="674"/>
      <c r="X45" s="674"/>
      <c r="Y45" s="674"/>
      <c r="Z45" s="674"/>
      <c r="AA45" s="674"/>
      <c r="AB45" s="674"/>
      <c r="AC45" s="674"/>
      <c r="AD45" s="674"/>
      <c r="AE45" s="674"/>
    </row>
    <row r="46" spans="2:51" s="184" customFormat="1" ht="13">
      <c r="B46" s="1059" t="s">
        <v>89</v>
      </c>
      <c r="C46" s="1060" t="s">
        <v>874</v>
      </c>
      <c r="D46" s="1061" t="s">
        <v>875</v>
      </c>
      <c r="E46" s="1061" t="s">
        <v>876</v>
      </c>
      <c r="F46" s="1061" t="s">
        <v>877</v>
      </c>
      <c r="G46" s="1061" t="s">
        <v>878</v>
      </c>
      <c r="H46" s="1061" t="s">
        <v>879</v>
      </c>
      <c r="I46" s="1061" t="s">
        <v>880</v>
      </c>
      <c r="J46" s="1061" t="s">
        <v>881</v>
      </c>
      <c r="K46" s="1061" t="s">
        <v>882</v>
      </c>
      <c r="L46" s="1061" t="s">
        <v>883</v>
      </c>
      <c r="M46" s="1061" t="s">
        <v>884</v>
      </c>
      <c r="N46" s="1061" t="s">
        <v>885</v>
      </c>
      <c r="O46" s="1062" t="str">
        <f>"Acum "&amp;LEFT($O$2,3)</f>
        <v>Acum JUN</v>
      </c>
      <c r="P46" s="1063" t="s">
        <v>886</v>
      </c>
      <c r="S46" s="1562" t="s">
        <v>89</v>
      </c>
      <c r="T46" s="1562" t="s">
        <v>888</v>
      </c>
      <c r="U46" s="1562" t="s">
        <v>875</v>
      </c>
      <c r="V46" s="1562" t="s">
        <v>876</v>
      </c>
      <c r="W46" s="1562" t="s">
        <v>877</v>
      </c>
      <c r="X46" s="1562" t="s">
        <v>878</v>
      </c>
      <c r="Y46" s="1562" t="s">
        <v>879</v>
      </c>
      <c r="Z46" s="1562" t="s">
        <v>880</v>
      </c>
      <c r="AA46" s="1562" t="s">
        <v>881</v>
      </c>
      <c r="AB46" s="1562" t="s">
        <v>882</v>
      </c>
      <c r="AC46" s="1562" t="s">
        <v>883</v>
      </c>
      <c r="AD46" s="1562" t="s">
        <v>884</v>
      </c>
      <c r="AE46" s="1562" t="s">
        <v>885</v>
      </c>
    </row>
    <row r="47" spans="2:51" s="184" customFormat="1" ht="13">
      <c r="B47" s="675" t="s">
        <v>898</v>
      </c>
      <c r="C47" s="744">
        <v>88.905493469999996</v>
      </c>
      <c r="D47" s="745">
        <v>127.08420185999999</v>
      </c>
      <c r="E47" s="745">
        <v>122.08167013000001</v>
      </c>
      <c r="F47" s="745">
        <v>9.0989087199995993</v>
      </c>
      <c r="G47" s="745">
        <v>-47.546363889999803</v>
      </c>
      <c r="H47" s="745">
        <v>61.992294780000101</v>
      </c>
      <c r="I47" s="745">
        <v>-47.182758749999799</v>
      </c>
      <c r="J47" s="745">
        <v>586.86624984000002</v>
      </c>
      <c r="K47" s="745">
        <v>69.603893930000098</v>
      </c>
      <c r="L47" s="745">
        <v>219.79665008000001</v>
      </c>
      <c r="M47" s="745">
        <v>613.85130762999904</v>
      </c>
      <c r="N47" s="745">
        <v>232.11366713000001</v>
      </c>
      <c r="O47" s="746">
        <f>SUM(T47:AE47)</f>
        <v>361.61620506999992</v>
      </c>
      <c r="P47" s="747">
        <f>SUM(C47:N47)</f>
        <v>2036.6652149299994</v>
      </c>
      <c r="S47" s="413">
        <f>$S$15</f>
        <v>2018</v>
      </c>
      <c r="T47" s="679">
        <f t="shared" ref="T47:AE50" si="17">IF(MONTH($S$4)&gt;=T$4,C47,0)</f>
        <v>88.905493469999996</v>
      </c>
      <c r="U47" s="679">
        <f t="shared" si="17"/>
        <v>127.08420185999999</v>
      </c>
      <c r="V47" s="679">
        <f t="shared" si="17"/>
        <v>122.08167013000001</v>
      </c>
      <c r="W47" s="679">
        <f t="shared" si="17"/>
        <v>9.0989087199995993</v>
      </c>
      <c r="X47" s="679">
        <f t="shared" si="17"/>
        <v>-47.546363889999803</v>
      </c>
      <c r="Y47" s="679">
        <f t="shared" si="17"/>
        <v>61.992294780000101</v>
      </c>
      <c r="Z47" s="679">
        <f t="shared" si="17"/>
        <v>0</v>
      </c>
      <c r="AA47" s="679">
        <f t="shared" si="17"/>
        <v>0</v>
      </c>
      <c r="AB47" s="679">
        <f t="shared" si="17"/>
        <v>0</v>
      </c>
      <c r="AC47" s="679">
        <f t="shared" si="17"/>
        <v>0</v>
      </c>
      <c r="AD47" s="679">
        <f t="shared" si="17"/>
        <v>0</v>
      </c>
      <c r="AE47" s="679">
        <f t="shared" si="17"/>
        <v>0</v>
      </c>
    </row>
    <row r="48" spans="2:51" s="184" customFormat="1" ht="13">
      <c r="B48" s="675" t="s">
        <v>899</v>
      </c>
      <c r="C48" s="748">
        <v>239.771348539999</v>
      </c>
      <c r="D48" s="749">
        <v>42.0842245300001</v>
      </c>
      <c r="E48" s="749">
        <v>509.79230679</v>
      </c>
      <c r="F48" s="749">
        <v>238.32084363999999</v>
      </c>
      <c r="G48" s="749">
        <v>506.85893097000002</v>
      </c>
      <c r="H48" s="749">
        <v>164.24228471000001</v>
      </c>
      <c r="I48" s="749">
        <v>237.65607098999899</v>
      </c>
      <c r="J48" s="749">
        <v>406.00098489999999</v>
      </c>
      <c r="K48" s="749">
        <v>439.18543259000199</v>
      </c>
      <c r="L48" s="749">
        <v>760.42663463999997</v>
      </c>
      <c r="M48" s="749">
        <v>486.27760798000003</v>
      </c>
      <c r="N48" s="749">
        <v>282.27302400999997</v>
      </c>
      <c r="O48" s="746">
        <f>SUM(T48:AE48)</f>
        <v>1701.069939179999</v>
      </c>
      <c r="P48" s="747">
        <f>SUM(C48:N48)</f>
        <v>4312.8896942900001</v>
      </c>
      <c r="S48" s="413">
        <f>$S$16</f>
        <v>2019</v>
      </c>
      <c r="T48" s="679">
        <f t="shared" si="17"/>
        <v>239.771348539999</v>
      </c>
      <c r="U48" s="679">
        <f t="shared" si="17"/>
        <v>42.0842245300001</v>
      </c>
      <c r="V48" s="679">
        <f t="shared" si="17"/>
        <v>509.79230679</v>
      </c>
      <c r="W48" s="679">
        <f t="shared" si="17"/>
        <v>238.32084363999999</v>
      </c>
      <c r="X48" s="679">
        <f t="shared" si="17"/>
        <v>506.85893097000002</v>
      </c>
      <c r="Y48" s="679">
        <f t="shared" si="17"/>
        <v>164.24228471000001</v>
      </c>
      <c r="Z48" s="679">
        <f t="shared" si="17"/>
        <v>0</v>
      </c>
      <c r="AA48" s="679">
        <f t="shared" si="17"/>
        <v>0</v>
      </c>
      <c r="AB48" s="679">
        <f t="shared" si="17"/>
        <v>0</v>
      </c>
      <c r="AC48" s="679">
        <f t="shared" si="17"/>
        <v>0</v>
      </c>
      <c r="AD48" s="679">
        <f t="shared" si="17"/>
        <v>0</v>
      </c>
      <c r="AE48" s="679">
        <f t="shared" si="17"/>
        <v>0</v>
      </c>
    </row>
    <row r="49" spans="2:52" s="184" customFormat="1" ht="13">
      <c r="B49" s="699" t="s">
        <v>900</v>
      </c>
      <c r="C49" s="750">
        <f t="shared" ref="C49:N49" si="18">C17-C26-C40</f>
        <v>461.04943821999962</v>
      </c>
      <c r="D49" s="751">
        <f t="shared" si="18"/>
        <v>247.65413249999978</v>
      </c>
      <c r="E49" s="751">
        <f t="shared" si="18"/>
        <v>679.93009856999981</v>
      </c>
      <c r="F49" s="751">
        <f t="shared" si="18"/>
        <v>-73.111713319999978</v>
      </c>
      <c r="G49" s="751">
        <f t="shared" si="18"/>
        <v>31.675038399999977</v>
      </c>
      <c r="H49" s="751">
        <f t="shared" si="18"/>
        <v>-201.98600461000007</v>
      </c>
      <c r="I49" s="752">
        <f t="shared" si="18"/>
        <v>-159.76547736184983</v>
      </c>
      <c r="J49" s="752">
        <f t="shared" si="18"/>
        <v>138.45228879650026</v>
      </c>
      <c r="K49" s="752">
        <f t="shared" si="18"/>
        <v>58.281820349150109</v>
      </c>
      <c r="L49" s="752">
        <f t="shared" si="18"/>
        <v>-97.211661993500002</v>
      </c>
      <c r="M49" s="752">
        <f t="shared" si="18"/>
        <v>-126.40545916954986</v>
      </c>
      <c r="N49" s="752">
        <f t="shared" si="18"/>
        <v>-137.78923637879987</v>
      </c>
      <c r="O49" s="753">
        <f>SUM(T49:AE49)</f>
        <v>1145.2109897599989</v>
      </c>
      <c r="P49" s="754">
        <f>SUM(C49:N49)</f>
        <v>820.77326400194966</v>
      </c>
      <c r="Q49" s="705"/>
      <c r="S49" s="413" t="str">
        <f>$S$17</f>
        <v xml:space="preserve"> 2020 (R) </v>
      </c>
      <c r="T49" s="679">
        <f t="shared" si="17"/>
        <v>461.04943821999962</v>
      </c>
      <c r="U49" s="679">
        <f t="shared" si="17"/>
        <v>247.65413249999978</v>
      </c>
      <c r="V49" s="679">
        <f t="shared" si="17"/>
        <v>679.93009856999981</v>
      </c>
      <c r="W49" s="679">
        <f t="shared" si="17"/>
        <v>-73.111713319999978</v>
      </c>
      <c r="X49" s="679">
        <f t="shared" si="17"/>
        <v>31.675038399999977</v>
      </c>
      <c r="Y49" s="679">
        <f t="shared" si="17"/>
        <v>-201.98600461000007</v>
      </c>
      <c r="Z49" s="679">
        <f t="shared" si="17"/>
        <v>0</v>
      </c>
      <c r="AA49" s="679">
        <f t="shared" si="17"/>
        <v>0</v>
      </c>
      <c r="AB49" s="679">
        <f t="shared" si="17"/>
        <v>0</v>
      </c>
      <c r="AC49" s="679">
        <f t="shared" si="17"/>
        <v>0</v>
      </c>
      <c r="AD49" s="679">
        <f t="shared" si="17"/>
        <v>0</v>
      </c>
      <c r="AE49" s="679">
        <f t="shared" si="17"/>
        <v>0</v>
      </c>
    </row>
    <row r="50" spans="2:52" s="184" customFormat="1" ht="13">
      <c r="B50" s="706" t="s">
        <v>902</v>
      </c>
      <c r="C50" s="707">
        <v>469.24265070835003</v>
      </c>
      <c r="D50" s="708">
        <v>235.426287664847</v>
      </c>
      <c r="E50" s="708">
        <v>337.03745266484702</v>
      </c>
      <c r="F50" s="708">
        <v>193.182331283422</v>
      </c>
      <c r="G50" s="708">
        <v>431.84876528342198</v>
      </c>
      <c r="H50" s="708">
        <v>390.404007452472</v>
      </c>
      <c r="I50" s="755">
        <v>378.97649742827201</v>
      </c>
      <c r="J50" s="755">
        <v>338.32103941922202</v>
      </c>
      <c r="K50" s="755">
        <v>391.75527192827201</v>
      </c>
      <c r="L50" s="755">
        <v>366.21719005969601</v>
      </c>
      <c r="M50" s="755">
        <v>400.90384830969703</v>
      </c>
      <c r="N50" s="755">
        <v>392.69851656874602</v>
      </c>
      <c r="O50" s="756">
        <f>SUM(T50:AE50)</f>
        <v>2057.1414950573599</v>
      </c>
      <c r="P50" s="757">
        <f>SUM(C50:N50)</f>
        <v>4326.0138587712645</v>
      </c>
      <c r="Q50" s="705"/>
      <c r="S50" s="413" t="str">
        <f>$S$18</f>
        <v xml:space="preserve"> 2020 (P) </v>
      </c>
      <c r="T50" s="679">
        <f t="shared" si="17"/>
        <v>469.24265070835003</v>
      </c>
      <c r="U50" s="679">
        <f t="shared" si="17"/>
        <v>235.426287664847</v>
      </c>
      <c r="V50" s="679">
        <f t="shared" si="17"/>
        <v>337.03745266484702</v>
      </c>
      <c r="W50" s="679">
        <f t="shared" si="17"/>
        <v>193.182331283422</v>
      </c>
      <c r="X50" s="679">
        <f t="shared" si="17"/>
        <v>431.84876528342198</v>
      </c>
      <c r="Y50" s="679">
        <f t="shared" si="17"/>
        <v>390.404007452472</v>
      </c>
      <c r="Z50" s="679">
        <f t="shared" si="17"/>
        <v>0</v>
      </c>
      <c r="AA50" s="679">
        <f t="shared" si="17"/>
        <v>0</v>
      </c>
      <c r="AB50" s="679">
        <f t="shared" si="17"/>
        <v>0</v>
      </c>
      <c r="AC50" s="679">
        <f t="shared" si="17"/>
        <v>0</v>
      </c>
      <c r="AD50" s="679">
        <f t="shared" si="17"/>
        <v>0</v>
      </c>
      <c r="AE50" s="679">
        <f t="shared" si="17"/>
        <v>0</v>
      </c>
    </row>
    <row r="51" spans="2:52" s="184" customFormat="1" ht="13">
      <c r="B51" s="712" t="s">
        <v>904</v>
      </c>
      <c r="C51" s="713">
        <f t="shared" ref="C51:P51" si="19">C49/C50</f>
        <v>0.98253949747325342</v>
      </c>
      <c r="D51" s="714">
        <f t="shared" si="19"/>
        <v>1.0519391651477781</v>
      </c>
      <c r="E51" s="714">
        <f t="shared" si="19"/>
        <v>2.0173725299488545</v>
      </c>
      <c r="F51" s="714">
        <f t="shared" si="19"/>
        <v>-0.37845962844674541</v>
      </c>
      <c r="G51" s="714">
        <f t="shared" si="19"/>
        <v>7.3347525676521683E-2</v>
      </c>
      <c r="H51" s="714">
        <f t="shared" si="19"/>
        <v>-0.51737687307062274</v>
      </c>
      <c r="I51" s="715">
        <f t="shared" si="19"/>
        <v>-0.42157093763337727</v>
      </c>
      <c r="J51" s="715">
        <f t="shared" si="19"/>
        <v>0.40923345776595521</v>
      </c>
      <c r="K51" s="715">
        <f t="shared" si="19"/>
        <v>0.14877099180383502</v>
      </c>
      <c r="L51" s="715">
        <f t="shared" si="19"/>
        <v>-0.2654481128470616</v>
      </c>
      <c r="M51" s="715">
        <f t="shared" si="19"/>
        <v>-0.31530118681201091</v>
      </c>
      <c r="N51" s="715">
        <f t="shared" si="19"/>
        <v>-0.35087791413818192</v>
      </c>
      <c r="O51" s="716">
        <f t="shared" si="19"/>
        <v>0.55670015529391992</v>
      </c>
      <c r="P51" s="717">
        <f t="shared" si="19"/>
        <v>0.18972968899250758</v>
      </c>
      <c r="Q51" s="560"/>
    </row>
    <row r="52" spans="2:52" s="184" customFormat="1" ht="13">
      <c r="B52" s="718" t="s">
        <v>905</v>
      </c>
      <c r="C52" s="719">
        <f t="shared" ref="C52:P53" si="20">C48/C47-1</f>
        <v>1.6969238815473955</v>
      </c>
      <c r="D52" s="720">
        <f t="shared" si="20"/>
        <v>-0.66884770951812389</v>
      </c>
      <c r="E52" s="720">
        <f t="shared" si="20"/>
        <v>3.1758300508761232</v>
      </c>
      <c r="F52" s="720">
        <f t="shared" si="20"/>
        <v>25.192244693714269</v>
      </c>
      <c r="G52" s="720">
        <f t="shared" si="20"/>
        <v>-11.660309001601807</v>
      </c>
      <c r="H52" s="720">
        <f t="shared" si="20"/>
        <v>1.6493983694726477</v>
      </c>
      <c r="I52" s="720">
        <f t="shared" si="20"/>
        <v>-6.0369261417975055</v>
      </c>
      <c r="J52" s="720">
        <f t="shared" si="20"/>
        <v>-0.30818822004044388</v>
      </c>
      <c r="K52" s="720">
        <f t="shared" si="20"/>
        <v>5.3097825106119227</v>
      </c>
      <c r="L52" s="720">
        <f t="shared" si="20"/>
        <v>2.4596825491345085</v>
      </c>
      <c r="M52" s="720">
        <f t="shared" si="20"/>
        <v>-0.20782508412753031</v>
      </c>
      <c r="N52" s="720">
        <f t="shared" si="20"/>
        <v>0.21609824832894131</v>
      </c>
      <c r="O52" s="721">
        <f t="shared" si="20"/>
        <v>3.7040755235255958</v>
      </c>
      <c r="P52" s="722">
        <f t="shared" si="20"/>
        <v>1.117623290599695</v>
      </c>
    </row>
    <row r="53" spans="2:52" s="184" customFormat="1" ht="13.5" thickBot="1">
      <c r="B53" s="723" t="s">
        <v>906</v>
      </c>
      <c r="C53" s="724">
        <f t="shared" si="20"/>
        <v>0.92287127309994954</v>
      </c>
      <c r="D53" s="725">
        <f t="shared" si="20"/>
        <v>4.8847260527150125</v>
      </c>
      <c r="E53" s="725">
        <f t="shared" si="20"/>
        <v>0.33373942586796446</v>
      </c>
      <c r="F53" s="725">
        <f t="shared" si="20"/>
        <v>-1.3067785100259222</v>
      </c>
      <c r="G53" s="725">
        <f t="shared" si="20"/>
        <v>-0.93750719092710477</v>
      </c>
      <c r="H53" s="725">
        <f t="shared" si="20"/>
        <v>-2.2298051318918484</v>
      </c>
      <c r="I53" s="726">
        <f t="shared" si="20"/>
        <v>-1.6722549804695419</v>
      </c>
      <c r="J53" s="726">
        <f t="shared" si="20"/>
        <v>-0.65898533760798217</v>
      </c>
      <c r="K53" s="726">
        <f t="shared" si="20"/>
        <v>-0.8672956431968939</v>
      </c>
      <c r="L53" s="726">
        <f t="shared" si="20"/>
        <v>-1.1278383180772222</v>
      </c>
      <c r="M53" s="726">
        <f t="shared" si="20"/>
        <v>-1.2599450542142767</v>
      </c>
      <c r="N53" s="726">
        <f t="shared" si="20"/>
        <v>-1.4881417091203106</v>
      </c>
      <c r="O53" s="727">
        <f t="shared" si="20"/>
        <v>-0.3267701912879325</v>
      </c>
      <c r="P53" s="728">
        <f t="shared" si="20"/>
        <v>-0.80969296175401784</v>
      </c>
    </row>
    <row r="54" spans="2:52" s="184" customFormat="1" ht="7.5" customHeight="1" thickBot="1">
      <c r="B54"/>
      <c r="C54" s="758"/>
      <c r="D54" s="759"/>
      <c r="E54" s="759"/>
      <c r="F54" s="759"/>
      <c r="G54" s="759"/>
      <c r="H54" s="759"/>
      <c r="I54" s="759"/>
      <c r="J54" s="759"/>
      <c r="K54" s="759"/>
      <c r="L54" s="759"/>
      <c r="M54" s="759"/>
      <c r="N54" s="759"/>
      <c r="O54" s="694"/>
      <c r="P54" s="694"/>
      <c r="S54" s="413"/>
      <c r="T54" s="674"/>
      <c r="U54" s="674"/>
      <c r="V54" s="674"/>
      <c r="W54" s="674"/>
      <c r="X54" s="674"/>
      <c r="Y54" s="674"/>
      <c r="Z54" s="674"/>
      <c r="AA54" s="674"/>
      <c r="AB54" s="674"/>
      <c r="AC54" s="674"/>
      <c r="AD54" s="674"/>
      <c r="AE54" s="674"/>
    </row>
    <row r="55" spans="2:52" s="184" customFormat="1" ht="13">
      <c r="B55" s="1069" t="s">
        <v>915</v>
      </c>
      <c r="C55" s="1070">
        <f t="shared" ref="C55:P58" si="21">C47/C15</f>
        <v>9.1003259786905266E-2</v>
      </c>
      <c r="D55" s="1071">
        <f t="shared" si="21"/>
        <v>0.12350571622578865</v>
      </c>
      <c r="E55" s="1071">
        <f t="shared" si="21"/>
        <v>0.12745164362546321</v>
      </c>
      <c r="F55" s="1071">
        <f t="shared" si="21"/>
        <v>1.1312504668784865E-2</v>
      </c>
      <c r="G55" s="1071">
        <f t="shared" si="21"/>
        <v>-7.3807460543855744E-2</v>
      </c>
      <c r="H55" s="1071">
        <f t="shared" si="21"/>
        <v>7.0674836649346692E-2</v>
      </c>
      <c r="I55" s="1071">
        <f t="shared" si="21"/>
        <v>-4.223157505438116E-2</v>
      </c>
      <c r="J55" s="1071">
        <f t="shared" si="21"/>
        <v>0.34751721773119743</v>
      </c>
      <c r="K55" s="1071">
        <f t="shared" si="21"/>
        <v>5.8276174030316083E-2</v>
      </c>
      <c r="L55" s="1071">
        <f t="shared" si="21"/>
        <v>0.15212270292389296</v>
      </c>
      <c r="M55" s="1071">
        <f t="shared" si="21"/>
        <v>0.32987806131750397</v>
      </c>
      <c r="N55" s="1071">
        <f t="shared" si="21"/>
        <v>0.14926802456487351</v>
      </c>
      <c r="O55" s="1072">
        <f t="shared" si="21"/>
        <v>6.8365494614436917E-2</v>
      </c>
      <c r="P55" s="1073">
        <f t="shared" si="21"/>
        <v>0.14392850737454224</v>
      </c>
    </row>
    <row r="56" spans="2:52" s="184" customFormat="1" ht="13">
      <c r="B56" s="675" t="s">
        <v>916</v>
      </c>
      <c r="C56" s="719">
        <f t="shared" si="21"/>
        <v>0.15254491563575465</v>
      </c>
      <c r="D56" s="720">
        <f t="shared" si="21"/>
        <v>3.3133735792560237E-2</v>
      </c>
      <c r="E56" s="720">
        <f t="shared" si="21"/>
        <v>0.28069711022978616</v>
      </c>
      <c r="F56" s="720">
        <f t="shared" si="21"/>
        <v>0.15666478110121071</v>
      </c>
      <c r="G56" s="720">
        <f t="shared" si="21"/>
        <v>0.28585460530957568</v>
      </c>
      <c r="H56" s="720">
        <f t="shared" si="21"/>
        <v>0.10733983983079327</v>
      </c>
      <c r="I56" s="720">
        <f t="shared" si="21"/>
        <v>0.13616154528594152</v>
      </c>
      <c r="J56" s="720">
        <f t="shared" si="21"/>
        <v>0.21249808718393912</v>
      </c>
      <c r="K56" s="720">
        <f t="shared" si="21"/>
        <v>0.23958968992117322</v>
      </c>
      <c r="L56" s="720">
        <f t="shared" si="21"/>
        <v>0.32618813914770906</v>
      </c>
      <c r="M56" s="720">
        <f t="shared" si="21"/>
        <v>0.23785236973433663</v>
      </c>
      <c r="N56" s="720">
        <f t="shared" si="21"/>
        <v>0.14998600092041672</v>
      </c>
      <c r="O56" s="731">
        <f t="shared" si="21"/>
        <v>0.17938910617200335</v>
      </c>
      <c r="P56" s="732">
        <f t="shared" si="21"/>
        <v>0.20315692658606335</v>
      </c>
    </row>
    <row r="57" spans="2:52" s="184" customFormat="1" ht="13">
      <c r="B57" s="733" t="s">
        <v>917</v>
      </c>
      <c r="C57" s="734">
        <f t="shared" si="21"/>
        <v>0.23638722644616439</v>
      </c>
      <c r="D57" s="735">
        <f t="shared" si="21"/>
        <v>0.15612853972738175</v>
      </c>
      <c r="E57" s="735">
        <f t="shared" si="21"/>
        <v>0.36675944888085221</v>
      </c>
      <c r="F57" s="735">
        <f t="shared" si="21"/>
        <v>-0.20376994560606773</v>
      </c>
      <c r="G57" s="735">
        <f>IFERROR(G49/G17,"n.m")</f>
        <v>8.2822794338678826E-2</v>
      </c>
      <c r="H57" s="735">
        <f>IFERROR(H49/H17,"n.m")</f>
        <v>-0.54467003709761153</v>
      </c>
      <c r="I57" s="736">
        <f>IFERROR(I49/I17,"n.m")</f>
        <v>-0.32428888730693051</v>
      </c>
      <c r="J57" s="736">
        <f>IFERROR(J49/J17,"n.m")</f>
        <v>0.15688950011208422</v>
      </c>
      <c r="K57" s="736">
        <f t="shared" si="21"/>
        <v>7.2448811024051707E-2</v>
      </c>
      <c r="L57" s="736">
        <f t="shared" si="21"/>
        <v>-0.16998930393557074</v>
      </c>
      <c r="M57" s="736">
        <f t="shared" si="21"/>
        <v>-0.25399985549461457</v>
      </c>
      <c r="N57" s="736">
        <f t="shared" si="21"/>
        <v>-0.26490475978738565</v>
      </c>
      <c r="O57" s="760">
        <f t="shared" si="21"/>
        <v>0.17611628733263648</v>
      </c>
      <c r="P57" s="737">
        <f t="shared" si="21"/>
        <v>7.9905017144642529E-2</v>
      </c>
    </row>
    <row r="58" spans="2:52" s="184" customFormat="1" ht="13.5" thickBot="1">
      <c r="B58" s="738" t="s">
        <v>918</v>
      </c>
      <c r="C58" s="739">
        <f t="shared" si="21"/>
        <v>0.24071951012419776</v>
      </c>
      <c r="D58" s="740">
        <f t="shared" si="21"/>
        <v>0.16237493688733176</v>
      </c>
      <c r="E58" s="740">
        <f t="shared" si="21"/>
        <v>0.19548885558697868</v>
      </c>
      <c r="F58" s="740">
        <f t="shared" si="21"/>
        <v>0.10651364723184632</v>
      </c>
      <c r="G58" s="740">
        <f>G50/G18</f>
        <v>0.22766672755039671</v>
      </c>
      <c r="H58" s="740">
        <f>H50/H18</f>
        <v>0.21623454580248275</v>
      </c>
      <c r="I58" s="741">
        <f>I50/I18</f>
        <v>0.20212037350031895</v>
      </c>
      <c r="J58" s="741">
        <f>J50/J18</f>
        <v>0.1994084765749958</v>
      </c>
      <c r="K58" s="741">
        <f t="shared" si="21"/>
        <v>0.20850927996363008</v>
      </c>
      <c r="L58" s="741">
        <f t="shared" si="21"/>
        <v>0.20447588866607028</v>
      </c>
      <c r="M58" s="741">
        <f t="shared" si="21"/>
        <v>0.2052435217949638</v>
      </c>
      <c r="N58" s="741">
        <f t="shared" si="21"/>
        <v>0.2000391344846463</v>
      </c>
      <c r="O58" s="742">
        <f t="shared" si="21"/>
        <v>0.19335309409354545</v>
      </c>
      <c r="P58" s="743">
        <f t="shared" si="21"/>
        <v>0.19846662001932291</v>
      </c>
    </row>
    <row r="59" spans="2:52" s="184" customFormat="1" ht="7.5" customHeight="1" thickBot="1">
      <c r="B59"/>
      <c r="C59" s="692"/>
      <c r="D59" s="692"/>
      <c r="E59" s="693"/>
      <c r="F59" s="693"/>
      <c r="G59" s="693"/>
      <c r="H59" s="693"/>
      <c r="I59" s="693"/>
      <c r="J59" s="693"/>
      <c r="K59" s="693"/>
      <c r="L59" s="693"/>
      <c r="M59" s="693"/>
      <c r="N59" s="693"/>
      <c r="O59" s="694"/>
      <c r="P59" s="694"/>
      <c r="S59" s="413"/>
      <c r="T59" s="674"/>
      <c r="U59" s="674"/>
      <c r="V59" s="674"/>
      <c r="W59" s="674"/>
      <c r="X59" s="674"/>
      <c r="Y59" s="674"/>
      <c r="Z59" s="674"/>
      <c r="AA59" s="674"/>
      <c r="AB59" s="674"/>
      <c r="AC59" s="674"/>
      <c r="AD59" s="674"/>
      <c r="AE59" s="674"/>
    </row>
    <row r="60" spans="2:52" s="184" customFormat="1" ht="13">
      <c r="B60" s="1059" t="s">
        <v>919</v>
      </c>
      <c r="C60" s="1060" t="s">
        <v>874</v>
      </c>
      <c r="D60" s="1061" t="s">
        <v>875</v>
      </c>
      <c r="E60" s="1061" t="s">
        <v>876</v>
      </c>
      <c r="F60" s="1061" t="s">
        <v>877</v>
      </c>
      <c r="G60" s="1061" t="s">
        <v>878</v>
      </c>
      <c r="H60" s="1061" t="s">
        <v>879</v>
      </c>
      <c r="I60" s="1061" t="s">
        <v>880</v>
      </c>
      <c r="J60" s="1061" t="s">
        <v>881</v>
      </c>
      <c r="K60" s="1061" t="s">
        <v>882</v>
      </c>
      <c r="L60" s="1061" t="s">
        <v>883</v>
      </c>
      <c r="M60" s="1061" t="s">
        <v>884</v>
      </c>
      <c r="N60" s="1061" t="s">
        <v>885</v>
      </c>
      <c r="O60" s="1062" t="str">
        <f>"Acum "&amp;LEFT($O$2,3)</f>
        <v>Acum JUN</v>
      </c>
      <c r="P60" s="1063" t="s">
        <v>886</v>
      </c>
      <c r="S60" s="1562" t="s">
        <v>920</v>
      </c>
      <c r="T60" s="1562" t="s">
        <v>888</v>
      </c>
      <c r="U60" s="1562" t="s">
        <v>875</v>
      </c>
      <c r="V60" s="1562" t="s">
        <v>876</v>
      </c>
      <c r="W60" s="1562" t="s">
        <v>877</v>
      </c>
      <c r="X60" s="1562" t="s">
        <v>878</v>
      </c>
      <c r="Y60" s="1562" t="s">
        <v>879</v>
      </c>
      <c r="Z60" s="1562" t="s">
        <v>880</v>
      </c>
      <c r="AA60" s="1562" t="s">
        <v>881</v>
      </c>
      <c r="AB60" s="1562" t="s">
        <v>882</v>
      </c>
      <c r="AC60" s="1562" t="s">
        <v>883</v>
      </c>
      <c r="AD60" s="1562" t="s">
        <v>884</v>
      </c>
      <c r="AE60" s="1562" t="s">
        <v>885</v>
      </c>
    </row>
    <row r="61" spans="2:52" s="184" customFormat="1" ht="13">
      <c r="B61" s="675" t="s">
        <v>898</v>
      </c>
      <c r="C61" s="748">
        <v>-155.39655519999999</v>
      </c>
      <c r="D61" s="749">
        <v>22.0754494600003</v>
      </c>
      <c r="E61" s="749">
        <v>-61.512769169999999</v>
      </c>
      <c r="F61" s="749">
        <v>-90.353418340000403</v>
      </c>
      <c r="G61" s="749">
        <v>-137.22758994</v>
      </c>
      <c r="H61" s="749">
        <v>-18.083400690000001</v>
      </c>
      <c r="I61" s="749">
        <v>-160.47541691999999</v>
      </c>
      <c r="J61" s="749">
        <v>489.31329979999998</v>
      </c>
      <c r="K61" s="749">
        <v>-43.808465060000003</v>
      </c>
      <c r="L61" s="749">
        <v>156.53165333999999</v>
      </c>
      <c r="M61" s="749">
        <v>531.97165944999904</v>
      </c>
      <c r="N61" s="749">
        <v>-225.25393550999999</v>
      </c>
      <c r="O61" s="746">
        <f>SUM(T61:AE61)</f>
        <v>-440.49828388000009</v>
      </c>
      <c r="P61" s="747">
        <f>SUM(C61:N61)</f>
        <v>307.78051121999897</v>
      </c>
      <c r="S61" s="413">
        <f>$S$15</f>
        <v>2018</v>
      </c>
      <c r="T61" s="679">
        <f t="shared" ref="T61:AE64" si="22">IF(MONTH($S$4)&gt;=T$4,C61,0)</f>
        <v>-155.39655519999999</v>
      </c>
      <c r="U61" s="679">
        <f t="shared" si="22"/>
        <v>22.0754494600003</v>
      </c>
      <c r="V61" s="679">
        <f t="shared" si="22"/>
        <v>-61.512769169999999</v>
      </c>
      <c r="W61" s="679">
        <f t="shared" si="22"/>
        <v>-90.353418340000403</v>
      </c>
      <c r="X61" s="679">
        <f t="shared" si="22"/>
        <v>-137.22758994</v>
      </c>
      <c r="Y61" s="679">
        <f t="shared" si="22"/>
        <v>-18.083400690000001</v>
      </c>
      <c r="Z61" s="679">
        <f t="shared" si="22"/>
        <v>0</v>
      </c>
      <c r="AA61" s="679">
        <f t="shared" si="22"/>
        <v>0</v>
      </c>
      <c r="AB61" s="679">
        <f t="shared" si="22"/>
        <v>0</v>
      </c>
      <c r="AC61" s="679">
        <f t="shared" si="22"/>
        <v>0</v>
      </c>
      <c r="AD61" s="679">
        <f t="shared" si="22"/>
        <v>0</v>
      </c>
      <c r="AE61" s="679">
        <f t="shared" si="22"/>
        <v>0</v>
      </c>
    </row>
    <row r="62" spans="2:52" s="184" customFormat="1" ht="13">
      <c r="B62" s="675" t="s">
        <v>899</v>
      </c>
      <c r="C62" s="748">
        <v>114.596532429999</v>
      </c>
      <c r="D62" s="749">
        <v>-167.18799895000001</v>
      </c>
      <c r="E62" s="749">
        <v>407.14923320999998</v>
      </c>
      <c r="F62" s="749">
        <v>134.80563752</v>
      </c>
      <c r="G62" s="749">
        <v>466.38424608999998</v>
      </c>
      <c r="H62" s="749">
        <v>-79.288773600000098</v>
      </c>
      <c r="I62" s="749">
        <v>62.552551169999298</v>
      </c>
      <c r="J62" s="749">
        <v>326.98098995999999</v>
      </c>
      <c r="K62" s="749">
        <v>184.39284690000201</v>
      </c>
      <c r="L62" s="749">
        <v>556.12333506000004</v>
      </c>
      <c r="M62" s="749">
        <v>163.92896042000001</v>
      </c>
      <c r="N62" s="749">
        <v>120.48886756</v>
      </c>
      <c r="O62" s="746">
        <f>SUM(T62:AE62)</f>
        <v>876.45887669999877</v>
      </c>
      <c r="P62" s="747">
        <f>SUM(C62:N62)</f>
        <v>2290.9264277699999</v>
      </c>
      <c r="S62" s="413">
        <f>$S$16</f>
        <v>2019</v>
      </c>
      <c r="T62" s="679">
        <f t="shared" si="22"/>
        <v>114.596532429999</v>
      </c>
      <c r="U62" s="679">
        <f t="shared" si="22"/>
        <v>-167.18799895000001</v>
      </c>
      <c r="V62" s="679">
        <f t="shared" si="22"/>
        <v>407.14923320999998</v>
      </c>
      <c r="W62" s="679">
        <f t="shared" si="22"/>
        <v>134.80563752</v>
      </c>
      <c r="X62" s="679">
        <f t="shared" si="22"/>
        <v>466.38424608999998</v>
      </c>
      <c r="Y62" s="679">
        <f t="shared" si="22"/>
        <v>-79.288773600000098</v>
      </c>
      <c r="Z62" s="679">
        <f t="shared" si="22"/>
        <v>0</v>
      </c>
      <c r="AA62" s="679">
        <f t="shared" si="22"/>
        <v>0</v>
      </c>
      <c r="AB62" s="679">
        <f t="shared" si="22"/>
        <v>0</v>
      </c>
      <c r="AC62" s="679">
        <f t="shared" si="22"/>
        <v>0</v>
      </c>
      <c r="AD62" s="679">
        <f t="shared" si="22"/>
        <v>0</v>
      </c>
      <c r="AE62" s="679">
        <f t="shared" si="22"/>
        <v>0</v>
      </c>
      <c r="AO62" s="761"/>
      <c r="AP62" s="761"/>
      <c r="AQ62" s="761"/>
      <c r="AR62" s="761"/>
      <c r="AS62" s="761"/>
      <c r="AT62" s="761"/>
      <c r="AU62" s="761"/>
      <c r="AV62" s="761"/>
      <c r="AW62" s="761"/>
      <c r="AX62" s="761"/>
      <c r="AY62" s="761"/>
      <c r="AZ62" s="761"/>
    </row>
    <row r="63" spans="2:52" s="184" customFormat="1" ht="13">
      <c r="B63" s="699" t="s">
        <v>900</v>
      </c>
      <c r="C63" s="750">
        <v>311.65705160999966</v>
      </c>
      <c r="D63" s="751">
        <v>130.40768254999975</v>
      </c>
      <c r="E63" s="751">
        <v>902.3914916399998</v>
      </c>
      <c r="F63" s="751">
        <v>-345.67212746999996</v>
      </c>
      <c r="G63" s="751">
        <v>-502.23676384999999</v>
      </c>
      <c r="H63" s="751">
        <v>-343.46025253000005</v>
      </c>
      <c r="I63" s="752">
        <v>-334.80935718780387</v>
      </c>
      <c r="J63" s="752">
        <v>-7.6691778905280676</v>
      </c>
      <c r="K63" s="752">
        <v>-85.968820060026431</v>
      </c>
      <c r="L63" s="752">
        <v>-242.39771554160239</v>
      </c>
      <c r="M63" s="752">
        <v>-271.59151271765228</v>
      </c>
      <c r="N63" s="752">
        <v>-282.03987678797648</v>
      </c>
      <c r="O63" s="753">
        <f>SUM(T63:AE63)</f>
        <v>153.08708194999917</v>
      </c>
      <c r="P63" s="754">
        <f>SUM(C63:N63)</f>
        <v>-1071.3893782355904</v>
      </c>
      <c r="S63" s="413" t="str">
        <f>$S$17</f>
        <v xml:space="preserve"> 2020 (R) </v>
      </c>
      <c r="T63" s="679">
        <f t="shared" si="22"/>
        <v>311.65705160999966</v>
      </c>
      <c r="U63" s="679">
        <f t="shared" si="22"/>
        <v>130.40768254999975</v>
      </c>
      <c r="V63" s="679">
        <f t="shared" si="22"/>
        <v>902.3914916399998</v>
      </c>
      <c r="W63" s="679">
        <f t="shared" si="22"/>
        <v>-345.67212746999996</v>
      </c>
      <c r="X63" s="679">
        <f t="shared" si="22"/>
        <v>-502.23676384999999</v>
      </c>
      <c r="Y63" s="679">
        <f t="shared" si="22"/>
        <v>-343.46025253000005</v>
      </c>
      <c r="Z63" s="679">
        <f t="shared" si="22"/>
        <v>0</v>
      </c>
      <c r="AA63" s="679">
        <f t="shared" si="22"/>
        <v>0</v>
      </c>
      <c r="AB63" s="679">
        <f t="shared" si="22"/>
        <v>0</v>
      </c>
      <c r="AC63" s="679">
        <f t="shared" si="22"/>
        <v>0</v>
      </c>
      <c r="AD63" s="679">
        <f t="shared" si="22"/>
        <v>0</v>
      </c>
      <c r="AE63" s="679">
        <f t="shared" si="22"/>
        <v>0</v>
      </c>
      <c r="AO63" s="761"/>
      <c r="AP63" s="761"/>
      <c r="AQ63" s="761"/>
      <c r="AR63" s="761"/>
      <c r="AS63" s="761"/>
      <c r="AT63" s="761"/>
      <c r="AU63" s="761"/>
      <c r="AV63" s="761"/>
      <c r="AW63" s="761"/>
    </row>
    <row r="64" spans="2:52" s="184" customFormat="1" ht="13">
      <c r="B64" s="706" t="s">
        <v>902</v>
      </c>
      <c r="C64" s="707">
        <v>317.80759680835001</v>
      </c>
      <c r="D64" s="708">
        <v>76.443221888022293</v>
      </c>
      <c r="E64" s="708">
        <v>-61.599092501107101</v>
      </c>
      <c r="F64" s="708">
        <v>34.545786117467799</v>
      </c>
      <c r="G64" s="708">
        <v>273.21222011746801</v>
      </c>
      <c r="H64" s="708">
        <v>232.70287542544401</v>
      </c>
      <c r="I64" s="755">
        <v>221.27536540124399</v>
      </c>
      <c r="J64" s="755">
        <v>180.61990739219399</v>
      </c>
      <c r="K64" s="755">
        <v>234.989553040169</v>
      </c>
      <c r="L64" s="755">
        <v>209.45147117159399</v>
      </c>
      <c r="M64" s="755">
        <v>244.13812942159399</v>
      </c>
      <c r="N64" s="755">
        <v>236.86821081957001</v>
      </c>
      <c r="O64" s="756">
        <f>SUM(T64:AE64)</f>
        <v>873.11260785564514</v>
      </c>
      <c r="P64" s="757">
        <f>SUM(C64:N64)</f>
        <v>2200.4552451020099</v>
      </c>
      <c r="S64" s="413" t="str">
        <f>$S$18</f>
        <v xml:space="preserve"> 2020 (P) </v>
      </c>
      <c r="T64" s="679">
        <f t="shared" si="22"/>
        <v>317.80759680835001</v>
      </c>
      <c r="U64" s="679">
        <f t="shared" si="22"/>
        <v>76.443221888022293</v>
      </c>
      <c r="V64" s="679">
        <f t="shared" si="22"/>
        <v>-61.599092501107101</v>
      </c>
      <c r="W64" s="679">
        <f t="shared" si="22"/>
        <v>34.545786117467799</v>
      </c>
      <c r="X64" s="679">
        <f t="shared" si="22"/>
        <v>273.21222011746801</v>
      </c>
      <c r="Y64" s="679">
        <f t="shared" si="22"/>
        <v>232.70287542544401</v>
      </c>
      <c r="Z64" s="679">
        <f t="shared" si="22"/>
        <v>0</v>
      </c>
      <c r="AA64" s="679">
        <f t="shared" si="22"/>
        <v>0</v>
      </c>
      <c r="AB64" s="679">
        <f t="shared" si="22"/>
        <v>0</v>
      </c>
      <c r="AC64" s="679">
        <f t="shared" si="22"/>
        <v>0</v>
      </c>
      <c r="AD64" s="679">
        <f t="shared" si="22"/>
        <v>0</v>
      </c>
      <c r="AE64" s="679">
        <f t="shared" si="22"/>
        <v>0</v>
      </c>
      <c r="AO64" s="762"/>
      <c r="AP64" s="762"/>
      <c r="AQ64" s="762"/>
      <c r="AR64" s="762"/>
      <c r="AS64" s="762"/>
      <c r="AT64" s="762"/>
      <c r="AU64" s="762"/>
      <c r="AV64" s="762"/>
      <c r="AW64" s="762"/>
      <c r="AX64" s="762"/>
      <c r="AY64" s="762"/>
      <c r="AZ64" s="762"/>
    </row>
    <row r="65" spans="2:41" s="184" customFormat="1" ht="13">
      <c r="B65" s="712" t="s">
        <v>904</v>
      </c>
      <c r="C65" s="713">
        <f t="shared" ref="C65:P65" si="23">C63/C64</f>
        <v>0.98064695350231235</v>
      </c>
      <c r="D65" s="714">
        <f t="shared" si="23"/>
        <v>1.7059417346514671</v>
      </c>
      <c r="E65" s="714">
        <f t="shared" si="23"/>
        <v>-14.649428343831225</v>
      </c>
      <c r="F65" s="714">
        <f t="shared" si="23"/>
        <v>-10.006202385859549</v>
      </c>
      <c r="G65" s="714">
        <f t="shared" si="23"/>
        <v>-1.838266105498731</v>
      </c>
      <c r="H65" s="714">
        <f t="shared" si="23"/>
        <v>-1.4759605007117402</v>
      </c>
      <c r="I65" s="715">
        <f t="shared" si="23"/>
        <v>-1.5130891619168088</v>
      </c>
      <c r="J65" s="715">
        <f t="shared" si="23"/>
        <v>-4.2460313490668491E-2</v>
      </c>
      <c r="K65" s="715">
        <f t="shared" si="23"/>
        <v>-0.36584102973007893</v>
      </c>
      <c r="L65" s="715">
        <f t="shared" si="23"/>
        <v>-1.1572977462785021</v>
      </c>
      <c r="M65" s="715">
        <f t="shared" si="23"/>
        <v>-1.1124502074342102</v>
      </c>
      <c r="N65" s="715">
        <f t="shared" si="23"/>
        <v>-1.1907037918347565</v>
      </c>
      <c r="O65" s="716">
        <f t="shared" si="23"/>
        <v>0.1753348658267338</v>
      </c>
      <c r="P65" s="717">
        <f t="shared" si="23"/>
        <v>-0.48689441906187114</v>
      </c>
    </row>
    <row r="66" spans="2:41" s="184" customFormat="1" ht="13">
      <c r="B66" s="718" t="s">
        <v>905</v>
      </c>
      <c r="C66" s="719">
        <f t="shared" ref="C66:P67" si="24">C62/C61-1</f>
        <v>-1.7374457708056004</v>
      </c>
      <c r="D66" s="720">
        <f t="shared" si="24"/>
        <v>-8.5734810859881687</v>
      </c>
      <c r="E66" s="720">
        <f t="shared" si="24"/>
        <v>-7.6189384530028299</v>
      </c>
      <c r="F66" s="720">
        <f t="shared" si="24"/>
        <v>-2.4919815984462885</v>
      </c>
      <c r="G66" s="720">
        <f t="shared" si="24"/>
        <v>-4.3986186472699629</v>
      </c>
      <c r="H66" s="720">
        <f t="shared" si="24"/>
        <v>3.3846163096881581</v>
      </c>
      <c r="I66" s="720">
        <f t="shared" si="24"/>
        <v>-1.3897952245307637</v>
      </c>
      <c r="J66" s="720">
        <f t="shared" si="24"/>
        <v>-0.33175535982028503</v>
      </c>
      <c r="K66" s="720">
        <f t="shared" si="24"/>
        <v>-5.2090688785251409</v>
      </c>
      <c r="L66" s="720">
        <f t="shared" si="24"/>
        <v>2.5527851600216165</v>
      </c>
      <c r="M66" s="720">
        <f t="shared" si="24"/>
        <v>-0.69184644048616284</v>
      </c>
      <c r="N66" s="720">
        <f t="shared" si="24"/>
        <v>-1.5349023859991604</v>
      </c>
      <c r="O66" s="721">
        <f t="shared" si="24"/>
        <v>-2.9896987315818064</v>
      </c>
      <c r="P66" s="722">
        <f t="shared" si="24"/>
        <v>6.4433771608510479</v>
      </c>
    </row>
    <row r="67" spans="2:41" s="184" customFormat="1" ht="13.5" thickBot="1">
      <c r="B67" s="723" t="s">
        <v>906</v>
      </c>
      <c r="C67" s="724">
        <f t="shared" si="24"/>
        <v>1.719602809974853</v>
      </c>
      <c r="D67" s="725">
        <f t="shared" si="24"/>
        <v>-1.7800062406931496</v>
      </c>
      <c r="E67" s="725">
        <f t="shared" si="24"/>
        <v>1.2163654454792088</v>
      </c>
      <c r="F67" s="725">
        <f t="shared" si="24"/>
        <v>-3.5642260504032364</v>
      </c>
      <c r="G67" s="725">
        <f t="shared" si="24"/>
        <v>-2.0768733465175435</v>
      </c>
      <c r="H67" s="725">
        <f t="shared" si="24"/>
        <v>3.3317639677806747</v>
      </c>
      <c r="I67" s="726">
        <f t="shared" si="24"/>
        <v>-6.3524492754562676</v>
      </c>
      <c r="J67" s="726">
        <f t="shared" si="24"/>
        <v>-1.0234545069163385</v>
      </c>
      <c r="K67" s="726">
        <f t="shared" si="24"/>
        <v>-1.4662264372253451</v>
      </c>
      <c r="L67" s="726">
        <f t="shared" si="24"/>
        <v>-1.4358704270437603</v>
      </c>
      <c r="M67" s="726">
        <f t="shared" si="24"/>
        <v>-2.656763466454076</v>
      </c>
      <c r="N67" s="726">
        <f t="shared" si="24"/>
        <v>-3.3407961457312951</v>
      </c>
      <c r="O67" s="727">
        <f t="shared" si="24"/>
        <v>-0.8253345524591007</v>
      </c>
      <c r="P67" s="728">
        <f t="shared" si="24"/>
        <v>-1.4676664275414932</v>
      </c>
    </row>
    <row r="68" spans="2:41" s="184" customFormat="1" ht="6" customHeight="1" thickBot="1">
      <c r="B68" s="763"/>
      <c r="C68" s="764"/>
      <c r="D68" s="764"/>
      <c r="E68" s="764"/>
      <c r="F68" s="764"/>
      <c r="G68" s="764"/>
      <c r="H68" s="764"/>
      <c r="I68" s="764"/>
      <c r="J68" s="764"/>
      <c r="K68" s="764"/>
      <c r="L68" s="764"/>
      <c r="M68" s="764"/>
      <c r="N68" s="764"/>
      <c r="O68" s="765"/>
      <c r="P68" s="765"/>
    </row>
    <row r="69" spans="2:41" s="184" customFormat="1" ht="12.75" customHeight="1">
      <c r="B69" s="766" t="s">
        <v>921</v>
      </c>
      <c r="C69" s="767">
        <f t="shared" ref="C69:P72" si="25">C61/C15</f>
        <v>-0.1590632089301395</v>
      </c>
      <c r="D69" s="768">
        <f t="shared" si="25"/>
        <v>2.1453840498341991E-2</v>
      </c>
      <c r="E69" s="768">
        <f t="shared" si="25"/>
        <v>-6.4218514755915557E-2</v>
      </c>
      <c r="F69" s="768">
        <f t="shared" si="25"/>
        <v>-0.11233473136896924</v>
      </c>
      <c r="G69" s="768">
        <f t="shared" si="25"/>
        <v>-0.21302196637912049</v>
      </c>
      <c r="H69" s="768">
        <f t="shared" si="25"/>
        <v>-2.0616132930164639E-2</v>
      </c>
      <c r="I69" s="768">
        <f t="shared" si="25"/>
        <v>-0.14363572189470836</v>
      </c>
      <c r="J69" s="768">
        <f t="shared" si="25"/>
        <v>0.28975051230451121</v>
      </c>
      <c r="K69" s="768">
        <f t="shared" si="25"/>
        <v>-3.6678834899741337E-2</v>
      </c>
      <c r="L69" s="768">
        <f t="shared" si="25"/>
        <v>0.10833658379488355</v>
      </c>
      <c r="M69" s="768">
        <f t="shared" si="25"/>
        <v>0.28587668954025552</v>
      </c>
      <c r="N69" s="768">
        <f t="shared" si="25"/>
        <v>-0.14485665749363111</v>
      </c>
      <c r="O69" s="769">
        <f t="shared" si="25"/>
        <v>-8.3278577209882937E-2</v>
      </c>
      <c r="P69" s="770">
        <f t="shared" si="25"/>
        <v>2.1750452285497768E-2</v>
      </c>
    </row>
    <row r="70" spans="2:41" s="184" customFormat="1" ht="12.75" customHeight="1">
      <c r="B70" s="675" t="s">
        <v>922</v>
      </c>
      <c r="C70" s="719">
        <f t="shared" si="25"/>
        <v>7.2907453197094532E-2</v>
      </c>
      <c r="D70" s="720">
        <f t="shared" si="25"/>
        <v>-0.13163039230881426</v>
      </c>
      <c r="E70" s="720">
        <f t="shared" si="25"/>
        <v>0.22418073335382488</v>
      </c>
      <c r="F70" s="720">
        <f t="shared" si="25"/>
        <v>8.8617073398674709E-2</v>
      </c>
      <c r="G70" s="720">
        <f t="shared" si="25"/>
        <v>0.26302798755765006</v>
      </c>
      <c r="H70" s="720">
        <f t="shared" si="25"/>
        <v>-5.1818837479224694E-2</v>
      </c>
      <c r="I70" s="720">
        <f t="shared" si="25"/>
        <v>3.5838562816446859E-2</v>
      </c>
      <c r="J70" s="720">
        <f t="shared" si="25"/>
        <v>0.17113957230700994</v>
      </c>
      <c r="K70" s="720">
        <f t="shared" si="25"/>
        <v>0.10059219121162528</v>
      </c>
      <c r="L70" s="720">
        <f t="shared" si="25"/>
        <v>0.2385513967244425</v>
      </c>
      <c r="M70" s="720">
        <f t="shared" si="25"/>
        <v>8.0182371271323105E-2</v>
      </c>
      <c r="N70" s="720">
        <f t="shared" si="25"/>
        <v>6.4021857788698622E-2</v>
      </c>
      <c r="O70" s="731">
        <f t="shared" si="25"/>
        <v>9.2428401011849196E-2</v>
      </c>
      <c r="P70" s="732">
        <f t="shared" si="25"/>
        <v>0.10791316381606662</v>
      </c>
    </row>
    <row r="71" spans="2:41" s="184" customFormat="1" ht="13">
      <c r="B71" s="733" t="s">
        <v>923</v>
      </c>
      <c r="C71" s="734">
        <f t="shared" si="25"/>
        <v>0.15979142349008324</v>
      </c>
      <c r="D71" s="735">
        <f t="shared" si="25"/>
        <v>8.2212886335597257E-2</v>
      </c>
      <c r="E71" s="735">
        <f t="shared" si="25"/>
        <v>0.48675681050849023</v>
      </c>
      <c r="F71" s="735">
        <f t="shared" si="25"/>
        <v>-0.96342415481086996</v>
      </c>
      <c r="G71" s="735">
        <f>IFERROR(G63/G17,"n.m")</f>
        <v>-1.3132313109262777</v>
      </c>
      <c r="H71" s="735">
        <f>IFERROR(H63/H17,"n.m")</f>
        <v>-0.92616569572864571</v>
      </c>
      <c r="I71" s="736">
        <f>IFERROR(I63/I17,"n.m")</f>
        <v>-0.67958958152437521</v>
      </c>
      <c r="J71" s="736">
        <f>IFERROR(J63/J17,"n.m")</f>
        <v>-8.6904557228671218E-3</v>
      </c>
      <c r="K71" s="736">
        <f t="shared" si="25"/>
        <v>-0.10686589336395676</v>
      </c>
      <c r="L71" s="736">
        <f t="shared" si="25"/>
        <v>-0.42386909240626519</v>
      </c>
      <c r="M71" s="736">
        <f t="shared" si="25"/>
        <v>-0.54573754517451445</v>
      </c>
      <c r="N71" s="736">
        <f t="shared" si="25"/>
        <v>-0.54223180107904378</v>
      </c>
      <c r="O71" s="760">
        <f t="shared" si="25"/>
        <v>2.3542498939231406E-2</v>
      </c>
      <c r="P71" s="737">
        <f t="shared" si="25"/>
        <v>-0.10430333246856272</v>
      </c>
    </row>
    <row r="72" spans="2:41" s="184" customFormat="1" ht="13.5" thickBot="1">
      <c r="B72" s="738" t="s">
        <v>924</v>
      </c>
      <c r="C72" s="739">
        <f t="shared" si="25"/>
        <v>0.163033963136065</v>
      </c>
      <c r="D72" s="740">
        <f t="shared" si="25"/>
        <v>5.272335325272727E-2</v>
      </c>
      <c r="E72" s="740">
        <f t="shared" si="25"/>
        <v>-3.5728777330311934E-2</v>
      </c>
      <c r="F72" s="740">
        <f t="shared" si="25"/>
        <v>1.9047278555016301E-2</v>
      </c>
      <c r="G72" s="740">
        <f>G64/G18</f>
        <v>0.14403498882322824</v>
      </c>
      <c r="H72" s="740">
        <f>H64/H18</f>
        <v>0.12888802269960919</v>
      </c>
      <c r="I72" s="741">
        <f>I64/I18</f>
        <v>0.11801327999181227</v>
      </c>
      <c r="J72" s="741">
        <f>J64/J18</f>
        <v>0.10645847102510374</v>
      </c>
      <c r="K72" s="741">
        <f t="shared" si="25"/>
        <v>0.1250717118935212</v>
      </c>
      <c r="L72" s="741">
        <f t="shared" si="25"/>
        <v>0.11694638280973717</v>
      </c>
      <c r="M72" s="741">
        <f t="shared" si="25"/>
        <v>0.12498700049447896</v>
      </c>
      <c r="N72" s="741">
        <f t="shared" si="25"/>
        <v>0.1206597679392523</v>
      </c>
      <c r="O72" s="742">
        <f t="shared" si="25"/>
        <v>8.2064857777936262E-2</v>
      </c>
      <c r="P72" s="743">
        <f t="shared" si="25"/>
        <v>0.10095134441460832</v>
      </c>
    </row>
    <row r="73" spans="2:41" s="184" customFormat="1" ht="7.5" customHeight="1" outlineLevel="1" thickBot="1">
      <c r="B73"/>
      <c r="C73" s="692"/>
      <c r="D73" s="692"/>
      <c r="E73" s="693"/>
      <c r="F73" s="693"/>
      <c r="G73" s="693"/>
      <c r="H73" s="693"/>
      <c r="I73" s="693"/>
      <c r="J73" s="693"/>
      <c r="K73" s="693"/>
      <c r="L73" s="693"/>
      <c r="M73" s="693"/>
      <c r="N73" s="693"/>
      <c r="O73" s="694"/>
      <c r="P73" s="694"/>
      <c r="S73" s="413"/>
      <c r="T73" s="674"/>
      <c r="U73" s="674"/>
      <c r="V73" s="674"/>
      <c r="W73" s="674"/>
      <c r="X73" s="674"/>
      <c r="Y73" s="674"/>
      <c r="Z73" s="674"/>
      <c r="AA73" s="674"/>
      <c r="AB73" s="674"/>
      <c r="AC73" s="674"/>
      <c r="AD73" s="674"/>
      <c r="AE73" s="674"/>
    </row>
    <row r="74" spans="2:41" s="184" customFormat="1" ht="13" outlineLevel="1">
      <c r="B74" s="1059" t="s">
        <v>314</v>
      </c>
      <c r="C74" s="1060" t="s">
        <v>874</v>
      </c>
      <c r="D74" s="1061" t="s">
        <v>875</v>
      </c>
      <c r="E74" s="1061" t="s">
        <v>876</v>
      </c>
      <c r="F74" s="1061" t="s">
        <v>877</v>
      </c>
      <c r="G74" s="1061" t="s">
        <v>878</v>
      </c>
      <c r="H74" s="1061" t="s">
        <v>879</v>
      </c>
      <c r="I74" s="1061" t="s">
        <v>880</v>
      </c>
      <c r="J74" s="1061" t="s">
        <v>881</v>
      </c>
      <c r="K74" s="1061" t="s">
        <v>882</v>
      </c>
      <c r="L74" s="1061" t="s">
        <v>883</v>
      </c>
      <c r="M74" s="1061" t="s">
        <v>884</v>
      </c>
      <c r="N74" s="1061" t="s">
        <v>885</v>
      </c>
      <c r="O74" s="1075" t="str">
        <f>"Acum "&amp;LEFT($O$2,3)</f>
        <v>Acum JUN</v>
      </c>
      <c r="P74" s="1076" t="s">
        <v>886</v>
      </c>
      <c r="S74" s="1562" t="s">
        <v>314</v>
      </c>
      <c r="T74" s="1562" t="s">
        <v>888</v>
      </c>
      <c r="U74" s="1562" t="s">
        <v>875</v>
      </c>
      <c r="V74" s="1562" t="s">
        <v>876</v>
      </c>
      <c r="W74" s="1562" t="s">
        <v>877</v>
      </c>
      <c r="X74" s="1562" t="s">
        <v>878</v>
      </c>
      <c r="Y74" s="1562" t="s">
        <v>879</v>
      </c>
      <c r="Z74" s="1562" t="s">
        <v>880</v>
      </c>
      <c r="AA74" s="1562" t="s">
        <v>881</v>
      </c>
      <c r="AB74" s="1562" t="s">
        <v>882</v>
      </c>
      <c r="AC74" s="1562" t="s">
        <v>883</v>
      </c>
      <c r="AD74" s="1562" t="s">
        <v>884</v>
      </c>
      <c r="AE74" s="1562" t="s">
        <v>885</v>
      </c>
    </row>
    <row r="75" spans="2:41" s="184" customFormat="1" ht="13" outlineLevel="1">
      <c r="B75" s="675" t="s">
        <v>898</v>
      </c>
      <c r="C75" s="771">
        <v>-145.09928860000099</v>
      </c>
      <c r="D75" s="772">
        <v>-170.39524057999799</v>
      </c>
      <c r="E75" s="772">
        <v>-199.257441</v>
      </c>
      <c r="F75" s="772">
        <v>-29.019670000000001</v>
      </c>
      <c r="G75" s="772">
        <v>-19.207759750000001</v>
      </c>
      <c r="H75" s="772">
        <v>-5.8171680099983201</v>
      </c>
      <c r="I75" s="772">
        <v>-102.039226690002</v>
      </c>
      <c r="J75" s="772">
        <v>-46.367704689998597</v>
      </c>
      <c r="K75" s="772">
        <v>-88.222755930000304</v>
      </c>
      <c r="L75" s="772">
        <v>-183.37646809999799</v>
      </c>
      <c r="M75" s="772">
        <v>-265.11950136000098</v>
      </c>
      <c r="N75" s="772">
        <v>-319.77467507000199</v>
      </c>
      <c r="O75" s="696">
        <f>SUM(T75:AE75)</f>
        <v>-568.79656793999732</v>
      </c>
      <c r="P75" s="773">
        <f>SUM(C75:N75)</f>
        <v>-1573.6968997799991</v>
      </c>
      <c r="S75" s="413">
        <f>$S$15</f>
        <v>2018</v>
      </c>
      <c r="T75" s="679">
        <f t="shared" ref="T75:AE78" si="26">IF(MONTH($S$4)&gt;=T$4,C75,0)</f>
        <v>-145.09928860000099</v>
      </c>
      <c r="U75" s="679">
        <f t="shared" si="26"/>
        <v>-170.39524057999799</v>
      </c>
      <c r="V75" s="679">
        <f t="shared" si="26"/>
        <v>-199.257441</v>
      </c>
      <c r="W75" s="679">
        <f t="shared" si="26"/>
        <v>-29.019670000000001</v>
      </c>
      <c r="X75" s="679">
        <f t="shared" si="26"/>
        <v>-19.207759750000001</v>
      </c>
      <c r="Y75" s="679">
        <f t="shared" si="26"/>
        <v>-5.8171680099983201</v>
      </c>
      <c r="Z75" s="679">
        <f t="shared" si="26"/>
        <v>0</v>
      </c>
      <c r="AA75" s="679">
        <f t="shared" si="26"/>
        <v>0</v>
      </c>
      <c r="AB75" s="679">
        <f t="shared" si="26"/>
        <v>0</v>
      </c>
      <c r="AC75" s="679">
        <f t="shared" si="26"/>
        <v>0</v>
      </c>
      <c r="AD75" s="679">
        <f t="shared" si="26"/>
        <v>0</v>
      </c>
      <c r="AE75" s="679">
        <f t="shared" si="26"/>
        <v>0</v>
      </c>
    </row>
    <row r="76" spans="2:41" s="184" customFormat="1" ht="13" outlineLevel="1">
      <c r="B76" s="675" t="s">
        <v>899</v>
      </c>
      <c r="C76" s="771">
        <v>-33.806595240001798</v>
      </c>
      <c r="D76" s="772">
        <v>-87.457662079997505</v>
      </c>
      <c r="E76" s="772">
        <v>-8.7680749299993099</v>
      </c>
      <c r="F76" s="772">
        <v>-39.259460750001203</v>
      </c>
      <c r="G76" s="772">
        <v>-81.305840119998393</v>
      </c>
      <c r="H76" s="772">
        <v>-198.51245062999999</v>
      </c>
      <c r="I76" s="772">
        <v>-87.284189070003507</v>
      </c>
      <c r="J76" s="772">
        <v>-74.700494609998302</v>
      </c>
      <c r="K76" s="772">
        <v>-20.843460769999801</v>
      </c>
      <c r="L76" s="772">
        <v>-69.728118310000298</v>
      </c>
      <c r="M76" s="772">
        <v>60.902339189997903</v>
      </c>
      <c r="N76" s="772">
        <v>-88.120008220000798</v>
      </c>
      <c r="O76" s="696">
        <f>SUM(T76:AE76)</f>
        <v>-449.11008374999818</v>
      </c>
      <c r="P76" s="747">
        <f>SUM(C76:N76)</f>
        <v>-728.88401554000302</v>
      </c>
      <c r="S76" s="413">
        <f>$S$16</f>
        <v>2019</v>
      </c>
      <c r="T76" s="679">
        <f t="shared" si="26"/>
        <v>-33.806595240001798</v>
      </c>
      <c r="U76" s="679">
        <f t="shared" si="26"/>
        <v>-87.457662079997505</v>
      </c>
      <c r="V76" s="679">
        <f t="shared" si="26"/>
        <v>-8.7680749299993099</v>
      </c>
      <c r="W76" s="679">
        <f t="shared" si="26"/>
        <v>-39.259460750001203</v>
      </c>
      <c r="X76" s="679">
        <f t="shared" si="26"/>
        <v>-81.305840119998393</v>
      </c>
      <c r="Y76" s="679">
        <f t="shared" si="26"/>
        <v>-198.51245062999999</v>
      </c>
      <c r="Z76" s="679">
        <f t="shared" si="26"/>
        <v>0</v>
      </c>
      <c r="AA76" s="679">
        <f t="shared" si="26"/>
        <v>0</v>
      </c>
      <c r="AB76" s="679">
        <f t="shared" si="26"/>
        <v>0</v>
      </c>
      <c r="AC76" s="679">
        <f t="shared" si="26"/>
        <v>0</v>
      </c>
      <c r="AD76" s="679">
        <f t="shared" si="26"/>
        <v>0</v>
      </c>
      <c r="AE76" s="679">
        <f t="shared" si="26"/>
        <v>0</v>
      </c>
    </row>
    <row r="77" spans="2:41" s="184" customFormat="1" ht="13" outlineLevel="1">
      <c r="B77" s="699" t="s">
        <v>900</v>
      </c>
      <c r="C77" s="774">
        <f>'Reporte de Seguimiento_BG 20-06'!C43</f>
        <v>-15.918868530000463</v>
      </c>
      <c r="D77" s="775">
        <f>'Reporte de Seguimiento_BG 20-06'!D43</f>
        <v>-106.55366800000009</v>
      </c>
      <c r="E77" s="775">
        <f>'Reporte de Seguimiento_BG 20-06'!E43</f>
        <v>-103.06503900000016</v>
      </c>
      <c r="F77" s="775">
        <f>'Reporte de Seguimiento_BG 20-06'!F43</f>
        <v>-23.92879699999985</v>
      </c>
      <c r="G77" s="775">
        <f>'Reporte de Seguimiento_BG 20-06'!G43</f>
        <v>-19.708026400000303</v>
      </c>
      <c r="H77" s="775">
        <f>'Reporte de Seguimiento_BG 20-06'!H43</f>
        <v>-25.976196000001131</v>
      </c>
      <c r="I77" s="776">
        <f>'Reporte de Seguimiento_BG 20-06'!I43</f>
        <v>-1.4901161193847657E-13</v>
      </c>
      <c r="J77" s="776">
        <f>'Reporte de Seguimiento_BG 20-06'!J43</f>
        <v>-1.4901161193847657E-13</v>
      </c>
      <c r="K77" s="776">
        <f>'Reporte de Seguimiento_BG 20-06'!K43</f>
        <v>-1.4901161193847657E-13</v>
      </c>
      <c r="L77" s="776">
        <f>'Reporte de Seguimiento_BG 20-06'!L43</f>
        <v>-1.4901161193847657E-13</v>
      </c>
      <c r="M77" s="776">
        <f>'Reporte de Seguimiento_BG 20-06'!M43</f>
        <v>-1.4901161193847657E-13</v>
      </c>
      <c r="N77" s="776">
        <f>'Reporte de Seguimiento_BG 20-06'!N43</f>
        <v>-1.4901161193847657E-13</v>
      </c>
      <c r="O77" s="703">
        <f>SUM(T77:AE77)</f>
        <v>-295.150594930002</v>
      </c>
      <c r="P77" s="754">
        <f>SUM(C77:N77)</f>
        <v>-295.15059493000302</v>
      </c>
      <c r="S77" s="413" t="str">
        <f>$S$17</f>
        <v xml:space="preserve"> 2020 (R) </v>
      </c>
      <c r="T77" s="679">
        <f t="shared" si="26"/>
        <v>-15.918868530000463</v>
      </c>
      <c r="U77" s="679">
        <f t="shared" si="26"/>
        <v>-106.55366800000009</v>
      </c>
      <c r="V77" s="679">
        <f t="shared" si="26"/>
        <v>-103.06503900000016</v>
      </c>
      <c r="W77" s="679">
        <f t="shared" si="26"/>
        <v>-23.92879699999985</v>
      </c>
      <c r="X77" s="679">
        <f t="shared" si="26"/>
        <v>-19.708026400000303</v>
      </c>
      <c r="Y77" s="679">
        <f t="shared" si="26"/>
        <v>-25.976196000001131</v>
      </c>
      <c r="Z77" s="679">
        <f t="shared" si="26"/>
        <v>0</v>
      </c>
      <c r="AA77" s="679">
        <f t="shared" si="26"/>
        <v>0</v>
      </c>
      <c r="AB77" s="679">
        <f t="shared" si="26"/>
        <v>0</v>
      </c>
      <c r="AC77" s="679">
        <f t="shared" si="26"/>
        <v>0</v>
      </c>
      <c r="AD77" s="679">
        <f t="shared" si="26"/>
        <v>0</v>
      </c>
      <c r="AE77" s="679">
        <f t="shared" si="26"/>
        <v>0</v>
      </c>
    </row>
    <row r="78" spans="2:41" s="184" customFormat="1" ht="13" outlineLevel="1">
      <c r="B78" s="706" t="s">
        <v>902</v>
      </c>
      <c r="C78" s="707">
        <v>-186.973555</v>
      </c>
      <c r="D78" s="708">
        <v>13.026445000001299</v>
      </c>
      <c r="E78" s="708">
        <v>13.026445000001299</v>
      </c>
      <c r="F78" s="708">
        <v>-219.973555000001</v>
      </c>
      <c r="G78" s="708">
        <v>13.026445000000001</v>
      </c>
      <c r="H78" s="708">
        <v>13.026445000000001</v>
      </c>
      <c r="I78" s="777">
        <v>13.026445000000001</v>
      </c>
      <c r="J78" s="777">
        <v>13.026445000000001</v>
      </c>
      <c r="K78" s="777">
        <v>13.026445000000001</v>
      </c>
      <c r="L78" s="777">
        <v>13.026445000000001</v>
      </c>
      <c r="M78" s="777">
        <v>13.026445000000001</v>
      </c>
      <c r="N78" s="777">
        <v>-38.123908</v>
      </c>
      <c r="O78" s="710">
        <f>SUM(T78:AE78)</f>
        <v>-354.84132999999838</v>
      </c>
      <c r="P78" s="757">
        <f>SUM(C78:N78)</f>
        <v>-327.83301299999823</v>
      </c>
      <c r="S78" s="413" t="str">
        <f>$S$18</f>
        <v xml:space="preserve"> 2020 (P) </v>
      </c>
      <c r="T78" s="679">
        <f t="shared" si="26"/>
        <v>-186.973555</v>
      </c>
      <c r="U78" s="679">
        <f t="shared" si="26"/>
        <v>13.026445000001299</v>
      </c>
      <c r="V78" s="679">
        <f t="shared" si="26"/>
        <v>13.026445000001299</v>
      </c>
      <c r="W78" s="679">
        <f t="shared" si="26"/>
        <v>-219.973555000001</v>
      </c>
      <c r="X78" s="679">
        <f t="shared" si="26"/>
        <v>13.026445000000001</v>
      </c>
      <c r="Y78" s="679">
        <f t="shared" si="26"/>
        <v>13.026445000000001</v>
      </c>
      <c r="Z78" s="679">
        <f t="shared" si="26"/>
        <v>0</v>
      </c>
      <c r="AA78" s="679">
        <f t="shared" si="26"/>
        <v>0</v>
      </c>
      <c r="AB78" s="679">
        <f t="shared" si="26"/>
        <v>0</v>
      </c>
      <c r="AC78" s="679">
        <f t="shared" si="26"/>
        <v>0</v>
      </c>
      <c r="AD78" s="679">
        <f t="shared" si="26"/>
        <v>0</v>
      </c>
      <c r="AE78" s="679">
        <f t="shared" si="26"/>
        <v>0</v>
      </c>
    </row>
    <row r="79" spans="2:41" s="184" customFormat="1" ht="13" outlineLevel="1">
      <c r="B79" s="712" t="s">
        <v>904</v>
      </c>
      <c r="C79" s="713">
        <f t="shared" ref="C79:P79" si="27">C77/C78</f>
        <v>8.5139679405467059E-2</v>
      </c>
      <c r="D79" s="714">
        <f t="shared" si="27"/>
        <v>-8.1797964064631188</v>
      </c>
      <c r="E79" s="714">
        <f t="shared" si="27"/>
        <v>-7.9119851195003603</v>
      </c>
      <c r="F79" s="714">
        <f t="shared" si="27"/>
        <v>0.10878033498162877</v>
      </c>
      <c r="G79" s="714">
        <f t="shared" si="27"/>
        <v>-1.5129243934166461</v>
      </c>
      <c r="H79" s="714">
        <f t="shared" si="27"/>
        <v>-1.9941124381979221</v>
      </c>
      <c r="I79" s="778">
        <f t="shared" si="27"/>
        <v>-1.1439161792682237E-14</v>
      </c>
      <c r="J79" s="778">
        <f t="shared" si="27"/>
        <v>-1.1439161792682237E-14</v>
      </c>
      <c r="K79" s="778">
        <f t="shared" si="27"/>
        <v>-1.1439161792682237E-14</v>
      </c>
      <c r="L79" s="778">
        <f t="shared" si="27"/>
        <v>-1.1439161792682237E-14</v>
      </c>
      <c r="M79" s="778">
        <f t="shared" si="27"/>
        <v>-1.1439161792682237E-14</v>
      </c>
      <c r="N79" s="778">
        <f t="shared" si="27"/>
        <v>3.9086132496824981E-15</v>
      </c>
      <c r="O79" s="779">
        <f t="shared" si="27"/>
        <v>0.83178189792604862</v>
      </c>
      <c r="P79" s="780">
        <f t="shared" si="27"/>
        <v>0.90030772748931365</v>
      </c>
    </row>
    <row r="80" spans="2:41" s="184" customFormat="1" ht="13" outlineLevel="1">
      <c r="B80" s="718" t="s">
        <v>905</v>
      </c>
      <c r="C80" s="781">
        <f t="shared" ref="C80:P81" si="28">C76/C75-1</f>
        <v>-0.76701060655647102</v>
      </c>
      <c r="D80" s="765">
        <f t="shared" si="28"/>
        <v>-0.48673647349359239</v>
      </c>
      <c r="E80" s="765">
        <f t="shared" si="28"/>
        <v>-0.95599624844123487</v>
      </c>
      <c r="F80" s="765">
        <f t="shared" si="28"/>
        <v>0.35285689844168466</v>
      </c>
      <c r="G80" s="765">
        <f t="shared" si="28"/>
        <v>3.2329684033036905</v>
      </c>
      <c r="H80" s="765">
        <f t="shared" si="28"/>
        <v>33.125273722334406</v>
      </c>
      <c r="I80" s="782">
        <f t="shared" si="28"/>
        <v>-0.14460162134337518</v>
      </c>
      <c r="J80" s="782">
        <f t="shared" si="28"/>
        <v>0.61104577225516654</v>
      </c>
      <c r="K80" s="782">
        <f t="shared" si="28"/>
        <v>-0.76374053893149862</v>
      </c>
      <c r="L80" s="782">
        <f t="shared" si="28"/>
        <v>-0.61975427364008073</v>
      </c>
      <c r="M80" s="782">
        <f t="shared" si="28"/>
        <v>-1.2297165575432329</v>
      </c>
      <c r="N80" s="782">
        <f t="shared" si="28"/>
        <v>-0.72443093499911959</v>
      </c>
      <c r="O80" s="783">
        <f t="shared" si="28"/>
        <v>-0.2104205456503826</v>
      </c>
      <c r="P80" s="784">
        <f t="shared" si="28"/>
        <v>-0.5368332900434003</v>
      </c>
      <c r="AO80" s="523"/>
    </row>
    <row r="81" spans="2:31" s="184" customFormat="1" ht="13.5" outlineLevel="1" thickBot="1">
      <c r="B81" s="723" t="s">
        <v>906</v>
      </c>
      <c r="C81" s="785">
        <f t="shared" si="28"/>
        <v>-0.52911943906245862</v>
      </c>
      <c r="D81" s="786">
        <f t="shared" si="28"/>
        <v>0.21834571683994342</v>
      </c>
      <c r="E81" s="786">
        <f t="shared" si="28"/>
        <v>10.754580090023053</v>
      </c>
      <c r="F81" s="786">
        <f t="shared" si="28"/>
        <v>-0.39049603476789685</v>
      </c>
      <c r="G81" s="786">
        <f t="shared" si="28"/>
        <v>-0.75760626332729064</v>
      </c>
      <c r="H81" s="786">
        <f t="shared" si="28"/>
        <v>-0.86914575928329452</v>
      </c>
      <c r="I81" s="787">
        <f t="shared" si="28"/>
        <v>-0.99999999999999833</v>
      </c>
      <c r="J81" s="787">
        <f t="shared" si="28"/>
        <v>-0.999999999999998</v>
      </c>
      <c r="K81" s="787">
        <f t="shared" si="28"/>
        <v>-0.99999999999999289</v>
      </c>
      <c r="L81" s="787">
        <f t="shared" si="28"/>
        <v>-0.99999999999999789</v>
      </c>
      <c r="M81" s="787">
        <f t="shared" si="28"/>
        <v>-1.0000000000000024</v>
      </c>
      <c r="N81" s="787">
        <f t="shared" si="28"/>
        <v>-0.99999999999999833</v>
      </c>
      <c r="O81" s="788">
        <f t="shared" si="28"/>
        <v>-0.34281013584566788</v>
      </c>
      <c r="P81" s="789">
        <f t="shared" si="28"/>
        <v>-0.59506507395235309</v>
      </c>
    </row>
    <row r="82" spans="2:31" s="184" customFormat="1" ht="7.5" customHeight="1" thickBot="1">
      <c r="B82"/>
      <c r="C82" s="692"/>
      <c r="D82" s="692"/>
      <c r="E82" s="693"/>
      <c r="F82" s="693"/>
      <c r="G82" s="693"/>
      <c r="H82" s="693"/>
      <c r="I82" s="693"/>
      <c r="J82" s="693"/>
      <c r="K82" s="693"/>
      <c r="L82" s="693"/>
      <c r="M82" s="693"/>
      <c r="N82" s="693"/>
      <c r="O82" s="694"/>
      <c r="P82" s="694"/>
      <c r="S82" s="413"/>
      <c r="T82" s="674"/>
      <c r="U82" s="674"/>
      <c r="V82" s="674"/>
      <c r="W82" s="674"/>
      <c r="X82" s="674"/>
      <c r="Y82" s="674"/>
      <c r="Z82" s="674"/>
      <c r="AA82" s="674"/>
      <c r="AB82" s="674"/>
      <c r="AC82" s="674"/>
      <c r="AD82" s="674"/>
      <c r="AE82" s="674"/>
    </row>
    <row r="83" spans="2:31" s="184" customFormat="1" ht="13">
      <c r="B83" s="1059" t="s">
        <v>925</v>
      </c>
      <c r="C83" s="1060" t="s">
        <v>874</v>
      </c>
      <c r="D83" s="1060" t="s">
        <v>875</v>
      </c>
      <c r="E83" s="1061" t="s">
        <v>876</v>
      </c>
      <c r="F83" s="1061" t="s">
        <v>877</v>
      </c>
      <c r="G83" s="1061" t="s">
        <v>878</v>
      </c>
      <c r="H83" s="1061" t="s">
        <v>879</v>
      </c>
      <c r="I83" s="1061" t="s">
        <v>880</v>
      </c>
      <c r="J83" s="1061" t="s">
        <v>881</v>
      </c>
      <c r="K83" s="1061" t="s">
        <v>882</v>
      </c>
      <c r="L83" s="1061" t="s">
        <v>883</v>
      </c>
      <c r="M83" s="1061" t="s">
        <v>884</v>
      </c>
      <c r="N83" s="1061" t="s">
        <v>885</v>
      </c>
      <c r="O83" s="1062" t="str">
        <f>"Acum "&amp;LEFT($O$2,3)</f>
        <v>Acum JUN</v>
      </c>
      <c r="P83" s="1063" t="s">
        <v>886</v>
      </c>
    </row>
    <row r="84" spans="2:31" s="184" customFormat="1" ht="13">
      <c r="B84" s="790" t="s">
        <v>926</v>
      </c>
      <c r="C84" s="791">
        <f>('Reporte de Seguimiento_BG 20-06'!C15+'Reporte de Seguimiento_BG 20-06'!C14)/'Reporte de Seguimiento_BG 20-06'!C28</f>
        <v>0.50559995848779604</v>
      </c>
      <c r="D84" s="791">
        <f>('Reporte de Seguimiento_BG 20-06'!D15+'Reporte de Seguimiento_BG 20-06'!D14)/'Reporte de Seguimiento_BG 20-06'!D28</f>
        <v>0.4973814740167814</v>
      </c>
      <c r="E84" s="791">
        <f>('Reporte de Seguimiento_BG 20-06'!E15+'Reporte de Seguimiento_BG 20-06'!E14)/'Reporte de Seguimiento_BG 20-06'!E28</f>
        <v>0.46565417027185169</v>
      </c>
      <c r="F84" s="791">
        <f>('Reporte de Seguimiento_BG 20-06'!F15+'Reporte de Seguimiento_BG 20-06'!F14)/'Reporte de Seguimiento_BG 20-06'!F28</f>
        <v>0.476126461745561</v>
      </c>
      <c r="G84" s="791">
        <f>('Reporte de Seguimiento_BG 20-06'!G15+'Reporte de Seguimiento_BG 20-06'!G14)/'Reporte de Seguimiento_BG 20-06'!G28</f>
        <v>0.49302903380904867</v>
      </c>
      <c r="H84" s="791">
        <f>('Reporte de Seguimiento_BG 20-06'!H15+'Reporte de Seguimiento_BG 20-06'!H14)/'Reporte de Seguimiento_BG 20-06'!H28</f>
        <v>0.50624227775576902</v>
      </c>
      <c r="I84" s="792">
        <f>('Reporte de Seguimiento_BG 20-06'!I15+'Reporte de Seguimiento_BG 20-06'!I14)/'Reporte de Seguimiento_BG 20-06'!I28</f>
        <v>0.51967118125735401</v>
      </c>
      <c r="J84" s="792">
        <f>('Reporte de Seguimiento_BG 20-06'!J15+'Reporte de Seguimiento_BG 20-06'!J14)/'Reporte de Seguimiento_BG 20-06'!J28</f>
        <v>0.51077203850014374</v>
      </c>
      <c r="K84" s="792">
        <f>('Reporte de Seguimiento_BG 20-06'!K15+'Reporte de Seguimiento_BG 20-06'!K14)/'Reporte de Seguimiento_BG 20-06'!K28</f>
        <v>0.51427702711967638</v>
      </c>
      <c r="L84" s="792">
        <f>('Reporte de Seguimiento_BG 20-06'!L15+'Reporte de Seguimiento_BG 20-06'!L14)/'Reporte de Seguimiento_BG 20-06'!L28</f>
        <v>0.52442383592680941</v>
      </c>
      <c r="M84" s="792">
        <f>('Reporte de Seguimiento_BG 20-06'!M15+'Reporte de Seguimiento_BG 20-06'!M14)/'Reporte de Seguimiento_BG 20-06'!M28</f>
        <v>0.52660380661032624</v>
      </c>
      <c r="N84" s="792">
        <f>('Reporte de Seguimiento_BG 20-06'!N15+'Reporte de Seguimiento_BG 20-06'!N14)/'Reporte de Seguimiento_BG 20-06'!N28</f>
        <v>0.5392635186942486</v>
      </c>
      <c r="O84" s="793"/>
      <c r="P84" s="794">
        <f>('Reporte de Seguimiento_BG 20-06'!O15+'Reporte de Seguimiento_BG 20-06'!O14)/'Reporte de Seguimiento_BG 20-06'!O28</f>
        <v>0.5392635186942486</v>
      </c>
    </row>
    <row r="85" spans="2:31" s="184" customFormat="1" ht="13">
      <c r="B85" s="790" t="s">
        <v>927</v>
      </c>
      <c r="C85" s="791">
        <f>IF(('Reporte de Seguimiento_BG 20-06'!C15+'Reporte de Seguimiento_BG 20-06'!C14)/C94&lt;0,"n.m.",('Reporte de Seguimiento_BG 20-06'!C15+'Reporte de Seguimiento_BG 20-06'!C14)/C94)</f>
        <v>1.4624399665431242</v>
      </c>
      <c r="D85" s="791">
        <f>IF(('Reporte de Seguimiento_BG 20-06'!D15+'Reporte de Seguimiento_BG 20-06'!D14)/D94&lt;0,"n.m.",('Reporte de Seguimiento_BG 20-06'!D15+'Reporte de Seguimiento_BG 20-06'!D14)/D94)</f>
        <v>1.3899556210026225</v>
      </c>
      <c r="E85" s="791">
        <f>IF(('Reporte de Seguimiento_BG 20-06'!E15+'Reporte de Seguimiento_BG 20-06'!E14)/E94&lt;0,"n.m.",('Reporte de Seguimiento_BG 20-06'!E15+'Reporte de Seguimiento_BG 20-06'!E14)/E94)</f>
        <v>1.3417827113445588</v>
      </c>
      <c r="F85" s="791">
        <f>IF(('Reporte de Seguimiento_BG 20-06'!F15+'Reporte de Seguimiento_BG 20-06'!F14)/F94&lt;0,"n.m.",('Reporte de Seguimiento_BG 20-06'!F15+'Reporte de Seguimiento_BG 20-06'!F14)/F94)</f>
        <v>1.4290842511619977</v>
      </c>
      <c r="G85" s="791">
        <f>IF(('Reporte de Seguimiento_BG 20-06'!G15+'Reporte de Seguimiento_BG 20-06'!G14)/G94&lt;0,"n.m.",('Reporte de Seguimiento_BG 20-06'!G15+'Reporte de Seguimiento_BG 20-06'!G14)/G94)</f>
        <v>1.5903043225655955</v>
      </c>
      <c r="H85" s="791">
        <f>IF(('Reporte de Seguimiento_BG 20-06'!H15+'Reporte de Seguimiento_BG 20-06'!H14)/H94&lt;0,"n.m.",('Reporte de Seguimiento_BG 20-06'!H15+'Reporte de Seguimiento_BG 20-06'!H14)/H94)</f>
        <v>1.7458194591103768</v>
      </c>
      <c r="I85" s="792">
        <f>IF(('Reporte de Seguimiento_BG 20-06'!I15+'Reporte de Seguimiento_BG 20-06'!I14)/I94&lt;0,"n.m.",('Reporte de Seguimiento_BG 20-06'!I15+'Reporte de Seguimiento_BG 20-06'!I14)/I94)</f>
        <v>1.9523393940187299</v>
      </c>
      <c r="J85" s="792">
        <f>IF(('Reporte de Seguimiento_BG 20-06'!J15+'Reporte de Seguimiento_BG 20-06'!J14)/J94&lt;0,"n.m.",('Reporte de Seguimiento_BG 20-06'!J15+'Reporte de Seguimiento_BG 20-06'!J14)/J94)</f>
        <v>2.083678017615672</v>
      </c>
      <c r="K85" s="792">
        <f>IF(('Reporte de Seguimiento_BG 20-06'!K15+'Reporte de Seguimiento_BG 20-06'!K14)/K94&lt;0,"n.m.",('Reporte de Seguimiento_BG 20-06'!K15+'Reporte de Seguimiento_BG 20-06'!K14)/K94)</f>
        <v>2.376424072673843</v>
      </c>
      <c r="L85" s="792">
        <f>IF(('Reporte de Seguimiento_BG 20-06'!L15+'Reporte de Seguimiento_BG 20-06'!L14)/L94&lt;0,"n.m.",('Reporte de Seguimiento_BG 20-06'!L15+'Reporte de Seguimiento_BG 20-06'!L14)/L94)</f>
        <v>3.4760150360820603</v>
      </c>
      <c r="M85" s="792">
        <f>IF(('Reporte de Seguimiento_BG 20-06'!M15+'Reporte de Seguimiento_BG 20-06'!M14)/M94&lt;0,"n.m.",('Reporte de Seguimiento_BG 20-06'!M15+'Reporte de Seguimiento_BG 20-06'!M14)/M94)</f>
        <v>5.0986770450014456</v>
      </c>
      <c r="N85" s="792">
        <f>IF(('Reporte de Seguimiento_BG 20-06'!N15+'Reporte de Seguimiento_BG 20-06'!N14)/N94&lt;0,"n.m.",('Reporte de Seguimiento_BG 20-06'!N15+'Reporte de Seguimiento_BG 20-06'!N14)/N94)</f>
        <v>7.708120966301867</v>
      </c>
      <c r="O85" s="793"/>
      <c r="P85" s="794">
        <f>('Reporte de Seguimiento_BG 20-06'!O15+'Reporte de Seguimiento_BG 20-06'!O14)/P49</f>
        <v>7.708120966301867</v>
      </c>
    </row>
    <row r="86" spans="2:31" s="184" customFormat="1" ht="13">
      <c r="B86" s="790" t="s">
        <v>928</v>
      </c>
      <c r="C86" s="791">
        <f>IF(('Reporte de Seguimiento_BG 20-06'!C15+'Reporte de Seguimiento_BG 20-06'!C14)/$P$49&lt;0,"n.m.",('Reporte de Seguimiento_BG 20-06'!C15+'Reporte de Seguimiento_BG 20-06'!C14)/$P$49)</f>
        <v>8.0789037278805047</v>
      </c>
      <c r="D86" s="791">
        <f>IF(('Reporte de Seguimiento_BG 20-06'!D15+'Reporte de Seguimiento_BG 20-06'!D14)/$P$49&lt;0,"n.m.",('Reporte de Seguimiento_BG 20-06'!D15+'Reporte de Seguimiento_BG 20-06'!D14)/$P$49)</f>
        <v>8.0266077562857259</v>
      </c>
      <c r="E86" s="791">
        <f>IF(('Reporte de Seguimiento_BG 20-06'!E15+'Reporte de Seguimiento_BG 20-06'!E14)/$P$49&lt;0,"n.m.",('Reporte de Seguimiento_BG 20-06'!E15+'Reporte de Seguimiento_BG 20-06'!E14)/$P$49)</f>
        <v>8.0265602302737165</v>
      </c>
      <c r="F86" s="791">
        <f>IF(('Reporte de Seguimiento_BG 20-06'!F15+'Reporte de Seguimiento_BG 20-06'!F14)/$P$49&lt;0,"n.m.",('Reporte de Seguimiento_BG 20-06'!F15+'Reporte de Seguimiento_BG 20-06'!F14)/$P$49)</f>
        <v>8.0065502310079992</v>
      </c>
      <c r="G86" s="791">
        <f>IF(('Reporte de Seguimiento_BG 20-06'!G15+'Reporte de Seguimiento_BG 20-06'!G14)/$P$49&lt;0,"n.m.",('Reporte de Seguimiento_BG 20-06'!G15+'Reporte de Seguimiento_BG 20-06'!G14)/$P$49)</f>
        <v>7.9890963226044169</v>
      </c>
      <c r="H86" s="791">
        <f>IF(('Reporte de Seguimiento_BG 20-06'!H15+'Reporte de Seguimiento_BG 20-06'!H14)/$P$49&lt;0,"n.m.",('Reporte de Seguimiento_BG 20-06'!H15+'Reporte de Seguimiento_BG 20-06'!H14)/$P$49)</f>
        <v>7.9913633527595263</v>
      </c>
      <c r="I86" s="792">
        <f>IF(('Reporte de Seguimiento_BG 20-06'!I15+'Reporte de Seguimiento_BG 20-06'!I14)/$P$49&lt;0,"n.m.",('Reporte de Seguimiento_BG 20-06'!I15+'Reporte de Seguimiento_BG 20-06'!I14)/$P$49)</f>
        <v>7.9913633527595263</v>
      </c>
      <c r="J86" s="792">
        <f>IF(('Reporte de Seguimiento_BG 20-06'!J15+'Reporte de Seguimiento_BG 20-06'!J14)/$P$49&lt;0,"n.m.",('Reporte de Seguimiento_BG 20-06'!J15+'Reporte de Seguimiento_BG 20-06'!J14)/$P$49)</f>
        <v>7.849742159530698</v>
      </c>
      <c r="K86" s="792">
        <f>IF(('Reporte de Seguimiento_BG 20-06'!K15+'Reporte de Seguimiento_BG 20-06'!K14)/$P$49&lt;0,"n.m.",('Reporte de Seguimiento_BG 20-06'!K15+'Reporte de Seguimiento_BG 20-06'!K14)/$P$49)</f>
        <v>7.849742159530698</v>
      </c>
      <c r="L86" s="792">
        <f>IF(('Reporte de Seguimiento_BG 20-06'!L15+'Reporte de Seguimiento_BG 20-06'!L14)/$P$49&lt;0,"n.m.",('Reporte de Seguimiento_BG 20-06'!L15+'Reporte de Seguimiento_BG 20-06'!L14)/$P$49)</f>
        <v>7.849742159530698</v>
      </c>
      <c r="M86" s="792">
        <f>IF(('Reporte de Seguimiento_BG 20-06'!M15+'Reporte de Seguimiento_BG 20-06'!M14)/$P$49&lt;0,"n.m.",('Reporte de Seguimiento_BG 20-06'!M15+'Reporte de Seguimiento_BG 20-06'!M14)/$P$49)</f>
        <v>7.708120966301867</v>
      </c>
      <c r="N86" s="792">
        <f>IF(('Reporte de Seguimiento_BG 20-06'!N15+'Reporte de Seguimiento_BG 20-06'!N14)/$P$49&lt;0,"n.m.",('Reporte de Seguimiento_BG 20-06'!N15+'Reporte de Seguimiento_BG 20-06'!N14)/$P$49)</f>
        <v>7.708120966301867</v>
      </c>
      <c r="O86" s="793"/>
      <c r="P86" s="794">
        <f>('Reporte de Seguimiento_BG 20-06'!O15+'Reporte de Seguimiento_BG 20-06'!O14)/P49</f>
        <v>7.708120966301867</v>
      </c>
    </row>
    <row r="87" spans="2:31" s="184" customFormat="1" ht="13">
      <c r="B87" s="1565" t="s">
        <v>929</v>
      </c>
      <c r="C87" s="1078">
        <f>IF(C49/-'Reporte de Seguimiento_BG 20-06'!C53&lt;0,"n.m.",C49/-'Reporte de Seguimiento_BG 20-06'!C53)</f>
        <v>7.847609765705144</v>
      </c>
      <c r="D87" s="1078">
        <f>IF(D49/-'Reporte de Seguimiento_BG 20-06'!D53&lt;0,"n.m.",D49/-'Reporte de Seguimiento_BG 20-06'!D53)</f>
        <v>4.3290168584840867</v>
      </c>
      <c r="E87" s="1078">
        <f>IF(E49/-'Reporte de Seguimiento_BG 20-06'!E53&lt;0,"n.m.",E49/-'Reporte de Seguimiento_BG 20-06'!E53)</f>
        <v>23.144252521952335</v>
      </c>
      <c r="F87" s="1078" t="str">
        <f>IF(F49/-'Reporte de Seguimiento_BG 20-06'!F53&lt;0,"n.m.",F49/-'Reporte de Seguimiento_BG 20-06'!F53)</f>
        <v>n.m.</v>
      </c>
      <c r="G87" s="1078">
        <f>IF(G49/-'Reporte de Seguimiento_BG 20-06'!G53&lt;0,"n.m.",G49/-'Reporte de Seguimiento_BG 20-06'!G53)</f>
        <v>35.389221413716484</v>
      </c>
      <c r="H87" s="1078" t="str">
        <f>IF(H49/-'Reporte de Seguimiento_BG 20-06'!H53&lt;0,"n.m.",H49/-'Reporte de Seguimiento_BG 20-06'!H53)</f>
        <v>n.m.</v>
      </c>
      <c r="I87" s="1412" t="str">
        <f>IF(I49/-'Reporte de Seguimiento_BG 20-06'!I53&lt;0,"n.m.",I49/-'Reporte de Seguimiento_BG 20-06'!I53)</f>
        <v>n.m.</v>
      </c>
      <c r="J87" s="1412">
        <f>IF(J49/-'Reporte de Seguimiento_BG 20-06'!J53&lt;0,"n.m.",J49/-'Reporte de Seguimiento_BG 20-06'!J53)</f>
        <v>2.5891531282496278</v>
      </c>
      <c r="K87" s="1412">
        <f>IF(K49/-'Reporte de Seguimiento_BG 20-06'!K53&lt;0,"n.m.",K49/-'Reporte de Seguimiento_BG 20-06'!K53)</f>
        <v>1.1294238993062902</v>
      </c>
      <c r="L87" s="1412" t="str">
        <f>IF(L49/-'Reporte de Seguimiento_BG 20-06'!L53&lt;0,"n.m.",L49/-'Reporte de Seguimiento_BG 20-06'!L53)</f>
        <v>n.m.</v>
      </c>
      <c r="M87" s="1412" t="str">
        <f>IF(M49/-'Reporte de Seguimiento_BG 20-06'!M53&lt;0,"n.m.",M49/-'Reporte de Seguimiento_BG 20-06'!M53)</f>
        <v>n.m.</v>
      </c>
      <c r="N87" s="1412" t="str">
        <f>IF(N49/-'Reporte de Seguimiento_BG 20-06'!N53&lt;0,"n.m.",N49/-'Reporte de Seguimiento_BG 20-06'!N53)</f>
        <v>n.m.</v>
      </c>
      <c r="O87" s="1566"/>
      <c r="P87" s="1567">
        <f>IF(P49/-'Reporte de Seguimiento_BG 20-06'!O53&lt;0,"n.m.",P49/-'Reporte de Seguimiento_BG 20-06'!O53)</f>
        <v>1.6629099212609271</v>
      </c>
    </row>
    <row r="88" spans="2:31" s="184" customFormat="1" ht="13">
      <c r="B88" s="790" t="s">
        <v>930</v>
      </c>
      <c r="C88" s="791">
        <f>IF(C49/-('Reporte de Seguimiento_BG 20-06'!C46+'Reporte de Seguimiento_BG 20-06'!C53)&lt;0,"n.m.",C49/-('Reporte de Seguimiento_BG 20-06'!C46+'Reporte de Seguimiento_BG 20-06'!C53))</f>
        <v>7.847609765705144</v>
      </c>
      <c r="D88" s="791">
        <f>IF(D49/-('Reporte de Seguimiento_BG 20-06'!D46+'Reporte de Seguimiento_BG 20-06'!D53)&lt;0,"n.m.",D49/-('Reporte de Seguimiento_BG 20-06'!D46+'Reporte de Seguimiento_BG 20-06'!D53))</f>
        <v>2.3100353830204563</v>
      </c>
      <c r="E88" s="791">
        <f>IF(E49/-('Reporte de Seguimiento_BG 20-06'!E46+'Reporte de Seguimiento_BG 20-06'!E53)&lt;0,"n.m.",E49/-('Reporte de Seguimiento_BG 20-06'!E46+'Reporte de Seguimiento_BG 20-06'!E53))</f>
        <v>23.144252521952335</v>
      </c>
      <c r="F88" s="791" t="str">
        <f>IF(F49/-('Reporte de Seguimiento_BG 20-06'!F46+'Reporte de Seguimiento_BG 20-06'!F53)&lt;0,"n.m.",F49/-('Reporte de Seguimiento_BG 20-06'!F46+'Reporte de Seguimiento_BG 20-06'!F53))</f>
        <v>n.m.</v>
      </c>
      <c r="G88" s="791">
        <f>IF(G49/-('Reporte de Seguimiento_BG 20-06'!G46+'Reporte de Seguimiento_BG 20-06'!G53)&lt;0,"n.m.",G49/-('Reporte de Seguimiento_BG 20-06'!G46+'Reporte de Seguimiento_BG 20-06'!G53))</f>
        <v>35.389221413716484</v>
      </c>
      <c r="H88" s="791" t="str">
        <f>IF(H49/-('Reporte de Seguimiento_BG 20-06'!H46+'Reporte de Seguimiento_BG 20-06'!H53)&lt;0,"n.m.",H49/-('Reporte de Seguimiento_BG 20-06'!H46+'Reporte de Seguimiento_BG 20-06'!H53))</f>
        <v>n.m.</v>
      </c>
      <c r="I88" s="792" t="str">
        <f>IF(I49/-('Reporte de Seguimiento_BG 20-06'!I46+'Reporte de Seguimiento_BG 20-06'!I53)&lt;0,"n.m.",I49/-('Reporte de Seguimiento_BG 20-06'!I46+'Reporte de Seguimiento_BG 20-06'!I53))</f>
        <v>n.m.</v>
      </c>
      <c r="J88" s="792">
        <f>IF(J49/-('Reporte de Seguimiento_BG 20-06'!J46+'Reporte de Seguimiento_BG 20-06'!J53)&lt;0,"n.m.",J49/-('Reporte de Seguimiento_BG 20-06'!J46+'Reporte de Seguimiento_BG 20-06'!J53))</f>
        <v>0.81580318715609923</v>
      </c>
      <c r="K88" s="792">
        <f>IF(K49/-('Reporte de Seguimiento_BG 20-06'!K46+'Reporte de Seguimiento_BG 20-06'!K53)&lt;0,"n.m.",K49/-('Reporte de Seguimiento_BG 20-06'!K46+'Reporte de Seguimiento_BG 20-06'!K53))</f>
        <v>1.1294238993062902</v>
      </c>
      <c r="L88" s="792" t="str">
        <f>IF(L49/-('Reporte de Seguimiento_BG 20-06'!L46+'Reporte de Seguimiento_BG 20-06'!L53)&lt;0,"n.m.",L49/-('Reporte de Seguimiento_BG 20-06'!L46+'Reporte de Seguimiento_BG 20-06'!L53))</f>
        <v>n.m.</v>
      </c>
      <c r="M88" s="792" t="str">
        <f>IF(M49/-('Reporte de Seguimiento_BG 20-06'!M46+'Reporte de Seguimiento_BG 20-06'!M53)&lt;0,"n.m.",M49/-('Reporte de Seguimiento_BG 20-06'!M46+'Reporte de Seguimiento_BG 20-06'!M53))</f>
        <v>n.m.</v>
      </c>
      <c r="N88" s="792" t="str">
        <f>IF(N49/-('Reporte de Seguimiento_BG 20-06'!N46+'Reporte de Seguimiento_BG 20-06'!N53)&lt;0,"n.m.",N49/-('Reporte de Seguimiento_BG 20-06'!N46+'Reporte de Seguimiento_BG 20-06'!N53))</f>
        <v>n.m.</v>
      </c>
      <c r="O88" s="793"/>
      <c r="P88" s="794">
        <f>IF(P49/-('Reporte de Seguimiento_BG 20-06'!O47+'Reporte de Seguimiento_BG 20-06'!O53)&lt;0,"n.m.",P49/-('Reporte de Seguimiento_BG 20-06'!O47+'Reporte de Seguimiento_BG 20-06'!O53))</f>
        <v>1.4053138035054107</v>
      </c>
    </row>
    <row r="89" spans="2:31" s="184" customFormat="1" ht="14.5">
      <c r="B89" s="790" t="s">
        <v>931</v>
      </c>
      <c r="C89" s="791" t="str">
        <f>IF('Reporte de Seguimiento_BG 20-06'!C45&lt;0,"n.m.",'Reporte de Seguimiento_BG 20-06'!C45/ABS(SUM('Reporte de Seguimiento_BG 20-06'!C47:C51,'Reporte de Seguimiento_BG 20-06'!C53)))</f>
        <v>n.m.</v>
      </c>
      <c r="D89" s="791" t="str">
        <f>IF('Reporte de Seguimiento_BG 20-06'!D45&lt;0,"n.m.",'Reporte de Seguimiento_BG 20-06'!D45/ABS(SUM('Reporte de Seguimiento_BG 20-06'!D47:D51,'Reporte de Seguimiento_BG 20-06'!D53)))</f>
        <v>n.m.</v>
      </c>
      <c r="E89" s="791" t="str">
        <f>IF('Reporte de Seguimiento_BG 20-06'!E45&lt;0,"n.m.",'Reporte de Seguimiento_BG 20-06'!E45/ABS(SUM('Reporte de Seguimiento_BG 20-06'!E47:E51,'Reporte de Seguimiento_BG 20-06'!E53)))</f>
        <v>n.m.</v>
      </c>
      <c r="F89" s="791">
        <f>IF('Reporte de Seguimiento_BG 20-06'!F45&lt;0,"n.m.",'Reporte de Seguimiento_BG 20-06'!F45/ABS(SUM('Reporte de Seguimiento_BG 20-06'!F47:F51,'Reporte de Seguimiento_BG 20-06'!F53)))</f>
        <v>576.81868995633738</v>
      </c>
      <c r="G89" s="791" t="str">
        <f>IF('Reporte de Seguimiento_BG 20-06'!G45&lt;0,"n.m.",'Reporte de Seguimiento_BG 20-06'!G45/ABS(SUM('Reporte de Seguimiento_BG 20-06'!G47:G51,'Reporte de Seguimiento_BG 20-06'!G53)))</f>
        <v>n.m.</v>
      </c>
      <c r="H89" s="791">
        <f>IF('Reporte de Seguimiento_BG 20-06'!H45&lt;0,"n.m.",'Reporte de Seguimiento_BG 20-06'!H45/ABS(SUM('Reporte de Seguimiento_BG 20-06'!H47:H51,'Reporte de Seguimiento_BG 20-06'!H53)))</f>
        <v>932.59767068880592</v>
      </c>
      <c r="I89" s="792">
        <f>IFERROR(IF('Reporte de Seguimiento_BG 20-06'!I45&lt;0,"n.m.",'Reporte de Seguimiento_BG 20-06'!I45/ABS(SUM('Reporte de Seguimiento_BG 20-06'!I47:I51,'Reporte de Seguimiento_BG 20-06'!I53))),"n.m.")</f>
        <v>19.153639539609813</v>
      </c>
      <c r="J89" s="792" t="str">
        <f>IF('Reporte de Seguimiento_BG 20-06'!J45&lt;0,"n.m.",'Reporte de Seguimiento_BG 20-06'!J45/ABS(SUM('Reporte de Seguimiento_BG 20-06'!J47:J51,'Reporte de Seguimiento_BG 20-06'!J53)))</f>
        <v>n.m.</v>
      </c>
      <c r="K89" s="792">
        <f>IF('Reporte de Seguimiento_BG 20-06'!K45&lt;0,"n.m.",'Reporte de Seguimiento_BG 20-06'!K45/ABS(SUM('Reporte de Seguimiento_BG 20-06'!K47:K51,'Reporte de Seguimiento_BG 20-06'!K53)))</f>
        <v>8.197779392256729</v>
      </c>
      <c r="L89" s="792" t="str">
        <f>IF('Reporte de Seguimiento_BG 20-06'!L45&lt;0,"n.m.",'Reporte de Seguimiento_BG 20-06'!L45/ABS(SUM('Reporte de Seguimiento_BG 20-06'!L47:L51,'Reporte de Seguimiento_BG 20-06'!L53)))</f>
        <v>n.m.</v>
      </c>
      <c r="M89" s="792" t="str">
        <f>IF('Reporte de Seguimiento_BG 20-06'!M45&lt;0,"n.m.",'Reporte de Seguimiento_BG 20-06'!M45/ABS(SUM('Reporte de Seguimiento_BG 20-06'!M47:M51,'Reporte de Seguimiento_BG 20-06'!M53)))</f>
        <v>n.m.</v>
      </c>
      <c r="N89" s="792" t="str">
        <f>IF('Reporte de Seguimiento_BG 20-06'!N45&lt;0,"n.m.",'Reporte de Seguimiento_BG 20-06'!N45/ABS(SUM('Reporte de Seguimiento_BG 20-06'!N47:N51,'Reporte de Seguimiento_BG 20-06'!N53)))</f>
        <v>n.m.</v>
      </c>
      <c r="O89" s="793"/>
      <c r="P89" s="794">
        <f>IF('Reporte de Seguimiento_BG 20-06'!O45&lt;0,"n.m.",'Reporte de Seguimiento_BG 20-06'!O45/ABS(SUM('Reporte de Seguimiento_BG 20-06'!O47:O51,'Reporte de Seguimiento_BG 20-06'!O53)))</f>
        <v>4.0625065393327651</v>
      </c>
      <c r="Q89"/>
    </row>
    <row r="90" spans="2:31" s="184" customFormat="1" ht="14.5">
      <c r="B90" s="790" t="s">
        <v>932</v>
      </c>
      <c r="C90" s="791">
        <f>'Reporte de Seguimiento_BG 20-06'!C45/'Reporte de Seguimiento_PyG20-06'!C17</f>
        <v>-0.12630057394994099</v>
      </c>
      <c r="D90" s="791">
        <f>'Reporte de Seguimiento_BG 20-06'!D45/'Reporte de Seguimiento_PyG20-06'!D17</f>
        <v>-0.4075739252956731</v>
      </c>
      <c r="E90" s="791">
        <f>'Reporte de Seguimiento_BG 20-06'!E45/'Reporte de Seguimiento_PyG20-06'!E17</f>
        <v>-0.40056569739037029</v>
      </c>
      <c r="F90" s="791">
        <f>'Reporte de Seguimiento_BG 20-06'!F45/'Reporte de Seguimiento_PyG20-06'!F17</f>
        <v>4.2858465773436221</v>
      </c>
      <c r="G90" s="791">
        <f>'Reporte de Seguimiento_BG 20-06'!G45/'Reporte de Seguimiento_PyG20-06'!G17</f>
        <v>-0.174353583948644</v>
      </c>
      <c r="H90" s="791">
        <f>'Reporte de Seguimiento_BG 20-06'!H45/'Reporte de Seguimiento_PyG20-06'!H17</f>
        <v>1.3219221709300797</v>
      </c>
      <c r="I90" s="792">
        <f>IFERROR('Reporte de Seguimiento_BG 20-06'!I45/'Reporte de Seguimiento_PyG20-06'!I17,"n.m.")</f>
        <v>3.2033807944477508</v>
      </c>
      <c r="J90" s="792">
        <f>IFERROR('Reporte de Seguimiento_BG 20-06'!J45/'Reporte de Seguimiento_PyG20-06'!J17,"n.m.")</f>
        <v>-0.83066445646959475</v>
      </c>
      <c r="K90" s="792">
        <f>IFERROR('Reporte de Seguimiento_BG 20-06'!K45/'Reporte de Seguimiento_PyG20-06'!K17,"n.m.")</f>
        <v>0.52586045892181654</v>
      </c>
      <c r="L90" s="792">
        <f>'Reporte de Seguimiento_BG 20-06'!L45/'Reporte de Seguimiento_PyG20-06'!L17</f>
        <v>-0.26639053852368078</v>
      </c>
      <c r="M90" s="792">
        <f>'Reporte de Seguimiento_BG 20-06'!M45/'Reporte de Seguimiento_PyG20-06'!M17</f>
        <v>-0.18069743078364442</v>
      </c>
      <c r="N90" s="792">
        <f>'Reporte de Seguimiento_BG 20-06'!N45/'Reporte de Seguimiento_PyG20-06'!N17</f>
        <v>-0.76595030839109812</v>
      </c>
      <c r="O90" s="793"/>
      <c r="P90" s="794">
        <f>'Reporte de Seguimiento_BG 20-06'!O45/'Reporte de Seguimiento_PyG20-06'!P17</f>
        <v>0.3069283607887463</v>
      </c>
      <c r="Q90"/>
    </row>
    <row r="91" spans="2:31" s="184" customFormat="1" ht="13">
      <c r="B91" s="1565" t="s">
        <v>933</v>
      </c>
      <c r="C91" s="1080">
        <f>360/((C17+$P$16-C16)/'Reporte de Seguimiento_BG 20-06'!C7)</f>
        <v>75.657775007027041</v>
      </c>
      <c r="D91" s="1080">
        <f>360/((SUM($C$17:D17)+$P$16-SUM($C$16:D16))/'Reporte de Seguimiento_BG 20-06'!D7)</f>
        <v>85.84545699870057</v>
      </c>
      <c r="E91" s="1080">
        <f>360/((SUM($C$17:E17)+$P$16-SUM($C$16:E16))/'Reporte de Seguimiento_BG 20-06'!E7)</f>
        <v>110.75240583549083</v>
      </c>
      <c r="F91" s="1080">
        <f>360/((SUM($C$17:F17)+$P$16-SUM($C$16:F16))/'Reporte de Seguimiento_BG 20-06'!F7)</f>
        <v>70.802911596617605</v>
      </c>
      <c r="G91" s="1080">
        <f>360/((SUM($C$17:G17)+$P$16-SUM($C$16:G16))/'Reporte de Seguimiento_BG 20-06'!G7)</f>
        <v>45.933557631234791</v>
      </c>
      <c r="H91" s="1080">
        <f>360/((SUM($C$17:H17)+$P$16-SUM($C$16:H16))/'Reporte de Seguimiento_BG 20-06'!H7)</f>
        <v>24.609219081052672</v>
      </c>
      <c r="I91" s="1413">
        <f>360/((SUM($C$17:I17)+$P$16-SUM($C$16:I16))/'Reporte de Seguimiento_BG 20-06'!I7)</f>
        <v>21.662869425929657</v>
      </c>
      <c r="J91" s="1413">
        <f>360/((SUM($C$17:J17)+$P$16-SUM($C$16:J16))/'Reporte de Seguimiento_BG 20-06'!J7)</f>
        <v>32.392416285969155</v>
      </c>
      <c r="K91" s="1413">
        <v>93.479492613667105</v>
      </c>
      <c r="L91" s="1413">
        <v>95.828776206102603</v>
      </c>
      <c r="M91" s="1413">
        <v>105.366127454893</v>
      </c>
      <c r="N91" s="1413">
        <v>111.009779021912</v>
      </c>
      <c r="O91" s="1568"/>
      <c r="P91" s="1569">
        <f>N91</f>
        <v>111.009779021912</v>
      </c>
      <c r="Q91" s="523"/>
    </row>
    <row r="92" spans="2:31" s="184" customFormat="1" ht="13.5" thickBot="1">
      <c r="B92" s="795" t="s">
        <v>934</v>
      </c>
      <c r="C92" s="1570">
        <f>360/((SUM($C$26:C26)+$P$25-SUM($C$25:C25))/'Reporte de Seguimiento_BG 20-06'!C18)</f>
        <v>45.932012788487995</v>
      </c>
      <c r="D92" s="1570">
        <f>360/((SUM($C$26:D26)+$P$25-SUM($C$25:D25))/'Reporte de Seguimiento_BG 20-06'!D18)</f>
        <v>68.480296857573506</v>
      </c>
      <c r="E92" s="1570">
        <f>360/((SUM($C$26:E26)+$P$25-SUM($C$25:E25))/'Reporte de Seguimiento_BG 20-06'!E18)</f>
        <v>74.926038169696454</v>
      </c>
      <c r="F92" s="1570">
        <f>360/((SUM($C$26:F26)+$P$25-SUM($C$25:F25))/'Reporte de Seguimiento_BG 20-06'!F18)</f>
        <v>87.480349111476158</v>
      </c>
      <c r="G92" s="1570">
        <f>360/((SUM($C$26:G26)+$P$25-SUM($C$25:G25))/'Reporte de Seguimiento_BG 20-06'!G18)</f>
        <v>56.920007689000762</v>
      </c>
      <c r="H92" s="1570">
        <f>360/((SUM($C$26:H26)+$P$25-SUM($C$25:H25))/'Reporte de Seguimiento_BG 20-06'!H18)</f>
        <v>24.105517329795187</v>
      </c>
      <c r="I92" s="1571">
        <f>IFERROR(360/((SUM($C$26:I26)+$P$25-SUM($C$25:I25))/'Reporte de Seguimiento_BG 20-06'!I18),0)</f>
        <v>22.697234225305944</v>
      </c>
      <c r="J92" s="1571">
        <f>IFERROR(360/((SUM($C$26:J26)+$P$25-SUM($C$25:J25))/'Reporte de Seguimiento_BG 20-06'!J18),0)</f>
        <v>8.9485133791910645</v>
      </c>
      <c r="K92" s="1571">
        <v>43.576783784995598</v>
      </c>
      <c r="L92" s="1571">
        <v>41.564591715832599</v>
      </c>
      <c r="M92" s="1571">
        <v>39.7596276379562</v>
      </c>
      <c r="N92" s="1571">
        <v>39.150383550839301</v>
      </c>
      <c r="O92" s="796"/>
      <c r="P92" s="797">
        <f>N92</f>
        <v>39.150383550839301</v>
      </c>
    </row>
    <row r="93" spans="2:31" s="184" customFormat="1" ht="13.5" outlineLevel="1" thickBot="1">
      <c r="C93" s="798"/>
      <c r="D93" s="798"/>
      <c r="E93" s="798"/>
      <c r="F93" s="798"/>
      <c r="G93" s="798"/>
      <c r="H93" s="798"/>
      <c r="I93" s="798"/>
      <c r="J93" s="798"/>
      <c r="K93" s="798"/>
      <c r="L93" s="798"/>
      <c r="M93" s="798"/>
      <c r="N93" s="798"/>
      <c r="O93" s="413"/>
      <c r="P93" s="413"/>
    </row>
    <row r="94" spans="2:31" s="184" customFormat="1" ht="13.5" outlineLevel="1" thickBot="1">
      <c r="B94" s="1059" t="s">
        <v>935</v>
      </c>
      <c r="C94" s="799">
        <f>SUM(D48:$N48,$C49:C49)</f>
        <v>4534.1677839700014</v>
      </c>
      <c r="D94" s="799">
        <f>SUM(E48:$N48,$C49:D49)</f>
        <v>4739.7376919400003</v>
      </c>
      <c r="E94" s="799">
        <f>SUM(F48:$N48,$C49:E49)</f>
        <v>4909.8754837200004</v>
      </c>
      <c r="F94" s="799">
        <f>SUM(G48:$N48,$C49:F49)</f>
        <v>4598.4429267600008</v>
      </c>
      <c r="G94" s="799">
        <f>SUM(H48:$N48,$C49:G49)</f>
        <v>4123.2590341900004</v>
      </c>
      <c r="H94" s="799">
        <f>SUM(I48:$N48,$C49:H49)</f>
        <v>3757.03074487</v>
      </c>
      <c r="I94" s="800">
        <f>SUM(J48:$N48,$C49:I49)</f>
        <v>3359.6091965181513</v>
      </c>
      <c r="J94" s="800">
        <f>SUM(K48:$N48,$C49:J49)</f>
        <v>3092.0605004146519</v>
      </c>
      <c r="K94" s="800">
        <f>SUM(L48:$N48,$C49:K49)</f>
        <v>2711.1568881737999</v>
      </c>
      <c r="L94" s="800">
        <f>SUM(M48:$N48,$C49:L49)</f>
        <v>1853.5185915402997</v>
      </c>
      <c r="M94" s="800">
        <f>SUM(N48:$N48,$C49:M49)</f>
        <v>1240.8355243907495</v>
      </c>
      <c r="N94" s="800">
        <f>SUM(C49:N49)</f>
        <v>820.77326400194966</v>
      </c>
      <c r="O94" s="801">
        <f>O49</f>
        <v>1145.2109897599989</v>
      </c>
      <c r="P94" s="802">
        <f>P49</f>
        <v>820.77326400194966</v>
      </c>
    </row>
    <row r="95" spans="2:31" s="184" customFormat="1" ht="9.75" customHeight="1" thickBot="1">
      <c r="C95" s="413"/>
      <c r="D95" s="413"/>
      <c r="E95" s="413"/>
      <c r="F95" s="413"/>
      <c r="G95" s="413"/>
      <c r="H95" s="413"/>
      <c r="I95" s="413"/>
      <c r="J95" s="413"/>
      <c r="K95" s="803"/>
      <c r="L95" s="413"/>
      <c r="M95" s="413"/>
      <c r="N95" s="413"/>
      <c r="O95" s="413"/>
      <c r="P95" s="413"/>
    </row>
    <row r="96" spans="2:31" s="184" customFormat="1" ht="13.5" thickBot="1">
      <c r="B96" s="1059" t="s">
        <v>936</v>
      </c>
      <c r="C96" s="804"/>
      <c r="D96" s="804"/>
      <c r="E96" s="804"/>
      <c r="F96" s="804"/>
      <c r="G96" s="804"/>
      <c r="H96" s="804"/>
      <c r="I96" s="804"/>
      <c r="J96" s="805"/>
      <c r="K96" s="804"/>
      <c r="L96" s="804"/>
      <c r="M96" s="804"/>
      <c r="N96" s="804"/>
      <c r="O96" s="804"/>
      <c r="P96" s="804"/>
    </row>
    <row r="97" spans="2:16" s="184" customFormat="1" ht="19.5" customHeight="1">
      <c r="B97" s="1629" t="s">
        <v>937</v>
      </c>
      <c r="C97" s="1630"/>
      <c r="D97" s="1630"/>
      <c r="E97" s="1630"/>
      <c r="F97" s="1630"/>
      <c r="G97" s="1630"/>
      <c r="H97" s="1630"/>
      <c r="I97" s="1630"/>
      <c r="J97" s="1630"/>
      <c r="K97" s="1630"/>
      <c r="L97" s="1630"/>
      <c r="M97" s="1630"/>
      <c r="N97" s="1630"/>
      <c r="O97" s="1630"/>
      <c r="P97" s="1631"/>
    </row>
    <row r="98" spans="2:16" s="184" customFormat="1" ht="19.5" customHeight="1">
      <c r="B98" s="1632"/>
      <c r="C98" s="1633"/>
      <c r="D98" s="1633"/>
      <c r="E98" s="1633"/>
      <c r="F98" s="1633"/>
      <c r="G98" s="1633"/>
      <c r="H98" s="1633"/>
      <c r="I98" s="1633"/>
      <c r="J98" s="1633"/>
      <c r="K98" s="1633"/>
      <c r="L98" s="1633"/>
      <c r="M98" s="1633"/>
      <c r="N98" s="1633"/>
      <c r="O98" s="1633"/>
      <c r="P98" s="1634"/>
    </row>
    <row r="99" spans="2:16" s="184" customFormat="1" ht="19.5" customHeight="1">
      <c r="B99" s="1632"/>
      <c r="C99" s="1633"/>
      <c r="D99" s="1633"/>
      <c r="E99" s="1633"/>
      <c r="F99" s="1633"/>
      <c r="G99" s="1633"/>
      <c r="H99" s="1633"/>
      <c r="I99" s="1633"/>
      <c r="J99" s="1633"/>
      <c r="K99" s="1633"/>
      <c r="L99" s="1633"/>
      <c r="M99" s="1633"/>
      <c r="N99" s="1633"/>
      <c r="O99" s="1633"/>
      <c r="P99" s="1634"/>
    </row>
    <row r="100" spans="2:16" s="184" customFormat="1" ht="19.5" customHeight="1">
      <c r="B100" s="1632"/>
      <c r="C100" s="1633"/>
      <c r="D100" s="1633"/>
      <c r="E100" s="1633"/>
      <c r="F100" s="1633"/>
      <c r="G100" s="1633"/>
      <c r="H100" s="1633"/>
      <c r="I100" s="1633"/>
      <c r="J100" s="1633"/>
      <c r="K100" s="1633"/>
      <c r="L100" s="1633"/>
      <c r="M100" s="1633"/>
      <c r="N100" s="1633"/>
      <c r="O100" s="1633"/>
      <c r="P100" s="1634"/>
    </row>
    <row r="101" spans="2:16" s="184" customFormat="1" ht="19.5" customHeight="1">
      <c r="B101" s="1632"/>
      <c r="C101" s="1633"/>
      <c r="D101" s="1633"/>
      <c r="E101" s="1633"/>
      <c r="F101" s="1633"/>
      <c r="G101" s="1633"/>
      <c r="H101" s="1633"/>
      <c r="I101" s="1633"/>
      <c r="J101" s="1633"/>
      <c r="K101" s="1633"/>
      <c r="L101" s="1633"/>
      <c r="M101" s="1633"/>
      <c r="N101" s="1633"/>
      <c r="O101" s="1633"/>
      <c r="P101" s="1634"/>
    </row>
    <row r="102" spans="2:16" ht="19.5" customHeight="1" thickBot="1">
      <c r="B102" s="1635"/>
      <c r="C102" s="1636"/>
      <c r="D102" s="1636"/>
      <c r="E102" s="1636"/>
      <c r="F102" s="1636"/>
      <c r="G102" s="1636"/>
      <c r="H102" s="1636"/>
      <c r="I102" s="1636"/>
      <c r="J102" s="1636"/>
      <c r="K102" s="1636"/>
      <c r="L102" s="1636"/>
      <c r="M102" s="1636"/>
      <c r="N102" s="1636"/>
      <c r="O102" s="1636"/>
      <c r="P102" s="1637"/>
    </row>
    <row r="103" spans="2:16" ht="15" customHeight="1"/>
    <row r="104" spans="2:16" ht="15" customHeight="1">
      <c r="D104" s="806"/>
    </row>
    <row r="105" spans="2:16" ht="15" customHeight="1">
      <c r="C105"/>
      <c r="D105"/>
      <c r="E105"/>
      <c r="F105"/>
      <c r="G105"/>
      <c r="H105"/>
      <c r="I105"/>
      <c r="J105"/>
      <c r="K105"/>
      <c r="L105"/>
      <c r="M105"/>
      <c r="N105"/>
      <c r="O105" s="695"/>
    </row>
    <row r="106" spans="2:16" ht="15" customHeight="1"/>
  </sheetData>
  <mergeCells count="5">
    <mergeCell ref="C2:N3"/>
    <mergeCell ref="O2:P3"/>
    <mergeCell ref="C4:N4"/>
    <mergeCell ref="O4:P4"/>
    <mergeCell ref="B97:P102"/>
  </mergeCells>
  <printOptions horizontalCentered="1" verticalCentered="1"/>
  <pageMargins left="0" right="0" top="0" bottom="0" header="0" footer="0"/>
  <pageSetup scale="5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1AE8-75CD-4F45-8CB8-CA2C077A4173}">
  <sheetPr>
    <tabColor rgb="FFFF0000"/>
    <outlinePr summaryBelow="0"/>
    <pageSetUpPr fitToPage="1"/>
  </sheetPr>
  <dimension ref="A1:XFD154"/>
  <sheetViews>
    <sheetView showGridLines="0" workbookViewId="0">
      <selection activeCell="A62" sqref="A62"/>
    </sheetView>
  </sheetViews>
  <sheetFormatPr baseColWidth="10" defaultColWidth="0" defaultRowHeight="12.75" customHeight="1" zeroHeight="1" outlineLevelRow="1"/>
  <cols>
    <col min="1" max="1" width="3.453125" style="184" customWidth="1"/>
    <col min="2" max="2" width="34.453125" style="184" customWidth="1"/>
    <col min="3" max="15" width="10" style="184" customWidth="1"/>
    <col min="16" max="16" width="2.453125" style="184" customWidth="1"/>
    <col min="17" max="16384" width="0" style="184" hidden="1"/>
  </cols>
  <sheetData>
    <row r="1" spans="1:21 16384:16384" ht="12.75" customHeight="1"/>
    <row r="2" spans="1:21 16384:16384" ht="11.25" customHeight="1">
      <c r="B2"/>
      <c r="C2" s="1624" t="s">
        <v>870</v>
      </c>
      <c r="D2" s="1624"/>
      <c r="E2" s="1624"/>
      <c r="F2" s="1624"/>
      <c r="G2" s="1624"/>
      <c r="H2" s="1624"/>
      <c r="I2" s="1624"/>
      <c r="J2" s="1624"/>
      <c r="K2" s="1624"/>
      <c r="L2" s="1624"/>
      <c r="M2" s="807"/>
      <c r="N2" s="1638" t="str">
        <f>+'Reporte de Seguimiento_PyG20-06'!O2</f>
        <v>JUNIO 2020</v>
      </c>
      <c r="O2" s="1639"/>
    </row>
    <row r="3" spans="1:21 16384:16384" ht="15" customHeight="1">
      <c r="B3"/>
      <c r="C3" s="1624"/>
      <c r="D3" s="1624"/>
      <c r="E3" s="1624"/>
      <c r="F3" s="1624"/>
      <c r="G3" s="1624"/>
      <c r="H3" s="1624"/>
      <c r="I3" s="1624"/>
      <c r="J3" s="1624"/>
      <c r="K3" s="1624"/>
      <c r="L3" s="1624"/>
      <c r="M3" s="807"/>
      <c r="N3" s="1640"/>
      <c r="O3" s="1641"/>
      <c r="Q3" s="808"/>
    </row>
    <row r="4" spans="1:21 16384:16384" ht="17.25" customHeight="1" thickBot="1">
      <c r="B4"/>
      <c r="C4" s="1627" t="s">
        <v>872</v>
      </c>
      <c r="D4" s="1627"/>
      <c r="E4" s="1627"/>
      <c r="F4" s="1627"/>
      <c r="G4" s="1627"/>
      <c r="H4" s="1627"/>
      <c r="I4" s="1627"/>
      <c r="J4" s="1627"/>
      <c r="K4" s="1627"/>
      <c r="L4" s="1627"/>
      <c r="M4" s="1572"/>
      <c r="N4" s="1642"/>
      <c r="O4" s="1642"/>
    </row>
    <row r="5" spans="1:21 16384:16384" ht="12.75" customHeight="1" thickBot="1">
      <c r="B5" s="1059" t="s">
        <v>938</v>
      </c>
      <c r="C5" s="809" t="s">
        <v>874</v>
      </c>
      <c r="D5" s="1414" t="s">
        <v>875</v>
      </c>
      <c r="E5" s="1414" t="s">
        <v>876</v>
      </c>
      <c r="F5" s="1414" t="s">
        <v>877</v>
      </c>
      <c r="G5" s="1414" t="s">
        <v>878</v>
      </c>
      <c r="H5" s="1414" t="s">
        <v>879</v>
      </c>
      <c r="I5" s="1414" t="s">
        <v>880</v>
      </c>
      <c r="J5" s="1414" t="s">
        <v>881</v>
      </c>
      <c r="K5" s="1414" t="s">
        <v>882</v>
      </c>
      <c r="L5" s="1414" t="s">
        <v>883</v>
      </c>
      <c r="M5" s="1414" t="s">
        <v>884</v>
      </c>
      <c r="N5" s="810" t="s">
        <v>885</v>
      </c>
      <c r="O5" s="811" t="s">
        <v>886</v>
      </c>
      <c r="R5" s="1643"/>
      <c r="S5" s="1643"/>
      <c r="T5" s="1643"/>
      <c r="U5" s="1643"/>
    </row>
    <row r="6" spans="1:21 16384:16384" ht="12.75" customHeight="1">
      <c r="B6" s="790" t="s">
        <v>939</v>
      </c>
      <c r="C6" s="812">
        <v>1439.87897802</v>
      </c>
      <c r="D6" s="812">
        <v>693.67248210000002</v>
      </c>
      <c r="E6" s="812">
        <v>300.89807716000001</v>
      </c>
      <c r="F6" s="812">
        <v>1616.4487882999999</v>
      </c>
      <c r="G6" s="812">
        <v>1255.9867732600001</v>
      </c>
      <c r="H6" s="812">
        <v>1741.70615357</v>
      </c>
      <c r="I6" s="813">
        <v>3215.1431711688379</v>
      </c>
      <c r="J6" s="813">
        <v>2290.0260357290708</v>
      </c>
      <c r="K6" s="813">
        <v>2639.0968923813994</v>
      </c>
      <c r="L6" s="813">
        <v>2411.8606054975926</v>
      </c>
      <c r="M6" s="813">
        <v>2130.8001909326917</v>
      </c>
      <c r="N6" s="813">
        <v>1658.4336490041028</v>
      </c>
      <c r="O6" s="814">
        <f t="shared" ref="O6:O20" si="0">N6</f>
        <v>1658.4336490041028</v>
      </c>
      <c r="R6" s="413"/>
      <c r="S6" s="184" t="s">
        <v>940</v>
      </c>
      <c r="T6" s="413">
        <v>1</v>
      </c>
      <c r="U6" s="413"/>
    </row>
    <row r="7" spans="1:21 16384:16384" ht="12.75" customHeight="1">
      <c r="B7" s="790" t="s">
        <v>941</v>
      </c>
      <c r="C7" s="812">
        <v>4541.1355704200005</v>
      </c>
      <c r="D7" s="812">
        <v>5227.9952890499999</v>
      </c>
      <c r="E7" s="812">
        <v>6756.4350556600002</v>
      </c>
      <c r="F7" s="812">
        <v>4090.7031060599993</v>
      </c>
      <c r="G7" s="812">
        <v>2476.4105308799999</v>
      </c>
      <c r="H7" s="812">
        <v>1247.5072238</v>
      </c>
      <c r="I7" s="813">
        <v>1022.76606580264</v>
      </c>
      <c r="J7" s="813">
        <v>1436.8288877734399</v>
      </c>
      <c r="K7" s="813">
        <v>1531.9940544676399</v>
      </c>
      <c r="L7" s="813">
        <v>1438.97334119844</v>
      </c>
      <c r="M7" s="813">
        <v>1433.80291239544</v>
      </c>
      <c r="N7" s="813">
        <v>1406.1084763751001</v>
      </c>
      <c r="O7" s="814">
        <f t="shared" si="0"/>
        <v>1406.1084763751001</v>
      </c>
      <c r="S7" s="184" t="s">
        <v>942</v>
      </c>
      <c r="T7" s="413">
        <v>2</v>
      </c>
      <c r="XFD7" s="523"/>
    </row>
    <row r="8" spans="1:21 16384:16384" ht="12.75" customHeight="1">
      <c r="B8" s="790" t="s">
        <v>688</v>
      </c>
      <c r="C8" s="812">
        <v>940.59801626000001</v>
      </c>
      <c r="D8" s="812">
        <v>950.43614941999999</v>
      </c>
      <c r="E8" s="812">
        <v>990.07806254999991</v>
      </c>
      <c r="F8" s="812">
        <v>990.07806254999991</v>
      </c>
      <c r="G8" s="812">
        <v>982.30606254999998</v>
      </c>
      <c r="H8" s="812">
        <v>973.5210625499999</v>
      </c>
      <c r="I8" s="813">
        <v>973.5210625499999</v>
      </c>
      <c r="J8" s="813">
        <v>973.5210625499999</v>
      </c>
      <c r="K8" s="813">
        <v>973.5210625499999</v>
      </c>
      <c r="L8" s="813">
        <v>973.5210625499999</v>
      </c>
      <c r="M8" s="813">
        <v>973.5210625499999</v>
      </c>
      <c r="N8" s="813">
        <v>973.5210625499999</v>
      </c>
      <c r="O8" s="814">
        <f t="shared" si="0"/>
        <v>973.5210625499999</v>
      </c>
      <c r="S8" s="184" t="s">
        <v>943</v>
      </c>
      <c r="T8" s="413">
        <v>3</v>
      </c>
      <c r="XFD8" s="523"/>
    </row>
    <row r="9" spans="1:21 16384:16384" ht="12.75" customHeight="1">
      <c r="B9" s="790" t="s">
        <v>944</v>
      </c>
      <c r="C9" s="812">
        <v>4123.8208594999996</v>
      </c>
      <c r="D9" s="812">
        <v>4299.5762222999992</v>
      </c>
      <c r="E9" s="812">
        <v>4536.0221472099993</v>
      </c>
      <c r="F9" s="812">
        <v>4675.9070318000004</v>
      </c>
      <c r="G9" s="812">
        <v>4855.4614552600015</v>
      </c>
      <c r="H9" s="812">
        <v>3940.96783198</v>
      </c>
      <c r="I9" s="813">
        <v>2263.7831913556624</v>
      </c>
      <c r="J9" s="813">
        <v>2355.9626669335667</v>
      </c>
      <c r="K9" s="813">
        <v>1990.0894631408144</v>
      </c>
      <c r="L9" s="813">
        <v>2067.5910754910674</v>
      </c>
      <c r="M9" s="813">
        <v>2137.3425233728844</v>
      </c>
      <c r="N9" s="813">
        <v>2208.2995935485719</v>
      </c>
      <c r="O9" s="814">
        <f t="shared" si="0"/>
        <v>2208.2995935485719</v>
      </c>
      <c r="S9" s="184" t="s">
        <v>945</v>
      </c>
      <c r="T9" s="413">
        <v>4</v>
      </c>
      <c r="XFD9" s="523"/>
    </row>
    <row r="10" spans="1:21 16384:16384" ht="12.75" customHeight="1">
      <c r="B10" s="815" t="s">
        <v>946</v>
      </c>
      <c r="C10" s="1573">
        <f t="shared" ref="C10:N10" si="1">SUM(C6:C9)</f>
        <v>11045.4334242</v>
      </c>
      <c r="D10" s="1573">
        <f t="shared" si="1"/>
        <v>11171.680142869998</v>
      </c>
      <c r="E10" s="1573">
        <f t="shared" si="1"/>
        <v>12583.43334258</v>
      </c>
      <c r="F10" s="1573">
        <f>SUM(F6:F9)</f>
        <v>11373.136988710001</v>
      </c>
      <c r="G10" s="1573">
        <f>SUM(G6:G9)</f>
        <v>9570.1648219500021</v>
      </c>
      <c r="H10" s="1573">
        <f>SUM(H6:H9)</f>
        <v>7903.7022718999997</v>
      </c>
      <c r="I10" s="1574">
        <f t="shared" si="1"/>
        <v>7475.2134908771404</v>
      </c>
      <c r="J10" s="1574">
        <f t="shared" si="1"/>
        <v>7056.3386529860772</v>
      </c>
      <c r="K10" s="1574">
        <f t="shared" si="1"/>
        <v>7134.701472539854</v>
      </c>
      <c r="L10" s="1574">
        <f t="shared" si="1"/>
        <v>6891.9460847370992</v>
      </c>
      <c r="M10" s="1574">
        <f t="shared" si="1"/>
        <v>6675.4666892510159</v>
      </c>
      <c r="N10" s="1574">
        <f t="shared" si="1"/>
        <v>6246.3627814777747</v>
      </c>
      <c r="O10" s="816">
        <f t="shared" si="0"/>
        <v>6246.3627814777747</v>
      </c>
      <c r="S10" s="184" t="s">
        <v>947</v>
      </c>
      <c r="T10" s="413">
        <v>5</v>
      </c>
      <c r="XFD10" s="523"/>
    </row>
    <row r="11" spans="1:21 16384:16384" ht="12.75" customHeight="1">
      <c r="A11" s="523"/>
      <c r="B11" s="790" t="s">
        <v>948</v>
      </c>
      <c r="C11" s="812">
        <v>11419.876536579999</v>
      </c>
      <c r="D11" s="812">
        <v>11477.156950750001</v>
      </c>
      <c r="E11" s="812">
        <v>11529.61412034</v>
      </c>
      <c r="F11" s="812">
        <v>11501.60767625</v>
      </c>
      <c r="G11" s="812">
        <v>11468.736441180001</v>
      </c>
      <c r="H11" s="812">
        <v>11375.364763230002</v>
      </c>
      <c r="I11" s="813">
        <v>11323.350315320002</v>
      </c>
      <c r="J11" s="813">
        <v>11271.335867410002</v>
      </c>
      <c r="K11" s="813">
        <v>11219.321419500002</v>
      </c>
      <c r="L11" s="813">
        <v>11167.306971590002</v>
      </c>
      <c r="M11" s="813">
        <v>11115.292523680002</v>
      </c>
      <c r="N11" s="813">
        <v>11063.278075770002</v>
      </c>
      <c r="O11" s="814">
        <f t="shared" si="0"/>
        <v>11063.278075770002</v>
      </c>
      <c r="S11" s="184" t="s">
        <v>949</v>
      </c>
      <c r="T11" s="413">
        <v>6</v>
      </c>
      <c r="XFD11" s="523"/>
    </row>
    <row r="12" spans="1:21 16384:16384" ht="12.75" customHeight="1">
      <c r="B12" s="790" t="s">
        <v>950</v>
      </c>
      <c r="C12" s="812">
        <v>2178.0527632400003</v>
      </c>
      <c r="D12" s="812">
        <v>2162.8775822400003</v>
      </c>
      <c r="E12" s="812">
        <v>2192.1989977600001</v>
      </c>
      <c r="F12" s="812">
        <v>2173.35771376</v>
      </c>
      <c r="G12" s="812">
        <v>2174.3232964600002</v>
      </c>
      <c r="H12" s="812">
        <v>2160.56627746</v>
      </c>
      <c r="I12" s="813">
        <v>2145.3906664483334</v>
      </c>
      <c r="J12" s="813">
        <v>2130.2150554366667</v>
      </c>
      <c r="K12" s="813">
        <v>2123.2194844250002</v>
      </c>
      <c r="L12" s="813">
        <v>2108.0438734133336</v>
      </c>
      <c r="M12" s="813">
        <v>2092.8682624016669</v>
      </c>
      <c r="N12" s="813">
        <v>2079.1806513900001</v>
      </c>
      <c r="O12" s="814">
        <f t="shared" si="0"/>
        <v>2079.1806513900001</v>
      </c>
      <c r="S12" s="184" t="s">
        <v>951</v>
      </c>
      <c r="T12" s="413">
        <v>7</v>
      </c>
      <c r="XFD12" s="523"/>
    </row>
    <row r="13" spans="1:21 16384:16384" ht="12.75" customHeight="1" thickBot="1">
      <c r="B13" s="817" t="s">
        <v>952</v>
      </c>
      <c r="C13" s="818">
        <f t="shared" ref="C13:N13" si="2">SUM(C11:C12)</f>
        <v>13597.92929982</v>
      </c>
      <c r="D13" s="818">
        <f t="shared" si="2"/>
        <v>13640.034532990001</v>
      </c>
      <c r="E13" s="818">
        <f t="shared" si="2"/>
        <v>13721.813118100001</v>
      </c>
      <c r="F13" s="818">
        <f>SUM(F11:F12)</f>
        <v>13674.96539001</v>
      </c>
      <c r="G13" s="818">
        <f>SUM(G11:G12)</f>
        <v>13643.05973764</v>
      </c>
      <c r="H13" s="818">
        <f>SUM(H11:H12)</f>
        <v>13535.931040690002</v>
      </c>
      <c r="I13" s="819">
        <f t="shared" si="2"/>
        <v>13468.740981768335</v>
      </c>
      <c r="J13" s="819">
        <f t="shared" si="2"/>
        <v>13401.550922846669</v>
      </c>
      <c r="K13" s="819">
        <f t="shared" si="2"/>
        <v>13342.540903925003</v>
      </c>
      <c r="L13" s="819">
        <f t="shared" si="2"/>
        <v>13275.350845003335</v>
      </c>
      <c r="M13" s="819">
        <f t="shared" si="2"/>
        <v>13208.160786081669</v>
      </c>
      <c r="N13" s="819">
        <f t="shared" si="2"/>
        <v>13142.458727160003</v>
      </c>
      <c r="O13" s="820">
        <f t="shared" si="0"/>
        <v>13142.458727160003</v>
      </c>
      <c r="S13" s="184" t="s">
        <v>953</v>
      </c>
      <c r="T13" s="413">
        <v>8</v>
      </c>
    </row>
    <row r="14" spans="1:21 16384:16384" ht="12.75" customHeight="1" thickTop="1">
      <c r="B14" s="790" t="s">
        <v>954</v>
      </c>
      <c r="C14" s="812">
        <v>1087.9802604200001</v>
      </c>
      <c r="D14" s="812">
        <v>1079.0428901199998</v>
      </c>
      <c r="E14" s="812">
        <v>1079.00388204</v>
      </c>
      <c r="F14" s="812">
        <v>1062.5802096299999</v>
      </c>
      <c r="G14" s="812">
        <v>1048.25450826</v>
      </c>
      <c r="H14" s="812">
        <v>1050.1152259999999</v>
      </c>
      <c r="I14" s="813">
        <v>1050.1152259999999</v>
      </c>
      <c r="J14" s="813">
        <v>1012.8856886291876</v>
      </c>
      <c r="K14" s="813">
        <v>1012.8856886291876</v>
      </c>
      <c r="L14" s="813">
        <v>1012.8856886291876</v>
      </c>
      <c r="M14" s="813">
        <v>975.65615125837519</v>
      </c>
      <c r="N14" s="813">
        <v>975.65615125837519</v>
      </c>
      <c r="O14" s="814">
        <f t="shared" si="0"/>
        <v>975.65615125837519</v>
      </c>
      <c r="S14" s="184" t="s">
        <v>955</v>
      </c>
      <c r="T14" s="413">
        <v>9</v>
      </c>
      <c r="XFD14" s="523"/>
    </row>
    <row r="15" spans="1:21 16384:16384" ht="12.75" customHeight="1">
      <c r="B15" s="790" t="s">
        <v>956</v>
      </c>
      <c r="C15" s="812">
        <v>5542.9679218700003</v>
      </c>
      <c r="D15" s="812">
        <v>5508.9821568699999</v>
      </c>
      <c r="E15" s="812">
        <v>5508.9821568699999</v>
      </c>
      <c r="F15" s="812">
        <v>5508.9821568699999</v>
      </c>
      <c r="G15" s="812">
        <v>5508.9821568699999</v>
      </c>
      <c r="H15" s="812">
        <v>5508.9821568699999</v>
      </c>
      <c r="I15" s="813">
        <v>5508.9821568699999</v>
      </c>
      <c r="J15" s="813">
        <v>5429.9728052225364</v>
      </c>
      <c r="K15" s="813">
        <v>5429.9728052225364</v>
      </c>
      <c r="L15" s="813">
        <v>5429.9728052225364</v>
      </c>
      <c r="M15" s="813">
        <v>5350.9634535750711</v>
      </c>
      <c r="N15" s="813">
        <v>5350.9634535750711</v>
      </c>
      <c r="O15" s="814">
        <f t="shared" si="0"/>
        <v>5350.9634535750711</v>
      </c>
      <c r="T15" s="413"/>
      <c r="XFD15" s="523"/>
    </row>
    <row r="16" spans="1:21 16384:16384" ht="12.75" customHeight="1">
      <c r="B16" s="790" t="s">
        <v>957</v>
      </c>
      <c r="C16" s="812">
        <v>847.14386488000002</v>
      </c>
      <c r="D16" s="812">
        <v>597.49995752999996</v>
      </c>
      <c r="E16" s="812">
        <v>849.43813593000004</v>
      </c>
      <c r="F16" s="812">
        <v>379.91835918999999</v>
      </c>
      <c r="G16" s="812">
        <v>617.76333931999989</v>
      </c>
      <c r="H16" s="812">
        <v>373.91695802999999</v>
      </c>
      <c r="I16" s="813">
        <v>388.85123126334599</v>
      </c>
      <c r="J16" s="813">
        <v>392.65720949165717</v>
      </c>
      <c r="K16" s="813">
        <v>533.54108596973799</v>
      </c>
      <c r="L16" s="813">
        <v>388.93268213617716</v>
      </c>
      <c r="M16" s="813">
        <v>471.57621395057157</v>
      </c>
      <c r="N16" s="813">
        <v>389.05886645085559</v>
      </c>
      <c r="O16" s="814">
        <f t="shared" si="0"/>
        <v>389.05886645085559</v>
      </c>
      <c r="S16" s="184" t="s">
        <v>958</v>
      </c>
      <c r="T16" s="413">
        <v>10</v>
      </c>
      <c r="XFD16" s="523"/>
    </row>
    <row r="17" spans="2:20 16384:16384" ht="12.75" customHeight="1">
      <c r="B17" s="790" t="s">
        <v>959</v>
      </c>
      <c r="C17" s="812">
        <v>1161.3597689999999</v>
      </c>
      <c r="D17" s="812">
        <v>753.87277500000005</v>
      </c>
      <c r="E17" s="812">
        <v>769.53461600000003</v>
      </c>
      <c r="F17" s="812">
        <v>575.57790899999998</v>
      </c>
      <c r="G17" s="812">
        <v>428.37293899999997</v>
      </c>
      <c r="H17" s="812">
        <v>333.13090399999999</v>
      </c>
      <c r="I17" s="813">
        <v>438.13286277139201</v>
      </c>
      <c r="J17" s="813">
        <v>508.63165027800994</v>
      </c>
      <c r="K17" s="813">
        <v>579.47971778462795</v>
      </c>
      <c r="L17" s="813">
        <v>644.12806529124589</v>
      </c>
      <c r="M17" s="813">
        <v>705.45825279786391</v>
      </c>
      <c r="N17" s="813">
        <v>583.84466630448196</v>
      </c>
      <c r="O17" s="814">
        <f t="shared" si="0"/>
        <v>583.84466630448196</v>
      </c>
      <c r="S17" s="184" t="s">
        <v>960</v>
      </c>
      <c r="T17" s="413">
        <v>11</v>
      </c>
      <c r="XFD17" s="523"/>
    </row>
    <row r="18" spans="2:20 16384:16384" ht="12.75" customHeight="1">
      <c r="B18" s="790" t="s">
        <v>961</v>
      </c>
      <c r="C18" s="812">
        <v>1819.0552516700002</v>
      </c>
      <c r="D18" s="812">
        <v>2721.64072059</v>
      </c>
      <c r="E18" s="812">
        <v>2948.3018077500001</v>
      </c>
      <c r="F18" s="812">
        <v>3235.9829543699998</v>
      </c>
      <c r="G18" s="812">
        <v>1968.4549537099999</v>
      </c>
      <c r="H18" s="812">
        <v>780.55491864999999</v>
      </c>
      <c r="I18" s="813">
        <v>690.02444469354168</v>
      </c>
      <c r="J18" s="813">
        <v>253.56284905468743</v>
      </c>
      <c r="K18" s="813">
        <v>336.72776664712501</v>
      </c>
      <c r="L18" s="813">
        <v>349.14009179124986</v>
      </c>
      <c r="M18" s="813">
        <v>309.32731979841662</v>
      </c>
      <c r="N18" s="813">
        <v>300.69216388458324</v>
      </c>
      <c r="O18" s="814">
        <f t="shared" si="0"/>
        <v>300.69216388458324</v>
      </c>
      <c r="S18" s="184" t="s">
        <v>962</v>
      </c>
      <c r="T18" s="413">
        <v>12</v>
      </c>
      <c r="XFD18" s="523"/>
    </row>
    <row r="19" spans="2:20 16384:16384" ht="12.75" customHeight="1">
      <c r="B19" s="790" t="s">
        <v>963</v>
      </c>
      <c r="C19" s="812">
        <v>12.76687986</v>
      </c>
      <c r="D19" s="812">
        <v>25.134880859999999</v>
      </c>
      <c r="E19" s="812">
        <v>44.895407820000003</v>
      </c>
      <c r="F19" s="812">
        <v>49.18953114</v>
      </c>
      <c r="G19" s="812">
        <v>52.960599130000006</v>
      </c>
      <c r="H19" s="812">
        <v>56.643288270000006</v>
      </c>
      <c r="I19" s="813">
        <v>56.643288270000006</v>
      </c>
      <c r="J19" s="813">
        <v>56.643288270000006</v>
      </c>
      <c r="K19" s="813">
        <v>56.643288270000006</v>
      </c>
      <c r="L19" s="813">
        <v>56.643288270000006</v>
      </c>
      <c r="M19" s="813">
        <v>56.643288270000006</v>
      </c>
      <c r="N19" s="813">
        <v>56.643288270000006</v>
      </c>
      <c r="O19" s="814">
        <f t="shared" si="0"/>
        <v>56.643288270000006</v>
      </c>
      <c r="XFD19" s="523"/>
    </row>
    <row r="20" spans="2:20 16384:16384" ht="12.75" customHeight="1">
      <c r="B20" s="790" t="s">
        <v>738</v>
      </c>
      <c r="C20" s="812">
        <v>1057.0794275800001</v>
      </c>
      <c r="D20" s="812">
        <v>880.12426360000006</v>
      </c>
      <c r="E20" s="812">
        <v>957.28193134000003</v>
      </c>
      <c r="F20" s="812">
        <v>433.73486306000001</v>
      </c>
      <c r="G20" s="812">
        <v>288.53643168999997</v>
      </c>
      <c r="H20" s="812">
        <v>379.85048168999998</v>
      </c>
      <c r="I20" s="813">
        <v>189.575240885</v>
      </c>
      <c r="J20" s="813">
        <v>189.575240885</v>
      </c>
      <c r="K20" s="813">
        <v>0</v>
      </c>
      <c r="L20" s="813">
        <v>0</v>
      </c>
      <c r="M20" s="813">
        <v>0</v>
      </c>
      <c r="N20" s="813">
        <v>0</v>
      </c>
      <c r="O20" s="814">
        <f t="shared" si="0"/>
        <v>0</v>
      </c>
      <c r="XFD20" s="523"/>
    </row>
    <row r="21" spans="2:20 16384:16384" ht="12.75" customHeight="1">
      <c r="B21" s="815" t="s">
        <v>964</v>
      </c>
      <c r="C21" s="1573">
        <f t="shared" ref="C21:O21" si="3">SUM(C14:C20)</f>
        <v>11528.353375280003</v>
      </c>
      <c r="D21" s="1573">
        <f t="shared" si="3"/>
        <v>11566.297644570001</v>
      </c>
      <c r="E21" s="1573">
        <f t="shared" si="3"/>
        <v>12157.437937750001</v>
      </c>
      <c r="F21" s="1573">
        <f>SUM(F14:F20)</f>
        <v>11245.965983260001</v>
      </c>
      <c r="G21" s="1573">
        <f>SUM(G14:G20)</f>
        <v>9913.3249279799984</v>
      </c>
      <c r="H21" s="1573">
        <f>SUM(H14:H20)</f>
        <v>8483.1939335099996</v>
      </c>
      <c r="I21" s="1574">
        <f t="shared" si="3"/>
        <v>8322.3244507532781</v>
      </c>
      <c r="J21" s="1574">
        <f t="shared" si="3"/>
        <v>7843.9287318310799</v>
      </c>
      <c r="K21" s="1574">
        <f t="shared" si="3"/>
        <v>7949.2503525232141</v>
      </c>
      <c r="L21" s="1574">
        <f t="shared" si="3"/>
        <v>7881.7026213403969</v>
      </c>
      <c r="M21" s="1574">
        <f t="shared" si="3"/>
        <v>7869.6246796502974</v>
      </c>
      <c r="N21" s="1574">
        <f t="shared" si="3"/>
        <v>7656.8585897433668</v>
      </c>
      <c r="O21" s="816">
        <f t="shared" si="3"/>
        <v>7656.8585897433668</v>
      </c>
    </row>
    <row r="22" spans="2:20 16384:16384" ht="12.75" customHeight="1">
      <c r="B22" s="790" t="s">
        <v>965</v>
      </c>
      <c r="C22" s="812">
        <v>4761.8440000000001</v>
      </c>
      <c r="D22" s="812">
        <v>4761.8440000000001</v>
      </c>
      <c r="E22" s="812">
        <v>4761.8440000000001</v>
      </c>
      <c r="F22" s="812">
        <v>4761.8440000000001</v>
      </c>
      <c r="G22" s="812">
        <v>4761.8440000000001</v>
      </c>
      <c r="H22" s="812">
        <v>4761.8440000000001</v>
      </c>
      <c r="I22" s="813">
        <v>4761.8440000000001</v>
      </c>
      <c r="J22" s="813">
        <v>4761.8440000000001</v>
      </c>
      <c r="K22" s="813">
        <v>4761.8440000000001</v>
      </c>
      <c r="L22" s="813">
        <v>4761.8440000000001</v>
      </c>
      <c r="M22" s="813">
        <v>4761.8440000000001</v>
      </c>
      <c r="N22" s="813">
        <v>4761.8440000000001</v>
      </c>
      <c r="O22" s="814">
        <f t="shared" ref="O22:O28" si="4">N22</f>
        <v>4761.8440000000001</v>
      </c>
    </row>
    <row r="23" spans="2:20 16384:16384" ht="12.75" customHeight="1">
      <c r="B23" s="790" t="s">
        <v>966</v>
      </c>
      <c r="C23" s="812">
        <v>199.59157200000001</v>
      </c>
      <c r="D23" s="812">
        <v>199.59157200000001</v>
      </c>
      <c r="E23" s="812">
        <v>199.59157200000001</v>
      </c>
      <c r="F23" s="812">
        <v>199.59157200000001</v>
      </c>
      <c r="G23" s="812">
        <v>199.59157200000001</v>
      </c>
      <c r="H23" s="812">
        <v>199.59157200000001</v>
      </c>
      <c r="I23" s="813">
        <v>199.59157200000001</v>
      </c>
      <c r="J23" s="813">
        <v>199.59157200000001</v>
      </c>
      <c r="K23" s="813">
        <v>199.59157200000001</v>
      </c>
      <c r="L23" s="813">
        <v>199.59157200000001</v>
      </c>
      <c r="M23" s="813">
        <v>199.59157200000001</v>
      </c>
      <c r="N23" s="813">
        <v>199.59157200000001</v>
      </c>
      <c r="O23" s="814">
        <f t="shared" si="4"/>
        <v>199.59157200000001</v>
      </c>
    </row>
    <row r="24" spans="2:20 16384:16384" ht="12.75" customHeight="1">
      <c r="B24" s="790" t="s">
        <v>756</v>
      </c>
      <c r="C24" s="812">
        <v>1345.2296688399999</v>
      </c>
      <c r="D24" s="812">
        <v>1345.2296688399999</v>
      </c>
      <c r="E24" s="812">
        <v>1345.2296688399999</v>
      </c>
      <c r="F24" s="812">
        <v>1345.2296688399999</v>
      </c>
      <c r="G24" s="812">
        <v>1345.2296688399999</v>
      </c>
      <c r="H24" s="812">
        <v>1345.2296688399999</v>
      </c>
      <c r="I24" s="813">
        <v>1345.2296688399999</v>
      </c>
      <c r="J24" s="813">
        <v>1345.2296688399999</v>
      </c>
      <c r="K24" s="813">
        <v>1345.2296688399999</v>
      </c>
      <c r="L24" s="813">
        <v>1345.2296688399999</v>
      </c>
      <c r="M24" s="813">
        <v>1345.2296688399999</v>
      </c>
      <c r="N24" s="813">
        <v>1345.2296688399999</v>
      </c>
      <c r="O24" s="814">
        <f t="shared" si="4"/>
        <v>1345.2296688399999</v>
      </c>
    </row>
    <row r="25" spans="2:20 16384:16384" ht="12.75" customHeight="1">
      <c r="B25" s="790" t="s">
        <v>967</v>
      </c>
      <c r="C25" s="812">
        <v>4413.294801688754</v>
      </c>
      <c r="D25" s="812">
        <v>4413.294801688754</v>
      </c>
      <c r="E25" s="812">
        <v>4413.294801688754</v>
      </c>
      <c r="F25" s="812">
        <v>4413.294801688754</v>
      </c>
      <c r="G25" s="812">
        <v>4413.294801688754</v>
      </c>
      <c r="H25" s="812">
        <v>4413.294801688754</v>
      </c>
      <c r="I25" s="813">
        <v>4413.294801688754</v>
      </c>
      <c r="J25" s="813">
        <v>4413.294801688754</v>
      </c>
      <c r="K25" s="813">
        <v>4413.294801688754</v>
      </c>
      <c r="L25" s="813">
        <v>4413.294801688754</v>
      </c>
      <c r="M25" s="813">
        <v>4413.294801688754</v>
      </c>
      <c r="N25" s="813">
        <v>4413.294801688754</v>
      </c>
      <c r="O25" s="814">
        <f t="shared" si="4"/>
        <v>4413.294801688754</v>
      </c>
    </row>
    <row r="26" spans="2:20 16384:16384" ht="12.75" customHeight="1">
      <c r="B26" s="790" t="s">
        <v>968</v>
      </c>
      <c r="C26" s="821">
        <v>2083.3922546012454</v>
      </c>
      <c r="D26" s="821">
        <v>2083.3922546012454</v>
      </c>
      <c r="E26" s="821">
        <v>2083.3922546012454</v>
      </c>
      <c r="F26" s="821">
        <v>2083.3922546012454</v>
      </c>
      <c r="G26" s="821">
        <v>2083.3922546012454</v>
      </c>
      <c r="H26" s="821">
        <v>2083.3922546012454</v>
      </c>
      <c r="I26" s="822">
        <v>2083.3922546012454</v>
      </c>
      <c r="J26" s="822">
        <v>2083.3922546012454</v>
      </c>
      <c r="K26" s="822">
        <v>2083.3922546012454</v>
      </c>
      <c r="L26" s="822">
        <v>2083.3922546012454</v>
      </c>
      <c r="M26" s="822">
        <v>2083.3922546012454</v>
      </c>
      <c r="N26" s="822">
        <v>2083.3922546012454</v>
      </c>
      <c r="O26" s="814">
        <f t="shared" si="4"/>
        <v>2083.3922546012454</v>
      </c>
    </row>
    <row r="27" spans="2:20 16384:16384" ht="12.75" customHeight="1">
      <c r="B27" s="790" t="s">
        <v>969</v>
      </c>
      <c r="C27" s="812">
        <v>311.65705160999966</v>
      </c>
      <c r="D27" s="812">
        <v>442.06473415999938</v>
      </c>
      <c r="E27" s="812">
        <v>1344.4562257999992</v>
      </c>
      <c r="F27" s="812">
        <v>998.78409832999921</v>
      </c>
      <c r="G27" s="812">
        <v>496.54733447999922</v>
      </c>
      <c r="H27" s="812">
        <v>153.0870819499992</v>
      </c>
      <c r="I27" s="813">
        <v>-181.72227523780464</v>
      </c>
      <c r="J27" s="813">
        <v>-189.39145312833273</v>
      </c>
      <c r="K27" s="813">
        <v>-275.36027318835914</v>
      </c>
      <c r="L27" s="813">
        <v>-517.75798872996154</v>
      </c>
      <c r="M27" s="813">
        <v>-789.34950144761376</v>
      </c>
      <c r="N27" s="813">
        <v>-1071.3893782355901</v>
      </c>
      <c r="O27" s="814">
        <f t="shared" si="4"/>
        <v>-1071.3893782355901</v>
      </c>
    </row>
    <row r="28" spans="2:20 16384:16384" ht="12.75" customHeight="1" thickBot="1">
      <c r="B28" s="823" t="s">
        <v>970</v>
      </c>
      <c r="C28" s="824">
        <f t="shared" ref="C28:N28" si="5">SUM(C22:C27)</f>
        <v>13115.009348739999</v>
      </c>
      <c r="D28" s="824">
        <f t="shared" si="5"/>
        <v>13245.417031289999</v>
      </c>
      <c r="E28" s="824">
        <f t="shared" si="5"/>
        <v>14147.808522929998</v>
      </c>
      <c r="F28" s="824">
        <f>SUM(F22:F27)</f>
        <v>13802.136395459998</v>
      </c>
      <c r="G28" s="824">
        <f>SUM(G22:G27)</f>
        <v>13299.899631609998</v>
      </c>
      <c r="H28" s="824">
        <f>SUM(H22:H27)</f>
        <v>12956.439379079999</v>
      </c>
      <c r="I28" s="825">
        <f t="shared" si="5"/>
        <v>12621.630021892195</v>
      </c>
      <c r="J28" s="825">
        <f t="shared" si="5"/>
        <v>12613.960844001665</v>
      </c>
      <c r="K28" s="825">
        <f t="shared" si="5"/>
        <v>12527.992023941641</v>
      </c>
      <c r="L28" s="825">
        <f t="shared" si="5"/>
        <v>12285.594308400037</v>
      </c>
      <c r="M28" s="825">
        <f t="shared" si="5"/>
        <v>12014.002795682385</v>
      </c>
      <c r="N28" s="825">
        <f t="shared" si="5"/>
        <v>11731.962918894409</v>
      </c>
      <c r="O28" s="826">
        <f t="shared" si="4"/>
        <v>11731.962918894409</v>
      </c>
    </row>
    <row r="29" spans="2:20 16384:16384" ht="10.5" customHeight="1" thickBot="1">
      <c r="C29" s="827">
        <f t="shared" ref="C29:N29" si="6">ROUND(C10+C13-C21-C28,0)</f>
        <v>0</v>
      </c>
      <c r="D29" s="827">
        <f t="shared" si="6"/>
        <v>0</v>
      </c>
      <c r="E29" s="827">
        <f t="shared" si="6"/>
        <v>0</v>
      </c>
      <c r="F29" s="827">
        <f t="shared" si="6"/>
        <v>0</v>
      </c>
      <c r="G29" s="827">
        <f t="shared" si="6"/>
        <v>0</v>
      </c>
      <c r="H29" s="827">
        <f t="shared" si="6"/>
        <v>0</v>
      </c>
      <c r="I29" s="827">
        <f t="shared" si="6"/>
        <v>0</v>
      </c>
      <c r="J29" s="827">
        <f t="shared" si="6"/>
        <v>0</v>
      </c>
      <c r="K29" s="827">
        <f t="shared" si="6"/>
        <v>0</v>
      </c>
      <c r="L29" s="827">
        <f t="shared" si="6"/>
        <v>0</v>
      </c>
      <c r="M29" s="827">
        <f t="shared" si="6"/>
        <v>0</v>
      </c>
      <c r="N29" s="827">
        <f t="shared" si="6"/>
        <v>0</v>
      </c>
      <c r="O29" s="828"/>
    </row>
    <row r="30" spans="2:20 16384:16384" ht="12.75" customHeight="1" thickBot="1">
      <c r="B30" s="829" t="s">
        <v>971</v>
      </c>
      <c r="C30" s="1414" t="s">
        <v>874</v>
      </c>
      <c r="D30" s="1414" t="s">
        <v>875</v>
      </c>
      <c r="E30" s="1414" t="s">
        <v>876</v>
      </c>
      <c r="F30" s="1414" t="s">
        <v>877</v>
      </c>
      <c r="G30" s="1414" t="s">
        <v>878</v>
      </c>
      <c r="H30" s="1414" t="s">
        <v>879</v>
      </c>
      <c r="I30" s="1414" t="s">
        <v>880</v>
      </c>
      <c r="J30" s="1414" t="s">
        <v>881</v>
      </c>
      <c r="K30" s="1414" t="s">
        <v>882</v>
      </c>
      <c r="L30" s="1414" t="s">
        <v>883</v>
      </c>
      <c r="M30" s="1414" t="s">
        <v>884</v>
      </c>
      <c r="N30" s="1414" t="s">
        <v>885</v>
      </c>
      <c r="O30" s="830" t="s">
        <v>886</v>
      </c>
    </row>
    <row r="31" spans="2:20 16384:16384" ht="12.75" customHeight="1" outlineLevel="1">
      <c r="B31" s="831" t="s">
        <v>897</v>
      </c>
      <c r="C31" s="832">
        <f>'Reporte de Seguimiento_PyG20-06'!C17</f>
        <v>1950.3991190699999</v>
      </c>
      <c r="D31" s="832">
        <f>'Reporte de Seguimiento_PyG20-06'!D17</f>
        <v>1586.2194889699997</v>
      </c>
      <c r="E31" s="832">
        <f>'Reporte de Seguimiento_PyG20-06'!E17</f>
        <v>1853.8857025899997</v>
      </c>
      <c r="F31" s="832">
        <f>'Reporte de Seguimiento_PyG20-06'!F17</f>
        <v>358.79537143000005</v>
      </c>
      <c r="G31" s="832">
        <f>'Reporte de Seguimiento_PyG20-06'!G17</f>
        <v>382.44348857</v>
      </c>
      <c r="H31" s="832">
        <f>'Reporte de Seguimiento_PyG20-06'!H17</f>
        <v>370.84104293000001</v>
      </c>
      <c r="I31" s="833">
        <f>'Reporte de Seguimiento_PyG20-06'!I17</f>
        <v>492.6640523782001</v>
      </c>
      <c r="J31" s="833">
        <f>'Reporte de Seguimiento_PyG20-06'!J17</f>
        <v>882.48282197080016</v>
      </c>
      <c r="K31" s="833">
        <f>'Reporte de Seguimiento_PyG20-06'!K17</f>
        <v>804.45516669419999</v>
      </c>
      <c r="L31" s="833">
        <f>'Reporte de Seguimiento_PyG20-06'!L17</f>
        <v>571.8692867307999</v>
      </c>
      <c r="M31" s="833">
        <f>'Reporte de Seguimiento_PyG20-06'!M17</f>
        <v>497.65957119700005</v>
      </c>
      <c r="N31" s="833">
        <f>'Reporte de Seguimiento_PyG20-06'!N17</f>
        <v>520.14632160400004</v>
      </c>
      <c r="O31" s="834">
        <f t="shared" ref="O31:O43" si="7">SUM(C31:N31)</f>
        <v>10271.861434135</v>
      </c>
      <c r="Q31" s="523"/>
      <c r="R31" s="835"/>
    </row>
    <row r="32" spans="2:20 16384:16384" ht="12.75" customHeight="1" outlineLevel="1">
      <c r="B32" s="831" t="s">
        <v>908</v>
      </c>
      <c r="C32" s="832">
        <f>-'Reporte de Seguimiento_PyG20-06'!C26</f>
        <v>-1264.6535315100002</v>
      </c>
      <c r="D32" s="832">
        <f>-'Reporte de Seguimiento_PyG20-06'!D26</f>
        <v>-1074.4162024899999</v>
      </c>
      <c r="E32" s="832">
        <f>-'Reporte de Seguimiento_PyG20-06'!E26</f>
        <v>-957.06310078999991</v>
      </c>
      <c r="F32" s="832">
        <f>-'Reporte de Seguimiento_PyG20-06'!F26</f>
        <v>-233.07126712000002</v>
      </c>
      <c r="G32" s="832">
        <f>-'Reporte de Seguimiento_PyG20-06'!G26</f>
        <v>-189.48939859000001</v>
      </c>
      <c r="H32" s="832">
        <f>-'Reporte de Seguimiento_PyG20-06'!H26</f>
        <v>-375.31922624000003</v>
      </c>
      <c r="I32" s="833">
        <f>-'Reporte de Seguimiento_PyG20-06'!I26</f>
        <v>-452.71010739224994</v>
      </c>
      <c r="J32" s="833">
        <f>-'Reporte de Seguimiento_PyG20-06'!J26</f>
        <v>-561.54128882649991</v>
      </c>
      <c r="K32" s="833">
        <f>-'Reporte de Seguimiento_PyG20-06'!K26</f>
        <v>-560.88459999724989</v>
      </c>
      <c r="L32" s="833">
        <f>-'Reporte de Seguimiento_PyG20-06'!L26</f>
        <v>-486.53567537649991</v>
      </c>
      <c r="M32" s="833">
        <f>-'Reporte de Seguimiento_PyG20-06'!M26</f>
        <v>-441.44628401874991</v>
      </c>
      <c r="N32" s="833">
        <f>-'Reporte de Seguimiento_PyG20-06'!N26</f>
        <v>-460.63020763499992</v>
      </c>
      <c r="O32" s="834">
        <f t="shared" si="7"/>
        <v>-7057.7608899862498</v>
      </c>
      <c r="Q32" s="523"/>
      <c r="R32" s="835"/>
    </row>
    <row r="33" spans="2:20" ht="12.75" customHeight="1" outlineLevel="1">
      <c r="B33" s="831" t="s">
        <v>914</v>
      </c>
      <c r="C33" s="832">
        <f>-'Reporte de Seguimiento_PyG20-06'!C40</f>
        <v>-224.69614934000001</v>
      </c>
      <c r="D33" s="832">
        <f>-'Reporte de Seguimiento_PyG20-06'!D40</f>
        <v>-264.14915397999999</v>
      </c>
      <c r="E33" s="832">
        <f>-'Reporte de Seguimiento_PyG20-06'!E40</f>
        <v>-216.89250323000002</v>
      </c>
      <c r="F33" s="832">
        <f>-'Reporte de Seguimiento_PyG20-06'!F40</f>
        <v>-198.83581763000001</v>
      </c>
      <c r="G33" s="832">
        <f>-'Reporte de Seguimiento_PyG20-06'!G40</f>
        <v>-161.27905158000002</v>
      </c>
      <c r="H33" s="832">
        <f>-'Reporte de Seguimiento_PyG20-06'!H40</f>
        <v>-197.50782130000005</v>
      </c>
      <c r="I33" s="833">
        <f>-'Reporte de Seguimiento_PyG20-06'!I40</f>
        <v>-199.71942234779999</v>
      </c>
      <c r="J33" s="833">
        <f>-'Reporte de Seguimiento_PyG20-06'!J40</f>
        <v>-182.4892443478</v>
      </c>
      <c r="K33" s="833">
        <f>-'Reporte de Seguimiento_PyG20-06'!K40</f>
        <v>-185.28874634779999</v>
      </c>
      <c r="L33" s="833">
        <f>-'Reporte de Seguimiento_PyG20-06'!L40</f>
        <v>-182.54527334779999</v>
      </c>
      <c r="M33" s="833">
        <f>-'Reporte de Seguimiento_PyG20-06'!M40</f>
        <v>-182.6187463478</v>
      </c>
      <c r="N33" s="833">
        <f>-'Reporte de Seguimiento_PyG20-06'!N40</f>
        <v>-197.30535034779999</v>
      </c>
      <c r="O33" s="834">
        <f t="shared" si="7"/>
        <v>-2393.3272801468001</v>
      </c>
      <c r="Q33" s="523"/>
      <c r="R33" s="835"/>
    </row>
    <row r="34" spans="2:20" ht="12.75" customHeight="1">
      <c r="B34" s="836" t="s">
        <v>89</v>
      </c>
      <c r="C34" s="1575">
        <f t="shared" ref="C34:N34" si="8">SUM(C31:C33)</f>
        <v>461.04943821999962</v>
      </c>
      <c r="D34" s="1575">
        <f t="shared" si="8"/>
        <v>247.65413249999978</v>
      </c>
      <c r="E34" s="1575">
        <f t="shared" si="8"/>
        <v>679.93009856999981</v>
      </c>
      <c r="F34" s="1575">
        <f>SUM(F31:F33)</f>
        <v>-73.111713319999978</v>
      </c>
      <c r="G34" s="1575">
        <f>SUM(G31:G33)</f>
        <v>31.675038399999977</v>
      </c>
      <c r="H34" s="1575">
        <f>SUM(H31:H33)</f>
        <v>-201.98600461000007</v>
      </c>
      <c r="I34" s="1576">
        <f t="shared" si="8"/>
        <v>-159.76547736184983</v>
      </c>
      <c r="J34" s="1576">
        <f t="shared" si="8"/>
        <v>138.45228879650026</v>
      </c>
      <c r="K34" s="1576">
        <f t="shared" si="8"/>
        <v>58.281820349150109</v>
      </c>
      <c r="L34" s="1576">
        <f t="shared" si="8"/>
        <v>-97.211661993500002</v>
      </c>
      <c r="M34" s="1576">
        <f t="shared" si="8"/>
        <v>-126.40545916954986</v>
      </c>
      <c r="N34" s="1576">
        <f t="shared" si="8"/>
        <v>-137.78923637879987</v>
      </c>
      <c r="O34" s="837">
        <f t="shared" si="7"/>
        <v>820.77326400194966</v>
      </c>
      <c r="Q34" s="523"/>
      <c r="R34" s="835"/>
      <c r="T34" s="523"/>
    </row>
    <row r="35" spans="2:20" ht="12.75" customHeight="1">
      <c r="B35" s="831" t="s">
        <v>972</v>
      </c>
      <c r="C35" s="838">
        <v>-43.71272510999966</v>
      </c>
      <c r="D35" s="838">
        <v>-686.85971863000009</v>
      </c>
      <c r="E35" s="838">
        <v>-1528.4397666099997</v>
      </c>
      <c r="F35" s="838">
        <v>2665.7319496000005</v>
      </c>
      <c r="G35" s="838">
        <v>1614.2925751799994</v>
      </c>
      <c r="H35" s="838">
        <v>1228.9033070800001</v>
      </c>
      <c r="I35" s="839">
        <v>224.74115799735998</v>
      </c>
      <c r="J35" s="839">
        <v>-414.06282197079992</v>
      </c>
      <c r="K35" s="839">
        <v>-95.165166694200039</v>
      </c>
      <c r="L35" s="839">
        <v>93.020713269199845</v>
      </c>
      <c r="M35" s="839">
        <v>5.1704288029999734</v>
      </c>
      <c r="N35" s="839">
        <v>27.694436020339968</v>
      </c>
      <c r="O35" s="834">
        <f t="shared" si="7"/>
        <v>3091.3143689349004</v>
      </c>
      <c r="Q35" s="523"/>
      <c r="R35" s="835"/>
    </row>
    <row r="36" spans="2:20" ht="12.75" customHeight="1">
      <c r="B36" s="831" t="s">
        <v>973</v>
      </c>
      <c r="C36" s="838">
        <v>-27.099822639999985</v>
      </c>
      <c r="D36" s="838">
        <v>-9.8381331599999662</v>
      </c>
      <c r="E36" s="838">
        <v>-39.641913129999992</v>
      </c>
      <c r="F36" s="838">
        <v>0</v>
      </c>
      <c r="G36" s="838">
        <v>7.7720000000000002</v>
      </c>
      <c r="H36" s="838">
        <v>8.7850000000000001</v>
      </c>
      <c r="I36" s="839">
        <v>0</v>
      </c>
      <c r="J36" s="839">
        <v>0</v>
      </c>
      <c r="K36" s="839">
        <v>0</v>
      </c>
      <c r="L36" s="839">
        <v>0</v>
      </c>
      <c r="M36" s="839">
        <v>0</v>
      </c>
      <c r="N36" s="839">
        <v>0</v>
      </c>
      <c r="O36" s="834">
        <f t="shared" si="7"/>
        <v>-60.022868929999944</v>
      </c>
      <c r="Q36" s="523"/>
      <c r="R36" s="835"/>
    </row>
    <row r="37" spans="2:20" ht="12.75" customHeight="1">
      <c r="B37" s="831" t="s">
        <v>974</v>
      </c>
      <c r="C37" s="838">
        <v>-267.87671422999955</v>
      </c>
      <c r="D37" s="838">
        <v>-175.75536279999923</v>
      </c>
      <c r="E37" s="838">
        <v>-236.44592490999986</v>
      </c>
      <c r="F37" s="838">
        <v>-139.88488459000109</v>
      </c>
      <c r="G37" s="838">
        <v>-179.554423460001</v>
      </c>
      <c r="H37" s="838">
        <v>913.60296028000118</v>
      </c>
      <c r="I37" s="839">
        <v>1677.1846406243376</v>
      </c>
      <c r="J37" s="839">
        <v>-92.179475577904228</v>
      </c>
      <c r="K37" s="839">
        <v>365.87320379275229</v>
      </c>
      <c r="L37" s="839">
        <v>-77.50161235025287</v>
      </c>
      <c r="M37" s="839">
        <v>-69.7514478818171</v>
      </c>
      <c r="N37" s="839">
        <v>-70.95707017568779</v>
      </c>
      <c r="O37" s="834">
        <f t="shared" si="7"/>
        <v>1646.7538887214287</v>
      </c>
      <c r="Q37" s="523"/>
      <c r="R37" s="835"/>
    </row>
    <row r="38" spans="2:20" ht="12.75" customHeight="1">
      <c r="B38" s="831" t="s">
        <v>975</v>
      </c>
      <c r="C38" s="838">
        <v>63.36392057999992</v>
      </c>
      <c r="D38" s="838">
        <v>-407.48699399999998</v>
      </c>
      <c r="E38" s="838">
        <v>-45.975859</v>
      </c>
      <c r="F38" s="838">
        <v>-193.95670699999999</v>
      </c>
      <c r="G38" s="838">
        <v>-334.17343099999999</v>
      </c>
      <c r="H38" s="838">
        <v>-95.242035000000001</v>
      </c>
      <c r="I38" s="839">
        <v>105.00195877139198</v>
      </c>
      <c r="J38" s="839">
        <v>70.498787506617958</v>
      </c>
      <c r="K38" s="839">
        <v>70.848067506617966</v>
      </c>
      <c r="L38" s="839">
        <v>64.648347506618023</v>
      </c>
      <c r="M38" s="839">
        <v>61.330187506618024</v>
      </c>
      <c r="N38" s="839">
        <v>-121.61358649338197</v>
      </c>
      <c r="O38" s="834">
        <f t="shared" si="7"/>
        <v>-762.75734311551787</v>
      </c>
      <c r="Q38" s="523"/>
      <c r="R38" s="835"/>
    </row>
    <row r="39" spans="2:20" ht="12.75" customHeight="1">
      <c r="B39" s="831" t="s">
        <v>976</v>
      </c>
      <c r="C39" s="838">
        <v>291.75256027</v>
      </c>
      <c r="D39" s="838">
        <v>-237.27590635000001</v>
      </c>
      <c r="E39" s="838">
        <v>271.69870536000008</v>
      </c>
      <c r="F39" s="838">
        <v>-465.22565342000007</v>
      </c>
      <c r="G39" s="838">
        <v>241.61604811999993</v>
      </c>
      <c r="H39" s="838">
        <v>-240.16369214999995</v>
      </c>
      <c r="I39" s="839">
        <v>14.934273233346053</v>
      </c>
      <c r="J39" s="839">
        <v>3.8059782283111812</v>
      </c>
      <c r="K39" s="839">
        <v>140.88387647808082</v>
      </c>
      <c r="L39" s="839">
        <v>-144.60840383356083</v>
      </c>
      <c r="M39" s="839">
        <v>82.643531814394407</v>
      </c>
      <c r="N39" s="839">
        <v>-82.517347499715981</v>
      </c>
      <c r="O39" s="834">
        <f t="shared" si="7"/>
        <v>-122.45602974914438</v>
      </c>
      <c r="Q39" s="523"/>
      <c r="R39" s="835"/>
    </row>
    <row r="40" spans="2:20" ht="12.75" customHeight="1">
      <c r="B40" s="831" t="s">
        <v>977</v>
      </c>
      <c r="C40" s="838">
        <v>-944.32427531999974</v>
      </c>
      <c r="D40" s="838">
        <v>902.58546892000004</v>
      </c>
      <c r="E40" s="838">
        <v>226.66108715999985</v>
      </c>
      <c r="F40" s="838">
        <v>287.68114661999988</v>
      </c>
      <c r="G40" s="838">
        <v>-1267.5280006599999</v>
      </c>
      <c r="H40" s="838">
        <v>-1187.9000350599999</v>
      </c>
      <c r="I40" s="839">
        <v>-90.530473956458337</v>
      </c>
      <c r="J40" s="839">
        <v>-436.46159563885419</v>
      </c>
      <c r="K40" s="839">
        <v>83.164917592437561</v>
      </c>
      <c r="L40" s="839">
        <v>12.412325144124866</v>
      </c>
      <c r="M40" s="839">
        <v>-39.812771992833255</v>
      </c>
      <c r="N40" s="839">
        <v>-8.6351559138333798</v>
      </c>
      <c r="O40" s="834">
        <f t="shared" si="7"/>
        <v>-2462.6873631054168</v>
      </c>
      <c r="Q40" s="523"/>
      <c r="R40" s="835"/>
    </row>
    <row r="41" spans="2:20" ht="12.75" customHeight="1">
      <c r="B41" s="831" t="s">
        <v>978</v>
      </c>
      <c r="C41" s="838">
        <v>274.85704659000004</v>
      </c>
      <c r="D41" s="838">
        <v>-176.95516398000001</v>
      </c>
      <c r="E41" s="838">
        <v>77.157667740000008</v>
      </c>
      <c r="F41" s="838">
        <v>-523.54706828000008</v>
      </c>
      <c r="G41" s="838">
        <v>-145.19843137000001</v>
      </c>
      <c r="H41" s="838">
        <v>91.314049999999995</v>
      </c>
      <c r="I41" s="839">
        <v>-190.27524080500001</v>
      </c>
      <c r="J41" s="839">
        <v>0</v>
      </c>
      <c r="K41" s="839">
        <v>-189.575240885</v>
      </c>
      <c r="L41" s="839">
        <v>0</v>
      </c>
      <c r="M41" s="839">
        <v>0</v>
      </c>
      <c r="N41" s="839">
        <v>0</v>
      </c>
      <c r="O41" s="834">
        <f t="shared" si="7"/>
        <v>-782.22238099000003</v>
      </c>
      <c r="Q41" s="523"/>
      <c r="R41" s="835"/>
    </row>
    <row r="42" spans="2:20" ht="12.75" customHeight="1" thickBot="1">
      <c r="B42" s="840" t="s">
        <v>979</v>
      </c>
      <c r="C42" s="841">
        <f t="shared" ref="C42:N42" si="9">SUM(C34:C41)</f>
        <v>-191.99057163999936</v>
      </c>
      <c r="D42" s="841">
        <f t="shared" si="9"/>
        <v>-543.9316774999993</v>
      </c>
      <c r="E42" s="841">
        <f t="shared" si="9"/>
        <v>-595.05590481999968</v>
      </c>
      <c r="F42" s="841">
        <f>SUM(F34:F41)</f>
        <v>1557.6870696099991</v>
      </c>
      <c r="G42" s="841">
        <f>SUM(G34:G41)</f>
        <v>-31.098624790001651</v>
      </c>
      <c r="H42" s="841">
        <f>SUM(H34:H41)</f>
        <v>517.31355054000164</v>
      </c>
      <c r="I42" s="842">
        <f t="shared" si="9"/>
        <v>1581.2908385031274</v>
      </c>
      <c r="J42" s="842">
        <f t="shared" si="9"/>
        <v>-729.94683865612888</v>
      </c>
      <c r="K42" s="842">
        <f t="shared" si="9"/>
        <v>434.31147813983875</v>
      </c>
      <c r="L42" s="842">
        <f t="shared" si="9"/>
        <v>-149.24029225737095</v>
      </c>
      <c r="M42" s="842">
        <f t="shared" si="9"/>
        <v>-86.825530920187816</v>
      </c>
      <c r="N42" s="842">
        <f t="shared" si="9"/>
        <v>-393.81796044107904</v>
      </c>
      <c r="O42" s="843">
        <f t="shared" si="7"/>
        <v>1368.6955357681998</v>
      </c>
      <c r="Q42" s="523"/>
      <c r="R42" s="835"/>
    </row>
    <row r="43" spans="2:20" ht="12.75" customHeight="1" thickTop="1">
      <c r="B43" s="831" t="s">
        <v>980</v>
      </c>
      <c r="C43" s="844">
        <v>-15.918868530000463</v>
      </c>
      <c r="D43" s="844">
        <v>-106.55366800000009</v>
      </c>
      <c r="E43" s="844">
        <v>-103.06503900000016</v>
      </c>
      <c r="F43" s="844">
        <v>-23.92879699999985</v>
      </c>
      <c r="G43" s="844">
        <v>-19.708026400000303</v>
      </c>
      <c r="H43" s="844">
        <v>-25.976196000001131</v>
      </c>
      <c r="I43" s="833">
        <v>-1.4901161193847657E-13</v>
      </c>
      <c r="J43" s="833">
        <v>-1.4901161193847657E-13</v>
      </c>
      <c r="K43" s="833">
        <v>-1.4901161193847657E-13</v>
      </c>
      <c r="L43" s="833">
        <v>-1.4901161193847657E-13</v>
      </c>
      <c r="M43" s="833">
        <v>-1.4901161193847657E-13</v>
      </c>
      <c r="N43" s="833">
        <v>-1.4901161193847657E-13</v>
      </c>
      <c r="O43" s="834">
        <f t="shared" si="7"/>
        <v>-295.15059493000302</v>
      </c>
      <c r="Q43" s="523"/>
      <c r="R43" s="835"/>
    </row>
    <row r="44" spans="2:20" ht="12.75" customHeight="1">
      <c r="B44" s="831" t="s">
        <v>981</v>
      </c>
      <c r="C44" s="844">
        <v>-38.427088000000474</v>
      </c>
      <c r="D44" s="844">
        <v>3.9836420000000001</v>
      </c>
      <c r="E44" s="844">
        <v>-44.482075519999981</v>
      </c>
      <c r="F44" s="844">
        <v>3.9836420000000001</v>
      </c>
      <c r="G44" s="844">
        <v>-15.87374169999981</v>
      </c>
      <c r="H44" s="844">
        <v>-1.114358</v>
      </c>
      <c r="I44" s="833">
        <v>-3.1002750000001305</v>
      </c>
      <c r="J44" s="833">
        <v>-3.100274999999892</v>
      </c>
      <c r="K44" s="833">
        <v>-11.28031500000013</v>
      </c>
      <c r="L44" s="833">
        <v>-3.100274999999892</v>
      </c>
      <c r="M44" s="833">
        <v>-3.1002750000001305</v>
      </c>
      <c r="N44" s="833">
        <v>-4.588274999999892</v>
      </c>
      <c r="O44" s="834">
        <v>2079.1806513900001</v>
      </c>
      <c r="Q44" s="523"/>
      <c r="R44" s="835"/>
    </row>
    <row r="45" spans="2:20" ht="12.75" customHeight="1" thickBot="1">
      <c r="B45" s="840" t="s">
        <v>982</v>
      </c>
      <c r="C45" s="841">
        <f t="shared" ref="C45:O45" si="10">SUM(C42:C44)</f>
        <v>-246.33652817000029</v>
      </c>
      <c r="D45" s="841">
        <f t="shared" si="10"/>
        <v>-646.50170349999939</v>
      </c>
      <c r="E45" s="841">
        <f t="shared" si="10"/>
        <v>-742.60301933999983</v>
      </c>
      <c r="F45" s="841">
        <f>SUM(F42:F44)</f>
        <v>1537.7419146099992</v>
      </c>
      <c r="G45" s="841">
        <f>SUM(G42:G44)</f>
        <v>-66.68039289000177</v>
      </c>
      <c r="H45" s="841">
        <f>SUM(H42:H44)</f>
        <v>490.22299654000051</v>
      </c>
      <c r="I45" s="842">
        <f t="shared" si="10"/>
        <v>1578.1905635031269</v>
      </c>
      <c r="J45" s="842">
        <f t="shared" si="10"/>
        <v>-733.04711365612889</v>
      </c>
      <c r="K45" s="842">
        <f t="shared" si="10"/>
        <v>423.03116313983844</v>
      </c>
      <c r="L45" s="842">
        <f t="shared" si="10"/>
        <v>-152.34056725737099</v>
      </c>
      <c r="M45" s="842">
        <f t="shared" si="10"/>
        <v>-89.925805920188083</v>
      </c>
      <c r="N45" s="842">
        <f t="shared" si="10"/>
        <v>-398.4062354410791</v>
      </c>
      <c r="O45" s="843">
        <f t="shared" si="10"/>
        <v>3152.7255922281965</v>
      </c>
      <c r="Q45" s="523"/>
      <c r="R45" s="835"/>
    </row>
    <row r="46" spans="2:20" ht="12.75" customHeight="1" thickTop="1">
      <c r="B46" s="831" t="s">
        <v>983</v>
      </c>
      <c r="C46" s="838">
        <f t="shared" ref="C46:N46" si="11">SUBTOTAL(9,C47:C50)</f>
        <v>0</v>
      </c>
      <c r="D46" s="838">
        <f t="shared" si="11"/>
        <v>-50</v>
      </c>
      <c r="E46" s="838">
        <f t="shared" si="11"/>
        <v>0</v>
      </c>
      <c r="F46" s="838">
        <f>SUBTOTAL(9,F47:F50)</f>
        <v>0</v>
      </c>
      <c r="G46" s="838">
        <f>SUBTOTAL(9,G47:G50)</f>
        <v>0</v>
      </c>
      <c r="H46" s="838">
        <f>SUBTOTAL(9,H47:H50)</f>
        <v>0</v>
      </c>
      <c r="I46" s="839">
        <f t="shared" si="11"/>
        <v>0</v>
      </c>
      <c r="J46" s="839">
        <f t="shared" si="11"/>
        <v>-116.23888901827681</v>
      </c>
      <c r="K46" s="839">
        <f t="shared" si="11"/>
        <v>0</v>
      </c>
      <c r="L46" s="839">
        <f t="shared" si="11"/>
        <v>0</v>
      </c>
      <c r="M46" s="839">
        <f t="shared" si="11"/>
        <v>-116.23888901827681</v>
      </c>
      <c r="N46" s="839">
        <f t="shared" si="11"/>
        <v>0</v>
      </c>
      <c r="O46" s="834">
        <f t="shared" ref="O46:O57" si="12">SUM(C46:N46)</f>
        <v>-282.47777803655362</v>
      </c>
      <c r="Q46" s="523"/>
      <c r="R46" s="835"/>
    </row>
    <row r="47" spans="2:20" ht="12.75" customHeight="1" outlineLevel="1">
      <c r="B47" s="845" t="s">
        <v>984</v>
      </c>
      <c r="C47" s="838">
        <v>0</v>
      </c>
      <c r="D47" s="838">
        <v>-16.014234999999999</v>
      </c>
      <c r="E47" s="838">
        <v>0</v>
      </c>
      <c r="F47" s="838">
        <v>0</v>
      </c>
      <c r="G47" s="838">
        <v>0</v>
      </c>
      <c r="H47" s="838">
        <v>0</v>
      </c>
      <c r="I47" s="839">
        <v>0</v>
      </c>
      <c r="J47" s="839">
        <v>-37.229537370812416</v>
      </c>
      <c r="K47" s="839">
        <v>0</v>
      </c>
      <c r="L47" s="839">
        <v>0</v>
      </c>
      <c r="M47" s="839">
        <v>-37.229537370812416</v>
      </c>
      <c r="N47" s="839">
        <v>0</v>
      </c>
      <c r="O47" s="834">
        <f t="shared" si="12"/>
        <v>-90.473309741624831</v>
      </c>
      <c r="Q47" s="523"/>
      <c r="R47" s="835"/>
    </row>
    <row r="48" spans="2:20" ht="12.75" customHeight="1" outlineLevel="1">
      <c r="B48" s="845" t="s">
        <v>985</v>
      </c>
      <c r="C48" s="838">
        <v>0</v>
      </c>
      <c r="D48" s="838">
        <v>-13.523132</v>
      </c>
      <c r="E48" s="838">
        <v>0</v>
      </c>
      <c r="F48" s="838">
        <v>0</v>
      </c>
      <c r="G48" s="838">
        <v>0</v>
      </c>
      <c r="H48" s="838">
        <v>0</v>
      </c>
      <c r="I48" s="839">
        <v>0</v>
      </c>
      <c r="J48" s="839">
        <v>-31.438276010540843</v>
      </c>
      <c r="K48" s="839">
        <v>0</v>
      </c>
      <c r="L48" s="839">
        <v>0</v>
      </c>
      <c r="M48" s="839">
        <v>-31.438276010540843</v>
      </c>
      <c r="N48" s="839">
        <v>0</v>
      </c>
      <c r="O48" s="834">
        <f t="shared" si="12"/>
        <v>-76.399684021081683</v>
      </c>
      <c r="Q48" s="523"/>
      <c r="R48" s="835"/>
    </row>
    <row r="49" spans="1:18" ht="12.75" customHeight="1" outlineLevel="1">
      <c r="B49" s="845" t="s">
        <v>986</v>
      </c>
      <c r="C49" s="838">
        <v>0</v>
      </c>
      <c r="D49" s="838">
        <v>-20.462633</v>
      </c>
      <c r="E49" s="838">
        <v>0</v>
      </c>
      <c r="F49" s="838">
        <v>0</v>
      </c>
      <c r="G49" s="838">
        <v>0</v>
      </c>
      <c r="H49" s="838">
        <v>0</v>
      </c>
      <c r="I49" s="839">
        <v>0</v>
      </c>
      <c r="J49" s="839">
        <v>-47.571075636923553</v>
      </c>
      <c r="K49" s="839">
        <v>0</v>
      </c>
      <c r="L49" s="839">
        <v>0</v>
      </c>
      <c r="M49" s="839">
        <v>-47.571075636923553</v>
      </c>
      <c r="N49" s="839">
        <v>0</v>
      </c>
      <c r="O49" s="834">
        <f t="shared" si="12"/>
        <v>-115.6047842738471</v>
      </c>
      <c r="Q49" s="523"/>
      <c r="R49" s="835"/>
    </row>
    <row r="50" spans="1:18" ht="13" outlineLevel="1">
      <c r="B50" s="845" t="s">
        <v>987</v>
      </c>
      <c r="C50" s="838">
        <v>0</v>
      </c>
      <c r="D50" s="838">
        <v>0</v>
      </c>
      <c r="E50" s="838">
        <v>0</v>
      </c>
      <c r="F50" s="838">
        <v>0</v>
      </c>
      <c r="G50" s="838">
        <v>0</v>
      </c>
      <c r="H50" s="838">
        <v>0</v>
      </c>
      <c r="I50" s="839">
        <v>0</v>
      </c>
      <c r="J50" s="839">
        <v>0</v>
      </c>
      <c r="K50" s="839">
        <v>0</v>
      </c>
      <c r="L50" s="846">
        <v>0</v>
      </c>
      <c r="M50" s="839">
        <v>0</v>
      </c>
      <c r="N50" s="839">
        <v>0</v>
      </c>
      <c r="O50" s="834">
        <f t="shared" si="12"/>
        <v>0</v>
      </c>
      <c r="Q50" s="523"/>
      <c r="R50" s="835"/>
    </row>
    <row r="51" spans="1:18" ht="13">
      <c r="B51" s="831" t="s">
        <v>988</v>
      </c>
      <c r="C51" s="838">
        <v>0</v>
      </c>
      <c r="D51" s="838">
        <v>0</v>
      </c>
      <c r="E51" s="838">
        <v>0</v>
      </c>
      <c r="F51" s="838">
        <v>0</v>
      </c>
      <c r="G51" s="838">
        <v>0</v>
      </c>
      <c r="H51" s="838">
        <v>0</v>
      </c>
      <c r="I51" s="839">
        <v>0</v>
      </c>
      <c r="J51" s="839">
        <v>0</v>
      </c>
      <c r="K51" s="839">
        <v>0</v>
      </c>
      <c r="L51" s="839">
        <v>0</v>
      </c>
      <c r="M51" s="839">
        <v>0</v>
      </c>
      <c r="N51" s="839">
        <v>0</v>
      </c>
      <c r="O51" s="834">
        <f t="shared" si="12"/>
        <v>0</v>
      </c>
      <c r="Q51" s="523"/>
      <c r="R51" s="835"/>
    </row>
    <row r="52" spans="1:18" ht="12.75" customHeight="1">
      <c r="B52" s="831" t="s">
        <v>989</v>
      </c>
      <c r="C52" s="838">
        <v>0</v>
      </c>
      <c r="D52" s="838">
        <v>7.0768646999999953</v>
      </c>
      <c r="E52" s="838">
        <v>-3.900807999999821E-2</v>
      </c>
      <c r="F52" s="838">
        <v>-16.423672409999995</v>
      </c>
      <c r="G52" s="838">
        <v>-14.325701370000001</v>
      </c>
      <c r="H52" s="838">
        <v>1.8607177399999983</v>
      </c>
      <c r="I52" s="839">
        <v>0</v>
      </c>
      <c r="J52" s="839">
        <v>0</v>
      </c>
      <c r="K52" s="839">
        <v>0</v>
      </c>
      <c r="L52" s="839">
        <v>0</v>
      </c>
      <c r="M52" s="839">
        <v>0</v>
      </c>
      <c r="N52" s="839">
        <v>0</v>
      </c>
      <c r="O52" s="834">
        <f t="shared" si="12"/>
        <v>-21.850799420000001</v>
      </c>
      <c r="Q52" s="523"/>
      <c r="R52" s="835"/>
    </row>
    <row r="53" spans="1:18" ht="12.75" customHeight="1">
      <c r="B53" s="831" t="s">
        <v>990</v>
      </c>
      <c r="C53" s="838">
        <v>-58.750301299999997</v>
      </c>
      <c r="D53" s="838">
        <v>-57.207939029999999</v>
      </c>
      <c r="E53" s="838">
        <v>-29.3779243</v>
      </c>
      <c r="F53" s="838">
        <v>-2.6659016800000002</v>
      </c>
      <c r="G53" s="838">
        <v>-0.89504762000000004</v>
      </c>
      <c r="H53" s="838">
        <v>-0.52565324999999996</v>
      </c>
      <c r="I53" s="839">
        <v>-82.396380084287458</v>
      </c>
      <c r="J53" s="839">
        <v>-53.473966945361632</v>
      </c>
      <c r="K53" s="839">
        <v>-51.603140667509976</v>
      </c>
      <c r="L53" s="839">
        <v>-52.5385538064358</v>
      </c>
      <c r="M53" s="839">
        <v>-52.5385538064358</v>
      </c>
      <c r="N53" s="839">
        <v>-51.603140667509976</v>
      </c>
      <c r="O53" s="834">
        <f t="shared" si="12"/>
        <v>-493.57650315754063</v>
      </c>
      <c r="Q53" s="523"/>
      <c r="R53" s="835"/>
    </row>
    <row r="54" spans="1:18" ht="12.75" customHeight="1">
      <c r="B54" s="831" t="s">
        <v>991</v>
      </c>
      <c r="C54" s="838">
        <v>-3.2827031900000012</v>
      </c>
      <c r="D54" s="838">
        <v>11.09971487</v>
      </c>
      <c r="E54" s="838">
        <v>390.60852113999999</v>
      </c>
      <c r="F54" s="838">
        <v>-160.07241694000004</v>
      </c>
      <c r="G54" s="838">
        <v>-246.30959644000001</v>
      </c>
      <c r="H54" s="838">
        <v>-11.914238749999985</v>
      </c>
      <c r="I54" s="839">
        <v>-8</v>
      </c>
      <c r="J54" s="839">
        <v>-8</v>
      </c>
      <c r="K54" s="839">
        <v>-8</v>
      </c>
      <c r="L54" s="839">
        <v>-8</v>
      </c>
      <c r="M54" s="839">
        <v>-8</v>
      </c>
      <c r="N54" s="839">
        <v>-8</v>
      </c>
      <c r="O54" s="834">
        <f t="shared" si="12"/>
        <v>-67.870719310000027</v>
      </c>
      <c r="Q54" s="523"/>
      <c r="R54" s="835"/>
    </row>
    <row r="55" spans="1:18" ht="12.75" customHeight="1" collapsed="1">
      <c r="B55" s="831" t="s">
        <v>992</v>
      </c>
      <c r="C55" s="838">
        <v>-23.030860860000011</v>
      </c>
      <c r="D55" s="838">
        <v>-10.67343296</v>
      </c>
      <c r="E55" s="838">
        <v>-11.362974359999999</v>
      </c>
      <c r="F55" s="838">
        <v>-43.029212440000009</v>
      </c>
      <c r="G55" s="838">
        <v>-32.25127671999995</v>
      </c>
      <c r="H55" s="838">
        <v>6.0755580299999865</v>
      </c>
      <c r="I55" s="839">
        <v>-14.357165820000001</v>
      </c>
      <c r="J55" s="839">
        <v>-14.357165820000001</v>
      </c>
      <c r="K55" s="839">
        <v>-14.357165820000001</v>
      </c>
      <c r="L55" s="839">
        <v>-14.357165819999993</v>
      </c>
      <c r="M55" s="839">
        <v>-14.357165819999993</v>
      </c>
      <c r="N55" s="839">
        <v>-14.357165820000001</v>
      </c>
      <c r="O55" s="834">
        <f t="shared" si="12"/>
        <v>-200.41519423000003</v>
      </c>
      <c r="Q55" s="523"/>
      <c r="R55" s="835"/>
    </row>
    <row r="56" spans="1:18" ht="13" hidden="1" outlineLevel="1">
      <c r="B56" s="847" t="s">
        <v>993</v>
      </c>
      <c r="C56" s="848"/>
      <c r="D56" s="848"/>
      <c r="E56" s="848"/>
      <c r="F56" s="848"/>
      <c r="G56" s="848"/>
      <c r="H56" s="849"/>
      <c r="I56" s="849"/>
      <c r="J56" s="849"/>
      <c r="K56" s="849"/>
      <c r="L56" s="849"/>
      <c r="M56" s="849"/>
      <c r="N56" s="849"/>
      <c r="O56" s="850">
        <f t="shared" si="12"/>
        <v>0</v>
      </c>
      <c r="Q56" s="523"/>
      <c r="R56" s="835"/>
    </row>
    <row r="57" spans="1:18" ht="13.5" thickBot="1">
      <c r="B57" s="840" t="s">
        <v>994</v>
      </c>
      <c r="C57" s="841">
        <f t="shared" ref="C57:N57" si="13">SUBTOTAL(9,C45:C56)</f>
        <v>-331.40039352000031</v>
      </c>
      <c r="D57" s="841">
        <f t="shared" si="13"/>
        <v>-746.2064959199995</v>
      </c>
      <c r="E57" s="841">
        <f t="shared" si="13"/>
        <v>-392.7744049399999</v>
      </c>
      <c r="F57" s="841">
        <f>SUBTOTAL(9,F45:F56)</f>
        <v>1315.5507111399991</v>
      </c>
      <c r="G57" s="841">
        <f>SUBTOTAL(9,G45:G56)</f>
        <v>-360.46201504000175</v>
      </c>
      <c r="H57" s="841">
        <f>SUBTOTAL(9,H45:H56)</f>
        <v>485.71938031000047</v>
      </c>
      <c r="I57" s="842">
        <f t="shared" si="13"/>
        <v>1473.4370175988392</v>
      </c>
      <c r="J57" s="842">
        <f t="shared" si="13"/>
        <v>-925.11713543976725</v>
      </c>
      <c r="K57" s="842">
        <f t="shared" si="13"/>
        <v>349.07085665232847</v>
      </c>
      <c r="L57" s="842">
        <f t="shared" si="13"/>
        <v>-227.2362868838068</v>
      </c>
      <c r="M57" s="842">
        <f t="shared" si="13"/>
        <v>-281.06041456490067</v>
      </c>
      <c r="N57" s="842">
        <f t="shared" si="13"/>
        <v>-472.36654192858907</v>
      </c>
      <c r="O57" s="843">
        <f t="shared" si="12"/>
        <v>-112.84572253589766</v>
      </c>
      <c r="Q57" s="523"/>
      <c r="R57" s="835"/>
    </row>
    <row r="58" spans="1:18" ht="12.75" customHeight="1" thickTop="1">
      <c r="B58" s="831" t="s">
        <v>995</v>
      </c>
      <c r="C58" s="832">
        <f>+B60+C57</f>
        <v>1439.8789780199997</v>
      </c>
      <c r="D58" s="832">
        <f t="shared" ref="D58:N58" si="14">+C58+D57</f>
        <v>693.67248210000025</v>
      </c>
      <c r="E58" s="832">
        <f t="shared" si="14"/>
        <v>300.89807716000035</v>
      </c>
      <c r="F58" s="832">
        <f t="shared" si="14"/>
        <v>1616.4487882999995</v>
      </c>
      <c r="G58" s="832">
        <f t="shared" si="14"/>
        <v>1255.9867732599978</v>
      </c>
      <c r="H58" s="832">
        <f t="shared" si="14"/>
        <v>1741.7061535699982</v>
      </c>
      <c r="I58" s="833">
        <f t="shared" si="14"/>
        <v>3215.1431711688374</v>
      </c>
      <c r="J58" s="833">
        <f t="shared" si="14"/>
        <v>2290.0260357290699</v>
      </c>
      <c r="K58" s="833">
        <f t="shared" si="14"/>
        <v>2639.0968923813984</v>
      </c>
      <c r="L58" s="833">
        <f t="shared" si="14"/>
        <v>2411.8606054975917</v>
      </c>
      <c r="M58" s="833">
        <f t="shared" si="14"/>
        <v>2130.8001909326908</v>
      </c>
      <c r="N58" s="833">
        <f t="shared" si="14"/>
        <v>1658.4336490041019</v>
      </c>
      <c r="O58" s="834">
        <f>N58</f>
        <v>1658.4336490041019</v>
      </c>
    </row>
    <row r="59" spans="1:18" ht="12.75" customHeight="1" thickBot="1">
      <c r="B59" s="851" t="s">
        <v>996</v>
      </c>
      <c r="C59" s="1577">
        <v>6630.9481822899997</v>
      </c>
      <c r="D59" s="1577">
        <v>6588.0250469900002</v>
      </c>
      <c r="E59" s="1577">
        <v>6587.9860389099995</v>
      </c>
      <c r="F59" s="1577">
        <v>6571.5623665000003</v>
      </c>
      <c r="G59" s="1577">
        <v>6557.2366651299999</v>
      </c>
      <c r="H59" s="1577">
        <v>6559.0973828699998</v>
      </c>
      <c r="I59" s="1578">
        <v>6559.0973828699998</v>
      </c>
      <c r="J59" s="1578">
        <v>6442.8584938517233</v>
      </c>
      <c r="K59" s="1578">
        <v>6442.8584938517233</v>
      </c>
      <c r="L59" s="1578">
        <v>6442.8584938517233</v>
      </c>
      <c r="M59" s="1578">
        <v>6326.6196048334468</v>
      </c>
      <c r="N59" s="1578">
        <v>6326.6196048334468</v>
      </c>
      <c r="O59" s="852">
        <f>N59</f>
        <v>6326.6196048334468</v>
      </c>
      <c r="P59" s="523"/>
    </row>
    <row r="60" spans="1:18" ht="14.15" customHeight="1">
      <c r="B60" s="853">
        <v>1771.2793715400001</v>
      </c>
      <c r="C60" s="854">
        <f t="shared" ref="C60:N60" si="15">ROUND(C58-C6,0)</f>
        <v>0</v>
      </c>
      <c r="D60" s="854">
        <f t="shared" si="15"/>
        <v>0</v>
      </c>
      <c r="E60" s="854">
        <f t="shared" si="15"/>
        <v>0</v>
      </c>
      <c r="F60" s="854">
        <f t="shared" si="15"/>
        <v>0</v>
      </c>
      <c r="G60" s="854">
        <f t="shared" si="15"/>
        <v>0</v>
      </c>
      <c r="H60" s="854">
        <f t="shared" si="15"/>
        <v>0</v>
      </c>
      <c r="I60" s="854">
        <f t="shared" si="15"/>
        <v>0</v>
      </c>
      <c r="J60" s="854">
        <f t="shared" si="15"/>
        <v>0</v>
      </c>
      <c r="K60" s="854">
        <f t="shared" si="15"/>
        <v>0</v>
      </c>
      <c r="L60" s="854">
        <f t="shared" si="15"/>
        <v>0</v>
      </c>
      <c r="M60" s="854">
        <f t="shared" si="15"/>
        <v>0</v>
      </c>
      <c r="N60" s="854">
        <f t="shared" si="15"/>
        <v>0</v>
      </c>
      <c r="O60" s="855"/>
    </row>
    <row r="61" spans="1:18" ht="12.75" customHeight="1"/>
    <row r="62" spans="1:18" ht="12.75" customHeight="1">
      <c r="A62" s="856"/>
    </row>
    <row r="63" spans="1:18" ht="12.75" customHeight="1"/>
    <row r="64" spans="1:18" ht="12.75" customHeight="1"/>
    <row r="65" spans="18:39" ht="12.75" customHeight="1"/>
    <row r="66" spans="18:39" ht="12.75" customHeight="1"/>
    <row r="67" spans="18:39" ht="12.75" customHeight="1"/>
    <row r="68" spans="18:39" ht="12.75" customHeight="1">
      <c r="R68" s="1579" t="s">
        <v>997</v>
      </c>
      <c r="S68" s="1580" t="s">
        <v>998</v>
      </c>
      <c r="T68" s="1580" t="s">
        <v>999</v>
      </c>
      <c r="U68" s="1580" t="s">
        <v>1000</v>
      </c>
      <c r="V68" s="1580" t="s">
        <v>1001</v>
      </c>
      <c r="W68" s="1580" t="s">
        <v>1002</v>
      </c>
      <c r="Y68" s="1579" t="s">
        <v>89</v>
      </c>
      <c r="Z68" s="1580" t="s">
        <v>998</v>
      </c>
      <c r="AA68" s="1580" t="s">
        <v>999</v>
      </c>
      <c r="AB68" s="1580" t="s">
        <v>1000</v>
      </c>
      <c r="AC68" s="1580" t="s">
        <v>1001</v>
      </c>
      <c r="AD68" s="1580" t="s">
        <v>1002</v>
      </c>
      <c r="AE68" s="1580" t="s">
        <v>1003</v>
      </c>
      <c r="AG68" s="1579" t="s">
        <v>1004</v>
      </c>
      <c r="AH68" s="1580" t="s">
        <v>998</v>
      </c>
      <c r="AI68" s="1580" t="s">
        <v>999</v>
      </c>
      <c r="AJ68" s="1580" t="s">
        <v>1000</v>
      </c>
      <c r="AK68" s="1580" t="s">
        <v>1001</v>
      </c>
      <c r="AL68" s="1580" t="s">
        <v>1002</v>
      </c>
      <c r="AM68" s="1580" t="s">
        <v>1005</v>
      </c>
    </row>
    <row r="69" spans="18:39" ht="12.75" customHeight="1">
      <c r="R69" s="413">
        <v>43101</v>
      </c>
      <c r="S69" s="679">
        <f t="array" ref="S69:S80">TRANSPOSE('Reporte de Seguimiento_PyG20-06'!C15:N15)</f>
        <v>976.94844864000004</v>
      </c>
      <c r="T69" s="857"/>
      <c r="U69" s="857"/>
      <c r="V69" s="857"/>
      <c r="W69" s="858"/>
      <c r="Y69" s="413">
        <v>43101</v>
      </c>
      <c r="Z69" s="679">
        <f t="array" ref="Z69:Z80">TRANSPOSE('Reporte de Seguimiento_PyG20-06'!C47:N47)</f>
        <v>88.905493469999996</v>
      </c>
      <c r="AA69" s="857"/>
      <c r="AB69" s="857"/>
      <c r="AC69" s="857"/>
      <c r="AD69" s="858"/>
      <c r="AE69" s="858"/>
      <c r="AG69" s="413">
        <v>43101</v>
      </c>
      <c r="AH69" s="679">
        <f t="array" ref="AH69:AH80">TRANSPOSE('Reporte de Seguimiento_PyG20-06'!C61:N61)</f>
        <v>-155.39655519999999</v>
      </c>
      <c r="AI69" s="857"/>
      <c r="AJ69" s="857"/>
      <c r="AK69" s="857"/>
      <c r="AL69" s="858" t="str">
        <f>+IFERROR(MAX(AJ69:AK69)/MAX(#REF!)-1," ")</f>
        <v xml:space="preserve"> </v>
      </c>
      <c r="AM69" s="858"/>
    </row>
    <row r="70" spans="18:39" ht="12.75" customHeight="1">
      <c r="R70" s="413">
        <f t="shared" ref="R70:R104" si="16">EDATE(R69,1)</f>
        <v>43132</v>
      </c>
      <c r="S70" s="679">
        <v>1028.9742510999999</v>
      </c>
      <c r="T70" s="857"/>
      <c r="U70" s="857"/>
      <c r="V70" s="857"/>
      <c r="W70" s="858"/>
      <c r="Y70" s="413">
        <f t="shared" ref="Y70:Y104" si="17">EDATE(Y69,1)</f>
        <v>43132</v>
      </c>
      <c r="Z70" s="679">
        <v>127.08420185999999</v>
      </c>
      <c r="AA70" s="857"/>
      <c r="AB70" s="857"/>
      <c r="AC70" s="857"/>
      <c r="AD70" s="858"/>
      <c r="AE70" s="858"/>
      <c r="AG70" s="413">
        <f t="shared" ref="AG70:AG104" si="18">EDATE(AG69,1)</f>
        <v>43132</v>
      </c>
      <c r="AH70" s="679">
        <v>22.0754494600003</v>
      </c>
      <c r="AI70" s="857"/>
      <c r="AJ70" s="857"/>
      <c r="AK70" s="857"/>
      <c r="AL70" s="858" t="str">
        <f>+IFERROR(MAX(AJ70:AK70)/MAX(#REF!)-1," ")</f>
        <v xml:space="preserve"> </v>
      </c>
      <c r="AM70" s="858"/>
    </row>
    <row r="71" spans="18:39" ht="12.75" customHeight="1">
      <c r="R71" s="413">
        <f t="shared" si="16"/>
        <v>43160</v>
      </c>
      <c r="S71" s="679">
        <v>957.86658106000004</v>
      </c>
      <c r="T71" s="857"/>
      <c r="U71" s="857"/>
      <c r="V71" s="857"/>
      <c r="W71" s="858"/>
      <c r="Y71" s="413">
        <f t="shared" si="17"/>
        <v>43160</v>
      </c>
      <c r="Z71" s="679">
        <v>122.08167013000001</v>
      </c>
      <c r="AA71" s="857"/>
      <c r="AB71" s="857"/>
      <c r="AC71" s="857"/>
      <c r="AD71" s="858"/>
      <c r="AE71" s="858"/>
      <c r="AG71" s="413">
        <f t="shared" si="18"/>
        <v>43160</v>
      </c>
      <c r="AH71" s="679">
        <v>-61.512769169999999</v>
      </c>
      <c r="AI71" s="857"/>
      <c r="AJ71" s="857"/>
      <c r="AK71" s="857"/>
      <c r="AL71" s="858" t="str">
        <f>+IFERROR(MAX(AJ71:AK71)/MAX(#REF!)-1," ")</f>
        <v xml:space="preserve"> </v>
      </c>
      <c r="AM71" s="858"/>
    </row>
    <row r="72" spans="18:39" ht="12.75" customHeight="1">
      <c r="R72" s="413">
        <f t="shared" si="16"/>
        <v>43191</v>
      </c>
      <c r="S72" s="679">
        <v>804.32309081000005</v>
      </c>
      <c r="T72" s="857"/>
      <c r="U72" s="857"/>
      <c r="V72" s="857"/>
      <c r="W72" s="858"/>
      <c r="Y72" s="413">
        <f t="shared" si="17"/>
        <v>43191</v>
      </c>
      <c r="Z72" s="679">
        <v>9.0989087199995993</v>
      </c>
      <c r="AA72" s="857"/>
      <c r="AB72" s="857"/>
      <c r="AC72" s="857"/>
      <c r="AD72" s="858"/>
      <c r="AE72" s="858"/>
      <c r="AG72" s="413">
        <f t="shared" si="18"/>
        <v>43191</v>
      </c>
      <c r="AH72" s="679">
        <v>-90.353418340000403</v>
      </c>
      <c r="AI72" s="857"/>
      <c r="AJ72" s="857"/>
      <c r="AK72" s="857"/>
      <c r="AL72" s="858" t="str">
        <f>+IFERROR(MAX(AJ72:AK72)/MAX(#REF!)-1," ")</f>
        <v xml:space="preserve"> </v>
      </c>
      <c r="AM72" s="858"/>
    </row>
    <row r="73" spans="18:39" ht="12.75" customHeight="1">
      <c r="R73" s="413">
        <f t="shared" si="16"/>
        <v>43221</v>
      </c>
      <c r="S73" s="679">
        <v>644.19455078999999</v>
      </c>
      <c r="T73" s="857"/>
      <c r="U73" s="857"/>
      <c r="V73" s="857"/>
      <c r="W73" s="858"/>
      <c r="Y73" s="413">
        <f t="shared" si="17"/>
        <v>43221</v>
      </c>
      <c r="Z73" s="679">
        <v>-47.546363889999803</v>
      </c>
      <c r="AA73" s="857"/>
      <c r="AB73" s="857"/>
      <c r="AC73" s="857"/>
      <c r="AD73" s="858"/>
      <c r="AE73" s="858"/>
      <c r="AG73" s="413">
        <f t="shared" si="18"/>
        <v>43221</v>
      </c>
      <c r="AH73" s="679">
        <v>-137.22758994</v>
      </c>
      <c r="AI73" s="857"/>
      <c r="AJ73" s="857"/>
      <c r="AK73" s="857"/>
      <c r="AL73" s="858" t="str">
        <f>+IFERROR(MAX(AJ73:AK73)/MAX(#REF!)-1," ")</f>
        <v xml:space="preserve"> </v>
      </c>
      <c r="AM73" s="858"/>
    </row>
    <row r="74" spans="18:39" ht="12.75" customHeight="1">
      <c r="R74" s="413">
        <f t="shared" si="16"/>
        <v>43252</v>
      </c>
      <c r="S74" s="679">
        <v>877.14804475000005</v>
      </c>
      <c r="T74" s="857"/>
      <c r="U74" s="857"/>
      <c r="V74" s="857"/>
      <c r="W74" s="858"/>
      <c r="Y74" s="413">
        <f t="shared" si="17"/>
        <v>43252</v>
      </c>
      <c r="Z74" s="679">
        <v>61.992294780000101</v>
      </c>
      <c r="AA74" s="857"/>
      <c r="AB74" s="857"/>
      <c r="AC74" s="857"/>
      <c r="AD74" s="858"/>
      <c r="AE74" s="858"/>
      <c r="AG74" s="413">
        <f t="shared" si="18"/>
        <v>43252</v>
      </c>
      <c r="AH74" s="679">
        <v>-18.083400690000001</v>
      </c>
      <c r="AI74" s="857"/>
      <c r="AJ74" s="857"/>
      <c r="AK74" s="857"/>
      <c r="AL74" s="858" t="str">
        <f>+IFERROR(MAX(AJ74:AK74)/MAX(#REF!)-1," ")</f>
        <v xml:space="preserve"> </v>
      </c>
      <c r="AM74" s="858"/>
    </row>
    <row r="75" spans="18:39" ht="12.75" customHeight="1">
      <c r="R75" s="413">
        <f t="shared" si="16"/>
        <v>43282</v>
      </c>
      <c r="S75" s="679">
        <v>1117.23890689</v>
      </c>
      <c r="T75" s="857"/>
      <c r="U75" s="857"/>
      <c r="V75" s="857"/>
      <c r="W75" s="858"/>
      <c r="Y75" s="413">
        <f t="shared" si="17"/>
        <v>43282</v>
      </c>
      <c r="Z75" s="679">
        <v>-47.182758749999799</v>
      </c>
      <c r="AA75" s="857"/>
      <c r="AB75" s="857"/>
      <c r="AC75" s="857"/>
      <c r="AD75" s="858"/>
      <c r="AE75" s="858"/>
      <c r="AG75" s="413">
        <f t="shared" si="18"/>
        <v>43282</v>
      </c>
      <c r="AH75" s="679">
        <v>-160.47541691999999</v>
      </c>
      <c r="AI75" s="857"/>
      <c r="AJ75" s="857"/>
      <c r="AK75" s="857"/>
      <c r="AL75" s="858" t="str">
        <f>+IFERROR(MAX(AJ75:AK75)/MAX(#REF!)-1," ")</f>
        <v xml:space="preserve"> </v>
      </c>
      <c r="AM75" s="858"/>
    </row>
    <row r="76" spans="18:39" ht="12.75" customHeight="1">
      <c r="R76" s="413">
        <f t="shared" si="16"/>
        <v>43313</v>
      </c>
      <c r="S76" s="679">
        <v>1688.7400678199999</v>
      </c>
      <c r="T76" s="857"/>
      <c r="U76" s="857"/>
      <c r="V76" s="857"/>
      <c r="W76" s="858"/>
      <c r="Y76" s="413">
        <f t="shared" si="17"/>
        <v>43313</v>
      </c>
      <c r="Z76" s="679">
        <v>586.86624984000002</v>
      </c>
      <c r="AA76" s="857"/>
      <c r="AB76" s="857"/>
      <c r="AC76" s="857"/>
      <c r="AD76" s="858"/>
      <c r="AE76" s="858"/>
      <c r="AG76" s="413">
        <f t="shared" si="18"/>
        <v>43313</v>
      </c>
      <c r="AH76" s="679">
        <v>489.31329979999998</v>
      </c>
      <c r="AI76" s="857"/>
      <c r="AJ76" s="857"/>
      <c r="AK76" s="857"/>
      <c r="AL76" s="858" t="str">
        <f>+IFERROR(MAX(AJ76:AK76)/MAX(#REF!)-1," ")</f>
        <v xml:space="preserve"> </v>
      </c>
      <c r="AM76" s="858"/>
    </row>
    <row r="77" spans="18:39" ht="12.75" customHeight="1">
      <c r="R77" s="413">
        <f t="shared" si="16"/>
        <v>43344</v>
      </c>
      <c r="S77" s="679">
        <v>1194.37995181</v>
      </c>
      <c r="T77" s="857"/>
      <c r="U77" s="857"/>
      <c r="V77" s="857"/>
      <c r="W77" s="858"/>
      <c r="Y77" s="413">
        <f t="shared" si="17"/>
        <v>43344</v>
      </c>
      <c r="Z77" s="679">
        <v>69.603893930000098</v>
      </c>
      <c r="AA77" s="857"/>
      <c r="AB77" s="857"/>
      <c r="AC77" s="857"/>
      <c r="AD77" s="858"/>
      <c r="AE77" s="858"/>
      <c r="AG77" s="413">
        <f t="shared" si="18"/>
        <v>43344</v>
      </c>
      <c r="AH77" s="679">
        <v>-43.808465060000003</v>
      </c>
      <c r="AI77" s="857"/>
      <c r="AJ77" s="857"/>
      <c r="AK77" s="857"/>
      <c r="AL77" s="858" t="str">
        <f>+IFERROR(MAX(AJ77:AK77)/MAX(#REF!)-1," ")</f>
        <v xml:space="preserve"> </v>
      </c>
      <c r="AM77" s="858"/>
    </row>
    <row r="78" spans="18:39" ht="12.75" customHeight="1">
      <c r="R78" s="413">
        <f t="shared" si="16"/>
        <v>43374</v>
      </c>
      <c r="S78" s="679">
        <v>1444.8642172100001</v>
      </c>
      <c r="T78" s="857"/>
      <c r="U78" s="857"/>
      <c r="V78" s="857"/>
      <c r="W78" s="858"/>
      <c r="Y78" s="413">
        <f t="shared" si="17"/>
        <v>43374</v>
      </c>
      <c r="Z78" s="679">
        <v>219.79665008000001</v>
      </c>
      <c r="AA78" s="857"/>
      <c r="AB78" s="857"/>
      <c r="AC78" s="857"/>
      <c r="AD78" s="858"/>
      <c r="AE78" s="858"/>
      <c r="AG78" s="413">
        <f t="shared" si="18"/>
        <v>43374</v>
      </c>
      <c r="AH78" s="679">
        <v>156.53165333999999</v>
      </c>
      <c r="AI78" s="857"/>
      <c r="AJ78" s="857"/>
      <c r="AK78" s="857"/>
      <c r="AL78" s="858" t="str">
        <f>+IFERROR(MAX(AJ78:AK78)/MAX(#REF!)-1," ")</f>
        <v xml:space="preserve"> </v>
      </c>
      <c r="AM78" s="858"/>
    </row>
    <row r="79" spans="18:39" ht="12.75" customHeight="1">
      <c r="R79" s="413">
        <f t="shared" si="16"/>
        <v>43405</v>
      </c>
      <c r="S79" s="679">
        <v>1860.8430799499999</v>
      </c>
      <c r="T79" s="857"/>
      <c r="U79" s="857"/>
      <c r="V79" s="857"/>
      <c r="W79" s="858"/>
      <c r="Y79" s="413">
        <f t="shared" si="17"/>
        <v>43405</v>
      </c>
      <c r="Z79" s="679">
        <v>613.85130762999904</v>
      </c>
      <c r="AA79" s="857"/>
      <c r="AB79" s="857"/>
      <c r="AC79" s="857"/>
      <c r="AD79" s="858"/>
      <c r="AE79" s="858"/>
      <c r="AG79" s="413">
        <f t="shared" si="18"/>
        <v>43405</v>
      </c>
      <c r="AH79" s="679">
        <v>531.97165944999904</v>
      </c>
      <c r="AI79" s="857"/>
      <c r="AJ79" s="857"/>
      <c r="AK79" s="857"/>
      <c r="AL79" s="858" t="str">
        <f>+IFERROR(MAX(AJ79:AK79)/MAX(#REF!)-1," ")</f>
        <v xml:space="preserve"> </v>
      </c>
      <c r="AM79" s="858"/>
    </row>
    <row r="80" spans="18:39" ht="12.75" customHeight="1">
      <c r="R80" s="413">
        <f t="shared" si="16"/>
        <v>43435</v>
      </c>
      <c r="S80" s="679">
        <v>1555.01265463</v>
      </c>
      <c r="T80" s="857"/>
      <c r="U80" s="857"/>
      <c r="V80" s="857"/>
      <c r="W80" s="858"/>
      <c r="Y80" s="413">
        <f t="shared" si="17"/>
        <v>43435</v>
      </c>
      <c r="Z80" s="679">
        <v>232.11366713000001</v>
      </c>
      <c r="AA80" s="857"/>
      <c r="AB80" s="679">
        <f t="shared" ref="AB80:AB94" si="19">SUM(Z69:Z80)</f>
        <v>2036.6652149299994</v>
      </c>
      <c r="AC80" s="857"/>
      <c r="AD80" s="858"/>
      <c r="AE80" s="858"/>
      <c r="AG80" s="413">
        <f t="shared" si="18"/>
        <v>43435</v>
      </c>
      <c r="AH80" s="679">
        <v>-225.25393550999999</v>
      </c>
      <c r="AI80" s="857"/>
      <c r="AJ80" s="679">
        <f t="shared" ref="AJ80:AJ94" si="20">SUM(AH69:AH80)</f>
        <v>307.78051121999897</v>
      </c>
      <c r="AK80" s="857"/>
      <c r="AL80" s="858" t="str">
        <f>+IFERROR(MAX(AJ80:AK80)/MAX(#REF!)-1," ")</f>
        <v xml:space="preserve"> </v>
      </c>
      <c r="AM80" s="858"/>
    </row>
    <row r="81" spans="2:39" ht="12.75" customHeight="1">
      <c r="R81" s="859">
        <f t="shared" si="16"/>
        <v>43466</v>
      </c>
      <c r="S81" s="679">
        <f t="array" ref="S81:S92">TRANSPOSE('Reporte de Seguimiento_PyG20-06'!C16:N16)</f>
        <v>1571.8081952499999</v>
      </c>
      <c r="T81" s="857"/>
      <c r="U81" s="679">
        <f t="shared" ref="U81:U94" si="21">SUM(S70:S81)</f>
        <v>14745.393592070001</v>
      </c>
      <c r="V81" s="857"/>
      <c r="W81" s="858"/>
      <c r="Y81" s="859">
        <f t="shared" si="17"/>
        <v>43466</v>
      </c>
      <c r="Z81" s="679">
        <f t="array" ref="Z81:Z92">TRANSPOSE('Reporte de Seguimiento_PyG20-06'!C48:N48)</f>
        <v>239.771348539999</v>
      </c>
      <c r="AA81" s="857"/>
      <c r="AB81" s="679">
        <f t="shared" si="19"/>
        <v>2187.5310699999986</v>
      </c>
      <c r="AC81" s="857"/>
      <c r="AD81" s="858"/>
      <c r="AE81" s="860">
        <f t="shared" ref="AE81:AE104" si="22">MAX(AB81:AC81)/MAX(U81:V81)</f>
        <v>0.14835352181961708</v>
      </c>
      <c r="AG81" s="859">
        <f t="shared" si="18"/>
        <v>43466</v>
      </c>
      <c r="AH81" s="679">
        <f t="array" ref="AH81:AH92">TRANSPOSE('Reporte de Seguimiento_PyG20-06'!C62:N62)</f>
        <v>114.596532429999</v>
      </c>
      <c r="AI81" s="857"/>
      <c r="AJ81" s="679">
        <f t="shared" si="20"/>
        <v>577.77359884999794</v>
      </c>
      <c r="AK81" s="857"/>
      <c r="AL81" s="858" t="str">
        <f t="shared" ref="AL81:AL104" si="23">+IFERROR(MAX(AJ81:AK81)/MAX(AJ69:AK69)-1," ")</f>
        <v xml:space="preserve"> </v>
      </c>
      <c r="AM81" s="860">
        <f t="shared" ref="AM81:AM104" si="24">MAX(AJ81:AK81)/MAX(U81:V81)</f>
        <v>3.9183328355556525E-2</v>
      </c>
    </row>
    <row r="82" spans="2:39" ht="12.75" customHeight="1">
      <c r="R82" s="859">
        <f t="shared" si="16"/>
        <v>43497</v>
      </c>
      <c r="S82" s="679">
        <v>1270.13219377</v>
      </c>
      <c r="T82" s="857"/>
      <c r="U82" s="679">
        <f t="shared" si="21"/>
        <v>14986.55153474</v>
      </c>
      <c r="V82" s="857"/>
      <c r="W82" s="858"/>
      <c r="Y82" s="859">
        <f t="shared" si="17"/>
        <v>43497</v>
      </c>
      <c r="Z82" s="679">
        <v>42.0842245300001</v>
      </c>
      <c r="AA82" s="857"/>
      <c r="AB82" s="679">
        <f t="shared" si="19"/>
        <v>2102.5310926699985</v>
      </c>
      <c r="AC82" s="857"/>
      <c r="AD82" s="858"/>
      <c r="AE82" s="860">
        <f t="shared" si="22"/>
        <v>0.14029452257887126</v>
      </c>
      <c r="AG82" s="859">
        <f t="shared" si="18"/>
        <v>43497</v>
      </c>
      <c r="AH82" s="679">
        <v>-167.18799895000001</v>
      </c>
      <c r="AI82" s="857"/>
      <c r="AJ82" s="679">
        <f t="shared" si="20"/>
        <v>388.51015043999763</v>
      </c>
      <c r="AK82" s="857"/>
      <c r="AL82" s="858" t="str">
        <f t="shared" si="23"/>
        <v xml:space="preserve"> </v>
      </c>
      <c r="AM82" s="860">
        <f t="shared" si="24"/>
        <v>2.5923919157746243E-2</v>
      </c>
    </row>
    <row r="83" spans="2:39" ht="12.75" customHeight="1">
      <c r="R83" s="859">
        <f t="shared" si="16"/>
        <v>43525</v>
      </c>
      <c r="S83" s="679">
        <v>1816.16514104</v>
      </c>
      <c r="T83" s="857"/>
      <c r="U83" s="679">
        <f t="shared" si="21"/>
        <v>15844.850094719997</v>
      </c>
      <c r="V83" s="857"/>
      <c r="W83" s="858"/>
      <c r="Y83" s="859">
        <f t="shared" si="17"/>
        <v>43525</v>
      </c>
      <c r="Z83" s="679">
        <v>509.79230679</v>
      </c>
      <c r="AA83" s="857"/>
      <c r="AB83" s="679">
        <f t="shared" si="19"/>
        <v>2490.2417293299986</v>
      </c>
      <c r="AC83" s="857"/>
      <c r="AD83" s="858"/>
      <c r="AE83" s="860">
        <f t="shared" si="22"/>
        <v>0.1571641078611293</v>
      </c>
      <c r="AG83" s="859">
        <f t="shared" si="18"/>
        <v>43525</v>
      </c>
      <c r="AH83" s="679">
        <v>407.14923320999998</v>
      </c>
      <c r="AI83" s="857"/>
      <c r="AJ83" s="679">
        <f t="shared" si="20"/>
        <v>857.17215281999756</v>
      </c>
      <c r="AK83" s="857"/>
      <c r="AL83" s="858" t="str">
        <f t="shared" si="23"/>
        <v xml:space="preserve"> </v>
      </c>
      <c r="AM83" s="860">
        <f t="shared" si="24"/>
        <v>5.4097839215634755E-2</v>
      </c>
    </row>
    <row r="84" spans="2:39" ht="12.75" customHeight="1">
      <c r="R84" s="859">
        <f t="shared" si="16"/>
        <v>43556</v>
      </c>
      <c r="S84" s="679">
        <v>1521.21518292</v>
      </c>
      <c r="T84" s="857"/>
      <c r="U84" s="679">
        <f t="shared" si="21"/>
        <v>16561.742186830001</v>
      </c>
      <c r="V84" s="857"/>
      <c r="W84" s="858"/>
      <c r="Y84" s="859">
        <f t="shared" si="17"/>
        <v>43556</v>
      </c>
      <c r="Z84" s="679">
        <v>238.32084363999999</v>
      </c>
      <c r="AA84" s="857"/>
      <c r="AB84" s="679">
        <f t="shared" si="19"/>
        <v>2719.4636642499991</v>
      </c>
      <c r="AC84" s="857"/>
      <c r="AD84" s="858"/>
      <c r="AE84" s="860">
        <f t="shared" si="22"/>
        <v>0.16420154556037789</v>
      </c>
      <c r="AG84" s="859">
        <f t="shared" si="18"/>
        <v>43556</v>
      </c>
      <c r="AH84" s="679">
        <v>134.80563752</v>
      </c>
      <c r="AI84" s="857"/>
      <c r="AJ84" s="679">
        <f t="shared" si="20"/>
        <v>1082.3312086799979</v>
      </c>
      <c r="AK84" s="857"/>
      <c r="AL84" s="858" t="str">
        <f t="shared" si="23"/>
        <v xml:space="preserve"> </v>
      </c>
      <c r="AM84" s="860">
        <f t="shared" si="24"/>
        <v>6.5351289524400058E-2</v>
      </c>
    </row>
    <row r="85" spans="2:39" ht="12.75" customHeight="1">
      <c r="R85" s="859">
        <f t="shared" si="16"/>
        <v>43586</v>
      </c>
      <c r="S85" s="545">
        <v>1773.13543863</v>
      </c>
      <c r="T85" s="857"/>
      <c r="U85" s="679">
        <f t="shared" si="21"/>
        <v>17690.68307467</v>
      </c>
      <c r="V85" s="857"/>
      <c r="W85" s="858"/>
      <c r="Y85" s="859">
        <f t="shared" si="17"/>
        <v>43586</v>
      </c>
      <c r="Z85" s="679">
        <v>506.85893097000002</v>
      </c>
      <c r="AA85" s="857"/>
      <c r="AB85" s="679">
        <f t="shared" si="19"/>
        <v>3273.8689591099987</v>
      </c>
      <c r="AC85" s="857"/>
      <c r="AD85" s="858"/>
      <c r="AE85" s="860">
        <f t="shared" si="22"/>
        <v>0.18506176077494788</v>
      </c>
      <c r="AG85" s="859">
        <f t="shared" si="18"/>
        <v>43586</v>
      </c>
      <c r="AH85" s="679">
        <v>466.38424608999998</v>
      </c>
      <c r="AI85" s="857"/>
      <c r="AJ85" s="679">
        <f t="shared" si="20"/>
        <v>1685.943044709998</v>
      </c>
      <c r="AK85" s="857"/>
      <c r="AL85" s="858" t="str">
        <f t="shared" si="23"/>
        <v xml:space="preserve"> </v>
      </c>
      <c r="AM85" s="860">
        <f t="shared" si="24"/>
        <v>9.5301184108824891E-2</v>
      </c>
    </row>
    <row r="86" spans="2:39" ht="12.75" customHeight="1">
      <c r="R86" s="859">
        <f t="shared" si="16"/>
        <v>43617</v>
      </c>
      <c r="S86" s="545">
        <v>1530.11486666</v>
      </c>
      <c r="T86" s="857"/>
      <c r="U86" s="679">
        <f t="shared" si="21"/>
        <v>18343.649896579995</v>
      </c>
      <c r="V86" s="857"/>
      <c r="W86" s="858"/>
      <c r="Y86" s="859">
        <f t="shared" si="17"/>
        <v>43617</v>
      </c>
      <c r="Z86" s="679">
        <v>164.24228471000001</v>
      </c>
      <c r="AA86" s="857"/>
      <c r="AB86" s="679">
        <f t="shared" si="19"/>
        <v>3376.1189490399988</v>
      </c>
      <c r="AC86" s="857"/>
      <c r="AD86" s="858"/>
      <c r="AE86" s="860">
        <f t="shared" si="22"/>
        <v>0.18404837467321294</v>
      </c>
      <c r="AG86" s="859">
        <f t="shared" si="18"/>
        <v>43617</v>
      </c>
      <c r="AH86" s="679">
        <v>-79.288773600000098</v>
      </c>
      <c r="AI86" s="857"/>
      <c r="AJ86" s="679">
        <f t="shared" si="20"/>
        <v>1624.737671799998</v>
      </c>
      <c r="AK86" s="857"/>
      <c r="AL86" s="858" t="str">
        <f t="shared" si="23"/>
        <v xml:space="preserve"> </v>
      </c>
      <c r="AM86" s="860">
        <f t="shared" si="24"/>
        <v>8.857221332505455E-2</v>
      </c>
    </row>
    <row r="87" spans="2:39" ht="12.75" customHeight="1">
      <c r="R87" s="859">
        <f t="shared" si="16"/>
        <v>43647</v>
      </c>
      <c r="S87" s="545">
        <v>1745.3978690599999</v>
      </c>
      <c r="T87" s="857"/>
      <c r="U87" s="679">
        <f t="shared" si="21"/>
        <v>18971.808858749999</v>
      </c>
      <c r="V87" s="857"/>
      <c r="W87" s="858"/>
      <c r="Y87" s="859">
        <f t="shared" si="17"/>
        <v>43647</v>
      </c>
      <c r="Z87" s="679">
        <v>237.65607098999899</v>
      </c>
      <c r="AA87" s="857"/>
      <c r="AB87" s="679">
        <f t="shared" si="19"/>
        <v>3660.9577787799976</v>
      </c>
      <c r="AC87" s="857"/>
      <c r="AD87" s="858"/>
      <c r="AE87" s="860">
        <f t="shared" si="22"/>
        <v>0.19296830397337286</v>
      </c>
      <c r="AG87" s="859">
        <f t="shared" si="18"/>
        <v>43647</v>
      </c>
      <c r="AH87" s="679">
        <v>62.552551169999298</v>
      </c>
      <c r="AI87" s="857"/>
      <c r="AJ87" s="679">
        <f t="shared" si="20"/>
        <v>1847.7656398899974</v>
      </c>
      <c r="AK87" s="857"/>
      <c r="AL87" s="858" t="str">
        <f t="shared" si="23"/>
        <v xml:space="preserve"> </v>
      </c>
      <c r="AM87" s="860">
        <f t="shared" si="24"/>
        <v>9.7395332919864852E-2</v>
      </c>
    </row>
    <row r="88" spans="2:39" ht="12.75" customHeight="1">
      <c r="R88" s="859">
        <f t="shared" si="16"/>
        <v>43678</v>
      </c>
      <c r="S88" s="545">
        <v>1910.61006845</v>
      </c>
      <c r="T88" s="857"/>
      <c r="U88" s="679">
        <f t="shared" si="21"/>
        <v>19193.678859380001</v>
      </c>
      <c r="V88" s="857"/>
      <c r="W88" s="858"/>
      <c r="Y88" s="859">
        <f t="shared" si="17"/>
        <v>43678</v>
      </c>
      <c r="Z88" s="679">
        <v>406.00098489999999</v>
      </c>
      <c r="AA88" s="857"/>
      <c r="AB88" s="679">
        <f t="shared" si="19"/>
        <v>3480.0925138399975</v>
      </c>
      <c r="AC88" s="857"/>
      <c r="AD88" s="858"/>
      <c r="AE88" s="860">
        <f t="shared" si="22"/>
        <v>0.18131451189406908</v>
      </c>
      <c r="AG88" s="859">
        <f t="shared" si="18"/>
        <v>43678</v>
      </c>
      <c r="AH88" s="679">
        <v>326.98098995999999</v>
      </c>
      <c r="AI88" s="857"/>
      <c r="AJ88" s="679">
        <f t="shared" si="20"/>
        <v>1685.4333300499973</v>
      </c>
      <c r="AK88" s="857"/>
      <c r="AL88" s="858" t="str">
        <f t="shared" si="23"/>
        <v xml:space="preserve"> </v>
      </c>
      <c r="AM88" s="860">
        <f t="shared" si="24"/>
        <v>8.7811895905839932E-2</v>
      </c>
    </row>
    <row r="89" spans="2:39" ht="12.75" customHeight="1">
      <c r="R89" s="859">
        <f t="shared" si="16"/>
        <v>43709</v>
      </c>
      <c r="S89" s="545">
        <v>1833.0731707800001</v>
      </c>
      <c r="T89" s="857"/>
      <c r="U89" s="679">
        <f t="shared" si="21"/>
        <v>19832.372078349999</v>
      </c>
      <c r="V89" s="857"/>
      <c r="W89" s="858"/>
      <c r="Y89" s="859">
        <f t="shared" si="17"/>
        <v>43709</v>
      </c>
      <c r="Z89" s="679">
        <v>439.18543259000199</v>
      </c>
      <c r="AA89" s="857"/>
      <c r="AB89" s="679">
        <f t="shared" si="19"/>
        <v>3849.6740524999996</v>
      </c>
      <c r="AC89" s="857"/>
      <c r="AD89" s="858"/>
      <c r="AE89" s="860">
        <f t="shared" si="22"/>
        <v>0.19411062062023809</v>
      </c>
      <c r="AG89" s="859">
        <f t="shared" si="18"/>
        <v>43709</v>
      </c>
      <c r="AH89" s="679">
        <v>184.39284690000201</v>
      </c>
      <c r="AI89" s="857"/>
      <c r="AJ89" s="679">
        <f t="shared" si="20"/>
        <v>1913.6346420099992</v>
      </c>
      <c r="AK89" s="857"/>
      <c r="AL89" s="858" t="str">
        <f t="shared" si="23"/>
        <v xml:space="preserve"> </v>
      </c>
      <c r="AM89" s="860">
        <f t="shared" si="24"/>
        <v>9.6490456837435887E-2</v>
      </c>
    </row>
    <row r="90" spans="2:39" ht="12.75" customHeight="1">
      <c r="R90" s="859">
        <f t="shared" si="16"/>
        <v>43739</v>
      </c>
      <c r="S90" s="545">
        <v>2331.2516409300001</v>
      </c>
      <c r="T90" s="857"/>
      <c r="U90" s="679">
        <f t="shared" si="21"/>
        <v>20718.759502070003</v>
      </c>
      <c r="V90" s="857"/>
      <c r="W90" s="858"/>
      <c r="Y90" s="859">
        <f t="shared" si="17"/>
        <v>43739</v>
      </c>
      <c r="Z90" s="679">
        <v>760.42663463999997</v>
      </c>
      <c r="AA90" s="857"/>
      <c r="AB90" s="679">
        <f t="shared" si="19"/>
        <v>4390.3040370599992</v>
      </c>
      <c r="AC90" s="857"/>
      <c r="AD90" s="858"/>
      <c r="AE90" s="860">
        <f t="shared" si="22"/>
        <v>0.21189994683906466</v>
      </c>
      <c r="AG90" s="859">
        <f t="shared" si="18"/>
        <v>43739</v>
      </c>
      <c r="AH90" s="679">
        <v>556.12333506000004</v>
      </c>
      <c r="AI90" s="857"/>
      <c r="AJ90" s="679">
        <f t="shared" si="20"/>
        <v>2313.2263237299994</v>
      </c>
      <c r="AK90" s="857"/>
      <c r="AL90" s="858" t="str">
        <f t="shared" si="23"/>
        <v xml:space="preserve"> </v>
      </c>
      <c r="AM90" s="860">
        <f t="shared" si="24"/>
        <v>0.11164888146410917</v>
      </c>
    </row>
    <row r="91" spans="2:39" ht="12.75" customHeight="1">
      <c r="B91" s="861"/>
      <c r="R91" s="859">
        <f t="shared" si="16"/>
        <v>43770</v>
      </c>
      <c r="S91" s="545">
        <v>2044.4513902599999</v>
      </c>
      <c r="T91" s="857"/>
      <c r="U91" s="679">
        <f t="shared" si="21"/>
        <v>20902.367812380002</v>
      </c>
      <c r="V91" s="857"/>
      <c r="W91" s="858"/>
      <c r="Y91" s="859">
        <f t="shared" si="17"/>
        <v>43770</v>
      </c>
      <c r="Z91" s="679">
        <v>486.27760798000003</v>
      </c>
      <c r="AA91" s="857"/>
      <c r="AB91" s="679">
        <f t="shared" si="19"/>
        <v>4262.7303374100002</v>
      </c>
      <c r="AC91" s="857"/>
      <c r="AD91" s="858"/>
      <c r="AE91" s="860">
        <f t="shared" si="22"/>
        <v>0.2039352850199718</v>
      </c>
      <c r="AG91" s="859">
        <f t="shared" si="18"/>
        <v>43770</v>
      </c>
      <c r="AH91" s="679">
        <v>163.92896042000001</v>
      </c>
      <c r="AI91" s="857"/>
      <c r="AJ91" s="679">
        <f t="shared" si="20"/>
        <v>1945.1836247000003</v>
      </c>
      <c r="AK91" s="857"/>
      <c r="AL91" s="858" t="str">
        <f t="shared" si="23"/>
        <v xml:space="preserve"> </v>
      </c>
      <c r="AM91" s="860">
        <f t="shared" si="24"/>
        <v>9.3060443781297922E-2</v>
      </c>
    </row>
    <row r="92" spans="2:39" ht="12.75" customHeight="1">
      <c r="R92" s="859">
        <f t="shared" si="16"/>
        <v>43800</v>
      </c>
      <c r="S92" s="545">
        <v>1881.9958014599999</v>
      </c>
      <c r="T92" s="857"/>
      <c r="U92" s="679">
        <f t="shared" si="21"/>
        <v>21229.350959210002</v>
      </c>
      <c r="V92" s="857"/>
      <c r="W92" s="858"/>
      <c r="Y92" s="859">
        <f t="shared" si="17"/>
        <v>43800</v>
      </c>
      <c r="Z92" s="679">
        <v>282.27302400999997</v>
      </c>
      <c r="AA92" s="857"/>
      <c r="AB92" s="679">
        <f t="shared" si="19"/>
        <v>4312.8896942900001</v>
      </c>
      <c r="AC92" s="857"/>
      <c r="AD92" s="860">
        <f t="shared" ref="AD92:AD104" si="25">MAX(AB92:AC92)/MAX(AB80:AC80)-1</f>
        <v>1.117623290599695</v>
      </c>
      <c r="AE92" s="860">
        <f t="shared" si="22"/>
        <v>0.20315692658606335</v>
      </c>
      <c r="AG92" s="859">
        <f t="shared" si="18"/>
        <v>43800</v>
      </c>
      <c r="AH92" s="679">
        <v>120.48886756</v>
      </c>
      <c r="AI92" s="857"/>
      <c r="AJ92" s="679">
        <f t="shared" si="20"/>
        <v>2290.9264277699999</v>
      </c>
      <c r="AK92" s="857"/>
      <c r="AL92" s="860">
        <f t="shared" si="23"/>
        <v>6.4433771608510479</v>
      </c>
      <c r="AM92" s="860">
        <f t="shared" si="24"/>
        <v>0.10791316381606662</v>
      </c>
    </row>
    <row r="93" spans="2:39" ht="12.75" customHeight="1">
      <c r="R93" s="413">
        <f t="shared" si="16"/>
        <v>43831</v>
      </c>
      <c r="S93" s="862">
        <f>+'Reporte de Seguimiento_PyG20-06'!C17</f>
        <v>1950.3991190699999</v>
      </c>
      <c r="T93" s="857">
        <f t="array" ref="T93:T104">+TRANSPOSE('Reporte de Seguimiento_PyG20-06'!C17:N17)</f>
        <v>1950.3991190699999</v>
      </c>
      <c r="U93" s="679">
        <f t="shared" si="21"/>
        <v>21607.941883030002</v>
      </c>
      <c r="V93" s="857"/>
      <c r="W93" s="860">
        <f t="shared" ref="W93:W104" si="26">MAX(U93:V93)/MAX(U81:V81)-1</f>
        <v>0.46540285602485687</v>
      </c>
      <c r="Y93" s="413">
        <f t="shared" si="17"/>
        <v>43831</v>
      </c>
      <c r="Z93" s="679">
        <f>+'Reporte de Seguimiento_PyG20-06'!C49</f>
        <v>461.04943821999962</v>
      </c>
      <c r="AA93" s="857">
        <f t="array" ref="AA93:AA104">+TRANSPOSE('Reporte de Seguimiento_PyG20-06'!C49:N49)</f>
        <v>461.04943821999962</v>
      </c>
      <c r="AB93" s="679">
        <f t="shared" si="19"/>
        <v>4534.1677839700014</v>
      </c>
      <c r="AC93" s="857"/>
      <c r="AD93" s="860">
        <f t="shared" si="25"/>
        <v>1.072732975614378</v>
      </c>
      <c r="AE93" s="860">
        <f t="shared" si="22"/>
        <v>0.20983802198815391</v>
      </c>
      <c r="AG93" s="413">
        <f t="shared" si="18"/>
        <v>43831</v>
      </c>
      <c r="AH93" s="679">
        <f>+'Reporte de Seguimiento_PyG20-06'!C63</f>
        <v>311.65705160999966</v>
      </c>
      <c r="AI93" s="857">
        <f t="array" ref="AI93:AI104">+TRANSPOSE('Reporte de Seguimiento_PyG20-06'!C63:N63)</f>
        <v>311.65705160999966</v>
      </c>
      <c r="AJ93" s="679">
        <f t="shared" si="20"/>
        <v>2487.9869469500009</v>
      </c>
      <c r="AK93" s="857"/>
      <c r="AL93" s="860">
        <f t="shared" si="23"/>
        <v>3.3061623997740579</v>
      </c>
      <c r="AM93" s="860">
        <f t="shared" si="24"/>
        <v>0.11514224540301844</v>
      </c>
    </row>
    <row r="94" spans="2:39" ht="12.75" customHeight="1">
      <c r="R94" s="413">
        <f t="shared" si="16"/>
        <v>43862</v>
      </c>
      <c r="S94" s="862">
        <f>+'Reporte de Seguimiento_PyG20-06'!D17</f>
        <v>1586.2194889699997</v>
      </c>
      <c r="T94" s="857">
        <v>1586.2194889699997</v>
      </c>
      <c r="U94" s="679">
        <f t="shared" si="21"/>
        <v>21924.029178230005</v>
      </c>
      <c r="V94" s="857"/>
      <c r="W94" s="860">
        <f t="shared" si="26"/>
        <v>0.46291354134461082</v>
      </c>
      <c r="Y94" s="413">
        <f t="shared" si="17"/>
        <v>43862</v>
      </c>
      <c r="Z94" s="679">
        <f>+'Reporte de Seguimiento_PyG20-06'!D49</f>
        <v>247.65413249999978</v>
      </c>
      <c r="AA94" s="857">
        <v>247.65413249999978</v>
      </c>
      <c r="AB94" s="679">
        <f t="shared" si="19"/>
        <v>4739.7376919400003</v>
      </c>
      <c r="AC94" s="857"/>
      <c r="AD94" s="860">
        <f t="shared" si="25"/>
        <v>1.2543008797653594</v>
      </c>
      <c r="AE94" s="860">
        <f t="shared" si="22"/>
        <v>0.21618917095067716</v>
      </c>
      <c r="AG94" s="413">
        <f t="shared" si="18"/>
        <v>43862</v>
      </c>
      <c r="AH94" s="679">
        <f>+'Reporte de Seguimiento_PyG20-06'!D63</f>
        <v>130.40768254999975</v>
      </c>
      <c r="AI94" s="857">
        <v>130.40768254999975</v>
      </c>
      <c r="AJ94" s="679">
        <f t="shared" si="20"/>
        <v>2785.5826284500004</v>
      </c>
      <c r="AK94" s="857"/>
      <c r="AL94" s="860">
        <f t="shared" si="23"/>
        <v>6.1699095256462595</v>
      </c>
      <c r="AM94" s="860">
        <f t="shared" si="24"/>
        <v>0.12705614491774223</v>
      </c>
    </row>
    <row r="95" spans="2:39" ht="12.75" customHeight="1">
      <c r="R95" s="413">
        <f t="shared" si="16"/>
        <v>43891</v>
      </c>
      <c r="S95" s="862">
        <f>+'Reporte de Seguimiento_PyG20-06'!E17</f>
        <v>1853.8857025899997</v>
      </c>
      <c r="T95" s="857">
        <v>1853.8857025899997</v>
      </c>
      <c r="U95" s="679">
        <f>SUM(S84:S95)</f>
        <v>21961.74973978</v>
      </c>
      <c r="V95" s="857"/>
      <c r="W95" s="860">
        <f t="shared" si="26"/>
        <v>0.38604970122742577</v>
      </c>
      <c r="Y95" s="413">
        <f t="shared" si="17"/>
        <v>43891</v>
      </c>
      <c r="Z95" s="679">
        <f>+'Reporte de Seguimiento_PyG20-06'!E49</f>
        <v>679.93009856999981</v>
      </c>
      <c r="AA95" s="857">
        <v>679.93009856999981</v>
      </c>
      <c r="AB95" s="679">
        <f>SUM(Z84:Z95)</f>
        <v>4909.8754837200004</v>
      </c>
      <c r="AC95" s="857"/>
      <c r="AD95" s="860">
        <f t="shared" si="25"/>
        <v>0.97164613615281681</v>
      </c>
      <c r="AE95" s="860">
        <f t="shared" si="22"/>
        <v>0.22356485898874398</v>
      </c>
      <c r="AG95" s="413">
        <f t="shared" si="18"/>
        <v>43891</v>
      </c>
      <c r="AH95" s="679">
        <f>+'Reporte de Seguimiento_PyG20-06'!E63</f>
        <v>902.3914916399998</v>
      </c>
      <c r="AI95" s="857">
        <v>902.3914916399998</v>
      </c>
      <c r="AJ95" s="679">
        <f>SUM(AH84:AH95)</f>
        <v>3280.8248868800006</v>
      </c>
      <c r="AK95" s="857"/>
      <c r="AL95" s="860">
        <f t="shared" si="23"/>
        <v>2.827498217349298</v>
      </c>
      <c r="AM95" s="860">
        <f t="shared" si="24"/>
        <v>0.14938813736399795</v>
      </c>
    </row>
    <row r="96" spans="2:39" ht="12.75" customHeight="1">
      <c r="R96" s="413">
        <f t="shared" si="16"/>
        <v>43922</v>
      </c>
      <c r="S96" s="862">
        <f>+'Reporte de Seguimiento_PyG20-06'!F17</f>
        <v>358.79537143000005</v>
      </c>
      <c r="T96" s="857">
        <v>358.79537143000005</v>
      </c>
      <c r="U96" s="679">
        <f t="shared" ref="U96:U98" si="27">SUM(S85:S96)</f>
        <v>20799.329928289997</v>
      </c>
      <c r="V96" s="857"/>
      <c r="W96" s="860">
        <f t="shared" si="26"/>
        <v>0.25586606129092826</v>
      </c>
      <c r="Y96" s="413">
        <f t="shared" si="17"/>
        <v>43922</v>
      </c>
      <c r="Z96" s="679">
        <f>+'Reporte de Seguimiento_PyG20-06'!F49</f>
        <v>-73.111713319999978</v>
      </c>
      <c r="AA96" s="857">
        <v>-73.111713319999978</v>
      </c>
      <c r="AB96" s="679">
        <f t="shared" ref="AB96:AB98" si="28">SUM(Z85:Z96)</f>
        <v>4598.4429267600008</v>
      </c>
      <c r="AC96" s="857"/>
      <c r="AD96" s="860">
        <f t="shared" si="25"/>
        <v>0.69093744005886748</v>
      </c>
      <c r="AE96" s="860">
        <f t="shared" si="22"/>
        <v>0.2210861091493854</v>
      </c>
      <c r="AG96" s="413">
        <f t="shared" si="18"/>
        <v>43922</v>
      </c>
      <c r="AH96" s="679">
        <f>+'Reporte de Seguimiento_PyG20-06'!F63</f>
        <v>-345.67212746999996</v>
      </c>
      <c r="AI96" s="857">
        <v>-345.67212746999996</v>
      </c>
      <c r="AJ96" s="679">
        <f t="shared" ref="AJ96:AJ98" si="29">SUM(AH85:AH96)</f>
        <v>2800.3471218900008</v>
      </c>
      <c r="AK96" s="857"/>
      <c r="AL96" s="860">
        <f t="shared" si="23"/>
        <v>1.5873291830005352</v>
      </c>
      <c r="AM96" s="860">
        <f t="shared" si="24"/>
        <v>0.13463641047787492</v>
      </c>
    </row>
    <row r="97" spans="18:39" ht="12.75" customHeight="1">
      <c r="R97" s="413">
        <f t="shared" si="16"/>
        <v>43952</v>
      </c>
      <c r="S97" s="862">
        <f>+'Reporte de Seguimiento_PyG20-06'!G17</f>
        <v>382.44348857</v>
      </c>
      <c r="T97" s="857">
        <v>382.44348857</v>
      </c>
      <c r="U97" s="679">
        <f t="shared" si="27"/>
        <v>19408.637978229995</v>
      </c>
      <c r="V97" s="857"/>
      <c r="W97" s="860">
        <f t="shared" si="26"/>
        <v>9.7110716206306957E-2</v>
      </c>
      <c r="Y97" s="413">
        <f t="shared" si="17"/>
        <v>43952</v>
      </c>
      <c r="Z97" s="679">
        <f>+'Reporte de Seguimiento_PyG20-06'!G49</f>
        <v>31.675038399999977</v>
      </c>
      <c r="AA97" s="857">
        <v>31.675038399999977</v>
      </c>
      <c r="AB97" s="679">
        <f t="shared" si="28"/>
        <v>4123.2590341900004</v>
      </c>
      <c r="AC97" s="857"/>
      <c r="AD97" s="860">
        <f t="shared" si="25"/>
        <v>0.2594453491232307</v>
      </c>
      <c r="AE97" s="860">
        <f t="shared" si="22"/>
        <v>0.21244453314111578</v>
      </c>
      <c r="AG97" s="413">
        <f t="shared" si="18"/>
        <v>43952</v>
      </c>
      <c r="AH97" s="679">
        <f>+'Reporte de Seguimiento_PyG20-06'!G63</f>
        <v>-502.23676384999999</v>
      </c>
      <c r="AI97" s="857">
        <v>-502.23676384999999</v>
      </c>
      <c r="AJ97" s="679">
        <f t="shared" si="29"/>
        <v>1831.7261119500004</v>
      </c>
      <c r="AK97" s="857"/>
      <c r="AL97" s="860">
        <f t="shared" si="23"/>
        <v>8.6469746233378109E-2</v>
      </c>
      <c r="AM97" s="860">
        <f t="shared" si="24"/>
        <v>9.4376849833800028E-2</v>
      </c>
    </row>
    <row r="98" spans="18:39" ht="12.75" customHeight="1">
      <c r="R98" s="413">
        <f t="shared" si="16"/>
        <v>43983</v>
      </c>
      <c r="S98" s="862">
        <f>+'Reporte de Seguimiento_PyG20-06'!H17</f>
        <v>370.84104293000001</v>
      </c>
      <c r="T98" s="545">
        <v>370.84104293000001</v>
      </c>
      <c r="U98" s="679">
        <f t="shared" si="27"/>
        <v>18249.364154499995</v>
      </c>
      <c r="V98" s="857"/>
      <c r="W98" s="860">
        <f t="shared" si="26"/>
        <v>-5.1399662886925102E-3</v>
      </c>
      <c r="Y98" s="413">
        <f t="shared" si="17"/>
        <v>43983</v>
      </c>
      <c r="Z98" s="679">
        <f>+'Reporte de Seguimiento_PyG20-06'!H49</f>
        <v>-201.98600461000007</v>
      </c>
      <c r="AA98" s="545">
        <v>-201.98600461000007</v>
      </c>
      <c r="AB98" s="679">
        <f t="shared" si="28"/>
        <v>3757.03074487</v>
      </c>
      <c r="AC98" s="857"/>
      <c r="AD98" s="860">
        <f t="shared" si="25"/>
        <v>0.11282534815259204</v>
      </c>
      <c r="AE98" s="860">
        <f t="shared" si="22"/>
        <v>0.20587187109988034</v>
      </c>
      <c r="AG98" s="413">
        <f t="shared" si="18"/>
        <v>43983</v>
      </c>
      <c r="AH98" s="679">
        <f>+'Reporte de Seguimiento_PyG20-06'!H63</f>
        <v>-343.46025253000005</v>
      </c>
      <c r="AI98" s="863">
        <v>-343.46025253000005</v>
      </c>
      <c r="AJ98" s="679">
        <f t="shared" si="29"/>
        <v>1567.5546330200004</v>
      </c>
      <c r="AK98" s="857"/>
      <c r="AL98" s="860">
        <f t="shared" si="23"/>
        <v>-3.5195243990770675E-2</v>
      </c>
      <c r="AM98" s="860">
        <f t="shared" si="24"/>
        <v>8.5896397252474527E-2</v>
      </c>
    </row>
    <row r="99" spans="18:39" ht="12.75" customHeight="1">
      <c r="R99" s="413">
        <f t="shared" si="16"/>
        <v>44013</v>
      </c>
      <c r="S99" s="862"/>
      <c r="T99" s="545">
        <v>492.6640523782001</v>
      </c>
      <c r="U99" s="679"/>
      <c r="V99" s="857">
        <f>SUM(S88:S99,$T$99:T99)</f>
        <v>16996.630337818202</v>
      </c>
      <c r="W99" s="860">
        <f t="shared" si="26"/>
        <v>-0.10411123871411043</v>
      </c>
      <c r="Y99" s="413">
        <f t="shared" si="17"/>
        <v>44013</v>
      </c>
      <c r="Z99" s="864"/>
      <c r="AA99" s="545">
        <v>-159.76547736184983</v>
      </c>
      <c r="AB99" s="679"/>
      <c r="AC99" s="857">
        <f>SUM(Z88:Z99,$AA$99:AA99)</f>
        <v>3359.6091965181513</v>
      </c>
      <c r="AD99" s="860">
        <f t="shared" si="25"/>
        <v>-8.2314137575842161E-2</v>
      </c>
      <c r="AE99" s="860">
        <f t="shared" si="22"/>
        <v>0.19766325028808107</v>
      </c>
      <c r="AG99" s="413">
        <f t="shared" si="18"/>
        <v>44013</v>
      </c>
      <c r="AH99" s="523"/>
      <c r="AI99" s="863">
        <v>-334.80935718780387</v>
      </c>
      <c r="AJ99" s="679"/>
      <c r="AK99" s="857">
        <f>SUM(AH88:AH99,$AI$99:AI99)</f>
        <v>1170.1927246621972</v>
      </c>
      <c r="AL99" s="860">
        <f t="shared" si="23"/>
        <v>-0.3666985144653615</v>
      </c>
      <c r="AM99" s="860">
        <f t="shared" si="24"/>
        <v>6.8848512993688535E-2</v>
      </c>
    </row>
    <row r="100" spans="18:39" ht="12.75" customHeight="1">
      <c r="R100" s="413">
        <f t="shared" si="16"/>
        <v>44044</v>
      </c>
      <c r="S100" s="862"/>
      <c r="T100" s="545">
        <v>882.48282197080016</v>
      </c>
      <c r="U100" s="679"/>
      <c r="V100" s="857">
        <f>SUM(S89:S100,$T$99:T100)</f>
        <v>15968.503091339</v>
      </c>
      <c r="W100" s="860">
        <f t="shared" si="26"/>
        <v>-0.16803322550459621</v>
      </c>
      <c r="Y100" s="413">
        <f t="shared" si="17"/>
        <v>44044</v>
      </c>
      <c r="Z100" s="864"/>
      <c r="AA100" s="545">
        <v>138.45228879650026</v>
      </c>
      <c r="AB100" s="679"/>
      <c r="AC100" s="857">
        <f>SUM(Z89:Z100,$AA$99:AA100)</f>
        <v>3092.0605004146519</v>
      </c>
      <c r="AD100" s="860">
        <f t="shared" si="25"/>
        <v>-0.11150048795604695</v>
      </c>
      <c r="AE100" s="860">
        <f t="shared" si="22"/>
        <v>0.193634962696768</v>
      </c>
      <c r="AG100" s="413">
        <f t="shared" si="18"/>
        <v>44044</v>
      </c>
      <c r="AH100" s="523"/>
      <c r="AI100" s="863">
        <v>-7.6691778905280676</v>
      </c>
      <c r="AJ100" s="679"/>
      <c r="AK100" s="857">
        <f>SUM(AH89:AH100,$AI$99:AI100)</f>
        <v>835.5425568116691</v>
      </c>
      <c r="AL100" s="860">
        <f t="shared" si="23"/>
        <v>-0.504256536337226</v>
      </c>
      <c r="AM100" s="860">
        <f t="shared" si="24"/>
        <v>5.2324413380040041E-2</v>
      </c>
    </row>
    <row r="101" spans="18:39" ht="12.75" customHeight="1">
      <c r="R101" s="413">
        <f t="shared" si="16"/>
        <v>44075</v>
      </c>
      <c r="S101" s="862"/>
      <c r="T101" s="545">
        <v>804.45516669419999</v>
      </c>
      <c r="U101" s="679"/>
      <c r="V101" s="857">
        <f>SUM(S90:S101,$T$99:T101)</f>
        <v>14939.8850872532</v>
      </c>
      <c r="W101" s="860">
        <f t="shared" si="26"/>
        <v>-0.246691972688314</v>
      </c>
      <c r="Y101" s="413">
        <f t="shared" si="17"/>
        <v>44075</v>
      </c>
      <c r="Z101" s="864"/>
      <c r="AA101" s="545">
        <v>58.281820349150109</v>
      </c>
      <c r="AB101" s="679"/>
      <c r="AC101" s="857">
        <f>SUM(Z90:Z101,$AA$99:AA101)</f>
        <v>2711.1568881737999</v>
      </c>
      <c r="AD101" s="860">
        <f t="shared" si="25"/>
        <v>-0.29574378214873553</v>
      </c>
      <c r="AE101" s="860">
        <f t="shared" si="22"/>
        <v>0.18147106703564778</v>
      </c>
      <c r="AG101" s="413">
        <f t="shared" si="18"/>
        <v>44075</v>
      </c>
      <c r="AH101" s="523"/>
      <c r="AI101" s="863">
        <v>-85.968820060026431</v>
      </c>
      <c r="AJ101" s="679"/>
      <c r="AK101" s="857">
        <f>SUM(AH90:AH101,$AI$99:AI101)</f>
        <v>565.18088985164081</v>
      </c>
      <c r="AL101" s="860">
        <f t="shared" si="23"/>
        <v>-0.70465580135087902</v>
      </c>
      <c r="AM101" s="860">
        <f t="shared" si="24"/>
        <v>3.7830337151244661E-2</v>
      </c>
    </row>
    <row r="102" spans="18:39" ht="12.75" customHeight="1">
      <c r="R102" s="413">
        <f t="shared" si="16"/>
        <v>44105</v>
      </c>
      <c r="S102" s="862"/>
      <c r="T102" s="545">
        <v>571.8692867307999</v>
      </c>
      <c r="U102" s="679"/>
      <c r="V102" s="857">
        <f>SUM(S91:S102,$T$99:T102)</f>
        <v>13180.502733054</v>
      </c>
      <c r="W102" s="860">
        <f t="shared" si="26"/>
        <v>-0.3638372639183759</v>
      </c>
      <c r="Y102" s="413">
        <f t="shared" si="17"/>
        <v>44105</v>
      </c>
      <c r="Z102" s="864"/>
      <c r="AA102" s="545">
        <v>-97.211661993500002</v>
      </c>
      <c r="AB102" s="679"/>
      <c r="AC102" s="857">
        <f>SUM(Z91:Z102,$AA$99:AA102)</f>
        <v>1853.5185915402997</v>
      </c>
      <c r="AD102" s="860">
        <f t="shared" si="25"/>
        <v>-0.57781543695057569</v>
      </c>
      <c r="AE102" s="860">
        <f t="shared" si="22"/>
        <v>0.14062578864249653</v>
      </c>
      <c r="AG102" s="413">
        <f t="shared" si="18"/>
        <v>44105</v>
      </c>
      <c r="AH102" s="523"/>
      <c r="AI102" s="863">
        <v>-242.39771554160239</v>
      </c>
      <c r="AJ102" s="679"/>
      <c r="AK102" s="857">
        <f>SUM(AH91:AH102,$AI$99:AI102)</f>
        <v>-233.34016074996163</v>
      </c>
      <c r="AL102" s="860">
        <f t="shared" si="23"/>
        <v>-1.1008721707669782</v>
      </c>
      <c r="AM102" s="860">
        <f t="shared" si="24"/>
        <v>-1.7703434040098661E-2</v>
      </c>
    </row>
    <row r="103" spans="18:39" ht="12.75" customHeight="1">
      <c r="R103" s="413">
        <f t="shared" si="16"/>
        <v>44136</v>
      </c>
      <c r="S103"/>
      <c r="T103" s="545">
        <v>497.65957119700005</v>
      </c>
      <c r="U103" s="679"/>
      <c r="V103" s="857">
        <f>SUM(S92:S103,$T$99:T103)</f>
        <v>11633.710913991001</v>
      </c>
      <c r="W103" s="860">
        <f t="shared" si="26"/>
        <v>-0.44342616978060179</v>
      </c>
      <c r="Y103" s="413">
        <f t="shared" si="17"/>
        <v>44136</v>
      </c>
      <c r="Z103" s="865"/>
      <c r="AA103" s="545">
        <v>-126.40545916954986</v>
      </c>
      <c r="AB103" s="679"/>
      <c r="AC103" s="857">
        <f>SUM(Z92:Z103,$AA$99:AA103)</f>
        <v>1240.8355243907495</v>
      </c>
      <c r="AD103" s="860">
        <f t="shared" si="25"/>
        <v>-0.70891062155607276</v>
      </c>
      <c r="AE103" s="860">
        <f t="shared" si="22"/>
        <v>0.10665861766416154</v>
      </c>
      <c r="AG103" s="413">
        <f t="shared" si="18"/>
        <v>44136</v>
      </c>
      <c r="AI103" s="863">
        <v>-271.59151271765228</v>
      </c>
      <c r="AJ103" s="679"/>
      <c r="AK103" s="857">
        <f>SUM(AH92:AH103,$AI$99:AI103)</f>
        <v>-668.86063388761374</v>
      </c>
      <c r="AL103" s="860">
        <f t="shared" si="23"/>
        <v>-1.3438547525253663</v>
      </c>
      <c r="AM103" s="860">
        <f t="shared" si="24"/>
        <v>-5.7493317380202795E-2</v>
      </c>
    </row>
    <row r="104" spans="18:39" ht="12.75" customHeight="1">
      <c r="R104" s="413">
        <f t="shared" si="16"/>
        <v>44166</v>
      </c>
      <c r="S104"/>
      <c r="T104" s="545">
        <v>520.14632160400004</v>
      </c>
      <c r="U104" s="679"/>
      <c r="V104" s="857">
        <f>SUM(S93:S104,$T$99:T104)</f>
        <v>10271.861434135</v>
      </c>
      <c r="W104" s="860">
        <f t="shared" si="26"/>
        <v>-0.51614811711053643</v>
      </c>
      <c r="Y104" s="413">
        <f t="shared" si="17"/>
        <v>44166</v>
      </c>
      <c r="Z104" s="865"/>
      <c r="AA104" s="545">
        <v>-137.78923637879987</v>
      </c>
      <c r="AB104" s="679"/>
      <c r="AC104" s="857">
        <f>SUM(Z93:Z104,$AA$99:AA104)</f>
        <v>820.77326400194966</v>
      </c>
      <c r="AD104" s="860">
        <f t="shared" si="25"/>
        <v>-0.80969296175401784</v>
      </c>
      <c r="AE104" s="860">
        <f t="shared" si="22"/>
        <v>7.9905017144642529E-2</v>
      </c>
      <c r="AG104" s="413">
        <f t="shared" si="18"/>
        <v>44166</v>
      </c>
      <c r="AI104" s="863">
        <v>-282.03987678797648</v>
      </c>
      <c r="AJ104" s="679"/>
      <c r="AK104" s="857">
        <f>SUM(AH93:AH104,$AI$99:AI104)</f>
        <v>-1071.3893782355904</v>
      </c>
      <c r="AL104" s="860">
        <f t="shared" si="23"/>
        <v>-1.4676664275414932</v>
      </c>
      <c r="AM104" s="860">
        <f t="shared" si="24"/>
        <v>-0.10430333246856272</v>
      </c>
    </row>
    <row r="105" spans="18:39" ht="12.75" customHeight="1"/>
    <row r="106" spans="18:39" ht="12.75" customHeight="1"/>
    <row r="107" spans="18:39" ht="12.75" customHeight="1"/>
    <row r="108" spans="18:39" ht="12.75" customHeight="1"/>
    <row r="127" spans="18:18" ht="12.75" hidden="1" customHeight="1">
      <c r="R127" s="580"/>
    </row>
    <row r="152" ht="12.75" customHeight="1"/>
    <row r="153" ht="12.75" customHeight="1"/>
    <row r="154" ht="12.75" customHeight="1"/>
  </sheetData>
  <mergeCells count="5">
    <mergeCell ref="C2:L3"/>
    <mergeCell ref="N2:O3"/>
    <mergeCell ref="C4:L4"/>
    <mergeCell ref="N4:O4"/>
    <mergeCell ref="R5:U5"/>
  </mergeCells>
  <printOptions horizontalCentered="1" verticalCentered="1"/>
  <pageMargins left="0" right="0" top="0" bottom="0" header="0" footer="0"/>
  <pageSetup scale="56" orientation="portrait" r:id="rId1"/>
  <rowBreaks count="1" manualBreakCount="1">
    <brk id="10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8CFD2-4E4C-4CA6-A629-6804E1F65799}">
  <sheetPr>
    <tabColor rgb="FFFF0000"/>
    <outlinePr summaryBelow="0"/>
    <pageSetUpPr fitToPage="1"/>
  </sheetPr>
  <dimension ref="A1:BB106"/>
  <sheetViews>
    <sheetView showGridLines="0" workbookViewId="0">
      <selection activeCell="O6" sqref="O6"/>
    </sheetView>
  </sheetViews>
  <sheetFormatPr baseColWidth="10" defaultColWidth="0" defaultRowHeight="15" customHeight="1" zeroHeight="1" outlineLevelRow="1"/>
  <cols>
    <col min="1" max="1" width="3.26953125" customWidth="1"/>
    <col min="2" max="2" width="20.453125" bestFit="1" customWidth="1"/>
    <col min="3" max="15" width="10" style="693" customWidth="1"/>
    <col min="16" max="16" width="9.1796875" style="693" customWidth="1"/>
    <col min="17" max="17" width="3.453125" customWidth="1"/>
    <col min="18" max="18" width="9.1796875" hidden="1" customWidth="1"/>
    <col min="19" max="19" width="16.453125" hidden="1" customWidth="1"/>
    <col min="20" max="16384" width="9.1796875" hidden="1"/>
  </cols>
  <sheetData>
    <row r="1" spans="2:31" s="184" customFormat="1" ht="12.75" customHeight="1">
      <c r="C1" s="413"/>
      <c r="D1" s="413"/>
      <c r="E1" s="413"/>
      <c r="F1" s="413"/>
      <c r="G1" s="413"/>
      <c r="H1" s="413"/>
      <c r="I1" s="413"/>
      <c r="J1" s="413"/>
      <c r="K1" s="413"/>
      <c r="L1" s="413"/>
      <c r="M1" s="413"/>
      <c r="N1" s="413"/>
      <c r="O1" s="413"/>
      <c r="P1" s="413"/>
    </row>
    <row r="2" spans="2:31" s="184" customFormat="1" ht="15" customHeight="1">
      <c r="B2"/>
      <c r="C2" s="1624" t="s">
        <v>870</v>
      </c>
      <c r="D2" s="1624"/>
      <c r="E2" s="1624"/>
      <c r="F2" s="1624"/>
      <c r="G2" s="1624"/>
      <c r="H2" s="1624"/>
      <c r="I2" s="1624"/>
      <c r="J2" s="1624"/>
      <c r="K2" s="1624"/>
      <c r="L2" s="1624"/>
      <c r="M2" s="1624"/>
      <c r="N2" s="1625"/>
      <c r="O2" s="1626" t="s">
        <v>1006</v>
      </c>
      <c r="P2" s="1626"/>
    </row>
    <row r="3" spans="2:31" s="184" customFormat="1" ht="15" customHeight="1">
      <c r="B3"/>
      <c r="C3" s="1624"/>
      <c r="D3" s="1624"/>
      <c r="E3" s="1624"/>
      <c r="F3" s="1624"/>
      <c r="G3" s="1624"/>
      <c r="H3" s="1624"/>
      <c r="I3" s="1624"/>
      <c r="J3" s="1624"/>
      <c r="K3" s="1624"/>
      <c r="L3" s="1624"/>
      <c r="M3" s="1624"/>
      <c r="N3" s="1625"/>
      <c r="O3" s="1626"/>
      <c r="P3" s="1626"/>
    </row>
    <row r="4" spans="2:31" s="184" customFormat="1" thickBot="1">
      <c r="B4"/>
      <c r="C4" s="1627" t="s">
        <v>872</v>
      </c>
      <c r="D4" s="1627"/>
      <c r="E4" s="1627"/>
      <c r="F4" s="1627"/>
      <c r="G4" s="1627"/>
      <c r="H4" s="1627"/>
      <c r="I4" s="1627"/>
      <c r="J4" s="1627"/>
      <c r="K4" s="1627"/>
      <c r="L4" s="1627"/>
      <c r="M4" s="1627"/>
      <c r="N4" s="1627"/>
      <c r="O4" s="1628"/>
      <c r="P4" s="1628"/>
      <c r="S4" s="673">
        <v>43800</v>
      </c>
      <c r="T4" s="674">
        <v>1</v>
      </c>
      <c r="U4" s="674">
        <v>2</v>
      </c>
      <c r="V4" s="674">
        <v>3</v>
      </c>
      <c r="W4" s="674">
        <v>4</v>
      </c>
      <c r="X4" s="674">
        <v>5</v>
      </c>
      <c r="Y4" s="674">
        <v>6</v>
      </c>
      <c r="Z4" s="674">
        <v>7</v>
      </c>
      <c r="AA4" s="674">
        <v>8</v>
      </c>
      <c r="AB4" s="674">
        <v>9</v>
      </c>
      <c r="AC4" s="674">
        <v>10</v>
      </c>
      <c r="AD4" s="674">
        <v>11</v>
      </c>
      <c r="AE4" s="674">
        <v>12</v>
      </c>
    </row>
    <row r="5" spans="2:31" s="184" customFormat="1" ht="13">
      <c r="B5" s="1059" t="s">
        <v>873</v>
      </c>
      <c r="C5" s="1060" t="s">
        <v>874</v>
      </c>
      <c r="D5" s="1061" t="s">
        <v>875</v>
      </c>
      <c r="E5" s="1061" t="s">
        <v>876</v>
      </c>
      <c r="F5" s="1061" t="s">
        <v>877</v>
      </c>
      <c r="G5" s="1061" t="s">
        <v>878</v>
      </c>
      <c r="H5" s="1061" t="s">
        <v>879</v>
      </c>
      <c r="I5" s="1061" t="s">
        <v>880</v>
      </c>
      <c r="J5" s="1061" t="s">
        <v>881</v>
      </c>
      <c r="K5" s="1061" t="s">
        <v>882</v>
      </c>
      <c r="L5" s="1061" t="s">
        <v>883</v>
      </c>
      <c r="M5" s="1061" t="s">
        <v>884</v>
      </c>
      <c r="N5" s="1061" t="s">
        <v>885</v>
      </c>
      <c r="O5" s="1062" t="str">
        <f>"Acum "&amp;LEFT($O$2,3)</f>
        <v>Acum DIC</v>
      </c>
      <c r="P5" s="1063" t="s">
        <v>886</v>
      </c>
      <c r="S5" s="1562" t="s">
        <v>887</v>
      </c>
      <c r="T5" s="1562" t="s">
        <v>888</v>
      </c>
      <c r="U5" s="1562" t="s">
        <v>875</v>
      </c>
      <c r="V5" s="1562" t="s">
        <v>876</v>
      </c>
      <c r="W5" s="1562" t="s">
        <v>877</v>
      </c>
      <c r="X5" s="1562" t="s">
        <v>878</v>
      </c>
      <c r="Y5" s="1562" t="s">
        <v>879</v>
      </c>
      <c r="Z5" s="1562" t="s">
        <v>880</v>
      </c>
      <c r="AA5" s="1562" t="s">
        <v>881</v>
      </c>
      <c r="AB5" s="1562" t="s">
        <v>882</v>
      </c>
      <c r="AC5" s="1562" t="s">
        <v>883</v>
      </c>
      <c r="AD5" s="1562" t="s">
        <v>884</v>
      </c>
      <c r="AE5" s="1562" t="s">
        <v>885</v>
      </c>
    </row>
    <row r="6" spans="2:31" s="184" customFormat="1" ht="13">
      <c r="B6" s="675" t="s">
        <v>889</v>
      </c>
      <c r="C6" s="1563">
        <v>386</v>
      </c>
      <c r="D6" s="687">
        <v>301</v>
      </c>
      <c r="E6" s="687">
        <v>407</v>
      </c>
      <c r="F6" s="687">
        <v>361</v>
      </c>
      <c r="G6" s="687">
        <v>376</v>
      </c>
      <c r="H6" s="687">
        <v>407</v>
      </c>
      <c r="I6" s="687">
        <v>416</v>
      </c>
      <c r="J6" s="687">
        <v>441</v>
      </c>
      <c r="K6" s="687">
        <v>390</v>
      </c>
      <c r="L6" s="687">
        <v>475</v>
      </c>
      <c r="M6" s="687">
        <v>434</v>
      </c>
      <c r="N6" s="687">
        <v>425</v>
      </c>
      <c r="O6" s="677">
        <f>SUM(T6:AE6)</f>
        <v>4819</v>
      </c>
      <c r="P6" s="678">
        <f>SUM(C6:N6)</f>
        <v>4819</v>
      </c>
      <c r="S6" s="413" t="str">
        <f>+B6</f>
        <v>Dias de Operacion</v>
      </c>
      <c r="T6" s="679">
        <f t="shared" ref="T6:AE8" si="0">IF(MONTH($S$4)&gt;=T$4,C6,0)</f>
        <v>386</v>
      </c>
      <c r="U6" s="679">
        <f t="shared" si="0"/>
        <v>301</v>
      </c>
      <c r="V6" s="679">
        <f t="shared" si="0"/>
        <v>407</v>
      </c>
      <c r="W6" s="679">
        <f t="shared" si="0"/>
        <v>361</v>
      </c>
      <c r="X6" s="679">
        <f t="shared" si="0"/>
        <v>376</v>
      </c>
      <c r="Y6" s="679">
        <f t="shared" si="0"/>
        <v>407</v>
      </c>
      <c r="Z6" s="679">
        <f t="shared" si="0"/>
        <v>416</v>
      </c>
      <c r="AA6" s="679">
        <f t="shared" si="0"/>
        <v>441</v>
      </c>
      <c r="AB6" s="679">
        <f t="shared" si="0"/>
        <v>390</v>
      </c>
      <c r="AC6" s="679">
        <f t="shared" si="0"/>
        <v>475</v>
      </c>
      <c r="AD6" s="679">
        <f t="shared" si="0"/>
        <v>434</v>
      </c>
      <c r="AE6" s="679">
        <f t="shared" si="0"/>
        <v>425</v>
      </c>
    </row>
    <row r="7" spans="2:31" s="184" customFormat="1" ht="13">
      <c r="B7" s="675" t="s">
        <v>890</v>
      </c>
      <c r="C7" s="680">
        <v>19</v>
      </c>
      <c r="D7" s="681">
        <v>17</v>
      </c>
      <c r="E7" s="681">
        <v>18</v>
      </c>
      <c r="F7" s="681">
        <v>16</v>
      </c>
      <c r="G7" s="681">
        <v>17</v>
      </c>
      <c r="H7" s="681">
        <v>19</v>
      </c>
      <c r="I7" s="681">
        <v>21</v>
      </c>
      <c r="J7" s="681">
        <v>19</v>
      </c>
      <c r="K7" s="681">
        <v>19</v>
      </c>
      <c r="L7" s="681">
        <v>21</v>
      </c>
      <c r="M7" s="681">
        <v>21</v>
      </c>
      <c r="N7" s="681">
        <v>19</v>
      </c>
      <c r="O7" s="683">
        <f>SUM(T7:AE7)</f>
        <v>226</v>
      </c>
      <c r="P7" s="684">
        <f>SUM(C7:N7)</f>
        <v>226</v>
      </c>
      <c r="S7" s="413" t="str">
        <f>+B7</f>
        <v>Cabinas en Operación</v>
      </c>
      <c r="T7" s="685">
        <f t="shared" si="0"/>
        <v>19</v>
      </c>
      <c r="U7" s="685">
        <f t="shared" si="0"/>
        <v>17</v>
      </c>
      <c r="V7" s="685">
        <f t="shared" si="0"/>
        <v>18</v>
      </c>
      <c r="W7" s="685">
        <f t="shared" si="0"/>
        <v>16</v>
      </c>
      <c r="X7" s="685">
        <f t="shared" si="0"/>
        <v>17</v>
      </c>
      <c r="Y7" s="685">
        <f t="shared" si="0"/>
        <v>19</v>
      </c>
      <c r="Z7" s="685">
        <f t="shared" si="0"/>
        <v>21</v>
      </c>
      <c r="AA7" s="685">
        <f t="shared" si="0"/>
        <v>19</v>
      </c>
      <c r="AB7" s="685">
        <f t="shared" si="0"/>
        <v>19</v>
      </c>
      <c r="AC7" s="685">
        <f t="shared" si="0"/>
        <v>21</v>
      </c>
      <c r="AD7" s="685">
        <f t="shared" si="0"/>
        <v>21</v>
      </c>
      <c r="AE7" s="685">
        <f t="shared" si="0"/>
        <v>19</v>
      </c>
    </row>
    <row r="8" spans="2:31" s="184" customFormat="1" ht="13">
      <c r="B8" s="675" t="s">
        <v>891</v>
      </c>
      <c r="C8" s="686">
        <f t="shared" ref="C8:O8" si="1">C17/C6*1000</f>
        <v>4072.0419566062169</v>
      </c>
      <c r="D8" s="687">
        <f t="shared" si="1"/>
        <v>4219.7082849501658</v>
      </c>
      <c r="E8" s="687">
        <f t="shared" si="1"/>
        <v>4462.3222138574938</v>
      </c>
      <c r="F8" s="687">
        <f t="shared" si="1"/>
        <v>4213.8924734626044</v>
      </c>
      <c r="G8" s="687">
        <f>G17/G6*1000</f>
        <v>4715.7857410372344</v>
      </c>
      <c r="H8" s="687">
        <f>H17/H6*1000</f>
        <v>3759.4959868796072</v>
      </c>
      <c r="I8" s="687">
        <f>I17/I6*1000</f>
        <v>4195.6679544711533</v>
      </c>
      <c r="J8" s="687">
        <f t="shared" si="1"/>
        <v>4332.4491348072552</v>
      </c>
      <c r="K8" s="687">
        <f t="shared" si="1"/>
        <v>4700.187617384614</v>
      </c>
      <c r="L8" s="687">
        <f t="shared" si="1"/>
        <v>4907.8981914315791</v>
      </c>
      <c r="M8" s="687">
        <f t="shared" si="1"/>
        <v>4710.7174890783408</v>
      </c>
      <c r="N8" s="687">
        <f t="shared" si="1"/>
        <v>4428.2254151999987</v>
      </c>
      <c r="O8" s="677">
        <f t="shared" si="1"/>
        <v>4405.3436312948743</v>
      </c>
      <c r="P8" s="678">
        <f>AVERAGE(C8:N8)</f>
        <v>4393.1993715971885</v>
      </c>
      <c r="S8" s="413" t="str">
        <f>+B8</f>
        <v>Tarifa ML (COP$ miles)</v>
      </c>
      <c r="T8" s="679">
        <f t="shared" si="0"/>
        <v>4072.0419566062169</v>
      </c>
      <c r="U8" s="679">
        <f t="shared" si="0"/>
        <v>4219.7082849501658</v>
      </c>
      <c r="V8" s="679">
        <f t="shared" si="0"/>
        <v>4462.3222138574938</v>
      </c>
      <c r="W8" s="679">
        <f t="shared" si="0"/>
        <v>4213.8924734626044</v>
      </c>
      <c r="X8" s="679">
        <f t="shared" si="0"/>
        <v>4715.7857410372344</v>
      </c>
      <c r="Y8" s="679">
        <f t="shared" si="0"/>
        <v>3759.4959868796072</v>
      </c>
      <c r="Z8" s="679">
        <f t="shared" si="0"/>
        <v>4195.6679544711533</v>
      </c>
      <c r="AA8" s="679">
        <f t="shared" si="0"/>
        <v>4332.4491348072552</v>
      </c>
      <c r="AB8" s="679">
        <f t="shared" si="0"/>
        <v>4700.187617384614</v>
      </c>
      <c r="AC8" s="679">
        <f t="shared" si="0"/>
        <v>4907.8981914315791</v>
      </c>
      <c r="AD8" s="679">
        <f t="shared" si="0"/>
        <v>4710.7174890783408</v>
      </c>
      <c r="AE8" s="679">
        <f t="shared" si="0"/>
        <v>4428.2254151999987</v>
      </c>
    </row>
    <row r="9" spans="2:31" s="184" customFormat="1" ht="13" outlineLevel="1">
      <c r="B9" s="675" t="s">
        <v>892</v>
      </c>
      <c r="C9" s="686">
        <f t="shared" ref="C9:P9" si="2">C8/3200*1000</f>
        <v>1272.5131114394428</v>
      </c>
      <c r="D9" s="687">
        <f t="shared" si="2"/>
        <v>1318.6588390469267</v>
      </c>
      <c r="E9" s="687">
        <f t="shared" si="2"/>
        <v>1394.4756918304668</v>
      </c>
      <c r="F9" s="687">
        <f t="shared" si="2"/>
        <v>1316.8413979570639</v>
      </c>
      <c r="G9" s="687">
        <f t="shared" si="2"/>
        <v>1473.6830440741358</v>
      </c>
      <c r="H9" s="687">
        <f t="shared" si="2"/>
        <v>1174.8424958998773</v>
      </c>
      <c r="I9" s="687">
        <f t="shared" si="2"/>
        <v>1311.1462357722355</v>
      </c>
      <c r="J9" s="687">
        <f t="shared" si="2"/>
        <v>1353.8903546272672</v>
      </c>
      <c r="K9" s="687">
        <f t="shared" si="2"/>
        <v>1468.8086304326919</v>
      </c>
      <c r="L9" s="687">
        <f t="shared" si="2"/>
        <v>1533.7181848223684</v>
      </c>
      <c r="M9" s="687">
        <f t="shared" si="2"/>
        <v>1472.0992153369814</v>
      </c>
      <c r="N9" s="687">
        <f t="shared" si="2"/>
        <v>1383.8204422499996</v>
      </c>
      <c r="O9" s="677">
        <f t="shared" si="2"/>
        <v>1376.6698847796481</v>
      </c>
      <c r="P9" s="678">
        <f t="shared" si="2"/>
        <v>1372.8748036241213</v>
      </c>
      <c r="S9" s="413"/>
      <c r="T9" s="679"/>
      <c r="U9" s="679"/>
      <c r="V9" s="679"/>
      <c r="W9" s="679"/>
      <c r="X9" s="679"/>
      <c r="Y9" s="679"/>
      <c r="Z9" s="679"/>
      <c r="AA9" s="679"/>
      <c r="AB9" s="679"/>
      <c r="AC9" s="679"/>
      <c r="AD9" s="679"/>
      <c r="AE9" s="679"/>
    </row>
    <row r="10" spans="2:31" s="184" customFormat="1" ht="13">
      <c r="B10" s="675" t="s">
        <v>893</v>
      </c>
      <c r="C10" s="686">
        <v>137</v>
      </c>
      <c r="D10" s="687">
        <v>137</v>
      </c>
      <c r="E10" s="687">
        <v>138</v>
      </c>
      <c r="F10" s="687">
        <v>134</v>
      </c>
      <c r="G10" s="687">
        <f t="shared" ref="G10:N10" si="3">+G11+G12</f>
        <v>140</v>
      </c>
      <c r="H10" s="687">
        <f t="shared" si="3"/>
        <v>143</v>
      </c>
      <c r="I10" s="687">
        <f>+I11+I12</f>
        <v>146</v>
      </c>
      <c r="J10" s="687">
        <f>+J11+J12</f>
        <v>146</v>
      </c>
      <c r="K10" s="687">
        <f t="shared" si="3"/>
        <v>150</v>
      </c>
      <c r="L10" s="687">
        <f>+L11+L12</f>
        <v>165</v>
      </c>
      <c r="M10" s="687">
        <f>+M11+M12</f>
        <v>161</v>
      </c>
      <c r="N10" s="687">
        <f t="shared" si="3"/>
        <v>155</v>
      </c>
      <c r="O10" s="677">
        <f>G10</f>
        <v>140</v>
      </c>
      <c r="P10" s="678">
        <f>N10</f>
        <v>155</v>
      </c>
      <c r="S10" s="413" t="str">
        <f>+B10</f>
        <v>Personal Total</v>
      </c>
      <c r="T10" s="679">
        <f t="shared" ref="T10:AE10" si="4">IF(MONTH($S$4)&gt;=T$4,C10,0)</f>
        <v>137</v>
      </c>
      <c r="U10" s="679">
        <f t="shared" si="4"/>
        <v>137</v>
      </c>
      <c r="V10" s="679">
        <f t="shared" si="4"/>
        <v>138</v>
      </c>
      <c r="W10" s="679">
        <f t="shared" si="4"/>
        <v>134</v>
      </c>
      <c r="X10" s="679">
        <f t="shared" si="4"/>
        <v>140</v>
      </c>
      <c r="Y10" s="679">
        <f t="shared" si="4"/>
        <v>143</v>
      </c>
      <c r="Z10" s="679">
        <f t="shared" si="4"/>
        <v>146</v>
      </c>
      <c r="AA10" s="679">
        <f t="shared" si="4"/>
        <v>146</v>
      </c>
      <c r="AB10" s="679">
        <f t="shared" si="4"/>
        <v>150</v>
      </c>
      <c r="AC10" s="679">
        <f t="shared" si="4"/>
        <v>165</v>
      </c>
      <c r="AD10" s="679">
        <f t="shared" si="4"/>
        <v>161</v>
      </c>
      <c r="AE10" s="679">
        <f t="shared" si="4"/>
        <v>155</v>
      </c>
    </row>
    <row r="11" spans="2:31" s="184" customFormat="1" ht="13">
      <c r="B11" s="675" t="s">
        <v>894</v>
      </c>
      <c r="C11" s="686">
        <f>+C10-C12</f>
        <v>120</v>
      </c>
      <c r="D11" s="687">
        <f>+D10-D12</f>
        <v>118</v>
      </c>
      <c r="E11" s="687">
        <f>+E10-E12</f>
        <v>119</v>
      </c>
      <c r="F11" s="687">
        <f>+F10-F12</f>
        <v>115</v>
      </c>
      <c r="G11" s="687">
        <f>91+28</f>
        <v>119</v>
      </c>
      <c r="H11" s="687">
        <f>91+27</f>
        <v>118</v>
      </c>
      <c r="I11" s="687">
        <f>88+27</f>
        <v>115</v>
      </c>
      <c r="J11" s="687">
        <f>29+86</f>
        <v>115</v>
      </c>
      <c r="K11" s="687">
        <f>86+29</f>
        <v>115</v>
      </c>
      <c r="L11" s="687">
        <f>91+29</f>
        <v>120</v>
      </c>
      <c r="M11" s="687">
        <f>88+30</f>
        <v>118</v>
      </c>
      <c r="N11" s="687">
        <f>89+27</f>
        <v>116</v>
      </c>
      <c r="O11" s="677">
        <f>G11</f>
        <v>119</v>
      </c>
      <c r="P11" s="678">
        <f>N11</f>
        <v>116</v>
      </c>
      <c r="S11" s="413"/>
      <c r="T11" s="679"/>
      <c r="U11" s="679"/>
      <c r="V11" s="679"/>
      <c r="W11" s="679"/>
      <c r="X11" s="679"/>
      <c r="Y11" s="679"/>
      <c r="Z11" s="679"/>
      <c r="AA11" s="679"/>
      <c r="AB11" s="679"/>
      <c r="AC11" s="679"/>
      <c r="AD11" s="679"/>
      <c r="AE11" s="679"/>
    </row>
    <row r="12" spans="2:31" s="184" customFormat="1" ht="13.5" thickBot="1">
      <c r="B12" s="688" t="s">
        <v>895</v>
      </c>
      <c r="C12" s="689">
        <v>17</v>
      </c>
      <c r="D12" s="1064">
        <v>19</v>
      </c>
      <c r="E12" s="1064">
        <v>19</v>
      </c>
      <c r="F12" s="1064">
        <v>19</v>
      </c>
      <c r="G12" s="1064">
        <v>21</v>
      </c>
      <c r="H12" s="1064">
        <v>25</v>
      </c>
      <c r="I12" s="1064">
        <v>31</v>
      </c>
      <c r="J12" s="1064">
        <f>30+1</f>
        <v>31</v>
      </c>
      <c r="K12" s="1064">
        <f>34+1</f>
        <v>35</v>
      </c>
      <c r="L12" s="1064">
        <f>39+6</f>
        <v>45</v>
      </c>
      <c r="M12" s="1064">
        <f>37+6</f>
        <v>43</v>
      </c>
      <c r="N12" s="1064">
        <f>32+7</f>
        <v>39</v>
      </c>
      <c r="O12" s="690">
        <f>G12</f>
        <v>21</v>
      </c>
      <c r="P12" s="691">
        <f>N12</f>
        <v>39</v>
      </c>
      <c r="S12" s="413" t="str">
        <f>+B12</f>
        <v>Personal Temporal</v>
      </c>
      <c r="T12" s="679">
        <f t="shared" ref="T12:AE12" si="5">IF(MONTH($S$4)&gt;=T$4,C12,0)</f>
        <v>17</v>
      </c>
      <c r="U12" s="679">
        <f t="shared" si="5"/>
        <v>19</v>
      </c>
      <c r="V12" s="679">
        <f t="shared" si="5"/>
        <v>19</v>
      </c>
      <c r="W12" s="679">
        <f t="shared" si="5"/>
        <v>19</v>
      </c>
      <c r="X12" s="679">
        <f t="shared" si="5"/>
        <v>21</v>
      </c>
      <c r="Y12" s="679">
        <f t="shared" si="5"/>
        <v>25</v>
      </c>
      <c r="Z12" s="679">
        <f t="shared" si="5"/>
        <v>31</v>
      </c>
      <c r="AA12" s="679">
        <f t="shared" si="5"/>
        <v>31</v>
      </c>
      <c r="AB12" s="679">
        <f t="shared" si="5"/>
        <v>35</v>
      </c>
      <c r="AC12" s="679">
        <f t="shared" si="5"/>
        <v>45</v>
      </c>
      <c r="AD12" s="679">
        <f t="shared" si="5"/>
        <v>43</v>
      </c>
      <c r="AE12" s="679">
        <f t="shared" si="5"/>
        <v>39</v>
      </c>
    </row>
    <row r="13" spans="2:31" s="184" customFormat="1" ht="7.5" customHeight="1" thickBot="1">
      <c r="B13"/>
      <c r="C13" s="692"/>
      <c r="D13" s="693"/>
      <c r="E13" s="693"/>
      <c r="F13" s="693"/>
      <c r="G13" s="693"/>
      <c r="H13" s="693"/>
      <c r="I13" s="693"/>
      <c r="J13" s="693"/>
      <c r="K13" s="693"/>
      <c r="L13" s="693"/>
      <c r="M13" s="693"/>
      <c r="N13" s="693"/>
      <c r="O13" s="694"/>
      <c r="P13" s="694"/>
      <c r="S13" s="413"/>
      <c r="T13" s="674"/>
      <c r="U13" s="674"/>
      <c r="V13" s="674"/>
      <c r="W13" s="674"/>
      <c r="X13" s="674"/>
      <c r="Y13" s="674"/>
      <c r="Z13" s="674"/>
      <c r="AA13" s="674"/>
      <c r="AB13" s="674"/>
      <c r="AC13" s="674"/>
      <c r="AD13" s="674"/>
      <c r="AE13" s="674"/>
    </row>
    <row r="14" spans="2:31" s="184" customFormat="1" ht="13">
      <c r="B14" s="1059" t="s">
        <v>896</v>
      </c>
      <c r="C14" s="1060" t="s">
        <v>874</v>
      </c>
      <c r="D14" s="1061" t="s">
        <v>875</v>
      </c>
      <c r="E14" s="1061" t="s">
        <v>876</v>
      </c>
      <c r="F14" s="1061" t="s">
        <v>877</v>
      </c>
      <c r="G14" s="1061" t="s">
        <v>878</v>
      </c>
      <c r="H14" s="1061" t="s">
        <v>879</v>
      </c>
      <c r="I14" s="1061" t="s">
        <v>880</v>
      </c>
      <c r="J14" s="1061" t="s">
        <v>881</v>
      </c>
      <c r="K14" s="1061" t="s">
        <v>882</v>
      </c>
      <c r="L14" s="1061" t="s">
        <v>883</v>
      </c>
      <c r="M14" s="1061" t="s">
        <v>884</v>
      </c>
      <c r="N14" s="1061" t="s">
        <v>885</v>
      </c>
      <c r="O14" s="1062" t="str">
        <f>"Acum "&amp;LEFT($O$2,3)</f>
        <v>Acum DIC</v>
      </c>
      <c r="P14" s="1063" t="s">
        <v>886</v>
      </c>
      <c r="S14" s="1562" t="s">
        <v>897</v>
      </c>
      <c r="T14" s="1562" t="s">
        <v>888</v>
      </c>
      <c r="U14" s="1562" t="s">
        <v>875</v>
      </c>
      <c r="V14" s="1562" t="s">
        <v>876</v>
      </c>
      <c r="W14" s="1562" t="s">
        <v>877</v>
      </c>
      <c r="X14" s="1562" t="s">
        <v>878</v>
      </c>
      <c r="Y14" s="1562" t="s">
        <v>879</v>
      </c>
      <c r="Z14" s="1562" t="s">
        <v>880</v>
      </c>
      <c r="AA14" s="1562" t="s">
        <v>881</v>
      </c>
      <c r="AB14" s="1562" t="s">
        <v>882</v>
      </c>
      <c r="AC14" s="1562" t="s">
        <v>883</v>
      </c>
      <c r="AD14" s="1562" t="s">
        <v>884</v>
      </c>
      <c r="AE14" s="1562" t="s">
        <v>885</v>
      </c>
    </row>
    <row r="15" spans="2:31" s="184" customFormat="1" ht="13">
      <c r="B15" s="675" t="s">
        <v>1007</v>
      </c>
      <c r="C15" s="698">
        <v>1188.89750568</v>
      </c>
      <c r="D15" s="695">
        <v>1175.1836124399999</v>
      </c>
      <c r="E15" s="695">
        <v>991.31637467999997</v>
      </c>
      <c r="F15" s="695">
        <v>1456.64829936</v>
      </c>
      <c r="G15" s="695">
        <v>989.21453808000001</v>
      </c>
      <c r="H15" s="695">
        <v>1014.02128614</v>
      </c>
      <c r="I15" s="695">
        <v>1096.10334334</v>
      </c>
      <c r="J15" s="695">
        <v>1153.62019304</v>
      </c>
      <c r="K15" s="695">
        <v>870.32745791000002</v>
      </c>
      <c r="L15" s="695">
        <v>1220.6537592100001</v>
      </c>
      <c r="M15" s="695">
        <v>1318.1125973999999</v>
      </c>
      <c r="N15" s="695">
        <v>1028.6835038500001</v>
      </c>
      <c r="O15" s="696">
        <f>SUM(T15:AE15)</f>
        <v>13502.782471129998</v>
      </c>
      <c r="P15" s="697">
        <f>SUM(C15:N15)</f>
        <v>13502.782471129998</v>
      </c>
      <c r="S15" s="413">
        <v>2016</v>
      </c>
      <c r="T15" s="679">
        <f t="shared" ref="T15:AE18" si="6">IF(MONTH($S$4)&gt;=T$4,C15,0)</f>
        <v>1188.89750568</v>
      </c>
      <c r="U15" s="679">
        <f t="shared" si="6"/>
        <v>1175.1836124399999</v>
      </c>
      <c r="V15" s="679">
        <f t="shared" si="6"/>
        <v>991.31637467999997</v>
      </c>
      <c r="W15" s="679">
        <f t="shared" si="6"/>
        <v>1456.64829936</v>
      </c>
      <c r="X15" s="679">
        <f t="shared" si="6"/>
        <v>989.21453808000001</v>
      </c>
      <c r="Y15" s="679">
        <f t="shared" si="6"/>
        <v>1014.02128614</v>
      </c>
      <c r="Z15" s="679">
        <f t="shared" si="6"/>
        <v>1096.10334334</v>
      </c>
      <c r="AA15" s="679">
        <f t="shared" si="6"/>
        <v>1153.62019304</v>
      </c>
      <c r="AB15" s="679">
        <f t="shared" si="6"/>
        <v>870.32745791000002</v>
      </c>
      <c r="AC15" s="679">
        <f t="shared" si="6"/>
        <v>1220.6537592100001</v>
      </c>
      <c r="AD15" s="679">
        <f t="shared" si="6"/>
        <v>1318.1125973999999</v>
      </c>
      <c r="AE15" s="679">
        <f t="shared" si="6"/>
        <v>1028.6835038500001</v>
      </c>
    </row>
    <row r="16" spans="2:31" s="184" customFormat="1" ht="13">
      <c r="B16" s="675" t="s">
        <v>898</v>
      </c>
      <c r="C16" s="698">
        <v>976.94844864000004</v>
      </c>
      <c r="D16" s="695">
        <v>1028.9742510999999</v>
      </c>
      <c r="E16" s="695">
        <v>957.86658106000004</v>
      </c>
      <c r="F16" s="695">
        <v>804.32309080999994</v>
      </c>
      <c r="G16" s="695">
        <v>644.19455079000011</v>
      </c>
      <c r="H16" s="695">
        <v>877.14804475000005</v>
      </c>
      <c r="I16" s="695">
        <v>1117.2389068900002</v>
      </c>
      <c r="J16" s="695">
        <v>1688.7400678199997</v>
      </c>
      <c r="K16" s="695">
        <v>1194.37995181</v>
      </c>
      <c r="L16" s="695">
        <v>1444.8642172100001</v>
      </c>
      <c r="M16" s="695">
        <v>1860.8430799499995</v>
      </c>
      <c r="N16" s="695">
        <v>1555.0126546299998</v>
      </c>
      <c r="O16" s="696">
        <f>SUM(T16:AE16)</f>
        <v>14150.533845460001</v>
      </c>
      <c r="P16" s="697">
        <f>SUM(C16:N16)</f>
        <v>14150.533845460001</v>
      </c>
      <c r="S16" s="413">
        <v>2017</v>
      </c>
      <c r="T16" s="679">
        <f t="shared" si="6"/>
        <v>976.94844864000004</v>
      </c>
      <c r="U16" s="679">
        <f t="shared" si="6"/>
        <v>1028.9742510999999</v>
      </c>
      <c r="V16" s="679">
        <f t="shared" si="6"/>
        <v>957.86658106000004</v>
      </c>
      <c r="W16" s="679">
        <f t="shared" si="6"/>
        <v>804.32309080999994</v>
      </c>
      <c r="X16" s="679">
        <f t="shared" si="6"/>
        <v>644.19455079000011</v>
      </c>
      <c r="Y16" s="679">
        <f t="shared" si="6"/>
        <v>877.14804475000005</v>
      </c>
      <c r="Z16" s="679">
        <f t="shared" si="6"/>
        <v>1117.2389068900002</v>
      </c>
      <c r="AA16" s="679">
        <f t="shared" si="6"/>
        <v>1688.7400678199997</v>
      </c>
      <c r="AB16" s="679">
        <f t="shared" si="6"/>
        <v>1194.37995181</v>
      </c>
      <c r="AC16" s="679">
        <f t="shared" si="6"/>
        <v>1444.8642172100001</v>
      </c>
      <c r="AD16" s="679">
        <f t="shared" si="6"/>
        <v>1860.8430799499995</v>
      </c>
      <c r="AE16" s="679">
        <f t="shared" si="6"/>
        <v>1555.0126546299998</v>
      </c>
    </row>
    <row r="17" spans="2:54" s="184" customFormat="1" ht="13">
      <c r="B17" s="699" t="s">
        <v>1008</v>
      </c>
      <c r="C17" s="700">
        <v>1571.8081952499997</v>
      </c>
      <c r="D17" s="1065">
        <v>1270.1321937699997</v>
      </c>
      <c r="E17" s="1065">
        <v>1816.16514104</v>
      </c>
      <c r="F17" s="1065">
        <v>1521.2151829200004</v>
      </c>
      <c r="G17" s="1065">
        <v>1773.1354386300002</v>
      </c>
      <c r="H17" s="1065">
        <v>1530.1148666600002</v>
      </c>
      <c r="I17" s="1065">
        <v>1745.3978690599997</v>
      </c>
      <c r="J17" s="1065">
        <v>1910.6100684499995</v>
      </c>
      <c r="K17" s="1065">
        <v>1833.0731707799996</v>
      </c>
      <c r="L17" s="1065">
        <v>2331.2516409300001</v>
      </c>
      <c r="M17" s="1065">
        <v>2044.4513902599999</v>
      </c>
      <c r="N17" s="1065">
        <v>1881.9958014599997</v>
      </c>
      <c r="O17" s="703">
        <f>SUM(T17:AE17)</f>
        <v>21229.350959210002</v>
      </c>
      <c r="P17" s="704">
        <f>SUM(C17:N17)</f>
        <v>21229.350959210002</v>
      </c>
      <c r="Q17" s="705"/>
      <c r="S17" s="413" t="s">
        <v>1009</v>
      </c>
      <c r="T17" s="679">
        <f t="shared" si="6"/>
        <v>1571.8081952499997</v>
      </c>
      <c r="U17" s="679">
        <f t="shared" si="6"/>
        <v>1270.1321937699997</v>
      </c>
      <c r="V17" s="679">
        <f t="shared" si="6"/>
        <v>1816.16514104</v>
      </c>
      <c r="W17" s="679">
        <f t="shared" si="6"/>
        <v>1521.2151829200004</v>
      </c>
      <c r="X17" s="679">
        <f t="shared" si="6"/>
        <v>1773.1354386300002</v>
      </c>
      <c r="Y17" s="679">
        <f t="shared" si="6"/>
        <v>1530.1148666600002</v>
      </c>
      <c r="Z17" s="679">
        <f t="shared" si="6"/>
        <v>1745.3978690599997</v>
      </c>
      <c r="AA17" s="679">
        <f t="shared" si="6"/>
        <v>1910.6100684499995</v>
      </c>
      <c r="AB17" s="679">
        <f t="shared" si="6"/>
        <v>1833.0731707799996</v>
      </c>
      <c r="AC17" s="679">
        <f t="shared" si="6"/>
        <v>2331.2516409300001</v>
      </c>
      <c r="AD17" s="679">
        <f t="shared" si="6"/>
        <v>2044.4513902599999</v>
      </c>
      <c r="AE17" s="679">
        <f t="shared" si="6"/>
        <v>1881.9958014599997</v>
      </c>
    </row>
    <row r="18" spans="2:54" s="184" customFormat="1" ht="13">
      <c r="B18" s="706" t="s">
        <v>902</v>
      </c>
      <c r="C18" s="707">
        <v>1464.597</v>
      </c>
      <c r="D18" s="708">
        <v>1206.297</v>
      </c>
      <c r="E18" s="708">
        <v>1106.943</v>
      </c>
      <c r="F18" s="708">
        <v>968.25900000000001</v>
      </c>
      <c r="G18" s="708">
        <v>1150.2154</v>
      </c>
      <c r="H18" s="708">
        <v>1164.6253999999999</v>
      </c>
      <c r="I18" s="708">
        <v>1273.201</v>
      </c>
      <c r="J18" s="708">
        <v>1293.3520000000001</v>
      </c>
      <c r="K18" s="708">
        <v>1312.752</v>
      </c>
      <c r="L18" s="708">
        <v>1550.8040000000001</v>
      </c>
      <c r="M18" s="708">
        <v>1692.192</v>
      </c>
      <c r="N18" s="708">
        <v>1549.059</v>
      </c>
      <c r="O18" s="710">
        <f>SUM(T18:AE18)</f>
        <v>15732.296800000002</v>
      </c>
      <c r="P18" s="711">
        <f>SUM(C18:N18)</f>
        <v>15732.296800000002</v>
      </c>
      <c r="Q18" s="705"/>
      <c r="S18" s="413" t="s">
        <v>1010</v>
      </c>
      <c r="T18" s="679">
        <f t="shared" si="6"/>
        <v>1464.597</v>
      </c>
      <c r="U18" s="679">
        <f t="shared" si="6"/>
        <v>1206.297</v>
      </c>
      <c r="V18" s="679">
        <f t="shared" si="6"/>
        <v>1106.943</v>
      </c>
      <c r="W18" s="679">
        <f t="shared" si="6"/>
        <v>968.25900000000001</v>
      </c>
      <c r="X18" s="679">
        <f t="shared" si="6"/>
        <v>1150.2154</v>
      </c>
      <c r="Y18" s="679">
        <f t="shared" si="6"/>
        <v>1164.6253999999999</v>
      </c>
      <c r="Z18" s="679">
        <f t="shared" si="6"/>
        <v>1273.201</v>
      </c>
      <c r="AA18" s="679">
        <f t="shared" si="6"/>
        <v>1293.3520000000001</v>
      </c>
      <c r="AB18" s="679">
        <f t="shared" si="6"/>
        <v>1312.752</v>
      </c>
      <c r="AC18" s="679">
        <f t="shared" si="6"/>
        <v>1550.8040000000001</v>
      </c>
      <c r="AD18" s="679">
        <f t="shared" si="6"/>
        <v>1692.192</v>
      </c>
      <c r="AE18" s="679">
        <f t="shared" si="6"/>
        <v>1549.059</v>
      </c>
    </row>
    <row r="19" spans="2:54" s="184" customFormat="1" ht="13">
      <c r="B19" s="712" t="s">
        <v>904</v>
      </c>
      <c r="C19" s="713">
        <f t="shared" ref="C19:P19" si="7">C17/C18</f>
        <v>1.0732018399942098</v>
      </c>
      <c r="D19" s="714">
        <f t="shared" si="7"/>
        <v>1.0529183059976106</v>
      </c>
      <c r="E19" s="714">
        <f t="shared" si="7"/>
        <v>1.6407033975913845</v>
      </c>
      <c r="F19" s="714">
        <f t="shared" si="7"/>
        <v>1.5710829260765977</v>
      </c>
      <c r="G19" s="714">
        <f t="shared" si="7"/>
        <v>1.5415681607375453</v>
      </c>
      <c r="H19" s="714">
        <f t="shared" si="7"/>
        <v>1.3138257732142888</v>
      </c>
      <c r="I19" s="714">
        <f t="shared" si="7"/>
        <v>1.3708737811704512</v>
      </c>
      <c r="J19" s="714">
        <f t="shared" si="7"/>
        <v>1.4772545049220935</v>
      </c>
      <c r="K19" s="714">
        <f t="shared" si="7"/>
        <v>1.3963590767943981</v>
      </c>
      <c r="L19" s="714">
        <f t="shared" si="7"/>
        <v>1.5032535645574812</v>
      </c>
      <c r="M19" s="714">
        <f t="shared" si="7"/>
        <v>1.2081675071504887</v>
      </c>
      <c r="N19" s="714">
        <f t="shared" si="7"/>
        <v>1.2149284187755274</v>
      </c>
      <c r="O19" s="716">
        <f t="shared" si="7"/>
        <v>1.3494120552829896</v>
      </c>
      <c r="P19" s="717">
        <f t="shared" si="7"/>
        <v>1.3494120552829896</v>
      </c>
    </row>
    <row r="20" spans="2:54" s="184" customFormat="1" ht="13">
      <c r="B20" s="718" t="s">
        <v>1011</v>
      </c>
      <c r="C20" s="719">
        <f t="shared" ref="C20:P21" si="8">C16/C15-1</f>
        <v>-0.17827361570480704</v>
      </c>
      <c r="D20" s="720">
        <f t="shared" si="8"/>
        <v>-0.12441405733732935</v>
      </c>
      <c r="E20" s="720">
        <f t="shared" si="8"/>
        <v>-3.3742803482689987E-2</v>
      </c>
      <c r="F20" s="720">
        <f t="shared" si="8"/>
        <v>-0.44782615600252218</v>
      </c>
      <c r="G20" s="720">
        <f t="shared" si="8"/>
        <v>-0.348781759677391</v>
      </c>
      <c r="H20" s="720">
        <f t="shared" si="8"/>
        <v>-0.1349806392240791</v>
      </c>
      <c r="I20" s="720">
        <f t="shared" si="8"/>
        <v>1.9282455142958232E-2</v>
      </c>
      <c r="J20" s="720">
        <f t="shared" si="8"/>
        <v>0.463861397371921</v>
      </c>
      <c r="K20" s="720">
        <f t="shared" si="8"/>
        <v>0.3723339887244026</v>
      </c>
      <c r="L20" s="720">
        <f t="shared" si="8"/>
        <v>0.18368063532209788</v>
      </c>
      <c r="M20" s="720">
        <f t="shared" si="8"/>
        <v>0.41174819482079528</v>
      </c>
      <c r="N20" s="720">
        <f t="shared" si="8"/>
        <v>0.51165314580250887</v>
      </c>
      <c r="O20" s="721">
        <f t="shared" si="8"/>
        <v>4.7971695886751098E-2</v>
      </c>
      <c r="P20" s="722">
        <f t="shared" si="8"/>
        <v>4.7971695886751098E-2</v>
      </c>
    </row>
    <row r="21" spans="2:54" s="184" customFormat="1" ht="13.5" thickBot="1">
      <c r="B21" s="723" t="s">
        <v>905</v>
      </c>
      <c r="C21" s="724">
        <f t="shared" si="8"/>
        <v>0.60889573798709429</v>
      </c>
      <c r="D21" s="1066">
        <f t="shared" si="8"/>
        <v>0.23436732494734036</v>
      </c>
      <c r="E21" s="1066">
        <f t="shared" si="8"/>
        <v>0.89605230723279283</v>
      </c>
      <c r="F21" s="1066">
        <f t="shared" si="8"/>
        <v>0.89129865883627524</v>
      </c>
      <c r="G21" s="1066">
        <f t="shared" si="8"/>
        <v>1.7524843798438487</v>
      </c>
      <c r="H21" s="1066">
        <f t="shared" si="8"/>
        <v>0.74442031287444199</v>
      </c>
      <c r="I21" s="1066">
        <f t="shared" si="8"/>
        <v>0.56224229061139042</v>
      </c>
      <c r="J21" s="1066">
        <f t="shared" si="8"/>
        <v>0.13138197219209258</v>
      </c>
      <c r="K21" s="1066">
        <f t="shared" si="8"/>
        <v>0.53474877739039783</v>
      </c>
      <c r="L21" s="1066">
        <f t="shared" si="8"/>
        <v>0.61347454879296137</v>
      </c>
      <c r="M21" s="1066">
        <f t="shared" si="8"/>
        <v>9.8669421558605475E-2</v>
      </c>
      <c r="N21" s="1066">
        <f t="shared" si="8"/>
        <v>0.21027683977774592</v>
      </c>
      <c r="O21" s="727">
        <f t="shared" si="8"/>
        <v>0.50025088742649371</v>
      </c>
      <c r="P21" s="728">
        <f t="shared" si="8"/>
        <v>0.50025088742649371</v>
      </c>
    </row>
    <row r="22" spans="2:54" s="184" customFormat="1" ht="7.5" customHeight="1" thickBot="1">
      <c r="B22"/>
      <c r="C22" s="692"/>
      <c r="D22" s="693"/>
      <c r="E22" s="693"/>
      <c r="F22" s="693"/>
      <c r="G22" s="693"/>
      <c r="H22" s="693"/>
      <c r="I22" s="693"/>
      <c r="J22" s="693"/>
      <c r="K22" s="693"/>
      <c r="L22" s="693"/>
      <c r="M22" s="693"/>
      <c r="N22" s="693"/>
      <c r="O22" s="694"/>
      <c r="P22" s="694"/>
      <c r="S22" s="413"/>
      <c r="T22" s="674"/>
      <c r="U22" s="674"/>
      <c r="V22" s="674"/>
      <c r="W22" s="674"/>
      <c r="X22" s="674"/>
      <c r="Y22" s="674"/>
      <c r="Z22" s="674"/>
      <c r="AA22" s="674"/>
      <c r="AB22" s="674"/>
      <c r="AC22" s="674"/>
      <c r="AD22" s="674"/>
      <c r="AE22" s="674"/>
    </row>
    <row r="23" spans="2:54" s="184" customFormat="1" ht="13">
      <c r="B23" s="1059" t="s">
        <v>907</v>
      </c>
      <c r="C23" s="1060" t="s">
        <v>874</v>
      </c>
      <c r="D23" s="1061" t="s">
        <v>875</v>
      </c>
      <c r="E23" s="1061" t="s">
        <v>876</v>
      </c>
      <c r="F23" s="1061" t="s">
        <v>877</v>
      </c>
      <c r="G23" s="1061" t="s">
        <v>878</v>
      </c>
      <c r="H23" s="1061" t="s">
        <v>879</v>
      </c>
      <c r="I23" s="1061" t="s">
        <v>880</v>
      </c>
      <c r="J23" s="1061" t="s">
        <v>881</v>
      </c>
      <c r="K23" s="1061" t="s">
        <v>882</v>
      </c>
      <c r="L23" s="1061" t="s">
        <v>883</v>
      </c>
      <c r="M23" s="1061" t="s">
        <v>884</v>
      </c>
      <c r="N23" s="1061" t="s">
        <v>885</v>
      </c>
      <c r="O23" s="1062" t="str">
        <f>"Acum "&amp;LEFT($O$2,3)</f>
        <v>Acum DIC</v>
      </c>
      <c r="P23" s="1063" t="s">
        <v>886</v>
      </c>
      <c r="S23" s="1562" t="s">
        <v>908</v>
      </c>
      <c r="T23" s="1562" t="s">
        <v>888</v>
      </c>
      <c r="U23" s="1562" t="s">
        <v>875</v>
      </c>
      <c r="V23" s="1562" t="s">
        <v>876</v>
      </c>
      <c r="W23" s="1562" t="s">
        <v>877</v>
      </c>
      <c r="X23" s="1562" t="s">
        <v>878</v>
      </c>
      <c r="Y23" s="1562" t="s">
        <v>879</v>
      </c>
      <c r="Z23" s="1562" t="s">
        <v>880</v>
      </c>
      <c r="AA23" s="1562" t="s">
        <v>881</v>
      </c>
      <c r="AB23" s="1562" t="s">
        <v>882</v>
      </c>
      <c r="AC23" s="1562" t="s">
        <v>883</v>
      </c>
      <c r="AD23" s="1562" t="s">
        <v>884</v>
      </c>
      <c r="AE23" s="1562" t="s">
        <v>885</v>
      </c>
    </row>
    <row r="24" spans="2:54" s="184" customFormat="1" ht="13">
      <c r="B24" s="675" t="s">
        <v>1007</v>
      </c>
      <c r="C24" s="698">
        <v>731.18417226999998</v>
      </c>
      <c r="D24" s="695">
        <v>722.72536294999998</v>
      </c>
      <c r="E24" s="695">
        <v>664.81825114000003</v>
      </c>
      <c r="F24" s="695">
        <v>775.80947659000003</v>
      </c>
      <c r="G24" s="695">
        <v>675.17240512000001</v>
      </c>
      <c r="H24" s="695">
        <v>635.08392104999996</v>
      </c>
      <c r="I24" s="695">
        <v>732.83041006999997</v>
      </c>
      <c r="J24" s="695">
        <v>742.59520885999996</v>
      </c>
      <c r="K24" s="695">
        <v>553.23498257000006</v>
      </c>
      <c r="L24" s="695">
        <v>647.93485312999996</v>
      </c>
      <c r="M24" s="695">
        <v>736.01888019</v>
      </c>
      <c r="N24" s="695">
        <v>706.98460835000003</v>
      </c>
      <c r="O24" s="696">
        <f>SUM(T24:AE24)</f>
        <v>8324.3925322900013</v>
      </c>
      <c r="P24" s="697">
        <f>SUM(C24:N24)</f>
        <v>8324.3925322900013</v>
      </c>
      <c r="S24" s="413">
        <f>$S$15</f>
        <v>2016</v>
      </c>
      <c r="T24" s="679">
        <f t="shared" ref="T24:AE27" si="9">IF(MONTH($S$4)&gt;=T$4,C24,0)</f>
        <v>731.18417226999998</v>
      </c>
      <c r="U24" s="679">
        <f t="shared" si="9"/>
        <v>722.72536294999998</v>
      </c>
      <c r="V24" s="679">
        <f t="shared" si="9"/>
        <v>664.81825114000003</v>
      </c>
      <c r="W24" s="679">
        <f t="shared" si="9"/>
        <v>775.80947659000003</v>
      </c>
      <c r="X24" s="679">
        <f t="shared" si="9"/>
        <v>675.17240512000001</v>
      </c>
      <c r="Y24" s="679">
        <f t="shared" si="9"/>
        <v>635.08392104999996</v>
      </c>
      <c r="Z24" s="679">
        <f t="shared" si="9"/>
        <v>732.83041006999997</v>
      </c>
      <c r="AA24" s="679">
        <f t="shared" si="9"/>
        <v>742.59520885999996</v>
      </c>
      <c r="AB24" s="679">
        <f t="shared" si="9"/>
        <v>553.23498257000006</v>
      </c>
      <c r="AC24" s="679">
        <f t="shared" si="9"/>
        <v>647.93485312999996</v>
      </c>
      <c r="AD24" s="679">
        <f t="shared" si="9"/>
        <v>736.01888019</v>
      </c>
      <c r="AE24" s="679">
        <f t="shared" si="9"/>
        <v>706.98460835000003</v>
      </c>
      <c r="AN24" s="679"/>
      <c r="AO24" s="679"/>
      <c r="AP24" s="679"/>
      <c r="AQ24" s="679"/>
      <c r="AR24" s="679"/>
      <c r="AS24" s="679"/>
      <c r="AT24" s="679"/>
      <c r="AU24" s="679"/>
      <c r="AV24" s="679"/>
      <c r="AW24" s="679"/>
      <c r="AX24" s="679"/>
      <c r="AY24" s="679"/>
      <c r="AZ24" s="679"/>
      <c r="BA24" s="679"/>
      <c r="BB24" s="679"/>
    </row>
    <row r="25" spans="2:54" s="184" customFormat="1" ht="13">
      <c r="B25" s="675" t="s">
        <v>898</v>
      </c>
      <c r="C25" s="698">
        <v>706.81998206000003</v>
      </c>
      <c r="D25" s="695">
        <v>727.10186700999975</v>
      </c>
      <c r="E25" s="695">
        <v>612.83807981000018</v>
      </c>
      <c r="F25" s="695">
        <v>606.9749954800003</v>
      </c>
      <c r="G25" s="695">
        <v>505.01884984999992</v>
      </c>
      <c r="H25" s="695">
        <v>616.18498878999992</v>
      </c>
      <c r="I25" s="695">
        <v>800.13194665000003</v>
      </c>
      <c r="J25" s="695">
        <v>864.28348872999982</v>
      </c>
      <c r="K25" s="695">
        <v>931.31570858999987</v>
      </c>
      <c r="L25" s="695">
        <v>1021.5246572399999</v>
      </c>
      <c r="M25" s="695">
        <v>1050.0185907600001</v>
      </c>
      <c r="N25" s="695">
        <v>1039.08799045</v>
      </c>
      <c r="O25" s="696">
        <f>SUM(T25:AE25)</f>
        <v>9481.3011454200005</v>
      </c>
      <c r="P25" s="697">
        <f>SUM(C25:N25)</f>
        <v>9481.3011454200005</v>
      </c>
      <c r="Q25" s="705"/>
      <c r="S25" s="413">
        <f>$S$16</f>
        <v>2017</v>
      </c>
      <c r="T25" s="679">
        <f t="shared" si="9"/>
        <v>706.81998206000003</v>
      </c>
      <c r="U25" s="679">
        <f t="shared" si="9"/>
        <v>727.10186700999975</v>
      </c>
      <c r="V25" s="679">
        <f t="shared" si="9"/>
        <v>612.83807981000018</v>
      </c>
      <c r="W25" s="679">
        <f t="shared" si="9"/>
        <v>606.9749954800003</v>
      </c>
      <c r="X25" s="679">
        <f t="shared" si="9"/>
        <v>505.01884984999992</v>
      </c>
      <c r="Y25" s="679">
        <f t="shared" si="9"/>
        <v>616.18498878999992</v>
      </c>
      <c r="Z25" s="679">
        <f t="shared" si="9"/>
        <v>800.13194665000003</v>
      </c>
      <c r="AA25" s="679">
        <f t="shared" si="9"/>
        <v>864.28348872999982</v>
      </c>
      <c r="AB25" s="679">
        <f t="shared" si="9"/>
        <v>931.31570858999987</v>
      </c>
      <c r="AC25" s="679">
        <f t="shared" si="9"/>
        <v>1021.5246572399999</v>
      </c>
      <c r="AD25" s="679">
        <f t="shared" si="9"/>
        <v>1050.0185907600001</v>
      </c>
      <c r="AE25" s="679">
        <f t="shared" si="9"/>
        <v>1039.08799045</v>
      </c>
      <c r="AN25" s="679"/>
      <c r="AO25" s="679"/>
      <c r="AP25" s="679"/>
      <c r="AQ25" s="679"/>
      <c r="AR25" s="679"/>
      <c r="AS25" s="679"/>
      <c r="AT25" s="679"/>
      <c r="AU25" s="679"/>
      <c r="AV25" s="679"/>
      <c r="AW25" s="679"/>
      <c r="AX25" s="679"/>
      <c r="AY25" s="679"/>
      <c r="AZ25" s="679"/>
      <c r="BA25" s="679"/>
      <c r="BB25" s="679"/>
    </row>
    <row r="26" spans="2:54" s="184" customFormat="1" ht="13">
      <c r="B26" s="699" t="s">
        <v>1008</v>
      </c>
      <c r="C26" s="700">
        <v>1138.5907875100004</v>
      </c>
      <c r="D26" s="1067">
        <v>1023.9439324299997</v>
      </c>
      <c r="E26" s="1067">
        <v>1098.8733732999997</v>
      </c>
      <c r="F26" s="1067">
        <v>1082.1405383100002</v>
      </c>
      <c r="G26" s="1067">
        <v>1056.4197094499998</v>
      </c>
      <c r="H26" s="1067">
        <v>1168.0652395900001</v>
      </c>
      <c r="I26" s="1067">
        <v>1165.3304986300004</v>
      </c>
      <c r="J26" s="1067">
        <v>1305.1232654599996</v>
      </c>
      <c r="K26" s="1067">
        <v>1182.4487483699979</v>
      </c>
      <c r="L26" s="1067">
        <v>1313.0795204100002</v>
      </c>
      <c r="M26" s="1067">
        <v>1332.30631567</v>
      </c>
      <c r="N26" s="1067">
        <v>1264.77173795</v>
      </c>
      <c r="O26" s="703">
        <f>SUM(T26:AE26)</f>
        <v>14131.093667079997</v>
      </c>
      <c r="P26" s="704">
        <f>SUM(C26:N26)</f>
        <v>14131.093667079997</v>
      </c>
      <c r="Q26" s="705"/>
      <c r="S26" s="413" t="str">
        <f>$S$17</f>
        <v xml:space="preserve"> 2018 (R) </v>
      </c>
      <c r="T26" s="679">
        <f t="shared" si="9"/>
        <v>1138.5907875100004</v>
      </c>
      <c r="U26" s="679">
        <f t="shared" si="9"/>
        <v>1023.9439324299997</v>
      </c>
      <c r="V26" s="679">
        <f t="shared" si="9"/>
        <v>1098.8733732999997</v>
      </c>
      <c r="W26" s="679">
        <f t="shared" si="9"/>
        <v>1082.1405383100002</v>
      </c>
      <c r="X26" s="679">
        <f t="shared" si="9"/>
        <v>1056.4197094499998</v>
      </c>
      <c r="Y26" s="679">
        <f t="shared" si="9"/>
        <v>1168.0652395900001</v>
      </c>
      <c r="Z26" s="679">
        <f t="shared" si="9"/>
        <v>1165.3304986300004</v>
      </c>
      <c r="AA26" s="679">
        <f t="shared" si="9"/>
        <v>1305.1232654599996</v>
      </c>
      <c r="AB26" s="679">
        <f t="shared" si="9"/>
        <v>1182.4487483699979</v>
      </c>
      <c r="AC26" s="679">
        <f t="shared" si="9"/>
        <v>1313.0795204100002</v>
      </c>
      <c r="AD26" s="679">
        <f t="shared" si="9"/>
        <v>1332.30631567</v>
      </c>
      <c r="AE26" s="679">
        <f t="shared" si="9"/>
        <v>1264.77173795</v>
      </c>
      <c r="AQ26" s="679"/>
    </row>
    <row r="27" spans="2:54" s="184" customFormat="1" ht="13">
      <c r="B27" s="706" t="s">
        <v>902</v>
      </c>
      <c r="C27" s="707">
        <v>1047.9850173878076</v>
      </c>
      <c r="D27" s="708">
        <v>891.03759770866316</v>
      </c>
      <c r="E27" s="708">
        <v>844.09325786909085</v>
      </c>
      <c r="F27" s="708">
        <v>793.41308685304807</v>
      </c>
      <c r="G27" s="708">
        <v>857.24378386909075</v>
      </c>
      <c r="H27" s="708">
        <v>864.5114138690908</v>
      </c>
      <c r="I27" s="708">
        <v>912.84215770866308</v>
      </c>
      <c r="J27" s="708">
        <v>918.50106270866308</v>
      </c>
      <c r="K27" s="708">
        <v>911.1264627086631</v>
      </c>
      <c r="L27" s="708">
        <v>1027.0112322273797</v>
      </c>
      <c r="M27" s="708">
        <v>1100.643191906524</v>
      </c>
      <c r="N27" s="708">
        <v>1035.0278572273794</v>
      </c>
      <c r="O27" s="710">
        <f>SUM(T27:AE27)</f>
        <v>11203.436122044064</v>
      </c>
      <c r="P27" s="711">
        <f>SUM(C27:N27)</f>
        <v>11203.436122044064</v>
      </c>
      <c r="S27" s="413" t="str">
        <f>$S$18</f>
        <v xml:space="preserve"> 2018 (P) </v>
      </c>
      <c r="T27" s="679">
        <f t="shared" si="9"/>
        <v>1047.9850173878076</v>
      </c>
      <c r="U27" s="679">
        <f t="shared" si="9"/>
        <v>891.03759770866316</v>
      </c>
      <c r="V27" s="679">
        <f t="shared" si="9"/>
        <v>844.09325786909085</v>
      </c>
      <c r="W27" s="679">
        <f t="shared" si="9"/>
        <v>793.41308685304807</v>
      </c>
      <c r="X27" s="679">
        <f t="shared" si="9"/>
        <v>857.24378386909075</v>
      </c>
      <c r="Y27" s="679">
        <f t="shared" si="9"/>
        <v>864.5114138690908</v>
      </c>
      <c r="Z27" s="679">
        <f t="shared" si="9"/>
        <v>912.84215770866308</v>
      </c>
      <c r="AA27" s="679">
        <f t="shared" si="9"/>
        <v>918.50106270866308</v>
      </c>
      <c r="AB27" s="679">
        <f t="shared" si="9"/>
        <v>911.1264627086631</v>
      </c>
      <c r="AC27" s="679">
        <f t="shared" si="9"/>
        <v>1027.0112322273797</v>
      </c>
      <c r="AD27" s="679">
        <f t="shared" si="9"/>
        <v>1100.643191906524</v>
      </c>
      <c r="AE27" s="679">
        <f t="shared" si="9"/>
        <v>1035.0278572273794</v>
      </c>
    </row>
    <row r="28" spans="2:54" s="184" customFormat="1" ht="13">
      <c r="B28" s="712" t="s">
        <v>904</v>
      </c>
      <c r="C28" s="713">
        <f t="shared" ref="C28:P28" si="10">C26/C27</f>
        <v>1.0864571235455593</v>
      </c>
      <c r="D28" s="714">
        <f t="shared" si="10"/>
        <v>1.1491590647388059</v>
      </c>
      <c r="E28" s="714">
        <f t="shared" si="10"/>
        <v>1.3018388229685662</v>
      </c>
      <c r="F28" s="714">
        <f t="shared" si="10"/>
        <v>1.3639055824024098</v>
      </c>
      <c r="G28" s="714">
        <f t="shared" si="10"/>
        <v>1.232344555106538</v>
      </c>
      <c r="H28" s="714">
        <f t="shared" si="10"/>
        <v>1.3511276090183295</v>
      </c>
      <c r="I28" s="714">
        <f t="shared" si="10"/>
        <v>1.2765958372859461</v>
      </c>
      <c r="J28" s="714">
        <f t="shared" si="10"/>
        <v>1.4209273330737215</v>
      </c>
      <c r="K28" s="714">
        <f t="shared" si="10"/>
        <v>1.2977877350359557</v>
      </c>
      <c r="L28" s="714">
        <f t="shared" si="10"/>
        <v>1.2785444591118993</v>
      </c>
      <c r="M28" s="714">
        <f t="shared" si="10"/>
        <v>1.2104797680728769</v>
      </c>
      <c r="N28" s="714">
        <f t="shared" si="10"/>
        <v>1.2219687896498321</v>
      </c>
      <c r="O28" s="716">
        <f t="shared" si="10"/>
        <v>1.261317823669778</v>
      </c>
      <c r="P28" s="717">
        <f t="shared" si="10"/>
        <v>1.261317823669778</v>
      </c>
    </row>
    <row r="29" spans="2:54" s="184" customFormat="1" ht="13">
      <c r="B29" s="718" t="s">
        <v>1011</v>
      </c>
      <c r="C29" s="719">
        <f t="shared" ref="C29:P30" si="11">C25/C24-1</f>
        <v>-3.3321550348060724E-2</v>
      </c>
      <c r="D29" s="720">
        <f t="shared" si="11"/>
        <v>6.0555562103643545E-3</v>
      </c>
      <c r="E29" s="720">
        <f t="shared" si="11"/>
        <v>-7.8187040203644531E-2</v>
      </c>
      <c r="F29" s="720">
        <f t="shared" si="11"/>
        <v>-0.21762363854086486</v>
      </c>
      <c r="G29" s="720">
        <f t="shared" si="11"/>
        <v>-0.25201497273834572</v>
      </c>
      <c r="H29" s="720">
        <f t="shared" si="11"/>
        <v>-2.9758165233901623E-2</v>
      </c>
      <c r="I29" s="720">
        <f t="shared" si="11"/>
        <v>9.1837805384701987E-2</v>
      </c>
      <c r="J29" s="720">
        <f t="shared" si="11"/>
        <v>0.16386892672901898</v>
      </c>
      <c r="K29" s="720">
        <f t="shared" si="11"/>
        <v>0.68339988961591347</v>
      </c>
      <c r="L29" s="720">
        <f t="shared" si="11"/>
        <v>0.57658544266493394</v>
      </c>
      <c r="M29" s="720">
        <f t="shared" si="11"/>
        <v>0.42661909771790429</v>
      </c>
      <c r="N29" s="720">
        <f t="shared" si="11"/>
        <v>0.46974626912328588</v>
      </c>
      <c r="O29" s="721">
        <f t="shared" si="11"/>
        <v>0.13897814268637565</v>
      </c>
      <c r="P29" s="722">
        <f t="shared" si="11"/>
        <v>0.13897814268637565</v>
      </c>
    </row>
    <row r="30" spans="2:54" s="184" customFormat="1" ht="13.5" thickBot="1">
      <c r="B30" s="723" t="s">
        <v>905</v>
      </c>
      <c r="C30" s="724">
        <f t="shared" si="11"/>
        <v>0.61086389237556737</v>
      </c>
      <c r="D30" s="725">
        <f t="shared" si="11"/>
        <v>0.40825375217461457</v>
      </c>
      <c r="E30" s="725">
        <f t="shared" si="11"/>
        <v>0.79308925065604008</v>
      </c>
      <c r="F30" s="725">
        <f t="shared" si="11"/>
        <v>0.78284203858222456</v>
      </c>
      <c r="G30" s="725">
        <f t="shared" si="11"/>
        <v>1.0918421357218175</v>
      </c>
      <c r="H30" s="725">
        <f t="shared" si="11"/>
        <v>0.89564053139906141</v>
      </c>
      <c r="I30" s="725">
        <f t="shared" si="11"/>
        <v>0.45642291063244889</v>
      </c>
      <c r="J30" s="725">
        <f t="shared" si="11"/>
        <v>0.51006386501468515</v>
      </c>
      <c r="K30" s="725">
        <f t="shared" si="11"/>
        <v>0.26965403618093187</v>
      </c>
      <c r="L30" s="725">
        <f t="shared" si="11"/>
        <v>0.28541147891401475</v>
      </c>
      <c r="M30" s="725">
        <f t="shared" si="11"/>
        <v>0.26884069234020047</v>
      </c>
      <c r="N30" s="725">
        <f t="shared" si="11"/>
        <v>0.21719406785007944</v>
      </c>
      <c r="O30" s="727">
        <f t="shared" si="11"/>
        <v>0.49041713266391773</v>
      </c>
      <c r="P30" s="728">
        <f t="shared" si="11"/>
        <v>0.49041713266391773</v>
      </c>
    </row>
    <row r="31" spans="2:54" s="184" customFormat="1" ht="5.25" customHeight="1" thickBot="1">
      <c r="B31"/>
      <c r="C31" s="729"/>
      <c r="D31" s="730"/>
      <c r="E31" s="730"/>
      <c r="F31" s="730"/>
      <c r="G31" s="730"/>
      <c r="H31" s="1068"/>
      <c r="I31" s="1068"/>
      <c r="J31" s="730"/>
      <c r="K31" s="730"/>
      <c r="L31" s="730"/>
      <c r="M31" s="730"/>
      <c r="N31" s="730"/>
      <c r="O31" s="694"/>
      <c r="P31" s="694"/>
      <c r="S31" s="413"/>
      <c r="T31" s="674"/>
      <c r="U31" s="674"/>
      <c r="V31" s="674"/>
      <c r="W31" s="674"/>
      <c r="X31" s="674"/>
      <c r="Y31" s="674"/>
      <c r="Z31" s="674"/>
      <c r="AA31" s="674"/>
      <c r="AB31" s="674"/>
      <c r="AC31" s="674"/>
      <c r="AD31" s="674"/>
      <c r="AE31" s="674"/>
    </row>
    <row r="32" spans="2:54" s="184" customFormat="1" ht="13">
      <c r="B32" s="1069" t="s">
        <v>1012</v>
      </c>
      <c r="C32" s="1070">
        <f t="shared" ref="C32:P35" si="12">(C15-C24)/C15</f>
        <v>0.38498973311261764</v>
      </c>
      <c r="D32" s="1071">
        <f t="shared" si="12"/>
        <v>0.38501068658588072</v>
      </c>
      <c r="E32" s="1071">
        <f t="shared" si="12"/>
        <v>0.32935814627837107</v>
      </c>
      <c r="F32" s="1071">
        <f t="shared" si="12"/>
        <v>0.46740096636170625</v>
      </c>
      <c r="G32" s="1071">
        <f t="shared" si="12"/>
        <v>0.31746615205386591</v>
      </c>
      <c r="H32" s="1071">
        <f t="shared" si="12"/>
        <v>0.37369764350063395</v>
      </c>
      <c r="I32" s="1071">
        <f t="shared" si="12"/>
        <v>0.33142215601956843</v>
      </c>
      <c r="J32" s="1071">
        <f t="shared" si="12"/>
        <v>0.35629142646755696</v>
      </c>
      <c r="K32" s="1071">
        <f t="shared" si="12"/>
        <v>0.36433697737339488</v>
      </c>
      <c r="L32" s="1071">
        <f t="shared" si="12"/>
        <v>0.46919030213011464</v>
      </c>
      <c r="M32" s="1071">
        <f t="shared" si="12"/>
        <v>0.44161152723840885</v>
      </c>
      <c r="N32" s="1071">
        <f t="shared" si="12"/>
        <v>0.31272873949664243</v>
      </c>
      <c r="O32" s="1072">
        <f t="shared" si="12"/>
        <v>0.38350539601091838</v>
      </c>
      <c r="P32" s="1073">
        <f t="shared" si="12"/>
        <v>0.38350539601091838</v>
      </c>
    </row>
    <row r="33" spans="2:51" s="184" customFormat="1" ht="13">
      <c r="B33" s="675" t="s">
        <v>909</v>
      </c>
      <c r="C33" s="719">
        <f t="shared" si="12"/>
        <v>0.27650227292549889</v>
      </c>
      <c r="D33" s="720">
        <f t="shared" si="12"/>
        <v>0.29337214586982213</v>
      </c>
      <c r="E33" s="720">
        <f t="shared" si="12"/>
        <v>0.36020517687148285</v>
      </c>
      <c r="F33" s="720">
        <f t="shared" si="12"/>
        <v>0.24535923136467297</v>
      </c>
      <c r="G33" s="720">
        <f t="shared" si="12"/>
        <v>0.21604606988575698</v>
      </c>
      <c r="H33" s="720">
        <f t="shared" si="12"/>
        <v>0.29751312508982264</v>
      </c>
      <c r="I33" s="720">
        <f t="shared" si="12"/>
        <v>0.28383093202752335</v>
      </c>
      <c r="J33" s="720">
        <f t="shared" si="12"/>
        <v>0.48820809951782201</v>
      </c>
      <c r="K33" s="720">
        <f t="shared" si="12"/>
        <v>0.22025172376792199</v>
      </c>
      <c r="L33" s="720">
        <f t="shared" si="12"/>
        <v>0.29299608567195279</v>
      </c>
      <c r="M33" s="720">
        <f t="shared" si="12"/>
        <v>0.43572964207803389</v>
      </c>
      <c r="N33" s="720">
        <f t="shared" si="12"/>
        <v>0.33178164990738229</v>
      </c>
      <c r="O33" s="731">
        <f t="shared" si="12"/>
        <v>0.32996866061968805</v>
      </c>
      <c r="P33" s="732">
        <f t="shared" si="12"/>
        <v>0.32996866061968805</v>
      </c>
    </row>
    <row r="34" spans="2:51" s="184" customFormat="1" ht="13">
      <c r="B34" s="733" t="s">
        <v>910</v>
      </c>
      <c r="C34" s="734">
        <f t="shared" si="12"/>
        <v>0.27561722164904168</v>
      </c>
      <c r="D34" s="1074">
        <f t="shared" si="12"/>
        <v>0.19382884911315046</v>
      </c>
      <c r="E34" s="1074">
        <f t="shared" si="12"/>
        <v>0.39494853828614607</v>
      </c>
      <c r="F34" s="1074">
        <f>(F17-F26)/F17</f>
        <v>0.28863414560929396</v>
      </c>
      <c r="G34" s="1074">
        <f t="shared" si="12"/>
        <v>0.40420811268301388</v>
      </c>
      <c r="H34" s="1074">
        <f t="shared" si="12"/>
        <v>0.23661597894300404</v>
      </c>
      <c r="I34" s="1074">
        <f t="shared" si="12"/>
        <v>0.33234105570576866</v>
      </c>
      <c r="J34" s="1074">
        <f t="shared" si="12"/>
        <v>0.31690757470005732</v>
      </c>
      <c r="K34" s="1074">
        <f t="shared" si="12"/>
        <v>0.35493641649512081</v>
      </c>
      <c r="L34" s="1074">
        <f t="shared" si="12"/>
        <v>0.43674912765480056</v>
      </c>
      <c r="M34" s="1074">
        <f t="shared" si="12"/>
        <v>0.34833064654055385</v>
      </c>
      <c r="N34" s="1074">
        <f t="shared" si="12"/>
        <v>0.32796250822194956</v>
      </c>
      <c r="O34" s="760">
        <f t="shared" si="12"/>
        <v>0.33436054195762138</v>
      </c>
      <c r="P34" s="737">
        <f t="shared" si="12"/>
        <v>0.33436054195762138</v>
      </c>
    </row>
    <row r="35" spans="2:51" s="184" customFormat="1" ht="13.5" thickBot="1">
      <c r="B35" s="738" t="s">
        <v>1013</v>
      </c>
      <c r="C35" s="739">
        <f t="shared" si="12"/>
        <v>0.2844550293440396</v>
      </c>
      <c r="D35" s="740">
        <f t="shared" si="12"/>
        <v>0.26134476193784523</v>
      </c>
      <c r="E35" s="740">
        <f t="shared" si="12"/>
        <v>0.23745553486576015</v>
      </c>
      <c r="F35" s="740">
        <f t="shared" si="12"/>
        <v>0.18057762762541008</v>
      </c>
      <c r="G35" s="740">
        <f t="shared" si="12"/>
        <v>0.25471021873895033</v>
      </c>
      <c r="H35" s="740">
        <f t="shared" si="12"/>
        <v>0.25769143119402094</v>
      </c>
      <c r="I35" s="740">
        <f t="shared" si="12"/>
        <v>0.28303374116996211</v>
      </c>
      <c r="J35" s="740">
        <f t="shared" si="12"/>
        <v>0.28982901583740311</v>
      </c>
      <c r="K35" s="740">
        <f t="shared" si="12"/>
        <v>0.3059416685644637</v>
      </c>
      <c r="L35" s="740">
        <f t="shared" si="12"/>
        <v>0.33775562080870336</v>
      </c>
      <c r="M35" s="740">
        <f t="shared" si="12"/>
        <v>0.34957546666895722</v>
      </c>
      <c r="N35" s="740">
        <f t="shared" si="12"/>
        <v>0.33183445096191982</v>
      </c>
      <c r="O35" s="742">
        <f t="shared" si="12"/>
        <v>0.28787027956121047</v>
      </c>
      <c r="P35" s="743">
        <f t="shared" si="12"/>
        <v>0.28787027956121047</v>
      </c>
    </row>
    <row r="36" spans="2:51" s="184" customFormat="1" ht="7.5" customHeight="1" thickBot="1">
      <c r="B36"/>
      <c r="C36" s="692"/>
      <c r="D36" s="693"/>
      <c r="E36" s="693"/>
      <c r="F36" s="693"/>
      <c r="G36" s="693"/>
      <c r="H36" s="693"/>
      <c r="I36" s="693"/>
      <c r="J36" s="693"/>
      <c r="K36" s="693"/>
      <c r="L36" s="693"/>
      <c r="M36" s="693"/>
      <c r="N36" s="693"/>
      <c r="O36" s="694"/>
      <c r="P36" s="694"/>
      <c r="S36" s="413"/>
      <c r="T36" s="674"/>
      <c r="U36" s="674"/>
      <c r="V36" s="674"/>
      <c r="W36" s="674"/>
      <c r="X36" s="674"/>
      <c r="Y36" s="674"/>
      <c r="Z36" s="674"/>
      <c r="AA36" s="674"/>
      <c r="AB36" s="674"/>
      <c r="AC36" s="674"/>
      <c r="AD36" s="674"/>
      <c r="AE36" s="674"/>
    </row>
    <row r="37" spans="2:51" s="184" customFormat="1" ht="13">
      <c r="B37" s="1059" t="s">
        <v>913</v>
      </c>
      <c r="C37" s="1060" t="s">
        <v>874</v>
      </c>
      <c r="D37" s="1061" t="s">
        <v>875</v>
      </c>
      <c r="E37" s="1061" t="s">
        <v>876</v>
      </c>
      <c r="F37" s="1061" t="s">
        <v>877</v>
      </c>
      <c r="G37" s="1061" t="s">
        <v>878</v>
      </c>
      <c r="H37" s="1061" t="s">
        <v>879</v>
      </c>
      <c r="I37" s="1061" t="s">
        <v>880</v>
      </c>
      <c r="J37" s="1061" t="s">
        <v>881</v>
      </c>
      <c r="K37" s="1061" t="s">
        <v>882</v>
      </c>
      <c r="L37" s="1061" t="s">
        <v>883</v>
      </c>
      <c r="M37" s="1061" t="s">
        <v>884</v>
      </c>
      <c r="N37" s="1061" t="s">
        <v>885</v>
      </c>
      <c r="O37" s="1062" t="str">
        <f>"Acum "&amp;LEFT($O$2,3)</f>
        <v>Acum DIC</v>
      </c>
      <c r="P37" s="1063" t="s">
        <v>886</v>
      </c>
      <c r="S37" s="1562" t="s">
        <v>914</v>
      </c>
      <c r="T37" s="1562" t="s">
        <v>888</v>
      </c>
      <c r="U37" s="1562" t="s">
        <v>875</v>
      </c>
      <c r="V37" s="1562" t="s">
        <v>876</v>
      </c>
      <c r="W37" s="1562" t="s">
        <v>877</v>
      </c>
      <c r="X37" s="1562" t="s">
        <v>878</v>
      </c>
      <c r="Y37" s="1562" t="s">
        <v>879</v>
      </c>
      <c r="Z37" s="1562" t="s">
        <v>880</v>
      </c>
      <c r="AA37" s="1562" t="s">
        <v>881</v>
      </c>
      <c r="AB37" s="1562" t="s">
        <v>882</v>
      </c>
      <c r="AC37" s="1562" t="s">
        <v>883</v>
      </c>
      <c r="AD37" s="1562" t="s">
        <v>884</v>
      </c>
      <c r="AE37" s="1562" t="s">
        <v>885</v>
      </c>
    </row>
    <row r="38" spans="2:51" s="184" customFormat="1" ht="13">
      <c r="B38" s="675" t="s">
        <v>1007</v>
      </c>
      <c r="C38" s="698">
        <v>172.71559636000001</v>
      </c>
      <c r="D38" s="695">
        <v>177.57980158000001</v>
      </c>
      <c r="E38" s="695">
        <v>175.32840755999999</v>
      </c>
      <c r="F38" s="695">
        <v>189.02775120000001</v>
      </c>
      <c r="G38" s="695">
        <v>213.03144309999999</v>
      </c>
      <c r="H38" s="695">
        <v>164.35701205999999</v>
      </c>
      <c r="I38" s="695">
        <v>163.69876313</v>
      </c>
      <c r="J38" s="695">
        <v>167.14652373000001</v>
      </c>
      <c r="K38" s="695">
        <v>182.91505183999999</v>
      </c>
      <c r="L38" s="695">
        <v>171.22367045999999</v>
      </c>
      <c r="M38" s="695">
        <v>177.71000516999999</v>
      </c>
      <c r="N38" s="695">
        <v>237.59263575</v>
      </c>
      <c r="O38" s="696">
        <f>SUM(T38:AE38)</f>
        <v>2192.3266619400001</v>
      </c>
      <c r="P38" s="697">
        <f>SUM(C38:N38)</f>
        <v>2192.3266619400001</v>
      </c>
      <c r="S38" s="413">
        <f>$S$15</f>
        <v>2016</v>
      </c>
      <c r="T38" s="679">
        <f t="shared" ref="T38:AE41" si="13">IF(MONTH($S$4)&gt;=T$4,C38,0)</f>
        <v>172.71559636000001</v>
      </c>
      <c r="U38" s="679">
        <f t="shared" si="13"/>
        <v>177.57980158000001</v>
      </c>
      <c r="V38" s="679">
        <f t="shared" si="13"/>
        <v>175.32840755999999</v>
      </c>
      <c r="W38" s="679">
        <f t="shared" si="13"/>
        <v>189.02775120000001</v>
      </c>
      <c r="X38" s="679">
        <f t="shared" si="13"/>
        <v>213.03144309999999</v>
      </c>
      <c r="Y38" s="679">
        <f t="shared" si="13"/>
        <v>164.35701205999999</v>
      </c>
      <c r="Z38" s="679">
        <f t="shared" si="13"/>
        <v>163.69876313</v>
      </c>
      <c r="AA38" s="679">
        <f t="shared" si="13"/>
        <v>167.14652373000001</v>
      </c>
      <c r="AB38" s="679">
        <f t="shared" si="13"/>
        <v>182.91505183999999</v>
      </c>
      <c r="AC38" s="679">
        <f t="shared" si="13"/>
        <v>171.22367045999999</v>
      </c>
      <c r="AD38" s="679">
        <f t="shared" si="13"/>
        <v>177.71000516999999</v>
      </c>
      <c r="AE38" s="679">
        <f t="shared" si="13"/>
        <v>237.59263575</v>
      </c>
    </row>
    <row r="39" spans="2:51" s="184" customFormat="1" ht="13">
      <c r="B39" s="675" t="s">
        <v>898</v>
      </c>
      <c r="C39" s="698">
        <v>181.22297311000003</v>
      </c>
      <c r="D39" s="695">
        <v>174.78818222999999</v>
      </c>
      <c r="E39" s="695">
        <v>222.94683111999996</v>
      </c>
      <c r="F39" s="695">
        <v>188.24918661000004</v>
      </c>
      <c r="G39" s="695">
        <v>186.72206483000002</v>
      </c>
      <c r="H39" s="695">
        <v>198.97076118000001</v>
      </c>
      <c r="I39" s="695">
        <v>364.28971898999998</v>
      </c>
      <c r="J39" s="695">
        <v>237.59032925000002</v>
      </c>
      <c r="K39" s="695">
        <v>193.46034928999998</v>
      </c>
      <c r="L39" s="695">
        <v>203.54290989</v>
      </c>
      <c r="M39" s="695">
        <v>196.97318156</v>
      </c>
      <c r="N39" s="695">
        <v>283.81099704999997</v>
      </c>
      <c r="O39" s="696">
        <f>SUM(T39:AE39)</f>
        <v>2632.5674851099998</v>
      </c>
      <c r="P39" s="697">
        <f>SUM(C39:N39)</f>
        <v>2632.5674851099998</v>
      </c>
      <c r="S39" s="413">
        <f>$S$16</f>
        <v>2017</v>
      </c>
      <c r="T39" s="679">
        <f t="shared" si="13"/>
        <v>181.22297311000003</v>
      </c>
      <c r="U39" s="679">
        <f t="shared" si="13"/>
        <v>174.78818222999999</v>
      </c>
      <c r="V39" s="679">
        <f t="shared" si="13"/>
        <v>222.94683111999996</v>
      </c>
      <c r="W39" s="679">
        <f t="shared" si="13"/>
        <v>188.24918661000004</v>
      </c>
      <c r="X39" s="679">
        <f t="shared" si="13"/>
        <v>186.72206483000002</v>
      </c>
      <c r="Y39" s="679">
        <f t="shared" si="13"/>
        <v>198.97076118000001</v>
      </c>
      <c r="Z39" s="679">
        <f t="shared" si="13"/>
        <v>364.28971898999998</v>
      </c>
      <c r="AA39" s="679">
        <f t="shared" si="13"/>
        <v>237.59032925000002</v>
      </c>
      <c r="AB39" s="679">
        <f t="shared" si="13"/>
        <v>193.46034928999998</v>
      </c>
      <c r="AC39" s="679">
        <f t="shared" si="13"/>
        <v>203.54290989</v>
      </c>
      <c r="AD39" s="679">
        <f t="shared" si="13"/>
        <v>196.97318156</v>
      </c>
      <c r="AE39" s="679">
        <f t="shared" si="13"/>
        <v>283.81099704999997</v>
      </c>
      <c r="AN39" s="679"/>
      <c r="AO39" s="679"/>
      <c r="AP39" s="679"/>
      <c r="AQ39" s="679"/>
      <c r="AR39" s="679"/>
      <c r="AS39" s="679"/>
      <c r="AT39" s="679"/>
      <c r="AU39" s="679"/>
      <c r="AV39" s="679"/>
      <c r="AW39" s="679"/>
      <c r="AX39" s="679"/>
      <c r="AY39" s="679"/>
    </row>
    <row r="40" spans="2:51" s="184" customFormat="1" ht="13">
      <c r="B40" s="699" t="s">
        <v>1008</v>
      </c>
      <c r="C40" s="700">
        <v>193.44605919999995</v>
      </c>
      <c r="D40" s="1067">
        <v>204.10403681</v>
      </c>
      <c r="E40" s="1067">
        <v>207.49946094999999</v>
      </c>
      <c r="F40" s="1067">
        <v>200.75380096999996</v>
      </c>
      <c r="G40" s="1067">
        <v>209.85679821000002</v>
      </c>
      <c r="H40" s="1067">
        <v>197.80734236000001</v>
      </c>
      <c r="I40" s="1067">
        <v>342.41129943999999</v>
      </c>
      <c r="J40" s="1067">
        <v>199.48581809000004</v>
      </c>
      <c r="K40" s="1067">
        <v>211.43898981999999</v>
      </c>
      <c r="L40" s="1067">
        <v>257.74548588000005</v>
      </c>
      <c r="M40" s="1067">
        <v>225.86746661000001</v>
      </c>
      <c r="N40" s="1067">
        <v>334.95103949999998</v>
      </c>
      <c r="O40" s="703">
        <f>SUM(T40:AE40)</f>
        <v>2785.3675978399997</v>
      </c>
      <c r="P40" s="704">
        <f>SUM(C40:N40)</f>
        <v>2785.3675978399997</v>
      </c>
      <c r="Q40" s="679"/>
      <c r="S40" s="413" t="str">
        <f>$S$17</f>
        <v xml:space="preserve"> 2018 (R) </v>
      </c>
      <c r="T40" s="679">
        <f t="shared" si="13"/>
        <v>193.44605919999995</v>
      </c>
      <c r="U40" s="679">
        <f t="shared" si="13"/>
        <v>204.10403681</v>
      </c>
      <c r="V40" s="679">
        <f t="shared" si="13"/>
        <v>207.49946094999999</v>
      </c>
      <c r="W40" s="679">
        <f t="shared" si="13"/>
        <v>200.75380096999996</v>
      </c>
      <c r="X40" s="679">
        <f t="shared" si="13"/>
        <v>209.85679821000002</v>
      </c>
      <c r="Y40" s="679">
        <f t="shared" si="13"/>
        <v>197.80734236000001</v>
      </c>
      <c r="Z40" s="679">
        <f t="shared" si="13"/>
        <v>342.41129943999999</v>
      </c>
      <c r="AA40" s="679">
        <f t="shared" si="13"/>
        <v>199.48581809000004</v>
      </c>
      <c r="AB40" s="679">
        <f t="shared" si="13"/>
        <v>211.43898981999999</v>
      </c>
      <c r="AC40" s="679">
        <f t="shared" si="13"/>
        <v>257.74548588000005</v>
      </c>
      <c r="AD40" s="679">
        <f t="shared" si="13"/>
        <v>225.86746661000001</v>
      </c>
      <c r="AE40" s="679">
        <f t="shared" si="13"/>
        <v>334.95103949999998</v>
      </c>
    </row>
    <row r="41" spans="2:51" s="184" customFormat="1" ht="13">
      <c r="B41" s="706" t="s">
        <v>902</v>
      </c>
      <c r="C41" s="707">
        <v>207.4869841518435</v>
      </c>
      <c r="D41" s="708">
        <v>214.3619841518435</v>
      </c>
      <c r="E41" s="708">
        <v>213.30498415184348</v>
      </c>
      <c r="F41" s="708">
        <v>205.54698415184347</v>
      </c>
      <c r="G41" s="708">
        <v>207.1179841518435</v>
      </c>
      <c r="H41" s="708">
        <v>212.12498415184348</v>
      </c>
      <c r="I41" s="708">
        <v>216.17080115184348</v>
      </c>
      <c r="J41" s="708">
        <v>210.54524715184348</v>
      </c>
      <c r="K41" s="708">
        <v>212.95198415184348</v>
      </c>
      <c r="L41" s="708">
        <v>208.73998415184349</v>
      </c>
      <c r="M41" s="708">
        <v>208.97198415184349</v>
      </c>
      <c r="N41" s="708">
        <v>205.35198415184348</v>
      </c>
      <c r="O41" s="710">
        <f>SUM(T41:AE41)</f>
        <v>2522.6758898221224</v>
      </c>
      <c r="P41" s="711">
        <f>SUM(C41:N41)</f>
        <v>2522.6758898221224</v>
      </c>
      <c r="S41" s="413" t="str">
        <f>$S$18</f>
        <v xml:space="preserve"> 2018 (P) </v>
      </c>
      <c r="T41" s="679">
        <f t="shared" si="13"/>
        <v>207.4869841518435</v>
      </c>
      <c r="U41" s="679">
        <f t="shared" si="13"/>
        <v>214.3619841518435</v>
      </c>
      <c r="V41" s="679">
        <f t="shared" si="13"/>
        <v>213.30498415184348</v>
      </c>
      <c r="W41" s="679">
        <f t="shared" si="13"/>
        <v>205.54698415184347</v>
      </c>
      <c r="X41" s="679">
        <f t="shared" si="13"/>
        <v>207.1179841518435</v>
      </c>
      <c r="Y41" s="679">
        <f t="shared" si="13"/>
        <v>212.12498415184348</v>
      </c>
      <c r="Z41" s="679">
        <f t="shared" si="13"/>
        <v>216.17080115184348</v>
      </c>
      <c r="AA41" s="679">
        <f t="shared" si="13"/>
        <v>210.54524715184348</v>
      </c>
      <c r="AB41" s="679">
        <f t="shared" si="13"/>
        <v>212.95198415184348</v>
      </c>
      <c r="AC41" s="679">
        <f t="shared" si="13"/>
        <v>208.73998415184349</v>
      </c>
      <c r="AD41" s="679">
        <f t="shared" si="13"/>
        <v>208.97198415184349</v>
      </c>
      <c r="AE41" s="679">
        <f t="shared" si="13"/>
        <v>205.35198415184348</v>
      </c>
    </row>
    <row r="42" spans="2:51" s="184" customFormat="1" ht="13">
      <c r="B42" s="712" t="s">
        <v>904</v>
      </c>
      <c r="C42" s="713">
        <f t="shared" ref="C42:P42" si="14">C40/C41</f>
        <v>0.93232864697879991</v>
      </c>
      <c r="D42" s="714">
        <f t="shared" si="14"/>
        <v>0.95214661133861644</v>
      </c>
      <c r="E42" s="714">
        <f t="shared" si="14"/>
        <v>0.97278299321074102</v>
      </c>
      <c r="F42" s="714">
        <f t="shared" si="14"/>
        <v>0.97668083916861237</v>
      </c>
      <c r="G42" s="714">
        <f t="shared" si="14"/>
        <v>1.0132234487959704</v>
      </c>
      <c r="H42" s="714">
        <f t="shared" si="14"/>
        <v>0.93250374608587072</v>
      </c>
      <c r="I42" s="714">
        <f t="shared" si="14"/>
        <v>1.5839849675141011</v>
      </c>
      <c r="J42" s="714">
        <f t="shared" si="14"/>
        <v>0.94747243544344895</v>
      </c>
      <c r="K42" s="714">
        <f t="shared" si="14"/>
        <v>0.99289513860192702</v>
      </c>
      <c r="L42" s="714">
        <f t="shared" si="14"/>
        <v>1.2347681587084367</v>
      </c>
      <c r="M42" s="714">
        <f t="shared" si="14"/>
        <v>1.080850466758644</v>
      </c>
      <c r="N42" s="714">
        <f t="shared" si="14"/>
        <v>1.6311069059470447</v>
      </c>
      <c r="O42" s="716">
        <f t="shared" si="14"/>
        <v>1.1041321673853235</v>
      </c>
      <c r="P42" s="717">
        <f t="shared" si="14"/>
        <v>1.1041321673853235</v>
      </c>
    </row>
    <row r="43" spans="2:51" s="184" customFormat="1" ht="13">
      <c r="B43" s="718" t="s">
        <v>1011</v>
      </c>
      <c r="C43" s="719">
        <f t="shared" ref="C43:P44" si="15">C39/C38-1</f>
        <v>4.9256563560523325E-2</v>
      </c>
      <c r="D43" s="720">
        <f t="shared" si="15"/>
        <v>-1.5720365295837979E-2</v>
      </c>
      <c r="E43" s="720">
        <f t="shared" si="15"/>
        <v>0.2715955972149251</v>
      </c>
      <c r="F43" s="720">
        <f t="shared" si="15"/>
        <v>-4.1187845967453063E-3</v>
      </c>
      <c r="G43" s="720">
        <f t="shared" si="15"/>
        <v>-0.12349997675061508</v>
      </c>
      <c r="H43" s="720">
        <f t="shared" si="15"/>
        <v>0.21060098797223192</v>
      </c>
      <c r="I43" s="720">
        <f t="shared" si="15"/>
        <v>1.2253663499015102</v>
      </c>
      <c r="J43" s="720">
        <f t="shared" si="15"/>
        <v>0.42144942023318022</v>
      </c>
      <c r="K43" s="720">
        <f t="shared" si="15"/>
        <v>5.7651337841919226E-2</v>
      </c>
      <c r="L43" s="720">
        <f t="shared" si="15"/>
        <v>0.18875450656543546</v>
      </c>
      <c r="M43" s="720">
        <f t="shared" si="15"/>
        <v>0.10839669027960785</v>
      </c>
      <c r="N43" s="720">
        <f t="shared" si="15"/>
        <v>0.19452775189813498</v>
      </c>
      <c r="O43" s="721">
        <f t="shared" si="15"/>
        <v>0.20080986598066031</v>
      </c>
      <c r="P43" s="722">
        <f t="shared" si="15"/>
        <v>0.20080986598066031</v>
      </c>
    </row>
    <row r="44" spans="2:51" s="184" customFormat="1" ht="13.5" thickBot="1">
      <c r="B44" s="723" t="s">
        <v>905</v>
      </c>
      <c r="C44" s="724">
        <f t="shared" si="15"/>
        <v>6.7447773757583596E-2</v>
      </c>
      <c r="D44" s="725">
        <f t="shared" si="15"/>
        <v>0.16772217781533949</v>
      </c>
      <c r="E44" s="725">
        <f t="shared" si="15"/>
        <v>-6.9287238093487469E-2</v>
      </c>
      <c r="F44" s="725">
        <f t="shared" si="15"/>
        <v>6.6425861302157996E-2</v>
      </c>
      <c r="G44" s="725">
        <f t="shared" si="15"/>
        <v>0.12389930135499982</v>
      </c>
      <c r="H44" s="725">
        <f t="shared" si="15"/>
        <v>-5.8471848481672639E-3</v>
      </c>
      <c r="I44" s="725">
        <f t="shared" si="15"/>
        <v>-6.0057746374666654E-2</v>
      </c>
      <c r="J44" s="725">
        <f t="shared" si="15"/>
        <v>-0.16037904943473191</v>
      </c>
      <c r="K44" s="725">
        <f t="shared" si="15"/>
        <v>9.2931913934724442E-2</v>
      </c>
      <c r="L44" s="725">
        <f t="shared" si="15"/>
        <v>0.26629557383891456</v>
      </c>
      <c r="M44" s="725">
        <f t="shared" si="15"/>
        <v>0.14669146744323935</v>
      </c>
      <c r="N44" s="725">
        <f t="shared" si="15"/>
        <v>0.18019048938047488</v>
      </c>
      <c r="O44" s="727">
        <f t="shared" si="15"/>
        <v>5.8042239598509404E-2</v>
      </c>
      <c r="P44" s="728">
        <f t="shared" si="15"/>
        <v>5.8042239598509404E-2</v>
      </c>
    </row>
    <row r="45" spans="2:51" s="184" customFormat="1" ht="7.5" customHeight="1" thickBot="1">
      <c r="B45"/>
      <c r="C45" s="692"/>
      <c r="D45" s="693"/>
      <c r="E45" s="693"/>
      <c r="F45" s="693"/>
      <c r="G45" s="693"/>
      <c r="H45" s="693"/>
      <c r="I45" s="693"/>
      <c r="J45" s="693"/>
      <c r="K45" s="693"/>
      <c r="L45" s="693"/>
      <c r="M45" s="693"/>
      <c r="N45" s="693"/>
      <c r="O45" s="694"/>
      <c r="P45" s="694"/>
      <c r="S45" s="413"/>
      <c r="T45" s="674"/>
      <c r="U45" s="674"/>
      <c r="V45" s="674"/>
      <c r="W45" s="674"/>
      <c r="X45" s="674"/>
      <c r="Y45" s="674"/>
      <c r="Z45" s="674"/>
      <c r="AA45" s="674"/>
      <c r="AB45" s="674"/>
      <c r="AC45" s="674"/>
      <c r="AD45" s="674"/>
      <c r="AE45" s="674"/>
    </row>
    <row r="46" spans="2:51" s="184" customFormat="1" ht="13">
      <c r="B46" s="1059" t="s">
        <v>89</v>
      </c>
      <c r="C46" s="1060" t="s">
        <v>874</v>
      </c>
      <c r="D46" s="1061" t="s">
        <v>875</v>
      </c>
      <c r="E46" s="1061" t="s">
        <v>876</v>
      </c>
      <c r="F46" s="1061" t="s">
        <v>877</v>
      </c>
      <c r="G46" s="1061" t="s">
        <v>878</v>
      </c>
      <c r="H46" s="1061" t="s">
        <v>879</v>
      </c>
      <c r="I46" s="1061" t="s">
        <v>880</v>
      </c>
      <c r="J46" s="1061" t="s">
        <v>881</v>
      </c>
      <c r="K46" s="1061" t="s">
        <v>882</v>
      </c>
      <c r="L46" s="1061" t="s">
        <v>883</v>
      </c>
      <c r="M46" s="1061" t="s">
        <v>884</v>
      </c>
      <c r="N46" s="1061" t="s">
        <v>885</v>
      </c>
      <c r="O46" s="1062" t="str">
        <f>"Acum "&amp;LEFT($O$2,3)</f>
        <v>Acum DIC</v>
      </c>
      <c r="P46" s="1063" t="s">
        <v>886</v>
      </c>
      <c r="S46" s="1562" t="s">
        <v>89</v>
      </c>
      <c r="T46" s="1562" t="s">
        <v>888</v>
      </c>
      <c r="U46" s="1562" t="s">
        <v>875</v>
      </c>
      <c r="V46" s="1562" t="s">
        <v>876</v>
      </c>
      <c r="W46" s="1562" t="s">
        <v>877</v>
      </c>
      <c r="X46" s="1562" t="s">
        <v>878</v>
      </c>
      <c r="Y46" s="1562" t="s">
        <v>879</v>
      </c>
      <c r="Z46" s="1562" t="s">
        <v>880</v>
      </c>
      <c r="AA46" s="1562" t="s">
        <v>881</v>
      </c>
      <c r="AB46" s="1562" t="s">
        <v>882</v>
      </c>
      <c r="AC46" s="1562" t="s">
        <v>883</v>
      </c>
      <c r="AD46" s="1562" t="s">
        <v>884</v>
      </c>
      <c r="AE46" s="1562" t="s">
        <v>885</v>
      </c>
    </row>
    <row r="47" spans="2:51" s="184" customFormat="1" ht="13">
      <c r="B47" s="675" t="s">
        <v>1007</v>
      </c>
      <c r="C47" s="744">
        <v>284.99773705000001</v>
      </c>
      <c r="D47" s="745">
        <v>274.87844790999998</v>
      </c>
      <c r="E47" s="745">
        <v>151.16971597999995</v>
      </c>
      <c r="F47" s="745">
        <v>491.81107156999997</v>
      </c>
      <c r="G47" s="745">
        <v>101.01068986000001</v>
      </c>
      <c r="H47" s="745">
        <v>214.58035303000008</v>
      </c>
      <c r="I47" s="745">
        <v>199.57417014000006</v>
      </c>
      <c r="J47" s="745">
        <v>243.87846045000003</v>
      </c>
      <c r="K47" s="745">
        <v>134.17742349999997</v>
      </c>
      <c r="L47" s="745">
        <v>401.49523562000013</v>
      </c>
      <c r="M47" s="745">
        <v>404.38371203999992</v>
      </c>
      <c r="N47" s="745">
        <v>84.106259750000049</v>
      </c>
      <c r="O47" s="746">
        <f>SUM(T47:AE47)</f>
        <v>2986.0632768999999</v>
      </c>
      <c r="P47" s="747">
        <f>SUM(C47:N47)</f>
        <v>2986.0632768999999</v>
      </c>
      <c r="S47" s="413">
        <f>$S$15</f>
        <v>2016</v>
      </c>
      <c r="T47" s="679">
        <f t="shared" ref="T47:AE50" si="16">IF(MONTH($S$4)&gt;=T$4,C47,0)</f>
        <v>284.99773705000001</v>
      </c>
      <c r="U47" s="679">
        <f t="shared" si="16"/>
        <v>274.87844790999998</v>
      </c>
      <c r="V47" s="679">
        <f t="shared" si="16"/>
        <v>151.16971597999995</v>
      </c>
      <c r="W47" s="679">
        <f t="shared" si="16"/>
        <v>491.81107156999997</v>
      </c>
      <c r="X47" s="679">
        <f t="shared" si="16"/>
        <v>101.01068986000001</v>
      </c>
      <c r="Y47" s="679">
        <f t="shared" si="16"/>
        <v>214.58035303000008</v>
      </c>
      <c r="Z47" s="679">
        <f t="shared" si="16"/>
        <v>199.57417014000006</v>
      </c>
      <c r="AA47" s="679">
        <f t="shared" si="16"/>
        <v>243.87846045000003</v>
      </c>
      <c r="AB47" s="679">
        <f t="shared" si="16"/>
        <v>134.17742349999997</v>
      </c>
      <c r="AC47" s="679">
        <f t="shared" si="16"/>
        <v>401.49523562000013</v>
      </c>
      <c r="AD47" s="679">
        <f t="shared" si="16"/>
        <v>404.38371203999992</v>
      </c>
      <c r="AE47" s="679">
        <f t="shared" si="16"/>
        <v>84.106259750000049</v>
      </c>
    </row>
    <row r="48" spans="2:51" s="184" customFormat="1" ht="13">
      <c r="B48" s="675" t="s">
        <v>898</v>
      </c>
      <c r="C48" s="748">
        <v>88.905493469999982</v>
      </c>
      <c r="D48" s="749">
        <v>127.08420186000021</v>
      </c>
      <c r="E48" s="749">
        <v>122.08167012999991</v>
      </c>
      <c r="F48" s="749">
        <v>9.0989087199995993</v>
      </c>
      <c r="G48" s="749">
        <v>-47.546363889999839</v>
      </c>
      <c r="H48" s="749">
        <v>61.992294780000123</v>
      </c>
      <c r="I48" s="749">
        <v>-47.182758749999834</v>
      </c>
      <c r="J48" s="749">
        <v>586.86624983999991</v>
      </c>
      <c r="K48" s="749">
        <v>69.603893930000112</v>
      </c>
      <c r="L48" s="749">
        <v>219.79665008000021</v>
      </c>
      <c r="M48" s="749">
        <v>613.85130762999938</v>
      </c>
      <c r="N48" s="749">
        <v>232.11366712999984</v>
      </c>
      <c r="O48" s="746">
        <f>SUM(T48:AE48)</f>
        <v>2036.6652149299996</v>
      </c>
      <c r="P48" s="747">
        <f>SUM(C48:N48)</f>
        <v>2036.6652149299996</v>
      </c>
      <c r="S48" s="413">
        <f>$S$16</f>
        <v>2017</v>
      </c>
      <c r="T48" s="679">
        <f t="shared" si="16"/>
        <v>88.905493469999982</v>
      </c>
      <c r="U48" s="679">
        <f t="shared" si="16"/>
        <v>127.08420186000021</v>
      </c>
      <c r="V48" s="679">
        <f t="shared" si="16"/>
        <v>122.08167012999991</v>
      </c>
      <c r="W48" s="679">
        <f t="shared" si="16"/>
        <v>9.0989087199995993</v>
      </c>
      <c r="X48" s="679">
        <f t="shared" si="16"/>
        <v>-47.546363889999839</v>
      </c>
      <c r="Y48" s="679">
        <f t="shared" si="16"/>
        <v>61.992294780000123</v>
      </c>
      <c r="Z48" s="679">
        <f t="shared" si="16"/>
        <v>-47.182758749999834</v>
      </c>
      <c r="AA48" s="679">
        <f t="shared" si="16"/>
        <v>586.86624983999991</v>
      </c>
      <c r="AB48" s="679">
        <f t="shared" si="16"/>
        <v>69.603893930000112</v>
      </c>
      <c r="AC48" s="679">
        <f t="shared" si="16"/>
        <v>219.79665008000021</v>
      </c>
      <c r="AD48" s="679">
        <f t="shared" si="16"/>
        <v>613.85130762999938</v>
      </c>
      <c r="AE48" s="679">
        <f t="shared" si="16"/>
        <v>232.11366712999984</v>
      </c>
    </row>
    <row r="49" spans="2:52" s="184" customFormat="1" ht="13">
      <c r="B49" s="699" t="s">
        <v>1008</v>
      </c>
      <c r="C49" s="750">
        <f t="shared" ref="C49:N49" si="17">C17-C26-C40</f>
        <v>239.77134853999937</v>
      </c>
      <c r="D49" s="751">
        <f t="shared" si="17"/>
        <v>42.084224530000057</v>
      </c>
      <c r="E49" s="751">
        <f t="shared" si="17"/>
        <v>509.79230679000034</v>
      </c>
      <c r="F49" s="751">
        <f t="shared" si="17"/>
        <v>238.32084364000022</v>
      </c>
      <c r="G49" s="751">
        <f t="shared" si="17"/>
        <v>506.85893097000036</v>
      </c>
      <c r="H49" s="751">
        <f t="shared" si="17"/>
        <v>164.24228471000004</v>
      </c>
      <c r="I49" s="751">
        <f t="shared" si="17"/>
        <v>237.65607098999931</v>
      </c>
      <c r="J49" s="751">
        <f t="shared" si="17"/>
        <v>406.00098489999982</v>
      </c>
      <c r="K49" s="751">
        <f t="shared" si="17"/>
        <v>439.18543259000171</v>
      </c>
      <c r="L49" s="751">
        <f t="shared" si="17"/>
        <v>760.42663463999986</v>
      </c>
      <c r="M49" s="751">
        <f t="shared" si="17"/>
        <v>486.27760797999991</v>
      </c>
      <c r="N49" s="751">
        <f t="shared" si="17"/>
        <v>282.27302400999974</v>
      </c>
      <c r="O49" s="753">
        <f>SUM(T49:AE49)</f>
        <v>4312.889694290001</v>
      </c>
      <c r="P49" s="754">
        <f>SUM(C49:N49)</f>
        <v>4312.889694290001</v>
      </c>
      <c r="Q49" s="705"/>
      <c r="S49" s="413" t="str">
        <f>$S$17</f>
        <v xml:space="preserve"> 2018 (R) </v>
      </c>
      <c r="T49" s="679">
        <f t="shared" si="16"/>
        <v>239.77134853999937</v>
      </c>
      <c r="U49" s="679">
        <f t="shared" si="16"/>
        <v>42.084224530000057</v>
      </c>
      <c r="V49" s="679">
        <f t="shared" si="16"/>
        <v>509.79230679000034</v>
      </c>
      <c r="W49" s="679">
        <f t="shared" si="16"/>
        <v>238.32084364000022</v>
      </c>
      <c r="X49" s="679">
        <f t="shared" si="16"/>
        <v>506.85893097000036</v>
      </c>
      <c r="Y49" s="679">
        <f t="shared" si="16"/>
        <v>164.24228471000004</v>
      </c>
      <c r="Z49" s="679">
        <f t="shared" si="16"/>
        <v>237.65607098999931</v>
      </c>
      <c r="AA49" s="679">
        <f t="shared" si="16"/>
        <v>406.00098489999982</v>
      </c>
      <c r="AB49" s="679">
        <f t="shared" si="16"/>
        <v>439.18543259000171</v>
      </c>
      <c r="AC49" s="679">
        <f t="shared" si="16"/>
        <v>760.42663463999986</v>
      </c>
      <c r="AD49" s="679">
        <f t="shared" si="16"/>
        <v>486.27760797999991</v>
      </c>
      <c r="AE49" s="679">
        <f t="shared" si="16"/>
        <v>282.27302400999974</v>
      </c>
    </row>
    <row r="50" spans="2:52" s="184" customFormat="1" ht="13">
      <c r="B50" s="706" t="s">
        <v>902</v>
      </c>
      <c r="C50" s="707">
        <v>209.12499846034888</v>
      </c>
      <c r="D50" s="708">
        <v>100.89741813949337</v>
      </c>
      <c r="E50" s="708">
        <v>49.54475797906565</v>
      </c>
      <c r="F50" s="708">
        <v>-30.701071004891531</v>
      </c>
      <c r="G50" s="708">
        <v>85.853631979065796</v>
      </c>
      <c r="H50" s="708">
        <v>87.98900197906562</v>
      </c>
      <c r="I50" s="708">
        <v>144.18804113949346</v>
      </c>
      <c r="J50" s="708">
        <v>164.30569013949352</v>
      </c>
      <c r="K50" s="708">
        <v>188.67355313949338</v>
      </c>
      <c r="L50" s="708">
        <v>315.05278362077695</v>
      </c>
      <c r="M50" s="708">
        <v>382.5768239416326</v>
      </c>
      <c r="N50" s="708">
        <v>308.67915862077712</v>
      </c>
      <c r="O50" s="756">
        <f>SUM(T50:AE50)</f>
        <v>2006.1847881338147</v>
      </c>
      <c r="P50" s="757">
        <f>SUM(C50:N50)</f>
        <v>2006.1847881338147</v>
      </c>
      <c r="Q50" s="705"/>
      <c r="S50" s="413" t="str">
        <f>$S$18</f>
        <v xml:space="preserve"> 2018 (P) </v>
      </c>
      <c r="T50" s="679">
        <f t="shared" si="16"/>
        <v>209.12499846034888</v>
      </c>
      <c r="U50" s="679">
        <f t="shared" si="16"/>
        <v>100.89741813949337</v>
      </c>
      <c r="V50" s="679">
        <f t="shared" si="16"/>
        <v>49.54475797906565</v>
      </c>
      <c r="W50" s="679">
        <f t="shared" si="16"/>
        <v>-30.701071004891531</v>
      </c>
      <c r="X50" s="679">
        <f t="shared" si="16"/>
        <v>85.853631979065796</v>
      </c>
      <c r="Y50" s="679">
        <f t="shared" si="16"/>
        <v>87.98900197906562</v>
      </c>
      <c r="Z50" s="679">
        <f t="shared" si="16"/>
        <v>144.18804113949346</v>
      </c>
      <c r="AA50" s="679">
        <f t="shared" si="16"/>
        <v>164.30569013949352</v>
      </c>
      <c r="AB50" s="679">
        <f t="shared" si="16"/>
        <v>188.67355313949338</v>
      </c>
      <c r="AC50" s="679">
        <f t="shared" si="16"/>
        <v>315.05278362077695</v>
      </c>
      <c r="AD50" s="679">
        <f t="shared" si="16"/>
        <v>382.5768239416326</v>
      </c>
      <c r="AE50" s="679">
        <f t="shared" si="16"/>
        <v>308.67915862077712</v>
      </c>
    </row>
    <row r="51" spans="2:52" s="184" customFormat="1" ht="13">
      <c r="B51" s="712" t="s">
        <v>904</v>
      </c>
      <c r="C51" s="713">
        <f t="shared" ref="C51:P51" si="18">C49/C50</f>
        <v>1.1465456081543555</v>
      </c>
      <c r="D51" s="714">
        <f t="shared" si="18"/>
        <v>0.41709912211844208</v>
      </c>
      <c r="E51" s="714">
        <f t="shared" si="18"/>
        <v>10.289530670538445</v>
      </c>
      <c r="F51" s="714">
        <f t="shared" si="18"/>
        <v>-7.7626231215852082</v>
      </c>
      <c r="G51" s="714">
        <f t="shared" si="18"/>
        <v>5.9037564199216499</v>
      </c>
      <c r="H51" s="714">
        <f t="shared" si="18"/>
        <v>1.8666228848586852</v>
      </c>
      <c r="I51" s="714">
        <f t="shared" si="18"/>
        <v>1.6482370459564051</v>
      </c>
      <c r="J51" s="714">
        <f t="shared" si="18"/>
        <v>2.4710098874561797</v>
      </c>
      <c r="K51" s="714">
        <f t="shared" si="18"/>
        <v>2.3277530172196181</v>
      </c>
      <c r="L51" s="714">
        <f t="shared" si="18"/>
        <v>2.4136483604452481</v>
      </c>
      <c r="M51" s="714">
        <f t="shared" si="18"/>
        <v>1.2710587195793865</v>
      </c>
      <c r="N51" s="714">
        <f t="shared" si="18"/>
        <v>0.91445442987222147</v>
      </c>
      <c r="O51" s="716">
        <f t="shared" si="18"/>
        <v>2.1497968281884545</v>
      </c>
      <c r="P51" s="717">
        <f t="shared" si="18"/>
        <v>2.1497968281884545</v>
      </c>
      <c r="Q51" s="560"/>
    </row>
    <row r="52" spans="2:52" s="184" customFormat="1" ht="13">
      <c r="B52" s="718" t="s">
        <v>1011</v>
      </c>
      <c r="C52" s="719">
        <f t="shared" ref="C52:P53" si="19">C48/C47-1</f>
        <v>-0.6880484231550148</v>
      </c>
      <c r="D52" s="720">
        <f t="shared" si="19"/>
        <v>-0.53767127679064242</v>
      </c>
      <c r="E52" s="720">
        <f t="shared" si="19"/>
        <v>-0.19241979560144473</v>
      </c>
      <c r="F52" s="720">
        <f t="shared" si="19"/>
        <v>-0.98149917875790538</v>
      </c>
      <c r="G52" s="720">
        <f t="shared" si="19"/>
        <v>-1.470706258475204</v>
      </c>
      <c r="H52" s="720">
        <f t="shared" si="19"/>
        <v>-0.71109985651233831</v>
      </c>
      <c r="I52" s="720">
        <f t="shared" si="19"/>
        <v>-1.2364171611832404</v>
      </c>
      <c r="J52" s="720">
        <f t="shared" si="19"/>
        <v>1.4063882015538605</v>
      </c>
      <c r="K52" s="720">
        <f t="shared" si="19"/>
        <v>-0.48125480342078464</v>
      </c>
      <c r="L52" s="720">
        <f t="shared" si="19"/>
        <v>-0.45255477380551201</v>
      </c>
      <c r="M52" s="720">
        <f t="shared" si="19"/>
        <v>0.51799216771935619</v>
      </c>
      <c r="N52" s="720">
        <f t="shared" si="19"/>
        <v>1.7597668451782473</v>
      </c>
      <c r="O52" s="721">
        <f t="shared" si="19"/>
        <v>-0.31794304873392498</v>
      </c>
      <c r="P52" s="722">
        <f t="shared" si="19"/>
        <v>-0.31794304873392498</v>
      </c>
    </row>
    <row r="53" spans="2:52" s="184" customFormat="1" ht="13.5" thickBot="1">
      <c r="B53" s="723" t="s">
        <v>905</v>
      </c>
      <c r="C53" s="724">
        <f t="shared" si="19"/>
        <v>1.6969238815473999</v>
      </c>
      <c r="D53" s="725">
        <f t="shared" si="19"/>
        <v>-0.66884770951812478</v>
      </c>
      <c r="E53" s="725">
        <f t="shared" si="19"/>
        <v>3.1758300508761295</v>
      </c>
      <c r="F53" s="725">
        <f t="shared" si="19"/>
        <v>25.192244693714294</v>
      </c>
      <c r="G53" s="725">
        <f t="shared" si="19"/>
        <v>-11.660309001601807</v>
      </c>
      <c r="H53" s="725">
        <f t="shared" si="19"/>
        <v>1.6493983694726473</v>
      </c>
      <c r="I53" s="725">
        <f t="shared" si="19"/>
        <v>-6.0369261417975082</v>
      </c>
      <c r="J53" s="725">
        <f t="shared" si="19"/>
        <v>-0.30818822004044399</v>
      </c>
      <c r="K53" s="725">
        <f t="shared" si="19"/>
        <v>5.3097825106119174</v>
      </c>
      <c r="L53" s="725">
        <f t="shared" si="19"/>
        <v>2.4596825491345049</v>
      </c>
      <c r="M53" s="725">
        <f t="shared" si="19"/>
        <v>-0.20782508412753087</v>
      </c>
      <c r="N53" s="725">
        <f t="shared" si="19"/>
        <v>0.21609824832894131</v>
      </c>
      <c r="O53" s="727">
        <f t="shared" si="19"/>
        <v>1.117623290599695</v>
      </c>
      <c r="P53" s="728">
        <f t="shared" si="19"/>
        <v>1.117623290599695</v>
      </c>
    </row>
    <row r="54" spans="2:52" s="184" customFormat="1" ht="7.5" customHeight="1" thickBot="1">
      <c r="B54"/>
      <c r="C54" s="759"/>
      <c r="D54" s="759"/>
      <c r="E54" s="759"/>
      <c r="F54" s="759"/>
      <c r="G54" s="759"/>
      <c r="H54" s="759"/>
      <c r="I54" s="759"/>
      <c r="J54" s="759"/>
      <c r="K54" s="759"/>
      <c r="L54" s="759"/>
      <c r="M54" s="759"/>
      <c r="N54" s="759"/>
      <c r="O54" s="694"/>
      <c r="P54" s="694"/>
      <c r="S54" s="413"/>
      <c r="T54" s="674"/>
      <c r="U54" s="674"/>
      <c r="V54" s="674"/>
      <c r="W54" s="674"/>
      <c r="X54" s="674"/>
      <c r="Y54" s="674"/>
      <c r="Z54" s="674"/>
      <c r="AA54" s="674"/>
      <c r="AB54" s="674"/>
      <c r="AC54" s="674"/>
      <c r="AD54" s="674"/>
      <c r="AE54" s="674"/>
    </row>
    <row r="55" spans="2:52" s="184" customFormat="1" ht="13">
      <c r="B55" s="1069" t="s">
        <v>1014</v>
      </c>
      <c r="C55" s="1070">
        <f t="shared" ref="C55:P58" si="20">C47/C15</f>
        <v>0.23971598534643501</v>
      </c>
      <c r="D55" s="1071">
        <f t="shared" si="20"/>
        <v>0.23390255360971021</v>
      </c>
      <c r="E55" s="1071">
        <f t="shared" si="20"/>
        <v>0.1524939160102122</v>
      </c>
      <c r="F55" s="1071">
        <f t="shared" si="20"/>
        <v>0.33763199516731968</v>
      </c>
      <c r="G55" s="1071">
        <f t="shared" si="20"/>
        <v>0.10211201511054931</v>
      </c>
      <c r="H55" s="1071">
        <f t="shared" si="20"/>
        <v>0.21161326291958552</v>
      </c>
      <c r="I55" s="1071">
        <f t="shared" si="20"/>
        <v>0.18207605273045335</v>
      </c>
      <c r="J55" s="1071">
        <f t="shared" si="20"/>
        <v>0.21140273195750478</v>
      </c>
      <c r="K55" s="1071">
        <f t="shared" si="20"/>
        <v>0.15416889617870147</v>
      </c>
      <c r="L55" s="1071">
        <f t="shared" si="20"/>
        <v>0.3289181986215694</v>
      </c>
      <c r="M55" s="1071">
        <f t="shared" si="20"/>
        <v>0.30678996076484955</v>
      </c>
      <c r="N55" s="1071">
        <f t="shared" si="20"/>
        <v>8.17610659014361E-2</v>
      </c>
      <c r="O55" s="1072">
        <f t="shared" si="20"/>
        <v>0.22114429254003284</v>
      </c>
      <c r="P55" s="1073">
        <f t="shared" si="20"/>
        <v>0.22114429254003284</v>
      </c>
    </row>
    <row r="56" spans="2:52" s="184" customFormat="1" ht="13">
      <c r="B56" s="675" t="s">
        <v>915</v>
      </c>
      <c r="C56" s="719">
        <f t="shared" si="20"/>
        <v>9.1003259786905252E-2</v>
      </c>
      <c r="D56" s="720">
        <f t="shared" si="20"/>
        <v>0.12350571622578886</v>
      </c>
      <c r="E56" s="720">
        <f t="shared" si="20"/>
        <v>0.12745164362546313</v>
      </c>
      <c r="F56" s="720">
        <f t="shared" si="20"/>
        <v>1.1312504668784867E-2</v>
      </c>
      <c r="G56" s="720">
        <f t="shared" si="20"/>
        <v>-7.3807460543855785E-2</v>
      </c>
      <c r="H56" s="720">
        <f t="shared" si="20"/>
        <v>7.067483664934672E-2</v>
      </c>
      <c r="I56" s="720">
        <f t="shared" si="20"/>
        <v>-4.2231575054381187E-2</v>
      </c>
      <c r="J56" s="720">
        <f t="shared" si="20"/>
        <v>0.34751721773119743</v>
      </c>
      <c r="K56" s="720">
        <f t="shared" si="20"/>
        <v>5.8276174030316097E-2</v>
      </c>
      <c r="L56" s="720">
        <f t="shared" si="20"/>
        <v>0.1521227029238931</v>
      </c>
      <c r="M56" s="720">
        <f t="shared" si="20"/>
        <v>0.32987806131750425</v>
      </c>
      <c r="N56" s="720">
        <f t="shared" si="20"/>
        <v>0.14926802456487342</v>
      </c>
      <c r="O56" s="731">
        <f t="shared" si="20"/>
        <v>0.14392850737454227</v>
      </c>
      <c r="P56" s="732">
        <f t="shared" si="20"/>
        <v>0.14392850737454227</v>
      </c>
    </row>
    <row r="57" spans="2:52" s="184" customFormat="1" ht="13">
      <c r="B57" s="733" t="s">
        <v>916</v>
      </c>
      <c r="C57" s="734">
        <f t="shared" si="20"/>
        <v>0.1525449156357549</v>
      </c>
      <c r="D57" s="735">
        <f t="shared" si="20"/>
        <v>3.3133735792560209E-2</v>
      </c>
      <c r="E57" s="735">
        <f t="shared" si="20"/>
        <v>0.28069711022978633</v>
      </c>
      <c r="F57" s="735">
        <f t="shared" si="20"/>
        <v>0.15666478110121079</v>
      </c>
      <c r="G57" s="735">
        <f t="shared" si="20"/>
        <v>0.28585460530957585</v>
      </c>
      <c r="H57" s="735">
        <f t="shared" si="20"/>
        <v>0.10733983983079327</v>
      </c>
      <c r="I57" s="735">
        <f t="shared" si="20"/>
        <v>0.13616154528594171</v>
      </c>
      <c r="J57" s="735">
        <f t="shared" si="20"/>
        <v>0.21249808718393909</v>
      </c>
      <c r="K57" s="735">
        <f t="shared" si="20"/>
        <v>0.2395896899211731</v>
      </c>
      <c r="L57" s="735">
        <f t="shared" si="20"/>
        <v>0.326188139147709</v>
      </c>
      <c r="M57" s="735">
        <f t="shared" si="20"/>
        <v>0.23785236973433657</v>
      </c>
      <c r="N57" s="735">
        <f t="shared" si="20"/>
        <v>0.14998600092041664</v>
      </c>
      <c r="O57" s="760">
        <f t="shared" si="20"/>
        <v>0.20315692658606341</v>
      </c>
      <c r="P57" s="737">
        <f t="shared" si="20"/>
        <v>0.20315692658606341</v>
      </c>
    </row>
    <row r="58" spans="2:52" s="184" customFormat="1" ht="13.5" thickBot="1">
      <c r="B58" s="738" t="s">
        <v>1015</v>
      </c>
      <c r="C58" s="739">
        <f t="shared" si="20"/>
        <v>0.14278671775263016</v>
      </c>
      <c r="D58" s="740">
        <f t="shared" si="20"/>
        <v>8.3642268976457185E-2</v>
      </c>
      <c r="E58" s="740">
        <f t="shared" si="20"/>
        <v>4.4758183555129442E-2</v>
      </c>
      <c r="F58" s="740">
        <f t="shared" si="20"/>
        <v>-3.1707498721820847E-2</v>
      </c>
      <c r="G58" s="740">
        <f t="shared" si="20"/>
        <v>7.4641351506044687E-2</v>
      </c>
      <c r="H58" s="740">
        <f t="shared" si="20"/>
        <v>7.555133348376708E-2</v>
      </c>
      <c r="I58" s="740">
        <f t="shared" si="20"/>
        <v>0.11324845106113918</v>
      </c>
      <c r="J58" s="740">
        <f t="shared" si="20"/>
        <v>0.12703864851911428</v>
      </c>
      <c r="K58" s="740">
        <f t="shared" si="20"/>
        <v>0.14372368363521318</v>
      </c>
      <c r="L58" s="740">
        <f t="shared" si="20"/>
        <v>0.20315448220457061</v>
      </c>
      <c r="M58" s="740">
        <f t="shared" si="20"/>
        <v>0.22608357913382915</v>
      </c>
      <c r="N58" s="740">
        <f t="shared" si="20"/>
        <v>0.19926881972912402</v>
      </c>
      <c r="O58" s="742">
        <f t="shared" si="20"/>
        <v>0.12752014620864605</v>
      </c>
      <c r="P58" s="743">
        <f t="shared" si="20"/>
        <v>0.12752014620864605</v>
      </c>
    </row>
    <row r="59" spans="2:52" s="184" customFormat="1" ht="7.5" customHeight="1" thickBot="1">
      <c r="B59"/>
      <c r="C59" s="692"/>
      <c r="D59" s="693"/>
      <c r="E59" s="693"/>
      <c r="F59" s="693"/>
      <c r="G59" s="693"/>
      <c r="H59" s="693"/>
      <c r="I59" s="693"/>
      <c r="J59" s="693"/>
      <c r="K59" s="693"/>
      <c r="L59" s="693"/>
      <c r="M59" s="693"/>
      <c r="N59" s="693"/>
      <c r="O59" s="694"/>
      <c r="P59" s="694"/>
      <c r="S59" s="413"/>
      <c r="T59" s="674"/>
      <c r="U59" s="674"/>
      <c r="V59" s="674"/>
      <c r="W59" s="674"/>
      <c r="X59" s="674"/>
      <c r="Y59" s="674"/>
      <c r="Z59" s="674"/>
      <c r="AA59" s="674"/>
      <c r="AB59" s="674"/>
      <c r="AC59" s="674"/>
      <c r="AD59" s="674"/>
      <c r="AE59" s="674"/>
    </row>
    <row r="60" spans="2:52" s="184" customFormat="1" ht="13">
      <c r="B60" s="1059" t="s">
        <v>919</v>
      </c>
      <c r="C60" s="1060" t="s">
        <v>874</v>
      </c>
      <c r="D60" s="1061" t="s">
        <v>875</v>
      </c>
      <c r="E60" s="1061" t="s">
        <v>876</v>
      </c>
      <c r="F60" s="1061" t="s">
        <v>877</v>
      </c>
      <c r="G60" s="1061" t="s">
        <v>878</v>
      </c>
      <c r="H60" s="1061" t="s">
        <v>879</v>
      </c>
      <c r="I60" s="1061" t="s">
        <v>880</v>
      </c>
      <c r="J60" s="1061" t="s">
        <v>881</v>
      </c>
      <c r="K60" s="1061" t="s">
        <v>882</v>
      </c>
      <c r="L60" s="1061" t="s">
        <v>883</v>
      </c>
      <c r="M60" s="1061" t="s">
        <v>884</v>
      </c>
      <c r="N60" s="1061" t="s">
        <v>885</v>
      </c>
      <c r="O60" s="1062" t="str">
        <f>"Acum "&amp;LEFT($O$2,3)</f>
        <v>Acum DIC</v>
      </c>
      <c r="P60" s="1063" t="s">
        <v>886</v>
      </c>
      <c r="S60" s="1562" t="s">
        <v>920</v>
      </c>
      <c r="T60" s="1562" t="s">
        <v>888</v>
      </c>
      <c r="U60" s="1562" t="s">
        <v>875</v>
      </c>
      <c r="V60" s="1562" t="s">
        <v>876</v>
      </c>
      <c r="W60" s="1562" t="s">
        <v>877</v>
      </c>
      <c r="X60" s="1562" t="s">
        <v>878</v>
      </c>
      <c r="Y60" s="1562" t="s">
        <v>879</v>
      </c>
      <c r="Z60" s="1562" t="s">
        <v>880</v>
      </c>
      <c r="AA60" s="1562" t="s">
        <v>881</v>
      </c>
      <c r="AB60" s="1562" t="s">
        <v>882</v>
      </c>
      <c r="AC60" s="1562" t="s">
        <v>883</v>
      </c>
      <c r="AD60" s="1562" t="s">
        <v>884</v>
      </c>
      <c r="AE60" s="1562" t="s">
        <v>885</v>
      </c>
    </row>
    <row r="61" spans="2:52" s="184" customFormat="1" ht="13">
      <c r="B61" s="675" t="s">
        <v>1007</v>
      </c>
      <c r="C61" s="748">
        <v>123.44698307</v>
      </c>
      <c r="D61" s="749">
        <v>140.34818188</v>
      </c>
      <c r="E61" s="749">
        <v>91.924748239999801</v>
      </c>
      <c r="F61" s="749">
        <v>295.608634980001</v>
      </c>
      <c r="G61" s="749">
        <v>-11.482260129999901</v>
      </c>
      <c r="H61" s="749">
        <v>90.135582019999404</v>
      </c>
      <c r="I61" s="749">
        <v>61.057128020000199</v>
      </c>
      <c r="J61" s="749">
        <v>44.022168460000501</v>
      </c>
      <c r="K61" s="749">
        <v>-43.153211830001503</v>
      </c>
      <c r="L61" s="749">
        <v>261.98080614000099</v>
      </c>
      <c r="M61" s="749">
        <v>188.85485309000001</v>
      </c>
      <c r="N61" s="749">
        <v>19.203394430000699</v>
      </c>
      <c r="O61" s="746">
        <f>SUM(T61:AE61)</f>
        <v>1261.9470083700014</v>
      </c>
      <c r="P61" s="747">
        <f>SUM(C61:N61)</f>
        <v>1261.9470083700014</v>
      </c>
      <c r="S61" s="413">
        <f>$S$15</f>
        <v>2016</v>
      </c>
      <c r="T61" s="679">
        <f t="shared" ref="T61:AE64" si="21">IF(MONTH($S$4)&gt;=T$4,C61,0)</f>
        <v>123.44698307</v>
      </c>
      <c r="U61" s="679">
        <f t="shared" si="21"/>
        <v>140.34818188</v>
      </c>
      <c r="V61" s="679">
        <f t="shared" si="21"/>
        <v>91.924748239999801</v>
      </c>
      <c r="W61" s="679">
        <f t="shared" si="21"/>
        <v>295.608634980001</v>
      </c>
      <c r="X61" s="679">
        <f t="shared" si="21"/>
        <v>-11.482260129999901</v>
      </c>
      <c r="Y61" s="679">
        <f t="shared" si="21"/>
        <v>90.135582019999404</v>
      </c>
      <c r="Z61" s="679">
        <f t="shared" si="21"/>
        <v>61.057128020000199</v>
      </c>
      <c r="AA61" s="679">
        <f t="shared" si="21"/>
        <v>44.022168460000501</v>
      </c>
      <c r="AB61" s="679">
        <f t="shared" si="21"/>
        <v>-43.153211830001503</v>
      </c>
      <c r="AC61" s="679">
        <f t="shared" si="21"/>
        <v>261.98080614000099</v>
      </c>
      <c r="AD61" s="679">
        <f t="shared" si="21"/>
        <v>188.85485309000001</v>
      </c>
      <c r="AE61" s="679">
        <f t="shared" si="21"/>
        <v>19.203394430000699</v>
      </c>
    </row>
    <row r="62" spans="2:52" s="184" customFormat="1" ht="13">
      <c r="B62" s="675" t="s">
        <v>898</v>
      </c>
      <c r="C62" s="748">
        <v>-155.39655520000011</v>
      </c>
      <c r="D62" s="749">
        <v>22.075449460000268</v>
      </c>
      <c r="E62" s="749">
        <v>-61.512769170000041</v>
      </c>
      <c r="F62" s="749">
        <v>-90.35341834000036</v>
      </c>
      <c r="G62" s="749">
        <v>-137.22758993999986</v>
      </c>
      <c r="H62" s="749">
        <v>-18.083400689999976</v>
      </c>
      <c r="I62" s="749">
        <v>-160.4754169199999</v>
      </c>
      <c r="J62" s="749">
        <v>489.31329979999992</v>
      </c>
      <c r="K62" s="749">
        <v>-43.808465059999975</v>
      </c>
      <c r="L62" s="749">
        <v>156.53165334000016</v>
      </c>
      <c r="M62" s="749">
        <v>531.97165944999938</v>
      </c>
      <c r="N62" s="749">
        <v>-225.25393551000016</v>
      </c>
      <c r="O62" s="746">
        <f>SUM(T62:AE62)</f>
        <v>307.78051121999943</v>
      </c>
      <c r="P62" s="747">
        <f>SUM(C62:N62)</f>
        <v>307.78051121999943</v>
      </c>
      <c r="S62" s="413">
        <f>$S$16</f>
        <v>2017</v>
      </c>
      <c r="T62" s="679">
        <f t="shared" si="21"/>
        <v>-155.39655520000011</v>
      </c>
      <c r="U62" s="679">
        <f t="shared" si="21"/>
        <v>22.075449460000268</v>
      </c>
      <c r="V62" s="679">
        <f t="shared" si="21"/>
        <v>-61.512769170000041</v>
      </c>
      <c r="W62" s="679">
        <f t="shared" si="21"/>
        <v>-90.35341834000036</v>
      </c>
      <c r="X62" s="679">
        <f t="shared" si="21"/>
        <v>-137.22758993999986</v>
      </c>
      <c r="Y62" s="679">
        <f t="shared" si="21"/>
        <v>-18.083400689999976</v>
      </c>
      <c r="Z62" s="679">
        <f t="shared" si="21"/>
        <v>-160.4754169199999</v>
      </c>
      <c r="AA62" s="679">
        <f t="shared" si="21"/>
        <v>489.31329979999992</v>
      </c>
      <c r="AB62" s="679">
        <f t="shared" si="21"/>
        <v>-43.808465059999975</v>
      </c>
      <c r="AC62" s="679">
        <f t="shared" si="21"/>
        <v>156.53165334000016</v>
      </c>
      <c r="AD62" s="679">
        <f t="shared" si="21"/>
        <v>531.97165944999938</v>
      </c>
      <c r="AE62" s="679">
        <f t="shared" si="21"/>
        <v>-225.25393551000016</v>
      </c>
      <c r="AO62" s="761"/>
      <c r="AP62" s="761"/>
      <c r="AQ62" s="761"/>
      <c r="AR62" s="761"/>
      <c r="AS62" s="761"/>
      <c r="AT62" s="761"/>
      <c r="AU62" s="761"/>
      <c r="AV62" s="761"/>
      <c r="AW62" s="761"/>
      <c r="AX62" s="761"/>
      <c r="AY62" s="761"/>
      <c r="AZ62" s="761"/>
    </row>
    <row r="63" spans="2:52" s="184" customFormat="1" ht="13">
      <c r="B63" s="699" t="s">
        <v>1008</v>
      </c>
      <c r="C63" s="750">
        <v>114.59653242999933</v>
      </c>
      <c r="D63" s="751">
        <v>-167.18799894999998</v>
      </c>
      <c r="E63" s="751">
        <v>407.14923321000026</v>
      </c>
      <c r="F63" s="751">
        <v>134.80563752000015</v>
      </c>
      <c r="G63" s="751">
        <v>466.38424609000032</v>
      </c>
      <c r="H63" s="751">
        <v>-79.28877360000007</v>
      </c>
      <c r="I63" s="751">
        <v>62.552551169999347</v>
      </c>
      <c r="J63" s="751">
        <v>326.98098995999999</v>
      </c>
      <c r="K63" s="751">
        <v>184.39284690000153</v>
      </c>
      <c r="L63" s="751">
        <v>556.12333505999993</v>
      </c>
      <c r="M63" s="751">
        <v>163.9289604199999</v>
      </c>
      <c r="N63" s="751">
        <v>120.48886755999972</v>
      </c>
      <c r="O63" s="753">
        <f>SUM(T63:AE63)</f>
        <v>2290.9264277700004</v>
      </c>
      <c r="P63" s="754">
        <f>SUM(C63:N63)</f>
        <v>2290.9264277700004</v>
      </c>
      <c r="S63" s="413" t="str">
        <f>$S$17</f>
        <v xml:space="preserve"> 2018 (R) </v>
      </c>
      <c r="T63" s="679">
        <f t="shared" si="21"/>
        <v>114.59653242999933</v>
      </c>
      <c r="U63" s="679">
        <f t="shared" si="21"/>
        <v>-167.18799894999998</v>
      </c>
      <c r="V63" s="679">
        <f t="shared" si="21"/>
        <v>407.14923321000026</v>
      </c>
      <c r="W63" s="679">
        <f t="shared" si="21"/>
        <v>134.80563752000015</v>
      </c>
      <c r="X63" s="679">
        <f t="shared" si="21"/>
        <v>466.38424609000032</v>
      </c>
      <c r="Y63" s="679">
        <f t="shared" si="21"/>
        <v>-79.28877360000007</v>
      </c>
      <c r="Z63" s="679">
        <f t="shared" si="21"/>
        <v>62.552551169999347</v>
      </c>
      <c r="AA63" s="679">
        <f t="shared" si="21"/>
        <v>326.98098995999999</v>
      </c>
      <c r="AB63" s="679">
        <f t="shared" si="21"/>
        <v>184.39284690000153</v>
      </c>
      <c r="AC63" s="679">
        <f t="shared" si="21"/>
        <v>556.12333505999993</v>
      </c>
      <c r="AD63" s="679">
        <f t="shared" si="21"/>
        <v>163.9289604199999</v>
      </c>
      <c r="AE63" s="679">
        <f t="shared" si="21"/>
        <v>120.48886755999972</v>
      </c>
      <c r="AO63" s="761"/>
      <c r="AP63" s="761"/>
      <c r="AQ63" s="761"/>
      <c r="AR63" s="761"/>
      <c r="AS63" s="761"/>
      <c r="AT63" s="761"/>
      <c r="AU63" s="761"/>
      <c r="AV63" s="761"/>
      <c r="AW63" s="761"/>
    </row>
    <row r="64" spans="2:52" s="184" customFormat="1" ht="13">
      <c r="B64" s="706" t="s">
        <v>902</v>
      </c>
      <c r="C64" s="707">
        <v>74.208906078453438</v>
      </c>
      <c r="D64" s="708">
        <v>-34.018674242402064</v>
      </c>
      <c r="E64" s="708">
        <v>-83.921393626282907</v>
      </c>
      <c r="F64" s="708">
        <v>-157.16722261024023</v>
      </c>
      <c r="G64" s="708">
        <v>-47.612519626282904</v>
      </c>
      <c r="H64" s="708">
        <v>-37.027208849736063</v>
      </c>
      <c r="I64" s="708">
        <v>12.171830310691609</v>
      </c>
      <c r="J64" s="708">
        <v>39.289479310691611</v>
      </c>
      <c r="K64" s="708">
        <v>65.107283087238457</v>
      </c>
      <c r="L64" s="708">
        <v>184.48651356852193</v>
      </c>
      <c r="M64" s="708">
        <v>252.01055388937766</v>
      </c>
      <c r="N64" s="708">
        <v>179.56282934506899</v>
      </c>
      <c r="O64" s="756">
        <f>SUM(T64:AE64)</f>
        <v>447.09037663509946</v>
      </c>
      <c r="P64" s="757">
        <f>SUM(C64:N64)</f>
        <v>447.09037663509946</v>
      </c>
      <c r="S64" s="413" t="str">
        <f>$S$18</f>
        <v xml:space="preserve"> 2018 (P) </v>
      </c>
      <c r="T64" s="679">
        <f t="shared" si="21"/>
        <v>74.208906078453438</v>
      </c>
      <c r="U64" s="679">
        <f t="shared" si="21"/>
        <v>-34.018674242402064</v>
      </c>
      <c r="V64" s="679">
        <f t="shared" si="21"/>
        <v>-83.921393626282907</v>
      </c>
      <c r="W64" s="679">
        <f t="shared" si="21"/>
        <v>-157.16722261024023</v>
      </c>
      <c r="X64" s="679">
        <f t="shared" si="21"/>
        <v>-47.612519626282904</v>
      </c>
      <c r="Y64" s="679">
        <f t="shared" si="21"/>
        <v>-37.027208849736063</v>
      </c>
      <c r="Z64" s="679">
        <f t="shared" si="21"/>
        <v>12.171830310691609</v>
      </c>
      <c r="AA64" s="679">
        <f t="shared" si="21"/>
        <v>39.289479310691611</v>
      </c>
      <c r="AB64" s="679">
        <f t="shared" si="21"/>
        <v>65.107283087238457</v>
      </c>
      <c r="AC64" s="679">
        <f t="shared" si="21"/>
        <v>184.48651356852193</v>
      </c>
      <c r="AD64" s="679">
        <f t="shared" si="21"/>
        <v>252.01055388937766</v>
      </c>
      <c r="AE64" s="679">
        <f t="shared" si="21"/>
        <v>179.56282934506899</v>
      </c>
      <c r="AO64" s="762"/>
      <c r="AP64" s="762"/>
      <c r="AQ64" s="762"/>
      <c r="AR64" s="762"/>
      <c r="AS64" s="762"/>
      <c r="AT64" s="762"/>
      <c r="AU64" s="762"/>
      <c r="AV64" s="762"/>
      <c r="AW64" s="762"/>
      <c r="AX64" s="762"/>
      <c r="AY64" s="762"/>
      <c r="AZ64" s="762"/>
    </row>
    <row r="65" spans="2:41" s="184" customFormat="1" ht="13">
      <c r="B65" s="712" t="s">
        <v>904</v>
      </c>
      <c r="C65" s="713">
        <f t="shared" ref="C65:P65" si="22">C63/C64</f>
        <v>1.5442423084481021</v>
      </c>
      <c r="D65" s="714">
        <f t="shared" si="22"/>
        <v>4.9145947828152288</v>
      </c>
      <c r="E65" s="714">
        <f t="shared" si="22"/>
        <v>-4.8515547182534791</v>
      </c>
      <c r="F65" s="714">
        <f t="shared" si="22"/>
        <v>-0.85772106474328502</v>
      </c>
      <c r="G65" s="714">
        <f t="shared" si="22"/>
        <v>-9.7954119998419173</v>
      </c>
      <c r="H65" s="714">
        <f t="shared" si="22"/>
        <v>2.1413651221124992</v>
      </c>
      <c r="I65" s="714">
        <f t="shared" si="22"/>
        <v>5.1391244844297441</v>
      </c>
      <c r="J65" s="714">
        <f t="shared" si="22"/>
        <v>8.3223548821890496</v>
      </c>
      <c r="K65" s="714">
        <f t="shared" si="22"/>
        <v>2.8321385589524621</v>
      </c>
      <c r="L65" s="714">
        <f t="shared" si="22"/>
        <v>3.0144389652279093</v>
      </c>
      <c r="M65" s="714">
        <f t="shared" si="22"/>
        <v>0.65048450507337885</v>
      </c>
      <c r="N65" s="714">
        <f t="shared" si="22"/>
        <v>0.67101230248747179</v>
      </c>
      <c r="O65" s="716">
        <f t="shared" si="22"/>
        <v>5.1240790397056113</v>
      </c>
      <c r="P65" s="717">
        <f t="shared" si="22"/>
        <v>5.1240790397056113</v>
      </c>
    </row>
    <row r="66" spans="2:41" s="184" customFormat="1" ht="13">
      <c r="B66" s="718" t="s">
        <v>1011</v>
      </c>
      <c r="C66" s="719">
        <f t="shared" ref="C66:P67" si="23">C62/C61-1</f>
        <v>-2.2588120935436979</v>
      </c>
      <c r="D66" s="720">
        <f t="shared" si="23"/>
        <v>-0.84270940197233801</v>
      </c>
      <c r="E66" s="720">
        <f t="shared" si="23"/>
        <v>-1.6691644018366056</v>
      </c>
      <c r="F66" s="720">
        <f t="shared" si="23"/>
        <v>-1.3056521618392951</v>
      </c>
      <c r="G66" s="720">
        <f t="shared" si="23"/>
        <v>10.951269905605338</v>
      </c>
      <c r="H66" s="720">
        <f t="shared" si="23"/>
        <v>-1.2006244402569854</v>
      </c>
      <c r="I66" s="720">
        <f t="shared" si="23"/>
        <v>-3.6282830870694363</v>
      </c>
      <c r="J66" s="720">
        <f t="shared" si="23"/>
        <v>10.115156679403484</v>
      </c>
      <c r="K66" s="720">
        <f t="shared" si="23"/>
        <v>1.5184344390859916E-2</v>
      </c>
      <c r="L66" s="720">
        <f t="shared" si="23"/>
        <v>-0.4025071697185687</v>
      </c>
      <c r="M66" s="720">
        <f t="shared" si="23"/>
        <v>1.8168281129449442</v>
      </c>
      <c r="N66" s="720">
        <f t="shared" si="23"/>
        <v>-12.729902040552524</v>
      </c>
      <c r="O66" s="721">
        <f t="shared" si="23"/>
        <v>-0.75610662794981764</v>
      </c>
      <c r="P66" s="722">
        <f t="shared" si="23"/>
        <v>-0.75610662794981764</v>
      </c>
    </row>
    <row r="67" spans="2:41" s="184" customFormat="1" ht="13.5" thickBot="1">
      <c r="B67" s="723" t="s">
        <v>905</v>
      </c>
      <c r="C67" s="724">
        <f t="shared" si="23"/>
        <v>-1.7374457708056017</v>
      </c>
      <c r="D67" s="725">
        <f t="shared" si="23"/>
        <v>-8.5734810859881776</v>
      </c>
      <c r="E67" s="725">
        <f t="shared" si="23"/>
        <v>-7.6189384530028299</v>
      </c>
      <c r="F67" s="725">
        <f t="shared" si="23"/>
        <v>-2.4919815984462907</v>
      </c>
      <c r="G67" s="725">
        <f t="shared" si="23"/>
        <v>-4.3986186472699691</v>
      </c>
      <c r="H67" s="725">
        <f t="shared" si="23"/>
        <v>3.3846163096881625</v>
      </c>
      <c r="I67" s="725">
        <f t="shared" si="23"/>
        <v>-1.3897952245307641</v>
      </c>
      <c r="J67" s="725">
        <f t="shared" si="23"/>
        <v>-0.33175535982028492</v>
      </c>
      <c r="K67" s="725">
        <f t="shared" si="23"/>
        <v>-5.209068878525132</v>
      </c>
      <c r="L67" s="725">
        <f t="shared" si="23"/>
        <v>2.5527851600216116</v>
      </c>
      <c r="M67" s="725">
        <f t="shared" si="23"/>
        <v>-0.69184644048616328</v>
      </c>
      <c r="N67" s="725">
        <f t="shared" si="23"/>
        <v>-1.5349023859991586</v>
      </c>
      <c r="O67" s="727">
        <f t="shared" si="23"/>
        <v>6.4433771608510382</v>
      </c>
      <c r="P67" s="728">
        <f t="shared" si="23"/>
        <v>6.4433771608510382</v>
      </c>
    </row>
    <row r="68" spans="2:41" s="184" customFormat="1" ht="6" customHeight="1" thickBot="1">
      <c r="B68" s="763"/>
      <c r="C68" s="764"/>
      <c r="D68" s="764"/>
      <c r="E68" s="764"/>
      <c r="F68" s="764"/>
      <c r="G68" s="764"/>
      <c r="H68" s="764"/>
      <c r="I68" s="764"/>
      <c r="J68" s="764"/>
      <c r="K68" s="764"/>
      <c r="L68" s="764"/>
      <c r="M68" s="764"/>
      <c r="N68" s="764"/>
      <c r="O68" s="765"/>
      <c r="P68" s="765"/>
    </row>
    <row r="69" spans="2:41" s="184" customFormat="1" ht="12.75" customHeight="1">
      <c r="B69" s="766" t="s">
        <v>1016</v>
      </c>
      <c r="C69" s="767">
        <f t="shared" ref="C69:P72" si="24">C61/C15</f>
        <v>0.10383315843479161</v>
      </c>
      <c r="D69" s="768">
        <f t="shared" si="24"/>
        <v>0.11942659886874962</v>
      </c>
      <c r="E69" s="768">
        <f t="shared" si="24"/>
        <v>9.2729980647876811E-2</v>
      </c>
      <c r="F69" s="768">
        <f t="shared" si="24"/>
        <v>0.20293754855573651</v>
      </c>
      <c r="G69" s="768">
        <f t="shared" si="24"/>
        <v>-1.1607451860024428E-2</v>
      </c>
      <c r="H69" s="768">
        <f t="shared" si="24"/>
        <v>8.8889240543570711E-2</v>
      </c>
      <c r="I69" s="768">
        <f t="shared" si="24"/>
        <v>5.5703806024301944E-2</v>
      </c>
      <c r="J69" s="768">
        <f t="shared" si="24"/>
        <v>3.8160018978164768E-2</v>
      </c>
      <c r="K69" s="768">
        <f t="shared" si="24"/>
        <v>-4.958273054331689E-2</v>
      </c>
      <c r="L69" s="768">
        <f t="shared" si="24"/>
        <v>0.2146233558560893</v>
      </c>
      <c r="M69" s="768">
        <f t="shared" si="24"/>
        <v>0.14327672268857722</v>
      </c>
      <c r="N69" s="768">
        <f t="shared" si="24"/>
        <v>1.8667932710235129E-2</v>
      </c>
      <c r="O69" s="769">
        <f t="shared" si="24"/>
        <v>9.3458293582685092E-2</v>
      </c>
      <c r="P69" s="770">
        <f t="shared" si="24"/>
        <v>9.3458293582685092E-2</v>
      </c>
    </row>
    <row r="70" spans="2:41" s="184" customFormat="1" ht="12.75" customHeight="1">
      <c r="B70" s="675" t="s">
        <v>921</v>
      </c>
      <c r="C70" s="719">
        <f t="shared" si="24"/>
        <v>-0.15906320893013962</v>
      </c>
      <c r="D70" s="720">
        <f t="shared" si="24"/>
        <v>2.145384049834196E-2</v>
      </c>
      <c r="E70" s="720">
        <f t="shared" si="24"/>
        <v>-6.4218514755915598E-2</v>
      </c>
      <c r="F70" s="720">
        <f t="shared" si="24"/>
        <v>-0.1123347313689692</v>
      </c>
      <c r="G70" s="720">
        <f t="shared" si="24"/>
        <v>-0.21302196637912021</v>
      </c>
      <c r="H70" s="720">
        <f t="shared" si="24"/>
        <v>-2.0616132930164611E-2</v>
      </c>
      <c r="I70" s="720">
        <f t="shared" si="24"/>
        <v>-0.14363572189470825</v>
      </c>
      <c r="J70" s="720">
        <f t="shared" si="24"/>
        <v>0.28975051230451121</v>
      </c>
      <c r="K70" s="720">
        <f t="shared" si="24"/>
        <v>-3.6678834899741317E-2</v>
      </c>
      <c r="L70" s="720">
        <f t="shared" si="24"/>
        <v>0.10833658379488366</v>
      </c>
      <c r="M70" s="720">
        <f t="shared" si="24"/>
        <v>0.2858766895402558</v>
      </c>
      <c r="N70" s="720">
        <f t="shared" si="24"/>
        <v>-0.14485665749363125</v>
      </c>
      <c r="O70" s="731">
        <f t="shared" si="24"/>
        <v>2.1750452285497799E-2</v>
      </c>
      <c r="P70" s="732">
        <f t="shared" si="24"/>
        <v>2.1750452285497799E-2</v>
      </c>
    </row>
    <row r="71" spans="2:41" s="184" customFormat="1" ht="13">
      <c r="B71" s="733" t="s">
        <v>922</v>
      </c>
      <c r="C71" s="734">
        <f t="shared" si="24"/>
        <v>7.2907453197094754E-2</v>
      </c>
      <c r="D71" s="735">
        <f t="shared" si="24"/>
        <v>-0.13163039230881429</v>
      </c>
      <c r="E71" s="735">
        <f t="shared" si="24"/>
        <v>0.22418073335382502</v>
      </c>
      <c r="F71" s="735">
        <f t="shared" si="24"/>
        <v>8.8617073398674778E-2</v>
      </c>
      <c r="G71" s="735">
        <f t="shared" si="24"/>
        <v>0.26302798755765022</v>
      </c>
      <c r="H71" s="735">
        <f t="shared" si="24"/>
        <v>-5.1818837479224666E-2</v>
      </c>
      <c r="I71" s="735">
        <f t="shared" si="24"/>
        <v>3.5838562816446894E-2</v>
      </c>
      <c r="J71" s="735">
        <f t="shared" si="24"/>
        <v>0.17113957230700999</v>
      </c>
      <c r="K71" s="735">
        <f t="shared" si="24"/>
        <v>0.10059219121162505</v>
      </c>
      <c r="L71" s="735">
        <f t="shared" si="24"/>
        <v>0.23855139672444245</v>
      </c>
      <c r="M71" s="735">
        <f t="shared" si="24"/>
        <v>8.018237127132305E-2</v>
      </c>
      <c r="N71" s="735">
        <f t="shared" si="24"/>
        <v>6.4021857788698483E-2</v>
      </c>
      <c r="O71" s="760">
        <f t="shared" si="24"/>
        <v>0.10791316381606664</v>
      </c>
      <c r="P71" s="737">
        <f t="shared" si="24"/>
        <v>0.10791316381606664</v>
      </c>
    </row>
    <row r="72" spans="2:41" s="184" customFormat="1" ht="13.5" thickBot="1">
      <c r="B72" s="738" t="s">
        <v>1017</v>
      </c>
      <c r="C72" s="739">
        <f t="shared" si="24"/>
        <v>5.0668481553938348E-2</v>
      </c>
      <c r="D72" s="740">
        <f t="shared" si="24"/>
        <v>-2.8200910921938844E-2</v>
      </c>
      <c r="E72" s="740">
        <f t="shared" si="24"/>
        <v>-7.5813654023994828E-2</v>
      </c>
      <c r="F72" s="740">
        <f t="shared" si="24"/>
        <v>-0.16231940277367959</v>
      </c>
      <c r="G72" s="740">
        <f t="shared" si="24"/>
        <v>-4.1394437621234161E-2</v>
      </c>
      <c r="H72" s="740">
        <f t="shared" si="24"/>
        <v>-3.1793234845930773E-2</v>
      </c>
      <c r="I72" s="740">
        <f t="shared" si="24"/>
        <v>9.5600225814239936E-3</v>
      </c>
      <c r="J72" s="740">
        <f t="shared" si="24"/>
        <v>3.03780249388346E-2</v>
      </c>
      <c r="K72" s="740">
        <f t="shared" si="24"/>
        <v>4.9596026581744654E-2</v>
      </c>
      <c r="L72" s="740">
        <f t="shared" si="24"/>
        <v>0.11896185047789529</v>
      </c>
      <c r="M72" s="740">
        <f t="shared" si="24"/>
        <v>0.14892550838756929</v>
      </c>
      <c r="N72" s="740">
        <f t="shared" si="24"/>
        <v>0.11591735972940281</v>
      </c>
      <c r="O72" s="742">
        <f t="shared" si="24"/>
        <v>2.8418633484914892E-2</v>
      </c>
      <c r="P72" s="743">
        <f t="shared" si="24"/>
        <v>2.8418633484914892E-2</v>
      </c>
    </row>
    <row r="73" spans="2:41" s="184" customFormat="1" ht="7.5" customHeight="1" outlineLevel="1" thickBot="1">
      <c r="B73"/>
      <c r="C73" s="692"/>
      <c r="D73" s="693"/>
      <c r="E73" s="693"/>
      <c r="F73" s="693"/>
      <c r="G73" s="693"/>
      <c r="H73" s="693"/>
      <c r="I73" s="693"/>
      <c r="J73" s="693"/>
      <c r="K73" s="693"/>
      <c r="L73" s="693"/>
      <c r="M73" s="693"/>
      <c r="N73" s="693"/>
      <c r="O73" s="694"/>
      <c r="P73" s="694"/>
      <c r="S73" s="413"/>
      <c r="T73" s="674"/>
      <c r="U73" s="674"/>
      <c r="V73" s="674"/>
      <c r="W73" s="674"/>
      <c r="X73" s="674"/>
      <c r="Y73" s="674"/>
      <c r="Z73" s="674"/>
      <c r="AA73" s="674"/>
      <c r="AB73" s="674"/>
      <c r="AC73" s="674"/>
      <c r="AD73" s="674"/>
      <c r="AE73" s="674"/>
    </row>
    <row r="74" spans="2:41" s="184" customFormat="1" ht="13" outlineLevel="1">
      <c r="B74" s="1059" t="s">
        <v>314</v>
      </c>
      <c r="C74" s="1060" t="s">
        <v>874</v>
      </c>
      <c r="D74" s="1061" t="s">
        <v>875</v>
      </c>
      <c r="E74" s="1061" t="s">
        <v>876</v>
      </c>
      <c r="F74" s="1061" t="s">
        <v>877</v>
      </c>
      <c r="G74" s="1061" t="s">
        <v>878</v>
      </c>
      <c r="H74" s="1061" t="s">
        <v>879</v>
      </c>
      <c r="I74" s="1061" t="s">
        <v>880</v>
      </c>
      <c r="J74" s="1061" t="s">
        <v>881</v>
      </c>
      <c r="K74" s="1061" t="s">
        <v>882</v>
      </c>
      <c r="L74" s="1061" t="s">
        <v>883</v>
      </c>
      <c r="M74" s="1061" t="s">
        <v>884</v>
      </c>
      <c r="N74" s="1061" t="s">
        <v>885</v>
      </c>
      <c r="O74" s="1075" t="str">
        <f>"Acum "&amp;LEFT($O$2,3)</f>
        <v>Acum DIC</v>
      </c>
      <c r="P74" s="1076" t="s">
        <v>886</v>
      </c>
      <c r="S74" s="1562" t="s">
        <v>314</v>
      </c>
      <c r="T74" s="1562" t="s">
        <v>888</v>
      </c>
      <c r="U74" s="1562" t="s">
        <v>875</v>
      </c>
      <c r="V74" s="1562" t="s">
        <v>876</v>
      </c>
      <c r="W74" s="1562" t="s">
        <v>877</v>
      </c>
      <c r="X74" s="1562" t="s">
        <v>878</v>
      </c>
      <c r="Y74" s="1562" t="s">
        <v>879</v>
      </c>
      <c r="Z74" s="1562" t="s">
        <v>880</v>
      </c>
      <c r="AA74" s="1562" t="s">
        <v>881</v>
      </c>
      <c r="AB74" s="1562" t="s">
        <v>882</v>
      </c>
      <c r="AC74" s="1562" t="s">
        <v>883</v>
      </c>
      <c r="AD74" s="1562" t="s">
        <v>884</v>
      </c>
      <c r="AE74" s="1562" t="s">
        <v>885</v>
      </c>
    </row>
    <row r="75" spans="2:41" s="184" customFormat="1" ht="13" outlineLevel="1">
      <c r="B75" s="675" t="s">
        <v>1007</v>
      </c>
      <c r="C75" s="771">
        <v>-25.021392439999801</v>
      </c>
      <c r="D75" s="772">
        <v>-6.6854200000015203</v>
      </c>
      <c r="E75" s="772">
        <v>-37.527826969996603</v>
      </c>
      <c r="F75" s="772">
        <v>-34.014354909999199</v>
      </c>
      <c r="G75" s="772">
        <v>-27.447587060002601</v>
      </c>
      <c r="H75" s="772">
        <v>-36.368285000001201</v>
      </c>
      <c r="I75" s="772">
        <v>-34.111449999997397</v>
      </c>
      <c r="J75" s="772">
        <v>-13.09364549</v>
      </c>
      <c r="K75" s="772">
        <v>-23.633400000001199</v>
      </c>
      <c r="L75" s="772">
        <v>-25.148933519999499</v>
      </c>
      <c r="M75" s="772">
        <v>-71.081247729999504</v>
      </c>
      <c r="N75" s="772">
        <v>-49.510596300001403</v>
      </c>
      <c r="O75" s="696">
        <f>SUM(T75:AE75)</f>
        <v>-383.64413941999993</v>
      </c>
      <c r="P75" s="773">
        <f>SUM(C75:N75)</f>
        <v>-383.64413941999993</v>
      </c>
      <c r="S75" s="413">
        <f>$S$15</f>
        <v>2016</v>
      </c>
      <c r="T75" s="679">
        <f t="shared" ref="T75:AE78" si="25">IF(MONTH($S$4)&gt;=T$4,C75,0)</f>
        <v>-25.021392439999801</v>
      </c>
      <c r="U75" s="679">
        <f t="shared" si="25"/>
        <v>-6.6854200000015203</v>
      </c>
      <c r="V75" s="679">
        <f t="shared" si="25"/>
        <v>-37.527826969996603</v>
      </c>
      <c r="W75" s="679">
        <f t="shared" si="25"/>
        <v>-34.014354909999199</v>
      </c>
      <c r="X75" s="679">
        <f t="shared" si="25"/>
        <v>-27.447587060002601</v>
      </c>
      <c r="Y75" s="679">
        <f t="shared" si="25"/>
        <v>-36.368285000001201</v>
      </c>
      <c r="Z75" s="679">
        <f t="shared" si="25"/>
        <v>-34.111449999997397</v>
      </c>
      <c r="AA75" s="679">
        <f t="shared" si="25"/>
        <v>-13.09364549</v>
      </c>
      <c r="AB75" s="679">
        <f t="shared" si="25"/>
        <v>-23.633400000001199</v>
      </c>
      <c r="AC75" s="679">
        <f t="shared" si="25"/>
        <v>-25.148933519999499</v>
      </c>
      <c r="AD75" s="679">
        <f t="shared" si="25"/>
        <v>-71.081247729999504</v>
      </c>
      <c r="AE75" s="679">
        <f t="shared" si="25"/>
        <v>-49.510596300001403</v>
      </c>
    </row>
    <row r="76" spans="2:41" s="184" customFormat="1" ht="13" outlineLevel="1">
      <c r="B76" s="675" t="s">
        <v>898</v>
      </c>
      <c r="C76" s="771">
        <v>-145.09928860000099</v>
      </c>
      <c r="D76" s="772">
        <v>-170.39524057999802</v>
      </c>
      <c r="E76" s="772">
        <v>-199.257441</v>
      </c>
      <c r="F76" s="772">
        <v>-29.019670000000001</v>
      </c>
      <c r="G76" s="772">
        <v>-19.207759750000001</v>
      </c>
      <c r="H76" s="772">
        <v>-5.8171680099983218</v>
      </c>
      <c r="I76" s="772">
        <v>-102.03922669000244</v>
      </c>
      <c r="J76" s="772">
        <v>-46.367704689998625</v>
      </c>
      <c r="K76" s="772">
        <v>-88.222755930000304</v>
      </c>
      <c r="L76" s="772">
        <v>-183.37646809999848</v>
      </c>
      <c r="M76" s="772">
        <v>-265.11950136000058</v>
      </c>
      <c r="N76" s="772">
        <v>-319.77467507000171</v>
      </c>
      <c r="O76" s="696">
        <f>SUM(T76:AE76)</f>
        <v>-1573.6968997799995</v>
      </c>
      <c r="P76" s="747">
        <f>SUM(C76:N76)</f>
        <v>-1573.6968997799995</v>
      </c>
      <c r="S76" s="413">
        <f>$S$16</f>
        <v>2017</v>
      </c>
      <c r="T76" s="679">
        <f t="shared" si="25"/>
        <v>-145.09928860000099</v>
      </c>
      <c r="U76" s="679">
        <f t="shared" si="25"/>
        <v>-170.39524057999802</v>
      </c>
      <c r="V76" s="679">
        <f t="shared" si="25"/>
        <v>-199.257441</v>
      </c>
      <c r="W76" s="679">
        <f t="shared" si="25"/>
        <v>-29.019670000000001</v>
      </c>
      <c r="X76" s="679">
        <f t="shared" si="25"/>
        <v>-19.207759750000001</v>
      </c>
      <c r="Y76" s="679">
        <f t="shared" si="25"/>
        <v>-5.8171680099983218</v>
      </c>
      <c r="Z76" s="679">
        <f t="shared" si="25"/>
        <v>-102.03922669000244</v>
      </c>
      <c r="AA76" s="679">
        <f t="shared" si="25"/>
        <v>-46.367704689998625</v>
      </c>
      <c r="AB76" s="679">
        <f t="shared" si="25"/>
        <v>-88.222755930000304</v>
      </c>
      <c r="AC76" s="679">
        <f t="shared" si="25"/>
        <v>-183.37646809999848</v>
      </c>
      <c r="AD76" s="679">
        <f t="shared" si="25"/>
        <v>-265.11950136000058</v>
      </c>
      <c r="AE76" s="679">
        <f t="shared" si="25"/>
        <v>-319.77467507000171</v>
      </c>
    </row>
    <row r="77" spans="2:41" s="184" customFormat="1" ht="13" outlineLevel="1">
      <c r="B77" s="699" t="s">
        <v>1008</v>
      </c>
      <c r="C77" s="775">
        <v>-33.806595240001755</v>
      </c>
      <c r="D77" s="775">
        <v>-87.457662079997476</v>
      </c>
      <c r="E77" s="775">
        <v>-8.7680749299993064</v>
      </c>
      <c r="F77" s="775">
        <v>-39.259460750001224</v>
      </c>
      <c r="G77" s="775">
        <v>-81.305840119998393</v>
      </c>
      <c r="H77" s="775">
        <v>-198.51245062999993</v>
      </c>
      <c r="I77" s="775">
        <v>-87.284189070003507</v>
      </c>
      <c r="J77" s="775">
        <v>-74.700494609998316</v>
      </c>
      <c r="K77" s="775">
        <v>-20.843460769999773</v>
      </c>
      <c r="L77" s="775">
        <v>-69.728118310000298</v>
      </c>
      <c r="M77" s="775">
        <v>60.902339189997939</v>
      </c>
      <c r="N77" s="775">
        <v>-88.12000822000077</v>
      </c>
      <c r="O77" s="703">
        <f>SUM(T77:AE77)</f>
        <v>-728.88401554000257</v>
      </c>
      <c r="P77" s="754">
        <f>SUM(C77:N77)</f>
        <v>-728.88401554000257</v>
      </c>
      <c r="S77" s="413" t="str">
        <f>$S$17</f>
        <v xml:space="preserve"> 2018 (R) </v>
      </c>
      <c r="T77" s="679">
        <f t="shared" si="25"/>
        <v>-33.806595240001755</v>
      </c>
      <c r="U77" s="679">
        <f t="shared" si="25"/>
        <v>-87.457662079997476</v>
      </c>
      <c r="V77" s="679">
        <f t="shared" si="25"/>
        <v>-8.7680749299993064</v>
      </c>
      <c r="W77" s="679">
        <f t="shared" si="25"/>
        <v>-39.259460750001224</v>
      </c>
      <c r="X77" s="679">
        <f t="shared" si="25"/>
        <v>-81.305840119998393</v>
      </c>
      <c r="Y77" s="679">
        <f t="shared" si="25"/>
        <v>-198.51245062999993</v>
      </c>
      <c r="Z77" s="679">
        <f t="shared" si="25"/>
        <v>-87.284189070003507</v>
      </c>
      <c r="AA77" s="679">
        <f t="shared" si="25"/>
        <v>-74.700494609998316</v>
      </c>
      <c r="AB77" s="679">
        <f t="shared" si="25"/>
        <v>-20.843460769999773</v>
      </c>
      <c r="AC77" s="679">
        <f t="shared" si="25"/>
        <v>-69.728118310000298</v>
      </c>
      <c r="AD77" s="679">
        <f t="shared" si="25"/>
        <v>60.902339189997939</v>
      </c>
      <c r="AE77" s="679">
        <f t="shared" si="25"/>
        <v>-88.12000822000077</v>
      </c>
    </row>
    <row r="78" spans="2:41" s="184" customFormat="1" ht="13" outlineLevel="1">
      <c r="B78" s="706" t="s">
        <v>902</v>
      </c>
      <c r="C78" s="707">
        <v>-186.973555</v>
      </c>
      <c r="D78" s="708">
        <v>13.026445000001299</v>
      </c>
      <c r="E78" s="708">
        <v>13.026445000001299</v>
      </c>
      <c r="F78" s="708">
        <v>-219.973555000001</v>
      </c>
      <c r="G78" s="708">
        <v>13.026445000000001</v>
      </c>
      <c r="H78" s="708">
        <v>13.026445000000001</v>
      </c>
      <c r="I78" s="708">
        <v>13.026445000000001</v>
      </c>
      <c r="J78" s="708">
        <v>13.026445000000001</v>
      </c>
      <c r="K78" s="708">
        <v>13.026445000000001</v>
      </c>
      <c r="L78" s="708">
        <v>13.026445000000001</v>
      </c>
      <c r="M78" s="708">
        <v>13.026445000000001</v>
      </c>
      <c r="N78" s="708">
        <v>-38.123908</v>
      </c>
      <c r="O78" s="710">
        <f>SUM(T78:AE78)</f>
        <v>-327.83301299999823</v>
      </c>
      <c r="P78" s="757">
        <f>SUM(C78:N78)</f>
        <v>-327.83301299999823</v>
      </c>
      <c r="S78" s="413" t="str">
        <f>$S$18</f>
        <v xml:space="preserve"> 2018 (P) </v>
      </c>
      <c r="T78" s="679">
        <f t="shared" si="25"/>
        <v>-186.973555</v>
      </c>
      <c r="U78" s="679">
        <f t="shared" si="25"/>
        <v>13.026445000001299</v>
      </c>
      <c r="V78" s="679">
        <f t="shared" si="25"/>
        <v>13.026445000001299</v>
      </c>
      <c r="W78" s="679">
        <f t="shared" si="25"/>
        <v>-219.973555000001</v>
      </c>
      <c r="X78" s="679">
        <f t="shared" si="25"/>
        <v>13.026445000000001</v>
      </c>
      <c r="Y78" s="679">
        <f t="shared" si="25"/>
        <v>13.026445000000001</v>
      </c>
      <c r="Z78" s="679">
        <f t="shared" si="25"/>
        <v>13.026445000000001</v>
      </c>
      <c r="AA78" s="679">
        <f t="shared" si="25"/>
        <v>13.026445000000001</v>
      </c>
      <c r="AB78" s="679">
        <f t="shared" si="25"/>
        <v>13.026445000000001</v>
      </c>
      <c r="AC78" s="679">
        <f t="shared" si="25"/>
        <v>13.026445000000001</v>
      </c>
      <c r="AD78" s="679">
        <f t="shared" si="25"/>
        <v>13.026445000000001</v>
      </c>
      <c r="AE78" s="679">
        <f t="shared" si="25"/>
        <v>-38.123908</v>
      </c>
    </row>
    <row r="79" spans="2:41" s="184" customFormat="1" ht="13" outlineLevel="1">
      <c r="B79" s="712" t="s">
        <v>904</v>
      </c>
      <c r="C79" s="713">
        <f t="shared" ref="C79:P79" si="26">C77/C78</f>
        <v>0.18080950132226856</v>
      </c>
      <c r="D79" s="714">
        <f t="shared" si="26"/>
        <v>-6.7138549373976364</v>
      </c>
      <c r="E79" s="714">
        <f t="shared" si="26"/>
        <v>-0.67309806551199747</v>
      </c>
      <c r="F79" s="714">
        <f t="shared" si="26"/>
        <v>0.17847354764985748</v>
      </c>
      <c r="G79" s="714">
        <f t="shared" si="26"/>
        <v>-6.2415985420426212</v>
      </c>
      <c r="H79" s="714">
        <f t="shared" si="26"/>
        <v>-15.239188483887961</v>
      </c>
      <c r="I79" s="714">
        <f t="shared" si="26"/>
        <v>-6.7005379495329311</v>
      </c>
      <c r="J79" s="714">
        <f t="shared" si="26"/>
        <v>-5.7345265427365879</v>
      </c>
      <c r="K79" s="714">
        <f t="shared" si="26"/>
        <v>-1.6000881875292738</v>
      </c>
      <c r="L79" s="714">
        <f t="shared" si="26"/>
        <v>-5.3528125524654113</v>
      </c>
      <c r="M79" s="714">
        <f t="shared" si="26"/>
        <v>4.6752847142868168</v>
      </c>
      <c r="N79" s="714">
        <f t="shared" si="26"/>
        <v>2.3114106827663305</v>
      </c>
      <c r="O79" s="779">
        <f t="shared" si="26"/>
        <v>2.2233392813920374</v>
      </c>
      <c r="P79" s="780">
        <f t="shared" si="26"/>
        <v>2.2233392813920374</v>
      </c>
    </row>
    <row r="80" spans="2:41" s="184" customFormat="1" ht="13" outlineLevel="1">
      <c r="B80" s="718" t="s">
        <v>1011</v>
      </c>
      <c r="C80" s="781">
        <f t="shared" ref="C80:P81" si="27">C76/C75-1</f>
        <v>4.7990093456206608</v>
      </c>
      <c r="D80" s="765">
        <f t="shared" si="27"/>
        <v>24.487589497736757</v>
      </c>
      <c r="E80" s="765">
        <f t="shared" si="27"/>
        <v>4.3095917639810528</v>
      </c>
      <c r="F80" s="765">
        <f t="shared" si="27"/>
        <v>-0.14684050081840327</v>
      </c>
      <c r="G80" s="765">
        <f t="shared" si="27"/>
        <v>-0.30020224699496112</v>
      </c>
      <c r="H80" s="765">
        <f t="shared" si="27"/>
        <v>-0.84004832754697867</v>
      </c>
      <c r="I80" s="765">
        <f t="shared" si="27"/>
        <v>1.9913482625338479</v>
      </c>
      <c r="J80" s="765">
        <f t="shared" si="27"/>
        <v>2.5412372150606184</v>
      </c>
      <c r="K80" s="765">
        <f t="shared" si="27"/>
        <v>2.7329692693389789</v>
      </c>
      <c r="L80" s="765">
        <f t="shared" si="27"/>
        <v>6.2916200583285065</v>
      </c>
      <c r="M80" s="765">
        <f t="shared" si="27"/>
        <v>2.7298093354670834</v>
      </c>
      <c r="N80" s="765">
        <f t="shared" si="27"/>
        <v>5.4587118509415458</v>
      </c>
      <c r="O80" s="783">
        <f t="shared" si="27"/>
        <v>3.1019703889107824</v>
      </c>
      <c r="P80" s="784">
        <f t="shared" si="27"/>
        <v>3.1019703889107824</v>
      </c>
      <c r="AO80" s="523"/>
    </row>
    <row r="81" spans="2:31" s="184" customFormat="1" ht="13.5" outlineLevel="1" thickBot="1">
      <c r="B81" s="723" t="s">
        <v>905</v>
      </c>
      <c r="C81" s="785">
        <f t="shared" si="27"/>
        <v>-0.76701060655647124</v>
      </c>
      <c r="D81" s="786">
        <f t="shared" si="27"/>
        <v>-0.48673647349359261</v>
      </c>
      <c r="E81" s="786">
        <f t="shared" si="27"/>
        <v>-0.95599624844123487</v>
      </c>
      <c r="F81" s="786">
        <f t="shared" si="27"/>
        <v>0.35285689844168533</v>
      </c>
      <c r="G81" s="786">
        <f t="shared" si="27"/>
        <v>3.2329684033036905</v>
      </c>
      <c r="H81" s="786">
        <f t="shared" si="27"/>
        <v>33.125273722334384</v>
      </c>
      <c r="I81" s="786">
        <f t="shared" si="27"/>
        <v>-0.14460162134337884</v>
      </c>
      <c r="J81" s="786">
        <f t="shared" si="27"/>
        <v>0.61104577225516588</v>
      </c>
      <c r="K81" s="786">
        <f t="shared" si="27"/>
        <v>-0.76374053893149896</v>
      </c>
      <c r="L81" s="786">
        <f t="shared" si="27"/>
        <v>-0.61975427364008173</v>
      </c>
      <c r="M81" s="786">
        <f t="shared" si="27"/>
        <v>-1.2297165575432334</v>
      </c>
      <c r="N81" s="786">
        <f t="shared" si="27"/>
        <v>-0.72443093499911937</v>
      </c>
      <c r="O81" s="788">
        <f t="shared" si="27"/>
        <v>-0.53683329004340075</v>
      </c>
      <c r="P81" s="789">
        <f t="shared" si="27"/>
        <v>-0.53683329004340075</v>
      </c>
    </row>
    <row r="82" spans="2:31" s="184" customFormat="1" ht="7.5" customHeight="1" thickBot="1">
      <c r="B82"/>
      <c r="C82" s="692"/>
      <c r="D82" s="693"/>
      <c r="E82" s="693"/>
      <c r="F82" s="693"/>
      <c r="G82" s="693"/>
      <c r="H82" s="693"/>
      <c r="I82" s="693"/>
      <c r="J82" s="693"/>
      <c r="K82" s="693"/>
      <c r="L82" s="693"/>
      <c r="M82" s="693"/>
      <c r="N82" s="693"/>
      <c r="O82" s="694"/>
      <c r="P82" s="694"/>
      <c r="S82" s="413"/>
      <c r="T82" s="674"/>
      <c r="U82" s="674"/>
      <c r="V82" s="674"/>
      <c r="W82" s="674"/>
      <c r="X82" s="674"/>
      <c r="Y82" s="674"/>
      <c r="Z82" s="674"/>
      <c r="AA82" s="674"/>
      <c r="AB82" s="674"/>
      <c r="AC82" s="674"/>
      <c r="AD82" s="674"/>
      <c r="AE82" s="674"/>
    </row>
    <row r="83" spans="2:31" s="184" customFormat="1" ht="13">
      <c r="B83" s="1059" t="s">
        <v>925</v>
      </c>
      <c r="C83" s="1060" t="s">
        <v>874</v>
      </c>
      <c r="D83" s="1061" t="s">
        <v>875</v>
      </c>
      <c r="E83" s="1061" t="s">
        <v>876</v>
      </c>
      <c r="F83" s="1061" t="s">
        <v>877</v>
      </c>
      <c r="G83" s="1061" t="s">
        <v>878</v>
      </c>
      <c r="H83" s="1061" t="s">
        <v>879</v>
      </c>
      <c r="I83" s="1061" t="s">
        <v>880</v>
      </c>
      <c r="J83" s="1061" t="s">
        <v>881</v>
      </c>
      <c r="K83" s="1061" t="s">
        <v>882</v>
      </c>
      <c r="L83" s="1061" t="s">
        <v>883</v>
      </c>
      <c r="M83" s="1061" t="s">
        <v>884</v>
      </c>
      <c r="N83" s="1061" t="s">
        <v>885</v>
      </c>
      <c r="O83" s="1062" t="str">
        <f>"Acum "&amp;LEFT($O$2,3)</f>
        <v>Acum DIC</v>
      </c>
      <c r="P83" s="1063" t="s">
        <v>886</v>
      </c>
    </row>
    <row r="84" spans="2:31" s="184" customFormat="1" ht="13">
      <c r="B84" s="790" t="s">
        <v>926</v>
      </c>
      <c r="C84" s="791">
        <v>0.62080515232567834</v>
      </c>
      <c r="D84" s="1077">
        <v>0.63101040953459031</v>
      </c>
      <c r="E84" s="1077">
        <v>0.5837081502124416</v>
      </c>
      <c r="F84" s="1077">
        <v>0.57741620146008488</v>
      </c>
      <c r="G84" s="1077">
        <v>0.54944579264520255</v>
      </c>
      <c r="H84" s="1077">
        <v>0.55494436280808235</v>
      </c>
      <c r="I84" s="1077">
        <v>0.55252123663387531</v>
      </c>
      <c r="J84" s="1077">
        <v>0.53501185527867146</v>
      </c>
      <c r="K84" s="1077">
        <v>0.52683430338159321</v>
      </c>
      <c r="L84" s="1077">
        <v>0.5034246831887893</v>
      </c>
      <c r="M84" s="1077">
        <v>0.49362677689918699</v>
      </c>
      <c r="N84" s="1077">
        <v>0.48981195390168325</v>
      </c>
      <c r="O84" s="793"/>
      <c r="P84" s="794">
        <v>0.48981195390168325</v>
      </c>
    </row>
    <row r="85" spans="2:31" s="184" customFormat="1" ht="13">
      <c r="B85" s="790" t="s">
        <v>927</v>
      </c>
      <c r="C85" s="791">
        <v>3.2289487757401325</v>
      </c>
      <c r="D85" s="1077">
        <v>3.3645363333898155</v>
      </c>
      <c r="E85" s="1077">
        <v>2.7231931023316922</v>
      </c>
      <c r="F85" s="1077">
        <v>2.4953999193004659</v>
      </c>
      <c r="G85" s="1077">
        <v>2.0506858861617698</v>
      </c>
      <c r="H85" s="1077">
        <v>1.9954459921045222</v>
      </c>
      <c r="I85" s="1077">
        <v>1.8415969261728964</v>
      </c>
      <c r="J85" s="1077">
        <v>1.9261824857677305</v>
      </c>
      <c r="K85" s="1077">
        <v>1.7398821573816861</v>
      </c>
      <c r="L85" s="1077">
        <v>1.5216085217468285</v>
      </c>
      <c r="M85" s="1077">
        <v>1.5556292291008673</v>
      </c>
      <c r="N85" s="1077">
        <v>1.5393386166842205</v>
      </c>
      <c r="O85" s="793"/>
      <c r="P85" s="794">
        <v>1.5393386166842205</v>
      </c>
    </row>
    <row r="86" spans="2:31" s="184" customFormat="1" ht="13">
      <c r="B86" s="790" t="s">
        <v>928</v>
      </c>
      <c r="C86" s="791">
        <v>1.637747837539536</v>
      </c>
      <c r="D86" s="1077">
        <v>1.6402094082618421</v>
      </c>
      <c r="E86" s="1077">
        <v>1.5723585765312211</v>
      </c>
      <c r="F86" s="1077">
        <v>1.5734576790346484</v>
      </c>
      <c r="G86" s="1077">
        <v>1.5566539706495375</v>
      </c>
      <c r="H86" s="1077">
        <v>1.5620299852901849</v>
      </c>
      <c r="I86" s="1077">
        <v>1.56322305232522</v>
      </c>
      <c r="J86" s="1077">
        <v>1.5542463925949102</v>
      </c>
      <c r="K86" s="1077">
        <v>1.5530142596848024</v>
      </c>
      <c r="L86" s="1077">
        <v>1.5489206794911392</v>
      </c>
      <c r="M86" s="1077">
        <v>1.5375370989499999</v>
      </c>
      <c r="N86" s="1077">
        <v>1.5393386166842205</v>
      </c>
      <c r="O86" s="793"/>
      <c r="P86" s="794">
        <v>1.5393386166842205</v>
      </c>
    </row>
    <row r="87" spans="2:31" s="184" customFormat="1" ht="13">
      <c r="B87" s="1565" t="s">
        <v>929</v>
      </c>
      <c r="C87" s="1078">
        <v>5.1501690050125202</v>
      </c>
      <c r="D87" s="1079">
        <v>0.88184237543482491</v>
      </c>
      <c r="E87" s="1079">
        <v>9.8825922719559909</v>
      </c>
      <c r="F87" s="1079">
        <v>3.3277868150279</v>
      </c>
      <c r="G87" s="1079">
        <v>7.8937251406528306</v>
      </c>
      <c r="H87" s="1079">
        <v>2.5928879572457864</v>
      </c>
      <c r="I87" s="1079">
        <v>3.7548296604130931</v>
      </c>
      <c r="J87" s="1079">
        <v>6.402422408421292</v>
      </c>
      <c r="K87" s="1079">
        <v>7.5200707494120982</v>
      </c>
      <c r="L87" s="1079">
        <v>13.215539545592138</v>
      </c>
      <c r="M87" s="1079">
        <v>8.249566611548099</v>
      </c>
      <c r="N87" s="1079">
        <v>4.8892656919174353</v>
      </c>
      <c r="O87" s="1566"/>
      <c r="P87" s="1567">
        <v>6.1231207502382823</v>
      </c>
    </row>
    <row r="88" spans="2:31" s="184" customFormat="1" ht="13">
      <c r="B88" s="790" t="s">
        <v>930</v>
      </c>
      <c r="C88" s="791">
        <v>5.1501690050125202</v>
      </c>
      <c r="D88" s="1077">
        <v>0.88184237543482491</v>
      </c>
      <c r="E88" s="1077">
        <v>1.5328186638804997</v>
      </c>
      <c r="F88" s="1077">
        <v>3.3277868150279</v>
      </c>
      <c r="G88" s="1077">
        <v>4.4379418130182344</v>
      </c>
      <c r="H88" s="1077">
        <v>2.5928879572457864</v>
      </c>
      <c r="I88" s="1077">
        <v>3.7548296604130931</v>
      </c>
      <c r="J88" s="1077">
        <v>3.5798246390192445</v>
      </c>
      <c r="K88" s="1077">
        <v>7.5200707494120982</v>
      </c>
      <c r="L88" s="1077">
        <v>13.215539545592138</v>
      </c>
      <c r="M88" s="1077">
        <v>4.4634804028936692</v>
      </c>
      <c r="N88" s="1077">
        <v>4.8892656919174353</v>
      </c>
      <c r="O88" s="793"/>
      <c r="P88" s="794">
        <v>5.1197398541179835</v>
      </c>
    </row>
    <row r="89" spans="2:31" s="184" customFormat="1" ht="13">
      <c r="B89" s="790" t="s">
        <v>931</v>
      </c>
      <c r="C89" s="791" t="s">
        <v>1018</v>
      </c>
      <c r="D89" s="1077">
        <v>9.6552776272624676</v>
      </c>
      <c r="E89" s="1077">
        <v>1.1343484220119899</v>
      </c>
      <c r="F89" s="1077" t="s">
        <v>1018</v>
      </c>
      <c r="G89" s="1077">
        <v>1.1330709402772217</v>
      </c>
      <c r="H89" s="1077">
        <v>5.8434311110530865</v>
      </c>
      <c r="I89" s="1077">
        <v>8.8011175195156177</v>
      </c>
      <c r="J89" s="1077">
        <v>7.3667201661520396</v>
      </c>
      <c r="K89" s="1077">
        <v>2.1031216703368365</v>
      </c>
      <c r="L89" s="1077" t="s">
        <v>1018</v>
      </c>
      <c r="M89" s="1077" t="s">
        <v>1018</v>
      </c>
      <c r="N89" s="1077">
        <v>14.4773274311738</v>
      </c>
      <c r="O89" s="793"/>
      <c r="P89" s="794">
        <v>2.5481399946429333</v>
      </c>
    </row>
    <row r="90" spans="2:31" s="184" customFormat="1" ht="13">
      <c r="B90" s="790" t="s">
        <v>932</v>
      </c>
      <c r="C90" s="791">
        <v>-0.22602744385328546</v>
      </c>
      <c r="D90" s="1077">
        <v>0.36278072682522894</v>
      </c>
      <c r="E90" s="1077">
        <v>0.20772732714931713</v>
      </c>
      <c r="F90" s="1077">
        <v>-1.3474262563337915E-2</v>
      </c>
      <c r="G90" s="1077">
        <v>7.2982828542408465E-2</v>
      </c>
      <c r="H90" s="1077">
        <v>0.24190515358364006</v>
      </c>
      <c r="I90" s="1077">
        <v>0.31915529333721626</v>
      </c>
      <c r="J90" s="1077">
        <v>0.43728788473715041</v>
      </c>
      <c r="K90" s="1077">
        <v>6.7005522375157847E-2</v>
      </c>
      <c r="L90" s="1077">
        <v>-0.12305586031268688</v>
      </c>
      <c r="M90" s="1077">
        <v>-6.5094762210547302E-2</v>
      </c>
      <c r="N90" s="1077">
        <v>0.4441150434935035</v>
      </c>
      <c r="O90" s="793"/>
      <c r="P90" s="794">
        <v>0.13627640854394055</v>
      </c>
    </row>
    <row r="91" spans="2:31" s="184" customFormat="1" ht="13">
      <c r="B91" s="1565" t="s">
        <v>933</v>
      </c>
      <c r="C91" s="1080">
        <v>129.83049807695576</v>
      </c>
      <c r="D91" s="1080">
        <v>105.47955426047416</v>
      </c>
      <c r="E91" s="1080">
        <v>104.27981352890157</v>
      </c>
      <c r="F91" s="1080">
        <v>105.56460519303856</v>
      </c>
      <c r="G91" s="1080">
        <v>91.783842590435896</v>
      </c>
      <c r="H91" s="1080">
        <v>78.807481660491234</v>
      </c>
      <c r="I91" s="1080">
        <v>84.487585960488616</v>
      </c>
      <c r="J91" s="1080">
        <v>73.920770671237051</v>
      </c>
      <c r="K91" s="1080">
        <v>73.589180268053028</v>
      </c>
      <c r="L91" s="1080">
        <v>92.275775518770345</v>
      </c>
      <c r="M91" s="1080">
        <v>94.093276592230126</v>
      </c>
      <c r="N91" s="1080">
        <v>80.826189952547296</v>
      </c>
      <c r="O91" s="1568"/>
      <c r="P91" s="1569">
        <f>N91</f>
        <v>80.826189952547296</v>
      </c>
      <c r="Q91" s="523"/>
    </row>
    <row r="92" spans="2:31" s="184" customFormat="1" ht="13.5" thickBot="1">
      <c r="B92" s="795" t="s">
        <v>934</v>
      </c>
      <c r="C92" s="1570">
        <v>83.803590599530636</v>
      </c>
      <c r="D92" s="1570">
        <v>88.450617813229329</v>
      </c>
      <c r="E92" s="1570">
        <v>80.893113283817186</v>
      </c>
      <c r="F92" s="1570">
        <v>88.393977598761481</v>
      </c>
      <c r="G92" s="1570">
        <v>63.157364889828948</v>
      </c>
      <c r="H92" s="1570">
        <v>76.021746453841345</v>
      </c>
      <c r="I92" s="1570">
        <v>54.855802666779496</v>
      </c>
      <c r="J92" s="1570">
        <v>46.901049240661727</v>
      </c>
      <c r="K92" s="1570">
        <v>53.228848759807214</v>
      </c>
      <c r="L92" s="1570">
        <v>69.0082188125578</v>
      </c>
      <c r="M92" s="1570">
        <v>52.910028029423408</v>
      </c>
      <c r="N92" s="1570">
        <v>71.0356066335398</v>
      </c>
      <c r="O92" s="796"/>
      <c r="P92" s="797">
        <f>N92</f>
        <v>71.0356066335398</v>
      </c>
    </row>
    <row r="93" spans="2:31" s="184" customFormat="1" ht="13.5" outlineLevel="1" thickBot="1">
      <c r="C93" s="798"/>
      <c r="D93" s="798"/>
      <c r="E93" s="798"/>
      <c r="F93" s="798"/>
      <c r="G93" s="798"/>
      <c r="H93" s="798"/>
      <c r="I93" s="798"/>
      <c r="J93" s="798"/>
      <c r="K93" s="798"/>
      <c r="L93" s="798"/>
      <c r="M93" s="798"/>
      <c r="N93" s="798"/>
      <c r="O93" s="413"/>
      <c r="P93" s="413"/>
    </row>
    <row r="94" spans="2:31" s="184" customFormat="1" ht="13.5" outlineLevel="1" thickBot="1">
      <c r="B94" s="1059" t="s">
        <v>935</v>
      </c>
      <c r="C94" s="799">
        <f>SUM(D48:$N48,$C49:C49)</f>
        <v>2187.5310699999991</v>
      </c>
      <c r="D94" s="799">
        <f>SUM(E48:$N48,$C49:D49)</f>
        <v>2102.5310926699985</v>
      </c>
      <c r="E94" s="799">
        <f>SUM(F48:$N48,$C49:E49)</f>
        <v>2490.2417293299995</v>
      </c>
      <c r="F94" s="799">
        <f>SUM(G48:$N48,$C49:F49)</f>
        <v>2719.46366425</v>
      </c>
      <c r="G94" s="799">
        <f>SUM(H48:$N48,$C49:G49)</f>
        <v>3273.8689591099997</v>
      </c>
      <c r="H94" s="799">
        <f>SUM(I48:$N48,$C49:H49)</f>
        <v>3376.1189490400002</v>
      </c>
      <c r="I94" s="799">
        <f>SUM(J48:$N48,$C49:I49)</f>
        <v>3660.957778779999</v>
      </c>
      <c r="J94" s="799">
        <f>SUM(K48:$N48,$C49:J49)</f>
        <v>3480.0925138399989</v>
      </c>
      <c r="K94" s="799">
        <f>SUM(L48:$N48,$C49:K49)</f>
        <v>3849.6740525000009</v>
      </c>
      <c r="L94" s="799">
        <f>SUM(M48:$N48,$C49:L49)</f>
        <v>4390.3040370600002</v>
      </c>
      <c r="M94" s="799">
        <f>SUM(N48:$N48,$C49:M49)</f>
        <v>4262.7303374100011</v>
      </c>
      <c r="N94" s="799">
        <f>SUM($C49:N49)</f>
        <v>4312.889694290001</v>
      </c>
      <c r="O94" s="801">
        <f>O49</f>
        <v>4312.889694290001</v>
      </c>
      <c r="P94" s="802">
        <f>P49</f>
        <v>4312.889694290001</v>
      </c>
    </row>
    <row r="95" spans="2:31" s="184" customFormat="1" ht="9.75" customHeight="1" thickBot="1">
      <c r="C95" s="413"/>
      <c r="D95" s="413"/>
      <c r="E95" s="413"/>
      <c r="F95" s="413"/>
      <c r="G95" s="413"/>
      <c r="H95" s="413"/>
      <c r="I95" s="413"/>
      <c r="J95" s="413"/>
      <c r="K95" s="803"/>
      <c r="L95" s="413"/>
      <c r="M95" s="413"/>
      <c r="N95" s="413"/>
      <c r="O95" s="413"/>
      <c r="P95" s="413"/>
    </row>
    <row r="96" spans="2:31" s="184" customFormat="1" ht="13.5" thickBot="1">
      <c r="B96" s="1059" t="s">
        <v>936</v>
      </c>
      <c r="C96" s="804"/>
      <c r="D96" s="804"/>
      <c r="E96" s="804"/>
      <c r="F96" s="804"/>
      <c r="G96" s="804"/>
      <c r="H96" s="804"/>
      <c r="I96" s="804"/>
      <c r="J96" s="805"/>
      <c r="K96" s="804"/>
      <c r="L96" s="804"/>
      <c r="M96" s="804"/>
      <c r="N96" s="804"/>
      <c r="O96" s="804"/>
      <c r="P96" s="804"/>
    </row>
    <row r="97" spans="2:16" s="184" customFormat="1" ht="20.25" customHeight="1">
      <c r="B97" s="1629" t="s">
        <v>1019</v>
      </c>
      <c r="C97" s="1630"/>
      <c r="D97" s="1630"/>
      <c r="E97" s="1630"/>
      <c r="F97" s="1630"/>
      <c r="G97" s="1630"/>
      <c r="H97" s="1630"/>
      <c r="I97" s="1630"/>
      <c r="J97" s="1630"/>
      <c r="K97" s="1630"/>
      <c r="L97" s="1630"/>
      <c r="M97" s="1630"/>
      <c r="N97" s="1630"/>
      <c r="O97" s="1630"/>
      <c r="P97" s="1631"/>
    </row>
    <row r="98" spans="2:16" s="184" customFormat="1" ht="20.25" customHeight="1">
      <c r="B98" s="1632"/>
      <c r="C98" s="1633"/>
      <c r="D98" s="1633"/>
      <c r="E98" s="1633"/>
      <c r="F98" s="1633"/>
      <c r="G98" s="1633"/>
      <c r="H98" s="1633"/>
      <c r="I98" s="1633"/>
      <c r="J98" s="1633"/>
      <c r="K98" s="1633"/>
      <c r="L98" s="1633"/>
      <c r="M98" s="1633"/>
      <c r="N98" s="1633"/>
      <c r="O98" s="1633"/>
      <c r="P98" s="1634"/>
    </row>
    <row r="99" spans="2:16" s="184" customFormat="1" ht="20.25" customHeight="1">
      <c r="B99" s="1632"/>
      <c r="C99" s="1633"/>
      <c r="D99" s="1633"/>
      <c r="E99" s="1633"/>
      <c r="F99" s="1633"/>
      <c r="G99" s="1633"/>
      <c r="H99" s="1633"/>
      <c r="I99" s="1633"/>
      <c r="J99" s="1633"/>
      <c r="K99" s="1633"/>
      <c r="L99" s="1633"/>
      <c r="M99" s="1633"/>
      <c r="N99" s="1633"/>
      <c r="O99" s="1633"/>
      <c r="P99" s="1634"/>
    </row>
    <row r="100" spans="2:16" s="184" customFormat="1" ht="20.25" customHeight="1">
      <c r="B100" s="1632"/>
      <c r="C100" s="1633"/>
      <c r="D100" s="1633"/>
      <c r="E100" s="1633"/>
      <c r="F100" s="1633"/>
      <c r="G100" s="1633"/>
      <c r="H100" s="1633"/>
      <c r="I100" s="1633"/>
      <c r="J100" s="1633"/>
      <c r="K100" s="1633"/>
      <c r="L100" s="1633"/>
      <c r="M100" s="1633"/>
      <c r="N100" s="1633"/>
      <c r="O100" s="1633"/>
      <c r="P100" s="1634"/>
    </row>
    <row r="101" spans="2:16" s="184" customFormat="1" ht="20.25" customHeight="1">
      <c r="B101" s="1632"/>
      <c r="C101" s="1633"/>
      <c r="D101" s="1633"/>
      <c r="E101" s="1633"/>
      <c r="F101" s="1633"/>
      <c r="G101" s="1633"/>
      <c r="H101" s="1633"/>
      <c r="I101" s="1633"/>
      <c r="J101" s="1633"/>
      <c r="K101" s="1633"/>
      <c r="L101" s="1633"/>
      <c r="M101" s="1633"/>
      <c r="N101" s="1633"/>
      <c r="O101" s="1633"/>
      <c r="P101" s="1634"/>
    </row>
    <row r="102" spans="2:16" ht="20.25" customHeight="1" thickBot="1">
      <c r="B102" s="1635"/>
      <c r="C102" s="1636"/>
      <c r="D102" s="1636"/>
      <c r="E102" s="1636"/>
      <c r="F102" s="1636"/>
      <c r="G102" s="1636"/>
      <c r="H102" s="1636"/>
      <c r="I102" s="1636"/>
      <c r="J102" s="1636"/>
      <c r="K102" s="1636"/>
      <c r="L102" s="1636"/>
      <c r="M102" s="1636"/>
      <c r="N102" s="1636"/>
      <c r="O102" s="1636"/>
      <c r="P102" s="1637"/>
    </row>
    <row r="103" spans="2:16" ht="15" customHeight="1"/>
    <row r="104" spans="2:16" ht="15" customHeight="1">
      <c r="D104" s="806"/>
    </row>
    <row r="105" spans="2:16" ht="15" customHeight="1">
      <c r="C105"/>
      <c r="D105"/>
      <c r="E105"/>
      <c r="F105"/>
      <c r="G105"/>
      <c r="H105"/>
      <c r="I105"/>
      <c r="J105"/>
      <c r="K105"/>
      <c r="L105"/>
      <c r="M105"/>
      <c r="N105"/>
      <c r="O105" s="695"/>
    </row>
    <row r="106" spans="2:16" ht="15" customHeight="1"/>
  </sheetData>
  <mergeCells count="5">
    <mergeCell ref="C2:N3"/>
    <mergeCell ref="O2:P3"/>
    <mergeCell ref="C4:N4"/>
    <mergeCell ref="O4:P4"/>
    <mergeCell ref="B97:P102"/>
  </mergeCells>
  <printOptions horizontalCentered="1" verticalCentered="1"/>
  <pageMargins left="0" right="0" top="0" bottom="0" header="0" footer="0"/>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C00000"/>
  </sheetPr>
  <dimension ref="A1:C28"/>
  <sheetViews>
    <sheetView showGridLines="0" zoomScale="130" zoomScaleNormal="130" zoomScaleSheetLayoutView="120" workbookViewId="0"/>
  </sheetViews>
  <sheetFormatPr baseColWidth="10" defaultColWidth="0" defaultRowHeight="14.5"/>
  <cols>
    <col min="1" max="1" width="3.81640625" customWidth="1"/>
    <col min="2" max="2" width="109" style="184" customWidth="1"/>
    <col min="3" max="3" width="3.81640625" customWidth="1"/>
    <col min="4" max="16384" width="13" hidden="1"/>
  </cols>
  <sheetData>
    <row r="1" spans="2:2">
      <c r="B1" s="229" t="s">
        <v>18</v>
      </c>
    </row>
    <row r="3" spans="2:2" ht="65">
      <c r="B3" s="224" t="s">
        <v>19</v>
      </c>
    </row>
    <row r="4" spans="2:2">
      <c r="B4" s="225"/>
    </row>
    <row r="5" spans="2:2" ht="52">
      <c r="B5" s="224" t="s">
        <v>20</v>
      </c>
    </row>
    <row r="6" spans="2:2">
      <c r="B6" s="225"/>
    </row>
    <row r="7" spans="2:2" ht="52">
      <c r="B7" s="224" t="s">
        <v>21</v>
      </c>
    </row>
    <row r="8" spans="2:2">
      <c r="B8" s="225"/>
    </row>
    <row r="9" spans="2:2" ht="65">
      <c r="B9" s="224" t="s">
        <v>22</v>
      </c>
    </row>
    <row r="10" spans="2:2">
      <c r="B10" s="226"/>
    </row>
    <row r="12" spans="2:2">
      <c r="B12" s="226"/>
    </row>
    <row r="13" spans="2:2">
      <c r="B13" s="226"/>
    </row>
    <row r="14" spans="2:2">
      <c r="B14" s="226"/>
    </row>
    <row r="16" spans="2:2">
      <c r="B16" s="223"/>
    </row>
    <row r="18" spans="2:2">
      <c r="B18" s="227"/>
    </row>
    <row r="19" spans="2:2">
      <c r="B19" s="228"/>
    </row>
    <row r="20" spans="2:2">
      <c r="B20" s="227"/>
    </row>
    <row r="21" spans="2:2">
      <c r="B21" s="228"/>
    </row>
    <row r="22" spans="2:2">
      <c r="B22" s="227"/>
    </row>
    <row r="23" spans="2:2">
      <c r="B23" s="228"/>
    </row>
    <row r="24" spans="2:2">
      <c r="B24" s="227"/>
    </row>
    <row r="25" spans="2:2">
      <c r="B25" s="228"/>
    </row>
    <row r="26" spans="2:2">
      <c r="B26" s="227"/>
    </row>
    <row r="27" spans="2:2">
      <c r="B27" s="228"/>
    </row>
    <row r="28" spans="2:2">
      <c r="B28" s="22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sheetPr>
  <dimension ref="A1:I129"/>
  <sheetViews>
    <sheetView showGridLines="0" zoomScaleNormal="100" workbookViewId="0"/>
  </sheetViews>
  <sheetFormatPr baseColWidth="10" defaultColWidth="0" defaultRowHeight="0" customHeight="1" zeroHeight="1"/>
  <cols>
    <col min="1" max="1" width="3.1796875" style="184" customWidth="1"/>
    <col min="2" max="2" width="2.453125" style="184" customWidth="1"/>
    <col min="3" max="3" width="27.1796875" style="184" bestFit="1" customWidth="1"/>
    <col min="4" max="7" width="11.453125" style="184" customWidth="1"/>
    <col min="8" max="8" width="2" style="184" customWidth="1"/>
    <col min="9" max="9" width="14.81640625" style="184" customWidth="1"/>
    <col min="10" max="16384" width="14.81640625" style="184" hidden="1"/>
  </cols>
  <sheetData>
    <row r="1" spans="2:8" ht="13"/>
    <row r="2" spans="2:8" ht="18.5">
      <c r="B2" s="444"/>
      <c r="C2" s="468" t="str">
        <f>+Cover!B26</f>
        <v>TGT Gamas</v>
      </c>
      <c r="D2" s="444"/>
      <c r="E2" s="444"/>
      <c r="F2" s="444"/>
      <c r="G2" s="444"/>
      <c r="H2" s="444"/>
    </row>
    <row r="3" spans="2:8" ht="16.5" customHeight="1">
      <c r="B3" s="444"/>
      <c r="C3" s="469" t="s">
        <v>23</v>
      </c>
      <c r="D3" s="444"/>
      <c r="E3" s="444"/>
      <c r="F3" s="444"/>
      <c r="G3" s="444"/>
      <c r="H3" s="444"/>
    </row>
    <row r="4" spans="2:8" ht="16.5" customHeight="1">
      <c r="B4" s="444"/>
      <c r="C4" s="445"/>
      <c r="D4" s="444"/>
      <c r="E4" s="444"/>
      <c r="F4" s="444"/>
      <c r="G4" s="444"/>
      <c r="H4" s="444"/>
    </row>
    <row r="5" spans="2:8" ht="13">
      <c r="B5" s="446"/>
      <c r="C5" s="447" t="s">
        <v>24</v>
      </c>
      <c r="D5" s="447"/>
      <c r="E5" s="446"/>
      <c r="F5" s="446"/>
      <c r="G5" s="446"/>
      <c r="H5" s="446"/>
    </row>
    <row r="6" spans="2:8" ht="14.25" customHeight="1">
      <c r="C6" s="223"/>
      <c r="D6" s="223"/>
    </row>
    <row r="7" spans="2:8" ht="13">
      <c r="C7" s="448" t="s">
        <v>25</v>
      </c>
      <c r="D7" s="449" t="s">
        <v>26</v>
      </c>
      <c r="E7" s="450"/>
      <c r="F7" s="445"/>
    </row>
    <row r="8" spans="2:8" ht="13">
      <c r="C8" s="451" t="s">
        <v>27</v>
      </c>
      <c r="D8" s="452" t="s">
        <v>28</v>
      </c>
      <c r="E8" s="453"/>
      <c r="F8" s="445"/>
    </row>
    <row r="9" spans="2:8" ht="13.5" thickBot="1"/>
    <row r="10" spans="2:8" ht="13">
      <c r="B10" s="454"/>
      <c r="C10" s="455" t="s">
        <v>29</v>
      </c>
      <c r="D10" s="456"/>
      <c r="E10" s="457"/>
      <c r="F10" s="457"/>
      <c r="G10" s="456"/>
      <c r="H10" s="458"/>
    </row>
    <row r="11" spans="2:8" ht="13">
      <c r="B11" s="459"/>
      <c r="H11" s="460"/>
    </row>
    <row r="12" spans="2:8" ht="13">
      <c r="B12" s="459"/>
      <c r="C12" s="462" t="s">
        <v>30</v>
      </c>
      <c r="D12" s="462"/>
      <c r="E12" s="413"/>
      <c r="H12" s="460"/>
    </row>
    <row r="13" spans="2:8" ht="13">
      <c r="B13" s="459"/>
      <c r="C13" s="184" t="s">
        <v>31</v>
      </c>
      <c r="D13" s="463" t="s">
        <v>32</v>
      </c>
      <c r="E13" s="461">
        <v>15</v>
      </c>
      <c r="H13" s="460"/>
    </row>
    <row r="14" spans="2:8" ht="13">
      <c r="B14" s="459"/>
      <c r="C14" s="223" t="s">
        <v>33</v>
      </c>
      <c r="D14" s="413"/>
      <c r="E14" s="413"/>
      <c r="H14" s="460"/>
    </row>
    <row r="15" spans="2:8" ht="13">
      <c r="B15" s="459"/>
      <c r="C15" s="184" t="s">
        <v>34</v>
      </c>
      <c r="D15" s="463" t="s">
        <v>35</v>
      </c>
      <c r="E15" s="464">
        <v>0.5</v>
      </c>
      <c r="H15" s="460"/>
    </row>
    <row r="16" spans="2:8" ht="13">
      <c r="B16" s="459"/>
      <c r="C16" s="184" t="s">
        <v>36</v>
      </c>
      <c r="D16" s="413" t="s">
        <v>32</v>
      </c>
      <c r="E16" s="461">
        <v>2024</v>
      </c>
      <c r="H16" s="460"/>
    </row>
    <row r="17" spans="2:9" ht="13">
      <c r="B17" s="459"/>
      <c r="D17" s="413"/>
      <c r="E17" s="413"/>
      <c r="H17" s="460"/>
    </row>
    <row r="18" spans="2:9" ht="13">
      <c r="B18" s="459"/>
      <c r="C18" s="462" t="s">
        <v>37</v>
      </c>
      <c r="D18" s="413"/>
      <c r="E18" s="413"/>
      <c r="H18" s="460"/>
    </row>
    <row r="19" spans="2:9" ht="13">
      <c r="B19" s="459"/>
      <c r="C19" s="223" t="s">
        <v>38</v>
      </c>
      <c r="D19" s="413"/>
      <c r="E19" s="413"/>
      <c r="H19" s="460"/>
    </row>
    <row r="20" spans="2:9" ht="13">
      <c r="B20" s="459"/>
      <c r="C20" s="184" t="s">
        <v>39</v>
      </c>
      <c r="D20" s="413"/>
      <c r="E20" s="461">
        <v>1</v>
      </c>
      <c r="H20" s="460"/>
      <c r="I20" s="184">
        <v>4772</v>
      </c>
    </row>
    <row r="21" spans="2:9" ht="13">
      <c r="B21" s="459"/>
      <c r="C21" s="184" t="s">
        <v>40</v>
      </c>
      <c r="D21" s="413"/>
      <c r="E21" s="461">
        <v>35</v>
      </c>
      <c r="H21" s="460"/>
      <c r="I21" s="184">
        <v>3350</v>
      </c>
    </row>
    <row r="22" spans="2:9" ht="13">
      <c r="B22" s="459"/>
      <c r="C22" s="184" t="s">
        <v>41</v>
      </c>
      <c r="D22" s="413"/>
      <c r="E22" s="582">
        <v>5261</v>
      </c>
      <c r="H22" s="460"/>
      <c r="I22" s="184">
        <f>I20-I21</f>
        <v>1422</v>
      </c>
    </row>
    <row r="23" spans="2:9" ht="13">
      <c r="B23" s="459"/>
      <c r="C23" s="223" t="s">
        <v>42</v>
      </c>
      <c r="D23" s="413"/>
      <c r="E23" s="604"/>
      <c r="H23" s="460"/>
    </row>
    <row r="24" spans="2:9" ht="13">
      <c r="B24" s="459"/>
      <c r="C24" s="184" t="s">
        <v>43</v>
      </c>
      <c r="D24" s="413"/>
      <c r="E24" s="582">
        <v>1</v>
      </c>
      <c r="H24" s="460"/>
    </row>
    <row r="25" spans="2:9" ht="13">
      <c r="B25" s="459"/>
      <c r="C25" s="223" t="s">
        <v>44</v>
      </c>
      <c r="D25" s="413"/>
      <c r="E25" s="604"/>
      <c r="H25" s="460"/>
    </row>
    <row r="26" spans="2:9" ht="13">
      <c r="B26" s="459"/>
      <c r="C26" s="184" t="s">
        <v>45</v>
      </c>
      <c r="D26" s="413"/>
      <c r="E26" s="582">
        <v>0</v>
      </c>
      <c r="H26" s="460"/>
    </row>
    <row r="27" spans="2:9" ht="13">
      <c r="B27" s="459"/>
      <c r="C27" s="223" t="s">
        <v>46</v>
      </c>
      <c r="D27" s="413"/>
      <c r="E27" s="413"/>
      <c r="H27" s="460"/>
    </row>
    <row r="28" spans="2:9" ht="13">
      <c r="B28" s="459"/>
      <c r="C28" s="184" t="s">
        <v>47</v>
      </c>
      <c r="D28" s="463" t="s">
        <v>48</v>
      </c>
      <c r="E28" s="461">
        <v>2</v>
      </c>
      <c r="H28" s="460"/>
    </row>
    <row r="29" spans="2:9" ht="13">
      <c r="B29" s="459"/>
      <c r="C29" s="184" t="s">
        <v>49</v>
      </c>
      <c r="D29" s="463" t="s">
        <v>35</v>
      </c>
      <c r="E29" s="464">
        <v>0.04</v>
      </c>
      <c r="H29" s="460"/>
    </row>
    <row r="30" spans="2:9" ht="13">
      <c r="B30" s="459"/>
      <c r="C30" s="184" t="s">
        <v>50</v>
      </c>
      <c r="D30" s="463" t="s">
        <v>32</v>
      </c>
      <c r="E30" s="461">
        <v>5</v>
      </c>
      <c r="H30" s="460"/>
    </row>
    <row r="31" spans="2:9" ht="13">
      <c r="B31" s="459"/>
      <c r="C31" s="223" t="s">
        <v>51</v>
      </c>
      <c r="D31" s="413"/>
      <c r="E31" s="413"/>
      <c r="H31" s="460"/>
    </row>
    <row r="32" spans="2:9" ht="13">
      <c r="B32" s="459"/>
      <c r="C32" s="184" t="s">
        <v>49</v>
      </c>
      <c r="D32" s="463" t="s">
        <v>35</v>
      </c>
      <c r="E32" s="474">
        <v>7.0000000000000007E-2</v>
      </c>
      <c r="H32" s="460"/>
    </row>
    <row r="33" spans="2:8" ht="13">
      <c r="B33" s="459"/>
      <c r="H33" s="460"/>
    </row>
    <row r="34" spans="2:8" ht="13.5" thickBot="1">
      <c r="B34" s="465"/>
      <c r="C34" s="466"/>
      <c r="D34" s="466"/>
      <c r="E34" s="466"/>
      <c r="F34" s="466"/>
      <c r="G34" s="466"/>
      <c r="H34" s="467"/>
    </row>
    <row r="35" spans="2:8" ht="13"/>
    <row r="36" spans="2:8" ht="13"/>
    <row r="37" spans="2:8" ht="13"/>
    <row r="38" spans="2:8" ht="13" hidden="1"/>
    <row r="39" spans="2:8" ht="13" hidden="1"/>
    <row r="40" spans="2:8" ht="13" hidden="1"/>
    <row r="41" spans="2:8" ht="13" hidden="1"/>
    <row r="42" spans="2:8" ht="13" hidden="1"/>
    <row r="43" spans="2:8" ht="13" hidden="1"/>
    <row r="44" spans="2:8" ht="13" hidden="1"/>
    <row r="45" spans="2:8" ht="13" hidden="1"/>
    <row r="46" spans="2:8" ht="13" hidden="1"/>
    <row r="47" spans="2:8" ht="13" hidden="1"/>
    <row r="48" spans="2:8" ht="13" hidden="1"/>
    <row r="49" ht="13" hidden="1"/>
    <row r="50" ht="13" hidden="1"/>
    <row r="51" ht="13" hidden="1"/>
    <row r="52" ht="13" hidden="1"/>
    <row r="53" ht="13" hidden="1"/>
    <row r="54" ht="13" hidden="1"/>
    <row r="55" ht="13" hidden="1"/>
    <row r="56" ht="13" hidden="1"/>
    <row r="57" ht="13" hidden="1"/>
    <row r="58" ht="13" hidden="1"/>
    <row r="59" ht="13" hidden="1"/>
    <row r="60" ht="13" hidden="1"/>
    <row r="61" ht="13" hidden="1"/>
    <row r="62" ht="13" hidden="1"/>
    <row r="63" ht="13" hidden="1"/>
    <row r="64" ht="13" hidden="1"/>
    <row r="65" ht="13" hidden="1"/>
    <row r="66" ht="13" hidden="1"/>
    <row r="67" ht="13" hidden="1"/>
    <row r="68" ht="13" hidden="1"/>
    <row r="69" ht="13" hidden="1"/>
    <row r="70" ht="13" hidden="1"/>
    <row r="71" ht="13" hidden="1"/>
    <row r="72" ht="13" hidden="1"/>
    <row r="73" ht="13" hidden="1"/>
    <row r="74" ht="13" hidden="1"/>
    <row r="75" ht="13" hidden="1"/>
    <row r="76" ht="13" hidden="1"/>
    <row r="77" ht="13" hidden="1"/>
    <row r="78" ht="13" hidden="1"/>
    <row r="79" ht="13" hidden="1"/>
    <row r="80" ht="13" hidden="1"/>
    <row r="81" ht="13" hidden="1"/>
    <row r="82" ht="13" hidden="1"/>
    <row r="83" ht="13" hidden="1"/>
    <row r="84" ht="13" hidden="1"/>
    <row r="85" ht="13" hidden="1"/>
    <row r="86" ht="13" hidden="1"/>
    <row r="87" ht="13" hidden="1"/>
    <row r="88" ht="13" hidden="1"/>
    <row r="89" ht="13" hidden="1"/>
    <row r="90" ht="13" hidden="1"/>
    <row r="91" ht="13" hidden="1"/>
    <row r="92" ht="13" hidden="1"/>
    <row r="93" ht="13" hidden="1"/>
    <row r="94" ht="13" hidden="1"/>
    <row r="95" ht="13" hidden="1"/>
    <row r="96" ht="13" hidden="1"/>
    <row r="97" ht="13" hidden="1"/>
    <row r="98" ht="13" hidden="1"/>
    <row r="99" ht="13" hidden="1"/>
    <row r="100" ht="13" hidden="1"/>
    <row r="101" ht="13" hidden="1"/>
    <row r="102" ht="13" hidden="1"/>
    <row r="103" ht="13" hidden="1"/>
    <row r="104" ht="13" hidden="1"/>
    <row r="105" ht="13" hidden="1"/>
    <row r="106" ht="13" hidden="1"/>
    <row r="107" ht="13" hidden="1"/>
    <row r="108" ht="13" hidden="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sheetData>
  <pageMargins left="0.7" right="0.7" top="0.75" bottom="0.75" header="0.3" footer="0.3"/>
  <pageSetup scale="5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F0"/>
  </sheetPr>
  <dimension ref="A1:BB197"/>
  <sheetViews>
    <sheetView showGridLines="0" tabSelected="1" zoomScale="115" zoomScaleNormal="115" workbookViewId="0">
      <pane xSplit="2" ySplit="3" topLeftCell="K56" activePane="bottomRight" state="frozen"/>
      <selection pane="topRight" activeCell="G27" sqref="G27"/>
      <selection pane="bottomLeft" activeCell="G27" sqref="G27"/>
      <selection pane="bottomRight" activeCell="Q68" sqref="Q68"/>
    </sheetView>
  </sheetViews>
  <sheetFormatPr baseColWidth="10" defaultColWidth="9.1796875" defaultRowHeight="14.5" zeroHeight="1" outlineLevelRow="2" outlineLevelCol="1"/>
  <cols>
    <col min="1" max="1" width="1.1796875" customWidth="1"/>
    <col min="2" max="2" width="30.7265625" customWidth="1"/>
    <col min="3" max="3" width="8.81640625" hidden="1" customWidth="1" outlineLevel="1"/>
    <col min="4" max="4" width="11.453125" hidden="1" customWidth="1" outlineLevel="1"/>
    <col min="5" max="5" width="8.81640625" hidden="1" customWidth="1" outlineLevel="1"/>
    <col min="6" max="6" width="9.1796875" hidden="1" customWidth="1" outlineLevel="1"/>
    <col min="7" max="10" width="10.1796875" hidden="1" customWidth="1" outlineLevel="1"/>
    <col min="11" max="11" width="10.1796875" customWidth="1" collapsed="1"/>
    <col min="12" max="14" width="8.81640625" customWidth="1"/>
    <col min="15" max="15" width="9.1796875" customWidth="1"/>
    <col min="16" max="19" width="10.26953125" customWidth="1"/>
    <col min="20" max="20" width="2.7265625" customWidth="1"/>
    <col min="21" max="22" width="9.1796875" style="89" customWidth="1" outlineLevel="1"/>
    <col min="23" max="23" width="8.81640625" customWidth="1"/>
    <col min="24" max="24" width="9.453125" customWidth="1" outlineLevel="1"/>
    <col min="25" max="38" width="8.81640625" customWidth="1" outlineLevel="1"/>
    <col min="39" max="39" width="8.81640625" customWidth="1"/>
    <col min="40" max="47" width="9.1796875" customWidth="1" outlineLevel="1"/>
    <col min="48" max="49" width="8.81640625" customWidth="1" outlineLevel="1"/>
    <col min="50" max="50" width="8.81640625" customWidth="1" outlineLevel="1" collapsed="1"/>
    <col min="51" max="51" width="8.81640625" customWidth="1" outlineLevel="1"/>
    <col min="52" max="54" width="9.1796875" customWidth="1" outlineLevel="1"/>
  </cols>
  <sheetData>
    <row r="1" spans="1:54" ht="18">
      <c r="A1" s="12" t="s">
        <v>52</v>
      </c>
      <c r="K1" s="1584" t="str">
        <f>+Cover!D38</f>
        <v>Base</v>
      </c>
      <c r="L1" s="1584"/>
      <c r="M1" s="263"/>
      <c r="N1" s="263"/>
      <c r="P1" s="263"/>
      <c r="Q1" s="263"/>
      <c r="R1" s="263"/>
      <c r="S1" s="263"/>
    </row>
    <row r="2" spans="1:54">
      <c r="A2" s="22"/>
      <c r="B2" s="22"/>
      <c r="C2" s="22"/>
      <c r="D2" s="36">
        <f t="shared" ref="D2:K2" si="0">ABS(+D74+D88-D108-D118-D125)</f>
        <v>3.637978807091713E-12</v>
      </c>
      <c r="E2" s="36">
        <f t="shared" si="0"/>
        <v>3.637978807091713E-12</v>
      </c>
      <c r="F2" s="36">
        <f t="shared" si="0"/>
        <v>1.9983417587354779E-8</v>
      </c>
      <c r="G2" s="36">
        <f t="shared" si="0"/>
        <v>3.7370000427472405E-4</v>
      </c>
      <c r="H2" s="36">
        <f>ABS(+H74+H88-H108-H118-H125)</f>
        <v>1.2242642500041256</v>
      </c>
      <c r="I2" s="336">
        <f t="shared" si="0"/>
        <v>0</v>
      </c>
      <c r="J2" s="36">
        <f>ABS(+J74+J88-J108-J118-J125)</f>
        <v>0.10024379000060435</v>
      </c>
      <c r="K2" s="36">
        <f t="shared" si="0"/>
        <v>1.8189894035458565E-12</v>
      </c>
      <c r="L2" s="36">
        <f t="shared" ref="L2:Q2" si="1">ABS(+L74+L88-L108-L118-L125)</f>
        <v>1.8189894035458565E-12</v>
      </c>
      <c r="M2" s="36">
        <f t="shared" si="1"/>
        <v>3.637978807091713E-12</v>
      </c>
      <c r="N2" s="36">
        <f>ABS(+N74+N88-N108-N118-N125)</f>
        <v>9.579799971106695E-4</v>
      </c>
      <c r="O2" s="36">
        <f ca="1">ABS(+O74+O88-O108-O118-O125)</f>
        <v>9.579799971106695E-4</v>
      </c>
      <c r="P2" s="36">
        <f t="shared" ca="1" si="1"/>
        <v>9.579799952916801E-4</v>
      </c>
      <c r="Q2" s="36">
        <f t="shared" ca="1" si="1"/>
        <v>9.5797999165370129E-4</v>
      </c>
      <c r="R2" s="36">
        <f ca="1">ABS(+R74+R88-R108-R118-R125)</f>
        <v>9.579799952916801E-4</v>
      </c>
      <c r="S2" s="36">
        <f ca="1">ABS(+S74+S88-S108-S118-S125)</f>
        <v>9.579799952916801E-4</v>
      </c>
      <c r="X2" s="115" t="s">
        <v>53</v>
      </c>
      <c r="AN2" s="115" t="s">
        <v>54</v>
      </c>
    </row>
    <row r="3" spans="1:54">
      <c r="A3" s="471" t="s">
        <v>55</v>
      </c>
      <c r="B3" s="471"/>
      <c r="C3" s="471"/>
      <c r="D3" s="471">
        <v>2012</v>
      </c>
      <c r="E3" s="471">
        <v>2013</v>
      </c>
      <c r="F3" s="471">
        <v>2014</v>
      </c>
      <c r="G3" s="471">
        <v>2015</v>
      </c>
      <c r="H3" s="471">
        <v>2016</v>
      </c>
      <c r="I3" s="471">
        <v>2017</v>
      </c>
      <c r="J3" s="471">
        <v>2018</v>
      </c>
      <c r="K3" s="471">
        <v>2019</v>
      </c>
      <c r="L3" s="471">
        <v>2020</v>
      </c>
      <c r="M3" s="471">
        <v>2021</v>
      </c>
      <c r="N3" s="471">
        <v>2022</v>
      </c>
      <c r="O3" s="470">
        <v>2023</v>
      </c>
      <c r="P3" s="470">
        <v>2024</v>
      </c>
      <c r="Q3" s="470">
        <v>2025</v>
      </c>
      <c r="R3" s="470">
        <v>2026</v>
      </c>
      <c r="S3" s="470">
        <f>+R3+1</f>
        <v>2027</v>
      </c>
      <c r="T3" s="120"/>
      <c r="U3" s="470" t="s">
        <v>56</v>
      </c>
      <c r="V3" s="470" t="s">
        <v>57</v>
      </c>
      <c r="X3" s="471">
        <v>2013</v>
      </c>
      <c r="Y3" s="471">
        <v>2014</v>
      </c>
      <c r="Z3" s="471">
        <v>2015</v>
      </c>
      <c r="AA3" s="471">
        <v>2016</v>
      </c>
      <c r="AB3" s="471">
        <v>2017</v>
      </c>
      <c r="AC3" s="471">
        <v>2018</v>
      </c>
      <c r="AD3" s="471">
        <v>2019</v>
      </c>
      <c r="AE3" s="471">
        <v>2020</v>
      </c>
      <c r="AF3" s="471">
        <f>+AE3+1</f>
        <v>2021</v>
      </c>
      <c r="AG3" s="470">
        <f>+AF3+1</f>
        <v>2022</v>
      </c>
      <c r="AH3" s="470">
        <f t="shared" ref="AH3:AL3" si="2">+AG3+1</f>
        <v>2023</v>
      </c>
      <c r="AI3" s="470">
        <f t="shared" si="2"/>
        <v>2024</v>
      </c>
      <c r="AJ3" s="470">
        <f t="shared" si="2"/>
        <v>2025</v>
      </c>
      <c r="AK3" s="470">
        <f t="shared" si="2"/>
        <v>2026</v>
      </c>
      <c r="AL3" s="470">
        <f t="shared" si="2"/>
        <v>2027</v>
      </c>
      <c r="AN3" s="471">
        <v>2013</v>
      </c>
      <c r="AO3" s="471">
        <v>2014</v>
      </c>
      <c r="AP3" s="471">
        <v>2015</v>
      </c>
      <c r="AQ3" s="471">
        <v>2016</v>
      </c>
      <c r="AR3" s="471">
        <v>2017</v>
      </c>
      <c r="AS3" s="471">
        <v>2018</v>
      </c>
      <c r="AT3" s="470">
        <v>2019</v>
      </c>
      <c r="AU3" s="470">
        <v>2020</v>
      </c>
      <c r="AV3" s="470">
        <f>+AU3+1</f>
        <v>2021</v>
      </c>
      <c r="AW3" s="470">
        <f>+AV3+1</f>
        <v>2022</v>
      </c>
      <c r="AX3" s="470">
        <f t="shared" ref="AX3:AY3" si="3">+AW3+1</f>
        <v>2023</v>
      </c>
      <c r="AY3" s="470">
        <f t="shared" si="3"/>
        <v>2024</v>
      </c>
      <c r="AZ3" s="470">
        <f t="shared" ref="AZ3:BB3" si="4">+AY3+1</f>
        <v>2025</v>
      </c>
      <c r="BA3" s="470">
        <f t="shared" si="4"/>
        <v>2026</v>
      </c>
      <c r="BB3" s="470">
        <f t="shared" si="4"/>
        <v>2027</v>
      </c>
    </row>
    <row r="4" spans="1:54">
      <c r="D4" s="91"/>
      <c r="E4" s="91"/>
      <c r="F4" s="1218"/>
      <c r="G4" s="1218"/>
      <c r="H4" s="1218"/>
      <c r="I4" s="1218"/>
      <c r="J4" s="1218"/>
      <c r="K4" s="1218"/>
      <c r="L4" s="1218"/>
      <c r="M4" s="1218"/>
      <c r="N4" s="1218"/>
      <c r="O4" s="650"/>
      <c r="P4" s="650"/>
      <c r="Q4" s="650"/>
      <c r="R4" s="650"/>
      <c r="S4" s="650"/>
      <c r="U4" s="108"/>
      <c r="V4" s="108"/>
      <c r="W4" s="30"/>
    </row>
    <row r="5" spans="1:54">
      <c r="A5" s="25"/>
      <c r="B5" s="185" t="s">
        <v>58</v>
      </c>
      <c r="C5" s="192" t="s">
        <v>59</v>
      </c>
      <c r="D5" s="23">
        <f t="shared" ref="D5:R5" si="5">+SUM(D7:D8)</f>
        <v>36281.367098260002</v>
      </c>
      <c r="E5" s="23">
        <f t="shared" si="5"/>
        <v>36755.28015785</v>
      </c>
      <c r="F5" s="23">
        <f t="shared" si="5"/>
        <v>39382.981392630005</v>
      </c>
      <c r="G5" s="23">
        <f t="shared" si="5"/>
        <v>16852.783245839997</v>
      </c>
      <c r="H5" s="23">
        <f t="shared" si="5"/>
        <v>6152.0267988899996</v>
      </c>
      <c r="I5" s="23">
        <f t="shared" si="5"/>
        <v>13628.814960450003</v>
      </c>
      <c r="J5" s="23">
        <f t="shared" si="5"/>
        <v>14150.533845459999</v>
      </c>
      <c r="K5" s="23">
        <f t="shared" si="5"/>
        <v>21229.350959210002</v>
      </c>
      <c r="L5" s="23">
        <f>+SUM(L7:L8)</f>
        <v>12619.88722998</v>
      </c>
      <c r="M5" s="23">
        <f>+SUM(M7:M8)</f>
        <v>15109.852025819999</v>
      </c>
      <c r="N5" s="23">
        <f>+SUM(N7:N8)</f>
        <v>30191.574558539996</v>
      </c>
      <c r="O5" s="23">
        <f>+SUM(O7:O8)</f>
        <v>30504.504468284191</v>
      </c>
      <c r="P5" s="23">
        <f t="shared" si="5"/>
        <v>34426.0831742148</v>
      </c>
      <c r="Q5" s="23">
        <f t="shared" si="5"/>
        <v>35736.118199632059</v>
      </c>
      <c r="R5" s="23">
        <f t="shared" si="5"/>
        <v>39176.222672674448</v>
      </c>
      <c r="S5" s="23">
        <f>+SUM(S7:S8)</f>
        <v>40755.024446383228</v>
      </c>
      <c r="U5" s="1278">
        <f>+IFERROR(((N5/I5)^(1/5))-1," ")</f>
        <v>0.17242625023628744</v>
      </c>
      <c r="V5" s="1278">
        <f>+IFERROR(((S5/I5)^(1/8))-1," ")</f>
        <v>0.14674111228733011</v>
      </c>
      <c r="W5" s="17"/>
      <c r="X5" s="1279">
        <f>+E5/E$5</f>
        <v>1</v>
      </c>
      <c r="Y5" s="1279">
        <f>+F5/$F$5</f>
        <v>1</v>
      </c>
      <c r="Z5" s="1279">
        <f>+G5/$G$5</f>
        <v>1</v>
      </c>
      <c r="AA5" s="1279">
        <f>+H5/$H$5</f>
        <v>1</v>
      </c>
      <c r="AB5" s="1279">
        <f>+I5/$I$5</f>
        <v>1</v>
      </c>
      <c r="AC5" s="1279">
        <f>+J5/$J$5</f>
        <v>1</v>
      </c>
      <c r="AD5" s="1279">
        <f>+K5/$K$5</f>
        <v>1</v>
      </c>
      <c r="AE5" s="1279">
        <f>+L5/$L$5</f>
        <v>1</v>
      </c>
      <c r="AF5" s="1279">
        <f>+M5/$M$5</f>
        <v>1</v>
      </c>
      <c r="AG5" s="1279">
        <f>+N5/N$5</f>
        <v>1</v>
      </c>
      <c r="AH5" s="1279">
        <f t="shared" ref="AH5:AL8" si="6">+O5/O$5</f>
        <v>1</v>
      </c>
      <c r="AI5" s="1279">
        <f t="shared" si="6"/>
        <v>1</v>
      </c>
      <c r="AJ5" s="1279">
        <f t="shared" si="6"/>
        <v>1</v>
      </c>
      <c r="AK5" s="1279">
        <f t="shared" si="6"/>
        <v>1</v>
      </c>
      <c r="AL5" s="1279">
        <f t="shared" si="6"/>
        <v>1</v>
      </c>
      <c r="AN5" s="1279">
        <f t="shared" ref="AN5:AW10" si="7">+IFERROR((E5/D5-1)," ")</f>
        <v>1.3062161034519848E-2</v>
      </c>
      <c r="AO5" s="1279">
        <f t="shared" si="7"/>
        <v>7.1491802633391055E-2</v>
      </c>
      <c r="AP5" s="1279">
        <f t="shared" si="7"/>
        <v>-0.57207954680155915</v>
      </c>
      <c r="AQ5" s="1279">
        <f t="shared" si="7"/>
        <v>-0.63495484934759427</v>
      </c>
      <c r="AR5" s="1279">
        <f t="shared" si="7"/>
        <v>1.215337384893874</v>
      </c>
      <c r="AS5" s="1279">
        <f t="shared" si="7"/>
        <v>3.8280575862537747E-2</v>
      </c>
      <c r="AT5" s="1279">
        <f t="shared" si="7"/>
        <v>0.50025088742649393</v>
      </c>
      <c r="AU5" s="1279">
        <f t="shared" si="7"/>
        <v>-0.4055453106301834</v>
      </c>
      <c r="AV5" s="1279">
        <f t="shared" si="7"/>
        <v>0.19730483723537562</v>
      </c>
      <c r="AW5" s="1279">
        <f t="shared" si="7"/>
        <v>0.9981383343098309</v>
      </c>
      <c r="AX5" s="1279">
        <f t="shared" ref="AX5:AX10" si="8">+IFERROR((O5/N5-1)," ")</f>
        <v>1.0364809199912228E-2</v>
      </c>
      <c r="AY5" s="1279">
        <f t="shared" ref="AY5:AY10" si="9">+IFERROR((P5/O5-1)," ")</f>
        <v>0.12855736470028245</v>
      </c>
      <c r="AZ5" s="1279">
        <f>+IFERROR((Q5/P5-1)," ")</f>
        <v>3.8053560109866824E-2</v>
      </c>
      <c r="BA5" s="1279">
        <f t="shared" ref="BA5:BA10" si="10">+IFERROR((R5/Q5-1)," ")</f>
        <v>9.6264078091106375E-2</v>
      </c>
      <c r="BB5" s="1279">
        <f t="shared" ref="BB5:BB10" si="11">+IFERROR((S5/R5-1)," ")</f>
        <v>4.0300000000000002E-2</v>
      </c>
    </row>
    <row r="6" spans="1:54">
      <c r="A6" s="25"/>
      <c r="B6" s="294" t="s">
        <v>60</v>
      </c>
      <c r="C6" s="1280"/>
      <c r="D6" s="1417"/>
      <c r="E6" s="1418">
        <f>IFERROR(E5/D5-1,"na")</f>
        <v>1.3062161034519848E-2</v>
      </c>
      <c r="F6" s="1418">
        <f t="shared" ref="F6:S6" si="12">IFERROR(F5/E5-1,"na")</f>
        <v>7.1491802633391055E-2</v>
      </c>
      <c r="G6" s="1418">
        <f t="shared" si="12"/>
        <v>-0.57207954680155915</v>
      </c>
      <c r="H6" s="1418">
        <f t="shared" si="12"/>
        <v>-0.63495484934759427</v>
      </c>
      <c r="I6" s="1418">
        <f t="shared" si="12"/>
        <v>1.215337384893874</v>
      </c>
      <c r="J6" s="1418">
        <f t="shared" si="12"/>
        <v>3.8280575862537747E-2</v>
      </c>
      <c r="K6" s="1417">
        <f t="shared" si="12"/>
        <v>0.50025088742649393</v>
      </c>
      <c r="L6" s="1417">
        <f t="shared" si="12"/>
        <v>-0.4055453106301834</v>
      </c>
      <c r="M6" s="1417">
        <f t="shared" si="12"/>
        <v>0.19730483723537562</v>
      </c>
      <c r="N6" s="1419">
        <f>IFERROR(N5/M5-1,"na")</f>
        <v>0.9981383343098309</v>
      </c>
      <c r="O6" s="1417">
        <f t="shared" si="12"/>
        <v>1.0364809199912228E-2</v>
      </c>
      <c r="P6" s="1417">
        <f t="shared" si="12"/>
        <v>0.12855736470028245</v>
      </c>
      <c r="Q6" s="1417">
        <f t="shared" si="12"/>
        <v>3.8053560109866824E-2</v>
      </c>
      <c r="R6" s="1417">
        <f t="shared" si="12"/>
        <v>9.6264078091106375E-2</v>
      </c>
      <c r="S6" s="1417">
        <f t="shared" si="12"/>
        <v>4.0300000000000002E-2</v>
      </c>
      <c r="U6" s="121"/>
      <c r="V6" s="121"/>
      <c r="W6" s="17"/>
      <c r="X6" s="123"/>
      <c r="Y6" s="123"/>
      <c r="Z6" s="123"/>
      <c r="AA6" s="123"/>
      <c r="AB6" s="123"/>
      <c r="AC6" s="123"/>
      <c r="AD6" s="123"/>
      <c r="AE6" s="123"/>
      <c r="AF6" s="123"/>
      <c r="AG6" s="123"/>
      <c r="AH6" s="123"/>
      <c r="AI6" s="123"/>
      <c r="AJ6" s="123"/>
      <c r="AK6" s="123"/>
      <c r="AL6" s="123"/>
      <c r="AN6" s="123"/>
      <c r="AO6" s="123"/>
      <c r="AP6" s="123"/>
      <c r="AQ6" s="123"/>
      <c r="AR6" s="123"/>
      <c r="AS6" s="123"/>
      <c r="AT6" s="123"/>
      <c r="AU6" s="123"/>
      <c r="AV6" s="123"/>
      <c r="AW6" s="123"/>
      <c r="AX6" s="123"/>
      <c r="AY6" s="123"/>
      <c r="AZ6" s="123"/>
      <c r="BA6" s="123"/>
      <c r="BB6" s="123"/>
    </row>
    <row r="7" spans="1:54" outlineLevel="1">
      <c r="B7" s="17" t="s">
        <v>61</v>
      </c>
      <c r="C7" s="24" t="s">
        <v>59</v>
      </c>
      <c r="D7" s="1116">
        <v>34990.834606559998</v>
      </c>
      <c r="E7" s="1116">
        <v>33557.775283460003</v>
      </c>
      <c r="F7" s="1116">
        <v>36375.923913590006</v>
      </c>
      <c r="G7" s="1116">
        <v>14092.882640259997</v>
      </c>
      <c r="H7" s="43">
        <v>5202.0920280999999</v>
      </c>
      <c r="I7" s="43">
        <v>12652.654207220003</v>
      </c>
      <c r="J7" s="43">
        <v>13226.848680189998</v>
      </c>
      <c r="K7" s="38">
        <f>+'Drivers Revenue'!K59</f>
        <v>20196.26603504</v>
      </c>
      <c r="L7" s="38">
        <f>+'Drivers Revenue'!L59</f>
        <v>11935.00906737</v>
      </c>
      <c r="M7" s="38">
        <f>+'Drivers Revenue'!M59</f>
        <v>13973.332470599998</v>
      </c>
      <c r="N7" s="168">
        <f>+'Drivers Revenue'!N59</f>
        <v>28185.660171689997</v>
      </c>
      <c r="O7" s="55">
        <f>+'Drivers Revenue'!O59</f>
        <v>28114.750662013081</v>
      </c>
      <c r="P7" s="55">
        <f>+'Drivers Revenue'!P59</f>
        <v>31729.108916327004</v>
      </c>
      <c r="Q7" s="55">
        <f>+'Drivers Revenue'!Q59</f>
        <v>32936.51446970697</v>
      </c>
      <c r="R7" s="55">
        <f>+'Drivers Revenue'!R59</f>
        <v>36107.117670667692</v>
      </c>
      <c r="S7" s="55">
        <f>+'Drivers Revenue'!S59</f>
        <v>37562.2345127956</v>
      </c>
      <c r="U7" s="95">
        <f>+IFERROR(((N7/I7)^(1/5))-1," ")</f>
        <v>0.17373299822360333</v>
      </c>
      <c r="V7" s="95">
        <f>+IFERROR(((S7/I7)^(1/8))-1," ")</f>
        <v>0.14570081647404343</v>
      </c>
      <c r="W7" s="17"/>
      <c r="X7" s="50">
        <f>+E7/$E$5</f>
        <v>0.91300556380857589</v>
      </c>
      <c r="Y7" s="50">
        <f>+F7/$F$5</f>
        <v>0.92364576340574533</v>
      </c>
      <c r="Z7" s="50">
        <f>+G7/$G$5</f>
        <v>0.83623472958027489</v>
      </c>
      <c r="AA7" s="50">
        <f>+H7/$H$5</f>
        <v>0.84558994915929253</v>
      </c>
      <c r="AB7" s="50">
        <f>+I7/$I$5</f>
        <v>0.92837522880288859</v>
      </c>
      <c r="AC7" s="50">
        <f>+J7/$J$5</f>
        <v>0.93472435914024887</v>
      </c>
      <c r="AD7" s="50">
        <f>+K7/$K$5</f>
        <v>0.95133695202670265</v>
      </c>
      <c r="AE7" s="50">
        <f>+L7/$L$5</f>
        <v>0.9457302470197203</v>
      </c>
      <c r="AF7" s="50">
        <f>+M7/$M$5</f>
        <v>0.92478287985362828</v>
      </c>
      <c r="AG7" s="50">
        <f t="shared" ref="AG7:AG8" si="13">+N7/N$5</f>
        <v>0.93356045796946996</v>
      </c>
      <c r="AH7" s="50">
        <f t="shared" si="6"/>
        <v>0.92165898617511521</v>
      </c>
      <c r="AI7" s="50">
        <f t="shared" si="6"/>
        <v>0.92165898617511521</v>
      </c>
      <c r="AJ7" s="50">
        <f t="shared" si="6"/>
        <v>0.92165898617511532</v>
      </c>
      <c r="AK7" s="50">
        <f t="shared" si="6"/>
        <v>0.9216589861751151</v>
      </c>
      <c r="AL7" s="50">
        <f t="shared" si="6"/>
        <v>0.9216589861751151</v>
      </c>
      <c r="AN7" s="50">
        <f t="shared" si="7"/>
        <v>-4.0955276980770505E-2</v>
      </c>
      <c r="AO7" s="50">
        <f t="shared" si="7"/>
        <v>8.397900654394741E-2</v>
      </c>
      <c r="AP7" s="50">
        <f t="shared" si="7"/>
        <v>-0.61257664069956697</v>
      </c>
      <c r="AQ7" s="50">
        <f t="shared" si="7"/>
        <v>-0.63087097502402623</v>
      </c>
      <c r="AR7" s="50">
        <f t="shared" si="7"/>
        <v>1.4322242165026116</v>
      </c>
      <c r="AS7" s="50">
        <f t="shared" si="7"/>
        <v>4.5381345571140486E-2</v>
      </c>
      <c r="AT7" s="50">
        <f t="shared" si="7"/>
        <v>0.52691442409015976</v>
      </c>
      <c r="AU7" s="50">
        <f t="shared" si="7"/>
        <v>-0.40904872976702389</v>
      </c>
      <c r="AV7" s="50">
        <f t="shared" si="7"/>
        <v>0.17078524127834327</v>
      </c>
      <c r="AW7" s="50">
        <f t="shared" si="7"/>
        <v>1.0171036673601552</v>
      </c>
      <c r="AX7" s="50">
        <f t="shared" si="8"/>
        <v>-2.5158009159614858E-3</v>
      </c>
      <c r="AY7" s="50">
        <f t="shared" si="9"/>
        <v>0.12855736470028245</v>
      </c>
      <c r="AZ7" s="50">
        <f t="shared" ref="AZ7:AZ10" si="14">+IFERROR((Q7/P7-1)," ")</f>
        <v>3.8053560109867046E-2</v>
      </c>
      <c r="BA7" s="50">
        <f t="shared" si="10"/>
        <v>9.6264078091106153E-2</v>
      </c>
      <c r="BB7" s="50">
        <f t="shared" si="11"/>
        <v>4.0300000000000002E-2</v>
      </c>
    </row>
    <row r="8" spans="1:54" outlineLevel="1">
      <c r="B8" s="186" t="s">
        <v>62</v>
      </c>
      <c r="C8" s="240" t="s">
        <v>59</v>
      </c>
      <c r="D8" s="1281">
        <f>+SUM(D9:D10)</f>
        <v>1290.5324917</v>
      </c>
      <c r="E8" s="1281">
        <f>+SUM(E9:E10)</f>
        <v>3197.5048743899997</v>
      </c>
      <c r="F8" s="1281">
        <f>+SUM(F9:F10)</f>
        <v>3007.0574790399996</v>
      </c>
      <c r="G8" s="1091">
        <f>+SUM(G9:G10)</f>
        <v>2759.90060558</v>
      </c>
      <c r="H8" s="1091">
        <f>+SUM(H9:H10)</f>
        <v>949.93477079000013</v>
      </c>
      <c r="I8" s="1091">
        <f t="shared" ref="I8:P8" si="15">+SUM(I9:I10)</f>
        <v>976.16075323000007</v>
      </c>
      <c r="J8" s="366">
        <f t="shared" si="15"/>
        <v>923.68516527000043</v>
      </c>
      <c r="K8" s="366">
        <f>+SUM(K9:K10)</f>
        <v>1033.08492417</v>
      </c>
      <c r="L8" s="366">
        <f t="shared" si="15"/>
        <v>684.87816261</v>
      </c>
      <c r="M8" s="366">
        <f t="shared" si="15"/>
        <v>1136.51955522</v>
      </c>
      <c r="N8" s="1194">
        <f t="shared" si="15"/>
        <v>2005.9143868500003</v>
      </c>
      <c r="O8" s="366">
        <f t="shared" si="15"/>
        <v>2389.7538062711119</v>
      </c>
      <c r="P8" s="366">
        <f t="shared" si="15"/>
        <v>2696.9742578877954</v>
      </c>
      <c r="Q8" s="366">
        <f>+SUM(Q9:Q10)</f>
        <v>2799.6037299250925</v>
      </c>
      <c r="R8" s="366">
        <f>+SUM(R9:R10)</f>
        <v>3069.1050020067541</v>
      </c>
      <c r="S8" s="366">
        <f>+SUM(S9:S10)</f>
        <v>3192.7899335876264</v>
      </c>
      <c r="U8" s="256">
        <f>+IFERROR(((N8/I8)^(1/5))-1," ")</f>
        <v>0.15493677476078416</v>
      </c>
      <c r="V8" s="256">
        <f>+IFERROR(((S8/I8)^(1/8))-1," ")</f>
        <v>0.15966119621870867</v>
      </c>
      <c r="W8" s="17"/>
      <c r="X8" s="230">
        <f>+E8/$E$5</f>
        <v>8.6994436191424149E-2</v>
      </c>
      <c r="Y8" s="230">
        <f>+F8/$F$5</f>
        <v>7.6354236594254637E-2</v>
      </c>
      <c r="Z8" s="230">
        <f>+G8/$G$5</f>
        <v>0.16376527041972513</v>
      </c>
      <c r="AA8" s="230">
        <f>+H8/$H$5</f>
        <v>0.15441005084070755</v>
      </c>
      <c r="AB8" s="230">
        <f>+I8/$I$5</f>
        <v>7.1624771197111387E-2</v>
      </c>
      <c r="AC8" s="230">
        <f>+J8/$J$5</f>
        <v>6.5275640859751155E-2</v>
      </c>
      <c r="AD8" s="230">
        <f>+K8/$K$5</f>
        <v>4.8663047973297235E-2</v>
      </c>
      <c r="AE8" s="230">
        <f>+L8/$L$5</f>
        <v>5.4269752980279633E-2</v>
      </c>
      <c r="AF8" s="230">
        <f>+M8/$M$5</f>
        <v>7.5217120146371663E-2</v>
      </c>
      <c r="AG8" s="230">
        <f t="shared" si="13"/>
        <v>6.6439542030530069E-2</v>
      </c>
      <c r="AH8" s="230">
        <f t="shared" si="6"/>
        <v>7.83410138248848E-2</v>
      </c>
      <c r="AI8" s="230">
        <f t="shared" si="6"/>
        <v>7.8341013824884786E-2</v>
      </c>
      <c r="AJ8" s="230">
        <f t="shared" si="6"/>
        <v>7.83410138248848E-2</v>
      </c>
      <c r="AK8" s="230">
        <f t="shared" si="6"/>
        <v>7.83410138248848E-2</v>
      </c>
      <c r="AL8" s="230">
        <f t="shared" si="6"/>
        <v>7.83410138248848E-2</v>
      </c>
      <c r="AN8" s="230">
        <f t="shared" si="7"/>
        <v>1.4776632087565438</v>
      </c>
      <c r="AO8" s="230">
        <f t="shared" si="7"/>
        <v>-5.9561252548937071E-2</v>
      </c>
      <c r="AP8" s="230">
        <f t="shared" si="7"/>
        <v>-8.2192267751032166E-2</v>
      </c>
      <c r="AQ8" s="230">
        <f t="shared" si="7"/>
        <v>-0.65580834002883637</v>
      </c>
      <c r="AR8" s="230">
        <f t="shared" si="7"/>
        <v>2.7608192948016308E-2</v>
      </c>
      <c r="AS8" s="230">
        <f t="shared" si="7"/>
        <v>-5.3757117141171817E-2</v>
      </c>
      <c r="AT8" s="230">
        <f t="shared" si="7"/>
        <v>0.11843836299787402</v>
      </c>
      <c r="AU8" s="230">
        <f t="shared" si="7"/>
        <v>-0.33705531211749695</v>
      </c>
      <c r="AV8" s="230">
        <f t="shared" si="7"/>
        <v>0.65944779271227061</v>
      </c>
      <c r="AW8" s="230">
        <f t="shared" si="7"/>
        <v>0.76496249240666025</v>
      </c>
      <c r="AX8" s="230">
        <f t="shared" si="8"/>
        <v>0.19135383939484885</v>
      </c>
      <c r="AY8" s="230">
        <f t="shared" si="9"/>
        <v>0.12855736470028245</v>
      </c>
      <c r="AZ8" s="230">
        <f t="shared" si="14"/>
        <v>3.8053560109867046E-2</v>
      </c>
      <c r="BA8" s="230">
        <f t="shared" si="10"/>
        <v>9.6264078091106375E-2</v>
      </c>
      <c r="BB8" s="230">
        <f t="shared" si="11"/>
        <v>4.0300000000000002E-2</v>
      </c>
    </row>
    <row r="9" spans="1:54" outlineLevel="1">
      <c r="B9" s="29" t="s">
        <v>63</v>
      </c>
      <c r="C9" s="24" t="s">
        <v>59</v>
      </c>
      <c r="D9" s="48">
        <v>345.03067221999999</v>
      </c>
      <c r="E9" s="48">
        <v>2556.5280076899999</v>
      </c>
      <c r="F9" s="48">
        <v>2400.0345414399999</v>
      </c>
      <c r="G9" s="63">
        <v>1904.7522473800002</v>
      </c>
      <c r="H9" s="43">
        <v>631.07198678999998</v>
      </c>
      <c r="I9" s="63">
        <v>976.16075323000007</v>
      </c>
      <c r="J9" s="43">
        <v>923.68516527000043</v>
      </c>
      <c r="K9" s="38">
        <f>+'Drivers Revenue'!K62</f>
        <v>1033.08492417</v>
      </c>
      <c r="L9" s="38">
        <f>+'Drivers Revenue'!L62</f>
        <v>684.87816261</v>
      </c>
      <c r="M9" s="38">
        <f>+'Drivers Revenue'!M62</f>
        <v>1136.51955522</v>
      </c>
      <c r="N9" s="168">
        <f>+'Drivers Revenue'!N62</f>
        <v>2005.9143868500003</v>
      </c>
      <c r="O9" s="55">
        <f>+'Drivers Revenue'!O62</f>
        <v>2389.7538062711119</v>
      </c>
      <c r="P9" s="55">
        <f>+'Drivers Revenue'!P62</f>
        <v>2696.9742578877954</v>
      </c>
      <c r="Q9" s="55">
        <f>+'Drivers Revenue'!Q62</f>
        <v>2799.6037299250925</v>
      </c>
      <c r="R9" s="55">
        <f>+'Drivers Revenue'!R62</f>
        <v>3069.1050020067541</v>
      </c>
      <c r="S9" s="55">
        <f>+'Drivers Revenue'!S62</f>
        <v>3192.7899335876264</v>
      </c>
      <c r="U9" s="42">
        <f>+IFERROR(((M9/H9)^(1/5))-1," ")</f>
        <v>0.12486292298353763</v>
      </c>
      <c r="V9" s="42">
        <f>+IFERROR(((P9/H9)^(1/8))-1," ")</f>
        <v>0.19908435716088801</v>
      </c>
      <c r="W9" s="17"/>
      <c r="X9" s="32">
        <f>+E9/$E$5</f>
        <v>6.9555394400768564E-2</v>
      </c>
      <c r="Y9" s="32">
        <f>+F9/$F$5</f>
        <v>6.0940905349769536E-2</v>
      </c>
      <c r="Z9" s="32">
        <f>+G9/$G$5</f>
        <v>0.11302300751124751</v>
      </c>
      <c r="AA9" s="32">
        <f>+H9/$H$5</f>
        <v>0.1025795249955451</v>
      </c>
      <c r="AB9" s="32">
        <f>+I9/$I$5</f>
        <v>7.1624771197111387E-2</v>
      </c>
      <c r="AC9" s="32">
        <f>+J9/$J$5</f>
        <v>6.5275640859751155E-2</v>
      </c>
      <c r="AD9" s="32">
        <f>+K9/$K$5</f>
        <v>4.8663047973297235E-2</v>
      </c>
      <c r="AE9" s="32">
        <f>+L9/$L$5</f>
        <v>5.4269752980279633E-2</v>
      </c>
      <c r="AF9" s="32">
        <f>+M9/$M$5</f>
        <v>7.5217120146371663E-2</v>
      </c>
      <c r="AG9" s="32">
        <f>+N9/$N$5</f>
        <v>6.6439542030530069E-2</v>
      </c>
      <c r="AH9" s="32">
        <f t="shared" ref="AH9:AL10" si="16">+O9/$N$5</f>
        <v>7.9153003485707418E-2</v>
      </c>
      <c r="AI9" s="32">
        <f t="shared" si="16"/>
        <v>8.9328705021942248E-2</v>
      </c>
      <c r="AJ9" s="32">
        <f t="shared" si="16"/>
        <v>9.2727980268031293E-2</v>
      </c>
      <c r="AK9" s="32">
        <f t="shared" si="16"/>
        <v>0.10165435380178363</v>
      </c>
      <c r="AL9" s="32">
        <f t="shared" si="16"/>
        <v>0.10575102425999551</v>
      </c>
      <c r="AN9" s="32">
        <f t="shared" si="7"/>
        <v>6.409567361767464</v>
      </c>
      <c r="AO9" s="32">
        <f t="shared" si="7"/>
        <v>-6.1213280581816409E-2</v>
      </c>
      <c r="AP9" s="32">
        <f t="shared" si="7"/>
        <v>-0.206364652469891</v>
      </c>
      <c r="AQ9" s="32">
        <f t="shared" si="7"/>
        <v>-0.66868552712929263</v>
      </c>
      <c r="AR9" s="32">
        <f t="shared" si="7"/>
        <v>0.54682948009675214</v>
      </c>
      <c r="AS9" s="32">
        <f t="shared" si="7"/>
        <v>-5.3757117141171817E-2</v>
      </c>
      <c r="AT9" s="32">
        <f t="shared" si="7"/>
        <v>0.11843836299787402</v>
      </c>
      <c r="AU9" s="32">
        <f t="shared" si="7"/>
        <v>-0.33705531211749695</v>
      </c>
      <c r="AV9" s="32">
        <f t="shared" si="7"/>
        <v>0.65944779271227061</v>
      </c>
      <c r="AW9" s="32">
        <f t="shared" si="7"/>
        <v>0.76496249240666025</v>
      </c>
      <c r="AX9" s="32">
        <f t="shared" si="8"/>
        <v>0.19135383939484885</v>
      </c>
      <c r="AY9" s="32">
        <f t="shared" si="9"/>
        <v>0.12855736470028245</v>
      </c>
      <c r="AZ9" s="32">
        <f t="shared" si="14"/>
        <v>3.8053560109867046E-2</v>
      </c>
      <c r="BA9" s="32">
        <f t="shared" si="10"/>
        <v>9.6264078091106375E-2</v>
      </c>
      <c r="BB9" s="32">
        <f t="shared" si="11"/>
        <v>4.0300000000000002E-2</v>
      </c>
    </row>
    <row r="10" spans="1:54" outlineLevel="1">
      <c r="B10" s="399" t="s">
        <v>64</v>
      </c>
      <c r="C10" s="240" t="s">
        <v>59</v>
      </c>
      <c r="D10" s="187">
        <v>945.50181947999999</v>
      </c>
      <c r="E10" s="187">
        <v>640.97686670000007</v>
      </c>
      <c r="F10" s="187">
        <v>607.02293759999998</v>
      </c>
      <c r="G10" s="651">
        <v>855.14835819999985</v>
      </c>
      <c r="H10" s="651">
        <v>318.86278400000009</v>
      </c>
      <c r="I10" s="651">
        <v>0</v>
      </c>
      <c r="J10" s="187"/>
      <c r="K10" s="187"/>
      <c r="L10" s="187"/>
      <c r="M10" s="187"/>
      <c r="N10" s="1108"/>
      <c r="O10" s="187"/>
      <c r="P10" s="187"/>
      <c r="Q10" s="187"/>
      <c r="R10" s="187"/>
      <c r="S10" s="187"/>
      <c r="U10" s="256">
        <f>+IFERROR(((M10/H10)^(1/5))-1," ")</f>
        <v>-1</v>
      </c>
      <c r="V10" s="256">
        <f>+IFERROR(((P10/H10)^(1/8))-1," ")</f>
        <v>-1</v>
      </c>
      <c r="W10" s="17"/>
      <c r="X10" s="230">
        <f>+E10/$E$5</f>
        <v>1.7439041790655582E-2</v>
      </c>
      <c r="Y10" s="230">
        <f>+F10/$F$5</f>
        <v>1.5413331244485115E-2</v>
      </c>
      <c r="Z10" s="230">
        <f>+G10/$G$5</f>
        <v>5.0742262908477616E-2</v>
      </c>
      <c r="AA10" s="230">
        <f>+H10/$H$5</f>
        <v>5.1830525845162442E-2</v>
      </c>
      <c r="AB10" s="230">
        <f>+I10/$I$5</f>
        <v>0</v>
      </c>
      <c r="AC10" s="230">
        <f>+J10/$J$5</f>
        <v>0</v>
      </c>
      <c r="AD10" s="230">
        <f>+K10/$K$5</f>
        <v>0</v>
      </c>
      <c r="AE10" s="230">
        <f>+L10/$L$5</f>
        <v>0</v>
      </c>
      <c r="AF10" s="230">
        <f>+M10/$M$5</f>
        <v>0</v>
      </c>
      <c r="AG10" s="230">
        <f>+N10/$N$5</f>
        <v>0</v>
      </c>
      <c r="AH10" s="230">
        <f t="shared" si="16"/>
        <v>0</v>
      </c>
      <c r="AI10" s="230">
        <f t="shared" si="16"/>
        <v>0</v>
      </c>
      <c r="AJ10" s="230">
        <f t="shared" si="16"/>
        <v>0</v>
      </c>
      <c r="AK10" s="230">
        <f t="shared" si="16"/>
        <v>0</v>
      </c>
      <c r="AL10" s="230">
        <f t="shared" si="16"/>
        <v>0</v>
      </c>
      <c r="AN10" s="230">
        <f t="shared" si="7"/>
        <v>-0.32207759573374517</v>
      </c>
      <c r="AO10" s="230">
        <f t="shared" si="7"/>
        <v>-5.2972159938950991E-2</v>
      </c>
      <c r="AP10" s="230">
        <f t="shared" si="7"/>
        <v>0.40875789897004355</v>
      </c>
      <c r="AQ10" s="230">
        <f t="shared" si="7"/>
        <v>-0.62712577187053986</v>
      </c>
      <c r="AR10" s="230">
        <f t="shared" si="7"/>
        <v>-1</v>
      </c>
      <c r="AS10" s="230" t="str">
        <f t="shared" si="7"/>
        <v xml:space="preserve"> </v>
      </c>
      <c r="AT10" s="230" t="str">
        <f t="shared" si="7"/>
        <v xml:space="preserve"> </v>
      </c>
      <c r="AU10" s="230" t="str">
        <f t="shared" si="7"/>
        <v xml:space="preserve"> </v>
      </c>
      <c r="AV10" s="230" t="str">
        <f t="shared" si="7"/>
        <v xml:space="preserve"> </v>
      </c>
      <c r="AW10" s="230" t="str">
        <f t="shared" si="7"/>
        <v xml:space="preserve"> </v>
      </c>
      <c r="AX10" s="230" t="str">
        <f t="shared" si="8"/>
        <v xml:space="preserve"> </v>
      </c>
      <c r="AY10" s="230" t="str">
        <f t="shared" si="9"/>
        <v xml:space="preserve"> </v>
      </c>
      <c r="AZ10" s="230" t="str">
        <f t="shared" si="14"/>
        <v xml:space="preserve"> </v>
      </c>
      <c r="BA10" s="230" t="str">
        <f t="shared" si="10"/>
        <v xml:space="preserve"> </v>
      </c>
      <c r="BB10" s="230" t="str">
        <f t="shared" si="11"/>
        <v xml:space="preserve"> </v>
      </c>
    </row>
    <row r="11" spans="1:54" outlineLevel="1">
      <c r="B11" s="29"/>
      <c r="C11" s="24"/>
      <c r="D11" s="16"/>
      <c r="E11" s="16"/>
      <c r="F11" s="16"/>
      <c r="G11" s="16"/>
      <c r="H11" s="16"/>
      <c r="I11" s="16"/>
      <c r="J11" s="16"/>
      <c r="K11" s="16"/>
      <c r="L11" s="16"/>
      <c r="M11" s="16"/>
      <c r="N11" s="16"/>
      <c r="O11" s="16"/>
      <c r="P11" s="16"/>
      <c r="Q11" s="16"/>
      <c r="R11" s="16"/>
      <c r="S11" s="16"/>
      <c r="U11" s="42" t="str">
        <f>+IFERROR(((L11/G11)^(1/9))-1," ")</f>
        <v xml:space="preserve"> </v>
      </c>
      <c r="V11" s="42" t="str">
        <f>+IFERROR(((P11/K11)^(1/9))-1," ")</f>
        <v xml:space="preserve"> </v>
      </c>
      <c r="W11" s="17"/>
      <c r="X11" s="32"/>
      <c r="Y11" s="32"/>
      <c r="Z11" s="32"/>
      <c r="AA11" s="32"/>
      <c r="AB11" s="32"/>
      <c r="AC11" s="32"/>
      <c r="AD11" s="32"/>
      <c r="AE11" s="32"/>
      <c r="AF11" s="32"/>
      <c r="AG11" s="32"/>
      <c r="AH11" s="32"/>
      <c r="AI11" s="32"/>
      <c r="AJ11" s="32"/>
      <c r="AK11" s="32"/>
      <c r="AL11" s="32"/>
      <c r="AN11" s="32"/>
      <c r="AO11" s="32"/>
      <c r="AP11" s="32"/>
      <c r="AQ11" s="32"/>
      <c r="AR11" s="32"/>
      <c r="AS11" s="32"/>
      <c r="AT11" s="32"/>
      <c r="AU11" s="32"/>
      <c r="AV11" s="32"/>
      <c r="AW11" s="32"/>
      <c r="AX11" s="32"/>
      <c r="AY11" s="32"/>
      <c r="AZ11" s="32"/>
      <c r="BA11" s="32"/>
      <c r="BB11" s="32"/>
    </row>
    <row r="12" spans="1:54">
      <c r="B12" s="29"/>
      <c r="C12" s="24"/>
      <c r="D12" s="32"/>
      <c r="E12" s="32"/>
      <c r="F12" s="32"/>
      <c r="G12" s="215"/>
      <c r="H12" s="32"/>
      <c r="I12" s="32"/>
      <c r="J12" s="32"/>
      <c r="K12" s="32"/>
      <c r="L12" s="32"/>
      <c r="M12" s="32"/>
      <c r="N12" s="32"/>
      <c r="O12" s="32"/>
      <c r="P12" s="650"/>
      <c r="Q12" s="650"/>
      <c r="R12" s="650"/>
      <c r="S12" s="650"/>
      <c r="U12" s="42" t="str">
        <f>+IFERROR(((L12/G12)^(1/9))-1," ")</f>
        <v xml:space="preserve"> </v>
      </c>
      <c r="V12" s="42" t="str">
        <f>+IFERROR(((P12/K12)^(1/9))-1," ")</f>
        <v xml:space="preserve"> </v>
      </c>
      <c r="W12" s="30"/>
      <c r="X12" s="32"/>
      <c r="Y12" s="32"/>
      <c r="Z12" s="32"/>
      <c r="AA12" s="32"/>
      <c r="AB12" s="32"/>
      <c r="AC12" s="32"/>
      <c r="AD12" s="32"/>
      <c r="AE12" s="32"/>
      <c r="AF12" s="32"/>
      <c r="AG12" s="32"/>
      <c r="AH12" s="32"/>
      <c r="AI12" s="32"/>
      <c r="AJ12" s="32"/>
      <c r="AK12" s="32"/>
      <c r="AL12" s="32"/>
      <c r="AN12" s="32"/>
      <c r="AO12" s="32"/>
      <c r="AP12" s="32"/>
      <c r="AQ12" s="32"/>
      <c r="AR12" s="32"/>
      <c r="AS12" s="32"/>
      <c r="AT12" s="32"/>
      <c r="AU12" s="32"/>
      <c r="AV12" s="32"/>
      <c r="AW12" s="32"/>
      <c r="AX12" s="32"/>
      <c r="AY12" s="32"/>
      <c r="AZ12" s="32"/>
      <c r="BA12" s="32"/>
      <c r="BB12" s="32"/>
    </row>
    <row r="13" spans="1:54">
      <c r="B13" s="185" t="s">
        <v>65</v>
      </c>
      <c r="C13" s="192" t="s">
        <v>59</v>
      </c>
      <c r="D13" s="23">
        <f t="shared" ref="D13:R13" si="17">+SUM(D14:D22)</f>
        <v>-22916.210651539997</v>
      </c>
      <c r="E13" s="23">
        <f t="shared" si="17"/>
        <v>-22478.26073374</v>
      </c>
      <c r="F13" s="23">
        <f t="shared" si="17"/>
        <v>-23199.886896879998</v>
      </c>
      <c r="G13" s="23">
        <f t="shared" si="17"/>
        <v>-12779.26428524</v>
      </c>
      <c r="H13" s="23">
        <f t="shared" si="17"/>
        <v>-5136.0365391699997</v>
      </c>
      <c r="I13" s="23">
        <f t="shared" si="17"/>
        <v>-8327.4982118199987</v>
      </c>
      <c r="J13" s="23">
        <f t="shared" si="17"/>
        <v>-9481.3011454200005</v>
      </c>
      <c r="K13" s="23">
        <f t="shared" si="17"/>
        <v>-14176.21938748</v>
      </c>
      <c r="L13" s="23">
        <f t="shared" si="17"/>
        <v>-8133.1793244200016</v>
      </c>
      <c r="M13" s="23">
        <f t="shared" si="17"/>
        <v>-9555.8718428400007</v>
      </c>
      <c r="N13" s="23">
        <f>+SUM(N14:N22)</f>
        <v>-21152.064727369998</v>
      </c>
      <c r="O13" s="23">
        <f t="shared" si="17"/>
        <v>-20458.01196943508</v>
      </c>
      <c r="P13" s="23">
        <f t="shared" si="17"/>
        <v>-23000.299966412749</v>
      </c>
      <c r="Q13" s="23">
        <f t="shared" si="17"/>
        <v>-23882.400755083763</v>
      </c>
      <c r="R13" s="23">
        <f t="shared" si="17"/>
        <v>-26107.125163253553</v>
      </c>
      <c r="S13" s="23">
        <f>+SUM(S14:S22)</f>
        <v>-27154.905432900039</v>
      </c>
      <c r="T13" s="121"/>
      <c r="U13" s="92">
        <f t="shared" ref="U13:U22" si="18">+IFERROR(((N13/I13)^(1/5))-1," ")</f>
        <v>0.20494616486430872</v>
      </c>
      <c r="V13" s="92">
        <f t="shared" ref="V13:V22" si="19">+IFERROR(((S13/I13)^(1/8))-1," ")</f>
        <v>0.15922227662408561</v>
      </c>
      <c r="W13" s="17"/>
      <c r="X13" s="92">
        <f>+E13/E$5</f>
        <v>-0.61156548493724949</v>
      </c>
      <c r="Y13" s="92">
        <f t="shared" ref="Y13:AE13" si="20">+F13/F$5</f>
        <v>-0.58908406820671899</v>
      </c>
      <c r="Z13" s="92">
        <f t="shared" si="20"/>
        <v>-0.75828805834754209</v>
      </c>
      <c r="AA13" s="92">
        <f t="shared" si="20"/>
        <v>-0.83485275780929413</v>
      </c>
      <c r="AB13" s="92">
        <f t="shared" si="20"/>
        <v>-0.61102144507691203</v>
      </c>
      <c r="AC13" s="92">
        <f t="shared" si="20"/>
        <v>-0.67003133938031201</v>
      </c>
      <c r="AD13" s="92">
        <f t="shared" si="20"/>
        <v>-0.66776508687044345</v>
      </c>
      <c r="AE13" s="92">
        <f t="shared" si="20"/>
        <v>-0.64447321724862128</v>
      </c>
      <c r="AF13" s="92">
        <f t="shared" ref="AF13:AF22" si="21">+M13/$M$5</f>
        <v>-0.63242656688568144</v>
      </c>
      <c r="AG13" s="92">
        <f t="shared" ref="AG13:AG22" si="22">+N13/N$5</f>
        <v>-0.70059495195777788</v>
      </c>
      <c r="AH13" s="92">
        <f t="shared" ref="AH13:AH22" si="23">+O13/O$5</f>
        <v>-0.67065544338559768</v>
      </c>
      <c r="AI13" s="92">
        <f t="shared" ref="AI13:AI22" si="24">+P13/P$5</f>
        <v>-0.66810679129596762</v>
      </c>
      <c r="AJ13" s="92">
        <f t="shared" ref="AJ13:AJ22" si="25">+Q13/Q$5</f>
        <v>-0.66829868374818779</v>
      </c>
      <c r="AK13" s="92">
        <f t="shared" ref="AK13:AK22" si="26">+R13/R$5</f>
        <v>-0.66640230686312096</v>
      </c>
      <c r="AL13" s="92">
        <f t="shared" ref="AL13:AL22" si="27">+S13/S$5</f>
        <v>-0.66629589361735442</v>
      </c>
      <c r="AN13" s="92">
        <f t="shared" ref="AN13:AN22" si="28">+IFERROR((E13/D13-1)," ")</f>
        <v>-1.9110922152854593E-2</v>
      </c>
      <c r="AO13" s="92">
        <f t="shared" ref="AO13:AO22" si="29">+IFERROR((F13/E13-1)," ")</f>
        <v>3.2103291784352006E-2</v>
      </c>
      <c r="AP13" s="92">
        <f t="shared" ref="AP13:AP22" si="30">+IFERROR((G13/F13-1)," ")</f>
        <v>-0.44916695749242641</v>
      </c>
      <c r="AQ13" s="92">
        <f t="shared" ref="AQ13:AQ22" si="31">+IFERROR((H13/G13-1)," ")</f>
        <v>-0.59809606996686804</v>
      </c>
      <c r="AR13" s="92">
        <f t="shared" ref="AR13:AR22" si="32">+IFERROR((I13/H13-1)," ")</f>
        <v>0.62138609184539595</v>
      </c>
      <c r="AS13" s="92">
        <f t="shared" ref="AS13:AS22" si="33">+IFERROR((J13/I13-1)," ")</f>
        <v>0.13855336912138894</v>
      </c>
      <c r="AT13" s="92">
        <f t="shared" ref="AT13:AT22" si="34">+IFERROR((K13/J13-1)," ")</f>
        <v>0.49517657651111602</v>
      </c>
      <c r="AU13" s="92">
        <f t="shared" ref="AU13:AU22" si="35">+IFERROR((L13/K13-1)," ")</f>
        <v>-0.42628008906218151</v>
      </c>
      <c r="AV13" s="92">
        <f t="shared" ref="AV13:AV22" si="36">+IFERROR((M13/L13-1)," ")</f>
        <v>0.17492452356833477</v>
      </c>
      <c r="AW13" s="92">
        <f t="shared" ref="AW13:AW22" si="37">+IFERROR((N13/M13-1)," ")</f>
        <v>1.2135149021717746</v>
      </c>
      <c r="AX13" s="92">
        <f t="shared" ref="AX13:AX22" si="38">+IFERROR((O13/N13-1)," ")</f>
        <v>-3.2812529976652294E-2</v>
      </c>
      <c r="AY13" s="92">
        <f t="shared" ref="AY13:AY22" si="39">+IFERROR((P13/O13-1)," ")</f>
        <v>0.1242685751076853</v>
      </c>
      <c r="AZ13" s="92">
        <f t="shared" ref="AZ13:AZ22" si="40">+IFERROR((Q13/P13-1)," ")</f>
        <v>3.8351708019423336E-2</v>
      </c>
      <c r="BA13" s="92">
        <f t="shared" ref="BA13:BA22" si="41">+IFERROR((R13/Q13-1)," ")</f>
        <v>9.3153298572641319E-2</v>
      </c>
      <c r="BB13" s="92">
        <f t="shared" ref="BB13:BB22" si="42">+IFERROR((S13/R13-1)," ")</f>
        <v>4.0133881578093611E-2</v>
      </c>
    </row>
    <row r="14" spans="1:54" outlineLevel="1">
      <c r="B14" s="17" t="s">
        <v>66</v>
      </c>
      <c r="C14" s="24" t="s">
        <v>59</v>
      </c>
      <c r="D14" s="63">
        <v>-14767.10322632</v>
      </c>
      <c r="E14" s="63">
        <v>-14534.346954049997</v>
      </c>
      <c r="F14" s="63">
        <v>-14872.349820220003</v>
      </c>
      <c r="G14" s="63">
        <v>-9399.1835248000007</v>
      </c>
      <c r="H14" s="63">
        <v>-3585.1786395799995</v>
      </c>
      <c r="I14" s="63">
        <v>-5810.4459832399998</v>
      </c>
      <c r="J14" s="63">
        <v>-6497.3512971600003</v>
      </c>
      <c r="K14" s="68">
        <f>+TGTbase2021!HK22</f>
        <v>-9000.5122297300004</v>
      </c>
      <c r="L14" s="68">
        <f>+TGTbase2021!HL22</f>
        <v>-4822.6795869200005</v>
      </c>
      <c r="M14" s="68">
        <f>+TGTbase2021!HM22</f>
        <v>-5712.2498321699995</v>
      </c>
      <c r="N14" s="1420">
        <f>+TGTbase2021!HN22</f>
        <v>-11093.825810429998</v>
      </c>
      <c r="O14" s="75">
        <f>+Drivers!O29</f>
        <v>-12430.585570825808</v>
      </c>
      <c r="P14" s="75">
        <f>+Drivers!P29</f>
        <v>-14028.628893492531</v>
      </c>
      <c r="Q14" s="75">
        <f>+Drivers!Q29</f>
        <v>-14562.468166350063</v>
      </c>
      <c r="R14" s="75">
        <f>+Drivers!R29</f>
        <v>-15964.310739114837</v>
      </c>
      <c r="S14" s="75">
        <f>+Drivers!S29</f>
        <v>-16607.672461901166</v>
      </c>
      <c r="T14" s="148"/>
      <c r="U14" s="286">
        <f t="shared" si="18"/>
        <v>0.13808414967951155</v>
      </c>
      <c r="V14" s="286">
        <f t="shared" si="19"/>
        <v>0.1402823782821172</v>
      </c>
      <c r="W14" s="17"/>
      <c r="X14" s="76">
        <f t="shared" ref="X14:X22" si="43">+E14/E$5</f>
        <v>-0.39543561881804423</v>
      </c>
      <c r="Y14" s="76">
        <f t="shared" ref="Y14:Y22" si="44">+F14/F$5</f>
        <v>-0.37763392445964394</v>
      </c>
      <c r="Z14" s="76">
        <f t="shared" ref="Z14:Z22" si="45">+G14/G$5</f>
        <v>-0.55772292253982025</v>
      </c>
      <c r="AA14" s="76">
        <f t="shared" ref="AA14:AA22" si="46">+H14/H$5</f>
        <v>-0.58276382024650275</v>
      </c>
      <c r="AB14" s="76">
        <f t="shared" ref="AB14:AB22" si="47">+I14/I$5</f>
        <v>-0.42633537839508151</v>
      </c>
      <c r="AC14" s="76">
        <f t="shared" ref="AC14:AC22" si="48">+J14/J$5</f>
        <v>-0.45915944713595275</v>
      </c>
      <c r="AD14" s="76">
        <f t="shared" ref="AD14:AD22" si="49">+K14/K$5</f>
        <v>-0.42396549225756136</v>
      </c>
      <c r="AE14" s="76">
        <f t="shared" ref="AE14:AE22" si="50">+L14/L$5</f>
        <v>-0.38214918240023316</v>
      </c>
      <c r="AF14" s="76">
        <f t="shared" si="21"/>
        <v>-0.37804803266165676</v>
      </c>
      <c r="AG14" s="76">
        <f t="shared" si="22"/>
        <v>-0.36744773906771933</v>
      </c>
      <c r="AH14" s="76">
        <f t="shared" si="23"/>
        <v>-0.40749999999999997</v>
      </c>
      <c r="AI14" s="76">
        <f t="shared" si="24"/>
        <v>-0.40749999999999997</v>
      </c>
      <c r="AJ14" s="76">
        <f t="shared" si="25"/>
        <v>-0.40749999999999997</v>
      </c>
      <c r="AK14" s="76">
        <f t="shared" si="26"/>
        <v>-0.40749999999999997</v>
      </c>
      <c r="AL14" s="76">
        <f t="shared" si="27"/>
        <v>-0.40750000000000003</v>
      </c>
      <c r="AN14" s="76">
        <f t="shared" si="28"/>
        <v>-1.5761809794567649E-2</v>
      </c>
      <c r="AO14" s="76">
        <f t="shared" si="29"/>
        <v>2.3255456006285868E-2</v>
      </c>
      <c r="AP14" s="76">
        <f t="shared" si="30"/>
        <v>-0.36800951844064667</v>
      </c>
      <c r="AQ14" s="76">
        <f t="shared" si="31"/>
        <v>-0.61856488596904091</v>
      </c>
      <c r="AR14" s="76">
        <f t="shared" si="32"/>
        <v>0.62068520633624225</v>
      </c>
      <c r="AS14" s="76">
        <f t="shared" si="33"/>
        <v>0.11821903445989368</v>
      </c>
      <c r="AT14" s="76">
        <f t="shared" si="34"/>
        <v>0.38525867204750575</v>
      </c>
      <c r="AU14" s="76">
        <f t="shared" si="35"/>
        <v>-0.46417720860486267</v>
      </c>
      <c r="AV14" s="76">
        <f t="shared" si="36"/>
        <v>0.18445559760235319</v>
      </c>
      <c r="AW14" s="76">
        <f t="shared" si="37"/>
        <v>0.94211145106999239</v>
      </c>
      <c r="AX14" s="76">
        <f t="shared" si="38"/>
        <v>0.12049583103594785</v>
      </c>
      <c r="AY14" s="76">
        <f t="shared" si="39"/>
        <v>0.12855736470028245</v>
      </c>
      <c r="AZ14" s="76">
        <f t="shared" si="40"/>
        <v>3.8053560109866824E-2</v>
      </c>
      <c r="BA14" s="76">
        <f t="shared" si="41"/>
        <v>9.6264078091106375E-2</v>
      </c>
      <c r="BB14" s="76">
        <f t="shared" si="42"/>
        <v>4.0300000000000002E-2</v>
      </c>
    </row>
    <row r="15" spans="1:54" outlineLevel="1">
      <c r="B15" s="17" t="s">
        <v>67</v>
      </c>
      <c r="C15" s="24" t="s">
        <v>59</v>
      </c>
      <c r="D15" s="43">
        <v>-300.165322</v>
      </c>
      <c r="E15" s="43">
        <v>-240.04321491999997</v>
      </c>
      <c r="F15" s="43">
        <v>-672.94013526999993</v>
      </c>
      <c r="G15" s="43">
        <v>-198.98113347999998</v>
      </c>
      <c r="H15" s="43">
        <v>-71.175030979999988</v>
      </c>
      <c r="I15" s="43">
        <v>-17.097999999999999</v>
      </c>
      <c r="J15" s="43">
        <v>-2.0720000000000001</v>
      </c>
      <c r="K15" s="38">
        <f>+TGTbase2021!HK23</f>
        <v>-39.23573249999999</v>
      </c>
      <c r="L15" s="38">
        <f>+TGTbase2021!HL23</f>
        <v>-359.18189187999997</v>
      </c>
      <c r="M15" s="38">
        <f>+TGTbase2021!HM23</f>
        <v>-151.83381249999999</v>
      </c>
      <c r="N15" s="168">
        <f>+TGTbase2021!HN23</f>
        <v>-1144.1653345999998</v>
      </c>
      <c r="O15" s="55">
        <f>+Drivers!O31</f>
        <v>-776.92006019894484</v>
      </c>
      <c r="P15" s="55">
        <f>+Drivers!P31</f>
        <v>-876.79885572090609</v>
      </c>
      <c r="Q15" s="55">
        <f>+Drivers!Q31</f>
        <v>-910.1641736813441</v>
      </c>
      <c r="R15" s="55">
        <f>+Drivers!R31</f>
        <v>-997.78028877233226</v>
      </c>
      <c r="S15" s="55">
        <f>+Drivers!S31</f>
        <v>-1037.9908344098571</v>
      </c>
      <c r="T15" s="148"/>
      <c r="U15" s="42">
        <f t="shared" si="18"/>
        <v>1.317974716579394</v>
      </c>
      <c r="V15" s="42">
        <f t="shared" si="19"/>
        <v>0.67072905660381466</v>
      </c>
      <c r="X15" s="32">
        <f t="shared" ref="X15:AE19" si="51">+E15/E$5</f>
        <v>-6.5308498231847322E-3</v>
      </c>
      <c r="Y15" s="32">
        <f t="shared" si="51"/>
        <v>-1.7087079532174056E-2</v>
      </c>
      <c r="Z15" s="32">
        <f t="shared" si="51"/>
        <v>-1.1807019088619515E-2</v>
      </c>
      <c r="AA15" s="32">
        <f t="shared" si="51"/>
        <v>-1.1569362960649324E-2</v>
      </c>
      <c r="AB15" s="32">
        <f t="shared" si="51"/>
        <v>-1.254547812822858E-3</v>
      </c>
      <c r="AC15" s="32">
        <f t="shared" si="51"/>
        <v>-1.4642557112181124E-4</v>
      </c>
      <c r="AD15" s="32">
        <f t="shared" si="51"/>
        <v>-1.8481833276668413E-3</v>
      </c>
      <c r="AE15" s="32">
        <f t="shared" si="51"/>
        <v>-2.8461576980396613E-2</v>
      </c>
      <c r="AF15" s="32">
        <f t="shared" si="21"/>
        <v>-1.004866310011134E-2</v>
      </c>
      <c r="AG15" s="32">
        <f t="shared" si="22"/>
        <v>-3.7896842126650891E-2</v>
      </c>
      <c r="AH15" s="32">
        <f t="shared" si="23"/>
        <v>-2.5469027402386282E-2</v>
      </c>
      <c r="AI15" s="32">
        <f t="shared" si="24"/>
        <v>-2.5469027402386282E-2</v>
      </c>
      <c r="AJ15" s="32">
        <f t="shared" si="25"/>
        <v>-2.5469027402386282E-2</v>
      </c>
      <c r="AK15" s="32">
        <f t="shared" si="26"/>
        <v>-2.5469027402386282E-2</v>
      </c>
      <c r="AL15" s="32">
        <f t="shared" si="27"/>
        <v>-2.5469027402386279E-2</v>
      </c>
      <c r="AN15" s="32">
        <f t="shared" ref="AN15:AU19" si="52">+IFERROR((E15/D15-1)," ")</f>
        <v>-0.20029664545993098</v>
      </c>
      <c r="AO15" s="32">
        <f t="shared" si="52"/>
        <v>1.8034124417733408</v>
      </c>
      <c r="AP15" s="32">
        <f t="shared" si="52"/>
        <v>-0.70431079519404216</v>
      </c>
      <c r="AQ15" s="32">
        <f t="shared" si="52"/>
        <v>-0.64230261565399149</v>
      </c>
      <c r="AR15" s="32">
        <f t="shared" si="52"/>
        <v>-0.75977530652842995</v>
      </c>
      <c r="AS15" s="32">
        <f t="shared" si="52"/>
        <v>-0.87881623581705459</v>
      </c>
      <c r="AT15" s="32">
        <f t="shared" si="52"/>
        <v>17.93616433397683</v>
      </c>
      <c r="AU15" s="32">
        <f t="shared" si="52"/>
        <v>8.1544586781959545</v>
      </c>
      <c r="AV15" s="32">
        <f t="shared" si="36"/>
        <v>-0.57727876618366225</v>
      </c>
      <c r="AW15" s="32">
        <f t="shared" si="37"/>
        <v>6.5356425275825822</v>
      </c>
      <c r="AX15" s="32">
        <f t="shared" si="38"/>
        <v>-0.32097220855711728</v>
      </c>
      <c r="AY15" s="32">
        <f t="shared" si="39"/>
        <v>0.12855736470028267</v>
      </c>
      <c r="AZ15" s="32">
        <f t="shared" si="40"/>
        <v>3.8053560109866824E-2</v>
      </c>
      <c r="BA15" s="32">
        <f t="shared" si="41"/>
        <v>9.6264078091106375E-2</v>
      </c>
      <c r="BB15" s="32">
        <f t="shared" si="42"/>
        <v>4.0300000000000002E-2</v>
      </c>
    </row>
    <row r="16" spans="1:54" outlineLevel="1">
      <c r="B16" s="17" t="s">
        <v>68</v>
      </c>
      <c r="C16" s="24" t="s">
        <v>59</v>
      </c>
      <c r="D16" s="43">
        <v>-1039.4926720999999</v>
      </c>
      <c r="E16" s="43">
        <v>-2098.15862492</v>
      </c>
      <c r="F16" s="43">
        <v>-464.09100000000024</v>
      </c>
      <c r="G16" s="43">
        <v>-2.7948000000000285E-2</v>
      </c>
      <c r="H16" s="43">
        <v>-95.720041099999989</v>
      </c>
      <c r="I16" s="43">
        <v>-148.52132723</v>
      </c>
      <c r="J16" s="43">
        <v>-147.71641402999998</v>
      </c>
      <c r="K16" s="38">
        <f>+TGTbase2021!HK24</f>
        <v>-233.51291173999999</v>
      </c>
      <c r="L16" s="38">
        <f>+TGTbase2021!HL24</f>
        <v>-128.20754145000001</v>
      </c>
      <c r="M16" s="38">
        <f>+TGTbase2021!HM24</f>
        <v>-156.08334291999998</v>
      </c>
      <c r="N16" s="168">
        <f>+TGTbase2021!HN24</f>
        <v>-350.68542497999999</v>
      </c>
      <c r="O16" s="55">
        <f>+Drivers!O33</f>
        <v>-326.44307126610175</v>
      </c>
      <c r="P16" s="55">
        <f>+Drivers!P33</f>
        <v>-368.40973223273835</v>
      </c>
      <c r="Q16" s="55">
        <f>+Drivers!Q33</f>
        <v>-382.4290341233168</v>
      </c>
      <c r="R16" s="55">
        <f>+Drivers!R33</f>
        <v>-419.24321252847017</v>
      </c>
      <c r="S16" s="55">
        <f>+Drivers!S33</f>
        <v>-436.1387139933675</v>
      </c>
      <c r="T16" s="148"/>
      <c r="U16" s="42">
        <f t="shared" si="18"/>
        <v>0.18747856491913129</v>
      </c>
      <c r="V16" s="42">
        <f t="shared" si="19"/>
        <v>0.14414081144293567</v>
      </c>
      <c r="X16" s="32">
        <f t="shared" si="51"/>
        <v>-5.7084549917976513E-2</v>
      </c>
      <c r="Y16" s="32">
        <f t="shared" si="51"/>
        <v>-1.1784049444434612E-2</v>
      </c>
      <c r="Z16" s="32">
        <f t="shared" si="51"/>
        <v>-1.6583610904091508E-6</v>
      </c>
      <c r="AA16" s="32">
        <f t="shared" si="51"/>
        <v>-1.5559106653643089E-2</v>
      </c>
      <c r="AB16" s="32">
        <f t="shared" si="51"/>
        <v>-1.0897596574683852E-2</v>
      </c>
      <c r="AC16" s="32">
        <f t="shared" si="51"/>
        <v>-1.0438928710621949E-2</v>
      </c>
      <c r="AD16" s="32">
        <f t="shared" si="51"/>
        <v>-1.099953136526269E-2</v>
      </c>
      <c r="AE16" s="32">
        <f t="shared" si="51"/>
        <v>-1.0159166965092063E-2</v>
      </c>
      <c r="AF16" s="32">
        <f t="shared" si="21"/>
        <v>-1.0329905458589656E-2</v>
      </c>
      <c r="AG16" s="32">
        <f t="shared" si="22"/>
        <v>-1.1615340707058453E-2</v>
      </c>
      <c r="AH16" s="32">
        <f t="shared" si="23"/>
        <v>-1.0701471043580059E-2</v>
      </c>
      <c r="AI16" s="32">
        <f t="shared" si="24"/>
        <v>-1.0701471043580059E-2</v>
      </c>
      <c r="AJ16" s="32">
        <f t="shared" si="25"/>
        <v>-1.0701471043580059E-2</v>
      </c>
      <c r="AK16" s="32">
        <f t="shared" si="26"/>
        <v>-1.0701471043580059E-2</v>
      </c>
      <c r="AL16" s="32">
        <f t="shared" si="27"/>
        <v>-1.0701471043580059E-2</v>
      </c>
      <c r="AN16" s="32">
        <f t="shared" si="52"/>
        <v>1.0184448445233056</v>
      </c>
      <c r="AO16" s="32">
        <f t="shared" si="52"/>
        <v>-0.77881033660279364</v>
      </c>
      <c r="AP16" s="32">
        <f t="shared" si="52"/>
        <v>-0.99993977905195319</v>
      </c>
      <c r="AQ16" s="32">
        <f t="shared" si="52"/>
        <v>3423.9334871904612</v>
      </c>
      <c r="AR16" s="32">
        <f t="shared" si="52"/>
        <v>0.5516220586955014</v>
      </c>
      <c r="AS16" s="32">
        <f t="shared" si="52"/>
        <v>-5.4195125711038461E-3</v>
      </c>
      <c r="AT16" s="32">
        <f t="shared" si="52"/>
        <v>0.58081898530636855</v>
      </c>
      <c r="AU16" s="32">
        <f t="shared" si="52"/>
        <v>-0.45096165991561965</v>
      </c>
      <c r="AV16" s="32">
        <f t="shared" si="36"/>
        <v>0.21742715876718788</v>
      </c>
      <c r="AW16" s="32">
        <f t="shared" si="37"/>
        <v>1.2467831507154656</v>
      </c>
      <c r="AX16" s="32">
        <f t="shared" si="38"/>
        <v>-6.9128489486783851E-2</v>
      </c>
      <c r="AY16" s="32">
        <f t="shared" si="39"/>
        <v>0.12855736470028267</v>
      </c>
      <c r="AZ16" s="32">
        <f t="shared" si="40"/>
        <v>3.8053560109866824E-2</v>
      </c>
      <c r="BA16" s="32">
        <f t="shared" si="41"/>
        <v>9.6264078091106375E-2</v>
      </c>
      <c r="BB16" s="32">
        <f t="shared" si="42"/>
        <v>4.0300000000000002E-2</v>
      </c>
    </row>
    <row r="17" spans="2:54" outlineLevel="1">
      <c r="B17" s="17" t="s">
        <v>69</v>
      </c>
      <c r="C17" s="24" t="s">
        <v>59</v>
      </c>
      <c r="D17" s="43">
        <v>-2753.6788858</v>
      </c>
      <c r="E17" s="43">
        <v>-2632.7813885699998</v>
      </c>
      <c r="F17" s="43">
        <v>-333.8161384399998</v>
      </c>
      <c r="G17" s="43">
        <v>-178.86378571999998</v>
      </c>
      <c r="H17" s="43">
        <v>-37.95460525</v>
      </c>
      <c r="I17" s="43">
        <v>-1.9858399999999998</v>
      </c>
      <c r="J17" s="43">
        <v>0</v>
      </c>
      <c r="K17" s="38">
        <f>+TGTbase2021!HK25</f>
        <v>-258.33216779999998</v>
      </c>
      <c r="L17" s="38">
        <f>+TGTbase2021!HL25</f>
        <v>-464.10061344999997</v>
      </c>
      <c r="M17" s="38">
        <f>+TGTbase2021!HM25</f>
        <v>-317.26237008999999</v>
      </c>
      <c r="N17" s="168">
        <f>+TGTbase2021!HN25</f>
        <v>-966.92704451999998</v>
      </c>
      <c r="O17" s="55">
        <f>+Drivers!O34</f>
        <v>-1039.4465728589998</v>
      </c>
      <c r="P17" s="55">
        <f>+Drivers!P34</f>
        <v>-1091.4189015019499</v>
      </c>
      <c r="Q17" s="55">
        <f>+Drivers!Q34</f>
        <v>-1138.3499142665337</v>
      </c>
      <c r="R17" s="55">
        <f>+Drivers!R34</f>
        <v>-1180.4688610943954</v>
      </c>
      <c r="S17" s="55">
        <f>+Drivers!S34</f>
        <v>-1224.1462089548879</v>
      </c>
      <c r="T17" s="148"/>
      <c r="U17" s="42">
        <f t="shared" si="18"/>
        <v>2.4473858176433563</v>
      </c>
      <c r="V17" s="42">
        <f t="shared" si="19"/>
        <v>1.2322155527272329</v>
      </c>
      <c r="X17" s="32">
        <f t="shared" si="51"/>
        <v>-7.1630018252158645E-2</v>
      </c>
      <c r="Y17" s="32">
        <f t="shared" si="51"/>
        <v>-8.4761520493333957E-3</v>
      </c>
      <c r="Z17" s="32">
        <f t="shared" si="51"/>
        <v>-1.0613308384189382E-2</v>
      </c>
      <c r="AA17" s="32">
        <f t="shared" si="51"/>
        <v>-6.169447320490881E-3</v>
      </c>
      <c r="AB17" s="32">
        <f t="shared" si="51"/>
        <v>-1.4570892669412471E-4</v>
      </c>
      <c r="AC17" s="32">
        <f t="shared" si="51"/>
        <v>0</v>
      </c>
      <c r="AD17" s="32">
        <f t="shared" si="51"/>
        <v>-1.2168632394667103E-2</v>
      </c>
      <c r="AE17" s="32">
        <f t="shared" si="51"/>
        <v>-3.6775337607413423E-2</v>
      </c>
      <c r="AF17" s="32">
        <f t="shared" si="21"/>
        <v>-2.0997053415735382E-2</v>
      </c>
      <c r="AG17" s="32">
        <f t="shared" si="22"/>
        <v>-3.2026386786988381E-2</v>
      </c>
      <c r="AH17" s="32">
        <f t="shared" si="23"/>
        <v>-3.4075183025501096E-2</v>
      </c>
      <c r="AI17" s="32">
        <f t="shared" si="24"/>
        <v>-3.1703255231760569E-2</v>
      </c>
      <c r="AJ17" s="32">
        <f t="shared" si="25"/>
        <v>-3.1854324745272812E-2</v>
      </c>
      <c r="AK17" s="32">
        <f t="shared" si="26"/>
        <v>-3.0132278728285271E-2</v>
      </c>
      <c r="AL17" s="32">
        <f t="shared" si="27"/>
        <v>-3.003669426245489E-2</v>
      </c>
      <c r="AN17" s="32">
        <f t="shared" si="52"/>
        <v>-4.3903992529207736E-2</v>
      </c>
      <c r="AO17" s="32">
        <f t="shared" si="52"/>
        <v>-0.87320780225459105</v>
      </c>
      <c r="AP17" s="32">
        <f t="shared" si="52"/>
        <v>-0.46418472589170823</v>
      </c>
      <c r="AQ17" s="32">
        <f t="shared" si="52"/>
        <v>-0.78780162179159308</v>
      </c>
      <c r="AR17" s="32">
        <f t="shared" si="52"/>
        <v>-0.94767854949565045</v>
      </c>
      <c r="AS17" s="32">
        <f t="shared" si="52"/>
        <v>-1</v>
      </c>
      <c r="AT17" s="32" t="str">
        <f t="shared" si="52"/>
        <v xml:space="preserve"> </v>
      </c>
      <c r="AU17" s="32">
        <f t="shared" si="52"/>
        <v>0.79652660914186013</v>
      </c>
      <c r="AV17" s="32">
        <f t="shared" si="36"/>
        <v>-0.3163931249054891</v>
      </c>
      <c r="AW17" s="32">
        <f t="shared" si="37"/>
        <v>2.0477205482821841</v>
      </c>
      <c r="AX17" s="32">
        <f t="shared" si="38"/>
        <v>7.4999999999999956E-2</v>
      </c>
      <c r="AY17" s="32">
        <f t="shared" si="39"/>
        <v>5.0000000000000044E-2</v>
      </c>
      <c r="AZ17" s="32">
        <f t="shared" si="40"/>
        <v>4.2999999999999927E-2</v>
      </c>
      <c r="BA17" s="32">
        <f t="shared" si="41"/>
        <v>3.6999999999999922E-2</v>
      </c>
      <c r="BB17" s="32">
        <f t="shared" si="42"/>
        <v>3.6999999999999922E-2</v>
      </c>
    </row>
    <row r="18" spans="2:54" outlineLevel="1">
      <c r="B18" s="17" t="s">
        <v>70</v>
      </c>
      <c r="C18" s="24" t="s">
        <v>59</v>
      </c>
      <c r="D18" s="43">
        <v>-777.87831684000002</v>
      </c>
      <c r="E18" s="43">
        <v>-851.05833693</v>
      </c>
      <c r="F18" s="43">
        <v>-146.79068222000001</v>
      </c>
      <c r="G18" s="43">
        <v>-67.002007460000002</v>
      </c>
      <c r="H18" s="43">
        <v>-167.63044567</v>
      </c>
      <c r="I18" s="43">
        <v>-66.920111659999989</v>
      </c>
      <c r="J18" s="43">
        <v>-112.37656874999999</v>
      </c>
      <c r="K18" s="38">
        <f>+TGTbase2021!HK27</f>
        <v>-64.274254110000001</v>
      </c>
      <c r="L18" s="38">
        <f>+TGTbase2021!HL27</f>
        <v>-80.328612219999982</v>
      </c>
      <c r="M18" s="38">
        <f>+TGTbase2021!HM27</f>
        <v>-57.253531020000004</v>
      </c>
      <c r="N18" s="168">
        <f>+TGTbase2021!HN27</f>
        <v>-100.42117021</v>
      </c>
      <c r="O18" s="55">
        <f>+Drivers!O37</f>
        <v>-113.59642774155201</v>
      </c>
      <c r="P18" s="55">
        <f>+Drivers!P37</f>
        <v>-122.11615982216838</v>
      </c>
      <c r="Q18" s="55">
        <f>+Drivers!Q37</f>
        <v>-128.22196781327682</v>
      </c>
      <c r="R18" s="55">
        <f>+Drivers!R37</f>
        <v>-133.73551242924771</v>
      </c>
      <c r="S18" s="55">
        <f>+Drivers!S37</f>
        <v>-138.68372638912984</v>
      </c>
      <c r="T18" s="148"/>
      <c r="U18" s="42">
        <f t="shared" si="18"/>
        <v>8.456035249804672E-2</v>
      </c>
      <c r="V18" s="42">
        <f t="shared" si="19"/>
        <v>9.5364358900206225E-2</v>
      </c>
      <c r="X18" s="32">
        <f t="shared" si="51"/>
        <v>-2.3154723165624828E-2</v>
      </c>
      <c r="Y18" s="32">
        <f t="shared" si="51"/>
        <v>-3.7272618026696655E-3</v>
      </c>
      <c r="Z18" s="32">
        <f t="shared" si="51"/>
        <v>-3.9757235634380467E-3</v>
      </c>
      <c r="AA18" s="32">
        <f t="shared" si="51"/>
        <v>-2.7248003162184745E-2</v>
      </c>
      <c r="AB18" s="32">
        <f t="shared" si="51"/>
        <v>-4.9101929884731799E-3</v>
      </c>
      <c r="AC18" s="32">
        <f t="shared" si="51"/>
        <v>-7.941507364830229E-3</v>
      </c>
      <c r="AD18" s="32">
        <f t="shared" si="51"/>
        <v>-3.027612772217875E-3</v>
      </c>
      <c r="AE18" s="32">
        <f t="shared" si="51"/>
        <v>-6.3652400973259159E-3</v>
      </c>
      <c r="AF18" s="32">
        <f t="shared" si="21"/>
        <v>-3.7891523306888839E-3</v>
      </c>
      <c r="AG18" s="32">
        <f t="shared" si="22"/>
        <v>-3.3261322630023229E-3</v>
      </c>
      <c r="AH18" s="32">
        <f t="shared" si="23"/>
        <v>-3.7239230638760005E-3</v>
      </c>
      <c r="AI18" s="32">
        <f t="shared" si="24"/>
        <v>-3.5471987679862927E-3</v>
      </c>
      <c r="AJ18" s="32">
        <f t="shared" si="25"/>
        <v>-3.5880217066944051E-3</v>
      </c>
      <c r="AK18" s="32">
        <f t="shared" si="26"/>
        <v>-3.413690838614941E-3</v>
      </c>
      <c r="AL18" s="32">
        <f t="shared" si="27"/>
        <v>-3.4028620586789324E-3</v>
      </c>
      <c r="AN18" s="32">
        <f t="shared" si="52"/>
        <v>9.4076436514237249E-2</v>
      </c>
      <c r="AO18" s="32">
        <f t="shared" si="52"/>
        <v>-0.82751983518601779</v>
      </c>
      <c r="AP18" s="32">
        <f t="shared" si="52"/>
        <v>-0.5435540836333066</v>
      </c>
      <c r="AQ18" s="32">
        <f t="shared" si="52"/>
        <v>1.5018719889859251</v>
      </c>
      <c r="AR18" s="32">
        <f t="shared" si="52"/>
        <v>-0.60078784380410233</v>
      </c>
      <c r="AS18" s="32">
        <f t="shared" si="52"/>
        <v>0.67926451349857198</v>
      </c>
      <c r="AT18" s="32">
        <f t="shared" si="52"/>
        <v>-0.42804576768144109</v>
      </c>
      <c r="AU18" s="32">
        <f t="shared" si="52"/>
        <v>0.24977898743911187</v>
      </c>
      <c r="AV18" s="32">
        <f t="shared" si="36"/>
        <v>-0.28725855660002064</v>
      </c>
      <c r="AW18" s="32">
        <f t="shared" si="37"/>
        <v>0.75397339554342113</v>
      </c>
      <c r="AX18" s="32">
        <f t="shared" si="38"/>
        <v>0.13119999999999998</v>
      </c>
      <c r="AY18" s="32">
        <f t="shared" si="39"/>
        <v>7.4999999999999734E-2</v>
      </c>
      <c r="AZ18" s="32">
        <f t="shared" si="40"/>
        <v>5.0000000000000044E-2</v>
      </c>
      <c r="BA18" s="32">
        <f t="shared" si="41"/>
        <v>4.2999999999999927E-2</v>
      </c>
      <c r="BB18" s="32">
        <f t="shared" si="42"/>
        <v>3.69999999999997E-2</v>
      </c>
    </row>
    <row r="19" spans="2:54" outlineLevel="1">
      <c r="B19" s="17" t="s">
        <v>71</v>
      </c>
      <c r="C19" s="24" t="s">
        <v>59</v>
      </c>
      <c r="D19" s="43">
        <v>-1362.715731</v>
      </c>
      <c r="E19" s="43">
        <v>-980.46682989999999</v>
      </c>
      <c r="F19" s="43">
        <v>-2729.9045431599998</v>
      </c>
      <c r="G19" s="43">
        <v>-1475.8888479899999</v>
      </c>
      <c r="H19" s="43">
        <v>-723.14750791000006</v>
      </c>
      <c r="I19" s="43">
        <v>-1355.67263983</v>
      </c>
      <c r="J19" s="43">
        <v>-1681.19863412</v>
      </c>
      <c r="K19" s="38">
        <f>+TGTbase2021!HK28</f>
        <v>-2715.03725239</v>
      </c>
      <c r="L19" s="38">
        <f>+TGTbase2021!HL28</f>
        <v>-1541.2441281900001</v>
      </c>
      <c r="M19" s="38">
        <f>+TGTbase2021!HM28</f>
        <v>-1807.7877714000001</v>
      </c>
      <c r="N19" s="168">
        <f>+TGTbase2021!HN28</f>
        <v>-3279.2491772899994</v>
      </c>
      <c r="O19" s="55">
        <f>+Drivers!O32</f>
        <v>-3562.7827154286961</v>
      </c>
      <c r="P19" s="55">
        <f>+Drivers!P32</f>
        <v>-4020.8046723239258</v>
      </c>
      <c r="Q19" s="55">
        <f>+Drivers!Q32</f>
        <v>-4173.8106046122375</v>
      </c>
      <c r="R19" s="55">
        <f>+Drivers!R32</f>
        <v>-4575.5986345921183</v>
      </c>
      <c r="S19" s="55">
        <f>+Drivers!S32</f>
        <v>-4759.9952595661807</v>
      </c>
      <c r="T19" s="148"/>
      <c r="U19" s="42">
        <f t="shared" si="18"/>
        <v>0.19322932306395724</v>
      </c>
      <c r="V19" s="42">
        <f t="shared" si="19"/>
        <v>0.16998814467791745</v>
      </c>
      <c r="X19" s="32">
        <f t="shared" si="51"/>
        <v>-2.667553683958513E-2</v>
      </c>
      <c r="Y19" s="32">
        <f t="shared" si="51"/>
        <v>-6.931685836438134E-2</v>
      </c>
      <c r="Z19" s="32">
        <f t="shared" si="51"/>
        <v>-8.7575377103026222E-2</v>
      </c>
      <c r="AA19" s="32">
        <f t="shared" si="51"/>
        <v>-0.11754622200938339</v>
      </c>
      <c r="AB19" s="32">
        <f t="shared" si="51"/>
        <v>-9.9471057737894303E-2</v>
      </c>
      <c r="AC19" s="32">
        <f t="shared" si="51"/>
        <v>-0.11880814197404921</v>
      </c>
      <c r="AD19" s="32">
        <f t="shared" si="51"/>
        <v>-0.12789073286350877</v>
      </c>
      <c r="AE19" s="32">
        <f t="shared" si="51"/>
        <v>-0.12212820131455664</v>
      </c>
      <c r="AF19" s="32">
        <f t="shared" si="21"/>
        <v>-0.11964298315501823</v>
      </c>
      <c r="AG19" s="32">
        <f t="shared" si="22"/>
        <v>-0.10861471205921025</v>
      </c>
      <c r="AH19" s="32">
        <f t="shared" si="23"/>
        <v>-0.11679529884292837</v>
      </c>
      <c r="AI19" s="32">
        <f t="shared" si="24"/>
        <v>-0.11679529884292837</v>
      </c>
      <c r="AJ19" s="32">
        <f t="shared" si="25"/>
        <v>-0.11679529884292836</v>
      </c>
      <c r="AK19" s="32">
        <f t="shared" si="26"/>
        <v>-0.11679529884292837</v>
      </c>
      <c r="AL19" s="32">
        <f t="shared" si="27"/>
        <v>-0.11679529884292837</v>
      </c>
      <c r="AN19" s="32">
        <f t="shared" si="52"/>
        <v>-0.28050523847662256</v>
      </c>
      <c r="AO19" s="32">
        <f t="shared" si="52"/>
        <v>1.7842905643614979</v>
      </c>
      <c r="AP19" s="32">
        <f t="shared" si="52"/>
        <v>-0.45936247049811296</v>
      </c>
      <c r="AQ19" s="32">
        <f t="shared" si="52"/>
        <v>-0.51002576590042792</v>
      </c>
      <c r="AR19" s="32">
        <f t="shared" si="52"/>
        <v>0.87468341521094106</v>
      </c>
      <c r="AS19" s="32">
        <f t="shared" si="52"/>
        <v>0.24012138677580785</v>
      </c>
      <c r="AT19" s="32">
        <f t="shared" si="52"/>
        <v>0.61494138603743775</v>
      </c>
      <c r="AU19" s="32">
        <f t="shared" si="52"/>
        <v>-0.4323303936867644</v>
      </c>
      <c r="AV19" s="32">
        <f t="shared" si="36"/>
        <v>0.17294057335551538</v>
      </c>
      <c r="AW19" s="32">
        <f t="shared" si="37"/>
        <v>0.81395694183198253</v>
      </c>
      <c r="AX19" s="32">
        <f t="shared" si="38"/>
        <v>8.646294404898236E-2</v>
      </c>
      <c r="AY19" s="32">
        <f t="shared" si="39"/>
        <v>0.12855736470028245</v>
      </c>
      <c r="AZ19" s="32">
        <f t="shared" si="40"/>
        <v>3.8053560109866824E-2</v>
      </c>
      <c r="BA19" s="32">
        <f t="shared" si="41"/>
        <v>9.6264078091106375E-2</v>
      </c>
      <c r="BB19" s="32">
        <f t="shared" si="42"/>
        <v>4.0300000000000002E-2</v>
      </c>
    </row>
    <row r="20" spans="2:54" outlineLevel="1">
      <c r="B20" s="17" t="s">
        <v>72</v>
      </c>
      <c r="C20" s="24" t="s">
        <v>59</v>
      </c>
      <c r="D20" s="43">
        <v>-520.65370174999998</v>
      </c>
      <c r="E20" s="43">
        <v>-378.2503749</v>
      </c>
      <c r="F20" s="43">
        <v>-1636.1211441100002</v>
      </c>
      <c r="G20" s="43">
        <v>-545.44761896</v>
      </c>
      <c r="H20" s="43">
        <v>-257.53410213999996</v>
      </c>
      <c r="I20" s="43">
        <v>-487.83468914000002</v>
      </c>
      <c r="J20" s="43">
        <v>-467.91868559</v>
      </c>
      <c r="K20" s="38">
        <f>+TGTbase2021!HK29</f>
        <v>-642.32484606000003</v>
      </c>
      <c r="L20" s="38">
        <f>+TGTbase2021!HL29</f>
        <v>-222.35188063000004</v>
      </c>
      <c r="M20" s="38">
        <f>+TGTbase2021!HM29</f>
        <v>-765.35994700999993</v>
      </c>
      <c r="N20" s="168">
        <f>+TGTbase2021!HN29</f>
        <v>-3159.1730126900002</v>
      </c>
      <c r="O20" s="55">
        <f>+Drivers!O35</f>
        <v>-1041.304905605401</v>
      </c>
      <c r="P20" s="55">
        <f>+Drivers!P35</f>
        <v>-1175.1723201195077</v>
      </c>
      <c r="Q20" s="55">
        <f>+Drivers!Q35</f>
        <v>-1219.8918106426272</v>
      </c>
      <c r="R20" s="55">
        <f>+Drivers!R35</f>
        <v>-1337.3235711650302</v>
      </c>
      <c r="S20" s="55">
        <f>+Drivers!S35</f>
        <v>-1391.2177110829809</v>
      </c>
      <c r="T20" s="148"/>
      <c r="U20" s="42">
        <f t="shared" si="18"/>
        <v>0.45298170621836564</v>
      </c>
      <c r="V20" s="42">
        <f t="shared" si="19"/>
        <v>0.13996181032646993</v>
      </c>
      <c r="X20" s="32">
        <f t="shared" si="43"/>
        <v>-1.029104861330285E-2</v>
      </c>
      <c r="Y20" s="32">
        <f t="shared" si="44"/>
        <v>-4.1543861999644806E-2</v>
      </c>
      <c r="Z20" s="32">
        <f t="shared" si="45"/>
        <v>-3.2365432522526529E-2</v>
      </c>
      <c r="AA20" s="32">
        <f t="shared" si="46"/>
        <v>-4.1861667798076957E-2</v>
      </c>
      <c r="AB20" s="32">
        <f t="shared" si="47"/>
        <v>-3.5794358537823485E-2</v>
      </c>
      <c r="AC20" s="32">
        <f t="shared" si="48"/>
        <v>-3.3067210799267846E-2</v>
      </c>
      <c r="AD20" s="32">
        <f t="shared" si="49"/>
        <v>-3.0256452366073775E-2</v>
      </c>
      <c r="AE20" s="32">
        <f t="shared" si="50"/>
        <v>-1.7619165415502087E-2</v>
      </c>
      <c r="AF20" s="32">
        <f t="shared" si="21"/>
        <v>-5.0653040526283014E-2</v>
      </c>
      <c r="AG20" s="32">
        <f t="shared" si="22"/>
        <v>-0.10463757054354741</v>
      </c>
      <c r="AH20" s="32">
        <f t="shared" si="23"/>
        <v>-3.4136102970892548E-2</v>
      </c>
      <c r="AI20" s="32">
        <f t="shared" si="24"/>
        <v>-3.4136102970892548E-2</v>
      </c>
      <c r="AJ20" s="32">
        <f t="shared" si="25"/>
        <v>-3.4136102970892548E-2</v>
      </c>
      <c r="AK20" s="32">
        <f t="shared" si="26"/>
        <v>-3.4136102970892548E-2</v>
      </c>
      <c r="AL20" s="32">
        <f t="shared" si="27"/>
        <v>-3.4136102970892548E-2</v>
      </c>
      <c r="AN20" s="32">
        <f t="shared" si="28"/>
        <v>-0.27350871869605409</v>
      </c>
      <c r="AO20" s="32">
        <f t="shared" si="29"/>
        <v>3.3254977461490949</v>
      </c>
      <c r="AP20" s="32">
        <f t="shared" si="30"/>
        <v>-0.66662149626046985</v>
      </c>
      <c r="AQ20" s="32">
        <f t="shared" si="31"/>
        <v>-0.52784815042178046</v>
      </c>
      <c r="AR20" s="32">
        <f t="shared" si="32"/>
        <v>0.89425278084066995</v>
      </c>
      <c r="AS20" s="32">
        <f t="shared" si="33"/>
        <v>-4.0825312330924679E-2</v>
      </c>
      <c r="AT20" s="32">
        <f t="shared" si="34"/>
        <v>0.37272749697971741</v>
      </c>
      <c r="AU20" s="32">
        <f t="shared" si="35"/>
        <v>-0.65383266427587328</v>
      </c>
      <c r="AV20" s="32">
        <f t="shared" si="36"/>
        <v>2.4421114174589826</v>
      </c>
      <c r="AW20" s="32">
        <f t="shared" si="37"/>
        <v>3.1276957659357674</v>
      </c>
      <c r="AX20" s="32">
        <f t="shared" si="38"/>
        <v>-0.6703868697843991</v>
      </c>
      <c r="AY20" s="32">
        <f t="shared" si="39"/>
        <v>0.12855736470028245</v>
      </c>
      <c r="AZ20" s="32">
        <f t="shared" si="40"/>
        <v>3.8053560109866824E-2</v>
      </c>
      <c r="BA20" s="32">
        <f t="shared" si="41"/>
        <v>9.6264078091106375E-2</v>
      </c>
      <c r="BB20" s="32">
        <f t="shared" si="42"/>
        <v>4.0300000000000002E-2</v>
      </c>
    </row>
    <row r="21" spans="2:54" outlineLevel="1">
      <c r="B21" s="17" t="s">
        <v>73</v>
      </c>
      <c r="C21" s="24" t="s">
        <v>59</v>
      </c>
      <c r="D21" s="43">
        <v>-330.21481299999999</v>
      </c>
      <c r="E21" s="43">
        <v>-5.4317000000000002</v>
      </c>
      <c r="F21" s="43">
        <v>-1042.8464395200001</v>
      </c>
      <c r="G21" s="43">
        <v>-692.38863186999993</v>
      </c>
      <c r="H21" s="43">
        <v>-72.648054279999997</v>
      </c>
      <c r="I21" s="43">
        <v>-358.90212622000001</v>
      </c>
      <c r="J21" s="43">
        <v>-511.58129876999999</v>
      </c>
      <c r="K21" s="38">
        <f>+TGTbase2021!HK30</f>
        <v>-1158.52375265</v>
      </c>
      <c r="L21" s="38">
        <f>+TGTbase2021!HL30</f>
        <v>-491.39475318000001</v>
      </c>
      <c r="M21" s="38">
        <f>+TGTbase2021!HM30</f>
        <v>-532.932908</v>
      </c>
      <c r="N21" s="168">
        <f>+TGTbase2021!HN30</f>
        <v>-913.4001324699999</v>
      </c>
      <c r="O21" s="55">
        <f>+Drivers!O36</f>
        <v>-1062.1888201413726</v>
      </c>
      <c r="P21" s="55">
        <f>+Drivers!P36</f>
        <v>-1198.7410156728499</v>
      </c>
      <c r="Q21" s="55">
        <f>+Drivers!Q36</f>
        <v>-1244.3573789689194</v>
      </c>
      <c r="R21" s="55">
        <f>+Drivers!R36</f>
        <v>-1364.1442948712281</v>
      </c>
      <c r="S21" s="55">
        <f>+Drivers!S36</f>
        <v>-1419.1193099545385</v>
      </c>
      <c r="T21" s="148"/>
      <c r="U21" s="42">
        <f t="shared" si="18"/>
        <v>0.20541615561238125</v>
      </c>
      <c r="V21" s="42">
        <f t="shared" si="19"/>
        <v>0.1874910902378224</v>
      </c>
      <c r="X21" s="32">
        <f t="shared" si="43"/>
        <v>-1.4778012782579555E-4</v>
      </c>
      <c r="Y21" s="32">
        <f t="shared" si="44"/>
        <v>-2.6479621467031818E-2</v>
      </c>
      <c r="Z21" s="32">
        <f t="shared" si="45"/>
        <v>-4.1084527212495399E-2</v>
      </c>
      <c r="AA21" s="32">
        <f t="shared" si="46"/>
        <v>-1.1808800035316454E-2</v>
      </c>
      <c r="AB21" s="32">
        <f t="shared" si="47"/>
        <v>-2.6334066994196655E-2</v>
      </c>
      <c r="AC21" s="32">
        <f t="shared" si="48"/>
        <v>-3.6152791432256366E-2</v>
      </c>
      <c r="AD21" s="32">
        <f t="shared" si="49"/>
        <v>-5.4571793309931303E-2</v>
      </c>
      <c r="AE21" s="32">
        <f t="shared" si="50"/>
        <v>-3.8938125533533693E-2</v>
      </c>
      <c r="AF21" s="32">
        <f t="shared" si="21"/>
        <v>-3.5270557718852194E-2</v>
      </c>
      <c r="AG21" s="32">
        <f t="shared" si="22"/>
        <v>-3.0253477860154709E-2</v>
      </c>
      <c r="AH21" s="32">
        <f t="shared" si="23"/>
        <v>-3.4820720370846867E-2</v>
      </c>
      <c r="AI21" s="32">
        <f t="shared" si="24"/>
        <v>-3.4820720370846867E-2</v>
      </c>
      <c r="AJ21" s="32">
        <f t="shared" si="25"/>
        <v>-3.4820720370846867E-2</v>
      </c>
      <c r="AK21" s="32">
        <f t="shared" si="26"/>
        <v>-3.4820720370846867E-2</v>
      </c>
      <c r="AL21" s="32">
        <f t="shared" si="27"/>
        <v>-3.4820720370846867E-2</v>
      </c>
      <c r="AN21" s="32">
        <f t="shared" si="28"/>
        <v>-0.98355101047511151</v>
      </c>
      <c r="AO21" s="32">
        <f t="shared" si="29"/>
        <v>190.99264309884569</v>
      </c>
      <c r="AP21" s="32">
        <f t="shared" si="30"/>
        <v>-0.33605888112473048</v>
      </c>
      <c r="AQ21" s="32">
        <f t="shared" si="31"/>
        <v>-0.8950761885217664</v>
      </c>
      <c r="AR21" s="32">
        <f t="shared" si="32"/>
        <v>3.9402854594937962</v>
      </c>
      <c r="AS21" s="32">
        <f t="shared" si="33"/>
        <v>0.42540615225113099</v>
      </c>
      <c r="AT21" s="32">
        <f t="shared" si="34"/>
        <v>1.2645936343557715</v>
      </c>
      <c r="AU21" s="32">
        <f t="shared" si="35"/>
        <v>-0.57584404112907772</v>
      </c>
      <c r="AV21" s="32">
        <f t="shared" si="36"/>
        <v>8.4531132152289024E-2</v>
      </c>
      <c r="AW21" s="32">
        <f t="shared" si="37"/>
        <v>0.7139120492630564</v>
      </c>
      <c r="AX21" s="32">
        <f t="shared" si="38"/>
        <v>0.16289540846575212</v>
      </c>
      <c r="AY21" s="32">
        <f t="shared" si="39"/>
        <v>0.12855736470028267</v>
      </c>
      <c r="AZ21" s="32">
        <f t="shared" si="40"/>
        <v>3.8053560109866824E-2</v>
      </c>
      <c r="BA21" s="32">
        <f t="shared" si="41"/>
        <v>9.6264078091106597E-2</v>
      </c>
      <c r="BB21" s="32">
        <f t="shared" si="42"/>
        <v>4.0300000000000002E-2</v>
      </c>
    </row>
    <row r="22" spans="2:54" outlineLevel="1">
      <c r="B22" s="186" t="s">
        <v>74</v>
      </c>
      <c r="C22" s="240" t="s">
        <v>59</v>
      </c>
      <c r="D22" s="651">
        <v>-1064.30798273</v>
      </c>
      <c r="E22" s="651">
        <v>-757.72330955000007</v>
      </c>
      <c r="F22" s="651">
        <v>-1301.02699394</v>
      </c>
      <c r="G22" s="651">
        <v>-221.48078695999999</v>
      </c>
      <c r="H22" s="651">
        <v>-125.04811226000001</v>
      </c>
      <c r="I22" s="651">
        <v>-80.117494500000006</v>
      </c>
      <c r="J22" s="651">
        <v>-61.086247</v>
      </c>
      <c r="K22" s="265">
        <f>+SUM(TGTbase2021!HK32:HK37)</f>
        <v>-64.466240499999998</v>
      </c>
      <c r="L22" s="265">
        <f>+SUM(TGTbase2021!HL32:HL37)</f>
        <v>-23.690316500000002</v>
      </c>
      <c r="M22" s="265">
        <f>+SUM(TGTbase2021!HM32:HM37)</f>
        <v>-55.108327729999999</v>
      </c>
      <c r="N22" s="298">
        <f>+SUM(TGTbase2021!HN32:HN37)</f>
        <v>-144.21762017999998</v>
      </c>
      <c r="O22" s="375">
        <f>+Drivers!O38</f>
        <v>-104.74382536820592</v>
      </c>
      <c r="P22" s="375">
        <f>+Drivers!P38</f>
        <v>-118.20941552616908</v>
      </c>
      <c r="Q22" s="375">
        <f>+Drivers!Q38</f>
        <v>-122.70770462544638</v>
      </c>
      <c r="R22" s="375">
        <f>+Drivers!R38</f>
        <v>-134.52004868589077</v>
      </c>
      <c r="S22" s="375">
        <f>+Drivers!S38</f>
        <v>-139.94120664793218</v>
      </c>
      <c r="T22" s="148"/>
      <c r="U22" s="256">
        <f t="shared" si="18"/>
        <v>0.12475567502432661</v>
      </c>
      <c r="V22" s="256">
        <f t="shared" si="19"/>
        <v>7.2203651401139046E-2</v>
      </c>
      <c r="X22" s="230">
        <f t="shared" si="43"/>
        <v>-2.061535937954671E-2</v>
      </c>
      <c r="Y22" s="230">
        <f t="shared" si="44"/>
        <v>-3.3035259087405448E-2</v>
      </c>
      <c r="Z22" s="230">
        <f t="shared" si="45"/>
        <v>-1.3142089572336434E-2</v>
      </c>
      <c r="AA22" s="230">
        <f t="shared" si="46"/>
        <v>-2.0326327623046481E-2</v>
      </c>
      <c r="AB22" s="230">
        <f t="shared" si="47"/>
        <v>-5.8785371092421558E-3</v>
      </c>
      <c r="AC22" s="230">
        <f t="shared" si="48"/>
        <v>-4.316886392211886E-3</v>
      </c>
      <c r="AD22" s="230">
        <f t="shared" si="49"/>
        <v>-3.0366562135538291E-3</v>
      </c>
      <c r="AE22" s="230">
        <f t="shared" si="50"/>
        <v>-1.8772209345675386E-3</v>
      </c>
      <c r="AF22" s="230">
        <f t="shared" si="21"/>
        <v>-3.6471785187459052E-3</v>
      </c>
      <c r="AG22" s="230">
        <f t="shared" si="22"/>
        <v>-4.7767505434461203E-3</v>
      </c>
      <c r="AH22" s="230">
        <f t="shared" si="23"/>
        <v>-3.4337166655865211E-3</v>
      </c>
      <c r="AI22" s="230">
        <f t="shared" si="24"/>
        <v>-3.4337166655865211E-3</v>
      </c>
      <c r="AJ22" s="230">
        <f t="shared" si="25"/>
        <v>-3.4337166655865211E-3</v>
      </c>
      <c r="AK22" s="230">
        <f t="shared" si="26"/>
        <v>-3.4337166655865211E-3</v>
      </c>
      <c r="AL22" s="230">
        <f t="shared" si="27"/>
        <v>-3.4337166655865211E-3</v>
      </c>
      <c r="AN22" s="230">
        <f t="shared" si="28"/>
        <v>-0.28806010868545384</v>
      </c>
      <c r="AO22" s="230">
        <f t="shared" si="29"/>
        <v>0.71702121017322207</v>
      </c>
      <c r="AP22" s="230">
        <f t="shared" si="30"/>
        <v>-0.82976464901064606</v>
      </c>
      <c r="AQ22" s="230">
        <f t="shared" si="31"/>
        <v>-0.43539972935628035</v>
      </c>
      <c r="AR22" s="230">
        <f t="shared" si="32"/>
        <v>-0.35930664564196113</v>
      </c>
      <c r="AS22" s="230">
        <f t="shared" si="33"/>
        <v>-0.23754172067874646</v>
      </c>
      <c r="AT22" s="230">
        <f t="shared" si="34"/>
        <v>5.533149712078389E-2</v>
      </c>
      <c r="AU22" s="230">
        <f t="shared" si="35"/>
        <v>-0.63251592901559062</v>
      </c>
      <c r="AV22" s="230">
        <f t="shared" si="36"/>
        <v>1.3261963481999066</v>
      </c>
      <c r="AW22" s="230">
        <f t="shared" si="37"/>
        <v>1.6169841495932467</v>
      </c>
      <c r="AX22" s="230">
        <f t="shared" si="38"/>
        <v>-0.27370993060713578</v>
      </c>
      <c r="AY22" s="230">
        <f t="shared" si="39"/>
        <v>0.12855736470028267</v>
      </c>
      <c r="AZ22" s="230">
        <f t="shared" si="40"/>
        <v>3.8053560109866824E-2</v>
      </c>
      <c r="BA22" s="230">
        <f t="shared" si="41"/>
        <v>9.6264078091106375E-2</v>
      </c>
      <c r="BB22" s="230">
        <f t="shared" si="42"/>
        <v>4.0300000000000002E-2</v>
      </c>
    </row>
    <row r="23" spans="2:54" ht="15" customHeight="1" outlineLevel="1" collapsed="1">
      <c r="B23" s="29"/>
      <c r="C23" s="24"/>
      <c r="D23" s="16"/>
      <c r="E23" s="16"/>
      <c r="F23" s="42"/>
      <c r="G23" s="42"/>
      <c r="H23" s="174"/>
      <c r="I23" s="42"/>
      <c r="J23" s="42"/>
      <c r="K23" s="42"/>
      <c r="L23" s="42"/>
      <c r="M23" s="42"/>
      <c r="N23" s="42"/>
      <c r="O23" s="42"/>
      <c r="P23" s="42"/>
      <c r="Q23" s="42"/>
      <c r="R23" s="42"/>
      <c r="S23" s="42"/>
      <c r="T23" s="27"/>
      <c r="U23" s="42"/>
      <c r="V23" s="42"/>
      <c r="X23" s="76"/>
      <c r="Y23" s="76"/>
      <c r="Z23" s="76">
        <f>+G23/$G$5</f>
        <v>0</v>
      </c>
      <c r="AA23" s="76"/>
      <c r="AB23" s="76"/>
      <c r="AC23" s="76"/>
      <c r="AD23" s="76"/>
      <c r="AE23" s="76"/>
      <c r="AF23" s="76"/>
      <c r="AG23" s="76"/>
      <c r="AH23" s="76"/>
      <c r="AI23" s="76"/>
      <c r="AJ23" s="76"/>
      <c r="AK23" s="76"/>
      <c r="AL23" s="76"/>
      <c r="AN23" s="32"/>
      <c r="AO23" s="32"/>
      <c r="AP23" s="32"/>
      <c r="AQ23" s="32"/>
      <c r="AR23" s="32"/>
      <c r="AS23" s="32"/>
      <c r="AT23" s="32"/>
      <c r="AU23" s="32"/>
      <c r="AV23" s="32"/>
      <c r="AW23" s="32"/>
      <c r="AX23" s="32"/>
      <c r="AY23" s="32"/>
      <c r="AZ23" s="32"/>
      <c r="BA23" s="32"/>
      <c r="BB23" s="32"/>
    </row>
    <row r="24" spans="2:54">
      <c r="B24" s="1282" t="s">
        <v>75</v>
      </c>
      <c r="C24" s="1283" t="s">
        <v>59</v>
      </c>
      <c r="D24" s="1092">
        <f t="shared" ref="D24:S24" si="53">+D5+D13</f>
        <v>13365.156446720004</v>
      </c>
      <c r="E24" s="1092">
        <f t="shared" si="53"/>
        <v>14277.01942411</v>
      </c>
      <c r="F24" s="1092">
        <f t="shared" si="53"/>
        <v>16183.094495750007</v>
      </c>
      <c r="G24" s="1092">
        <f t="shared" si="53"/>
        <v>4073.5189605999967</v>
      </c>
      <c r="H24" s="1092">
        <f t="shared" si="53"/>
        <v>1015.9902597199998</v>
      </c>
      <c r="I24" s="1092">
        <f t="shared" si="53"/>
        <v>5301.3167486300044</v>
      </c>
      <c r="J24" s="1092">
        <f t="shared" si="53"/>
        <v>4669.2327000399982</v>
      </c>
      <c r="K24" s="1092">
        <f t="shared" si="53"/>
        <v>7053.1315717300022</v>
      </c>
      <c r="L24" s="1092">
        <f t="shared" si="53"/>
        <v>4486.7079055599988</v>
      </c>
      <c r="M24" s="1092">
        <f t="shared" si="53"/>
        <v>5553.9801829799981</v>
      </c>
      <c r="N24" s="1421">
        <f t="shared" si="53"/>
        <v>9039.5098311699985</v>
      </c>
      <c r="O24" s="1092">
        <f t="shared" si="53"/>
        <v>10046.492498849111</v>
      </c>
      <c r="P24" s="1092">
        <f t="shared" si="53"/>
        <v>11425.783207802051</v>
      </c>
      <c r="Q24" s="1092">
        <f t="shared" si="53"/>
        <v>11853.717444548296</v>
      </c>
      <c r="R24" s="1092">
        <f t="shared" si="53"/>
        <v>13069.097509420895</v>
      </c>
      <c r="S24" s="1092">
        <f t="shared" si="53"/>
        <v>13600.119013483189</v>
      </c>
      <c r="T24" s="26"/>
      <c r="U24" s="1284">
        <f>+IFERROR(((N24/I24)^(1/5))-1," ")</f>
        <v>0.11263374001403137</v>
      </c>
      <c r="V24" s="1284">
        <f>+IFERROR(((S24/I24)^(1/8))-1," ")</f>
        <v>0.12498017565039277</v>
      </c>
      <c r="X24" s="1285">
        <f>+E24/$E$5</f>
        <v>0.38843451506275051</v>
      </c>
      <c r="Y24" s="1285">
        <f>+F24/$F$5</f>
        <v>0.41091593179328101</v>
      </c>
      <c r="Z24" s="1285">
        <f>+G24/$G$5</f>
        <v>0.24171194165245785</v>
      </c>
      <c r="AA24" s="1285">
        <f>+H24/$H$5</f>
        <v>0.1651472421907059</v>
      </c>
      <c r="AB24" s="1285">
        <f>+I24/$I$5</f>
        <v>0.38897855492308797</v>
      </c>
      <c r="AC24" s="1285">
        <f>+J24/$J$5</f>
        <v>0.32996866061968794</v>
      </c>
      <c r="AD24" s="1285">
        <f>+K24/$K$5</f>
        <v>0.3322349131295565</v>
      </c>
      <c r="AE24" s="1285">
        <f>+L24/$L$5</f>
        <v>0.35552678275137878</v>
      </c>
      <c r="AF24" s="1285">
        <f>+M24/$M$5</f>
        <v>0.36757343311431856</v>
      </c>
      <c r="AG24" s="1285">
        <f>+N24/N$5</f>
        <v>0.29940504804222212</v>
      </c>
      <c r="AH24" s="1285">
        <f t="shared" ref="AH24:AL24" si="54">+O24/O$5</f>
        <v>0.32934455661440232</v>
      </c>
      <c r="AI24" s="1285">
        <f t="shared" si="54"/>
        <v>0.33189320870403238</v>
      </c>
      <c r="AJ24" s="1285">
        <f t="shared" si="54"/>
        <v>0.33170131625181221</v>
      </c>
      <c r="AK24" s="1285">
        <f t="shared" si="54"/>
        <v>0.33359769313687909</v>
      </c>
      <c r="AL24" s="1285">
        <f t="shared" si="54"/>
        <v>0.33370410638264553</v>
      </c>
      <c r="AN24" s="1285">
        <f t="shared" ref="AN24:AY25" si="55">+IFERROR((E24/D24-1)," ")</f>
        <v>6.822688391453724E-2</v>
      </c>
      <c r="AO24" s="1285">
        <f t="shared" si="55"/>
        <v>0.13350651246023837</v>
      </c>
      <c r="AP24" s="1285">
        <f t="shared" si="55"/>
        <v>-0.74828553576883694</v>
      </c>
      <c r="AQ24" s="1285">
        <f t="shared" si="55"/>
        <v>-0.75058658875854289</v>
      </c>
      <c r="AR24" s="1285">
        <f t="shared" si="55"/>
        <v>4.2178814687564152</v>
      </c>
      <c r="AS24" s="1285">
        <f t="shared" si="55"/>
        <v>-0.11923151899070228</v>
      </c>
      <c r="AT24" s="1285">
        <f t="shared" si="55"/>
        <v>0.51055473668501961</v>
      </c>
      <c r="AU24" s="1285">
        <f t="shared" si="55"/>
        <v>-0.36387009657619462</v>
      </c>
      <c r="AV24" s="1285">
        <f t="shared" si="55"/>
        <v>0.23787424986980299</v>
      </c>
      <c r="AW24" s="1285">
        <f t="shared" si="55"/>
        <v>0.6275732957908815</v>
      </c>
      <c r="AX24" s="1285">
        <f t="shared" si="55"/>
        <v>0.11139792826009653</v>
      </c>
      <c r="AY24" s="1285">
        <f t="shared" si="55"/>
        <v>0.13729077179034843</v>
      </c>
      <c r="AZ24" s="1285">
        <f t="shared" ref="AZ24:AZ25" si="56">+IFERROR((Q24/P24-1)," ")</f>
        <v>3.7453383191625056E-2</v>
      </c>
      <c r="BA24" s="1285">
        <f t="shared" ref="BA24:BA25" si="57">+IFERROR((R24/Q24-1)," ")</f>
        <v>0.10253155354496579</v>
      </c>
      <c r="BB24" s="1285">
        <f t="shared" ref="BB24:BB25" si="58">+IFERROR((S24/R24-1)," ")</f>
        <v>4.0631841921716871E-2</v>
      </c>
    </row>
    <row r="25" spans="2:54">
      <c r="B25" s="294" t="s">
        <v>76</v>
      </c>
      <c r="C25" s="1280" t="s">
        <v>35</v>
      </c>
      <c r="D25" s="212">
        <f t="shared" ref="D25:S25" si="59">+D24/D5</f>
        <v>0.368375216141207</v>
      </c>
      <c r="E25" s="343">
        <f t="shared" si="59"/>
        <v>0.38843451506275051</v>
      </c>
      <c r="F25" s="343">
        <f t="shared" si="59"/>
        <v>0.41091593179328101</v>
      </c>
      <c r="G25" s="343">
        <f t="shared" si="59"/>
        <v>0.24171194165245785</v>
      </c>
      <c r="H25" s="343">
        <f t="shared" si="59"/>
        <v>0.1651472421907059</v>
      </c>
      <c r="I25" s="343">
        <f t="shared" si="59"/>
        <v>0.38897855492308797</v>
      </c>
      <c r="J25" s="343">
        <f t="shared" si="59"/>
        <v>0.32996866061968794</v>
      </c>
      <c r="K25" s="212">
        <f t="shared" si="59"/>
        <v>0.3322349131295565</v>
      </c>
      <c r="L25" s="212">
        <f t="shared" si="59"/>
        <v>0.35552678275137878</v>
      </c>
      <c r="M25" s="212">
        <f t="shared" si="59"/>
        <v>0.36757343311431856</v>
      </c>
      <c r="N25" s="1196">
        <f t="shared" si="59"/>
        <v>0.29940504804222212</v>
      </c>
      <c r="O25" s="212">
        <f t="shared" si="59"/>
        <v>0.32934455661440232</v>
      </c>
      <c r="P25" s="212">
        <f t="shared" si="59"/>
        <v>0.33189320870403238</v>
      </c>
      <c r="Q25" s="212">
        <f t="shared" si="59"/>
        <v>0.33170131625181221</v>
      </c>
      <c r="R25" s="212">
        <f t="shared" si="59"/>
        <v>0.33359769313687909</v>
      </c>
      <c r="S25" s="212">
        <f t="shared" si="59"/>
        <v>0.33370410638264553</v>
      </c>
      <c r="T25" s="26"/>
      <c r="U25" s="256">
        <f>+IFERROR(((N25/I25)^(1/5))-1," ")</f>
        <v>-5.0998952138955889E-2</v>
      </c>
      <c r="V25" s="256">
        <f>+IFERROR(((S25/I25)^(1/8))-1," ")</f>
        <v>-1.8976329010767179E-2</v>
      </c>
      <c r="X25" s="230"/>
      <c r="Y25" s="230"/>
      <c r="Z25" s="230"/>
      <c r="AA25" s="230"/>
      <c r="AB25" s="230"/>
      <c r="AC25" s="230"/>
      <c r="AD25" s="230"/>
      <c r="AE25" s="230"/>
      <c r="AF25" s="230"/>
      <c r="AG25" s="230"/>
      <c r="AH25" s="230"/>
      <c r="AI25" s="230"/>
      <c r="AJ25" s="230"/>
      <c r="AK25" s="230"/>
      <c r="AL25" s="230"/>
      <c r="AN25" s="230">
        <f t="shared" si="55"/>
        <v>5.4453443235590315E-2</v>
      </c>
      <c r="AO25" s="230">
        <f t="shared" si="55"/>
        <v>5.7876980182615112E-2</v>
      </c>
      <c r="AP25" s="230">
        <f t="shared" si="55"/>
        <v>-0.41177276676131513</v>
      </c>
      <c r="AQ25" s="230">
        <f t="shared" si="55"/>
        <v>-0.31676010270042609</v>
      </c>
      <c r="AR25" s="230">
        <f t="shared" si="55"/>
        <v>1.3553439328639225</v>
      </c>
      <c r="AS25" s="230">
        <f t="shared" si="55"/>
        <v>-0.15170474967461367</v>
      </c>
      <c r="AT25" s="230">
        <f t="shared" si="55"/>
        <v>6.8680840950545718E-3</v>
      </c>
      <c r="AU25" s="230">
        <f t="shared" si="55"/>
        <v>7.0106628476879873E-2</v>
      </c>
      <c r="AV25" s="230">
        <f t="shared" si="55"/>
        <v>3.3883946153682842E-2</v>
      </c>
      <c r="AW25" s="230">
        <f t="shared" si="55"/>
        <v>-0.18545514700159371</v>
      </c>
      <c r="AX25" s="230">
        <f t="shared" si="55"/>
        <v>9.9996672627771233E-2</v>
      </c>
      <c r="AY25" s="230">
        <f t="shared" si="55"/>
        <v>7.7385584138074393E-3</v>
      </c>
      <c r="AZ25" s="230">
        <f t="shared" si="56"/>
        <v>-5.7817529008641344E-4</v>
      </c>
      <c r="BA25" s="230">
        <f t="shared" si="57"/>
        <v>5.7171219773732851E-3</v>
      </c>
      <c r="BB25" s="230">
        <f t="shared" si="58"/>
        <v>3.1898675547137323E-4</v>
      </c>
    </row>
    <row r="26" spans="2:54">
      <c r="D26" s="28"/>
      <c r="E26" s="28"/>
      <c r="F26" s="28"/>
      <c r="G26" s="28"/>
      <c r="H26" s="28"/>
      <c r="I26" s="52"/>
      <c r="J26" s="122"/>
      <c r="K26" s="660"/>
      <c r="L26" s="28"/>
      <c r="M26" s="28"/>
      <c r="N26" s="28"/>
      <c r="O26" s="28"/>
      <c r="P26" s="28"/>
      <c r="Q26" s="28"/>
      <c r="R26" s="28"/>
      <c r="S26" s="28"/>
      <c r="T26" s="26"/>
      <c r="U26" s="122"/>
      <c r="V26" s="122"/>
      <c r="X26" s="108"/>
      <c r="Y26" s="108"/>
      <c r="Z26" s="108"/>
      <c r="AA26" s="108"/>
      <c r="AB26" s="108"/>
      <c r="AC26" s="108"/>
      <c r="AD26" s="108"/>
      <c r="AE26" s="108"/>
      <c r="AF26" s="108"/>
      <c r="AG26" s="108"/>
      <c r="AH26" s="108"/>
      <c r="AI26" s="108"/>
      <c r="AJ26" s="108"/>
      <c r="AK26" s="108"/>
      <c r="AL26" s="108"/>
      <c r="AN26" s="108"/>
      <c r="AO26" s="108"/>
      <c r="AP26" s="108"/>
      <c r="AQ26" s="108"/>
      <c r="AR26" s="108"/>
      <c r="AS26" s="108"/>
      <c r="AT26" s="108"/>
      <c r="AU26" s="108"/>
      <c r="AV26" s="108"/>
      <c r="AW26" s="108"/>
      <c r="AX26" s="108"/>
      <c r="AY26" s="108"/>
      <c r="AZ26" s="108"/>
      <c r="BA26" s="108"/>
      <c r="BB26" s="108"/>
    </row>
    <row r="27" spans="2:54">
      <c r="B27" s="185" t="s">
        <v>77</v>
      </c>
      <c r="C27" s="192" t="s">
        <v>59</v>
      </c>
      <c r="D27" s="221">
        <f t="shared" ref="D27:S27" si="60">+SUM(D28:D32)</f>
        <v>-3278.7241652599996</v>
      </c>
      <c r="E27" s="221">
        <f t="shared" si="60"/>
        <v>-4628.2900165699984</v>
      </c>
      <c r="F27" s="221">
        <f t="shared" si="60"/>
        <v>-5446.7616672799995</v>
      </c>
      <c r="G27" s="221">
        <f t="shared" si="60"/>
        <v>-6475.9954385000001</v>
      </c>
      <c r="H27" s="221">
        <f t="shared" si="60"/>
        <v>-2939.0563960300005</v>
      </c>
      <c r="I27" s="221">
        <f t="shared" si="60"/>
        <v>-2159.23011894</v>
      </c>
      <c r="J27" s="221">
        <f t="shared" si="60"/>
        <v>-2632.6677291099995</v>
      </c>
      <c r="K27" s="23">
        <f t="shared" si="60"/>
        <v>-2814.2508768399998</v>
      </c>
      <c r="L27" s="23">
        <f t="shared" si="60"/>
        <v>-2478.5065987100002</v>
      </c>
      <c r="M27" s="23">
        <f t="shared" si="60"/>
        <v>-2673.3371602099996</v>
      </c>
      <c r="N27" s="23">
        <f t="shared" si="60"/>
        <v>-3150.2785705799997</v>
      </c>
      <c r="O27" s="221">
        <f t="shared" si="60"/>
        <v>-3876.8857719313105</v>
      </c>
      <c r="P27" s="221">
        <f t="shared" si="60"/>
        <v>-4283.1898552363491</v>
      </c>
      <c r="Q27" s="221">
        <f t="shared" si="60"/>
        <v>-4498.6140746055771</v>
      </c>
      <c r="R27" s="221">
        <f t="shared" si="60"/>
        <v>-4825.557554377413</v>
      </c>
      <c r="S27" s="221">
        <f t="shared" si="60"/>
        <v>-5038.477590874546</v>
      </c>
      <c r="T27" s="27"/>
      <c r="U27" s="1278">
        <f t="shared" ref="U27:U32" si="61">+IFERROR(((N27/I27)^(1/5))-1," ")</f>
        <v>7.8474810428065256E-2</v>
      </c>
      <c r="V27" s="1278">
        <f t="shared" ref="V27:V32" si="62">+IFERROR(((S27/I27)^(1/8))-1," ")</f>
        <v>0.11173185585107626</v>
      </c>
      <c r="X27" s="1279">
        <f t="shared" ref="X27:X41" si="63">+E27/$E$5</f>
        <v>-0.1259217722377097</v>
      </c>
      <c r="Y27" s="1279">
        <f t="shared" ref="Y27:Y41" si="64">+F27/$F$5</f>
        <v>-0.13830242085987141</v>
      </c>
      <c r="Z27" s="1279">
        <f t="shared" ref="Z27:Z41" si="65">+G27/$G$5</f>
        <v>-0.38426860086143683</v>
      </c>
      <c r="AA27" s="1279">
        <f t="shared" ref="AA27:AA41" si="66">+H27/$H$5</f>
        <v>-0.47773790526404891</v>
      </c>
      <c r="AB27" s="1279">
        <f t="shared" ref="AB27:AB41" si="67">+I27/$I$5</f>
        <v>-0.15843124477116721</v>
      </c>
      <c r="AC27" s="1279">
        <f t="shared" ref="AC27:AC41" si="68">+J27/$J$5</f>
        <v>-0.1860472373595046</v>
      </c>
      <c r="AD27" s="1279">
        <f t="shared" ref="AD27:AD41" si="69">+K27/$K$5</f>
        <v>-0.1325641505596328</v>
      </c>
      <c r="AE27" s="1279">
        <f t="shared" ref="AE27:AE41" si="70">+L27/$L$5</f>
        <v>-0.19639688957140769</v>
      </c>
      <c r="AF27" s="1279">
        <f>+M27/$M$5</f>
        <v>-0.17692675981483807</v>
      </c>
      <c r="AG27" s="1279">
        <f t="shared" ref="AG27:AG28" si="71">+N27/N$5</f>
        <v>-0.10434297040294346</v>
      </c>
      <c r="AH27" s="1279">
        <f t="shared" ref="AH27:AH28" si="72">+O27/O$5</f>
        <v>-0.12709223898267694</v>
      </c>
      <c r="AI27" s="1279">
        <f t="shared" ref="AI27:AI28" si="73">+P27/P$5</f>
        <v>-0.1244169960771043</v>
      </c>
      <c r="AJ27" s="1279">
        <f t="shared" ref="AJ27:AJ28" si="74">+Q27/Q$5</f>
        <v>-0.12588423984594654</v>
      </c>
      <c r="AK27" s="1279">
        <f t="shared" ref="AK27:AK28" si="75">+R27/R$5</f>
        <v>-0.1231756720063585</v>
      </c>
      <c r="AL27" s="1279">
        <f t="shared" ref="AL27:AL28" si="76">+S27/S$5</f>
        <v>-0.12362837856969269</v>
      </c>
      <c r="AN27" s="1279">
        <f t="shared" ref="AN27:AN41" si="77">+IFERROR((E27/D27-1)," ")</f>
        <v>0.41161311024862601</v>
      </c>
      <c r="AO27" s="1279">
        <f t="shared" ref="AO27:AO41" si="78">+IFERROR((F27/E27-1)," ")</f>
        <v>0.17684104664568245</v>
      </c>
      <c r="AP27" s="1279">
        <f t="shared" ref="AP27:AP41" si="79">+IFERROR((G27/F27-1)," ")</f>
        <v>0.18896251279046306</v>
      </c>
      <c r="AQ27" s="1279">
        <f t="shared" ref="AQ27:AQ41" si="80">+IFERROR((H27/G27-1)," ")</f>
        <v>-0.54616144746532458</v>
      </c>
      <c r="AR27" s="1279">
        <f t="shared" ref="AR27:AR41" si="81">+IFERROR((I27/H27-1)," ")</f>
        <v>-0.26533219238098638</v>
      </c>
      <c r="AS27" s="1279">
        <f t="shared" ref="AS27:AS41" si="82">+IFERROR((J27/I27-1)," ")</f>
        <v>0.21926222963322561</v>
      </c>
      <c r="AT27" s="1279">
        <f t="shared" ref="AT27:AT41" si="83">+IFERROR((K27/J27-1)," ")</f>
        <v>6.8973059426449712E-2</v>
      </c>
      <c r="AU27" s="1279">
        <f t="shared" ref="AU27:AU41" si="84">+IFERROR((L27/K27-1)," ")</f>
        <v>-0.1193014741127103</v>
      </c>
      <c r="AV27" s="1279">
        <f t="shared" ref="AV27:AY28" si="85">+IFERROR((M27/L27-1)," ")</f>
        <v>7.8608046313616287E-2</v>
      </c>
      <c r="AW27" s="1279">
        <f t="shared" si="85"/>
        <v>0.17840675597107802</v>
      </c>
      <c r="AX27" s="1279">
        <f t="shared" si="85"/>
        <v>0.23064855538078177</v>
      </c>
      <c r="AY27" s="1279">
        <f t="shared" si="85"/>
        <v>0.10480166484312847</v>
      </c>
      <c r="AZ27" s="1279">
        <f t="shared" ref="AZ27:AZ28" si="86">+IFERROR((Q27/P27-1)," ")</f>
        <v>5.029527680307333E-2</v>
      </c>
      <c r="BA27" s="1279">
        <f t="shared" ref="BA27:BA28" si="87">+IFERROR((R27/Q27-1)," ")</f>
        <v>7.2676489769907926E-2</v>
      </c>
      <c r="BB27" s="1279">
        <f t="shared" ref="BB27:BB28" si="88">+IFERROR((S27/R27-1)," ")</f>
        <v>4.412340627954725E-2</v>
      </c>
    </row>
    <row r="28" spans="2:54" outlineLevel="1">
      <c r="B28" s="17" t="s">
        <v>78</v>
      </c>
      <c r="C28" s="24" t="s">
        <v>59</v>
      </c>
      <c r="D28" s="43">
        <v>-2339.8608622399997</v>
      </c>
      <c r="E28" s="43">
        <v>-3552.5743537299991</v>
      </c>
      <c r="F28" s="43">
        <v>-3731.8351354899996</v>
      </c>
      <c r="G28" s="43">
        <v>-3925.9452178799997</v>
      </c>
      <c r="H28" s="63">
        <v>-1797.9145988600001</v>
      </c>
      <c r="I28" s="63">
        <v>-1260.5124630299999</v>
      </c>
      <c r="J28" s="63">
        <v>-1594.4143252799997</v>
      </c>
      <c r="K28" s="68">
        <f>+TGTbase2021!HK43</f>
        <v>-1671.4724476199999</v>
      </c>
      <c r="L28" s="68">
        <f>+TGTbase2021!HL43</f>
        <v>-1706.5721977900002</v>
      </c>
      <c r="M28" s="68">
        <f>+TGTbase2021!HM43</f>
        <v>-1742.7515394899997</v>
      </c>
      <c r="N28" s="1420">
        <f>+TGTbase2021!HN43</f>
        <v>-1883.0921449999998</v>
      </c>
      <c r="O28" s="75">
        <f>+Drivers!O54</f>
        <v>-2151.4553727682396</v>
      </c>
      <c r="P28" s="75">
        <f>+Drivers!P54</f>
        <v>-2335.9426709831164</v>
      </c>
      <c r="Q28" s="75">
        <f>+Drivers!Q54</f>
        <v>-2477.2672025775951</v>
      </c>
      <c r="R28" s="75">
        <f>+Drivers!R54</f>
        <v>-2609.6275892113158</v>
      </c>
      <c r="S28" s="75">
        <f>+Drivers!S54</f>
        <v>-2733.2456481122558</v>
      </c>
      <c r="T28" s="26"/>
      <c r="U28" s="286">
        <f t="shared" si="61"/>
        <v>8.3589743249307569E-2</v>
      </c>
      <c r="V28" s="286">
        <f t="shared" si="62"/>
        <v>0.10158100895191424</v>
      </c>
      <c r="X28" s="76">
        <f t="shared" si="63"/>
        <v>-9.6654802751415261E-2</v>
      </c>
      <c r="Y28" s="76">
        <f t="shared" si="64"/>
        <v>-9.4757557795976374E-2</v>
      </c>
      <c r="Z28" s="76">
        <f t="shared" si="65"/>
        <v>-0.23295530243344786</v>
      </c>
      <c r="AA28" s="76">
        <f t="shared" si="66"/>
        <v>-0.29224752388666364</v>
      </c>
      <c r="AB28" s="76">
        <f t="shared" si="67"/>
        <v>-9.2488779595873219E-2</v>
      </c>
      <c r="AC28" s="76">
        <f t="shared" si="68"/>
        <v>-0.11267520665247166</v>
      </c>
      <c r="AD28" s="76">
        <f t="shared" si="69"/>
        <v>-7.8734034348556442E-2</v>
      </c>
      <c r="AE28" s="76">
        <f t="shared" si="70"/>
        <v>-0.13522879932998455</v>
      </c>
      <c r="AF28" s="76">
        <f>+M28/$M$5</f>
        <v>-0.11533875623083226</v>
      </c>
      <c r="AG28" s="76">
        <f t="shared" si="71"/>
        <v>-6.2371445429213225E-2</v>
      </c>
      <c r="AH28" s="76">
        <f t="shared" si="72"/>
        <v>-7.0529104152638411E-2</v>
      </c>
      <c r="AI28" s="76">
        <f t="shared" si="73"/>
        <v>-6.7853861247065758E-2</v>
      </c>
      <c r="AJ28" s="76">
        <f t="shared" si="74"/>
        <v>-6.9321105015908005E-2</v>
      </c>
      <c r="AK28" s="76">
        <f t="shared" si="75"/>
        <v>-6.6612537176319972E-2</v>
      </c>
      <c r="AL28" s="76">
        <f t="shared" si="76"/>
        <v>-6.7065243739654182E-2</v>
      </c>
      <c r="AN28" s="76">
        <f t="shared" si="77"/>
        <v>0.51828444633628434</v>
      </c>
      <c r="AO28" s="76">
        <f t="shared" si="78"/>
        <v>5.0459403213274578E-2</v>
      </c>
      <c r="AP28" s="76">
        <f t="shared" si="79"/>
        <v>5.2014645701788931E-2</v>
      </c>
      <c r="AQ28" s="76">
        <f t="shared" si="80"/>
        <v>-0.54204287144106678</v>
      </c>
      <c r="AR28" s="76">
        <f t="shared" si="81"/>
        <v>-0.29890303809243757</v>
      </c>
      <c r="AS28" s="76">
        <f t="shared" si="82"/>
        <v>0.26489374127041287</v>
      </c>
      <c r="AT28" s="76">
        <f t="shared" si="83"/>
        <v>4.8330048920294244E-2</v>
      </c>
      <c r="AU28" s="76">
        <f t="shared" si="84"/>
        <v>2.0999299282485229E-2</v>
      </c>
      <c r="AV28" s="76">
        <f t="shared" si="85"/>
        <v>2.1200006508280911E-2</v>
      </c>
      <c r="AW28" s="76">
        <f t="shared" si="85"/>
        <v>8.0528177614503482E-2</v>
      </c>
      <c r="AX28" s="76">
        <f t="shared" si="85"/>
        <v>0.14251199999999997</v>
      </c>
      <c r="AY28" s="76">
        <f t="shared" si="85"/>
        <v>8.5750000000000215E-2</v>
      </c>
      <c r="AZ28" s="76">
        <f t="shared" si="86"/>
        <v>6.0499999999999998E-2</v>
      </c>
      <c r="BA28" s="76">
        <f t="shared" si="87"/>
        <v>5.3429999999999866E-2</v>
      </c>
      <c r="BB28" s="76">
        <f t="shared" si="88"/>
        <v>4.7369999999999912E-2</v>
      </c>
    </row>
    <row r="29" spans="2:54" outlineLevel="1">
      <c r="B29" s="17" t="s">
        <v>79</v>
      </c>
      <c r="C29" s="24" t="s">
        <v>59</v>
      </c>
      <c r="D29" s="43">
        <v>0</v>
      </c>
      <c r="E29" s="43">
        <v>0</v>
      </c>
      <c r="F29" s="43">
        <v>0</v>
      </c>
      <c r="G29" s="43">
        <v>-296.23427975000004</v>
      </c>
      <c r="H29" s="43">
        <v>-155.31832292000001</v>
      </c>
      <c r="I29" s="43">
        <v>-110.64245015</v>
      </c>
      <c r="J29" s="43">
        <v>-133.06479322000001</v>
      </c>
      <c r="K29" s="38">
        <f>+TGTbase2021!HK44</f>
        <v>-56.614837989999998</v>
      </c>
      <c r="L29" s="38">
        <f>+TGTbase2021!HL44</f>
        <v>-55.040050130000012</v>
      </c>
      <c r="M29" s="38">
        <f>+TGTbase2021!HM44</f>
        <v>-67.912050570000005</v>
      </c>
      <c r="N29" s="168">
        <f>+TGTbase2021!HN44</f>
        <v>-91.895999999999987</v>
      </c>
      <c r="O29" s="55">
        <f>+Drivers!O55</f>
        <v>-120.99806476359622</v>
      </c>
      <c r="P29" s="55">
        <f>+Drivers!P55</f>
        <v>-136.55325710343826</v>
      </c>
      <c r="Q29" s="55">
        <f>+Drivers!Q55</f>
        <v>-141.74959468082207</v>
      </c>
      <c r="R29" s="55">
        <f>+Drivers!R55</f>
        <v>-155.3949887325594</v>
      </c>
      <c r="S29" s="55">
        <f>+Drivers!S55</f>
        <v>-161.65740677848154</v>
      </c>
      <c r="T29" s="26"/>
      <c r="U29" s="42">
        <f t="shared" si="61"/>
        <v>-3.6448427065587041E-2</v>
      </c>
      <c r="V29" s="42">
        <f t="shared" si="62"/>
        <v>4.8538129360949256E-2</v>
      </c>
      <c r="X29" s="32"/>
      <c r="Y29" s="32"/>
      <c r="Z29" s="32"/>
      <c r="AA29" s="32"/>
      <c r="AB29" s="32"/>
      <c r="AC29" s="32"/>
      <c r="AD29" s="32"/>
      <c r="AE29" s="32"/>
      <c r="AF29" s="32"/>
      <c r="AG29" s="32"/>
      <c r="AH29" s="32"/>
      <c r="AI29" s="32"/>
      <c r="AJ29" s="32"/>
      <c r="AK29" s="32"/>
      <c r="AL29" s="32"/>
      <c r="AN29" s="32"/>
      <c r="AO29" s="32"/>
      <c r="AP29" s="32"/>
      <c r="AQ29" s="32"/>
      <c r="AR29" s="32"/>
      <c r="AS29" s="32"/>
      <c r="AT29" s="32"/>
      <c r="AU29" s="32"/>
      <c r="AV29" s="32"/>
      <c r="AW29" s="32"/>
      <c r="AX29" s="32"/>
      <c r="AY29" s="32"/>
      <c r="AZ29" s="32"/>
      <c r="BA29" s="32"/>
      <c r="BB29" s="32"/>
    </row>
    <row r="30" spans="2:54" outlineLevel="1">
      <c r="B30" s="17" t="s">
        <v>80</v>
      </c>
      <c r="C30" s="24" t="s">
        <v>59</v>
      </c>
      <c r="D30" s="43">
        <v>-354.48912064999996</v>
      </c>
      <c r="E30" s="43">
        <v>-103.02983166999999</v>
      </c>
      <c r="F30" s="43">
        <v>-247.35398885000001</v>
      </c>
      <c r="G30" s="43">
        <v>-461.23218131000004</v>
      </c>
      <c r="H30" s="43">
        <v>-311.33617829000002</v>
      </c>
      <c r="I30" s="43">
        <v>-285.10069353</v>
      </c>
      <c r="J30" s="43">
        <v>-310.36101825000003</v>
      </c>
      <c r="K30" s="38">
        <f>+TGTbase2021!HK45</f>
        <v>-353.27539547999993</v>
      </c>
      <c r="L30" s="38">
        <f>+TGTbase2021!HL45</f>
        <v>-246.12362771000002</v>
      </c>
      <c r="M30" s="38">
        <f>+TGTbase2021!HM45</f>
        <v>-266.71844011999997</v>
      </c>
      <c r="N30" s="168">
        <f>+TGTbase2021!HN45</f>
        <v>-408.25365050999994</v>
      </c>
      <c r="O30" s="55">
        <f>+Drivers!O56</f>
        <v>-515.29124099565684</v>
      </c>
      <c r="P30" s="55">
        <f>+Drivers!P56</f>
        <v>-581.53572499119673</v>
      </c>
      <c r="Q30" s="55">
        <f>+Drivers!Q56</f>
        <v>-603.66522965818422</v>
      </c>
      <c r="R30" s="55">
        <f>+Drivers!R56</f>
        <v>-661.77650646688528</v>
      </c>
      <c r="S30" s="55">
        <f>+Drivers!S56</f>
        <v>-688.4460996775008</v>
      </c>
      <c r="T30" s="26"/>
      <c r="U30" s="42">
        <f t="shared" si="61"/>
        <v>7.4450372066426018E-2</v>
      </c>
      <c r="V30" s="42">
        <f t="shared" si="62"/>
        <v>0.11650059476266006</v>
      </c>
      <c r="X30" s="32">
        <f t="shared" si="63"/>
        <v>-2.803130087092954E-3</v>
      </c>
      <c r="Y30" s="32">
        <f t="shared" si="64"/>
        <v>-6.280732948681457E-3</v>
      </c>
      <c r="Z30" s="32">
        <f t="shared" si="65"/>
        <v>-2.7368309114392263E-2</v>
      </c>
      <c r="AA30" s="32">
        <f t="shared" si="66"/>
        <v>-5.0607090714587577E-2</v>
      </c>
      <c r="AB30" s="32">
        <f t="shared" si="67"/>
        <v>-2.0918964294206428E-2</v>
      </c>
      <c r="AC30" s="32">
        <f t="shared" si="68"/>
        <v>-2.1932813393437806E-2</v>
      </c>
      <c r="AD30" s="32">
        <f t="shared" si="69"/>
        <v>-1.6640894776236072E-2</v>
      </c>
      <c r="AE30" s="32">
        <f t="shared" si="70"/>
        <v>-1.9502838910105701E-2</v>
      </c>
      <c r="AF30" s="32">
        <f t="shared" ref="AF30:AF41" si="89">+M30/$M$5</f>
        <v>-1.7651955801038056E-2</v>
      </c>
      <c r="AG30" s="32">
        <f t="shared" ref="AG30:AG32" si="90">+N30/N$5</f>
        <v>-1.3522105305187576E-2</v>
      </c>
      <c r="AH30" s="32">
        <f t="shared" ref="AH30:AH32" si="91">+O30/O$5</f>
        <v>-1.689230000544378E-2</v>
      </c>
      <c r="AI30" s="32">
        <f t="shared" ref="AI30:AI32" si="92">+P30/P$5</f>
        <v>-1.689230000544378E-2</v>
      </c>
      <c r="AJ30" s="32">
        <f t="shared" ref="AJ30:AJ32" si="93">+Q30/Q$5</f>
        <v>-1.689230000544378E-2</v>
      </c>
      <c r="AK30" s="32">
        <f t="shared" ref="AK30:AK32" si="94">+R30/R$5</f>
        <v>-1.689230000544378E-2</v>
      </c>
      <c r="AL30" s="32">
        <f t="shared" ref="AL30:AL32" si="95">+S30/S$5</f>
        <v>-1.689230000544378E-2</v>
      </c>
      <c r="AN30" s="32">
        <f t="shared" si="77"/>
        <v>-0.70935685845285756</v>
      </c>
      <c r="AO30" s="32">
        <f t="shared" si="78"/>
        <v>1.4007996988897733</v>
      </c>
      <c r="AP30" s="32">
        <f t="shared" si="79"/>
        <v>0.86466441658921322</v>
      </c>
      <c r="AQ30" s="32">
        <f t="shared" si="80"/>
        <v>-0.32499033912651687</v>
      </c>
      <c r="AR30" s="32">
        <f t="shared" si="81"/>
        <v>-8.4267382300692639E-2</v>
      </c>
      <c r="AS30" s="32">
        <f t="shared" si="82"/>
        <v>8.8601414494075881E-2</v>
      </c>
      <c r="AT30" s="32">
        <f t="shared" si="83"/>
        <v>0.13827244630133206</v>
      </c>
      <c r="AU30" s="32">
        <f t="shared" si="84"/>
        <v>-0.30330945528887288</v>
      </c>
      <c r="AV30" s="32">
        <f t="shared" ref="AV30:AV41" si="96">+IFERROR((M30/L30-1)," ")</f>
        <v>8.3676697770220576E-2</v>
      </c>
      <c r="AW30" s="32">
        <f t="shared" ref="AW30:AW41" si="97">+IFERROR((N30/M30-1)," ")</f>
        <v>0.53065401224722786</v>
      </c>
      <c r="AX30" s="32">
        <f t="shared" ref="AX30:AX41" si="98">+IFERROR((O30/N30-1)," ")</f>
        <v>0.26218403767349785</v>
      </c>
      <c r="AY30" s="32">
        <f t="shared" ref="AY30:AY41" si="99">+IFERROR((P30/O30-1)," ")</f>
        <v>0.12855736470028267</v>
      </c>
      <c r="AZ30" s="32">
        <f t="shared" ref="AZ30:AZ41" si="100">+IFERROR((Q30/P30-1)," ")</f>
        <v>3.8053560109866824E-2</v>
      </c>
      <c r="BA30" s="32">
        <f t="shared" ref="BA30:BA41" si="101">+IFERROR((R30/Q30-1)," ")</f>
        <v>9.6264078091106375E-2</v>
      </c>
      <c r="BB30" s="32">
        <f t="shared" ref="BB30:BB41" si="102">+IFERROR((S30/R30-1)," ")</f>
        <v>4.0300000000000002E-2</v>
      </c>
    </row>
    <row r="31" spans="2:54" outlineLevel="1">
      <c r="B31" s="17" t="s">
        <v>81</v>
      </c>
      <c r="C31" s="24" t="s">
        <v>59</v>
      </c>
      <c r="D31" s="43">
        <v>-260.49934400000001</v>
      </c>
      <c r="E31" s="43">
        <v>-484.78001742999999</v>
      </c>
      <c r="F31" s="43">
        <v>-865.06198270000004</v>
      </c>
      <c r="G31" s="43">
        <v>-750.21039499999995</v>
      </c>
      <c r="H31" s="43">
        <v>-294.63544299999995</v>
      </c>
      <c r="I31" s="43">
        <v>-185.96296000000001</v>
      </c>
      <c r="J31" s="43">
        <v>-344.76681649999995</v>
      </c>
      <c r="K31" s="38">
        <f>+TGTbase2021!HK46</f>
        <v>-447.38194816000004</v>
      </c>
      <c r="L31" s="38">
        <f>+TGTbase2021!HL46</f>
        <v>-409.35930780000001</v>
      </c>
      <c r="M31" s="38">
        <f>+TGTbase2021!HM46</f>
        <v>-459.76092227999999</v>
      </c>
      <c r="N31" s="168">
        <f>+TGTbase2021!HN46</f>
        <v>-578.85363600000005</v>
      </c>
      <c r="O31" s="55">
        <f>+Drivers!O57</f>
        <v>-884.63062958024159</v>
      </c>
      <c r="P31" s="55">
        <f>+Drivers!P57</f>
        <v>-998.3564120522293</v>
      </c>
      <c r="Q31" s="55">
        <f>+Drivers!Q57</f>
        <v>-1036.3474277893297</v>
      </c>
      <c r="R31" s="55">
        <f>+Drivers!R57</f>
        <v>-1136.110457507559</v>
      </c>
      <c r="S31" s="55">
        <f>+Drivers!S57</f>
        <v>-1181.8957089451137</v>
      </c>
      <c r="T31" s="26"/>
      <c r="U31" s="42">
        <f t="shared" si="61"/>
        <v>0.25495589531505236</v>
      </c>
      <c r="V31" s="42">
        <f t="shared" si="62"/>
        <v>0.26006830638306644</v>
      </c>
      <c r="X31" s="32">
        <f t="shared" si="63"/>
        <v>-1.3189397968075703E-2</v>
      </c>
      <c r="Y31" s="32">
        <f t="shared" si="64"/>
        <v>-2.1965375705707359E-2</v>
      </c>
      <c r="Z31" s="32">
        <f t="shared" si="65"/>
        <v>-4.4515519131546694E-2</v>
      </c>
      <c r="AA31" s="32">
        <f t="shared" si="66"/>
        <v>-4.7892418650250443E-2</v>
      </c>
      <c r="AB31" s="32">
        <f t="shared" si="67"/>
        <v>-1.3644837099898508E-2</v>
      </c>
      <c r="AC31" s="32">
        <f t="shared" si="68"/>
        <v>-2.4364226838736094E-2</v>
      </c>
      <c r="AD31" s="32">
        <f t="shared" si="69"/>
        <v>-2.1073745919957615E-2</v>
      </c>
      <c r="AE31" s="32">
        <f t="shared" si="70"/>
        <v>-3.243763595822946E-2</v>
      </c>
      <c r="AF31" s="32">
        <f t="shared" si="89"/>
        <v>-3.0427890458116461E-2</v>
      </c>
      <c r="AG31" s="32">
        <f t="shared" si="90"/>
        <v>-1.9172687892697712E-2</v>
      </c>
      <c r="AH31" s="32">
        <f t="shared" si="91"/>
        <v>-2.9000000000000001E-2</v>
      </c>
      <c r="AI31" s="32">
        <f t="shared" si="92"/>
        <v>-2.9000000000000001E-2</v>
      </c>
      <c r="AJ31" s="32">
        <f t="shared" si="93"/>
        <v>-2.8999999999999998E-2</v>
      </c>
      <c r="AK31" s="32">
        <f t="shared" si="94"/>
        <v>-2.8999999999999998E-2</v>
      </c>
      <c r="AL31" s="32">
        <f t="shared" si="95"/>
        <v>-2.9000000000000001E-2</v>
      </c>
      <c r="AN31" s="32">
        <f t="shared" si="77"/>
        <v>0.8609644461523096</v>
      </c>
      <c r="AO31" s="32">
        <f t="shared" si="78"/>
        <v>0.78444232764794397</v>
      </c>
      <c r="AP31" s="32">
        <f t="shared" si="79"/>
        <v>-0.13276688838125739</v>
      </c>
      <c r="AQ31" s="32">
        <f t="shared" si="80"/>
        <v>-0.60726291589174797</v>
      </c>
      <c r="AR31" s="32">
        <f t="shared" si="81"/>
        <v>-0.36883710219479593</v>
      </c>
      <c r="AS31" s="32">
        <f t="shared" si="82"/>
        <v>0.85395423099309631</v>
      </c>
      <c r="AT31" s="32">
        <f t="shared" si="83"/>
        <v>0.29763633490521868</v>
      </c>
      <c r="AU31" s="32">
        <f t="shared" si="84"/>
        <v>-8.4989214509839206E-2</v>
      </c>
      <c r="AV31" s="32">
        <f t="shared" si="96"/>
        <v>0.12312316715325444</v>
      </c>
      <c r="AW31" s="32">
        <f t="shared" si="97"/>
        <v>0.25903183143405806</v>
      </c>
      <c r="AX31" s="32">
        <f t="shared" si="98"/>
        <v>0.52824578539961276</v>
      </c>
      <c r="AY31" s="32">
        <f t="shared" si="99"/>
        <v>0.12855736470028267</v>
      </c>
      <c r="AZ31" s="32">
        <f t="shared" si="100"/>
        <v>3.8053560109866824E-2</v>
      </c>
      <c r="BA31" s="32">
        <f t="shared" si="101"/>
        <v>9.6264078091106375E-2</v>
      </c>
      <c r="BB31" s="32">
        <f t="shared" si="102"/>
        <v>4.0300000000000002E-2</v>
      </c>
    </row>
    <row r="32" spans="2:54" outlineLevel="1">
      <c r="B32" s="186" t="s">
        <v>82</v>
      </c>
      <c r="C32" s="240" t="s">
        <v>59</v>
      </c>
      <c r="D32" s="187">
        <f t="shared" ref="D32:J32" si="103">+SUM(D33:D41)</f>
        <v>-323.87483837000002</v>
      </c>
      <c r="E32" s="187">
        <f t="shared" si="103"/>
        <v>-487.9058137400001</v>
      </c>
      <c r="F32" s="187">
        <f t="shared" si="103"/>
        <v>-602.5105602399999</v>
      </c>
      <c r="G32" s="187">
        <f t="shared" si="103"/>
        <v>-1042.37336456</v>
      </c>
      <c r="H32" s="187">
        <f t="shared" si="103"/>
        <v>-379.85185296000003</v>
      </c>
      <c r="I32" s="187">
        <f t="shared" si="103"/>
        <v>-317.01155223000006</v>
      </c>
      <c r="J32" s="187">
        <f t="shared" si="103"/>
        <v>-250.06077586000006</v>
      </c>
      <c r="K32" s="187">
        <f>+SUM(K33:K41)</f>
        <v>-285.50624758999999</v>
      </c>
      <c r="L32" s="187">
        <f>+SUM(L33:L41)</f>
        <v>-61.41141528</v>
      </c>
      <c r="M32" s="187">
        <f>+SUM(M33:M41)</f>
        <v>-136.19420775</v>
      </c>
      <c r="N32" s="1108">
        <f>+SUM(N33:N41)</f>
        <v>-188.18313906999998</v>
      </c>
      <c r="O32" s="375">
        <f>Drivers!O58</f>
        <v>-204.51046382357683</v>
      </c>
      <c r="P32" s="375">
        <f>Drivers!P58</f>
        <v>-230.80179010636832</v>
      </c>
      <c r="Q32" s="375">
        <f>Drivers!Q58</f>
        <v>-239.5846198996459</v>
      </c>
      <c r="R32" s="375">
        <f>Drivers!R58</f>
        <v>-262.64801245909342</v>
      </c>
      <c r="S32" s="375">
        <f>Drivers!S58</f>
        <v>-273.23272736119492</v>
      </c>
      <c r="T32" s="149"/>
      <c r="U32" s="256">
        <f t="shared" si="61"/>
        <v>-9.9049098848397077E-2</v>
      </c>
      <c r="V32" s="256">
        <f t="shared" si="62"/>
        <v>-1.8405302796230649E-2</v>
      </c>
      <c r="X32" s="230">
        <f t="shared" si="63"/>
        <v>-1.3274441431125801E-2</v>
      </c>
      <c r="Y32" s="230">
        <f t="shared" si="64"/>
        <v>-1.5298754409506225E-2</v>
      </c>
      <c r="Z32" s="230">
        <f t="shared" si="65"/>
        <v>-6.1851704217302107E-2</v>
      </c>
      <c r="AA32" s="230">
        <f t="shared" si="66"/>
        <v>-6.1744180475373757E-2</v>
      </c>
      <c r="AB32" s="230">
        <f t="shared" si="67"/>
        <v>-2.3260390074261658E-2</v>
      </c>
      <c r="AC32" s="230">
        <f t="shared" si="68"/>
        <v>-1.7671472934586745E-2</v>
      </c>
      <c r="AD32" s="230">
        <f t="shared" si="69"/>
        <v>-1.3448656444493789E-2</v>
      </c>
      <c r="AE32" s="230">
        <f t="shared" si="70"/>
        <v>-4.8662412080917872E-3</v>
      </c>
      <c r="AF32" s="230">
        <f t="shared" si="89"/>
        <v>-9.0136030132703347E-3</v>
      </c>
      <c r="AG32" s="230">
        <f t="shared" si="90"/>
        <v>-6.23296869479669E-3</v>
      </c>
      <c r="AH32" s="230">
        <f t="shared" si="91"/>
        <v>-6.7042709720529373E-3</v>
      </c>
      <c r="AI32" s="230">
        <f t="shared" si="92"/>
        <v>-6.7042709720529373E-3</v>
      </c>
      <c r="AJ32" s="230">
        <f t="shared" si="93"/>
        <v>-6.7042709720529373E-3</v>
      </c>
      <c r="AK32" s="230">
        <f t="shared" si="94"/>
        <v>-6.7042709720529364E-3</v>
      </c>
      <c r="AL32" s="230">
        <f t="shared" si="95"/>
        <v>-6.7042709720529373E-3</v>
      </c>
      <c r="AN32" s="230">
        <f t="shared" si="77"/>
        <v>0.5064640902502231</v>
      </c>
      <c r="AO32" s="230">
        <f t="shared" si="78"/>
        <v>0.23489112708353876</v>
      </c>
      <c r="AP32" s="230">
        <f t="shared" si="79"/>
        <v>0.73004994990426098</v>
      </c>
      <c r="AQ32" s="230">
        <f t="shared" si="80"/>
        <v>-0.63558944820089425</v>
      </c>
      <c r="AR32" s="230">
        <f t="shared" si="81"/>
        <v>-0.1654337085374632</v>
      </c>
      <c r="AS32" s="230">
        <f t="shared" si="82"/>
        <v>-0.21119349089658879</v>
      </c>
      <c r="AT32" s="230">
        <f t="shared" si="83"/>
        <v>0.14174742763273107</v>
      </c>
      <c r="AU32" s="230">
        <f t="shared" si="84"/>
        <v>-0.78490342751381892</v>
      </c>
      <c r="AV32" s="230">
        <f t="shared" si="96"/>
        <v>1.2177343923606769</v>
      </c>
      <c r="AW32" s="230">
        <f t="shared" si="97"/>
        <v>0.38172644915583764</v>
      </c>
      <c r="AX32" s="230">
        <f t="shared" si="98"/>
        <v>8.6762952484831457E-2</v>
      </c>
      <c r="AY32" s="230">
        <f t="shared" si="99"/>
        <v>0.12855736470028245</v>
      </c>
      <c r="AZ32" s="230">
        <f t="shared" si="100"/>
        <v>3.8053560109867046E-2</v>
      </c>
      <c r="BA32" s="230">
        <f t="shared" si="101"/>
        <v>9.6264078091106153E-2</v>
      </c>
      <c r="BB32" s="230">
        <f t="shared" si="102"/>
        <v>4.0300000000000225E-2</v>
      </c>
    </row>
    <row r="33" spans="1:54" ht="15" customHeight="1" outlineLevel="2">
      <c r="B33" s="29" t="s">
        <v>83</v>
      </c>
      <c r="C33" s="24" t="s">
        <v>59</v>
      </c>
      <c r="D33" s="43">
        <v>-115.82085938</v>
      </c>
      <c r="E33" s="43">
        <v>-132.36970581000003</v>
      </c>
      <c r="F33" s="43">
        <v>-341.52701432000003</v>
      </c>
      <c r="G33" s="43">
        <v>-332.37760000000003</v>
      </c>
      <c r="H33" s="43">
        <v>-106.46417846</v>
      </c>
      <c r="I33" s="63">
        <v>-124.0990376</v>
      </c>
      <c r="J33" s="43">
        <v>-100.884849</v>
      </c>
      <c r="K33" s="38">
        <f>+TGTbase2021!HK48</f>
        <v>-119.13211999999999</v>
      </c>
      <c r="L33" s="38">
        <f>+TGTbase2021!HL48</f>
        <v>-56.065785999999996</v>
      </c>
      <c r="M33" s="38">
        <f>+TGTbase2021!HM48</f>
        <v>-49.975959629999998</v>
      </c>
      <c r="N33" s="168">
        <f>+TGTbase2021!HN48</f>
        <v>-92.056234799999999</v>
      </c>
      <c r="O33" s="38">
        <f>+Drivers!O59</f>
        <v>0</v>
      </c>
      <c r="P33" s="38">
        <f>+Drivers!P59</f>
        <v>0</v>
      </c>
      <c r="Q33" s="38">
        <f>+Drivers!Q59</f>
        <v>0</v>
      </c>
      <c r="R33" s="38">
        <f>+Drivers!R59</f>
        <v>0</v>
      </c>
      <c r="S33" s="38">
        <f>+Drivers!S59</f>
        <v>0</v>
      </c>
      <c r="T33" s="26"/>
      <c r="U33" s="95">
        <f t="shared" ref="U33:U41" si="104">+IFERROR(((M33/H33)^(1/5))-1," ")</f>
        <v>-0.14037007209412311</v>
      </c>
      <c r="V33" s="95">
        <f t="shared" ref="V33:V41" si="105">+IFERROR(((P33/H33)^(1/8))-1," ")</f>
        <v>-1</v>
      </c>
      <c r="X33" s="50">
        <f t="shared" si="63"/>
        <v>-3.6013793186046275E-3</v>
      </c>
      <c r="Y33" s="50">
        <f t="shared" si="64"/>
        <v>-8.6719441302611031E-3</v>
      </c>
      <c r="Z33" s="50">
        <f t="shared" si="65"/>
        <v>-1.9722415885343174E-2</v>
      </c>
      <c r="AA33" s="50">
        <f t="shared" si="66"/>
        <v>-1.7305545300811947E-2</v>
      </c>
      <c r="AB33" s="50">
        <f t="shared" si="67"/>
        <v>-9.1056366940286369E-3</v>
      </c>
      <c r="AC33" s="50">
        <f t="shared" si="68"/>
        <v>-7.1294023322213736E-3</v>
      </c>
      <c r="AD33" s="50">
        <f t="shared" si="69"/>
        <v>-5.6116703816758229E-3</v>
      </c>
      <c r="AE33" s="50">
        <f t="shared" si="70"/>
        <v>-4.4426534863805473E-3</v>
      </c>
      <c r="AF33" s="50">
        <f t="shared" si="89"/>
        <v>-3.3075082101796985E-3</v>
      </c>
      <c r="AG33" s="50">
        <f t="shared" ref="AG33:AG41" si="106">+N33/$N$5</f>
        <v>-3.0490703497927023E-3</v>
      </c>
      <c r="AH33" s="50">
        <f t="shared" ref="AH33:AH41" si="107">+O33/$N$5</f>
        <v>0</v>
      </c>
      <c r="AI33" s="50">
        <f t="shared" ref="AI33:AI41" si="108">+P33/$N$5</f>
        <v>0</v>
      </c>
      <c r="AJ33" s="50">
        <f t="shared" ref="AJ33:AJ41" si="109">+Q33/$N$5</f>
        <v>0</v>
      </c>
      <c r="AK33" s="50">
        <f t="shared" ref="AK33:AK41" si="110">+R33/$N$5</f>
        <v>0</v>
      </c>
      <c r="AL33" s="50">
        <f t="shared" ref="AL33:AL41" si="111">+S33/$N$5</f>
        <v>0</v>
      </c>
      <c r="AN33" s="50">
        <f t="shared" si="77"/>
        <v>0.14288312587721741</v>
      </c>
      <c r="AO33" s="50">
        <f t="shared" si="78"/>
        <v>1.5800995192224638</v>
      </c>
      <c r="AP33" s="50">
        <f t="shared" si="79"/>
        <v>-2.6789723612982708E-2</v>
      </c>
      <c r="AQ33" s="50">
        <f t="shared" si="80"/>
        <v>-0.67968906911897797</v>
      </c>
      <c r="AR33" s="50">
        <f t="shared" si="81"/>
        <v>0.16564124567612803</v>
      </c>
      <c r="AS33" s="50">
        <f t="shared" si="82"/>
        <v>-0.18706179394255029</v>
      </c>
      <c r="AT33" s="50">
        <f t="shared" si="83"/>
        <v>0.18087226358439601</v>
      </c>
      <c r="AU33" s="50">
        <f t="shared" si="84"/>
        <v>-0.52938144641428353</v>
      </c>
      <c r="AV33" s="50">
        <f t="shared" si="96"/>
        <v>-0.1086192989428526</v>
      </c>
      <c r="AW33" s="50">
        <f t="shared" si="97"/>
        <v>0.84201034820629417</v>
      </c>
      <c r="AX33" s="50">
        <f t="shared" si="98"/>
        <v>-1</v>
      </c>
      <c r="AY33" s="50" t="str">
        <f t="shared" si="99"/>
        <v xml:space="preserve"> </v>
      </c>
      <c r="AZ33" s="50" t="str">
        <f t="shared" si="100"/>
        <v xml:space="preserve"> </v>
      </c>
      <c r="BA33" s="50" t="str">
        <f t="shared" si="101"/>
        <v xml:space="preserve"> </v>
      </c>
      <c r="BB33" s="50" t="str">
        <f t="shared" si="102"/>
        <v xml:space="preserve"> </v>
      </c>
    </row>
    <row r="34" spans="1:54" ht="15" customHeight="1" outlineLevel="2">
      <c r="B34" s="29" t="s">
        <v>84</v>
      </c>
      <c r="C34" s="24" t="s">
        <v>59</v>
      </c>
      <c r="D34" s="43">
        <v>-73.366791159999991</v>
      </c>
      <c r="E34" s="43">
        <v>-29.484423</v>
      </c>
      <c r="F34" s="43">
        <v>-9.3089346499999976</v>
      </c>
      <c r="G34" s="43">
        <v>-47.635096759999989</v>
      </c>
      <c r="H34" s="43">
        <v>-12.216852999999999</v>
      </c>
      <c r="I34" s="43">
        <v>-2.707303</v>
      </c>
      <c r="J34" s="43">
        <v>-4.6742989999999986</v>
      </c>
      <c r="K34" s="38">
        <f>+TGTbase2021!HK49</f>
        <v>-7.3470599999999999</v>
      </c>
      <c r="L34" s="38">
        <f>+TGTbase2021!HL49</f>
        <v>-3.7812734399999992</v>
      </c>
      <c r="M34" s="38">
        <f>+TGTbase2021!HM49</f>
        <v>-4.0210703200000006</v>
      </c>
      <c r="N34" s="168">
        <f>+TGTbase2021!HN49</f>
        <v>-4.5863820000000004</v>
      </c>
      <c r="O34" s="38">
        <f>+Drivers!O60</f>
        <v>0</v>
      </c>
      <c r="P34" s="38">
        <f>+Drivers!P60</f>
        <v>0</v>
      </c>
      <c r="Q34" s="38">
        <f>+Drivers!Q60</f>
        <v>0</v>
      </c>
      <c r="R34" s="38">
        <f>+Drivers!R60</f>
        <v>0</v>
      </c>
      <c r="S34" s="38">
        <f>+Drivers!S60</f>
        <v>0</v>
      </c>
      <c r="T34" s="26"/>
      <c r="U34" s="95">
        <f t="shared" si="104"/>
        <v>-0.19928776624643985</v>
      </c>
      <c r="V34" s="95">
        <f t="shared" si="105"/>
        <v>-1</v>
      </c>
      <c r="X34" s="50">
        <f t="shared" si="63"/>
        <v>-8.0218196877769881E-4</v>
      </c>
      <c r="Y34" s="50">
        <f t="shared" si="64"/>
        <v>-2.3636947536282866E-4</v>
      </c>
      <c r="Z34" s="50">
        <f t="shared" si="65"/>
        <v>-2.8265418278466503E-3</v>
      </c>
      <c r="AA34" s="50">
        <f t="shared" si="66"/>
        <v>-1.9858257123009063E-3</v>
      </c>
      <c r="AB34" s="50">
        <f t="shared" si="67"/>
        <v>-1.986455174464126E-4</v>
      </c>
      <c r="AC34" s="50">
        <f t="shared" si="68"/>
        <v>-3.3032668951211915E-4</v>
      </c>
      <c r="AD34" s="50">
        <f t="shared" si="69"/>
        <v>-3.4608029299231121E-4</v>
      </c>
      <c r="AE34" s="50">
        <f t="shared" si="70"/>
        <v>-2.9962814810398201E-4</v>
      </c>
      <c r="AF34" s="50">
        <f t="shared" si="89"/>
        <v>-2.6612241556890962E-4</v>
      </c>
      <c r="AG34" s="50">
        <f t="shared" si="106"/>
        <v>-1.519093345432259E-4</v>
      </c>
      <c r="AH34" s="50">
        <f t="shared" si="107"/>
        <v>0</v>
      </c>
      <c r="AI34" s="50">
        <f t="shared" si="108"/>
        <v>0</v>
      </c>
      <c r="AJ34" s="50">
        <f t="shared" si="109"/>
        <v>0</v>
      </c>
      <c r="AK34" s="50">
        <f t="shared" si="110"/>
        <v>0</v>
      </c>
      <c r="AL34" s="50">
        <f t="shared" si="111"/>
        <v>0</v>
      </c>
      <c r="AN34" s="50">
        <f t="shared" si="77"/>
        <v>-0.59812303995005467</v>
      </c>
      <c r="AO34" s="50">
        <f t="shared" si="78"/>
        <v>-0.68427618034105675</v>
      </c>
      <c r="AP34" s="50">
        <f t="shared" si="79"/>
        <v>4.1171373042134309</v>
      </c>
      <c r="AQ34" s="50">
        <f t="shared" si="80"/>
        <v>-0.74353252473586451</v>
      </c>
      <c r="AR34" s="50">
        <f t="shared" si="81"/>
        <v>-0.77839604028959009</v>
      </c>
      <c r="AS34" s="50">
        <f t="shared" si="82"/>
        <v>0.72655184883258306</v>
      </c>
      <c r="AT34" s="50">
        <f t="shared" si="83"/>
        <v>0.57179932220852847</v>
      </c>
      <c r="AU34" s="50">
        <f t="shared" si="84"/>
        <v>-0.48533516263648324</v>
      </c>
      <c r="AV34" s="50">
        <f t="shared" si="96"/>
        <v>6.3416963571933938E-2</v>
      </c>
      <c r="AW34" s="50">
        <f t="shared" si="97"/>
        <v>0.14058736480888001</v>
      </c>
      <c r="AX34" s="50">
        <f t="shared" si="98"/>
        <v>-1</v>
      </c>
      <c r="AY34" s="50" t="str">
        <f t="shared" si="99"/>
        <v xml:space="preserve"> </v>
      </c>
      <c r="AZ34" s="50" t="str">
        <f t="shared" si="100"/>
        <v xml:space="preserve"> </v>
      </c>
      <c r="BA34" s="50" t="str">
        <f t="shared" si="101"/>
        <v xml:space="preserve"> </v>
      </c>
      <c r="BB34" s="50" t="str">
        <f t="shared" si="102"/>
        <v xml:space="preserve"> </v>
      </c>
    </row>
    <row r="35" spans="1:54" ht="15" customHeight="1" outlineLevel="2">
      <c r="B35" s="29" t="s">
        <v>69</v>
      </c>
      <c r="C35" s="24" t="s">
        <v>59</v>
      </c>
      <c r="D35" s="43">
        <v>-58.633104000000003</v>
      </c>
      <c r="E35" s="43">
        <v>0</v>
      </c>
      <c r="F35" s="43">
        <v>-71.056486000000007</v>
      </c>
      <c r="G35" s="43">
        <v>-84.373984009999987</v>
      </c>
      <c r="H35" s="43">
        <v>-14.821703999999999</v>
      </c>
      <c r="I35" s="43">
        <v>-15.019326999999999</v>
      </c>
      <c r="J35" s="43">
        <v>-0.7846280000000001</v>
      </c>
      <c r="K35" s="38">
        <f>+TGTbase2021!HK50</f>
        <v>-1.399613</v>
      </c>
      <c r="L35" s="38">
        <f>+TGTbase2021!HL50</f>
        <v>-2.4451000000000001</v>
      </c>
      <c r="M35" s="38">
        <f>+TGTbase2021!HM50</f>
        <v>0</v>
      </c>
      <c r="N35" s="168">
        <f>+TGTbase2021!HN50</f>
        <v>0</v>
      </c>
      <c r="O35" s="38">
        <f>+Drivers!O61</f>
        <v>0</v>
      </c>
      <c r="P35" s="38">
        <f>+Drivers!P61</f>
        <v>0</v>
      </c>
      <c r="Q35" s="38">
        <f>+Drivers!Q61</f>
        <v>0</v>
      </c>
      <c r="R35" s="38">
        <f>+Drivers!R61</f>
        <v>0</v>
      </c>
      <c r="S35" s="38">
        <f>+Drivers!S61</f>
        <v>0</v>
      </c>
      <c r="T35" s="26"/>
      <c r="U35" s="95">
        <f t="shared" si="104"/>
        <v>-1</v>
      </c>
      <c r="V35" s="95">
        <f t="shared" si="105"/>
        <v>-1</v>
      </c>
      <c r="X35" s="50">
        <f t="shared" si="63"/>
        <v>0</v>
      </c>
      <c r="Y35" s="50">
        <f t="shared" si="64"/>
        <v>-1.8042434444360596E-3</v>
      </c>
      <c r="Z35" s="50">
        <f t="shared" si="65"/>
        <v>-5.0065311337121228E-3</v>
      </c>
      <c r="AA35" s="50">
        <f t="shared" si="66"/>
        <v>-2.4092391799519232E-3</v>
      </c>
      <c r="AB35" s="50">
        <f t="shared" si="67"/>
        <v>-1.1020273621430167E-3</v>
      </c>
      <c r="AC35" s="50">
        <f t="shared" si="68"/>
        <v>-5.5448650105291758E-5</v>
      </c>
      <c r="AD35" s="50">
        <f t="shared" si="69"/>
        <v>-6.5928204903165029E-5</v>
      </c>
      <c r="AE35" s="50">
        <f t="shared" si="70"/>
        <v>-1.9374975032989062E-4</v>
      </c>
      <c r="AF35" s="50">
        <f t="shared" si="89"/>
        <v>0</v>
      </c>
      <c r="AG35" s="50">
        <f t="shared" si="106"/>
        <v>0</v>
      </c>
      <c r="AH35" s="50">
        <f t="shared" si="107"/>
        <v>0</v>
      </c>
      <c r="AI35" s="50">
        <f t="shared" si="108"/>
        <v>0</v>
      </c>
      <c r="AJ35" s="50">
        <f t="shared" si="109"/>
        <v>0</v>
      </c>
      <c r="AK35" s="50">
        <f t="shared" si="110"/>
        <v>0</v>
      </c>
      <c r="AL35" s="50">
        <f t="shared" si="111"/>
        <v>0</v>
      </c>
      <c r="AN35" s="50">
        <f t="shared" si="77"/>
        <v>-1</v>
      </c>
      <c r="AO35" s="50" t="str">
        <f t="shared" si="78"/>
        <v xml:space="preserve"> </v>
      </c>
      <c r="AP35" s="50">
        <f t="shared" si="79"/>
        <v>0.18742128635519606</v>
      </c>
      <c r="AQ35" s="50">
        <f t="shared" si="80"/>
        <v>-0.82433324473283931</v>
      </c>
      <c r="AR35" s="50">
        <f t="shared" si="81"/>
        <v>1.3333352224548456E-2</v>
      </c>
      <c r="AS35" s="50">
        <f t="shared" si="82"/>
        <v>-0.94775877774017436</v>
      </c>
      <c r="AT35" s="50">
        <f t="shared" si="83"/>
        <v>0.78379180962188433</v>
      </c>
      <c r="AU35" s="50">
        <f t="shared" si="84"/>
        <v>0.7469829159917778</v>
      </c>
      <c r="AV35" s="50">
        <f t="shared" si="96"/>
        <v>-1</v>
      </c>
      <c r="AW35" s="50" t="str">
        <f t="shared" si="97"/>
        <v xml:space="preserve"> </v>
      </c>
      <c r="AX35" s="50" t="str">
        <f t="shared" si="98"/>
        <v xml:space="preserve"> </v>
      </c>
      <c r="AY35" s="50" t="str">
        <f t="shared" si="99"/>
        <v xml:space="preserve"> </v>
      </c>
      <c r="AZ35" s="50" t="str">
        <f t="shared" si="100"/>
        <v xml:space="preserve"> </v>
      </c>
      <c r="BA35" s="50" t="str">
        <f t="shared" si="101"/>
        <v xml:space="preserve"> </v>
      </c>
      <c r="BB35" s="50" t="str">
        <f t="shared" si="102"/>
        <v xml:space="preserve"> </v>
      </c>
    </row>
    <row r="36" spans="1:54" ht="15" customHeight="1" outlineLevel="2">
      <c r="B36" s="29" t="s">
        <v>85</v>
      </c>
      <c r="C36" s="24" t="s">
        <v>59</v>
      </c>
      <c r="D36" s="43">
        <v>-58.768407000000003</v>
      </c>
      <c r="E36" s="43">
        <v>-55.847946000000007</v>
      </c>
      <c r="F36" s="43">
        <v>-86.452375879999991</v>
      </c>
      <c r="G36" s="43">
        <v>-86.17007108</v>
      </c>
      <c r="H36" s="43">
        <v>-43.485651399999995</v>
      </c>
      <c r="I36" s="43">
        <v>-46.248234139999994</v>
      </c>
      <c r="J36" s="43">
        <v>-33.234026</v>
      </c>
      <c r="K36" s="38">
        <f>+TGTbase2021!HK51</f>
        <v>-46.415555269999999</v>
      </c>
      <c r="L36" s="38">
        <f>+TGTbase2021!HL51</f>
        <v>-32.741580000000006</v>
      </c>
      <c r="M36" s="38">
        <f>+TGTbase2021!HM51</f>
        <v>-38.294976999999996</v>
      </c>
      <c r="N36" s="168">
        <f>+TGTbase2021!HN51</f>
        <v>-43.382629609999995</v>
      </c>
      <c r="O36" s="38">
        <f>+Drivers!O62</f>
        <v>0</v>
      </c>
      <c r="P36" s="38">
        <f>+Drivers!P62</f>
        <v>0</v>
      </c>
      <c r="Q36" s="38">
        <f>+Drivers!Q62</f>
        <v>0</v>
      </c>
      <c r="R36" s="38">
        <f>+Drivers!R62</f>
        <v>0</v>
      </c>
      <c r="S36" s="38">
        <f>+Drivers!S62</f>
        <v>0</v>
      </c>
      <c r="T36" s="26"/>
      <c r="U36" s="95">
        <f t="shared" si="104"/>
        <v>-2.5102028825684686E-2</v>
      </c>
      <c r="V36" s="95">
        <f t="shared" si="105"/>
        <v>-1</v>
      </c>
      <c r="X36" s="50">
        <f t="shared" si="63"/>
        <v>-1.519453688290614E-3</v>
      </c>
      <c r="Y36" s="50">
        <f t="shared" si="64"/>
        <v>-2.1951709297503411E-3</v>
      </c>
      <c r="Z36" s="50">
        <f t="shared" si="65"/>
        <v>-5.1131062343230775E-3</v>
      </c>
      <c r="AA36" s="50">
        <f t="shared" si="66"/>
        <v>-7.0685081228589646E-3</v>
      </c>
      <c r="AB36" s="50">
        <f t="shared" si="67"/>
        <v>-3.3934156619052774E-3</v>
      </c>
      <c r="AC36" s="50">
        <f t="shared" si="68"/>
        <v>-2.3486058097138629E-3</v>
      </c>
      <c r="AD36" s="50">
        <f t="shared" si="69"/>
        <v>-2.1863859785060166E-3</v>
      </c>
      <c r="AE36" s="50">
        <f t="shared" si="70"/>
        <v>-2.5944431517754452E-3</v>
      </c>
      <c r="AF36" s="50">
        <f t="shared" si="89"/>
        <v>-2.5344375930724419E-3</v>
      </c>
      <c r="AG36" s="50">
        <f t="shared" si="106"/>
        <v>-1.4369117955700913E-3</v>
      </c>
      <c r="AH36" s="50">
        <f t="shared" si="107"/>
        <v>0</v>
      </c>
      <c r="AI36" s="50">
        <f t="shared" si="108"/>
        <v>0</v>
      </c>
      <c r="AJ36" s="50">
        <f t="shared" si="109"/>
        <v>0</v>
      </c>
      <c r="AK36" s="50">
        <f t="shared" si="110"/>
        <v>0</v>
      </c>
      <c r="AL36" s="50">
        <f t="shared" si="111"/>
        <v>0</v>
      </c>
      <c r="AN36" s="50">
        <f t="shared" si="77"/>
        <v>-4.9694404682434135E-2</v>
      </c>
      <c r="AO36" s="50">
        <f t="shared" si="78"/>
        <v>0.54799562153995751</v>
      </c>
      <c r="AP36" s="50">
        <f t="shared" si="79"/>
        <v>-3.2654371511067204E-3</v>
      </c>
      <c r="AQ36" s="50">
        <f t="shared" si="80"/>
        <v>-0.49535087002971057</v>
      </c>
      <c r="AR36" s="50">
        <f t="shared" si="81"/>
        <v>6.352860428808027E-2</v>
      </c>
      <c r="AS36" s="50">
        <f t="shared" si="82"/>
        <v>-0.28139902813595286</v>
      </c>
      <c r="AT36" s="50">
        <f t="shared" si="83"/>
        <v>0.3966275187363697</v>
      </c>
      <c r="AU36" s="50">
        <f t="shared" si="84"/>
        <v>-0.29459898067486789</v>
      </c>
      <c r="AV36" s="50">
        <f t="shared" si="96"/>
        <v>0.16961298141384717</v>
      </c>
      <c r="AW36" s="50">
        <f t="shared" si="97"/>
        <v>0.13285430645382035</v>
      </c>
      <c r="AX36" s="50">
        <f t="shared" si="98"/>
        <v>-1</v>
      </c>
      <c r="AY36" s="50" t="str">
        <f t="shared" si="99"/>
        <v xml:space="preserve"> </v>
      </c>
      <c r="AZ36" s="50" t="str">
        <f t="shared" si="100"/>
        <v xml:space="preserve"> </v>
      </c>
      <c r="BA36" s="50" t="str">
        <f t="shared" si="101"/>
        <v xml:space="preserve"> </v>
      </c>
      <c r="BB36" s="50" t="str">
        <f t="shared" si="102"/>
        <v xml:space="preserve"> </v>
      </c>
    </row>
    <row r="37" spans="1:54" ht="15" customHeight="1" outlineLevel="2">
      <c r="B37" s="29" t="s">
        <v>68</v>
      </c>
      <c r="C37" s="24" t="s">
        <v>59</v>
      </c>
      <c r="D37" s="43">
        <v>-8.8837572700000003</v>
      </c>
      <c r="E37" s="43">
        <v>-22.127097280000001</v>
      </c>
      <c r="F37" s="43">
        <v>-21.796629589999998</v>
      </c>
      <c r="G37" s="43">
        <v>-365.06280715000003</v>
      </c>
      <c r="H37" s="43">
        <v>-167.50610622999997</v>
      </c>
      <c r="I37" s="43">
        <v>-90.958480890000004</v>
      </c>
      <c r="J37" s="43">
        <f>+TGTbase2021!HJ52</f>
        <v>-61.78824693</v>
      </c>
      <c r="K37" s="38">
        <f>+TGTbase2021!HK52</f>
        <v>-61.228069640000001</v>
      </c>
      <c r="L37" s="38">
        <f>+TGTbase2021!HL52</f>
        <v>63.014629440000007</v>
      </c>
      <c r="M37" s="38">
        <f>+TGTbase2021!HM52</f>
        <v>-24.066563800000001</v>
      </c>
      <c r="N37" s="168">
        <f>+TGTbase2021!HN52</f>
        <v>-23.56394135</v>
      </c>
      <c r="O37" s="38">
        <f>+Drivers!O63</f>
        <v>0</v>
      </c>
      <c r="P37" s="38">
        <f>+Drivers!P63</f>
        <v>0</v>
      </c>
      <c r="Q37" s="38">
        <f>+Drivers!Q63</f>
        <v>0</v>
      </c>
      <c r="R37" s="38">
        <f>+Drivers!R63</f>
        <v>0</v>
      </c>
      <c r="S37" s="38">
        <f>+Drivers!S63</f>
        <v>0</v>
      </c>
      <c r="T37" s="26"/>
      <c r="U37" s="95">
        <f t="shared" si="104"/>
        <v>-0.32161429376449602</v>
      </c>
      <c r="V37" s="95">
        <f t="shared" si="105"/>
        <v>-1</v>
      </c>
      <c r="X37" s="50">
        <f t="shared" si="63"/>
        <v>-6.0201138951934262E-4</v>
      </c>
      <c r="Y37" s="50">
        <f t="shared" si="64"/>
        <v>-5.5345300988510085E-4</v>
      </c>
      <c r="Z37" s="50">
        <f t="shared" si="65"/>
        <v>-2.1661870435562235E-2</v>
      </c>
      <c r="AA37" s="50">
        <f t="shared" si="66"/>
        <v>-2.7227792027860288E-2</v>
      </c>
      <c r="AB37" s="50">
        <f t="shared" si="67"/>
        <v>-6.6739831125417742E-3</v>
      </c>
      <c r="AC37" s="50">
        <f t="shared" si="68"/>
        <v>-4.3664958230409025E-3</v>
      </c>
      <c r="AD37" s="50">
        <f t="shared" si="69"/>
        <v>-2.8841234834566251E-3</v>
      </c>
      <c r="AE37" s="50">
        <f t="shared" si="70"/>
        <v>4.9932799153942888E-3</v>
      </c>
      <c r="AF37" s="50">
        <f t="shared" si="89"/>
        <v>-1.5927729642139846E-3</v>
      </c>
      <c r="AG37" s="50">
        <f t="shared" si="106"/>
        <v>-7.8048070345952518E-4</v>
      </c>
      <c r="AH37" s="50">
        <f t="shared" si="107"/>
        <v>0</v>
      </c>
      <c r="AI37" s="50">
        <f t="shared" si="108"/>
        <v>0</v>
      </c>
      <c r="AJ37" s="50">
        <f t="shared" si="109"/>
        <v>0</v>
      </c>
      <c r="AK37" s="50">
        <f t="shared" si="110"/>
        <v>0</v>
      </c>
      <c r="AL37" s="50">
        <f t="shared" si="111"/>
        <v>0</v>
      </c>
      <c r="AN37" s="50">
        <f t="shared" si="77"/>
        <v>1.4907363638493467</v>
      </c>
      <c r="AO37" s="50">
        <f t="shared" si="78"/>
        <v>-1.4934977047292186E-2</v>
      </c>
      <c r="AP37" s="50">
        <f t="shared" si="79"/>
        <v>15.748589759835436</v>
      </c>
      <c r="AQ37" s="50">
        <f t="shared" si="80"/>
        <v>-0.54115811594804919</v>
      </c>
      <c r="AR37" s="50">
        <f t="shared" si="81"/>
        <v>-0.456984088895802</v>
      </c>
      <c r="AS37" s="50">
        <f t="shared" si="82"/>
        <v>-0.32069834142543363</v>
      </c>
      <c r="AT37" s="50">
        <f t="shared" si="83"/>
        <v>-9.0660816228468333E-3</v>
      </c>
      <c r="AU37" s="50">
        <f t="shared" si="84"/>
        <v>-2.0291787706276612</v>
      </c>
      <c r="AV37" s="50">
        <f t="shared" si="96"/>
        <v>-1.3819202622291895</v>
      </c>
      <c r="AW37" s="50">
        <f t="shared" si="97"/>
        <v>-2.0884678601271744E-2</v>
      </c>
      <c r="AX37" s="50">
        <f t="shared" si="98"/>
        <v>-1</v>
      </c>
      <c r="AY37" s="50" t="str">
        <f t="shared" si="99"/>
        <v xml:space="preserve"> </v>
      </c>
      <c r="AZ37" s="50" t="str">
        <f t="shared" si="100"/>
        <v xml:space="preserve"> </v>
      </c>
      <c r="BA37" s="50" t="str">
        <f t="shared" si="101"/>
        <v xml:space="preserve"> </v>
      </c>
      <c r="BB37" s="50" t="str">
        <f t="shared" si="102"/>
        <v xml:space="preserve"> </v>
      </c>
    </row>
    <row r="38" spans="1:54" ht="15" customHeight="1" outlineLevel="2">
      <c r="B38" s="29" t="s">
        <v>70</v>
      </c>
      <c r="C38" s="24" t="s">
        <v>59</v>
      </c>
      <c r="D38" s="43">
        <v>-1.4709800000000002</v>
      </c>
      <c r="E38" s="43">
        <v>-210.61008600000002</v>
      </c>
      <c r="F38" s="43">
        <v>-35.049444000000008</v>
      </c>
      <c r="G38" s="43">
        <v>-36.61577879</v>
      </c>
      <c r="H38" s="43">
        <v>-26.352348950000003</v>
      </c>
      <c r="I38" s="43">
        <v>-16.1243306</v>
      </c>
      <c r="J38" s="43">
        <v>-13.127663</v>
      </c>
      <c r="K38" s="38">
        <f>+TGTbase2021!HK53</f>
        <v>-29.173183679999994</v>
      </c>
      <c r="L38" s="38">
        <f>+TGTbase2021!HL53</f>
        <v>-16.34873</v>
      </c>
      <c r="M38" s="38">
        <f>+TGTbase2021!HM53</f>
        <v>-8.9727180000000004</v>
      </c>
      <c r="N38" s="168">
        <f>+TGTbase2021!HN53</f>
        <v>-12.88123057</v>
      </c>
      <c r="O38" s="38">
        <f>+Drivers!O65</f>
        <v>0</v>
      </c>
      <c r="P38" s="38">
        <f>+Drivers!P65</f>
        <v>0</v>
      </c>
      <c r="Q38" s="38">
        <f>+Drivers!Q65</f>
        <v>0</v>
      </c>
      <c r="R38" s="38">
        <f>+Drivers!R65</f>
        <v>0</v>
      </c>
      <c r="S38" s="38">
        <f>+Drivers!S65</f>
        <v>0</v>
      </c>
      <c r="T38" s="26"/>
      <c r="U38" s="95">
        <f t="shared" si="104"/>
        <v>-0.19384057236871377</v>
      </c>
      <c r="V38" s="95">
        <f t="shared" si="105"/>
        <v>-1</v>
      </c>
      <c r="X38" s="50">
        <f t="shared" si="63"/>
        <v>-5.7300634111754692E-3</v>
      </c>
      <c r="Y38" s="50">
        <f t="shared" si="64"/>
        <v>-8.8996421196692441E-4</v>
      </c>
      <c r="Z38" s="50">
        <f t="shared" si="65"/>
        <v>-2.1726843724189223E-3</v>
      </c>
      <c r="AA38" s="50">
        <f t="shared" si="66"/>
        <v>-4.2835231073367099E-3</v>
      </c>
      <c r="AB38" s="50">
        <f t="shared" si="67"/>
        <v>-1.1831058420553682E-3</v>
      </c>
      <c r="AC38" s="50">
        <f t="shared" si="68"/>
        <v>-9.2771503487918425E-4</v>
      </c>
      <c r="AD38" s="50">
        <f t="shared" si="69"/>
        <v>-1.3741910309011916E-3</v>
      </c>
      <c r="AE38" s="50">
        <f t="shared" si="70"/>
        <v>-1.2954735412501709E-3</v>
      </c>
      <c r="AF38" s="50">
        <f t="shared" si="89"/>
        <v>-5.93832288010978E-4</v>
      </c>
      <c r="AG38" s="50">
        <f t="shared" si="106"/>
        <v>-4.2664984381731797E-4</v>
      </c>
      <c r="AH38" s="50">
        <f t="shared" si="107"/>
        <v>0</v>
      </c>
      <c r="AI38" s="50">
        <f t="shared" si="108"/>
        <v>0</v>
      </c>
      <c r="AJ38" s="50">
        <f t="shared" si="109"/>
        <v>0</v>
      </c>
      <c r="AK38" s="50">
        <f t="shared" si="110"/>
        <v>0</v>
      </c>
      <c r="AL38" s="50">
        <f t="shared" si="111"/>
        <v>0</v>
      </c>
      <c r="AN38" s="50">
        <f t="shared" si="77"/>
        <v>142.17671620280356</v>
      </c>
      <c r="AO38" s="50">
        <f t="shared" si="78"/>
        <v>-0.83358136039125874</v>
      </c>
      <c r="AP38" s="50">
        <f t="shared" si="79"/>
        <v>4.4689290648947111E-2</v>
      </c>
      <c r="AQ38" s="50">
        <f t="shared" si="80"/>
        <v>-0.28030073862044969</v>
      </c>
      <c r="AR38" s="50">
        <f t="shared" si="81"/>
        <v>-0.38812549004289054</v>
      </c>
      <c r="AS38" s="50">
        <f t="shared" si="82"/>
        <v>-0.18584756628594556</v>
      </c>
      <c r="AT38" s="50">
        <f t="shared" si="83"/>
        <v>1.2222678690030353</v>
      </c>
      <c r="AU38" s="50">
        <f t="shared" si="84"/>
        <v>-0.43959733091427877</v>
      </c>
      <c r="AV38" s="50">
        <f t="shared" si="96"/>
        <v>-0.45116727721358174</v>
      </c>
      <c r="AW38" s="50">
        <f t="shared" si="97"/>
        <v>0.43559962209890024</v>
      </c>
      <c r="AX38" s="50">
        <f t="shared" si="98"/>
        <v>-1</v>
      </c>
      <c r="AY38" s="50" t="str">
        <f t="shared" si="99"/>
        <v xml:space="preserve"> </v>
      </c>
      <c r="AZ38" s="50" t="str">
        <f t="shared" si="100"/>
        <v xml:space="preserve"> </v>
      </c>
      <c r="BA38" s="50" t="str">
        <f t="shared" si="101"/>
        <v xml:space="preserve"> </v>
      </c>
      <c r="BB38" s="50" t="str">
        <f t="shared" si="102"/>
        <v xml:space="preserve"> </v>
      </c>
    </row>
    <row r="39" spans="1:54" ht="15" customHeight="1" outlineLevel="2">
      <c r="B39" s="29" t="s">
        <v>86</v>
      </c>
      <c r="C39" s="24" t="s">
        <v>59</v>
      </c>
      <c r="D39" s="43">
        <v>-4.06671856</v>
      </c>
      <c r="E39" s="43">
        <v>-17.049613999999998</v>
      </c>
      <c r="F39" s="43">
        <v>-15.52324445</v>
      </c>
      <c r="G39" s="43">
        <v>-53.567878470000004</v>
      </c>
      <c r="H39" s="43">
        <v>-3.3661599999999998</v>
      </c>
      <c r="I39" s="43">
        <v>-5.8816190000000006</v>
      </c>
      <c r="J39" s="43">
        <v>-22.59067293</v>
      </c>
      <c r="K39" s="38">
        <f>+TGTbase2021!HK54</f>
        <v>-9.5105889999999995</v>
      </c>
      <c r="L39" s="38">
        <f>+TGTbase2021!HL54</f>
        <v>-10.755684280000001</v>
      </c>
      <c r="M39" s="38">
        <f>+TGTbase2021!HM54</f>
        <v>-7.862051000000001</v>
      </c>
      <c r="N39" s="168">
        <f>+TGTbase2021!HN54</f>
        <v>-9.3267332800000009</v>
      </c>
      <c r="O39" s="38">
        <f>+Drivers!O66</f>
        <v>0</v>
      </c>
      <c r="P39" s="38">
        <f>+Drivers!P66</f>
        <v>0</v>
      </c>
      <c r="Q39" s="38">
        <f>+Drivers!Q66</f>
        <v>0</v>
      </c>
      <c r="R39" s="38">
        <f>+Drivers!R66</f>
        <v>0</v>
      </c>
      <c r="S39" s="38">
        <f>+Drivers!S66</f>
        <v>0</v>
      </c>
      <c r="T39" s="27"/>
      <c r="U39" s="95">
        <f t="shared" si="104"/>
        <v>0.18489596444382683</v>
      </c>
      <c r="V39" s="95">
        <f t="shared" si="105"/>
        <v>-1</v>
      </c>
      <c r="X39" s="50">
        <f t="shared" si="63"/>
        <v>-4.6386842725122397E-4</v>
      </c>
      <c r="Y39" s="50">
        <f t="shared" si="64"/>
        <v>-3.9416123160510561E-4</v>
      </c>
      <c r="Z39" s="50">
        <f t="shared" si="65"/>
        <v>-3.178577549392199E-3</v>
      </c>
      <c r="AA39" s="50">
        <f t="shared" si="66"/>
        <v>-5.4716276603465879E-4</v>
      </c>
      <c r="AB39" s="50">
        <f t="shared" si="67"/>
        <v>-4.3155762383362772E-4</v>
      </c>
      <c r="AC39" s="50">
        <f t="shared" si="68"/>
        <v>-1.5964537576261056E-3</v>
      </c>
      <c r="AD39" s="50">
        <f t="shared" si="69"/>
        <v>-4.4799245244348782E-4</v>
      </c>
      <c r="AE39" s="50">
        <f t="shared" si="70"/>
        <v>-8.5228053816904402E-4</v>
      </c>
      <c r="AF39" s="50">
        <f t="shared" si="89"/>
        <v>-5.2032614128617416E-4</v>
      </c>
      <c r="AG39" s="50">
        <f t="shared" si="106"/>
        <v>-3.0891841238408807E-4</v>
      </c>
      <c r="AH39" s="50">
        <f t="shared" si="107"/>
        <v>0</v>
      </c>
      <c r="AI39" s="50">
        <f t="shared" si="108"/>
        <v>0</v>
      </c>
      <c r="AJ39" s="50">
        <f t="shared" si="109"/>
        <v>0</v>
      </c>
      <c r="AK39" s="50">
        <f t="shared" si="110"/>
        <v>0</v>
      </c>
      <c r="AL39" s="50">
        <f t="shared" si="111"/>
        <v>0</v>
      </c>
      <c r="AN39" s="50">
        <f t="shared" si="77"/>
        <v>3.1924745340626668</v>
      </c>
      <c r="AO39" s="50">
        <f t="shared" si="78"/>
        <v>-8.9525167549247664E-2</v>
      </c>
      <c r="AP39" s="50">
        <f t="shared" si="79"/>
        <v>2.4508171692161946</v>
      </c>
      <c r="AQ39" s="50">
        <f t="shared" si="80"/>
        <v>-0.93716084907328978</v>
      </c>
      <c r="AR39" s="50">
        <f t="shared" si="81"/>
        <v>0.74727850131901064</v>
      </c>
      <c r="AS39" s="50">
        <f t="shared" si="82"/>
        <v>2.8408936263977651</v>
      </c>
      <c r="AT39" s="50">
        <f t="shared" si="83"/>
        <v>-0.57900373178480613</v>
      </c>
      <c r="AU39" s="50">
        <f t="shared" si="84"/>
        <v>0.13091673712322138</v>
      </c>
      <c r="AV39" s="50">
        <f t="shared" si="96"/>
        <v>-0.26903293223106761</v>
      </c>
      <c r="AW39" s="50">
        <f t="shared" si="97"/>
        <v>0.18629773325052201</v>
      </c>
      <c r="AX39" s="50">
        <f t="shared" si="98"/>
        <v>-1</v>
      </c>
      <c r="AY39" s="50" t="str">
        <f t="shared" si="99"/>
        <v xml:space="preserve"> </v>
      </c>
      <c r="AZ39" s="50" t="str">
        <f t="shared" si="100"/>
        <v xml:space="preserve"> </v>
      </c>
      <c r="BA39" s="50" t="str">
        <f t="shared" si="101"/>
        <v xml:space="preserve"> </v>
      </c>
      <c r="BB39" s="50" t="str">
        <f t="shared" si="102"/>
        <v xml:space="preserve"> </v>
      </c>
    </row>
    <row r="40" spans="1:54" ht="15" customHeight="1" outlineLevel="2">
      <c r="B40" s="29" t="s">
        <v>87</v>
      </c>
      <c r="C40" s="24" t="s">
        <v>59</v>
      </c>
      <c r="D40" s="43">
        <v>-2.8642210000000001</v>
      </c>
      <c r="E40" s="43">
        <v>-2.7790396500000001</v>
      </c>
      <c r="F40" s="43">
        <v>-7.6724801700000009</v>
      </c>
      <c r="G40" s="43">
        <v>-1.6852499999999999</v>
      </c>
      <c r="H40" s="43">
        <v>-0.8</v>
      </c>
      <c r="I40" s="43">
        <v>-0.78556899999999996</v>
      </c>
      <c r="J40" s="43">
        <v>0</v>
      </c>
      <c r="K40" s="38">
        <f>+TGTbase2021!HK55</f>
        <v>0</v>
      </c>
      <c r="L40" s="38">
        <f>+TGTbase2021!HL55</f>
        <v>0</v>
      </c>
      <c r="M40" s="38">
        <f>+TGTbase2021!HM55</f>
        <v>0</v>
      </c>
      <c r="N40" s="168">
        <f>+TGTbase2021!HN55</f>
        <v>0</v>
      </c>
      <c r="O40" s="38">
        <f>+Drivers!O67</f>
        <v>0</v>
      </c>
      <c r="P40" s="38">
        <f>+Drivers!P67</f>
        <v>0</v>
      </c>
      <c r="Q40" s="38">
        <f>+Drivers!Q67</f>
        <v>0</v>
      </c>
      <c r="R40" s="38">
        <f>+Drivers!R67</f>
        <v>0</v>
      </c>
      <c r="S40" s="38">
        <f>+Drivers!S67</f>
        <v>0</v>
      </c>
      <c r="T40" s="26"/>
      <c r="U40" s="95">
        <f t="shared" si="104"/>
        <v>-1</v>
      </c>
      <c r="V40" s="95">
        <f t="shared" si="105"/>
        <v>-1</v>
      </c>
      <c r="X40" s="50">
        <f t="shared" si="63"/>
        <v>-7.5609263160696306E-5</v>
      </c>
      <c r="Y40" s="50">
        <f t="shared" si="64"/>
        <v>-1.9481714940544859E-4</v>
      </c>
      <c r="Z40" s="50">
        <f t="shared" si="65"/>
        <v>-9.9998319293401777E-5</v>
      </c>
      <c r="AA40" s="50">
        <f t="shared" si="66"/>
        <v>-1.3003844523959857E-4</v>
      </c>
      <c r="AB40" s="50">
        <f t="shared" si="67"/>
        <v>-5.7640301249937997E-5</v>
      </c>
      <c r="AC40" s="50">
        <f t="shared" si="68"/>
        <v>0</v>
      </c>
      <c r="AD40" s="50">
        <f t="shared" si="69"/>
        <v>0</v>
      </c>
      <c r="AE40" s="50">
        <f t="shared" si="70"/>
        <v>0</v>
      </c>
      <c r="AF40" s="50">
        <f t="shared" si="89"/>
        <v>0</v>
      </c>
      <c r="AG40" s="50">
        <f t="shared" si="106"/>
        <v>0</v>
      </c>
      <c r="AH40" s="50">
        <f t="shared" si="107"/>
        <v>0</v>
      </c>
      <c r="AI40" s="50">
        <f t="shared" si="108"/>
        <v>0</v>
      </c>
      <c r="AJ40" s="50">
        <f t="shared" si="109"/>
        <v>0</v>
      </c>
      <c r="AK40" s="50">
        <f t="shared" si="110"/>
        <v>0</v>
      </c>
      <c r="AL40" s="50">
        <f t="shared" si="111"/>
        <v>0</v>
      </c>
      <c r="AN40" s="50">
        <f t="shared" si="77"/>
        <v>-2.9739796614856151E-2</v>
      </c>
      <c r="AO40" s="50">
        <f t="shared" si="78"/>
        <v>1.7608386839676795</v>
      </c>
      <c r="AP40" s="50">
        <f t="shared" si="79"/>
        <v>-0.78035133846426097</v>
      </c>
      <c r="AQ40" s="50">
        <f t="shared" si="80"/>
        <v>-0.52529298323690843</v>
      </c>
      <c r="AR40" s="50">
        <f t="shared" si="81"/>
        <v>-1.8038750000000103E-2</v>
      </c>
      <c r="AS40" s="50">
        <f t="shared" si="82"/>
        <v>-1</v>
      </c>
      <c r="AT40" s="50" t="str">
        <f t="shared" si="83"/>
        <v xml:space="preserve"> </v>
      </c>
      <c r="AU40" s="50" t="str">
        <f t="shared" si="84"/>
        <v xml:space="preserve"> </v>
      </c>
      <c r="AV40" s="50" t="str">
        <f t="shared" si="96"/>
        <v xml:space="preserve"> </v>
      </c>
      <c r="AW40" s="50" t="str">
        <f t="shared" si="97"/>
        <v xml:space="preserve"> </v>
      </c>
      <c r="AX40" s="50" t="str">
        <f t="shared" si="98"/>
        <v xml:space="preserve"> </v>
      </c>
      <c r="AY40" s="50" t="str">
        <f t="shared" si="99"/>
        <v xml:space="preserve"> </v>
      </c>
      <c r="AZ40" s="50" t="str">
        <f t="shared" si="100"/>
        <v xml:space="preserve"> </v>
      </c>
      <c r="BA40" s="50" t="str">
        <f t="shared" si="101"/>
        <v xml:space="preserve"> </v>
      </c>
      <c r="BB40" s="50" t="str">
        <f t="shared" si="102"/>
        <v xml:space="preserve"> </v>
      </c>
    </row>
    <row r="41" spans="1:54" ht="15" customHeight="1" outlineLevel="2">
      <c r="B41" s="399" t="s">
        <v>88</v>
      </c>
      <c r="C41" s="240" t="s">
        <v>59</v>
      </c>
      <c r="D41" s="652">
        <v>0</v>
      </c>
      <c r="E41" s="652">
        <v>-17.637902</v>
      </c>
      <c r="F41" s="652">
        <v>-14.123951180000001</v>
      </c>
      <c r="G41" s="651">
        <v>-34.884898299999996</v>
      </c>
      <c r="H41" s="651">
        <v>-4.8388509199999996</v>
      </c>
      <c r="I41" s="651">
        <v>-15.187650999999999</v>
      </c>
      <c r="J41" s="651">
        <v>-12.976391000000001</v>
      </c>
      <c r="K41" s="265">
        <f>+TGTbase2021!HK56</f>
        <v>-11.300057000000001</v>
      </c>
      <c r="L41" s="265">
        <f>+TGTbase2021!HL56</f>
        <v>-2.2878910000000001</v>
      </c>
      <c r="M41" s="265">
        <f>+TGTbase2021!HM56</f>
        <v>-3.0008680000000001</v>
      </c>
      <c r="N41" s="298">
        <f>+TGTbase2021!HN56</f>
        <v>-2.3859874599999999</v>
      </c>
      <c r="O41" s="265">
        <f>+Drivers!O68</f>
        <v>0</v>
      </c>
      <c r="P41" s="265">
        <f>+Drivers!P68</f>
        <v>0</v>
      </c>
      <c r="Q41" s="265">
        <f>+Drivers!Q68</f>
        <v>0</v>
      </c>
      <c r="R41" s="265">
        <f>+Drivers!R68</f>
        <v>0</v>
      </c>
      <c r="S41" s="265">
        <f>+Drivers!S68</f>
        <v>0</v>
      </c>
      <c r="T41" s="27"/>
      <c r="U41" s="256">
        <f t="shared" si="104"/>
        <v>-9.11317545714323E-2</v>
      </c>
      <c r="V41" s="256">
        <f t="shared" si="105"/>
        <v>-1</v>
      </c>
      <c r="X41" s="230">
        <f t="shared" si="63"/>
        <v>-4.7987396434612646E-4</v>
      </c>
      <c r="Y41" s="230">
        <f t="shared" si="64"/>
        <v>-3.5863082683331609E-4</v>
      </c>
      <c r="Z41" s="230">
        <f t="shared" si="65"/>
        <v>-2.0699784594103241E-3</v>
      </c>
      <c r="AA41" s="230">
        <f t="shared" si="66"/>
        <v>-7.8654581297875131E-4</v>
      </c>
      <c r="AB41" s="230">
        <f t="shared" si="67"/>
        <v>-1.1143779590576028E-3</v>
      </c>
      <c r="AC41" s="230">
        <f t="shared" si="68"/>
        <v>-9.1702483748790119E-4</v>
      </c>
      <c r="AD41" s="230">
        <f t="shared" si="69"/>
        <v>-5.3228461961516815E-4</v>
      </c>
      <c r="AE41" s="230">
        <f t="shared" si="70"/>
        <v>-1.8129250747699635E-4</v>
      </c>
      <c r="AF41" s="230">
        <f t="shared" si="89"/>
        <v>-1.9860340093814688E-4</v>
      </c>
      <c r="AG41" s="230">
        <f t="shared" si="106"/>
        <v>-7.9028255229739215E-5</v>
      </c>
      <c r="AH41" s="230">
        <f t="shared" si="107"/>
        <v>0</v>
      </c>
      <c r="AI41" s="230">
        <f t="shared" si="108"/>
        <v>0</v>
      </c>
      <c r="AJ41" s="230">
        <f t="shared" si="109"/>
        <v>0</v>
      </c>
      <c r="AK41" s="230">
        <f t="shared" si="110"/>
        <v>0</v>
      </c>
      <c r="AL41" s="230">
        <f t="shared" si="111"/>
        <v>0</v>
      </c>
      <c r="AN41" s="230" t="str">
        <f t="shared" si="77"/>
        <v xml:space="preserve"> </v>
      </c>
      <c r="AO41" s="230">
        <f t="shared" si="78"/>
        <v>-0.19922725616686154</v>
      </c>
      <c r="AP41" s="230">
        <f t="shared" si="79"/>
        <v>1.469910710920483</v>
      </c>
      <c r="AQ41" s="230">
        <f t="shared" si="80"/>
        <v>-0.86129095523262567</v>
      </c>
      <c r="AR41" s="230">
        <f t="shared" si="81"/>
        <v>2.1386895878991039</v>
      </c>
      <c r="AS41" s="230">
        <f t="shared" si="82"/>
        <v>-0.1455959186841993</v>
      </c>
      <c r="AT41" s="230">
        <f t="shared" si="83"/>
        <v>-0.12918337617909326</v>
      </c>
      <c r="AU41" s="230">
        <f t="shared" si="84"/>
        <v>-0.79753279120627441</v>
      </c>
      <c r="AV41" s="230">
        <f t="shared" si="96"/>
        <v>0.31163066771974712</v>
      </c>
      <c r="AW41" s="230">
        <f t="shared" si="97"/>
        <v>-0.20490089534094802</v>
      </c>
      <c r="AX41" s="230">
        <f t="shared" si="98"/>
        <v>-1</v>
      </c>
      <c r="AY41" s="230" t="str">
        <f t="shared" si="99"/>
        <v xml:space="preserve"> </v>
      </c>
      <c r="AZ41" s="230" t="str">
        <f t="shared" si="100"/>
        <v xml:space="preserve"> </v>
      </c>
      <c r="BA41" s="230" t="str">
        <f t="shared" si="101"/>
        <v xml:space="preserve"> </v>
      </c>
      <c r="BB41" s="230" t="str">
        <f t="shared" si="102"/>
        <v xml:space="preserve"> </v>
      </c>
    </row>
    <row r="42" spans="1:54" outlineLevel="1">
      <c r="I42" s="28"/>
      <c r="J42" s="28"/>
      <c r="T42" s="114"/>
      <c r="U42" s="122"/>
      <c r="V42" s="122"/>
      <c r="X42" s="108"/>
      <c r="Y42" s="108"/>
      <c r="Z42" s="108"/>
      <c r="AA42" s="108"/>
      <c r="AB42" s="108"/>
      <c r="AC42" s="108"/>
      <c r="AD42" s="108"/>
      <c r="AE42" s="108"/>
      <c r="AF42" s="108"/>
      <c r="AG42" s="108"/>
      <c r="AH42" s="108"/>
      <c r="AI42" s="108"/>
      <c r="AJ42" s="108"/>
      <c r="AK42" s="108"/>
      <c r="AL42" s="108"/>
      <c r="AN42" s="108"/>
      <c r="AO42" s="108"/>
      <c r="AP42" s="108"/>
      <c r="AQ42" s="108"/>
      <c r="AR42" s="108"/>
      <c r="AS42" s="108"/>
      <c r="AT42" s="108"/>
      <c r="AU42" s="108"/>
      <c r="AV42" s="108"/>
      <c r="AW42" s="108"/>
      <c r="AX42" s="108"/>
      <c r="AY42" s="108"/>
      <c r="AZ42" s="108"/>
      <c r="BA42" s="108"/>
      <c r="BB42" s="108"/>
    </row>
    <row r="43" spans="1:54">
      <c r="B43" s="1282" t="s">
        <v>89</v>
      </c>
      <c r="C43" s="1283" t="s">
        <v>59</v>
      </c>
      <c r="D43" s="1092">
        <f t="shared" ref="D43:S43" si="112">+D24+D27</f>
        <v>10086.432281460005</v>
      </c>
      <c r="E43" s="1092">
        <f t="shared" si="112"/>
        <v>9648.7294075400023</v>
      </c>
      <c r="F43" s="1092">
        <f t="shared" si="112"/>
        <v>10736.332828470007</v>
      </c>
      <c r="G43" s="1092">
        <f t="shared" si="112"/>
        <v>-2402.4764779000034</v>
      </c>
      <c r="H43" s="1092">
        <f t="shared" si="112"/>
        <v>-1923.0661363100007</v>
      </c>
      <c r="I43" s="1092">
        <f t="shared" si="112"/>
        <v>3142.0866296900044</v>
      </c>
      <c r="J43" s="1092">
        <f t="shared" si="112"/>
        <v>2036.5649709299987</v>
      </c>
      <c r="K43" s="1092">
        <f t="shared" si="112"/>
        <v>4238.8806948900019</v>
      </c>
      <c r="L43" s="1092">
        <f>+L24+L27</f>
        <v>2008.2013068499987</v>
      </c>
      <c r="M43" s="1092">
        <f>+M24+M27</f>
        <v>2880.6430227699984</v>
      </c>
      <c r="N43" s="1421">
        <f>+N24+N27</f>
        <v>5889.2312605899988</v>
      </c>
      <c r="O43" s="1092">
        <f t="shared" si="112"/>
        <v>6169.6067269178002</v>
      </c>
      <c r="P43" s="1092">
        <f t="shared" si="112"/>
        <v>7142.5933525657019</v>
      </c>
      <c r="Q43" s="1092">
        <f t="shared" si="112"/>
        <v>7355.1033699427189</v>
      </c>
      <c r="R43" s="1092">
        <f t="shared" si="112"/>
        <v>8243.5399550434813</v>
      </c>
      <c r="S43" s="1092">
        <f t="shared" si="112"/>
        <v>8561.6414226086417</v>
      </c>
      <c r="T43" s="26"/>
      <c r="U43" s="1284">
        <f>+IFERROR(((N43/I43)^(1/5))-1," ")</f>
        <v>0.13388259979696238</v>
      </c>
      <c r="V43" s="1284">
        <f>+IFERROR(((S43/I43)^(1/8))-1," ")</f>
        <v>0.13348913092910841</v>
      </c>
      <c r="X43" s="1284">
        <f>+E43/$E$5</f>
        <v>0.26251274282504078</v>
      </c>
      <c r="Y43" s="1284">
        <f>+F43/$F$5</f>
        <v>0.27261351093340963</v>
      </c>
      <c r="Z43" s="1284">
        <f>+G43/$G$5</f>
        <v>-0.142556659208979</v>
      </c>
      <c r="AA43" s="1284">
        <f>+H43/$H$5</f>
        <v>-0.31259066307334299</v>
      </c>
      <c r="AB43" s="1284">
        <f>+I43/$I$5</f>
        <v>0.23054731015192076</v>
      </c>
      <c r="AC43" s="1284">
        <f>+J43/$J$5</f>
        <v>0.14392142326018337</v>
      </c>
      <c r="AD43" s="1284">
        <f>+K43/$K$5</f>
        <v>0.19967076256992369</v>
      </c>
      <c r="AE43" s="1284">
        <f>+L43/$L$5</f>
        <v>0.15912989317997109</v>
      </c>
      <c r="AF43" s="1284">
        <f>+M43/$M$5</f>
        <v>0.19064667329948046</v>
      </c>
      <c r="AG43" s="1284">
        <f>+N43/N$5</f>
        <v>0.19506207763927866</v>
      </c>
      <c r="AH43" s="1284">
        <f t="shared" ref="AH43:AL43" si="113">+O43/O$5</f>
        <v>0.20225231763172538</v>
      </c>
      <c r="AI43" s="1284">
        <f t="shared" si="113"/>
        <v>0.20747621262692811</v>
      </c>
      <c r="AJ43" s="1284">
        <f t="shared" si="113"/>
        <v>0.20581707640586569</v>
      </c>
      <c r="AK43" s="1284">
        <f t="shared" si="113"/>
        <v>0.21042202113052055</v>
      </c>
      <c r="AL43" s="1284">
        <f t="shared" si="113"/>
        <v>0.21007572781295283</v>
      </c>
      <c r="AN43" s="1284">
        <f t="shared" ref="AN43:AY44" si="114">+IFERROR((E43/D43-1)," ")</f>
        <v>-4.3395212668462579E-2</v>
      </c>
      <c r="AO43" s="1284">
        <f t="shared" si="114"/>
        <v>0.11271985926769768</v>
      </c>
      <c r="AP43" s="1284">
        <f t="shared" si="114"/>
        <v>-1.2237706781527162</v>
      </c>
      <c r="AQ43" s="1284">
        <f t="shared" si="114"/>
        <v>-0.19954840182620792</v>
      </c>
      <c r="AR43" s="1284">
        <f t="shared" si="114"/>
        <v>-2.6338942121455444</v>
      </c>
      <c r="AS43" s="1284">
        <f t="shared" si="114"/>
        <v>-0.35184315044460612</v>
      </c>
      <c r="AT43" s="1284">
        <f t="shared" si="114"/>
        <v>1.0813874123320084</v>
      </c>
      <c r="AU43" s="1284">
        <f t="shared" si="114"/>
        <v>-0.526242550475436</v>
      </c>
      <c r="AV43" s="1284">
        <f t="shared" si="114"/>
        <v>0.43443937265855292</v>
      </c>
      <c r="AW43" s="1284">
        <f t="shared" si="114"/>
        <v>1.0444155051627919</v>
      </c>
      <c r="AX43" s="1284">
        <f t="shared" si="114"/>
        <v>4.7608160372991204E-2</v>
      </c>
      <c r="AY43" s="1284">
        <f t="shared" si="114"/>
        <v>0.15770642582497052</v>
      </c>
      <c r="AZ43" s="1284">
        <f t="shared" ref="AZ43:AZ44" si="115">+IFERROR((Q43/P43-1)," ")</f>
        <v>2.9752501211717686E-2</v>
      </c>
      <c r="BA43" s="1284">
        <f t="shared" ref="BA43:BA44" si="116">+IFERROR((R43/Q43-1)," ")</f>
        <v>0.1207918557244807</v>
      </c>
      <c r="BB43" s="1284">
        <f t="shared" ref="BB43:BB44" si="117">+IFERROR((S43/R43-1)," ")</f>
        <v>3.8587969403913958E-2</v>
      </c>
    </row>
    <row r="44" spans="1:54">
      <c r="B44" s="294" t="s">
        <v>90</v>
      </c>
      <c r="C44" s="1286" t="s">
        <v>35</v>
      </c>
      <c r="D44" s="343">
        <f t="shared" ref="D44:S44" si="118">+D43/D5</f>
        <v>0.27800584950790719</v>
      </c>
      <c r="E44" s="343">
        <f t="shared" si="118"/>
        <v>0.26251274282504078</v>
      </c>
      <c r="F44" s="343">
        <f t="shared" si="118"/>
        <v>0.27261351093340963</v>
      </c>
      <c r="G44" s="343">
        <f t="shared" si="118"/>
        <v>-0.142556659208979</v>
      </c>
      <c r="H44" s="343">
        <f t="shared" si="118"/>
        <v>-0.31259066307334299</v>
      </c>
      <c r="I44" s="343">
        <f t="shared" si="118"/>
        <v>0.23054731015192076</v>
      </c>
      <c r="J44" s="343">
        <f t="shared" si="118"/>
        <v>0.14392142326018337</v>
      </c>
      <c r="K44" s="343">
        <f t="shared" si="118"/>
        <v>0.19967076256992369</v>
      </c>
      <c r="L44" s="343">
        <f t="shared" si="118"/>
        <v>0.15912989317997109</v>
      </c>
      <c r="M44" s="343">
        <f t="shared" si="118"/>
        <v>0.19064667329948046</v>
      </c>
      <c r="N44" s="1197">
        <f t="shared" si="118"/>
        <v>0.19506207763927866</v>
      </c>
      <c r="O44" s="343">
        <f t="shared" si="118"/>
        <v>0.20225231763172538</v>
      </c>
      <c r="P44" s="343">
        <f t="shared" si="118"/>
        <v>0.20747621262692811</v>
      </c>
      <c r="Q44" s="343">
        <f t="shared" si="118"/>
        <v>0.20581707640586569</v>
      </c>
      <c r="R44" s="343">
        <f t="shared" si="118"/>
        <v>0.21042202113052055</v>
      </c>
      <c r="S44" s="343">
        <f t="shared" si="118"/>
        <v>0.21007572781295283</v>
      </c>
      <c r="T44" s="26"/>
      <c r="U44" s="256">
        <f>+IFERROR(((N44/I44)^(1/5))-1," ")</f>
        <v>-3.2875117246442542E-2</v>
      </c>
      <c r="V44" s="256">
        <f>+IFERROR(((S44/I44)^(1/8))-1," ")</f>
        <v>-1.1556210217133378E-2</v>
      </c>
      <c r="X44" s="256"/>
      <c r="Y44" s="256"/>
      <c r="Z44" s="256"/>
      <c r="AA44" s="256"/>
      <c r="AB44" s="256"/>
      <c r="AC44" s="256"/>
      <c r="AD44" s="256"/>
      <c r="AE44" s="256"/>
      <c r="AF44" s="256"/>
      <c r="AG44" s="256"/>
      <c r="AH44" s="256"/>
      <c r="AI44" s="256"/>
      <c r="AJ44" s="256"/>
      <c r="AK44" s="256"/>
      <c r="AL44" s="256"/>
      <c r="AN44" s="256">
        <f t="shared" si="114"/>
        <v>-5.5729426953751049E-2</v>
      </c>
      <c r="AO44" s="256">
        <f t="shared" si="114"/>
        <v>3.8477248760075522E-2</v>
      </c>
      <c r="AP44" s="256">
        <f t="shared" si="114"/>
        <v>-1.522925876714162</v>
      </c>
      <c r="AQ44" s="256">
        <f t="shared" si="114"/>
        <v>1.1927468334895877</v>
      </c>
      <c r="AR44" s="256">
        <f t="shared" si="114"/>
        <v>-1.737537416777633</v>
      </c>
      <c r="AS44" s="256">
        <f t="shared" si="114"/>
        <v>-0.37574017599535059</v>
      </c>
      <c r="AT44" s="256">
        <f t="shared" si="114"/>
        <v>0.38735956084144485</v>
      </c>
      <c r="AU44" s="256">
        <f t="shared" si="114"/>
        <v>-0.20303858646182815</v>
      </c>
      <c r="AV44" s="256">
        <f t="shared" si="114"/>
        <v>0.19805694260012374</v>
      </c>
      <c r="AW44" s="256">
        <f t="shared" si="114"/>
        <v>2.3160143648885967E-2</v>
      </c>
      <c r="AX44" s="256">
        <f t="shared" si="114"/>
        <v>3.6861290925770618E-2</v>
      </c>
      <c r="AY44" s="256">
        <f t="shared" si="114"/>
        <v>2.5828603876444811E-2</v>
      </c>
      <c r="AZ44" s="256">
        <f t="shared" si="115"/>
        <v>-7.9967539413580147E-3</v>
      </c>
      <c r="BA44" s="256">
        <f t="shared" si="116"/>
        <v>2.2373968210363859E-2</v>
      </c>
      <c r="BB44" s="256">
        <f t="shared" si="117"/>
        <v>-1.6457085418494222E-3</v>
      </c>
    </row>
    <row r="45" spans="1:54">
      <c r="D45" s="108"/>
      <c r="E45" s="108"/>
      <c r="F45" s="108"/>
      <c r="G45" s="108"/>
      <c r="H45" s="108"/>
      <c r="I45" s="108"/>
      <c r="J45" s="108"/>
      <c r="K45" s="108"/>
      <c r="L45" s="108"/>
      <c r="M45" s="108"/>
      <c r="N45" s="108"/>
      <c r="O45" s="108"/>
      <c r="P45" s="108"/>
      <c r="Q45" s="108"/>
      <c r="R45" s="108"/>
      <c r="S45" s="108"/>
      <c r="T45" s="26"/>
      <c r="U45" s="122"/>
      <c r="V45" s="122"/>
      <c r="X45" s="108"/>
      <c r="Y45" s="108"/>
      <c r="Z45" s="108"/>
      <c r="AA45" s="108"/>
      <c r="AB45" s="108"/>
      <c r="AC45" s="108"/>
      <c r="AD45" s="108"/>
      <c r="AE45" s="108"/>
      <c r="AF45" s="108"/>
      <c r="AG45" s="108"/>
      <c r="AH45" s="108"/>
      <c r="AI45" s="108"/>
      <c r="AJ45" s="108"/>
      <c r="AK45" s="108"/>
      <c r="AL45" s="108"/>
      <c r="AN45" s="108"/>
      <c r="AO45" s="108"/>
      <c r="AP45" s="108"/>
      <c r="AQ45" s="108"/>
      <c r="AR45" s="108"/>
      <c r="AS45" s="108"/>
      <c r="AT45" s="108"/>
      <c r="AU45" s="108"/>
      <c r="AV45" s="108"/>
      <c r="AW45" s="108"/>
      <c r="AX45" s="108"/>
      <c r="AY45" s="108"/>
      <c r="AZ45" s="108"/>
      <c r="BA45" s="108"/>
      <c r="BB45" s="108"/>
    </row>
    <row r="46" spans="1:54">
      <c r="A46" s="25"/>
      <c r="B46" s="185" t="s">
        <v>91</v>
      </c>
      <c r="C46" s="1287" t="s">
        <v>59</v>
      </c>
      <c r="D46" s="221">
        <f t="shared" ref="D46:J46" si="119">+SUM(D47:D49)</f>
        <v>-816.49231834000011</v>
      </c>
      <c r="E46" s="221">
        <f t="shared" si="119"/>
        <v>-1098.9831748000001</v>
      </c>
      <c r="F46" s="221">
        <f t="shared" si="119"/>
        <v>-946.12076396999998</v>
      </c>
      <c r="G46" s="221">
        <f t="shared" si="119"/>
        <v>-2454.5210335199999</v>
      </c>
      <c r="H46" s="221">
        <f t="shared" si="119"/>
        <v>-2337.2114252000001</v>
      </c>
      <c r="I46" s="221">
        <f t="shared" si="119"/>
        <v>-973.80335998999999</v>
      </c>
      <c r="J46" s="221">
        <f t="shared" si="119"/>
        <v>-700.09494136000012</v>
      </c>
      <c r="K46" s="221">
        <f t="shared" ref="K46:P46" si="120">+SUM(K47:K48)</f>
        <v>-746.14591374999986</v>
      </c>
      <c r="L46" s="221">
        <f>+SUM(L47:L49)</f>
        <v>-1064.2459585200004</v>
      </c>
      <c r="M46" s="221">
        <f t="shared" si="120"/>
        <v>-830.07529264999994</v>
      </c>
      <c r="N46" s="221">
        <f t="shared" ref="N46" si="121">+SUM(N47:N48)</f>
        <v>-940.07301640999992</v>
      </c>
      <c r="O46" s="221">
        <f t="shared" ca="1" si="120"/>
        <v>-1104.4018390664999</v>
      </c>
      <c r="P46" s="221">
        <f t="shared" ca="1" si="120"/>
        <v>-1169.3070823831756</v>
      </c>
      <c r="Q46" s="221">
        <f ca="1">+SUM(Q47:Q48)</f>
        <v>-1242.5563727358738</v>
      </c>
      <c r="R46" s="221">
        <f ca="1">+SUM(R47:R48)</f>
        <v>-1318.5930593620133</v>
      </c>
      <c r="S46" s="221">
        <f ca="1">+SUM(S47:S48)</f>
        <v>-1401.9493475273205</v>
      </c>
      <c r="T46" s="27"/>
      <c r="U46" s="1278">
        <f>+IFERROR(((N46/I46)^(1/5))-1," ")</f>
        <v>-7.0255734262107961E-3</v>
      </c>
      <c r="V46" s="1278">
        <f ca="1">+IFERROR(((S46/I46)^(1/8))-1," ")</f>
        <v>4.6604582081880341E-2</v>
      </c>
      <c r="X46" s="1278">
        <f>+E46/$E$5</f>
        <v>-2.9900008109862961E-2</v>
      </c>
      <c r="Y46" s="1278">
        <f>+F46/$F$5</f>
        <v>-2.4023594215420517E-2</v>
      </c>
      <c r="Z46" s="1278">
        <f>+G46/$G$5</f>
        <v>-0.14564484677187567</v>
      </c>
      <c r="AA46" s="1278">
        <f>+H46/$H$5</f>
        <v>-0.37990917491154291</v>
      </c>
      <c r="AB46" s="1278">
        <f>+I46/$I$5</f>
        <v>-7.1451799941221486E-2</v>
      </c>
      <c r="AC46" s="1278">
        <f>+J46/$J$5</f>
        <v>-4.9474807735583472E-2</v>
      </c>
      <c r="AD46" s="1278">
        <f>+K46/$K$5</f>
        <v>-3.5146901814551088E-2</v>
      </c>
      <c r="AE46" s="1278">
        <f>+L46/$L$5</f>
        <v>-8.4330861213383998E-2</v>
      </c>
      <c r="AF46" s="1278">
        <f>+M46/$M$5</f>
        <v>-5.4936030560163773E-2</v>
      </c>
      <c r="AG46" s="1278">
        <f t="shared" ref="AG46:AG48" si="122">+N46/N$5</f>
        <v>-3.1136932410969292E-2</v>
      </c>
      <c r="AH46" s="1278">
        <f t="shared" ref="AH46:AH48" ca="1" si="123">+O46/O$5</f>
        <v>-3.6204549403998892E-2</v>
      </c>
      <c r="AI46" s="1278">
        <f t="shared" ref="AI46:AI48" ca="1" si="124">+P46/P$5</f>
        <v>-3.3965731055311831E-2</v>
      </c>
      <c r="AJ46" s="1278">
        <f t="shared" ref="AJ46:AJ48" ca="1" si="125">+Q46/Q$5</f>
        <v>-3.4770323004714797E-2</v>
      </c>
      <c r="AK46" s="1278">
        <f t="shared" ref="AK46:AK48" ca="1" si="126">+R46/R$5</f>
        <v>-3.3657993788199912E-2</v>
      </c>
      <c r="AL46" s="1278">
        <f t="shared" ref="AL46:AL48" ca="1" si="127">+S46/S$5</f>
        <v>-3.4399423545229534E-2</v>
      </c>
      <c r="AN46" s="1278">
        <f t="shared" ref="AN46:AW48" si="128">+IFERROR((E46/D46-1)," ")</f>
        <v>0.34598103388691825</v>
      </c>
      <c r="AO46" s="1278">
        <f t="shared" si="128"/>
        <v>-0.13909440502382486</v>
      </c>
      <c r="AP46" s="1278">
        <f t="shared" si="128"/>
        <v>1.5942999318825106</v>
      </c>
      <c r="AQ46" s="1278">
        <f t="shared" si="128"/>
        <v>-4.779327889961793E-2</v>
      </c>
      <c r="AR46" s="1278">
        <f t="shared" si="128"/>
        <v>-0.58334819456623632</v>
      </c>
      <c r="AS46" s="1278">
        <f t="shared" si="128"/>
        <v>-0.28107154881126162</v>
      </c>
      <c r="AT46" s="1278">
        <f t="shared" si="128"/>
        <v>6.5778181885647324E-2</v>
      </c>
      <c r="AU46" s="1278">
        <f t="shared" si="128"/>
        <v>0.42632417990642724</v>
      </c>
      <c r="AV46" s="1278">
        <f t="shared" si="128"/>
        <v>-0.22003434825879087</v>
      </c>
      <c r="AW46" s="1278">
        <f t="shared" si="128"/>
        <v>0.13251535702120987</v>
      </c>
      <c r="AX46" s="1278">
        <f t="shared" ref="AX46:AX48" ca="1" si="129">+IFERROR((O46/N46-1)," ")</f>
        <v>0.17480431816248432</v>
      </c>
      <c r="AY46" s="1278">
        <f t="shared" ref="AY46:AY48" ca="1" si="130">+IFERROR((P46/O46-1)," ")</f>
        <v>5.8769590035758323E-2</v>
      </c>
      <c r="AZ46" s="1278">
        <f t="shared" ref="AZ46:AZ48" ca="1" si="131">+IFERROR((Q46/P46-1)," ")</f>
        <v>6.264333078647577E-2</v>
      </c>
      <c r="BA46" s="1278">
        <f t="shared" ref="BA46:BA48" ca="1" si="132">+IFERROR((R46/Q46-1)," ")</f>
        <v>6.1193752086049047E-2</v>
      </c>
      <c r="BB46" s="1278">
        <f t="shared" ref="BB46:BB48" ca="1" si="133">+IFERROR((S46/R46-1)," ")</f>
        <v>6.3216082910096727E-2</v>
      </c>
    </row>
    <row r="47" spans="1:54" outlineLevel="1">
      <c r="B47" s="47" t="s">
        <v>92</v>
      </c>
      <c r="C47" s="51" t="s">
        <v>59</v>
      </c>
      <c r="D47" s="43">
        <v>-726.37904705000005</v>
      </c>
      <c r="E47" s="43">
        <v>-805.01408962000005</v>
      </c>
      <c r="F47" s="43">
        <v>-732.30842697000003</v>
      </c>
      <c r="G47" s="43">
        <v>-965.17700381999975</v>
      </c>
      <c r="H47" s="63">
        <v>-824.09895899999992</v>
      </c>
      <c r="I47" s="43">
        <v>-539.39243676000001</v>
      </c>
      <c r="J47" s="43">
        <v>-426.64933264000007</v>
      </c>
      <c r="K47" s="68">
        <f>+TGTbase2021!HK64</f>
        <v>-532.62071974999992</v>
      </c>
      <c r="L47" s="68">
        <f>+TGTbase2021!HL64</f>
        <v>-621.75389351999991</v>
      </c>
      <c r="M47" s="68">
        <f>+TGTbase2021!HM64</f>
        <v>-606.64466633999996</v>
      </c>
      <c r="N47" s="1420">
        <f>+TGTbase2021!HN64</f>
        <v>-737.40174249999995</v>
      </c>
      <c r="O47" s="55">
        <f ca="1">-+Drivers!O248-+Drivers!O307</f>
        <v>-1014.4563869679999</v>
      </c>
      <c r="P47" s="55">
        <f ca="1">-+Drivers!P248-+Drivers!P307</f>
        <v>-1079.3616302846756</v>
      </c>
      <c r="Q47" s="55">
        <f ca="1">-+Drivers!Q248-+Drivers!Q307</f>
        <v>-1152.6109206373737</v>
      </c>
      <c r="R47" s="55">
        <f ca="1">-+Drivers!R248-+Drivers!R307</f>
        <v>-1228.6476072635132</v>
      </c>
      <c r="S47" s="55">
        <f ca="1">-+Drivers!S248-+Drivers!S307</f>
        <v>-1312.0038954288204</v>
      </c>
      <c r="T47" s="26"/>
      <c r="U47" s="95">
        <f>+IFERROR(((N47/I47)^(1/5))-1," ")</f>
        <v>6.4534795463896844E-2</v>
      </c>
      <c r="V47" s="95">
        <f ca="1">+IFERROR(((S47/I47)^(1/8))-1," ")</f>
        <v>0.11751608785588918</v>
      </c>
      <c r="X47" s="95">
        <f>+E47/$E$5</f>
        <v>-2.1901998465601938E-2</v>
      </c>
      <c r="Y47" s="95">
        <f>+F47/$F$5</f>
        <v>-1.8594540105260841E-2</v>
      </c>
      <c r="Z47" s="95">
        <f>+G47/$G$5</f>
        <v>-5.7271074441561313E-2</v>
      </c>
      <c r="AA47" s="95">
        <f>+H47/$H$5</f>
        <v>-0.13395568418991458</v>
      </c>
      <c r="AB47" s="95">
        <f>+I47/$I$5</f>
        <v>-3.9577354181217092E-2</v>
      </c>
      <c r="AC47" s="95">
        <f>+J47/$J$5</f>
        <v>-3.0150758784050012E-2</v>
      </c>
      <c r="AD47" s="95">
        <f>+K47/$K$5</f>
        <v>-2.5088883818133463E-2</v>
      </c>
      <c r="AE47" s="95">
        <f>+L47/$L$5</f>
        <v>-4.9267785217838686E-2</v>
      </c>
      <c r="AF47" s="95">
        <f>+M47/$M$5</f>
        <v>-4.0148948203023706E-2</v>
      </c>
      <c r="AG47" s="95">
        <f t="shared" si="122"/>
        <v>-2.4424090272940676E-2</v>
      </c>
      <c r="AH47" s="95">
        <f t="shared" ca="1" si="123"/>
        <v>-3.3255953658343787E-2</v>
      </c>
      <c r="AI47" s="95">
        <f t="shared" ca="1" si="124"/>
        <v>-3.135301872195323E-2</v>
      </c>
      <c r="AJ47" s="95">
        <f t="shared" ca="1" si="125"/>
        <v>-3.2253388971867712E-2</v>
      </c>
      <c r="AK47" s="95">
        <f t="shared" ca="1" si="126"/>
        <v>-3.1362074325774626E-2</v>
      </c>
      <c r="AL47" s="95">
        <f t="shared" ca="1" si="127"/>
        <v>-3.2192445305851192E-2</v>
      </c>
      <c r="AN47" s="95">
        <f t="shared" si="128"/>
        <v>0.10825620988016627</v>
      </c>
      <c r="AO47" s="95">
        <f t="shared" si="128"/>
        <v>-9.0316012585966221E-2</v>
      </c>
      <c r="AP47" s="95">
        <f t="shared" si="128"/>
        <v>0.31799248550712012</v>
      </c>
      <c r="AQ47" s="95">
        <f t="shared" si="128"/>
        <v>-0.146168054420731</v>
      </c>
      <c r="AR47" s="95">
        <f t="shared" si="128"/>
        <v>-0.34547613381950648</v>
      </c>
      <c r="AS47" s="95">
        <f t="shared" si="128"/>
        <v>-0.20901869666030271</v>
      </c>
      <c r="AT47" s="95">
        <f t="shared" si="128"/>
        <v>0.24838052940168742</v>
      </c>
      <c r="AU47" s="95">
        <f t="shared" si="128"/>
        <v>0.16734830333269257</v>
      </c>
      <c r="AV47" s="95">
        <f t="shared" si="128"/>
        <v>-2.4300977183207562E-2</v>
      </c>
      <c r="AW47" s="95">
        <f t="shared" si="128"/>
        <v>0.21554145847664286</v>
      </c>
      <c r="AX47" s="95">
        <f t="shared" ca="1" si="129"/>
        <v>0.3757173715493356</v>
      </c>
      <c r="AY47" s="95">
        <f t="shared" ca="1" si="130"/>
        <v>6.3980319065922497E-2</v>
      </c>
      <c r="AZ47" s="95">
        <f t="shared" ca="1" si="131"/>
        <v>6.7863529976861514E-2</v>
      </c>
      <c r="BA47" s="95">
        <f t="shared" ca="1" si="132"/>
        <v>6.5969083985506938E-2</v>
      </c>
      <c r="BB47" s="95">
        <f t="shared" ca="1" si="133"/>
        <v>6.7843934804838968E-2</v>
      </c>
    </row>
    <row r="48" spans="1:54" outlineLevel="1">
      <c r="B48" s="17" t="s">
        <v>50</v>
      </c>
      <c r="C48" s="18" t="s">
        <v>59</v>
      </c>
      <c r="D48" s="43">
        <v>-90.11327129</v>
      </c>
      <c r="E48" s="43">
        <v>-293.96908517999998</v>
      </c>
      <c r="F48" s="43">
        <v>-213.81233699999996</v>
      </c>
      <c r="G48" s="43">
        <v>-356.31125881999998</v>
      </c>
      <c r="H48" s="43">
        <v>-564.63656947000004</v>
      </c>
      <c r="I48" s="43">
        <v>-176.60456442</v>
      </c>
      <c r="J48" s="43">
        <v>-240.24807772000003</v>
      </c>
      <c r="K48" s="38">
        <f>+TGTbase2021!HK67</f>
        <v>-213.525194</v>
      </c>
      <c r="L48" s="38">
        <f>+TGTbase2021!HL67</f>
        <v>-193.88590400000001</v>
      </c>
      <c r="M48" s="38">
        <f>+TGTbase2021!HM67</f>
        <v>-223.43062630999998</v>
      </c>
      <c r="N48" s="38">
        <f>+TGTbase2021!HN67</f>
        <v>-202.67127391</v>
      </c>
      <c r="O48" s="1258">
        <f>+Drivers!O256+Drivers!O263</f>
        <v>-89.945452098499985</v>
      </c>
      <c r="P48" s="55">
        <f>+Drivers!P256+Drivers!P263</f>
        <v>-89.945452098499985</v>
      </c>
      <c r="Q48" s="55">
        <f>+Drivers!Q256+Drivers!Q263</f>
        <v>-89.945452098499985</v>
      </c>
      <c r="R48" s="55">
        <f>+Drivers!R256+Drivers!R263</f>
        <v>-89.945452098499985</v>
      </c>
      <c r="S48" s="55">
        <f>+Drivers!S256+Drivers!S263</f>
        <v>-89.945452098499985</v>
      </c>
      <c r="T48" s="26"/>
      <c r="U48" s="42">
        <f>+IFERROR(((N48/I48)^(1/5))-1," ")</f>
        <v>2.7917014360133718E-2</v>
      </c>
      <c r="V48" s="42">
        <f>+IFERROR(((S48/I48)^(1/8))-1," ")</f>
        <v>-8.0880118065797091E-2</v>
      </c>
      <c r="X48" s="42">
        <f>+E48/$E$5</f>
        <v>-7.9980096442610199E-3</v>
      </c>
      <c r="Y48" s="42">
        <f>+F48/$F$5</f>
        <v>-5.4290541101596757E-3</v>
      </c>
      <c r="Z48" s="42">
        <f>+G48/$G$5</f>
        <v>-2.1142576488542519E-2</v>
      </c>
      <c r="AA48" s="42">
        <f>+H48/$H$5</f>
        <v>-9.1780577024124232E-2</v>
      </c>
      <c r="AB48" s="42">
        <f>+I48/$I$5</f>
        <v>-1.2958174641925639E-2</v>
      </c>
      <c r="AC48" s="42">
        <f>+J48/$J$5</f>
        <v>-1.6978022196461533E-2</v>
      </c>
      <c r="AD48" s="42">
        <f>+K48/$K$5</f>
        <v>-1.0058017996417626E-2</v>
      </c>
      <c r="AE48" s="42">
        <f>+L48/$L$5</f>
        <v>-1.5363521120806979E-2</v>
      </c>
      <c r="AF48" s="42">
        <f>+M48/$M$5</f>
        <v>-1.4787082357140066E-2</v>
      </c>
      <c r="AG48" s="42">
        <f t="shared" si="122"/>
        <v>-6.7128421380286156E-3</v>
      </c>
      <c r="AH48" s="42">
        <f t="shared" si="123"/>
        <v>-2.9485957456551076E-3</v>
      </c>
      <c r="AI48" s="42">
        <f t="shared" si="124"/>
        <v>-2.6127123333585999E-3</v>
      </c>
      <c r="AJ48" s="42">
        <f t="shared" si="125"/>
        <v>-2.5169340328470837E-3</v>
      </c>
      <c r="AK48" s="42">
        <f t="shared" si="126"/>
        <v>-2.2959194624252851E-3</v>
      </c>
      <c r="AL48" s="42">
        <f t="shared" si="127"/>
        <v>-2.206978239378338E-3</v>
      </c>
      <c r="AN48" s="42">
        <f t="shared" si="128"/>
        <v>2.2622174400256418</v>
      </c>
      <c r="AO48" s="42">
        <f t="shared" si="128"/>
        <v>-0.2726706726012339</v>
      </c>
      <c r="AP48" s="42">
        <f t="shared" si="128"/>
        <v>0.66646725731265932</v>
      </c>
      <c r="AQ48" s="42">
        <f t="shared" si="128"/>
        <v>0.58467226474940293</v>
      </c>
      <c r="AR48" s="42">
        <f t="shared" si="128"/>
        <v>-0.68722435993515063</v>
      </c>
      <c r="AS48" s="42">
        <f t="shared" si="128"/>
        <v>0.36037298078346014</v>
      </c>
      <c r="AT48" s="42">
        <f t="shared" si="128"/>
        <v>-0.11123037475931241</v>
      </c>
      <c r="AU48" s="42">
        <f t="shared" si="128"/>
        <v>-9.1976453139295589E-2</v>
      </c>
      <c r="AV48" s="42">
        <f t="shared" si="128"/>
        <v>0.15238200251009459</v>
      </c>
      <c r="AW48" s="42">
        <f t="shared" si="128"/>
        <v>-9.291184804359498E-2</v>
      </c>
      <c r="AX48" s="42">
        <f t="shared" si="129"/>
        <v>-0.55620029240827706</v>
      </c>
      <c r="AY48" s="42">
        <f t="shared" si="130"/>
        <v>0</v>
      </c>
      <c r="AZ48" s="42">
        <f t="shared" si="131"/>
        <v>0</v>
      </c>
      <c r="BA48" s="42">
        <f t="shared" si="132"/>
        <v>0</v>
      </c>
      <c r="BB48" s="42">
        <f t="shared" si="133"/>
        <v>0</v>
      </c>
    </row>
    <row r="49" spans="2:54" outlineLevel="1">
      <c r="B49" s="329" t="s">
        <v>93</v>
      </c>
      <c r="C49" s="330" t="s">
        <v>59</v>
      </c>
      <c r="D49" s="651">
        <v>0</v>
      </c>
      <c r="E49" s="651">
        <v>0</v>
      </c>
      <c r="F49" s="651">
        <v>0</v>
      </c>
      <c r="G49" s="651">
        <v>-1133.03277088</v>
      </c>
      <c r="H49" s="651">
        <v>-948.47589673000004</v>
      </c>
      <c r="I49" s="651">
        <v>-257.80635881000001</v>
      </c>
      <c r="J49" s="651">
        <v>-33.197530999999998</v>
      </c>
      <c r="K49" s="651"/>
      <c r="L49" s="265">
        <f>-TGTbase2021!B71</f>
        <v>-248.6061610000005</v>
      </c>
      <c r="M49" s="265"/>
      <c r="N49" s="298"/>
      <c r="O49" s="265"/>
      <c r="P49" s="265"/>
      <c r="Q49" s="265"/>
      <c r="R49" s="265"/>
      <c r="S49" s="265"/>
      <c r="T49" s="26"/>
      <c r="U49" s="398">
        <f>+IFERROR(((N49/I49)^(1/5))-1," ")</f>
        <v>-1</v>
      </c>
      <c r="V49" s="398">
        <f>+IFERROR(((S49/I49)^(1/8))-1," ")</f>
        <v>-1</v>
      </c>
      <c r="X49" s="398"/>
      <c r="Y49" s="398"/>
      <c r="Z49" s="398"/>
      <c r="AA49" s="398"/>
      <c r="AB49" s="398"/>
      <c r="AC49" s="398"/>
      <c r="AD49" s="398"/>
      <c r="AE49" s="398"/>
      <c r="AF49" s="398"/>
      <c r="AG49" s="398"/>
      <c r="AH49" s="398"/>
      <c r="AI49" s="398"/>
      <c r="AJ49" s="398"/>
      <c r="AK49" s="398"/>
      <c r="AL49" s="398"/>
      <c r="AN49" s="398"/>
      <c r="AO49" s="398"/>
      <c r="AP49" s="398"/>
      <c r="AQ49" s="398"/>
      <c r="AR49" s="398"/>
      <c r="AS49" s="398"/>
      <c r="AT49" s="398"/>
      <c r="AU49" s="398"/>
      <c r="AV49" s="398"/>
      <c r="AW49" s="398"/>
      <c r="AX49" s="398"/>
      <c r="AY49" s="398"/>
      <c r="AZ49" s="398"/>
      <c r="BA49" s="398"/>
      <c r="BB49" s="398"/>
    </row>
    <row r="50" spans="2:54">
      <c r="T50" s="27"/>
      <c r="U50" s="299"/>
      <c r="V50" s="299"/>
      <c r="X50" s="82"/>
      <c r="Y50" s="82"/>
      <c r="Z50" s="82"/>
      <c r="AA50" s="82"/>
      <c r="AB50" s="82"/>
      <c r="AC50" s="82"/>
      <c r="AD50" s="82"/>
      <c r="AE50" s="82"/>
      <c r="AF50" s="82"/>
      <c r="AG50" s="82"/>
      <c r="AH50" s="82"/>
      <c r="AI50" s="82"/>
      <c r="AJ50" s="82"/>
      <c r="AK50" s="82"/>
      <c r="AL50" s="82"/>
      <c r="AN50" s="82"/>
      <c r="AO50" s="82"/>
      <c r="AP50" s="82"/>
      <c r="AQ50" s="82"/>
      <c r="AR50" s="82"/>
      <c r="AS50" s="82"/>
      <c r="AT50" s="82"/>
      <c r="AU50" s="82"/>
      <c r="AV50" s="82"/>
      <c r="AW50" s="82"/>
      <c r="AX50" s="82"/>
      <c r="AY50" s="82"/>
      <c r="AZ50" s="82"/>
      <c r="BA50" s="82"/>
      <c r="BB50" s="82"/>
    </row>
    <row r="51" spans="2:54">
      <c r="B51" s="1282" t="s">
        <v>94</v>
      </c>
      <c r="C51" s="1283" t="s">
        <v>59</v>
      </c>
      <c r="D51" s="1092">
        <f>+D43+D46</f>
        <v>9269.9399631200049</v>
      </c>
      <c r="E51" s="1092">
        <f>+E43+E46</f>
        <v>8549.7462327400026</v>
      </c>
      <c r="F51" s="1092">
        <f>+F43+F46</f>
        <v>9790.2120645000068</v>
      </c>
      <c r="G51" s="1092">
        <f>+G43+G46</f>
        <v>-4856.9975114200033</v>
      </c>
      <c r="H51" s="1092">
        <f>+H43+H46</f>
        <v>-4260.2775615100009</v>
      </c>
      <c r="I51" s="1092">
        <f t="shared" ref="I51:P51" si="134">+I43+I46</f>
        <v>2168.2832697000044</v>
      </c>
      <c r="J51" s="1092">
        <f t="shared" si="134"/>
        <v>1336.4700295699986</v>
      </c>
      <c r="K51" s="1092">
        <f>+K43+K46</f>
        <v>3492.7347811400023</v>
      </c>
      <c r="L51" s="1092">
        <f>+L43+L46</f>
        <v>943.95534832999829</v>
      </c>
      <c r="M51" s="1092">
        <f t="shared" si="134"/>
        <v>2050.5677301199985</v>
      </c>
      <c r="N51" s="1421">
        <f>+N43+N46</f>
        <v>4949.1582441799992</v>
      </c>
      <c r="O51" s="1092">
        <f t="shared" ca="1" si="134"/>
        <v>5065.2048878513006</v>
      </c>
      <c r="P51" s="1092">
        <f t="shared" ca="1" si="134"/>
        <v>5973.2862701825261</v>
      </c>
      <c r="Q51" s="1092">
        <f ca="1">+Q43+Q46</f>
        <v>6112.5469972068449</v>
      </c>
      <c r="R51" s="1092">
        <f ca="1">+R43+R46</f>
        <v>6924.946895681468</v>
      </c>
      <c r="S51" s="1092">
        <f ca="1">+S43+S46</f>
        <v>7159.6920750813215</v>
      </c>
      <c r="T51" s="26"/>
      <c r="U51" s="1284">
        <f>+IFERROR(((N51/I51)^(1/5))-1," ")</f>
        <v>0.17945958550551944</v>
      </c>
      <c r="V51" s="1284">
        <f ca="1">+IFERROR(((S51/I51)^(1/8))-1," ")</f>
        <v>0.16104028994605013</v>
      </c>
      <c r="X51" s="1284">
        <f>+E51/$E$5</f>
        <v>0.23261273471517785</v>
      </c>
      <c r="Y51" s="1284">
        <f>+F51/$F$5</f>
        <v>0.24858991671798908</v>
      </c>
      <c r="Z51" s="1284">
        <f>+G51/$G$5</f>
        <v>-0.28820150598085464</v>
      </c>
      <c r="AA51" s="1284">
        <f>+H51/$H$5</f>
        <v>-0.6924998379848859</v>
      </c>
      <c r="AB51" s="1284">
        <f>+I51/$I$5</f>
        <v>0.15909551021069926</v>
      </c>
      <c r="AC51" s="1284">
        <f>+J51/$J$5</f>
        <v>9.4446615524599903E-2</v>
      </c>
      <c r="AD51" s="1284">
        <f>+K51/$K$5</f>
        <v>0.16452386075537262</v>
      </c>
      <c r="AE51" s="1284">
        <f>+L51/$L$5</f>
        <v>7.479903196658709E-2</v>
      </c>
      <c r="AF51" s="1284">
        <f>+M51/$M$5</f>
        <v>0.13571064273931668</v>
      </c>
      <c r="AG51" s="1284">
        <f>+N51/N$5</f>
        <v>0.16392514522830937</v>
      </c>
      <c r="AH51" s="1284">
        <f t="shared" ref="AH51:AL51" ca="1" si="135">+O51/O$5</f>
        <v>0.16604776822772649</v>
      </c>
      <c r="AI51" s="1284">
        <f t="shared" ca="1" si="135"/>
        <v>0.17351048157161628</v>
      </c>
      <c r="AJ51" s="1284">
        <f t="shared" ca="1" si="135"/>
        <v>0.17104675340115089</v>
      </c>
      <c r="AK51" s="1284">
        <f t="shared" ca="1" si="135"/>
        <v>0.17676402734232063</v>
      </c>
      <c r="AL51" s="1284">
        <f t="shared" ca="1" si="135"/>
        <v>0.17567630426772329</v>
      </c>
      <c r="AN51" s="1284">
        <f t="shared" ref="AN51:AY52" si="136">+IFERROR((E51/D51-1)," ")</f>
        <v>-7.7691304716670961E-2</v>
      </c>
      <c r="AO51" s="1284">
        <f t="shared" si="136"/>
        <v>0.14508802928089515</v>
      </c>
      <c r="AP51" s="1284">
        <f t="shared" si="136"/>
        <v>-1.4961074877051761</v>
      </c>
      <c r="AQ51" s="1284">
        <f t="shared" si="136"/>
        <v>-0.12285778374540368</v>
      </c>
      <c r="AR51" s="1284">
        <f t="shared" si="136"/>
        <v>-1.508953522016881</v>
      </c>
      <c r="AS51" s="1284">
        <f t="shared" si="136"/>
        <v>-0.38362756921750929</v>
      </c>
      <c r="AT51" s="1284">
        <f t="shared" si="136"/>
        <v>1.6134029973450055</v>
      </c>
      <c r="AU51" s="1284">
        <f t="shared" si="136"/>
        <v>-0.72973746720559807</v>
      </c>
      <c r="AV51" s="1284">
        <f t="shared" si="136"/>
        <v>1.1723143300663184</v>
      </c>
      <c r="AW51" s="1284">
        <f t="shared" si="136"/>
        <v>1.4135551201180641</v>
      </c>
      <c r="AX51" s="1284">
        <f t="shared" ca="1" si="136"/>
        <v>2.3447753728175424E-2</v>
      </c>
      <c r="AY51" s="1284">
        <f t="shared" ca="1" si="136"/>
        <v>0.1792783120203536</v>
      </c>
      <c r="AZ51" s="1284">
        <f t="shared" ref="AZ51:AZ52" ca="1" si="137">+IFERROR((Q51/P51-1)," ")</f>
        <v>2.3313921470578203E-2</v>
      </c>
      <c r="BA51" s="1284">
        <f t="shared" ref="BA51:BA52" ca="1" si="138">+IFERROR((R51/Q51-1)," ")</f>
        <v>0.132906936968477</v>
      </c>
      <c r="BB51" s="1284">
        <f t="shared" ref="BB51:BB52" ca="1" si="139">+IFERROR((S51/R51-1)," ")</f>
        <v>3.3898480802249109E-2</v>
      </c>
    </row>
    <row r="52" spans="2:54">
      <c r="B52" s="294" t="s">
        <v>95</v>
      </c>
      <c r="C52" s="1286" t="s">
        <v>35</v>
      </c>
      <c r="D52" s="343">
        <f t="shared" ref="D52:S52" si="140">+D51/D5</f>
        <v>0.25550139657126031</v>
      </c>
      <c r="E52" s="343">
        <f t="shared" si="140"/>
        <v>0.23261273471517785</v>
      </c>
      <c r="F52" s="343">
        <f t="shared" si="140"/>
        <v>0.24858991671798908</v>
      </c>
      <c r="G52" s="343">
        <f t="shared" si="140"/>
        <v>-0.28820150598085464</v>
      </c>
      <c r="H52" s="343">
        <f t="shared" si="140"/>
        <v>-0.6924998379848859</v>
      </c>
      <c r="I52" s="343">
        <f t="shared" si="140"/>
        <v>0.15909551021069926</v>
      </c>
      <c r="J52" s="343">
        <f t="shared" si="140"/>
        <v>9.4446615524599903E-2</v>
      </c>
      <c r="K52" s="343">
        <f t="shared" si="140"/>
        <v>0.16452386075537262</v>
      </c>
      <c r="L52" s="343">
        <f t="shared" si="140"/>
        <v>7.479903196658709E-2</v>
      </c>
      <c r="M52" s="343">
        <f t="shared" si="140"/>
        <v>0.13571064273931668</v>
      </c>
      <c r="N52" s="1197">
        <f t="shared" si="140"/>
        <v>0.16392514522830937</v>
      </c>
      <c r="O52" s="343">
        <f t="shared" ca="1" si="140"/>
        <v>0.16604776822772649</v>
      </c>
      <c r="P52" s="343">
        <f t="shared" ca="1" si="140"/>
        <v>0.17351048157161628</v>
      </c>
      <c r="Q52" s="343">
        <f t="shared" ca="1" si="140"/>
        <v>0.17104675340115089</v>
      </c>
      <c r="R52" s="343">
        <f t="shared" ca="1" si="140"/>
        <v>0.17676402734232063</v>
      </c>
      <c r="S52" s="343">
        <f t="shared" ca="1" si="140"/>
        <v>0.17567630426772329</v>
      </c>
      <c r="T52" s="26"/>
      <c r="U52" s="256">
        <f>+IFERROR(((N52/I52)^(1/5))-1," ")</f>
        <v>5.9989575189181021E-3</v>
      </c>
      <c r="V52" s="256">
        <f ca="1">+IFERROR(((S52/I52)^(1/8))-1," ")</f>
        <v>1.2469403517066047E-2</v>
      </c>
      <c r="X52" s="256"/>
      <c r="Y52" s="256"/>
      <c r="Z52" s="256"/>
      <c r="AA52" s="256"/>
      <c r="AB52" s="256"/>
      <c r="AC52" s="256"/>
      <c r="AD52" s="256"/>
      <c r="AE52" s="256"/>
      <c r="AF52" s="256"/>
      <c r="AG52" s="256"/>
      <c r="AH52" s="256"/>
      <c r="AI52" s="256"/>
      <c r="AJ52" s="256"/>
      <c r="AK52" s="256"/>
      <c r="AL52" s="256"/>
      <c r="AN52" s="256">
        <f t="shared" si="136"/>
        <v>-8.9583314076714715E-2</v>
      </c>
      <c r="AO52" s="256">
        <f t="shared" si="136"/>
        <v>6.8685757993320662E-2</v>
      </c>
      <c r="AP52" s="256">
        <f t="shared" si="136"/>
        <v>-2.1593451165913642</v>
      </c>
      <c r="AQ52" s="256">
        <f t="shared" si="136"/>
        <v>1.4028321282640661</v>
      </c>
      <c r="AR52" s="256">
        <f t="shared" si="136"/>
        <v>-1.2297408627179658</v>
      </c>
      <c r="AS52" s="256">
        <f t="shared" si="136"/>
        <v>-0.40635272862496963</v>
      </c>
      <c r="AT52" s="256">
        <f t="shared" si="136"/>
        <v>0.74197730476133517</v>
      </c>
      <c r="AU52" s="256">
        <f t="shared" si="136"/>
        <v>-0.54536058403221932</v>
      </c>
      <c r="AV52" s="256">
        <f t="shared" si="136"/>
        <v>0.8143368860701159</v>
      </c>
      <c r="AW52" s="256">
        <f t="shared" si="136"/>
        <v>0.2079019148350012</v>
      </c>
      <c r="AX52" s="256">
        <f t="shared" ca="1" si="136"/>
        <v>1.2948733377425414E-2</v>
      </c>
      <c r="AY52" s="256">
        <f t="shared" ca="1" si="136"/>
        <v>4.4943171615863253E-2</v>
      </c>
      <c r="AZ52" s="256">
        <f t="shared" ca="1" si="137"/>
        <v>-1.419930455007401E-2</v>
      </c>
      <c r="BA52" s="256">
        <f t="shared" ca="1" si="138"/>
        <v>3.3425211689117607E-2</v>
      </c>
      <c r="BB52" s="256">
        <f t="shared" ca="1" si="139"/>
        <v>-6.1535318636458669E-3</v>
      </c>
    </row>
    <row r="53" spans="2:54">
      <c r="B53" s="29"/>
      <c r="C53" s="31"/>
      <c r="D53" s="42"/>
      <c r="E53" s="42"/>
      <c r="F53" s="42"/>
      <c r="G53" s="28"/>
      <c r="H53" s="28"/>
      <c r="I53" s="28"/>
      <c r="J53" s="28"/>
      <c r="K53" s="28"/>
      <c r="L53" s="28"/>
      <c r="M53" s="28"/>
      <c r="N53" s="28"/>
      <c r="O53" s="28"/>
      <c r="P53" s="28"/>
      <c r="Q53" s="28"/>
      <c r="R53" s="28"/>
      <c r="S53" s="28"/>
      <c r="T53" s="26"/>
      <c r="U53" s="299"/>
      <c r="V53" s="299"/>
      <c r="X53" s="82"/>
      <c r="Y53" s="82"/>
      <c r="Z53" s="82"/>
      <c r="AA53" s="82"/>
      <c r="AB53" s="82"/>
      <c r="AC53" s="82"/>
      <c r="AD53" s="82"/>
      <c r="AE53" s="82"/>
      <c r="AF53" s="82"/>
      <c r="AG53" s="82"/>
      <c r="AH53" s="82"/>
      <c r="AI53" s="82"/>
      <c r="AJ53" s="82"/>
      <c r="AK53" s="82"/>
      <c r="AL53" s="82"/>
      <c r="AN53" s="82"/>
      <c r="AO53" s="82"/>
      <c r="AP53" s="82"/>
      <c r="AQ53" s="82"/>
      <c r="AR53" s="82"/>
      <c r="AS53" s="82"/>
      <c r="AT53" s="82"/>
      <c r="AU53" s="82"/>
      <c r="AV53" s="82"/>
      <c r="AW53" s="82"/>
      <c r="AX53" s="82"/>
      <c r="AY53" s="82"/>
      <c r="AZ53" s="82"/>
      <c r="BA53" s="82"/>
      <c r="BB53" s="82"/>
    </row>
    <row r="54" spans="2:54">
      <c r="B54" s="25" t="s">
        <v>96</v>
      </c>
      <c r="C54" s="33" t="s">
        <v>59</v>
      </c>
      <c r="D54" s="23">
        <f>+SUM(D55:D57)</f>
        <v>103.99439726999999</v>
      </c>
      <c r="E54" s="23">
        <f>+SUM(E55:E57)</f>
        <v>1114.2720914500001</v>
      </c>
      <c r="F54" s="23">
        <f>+SUM(F55:F57)</f>
        <v>2688.6704665700004</v>
      </c>
      <c r="G54" s="23">
        <f>+SUM(G55:G57)</f>
        <v>5824.208208179999</v>
      </c>
      <c r="H54" s="23">
        <f>+SUM(H55:H57)</f>
        <v>1448.2661791300002</v>
      </c>
      <c r="I54" s="23">
        <f t="shared" ref="I54:P54" si="141">+SUM(I55:I57)</f>
        <v>323.37298089000006</v>
      </c>
      <c r="J54" s="23">
        <f t="shared" si="141"/>
        <v>638.66138325999998</v>
      </c>
      <c r="K54" s="23">
        <f t="shared" si="141"/>
        <v>659.28508959999999</v>
      </c>
      <c r="L54" s="23">
        <f t="shared" si="141"/>
        <v>1152.7969783899998</v>
      </c>
      <c r="M54" s="23">
        <f t="shared" si="141"/>
        <v>985.53831358999992</v>
      </c>
      <c r="N54" s="23">
        <f t="shared" ref="N54" si="142">+SUM(N55:N57)</f>
        <v>1473.2376317399996</v>
      </c>
      <c r="O54" s="23">
        <f t="shared" si="141"/>
        <v>618.6124315840359</v>
      </c>
      <c r="P54" s="23">
        <f t="shared" ca="1" si="141"/>
        <v>534.66202051947744</v>
      </c>
      <c r="Q54" s="23">
        <f ca="1">+SUM(Q55:Q57)</f>
        <v>607.38860495013364</v>
      </c>
      <c r="R54" s="23">
        <f ca="1">+SUM(R55:R57)</f>
        <v>615.89427635675565</v>
      </c>
      <c r="S54" s="23">
        <f ca="1">+SUM(S55:S57)</f>
        <v>642.13687972851733</v>
      </c>
      <c r="T54" s="26"/>
      <c r="U54" s="121">
        <f t="shared" ref="U54:U60" si="143">+IFERROR(((N54/I54)^(1/5))-1," ")</f>
        <v>0.35429668290195049</v>
      </c>
      <c r="V54" s="121">
        <f t="shared" ref="V54:V60" ca="1" si="144">+IFERROR(((S54/I54)^(1/8))-1," ")</f>
        <v>8.953324243537808E-2</v>
      </c>
      <c r="X54" s="121">
        <f t="shared" ref="X54:X60" si="145">+E54/$E$5</f>
        <v>3.0315973287773176E-2</v>
      </c>
      <c r="Y54" s="121">
        <f t="shared" ref="Y54:Y60" si="146">+F54/$F$5</f>
        <v>6.826985595034582E-2</v>
      </c>
      <c r="Z54" s="121">
        <f t="shared" ref="Z54:Z60" si="147">+G54/$G$5</f>
        <v>0.34559325443277555</v>
      </c>
      <c r="AA54" s="121">
        <f t="shared" ref="AA54:AA60" si="148">+H54/$H$5</f>
        <v>0.23541285278394894</v>
      </c>
      <c r="AB54" s="121">
        <f t="shared" ref="AB54:AB60" si="149">+I54/$I$5</f>
        <v>2.3727153228538866E-2</v>
      </c>
      <c r="AC54" s="121">
        <f t="shared" ref="AC54:AC60" si="150">+J54/$J$5</f>
        <v>4.5133377315295112E-2</v>
      </c>
      <c r="AD54" s="121">
        <f t="shared" ref="AD54:AD60" si="151">+K54/$K$5</f>
        <v>3.1055357785866745E-2</v>
      </c>
      <c r="AE54" s="121">
        <f t="shared" ref="AE54:AE60" si="152">+L54/$L$5</f>
        <v>9.1347644981438297E-2</v>
      </c>
      <c r="AF54" s="121">
        <f t="shared" ref="AF54:AF60" si="153">+M54/$M$5</f>
        <v>6.5224881878783031E-2</v>
      </c>
      <c r="AG54" s="121">
        <f t="shared" ref="AG54:AG57" si="154">+N54/N$5</f>
        <v>4.8796316630769401E-2</v>
      </c>
      <c r="AH54" s="121">
        <f t="shared" ref="AH54:AH57" si="155">+O54/O$5</f>
        <v>2.0279379795440141E-2</v>
      </c>
      <c r="AI54" s="121">
        <f t="shared" ref="AI54:AI57" ca="1" si="156">+P54/P$5</f>
        <v>1.5530724707013438E-2</v>
      </c>
      <c r="AJ54" s="121">
        <f t="shared" ref="AJ54:AJ57" ca="1" si="157">+Q54/Q$5</f>
        <v>1.6996490820773796E-2</v>
      </c>
      <c r="AK54" s="121">
        <f t="shared" ref="AK54:AK57" ca="1" si="158">+R54/R$5</f>
        <v>1.5721124558196471E-2</v>
      </c>
      <c r="AL54" s="121">
        <f t="shared" ref="AL54:AL57" ca="1" si="159">+S54/S$5</f>
        <v>1.575601753283952E-2</v>
      </c>
      <c r="AN54" s="121">
        <f t="shared" ref="AN54:AW57" si="160">+IFERROR((E54/D54-1)," ")</f>
        <v>9.7147319538476911</v>
      </c>
      <c r="AO54" s="121">
        <f t="shared" si="160"/>
        <v>1.4129388927539583</v>
      </c>
      <c r="AP54" s="121">
        <f t="shared" si="160"/>
        <v>1.1662038098741334</v>
      </c>
      <c r="AQ54" s="121">
        <f t="shared" si="160"/>
        <v>-0.7513368122561388</v>
      </c>
      <c r="AR54" s="121">
        <f t="shared" si="160"/>
        <v>-0.77671716321908724</v>
      </c>
      <c r="AS54" s="121">
        <f t="shared" si="160"/>
        <v>0.97499921453626248</v>
      </c>
      <c r="AT54" s="121">
        <f t="shared" si="160"/>
        <v>3.2292082910552411E-2</v>
      </c>
      <c r="AU54" s="121">
        <f t="shared" si="160"/>
        <v>0.74855612022019535</v>
      </c>
      <c r="AV54" s="121">
        <f t="shared" si="160"/>
        <v>-0.14508943719959599</v>
      </c>
      <c r="AW54" s="121">
        <f t="shared" si="160"/>
        <v>0.49485576707156875</v>
      </c>
      <c r="AX54" s="121">
        <f t="shared" ref="AX54:AX57" si="161">+IFERROR((O54/N54-1)," ")</f>
        <v>-0.58010003392771736</v>
      </c>
      <c r="AY54" s="121">
        <f t="shared" ref="AY54:AY57" ca="1" si="162">+IFERROR((P54/O54-1)," ")</f>
        <v>-0.1357076042742833</v>
      </c>
      <c r="AZ54" s="121">
        <f t="shared" ref="AZ54:AZ57" ca="1" si="163">+IFERROR((Q54/P54-1)," ")</f>
        <v>0.13602347209924326</v>
      </c>
      <c r="BA54" s="121">
        <f t="shared" ref="BA54:BA57" ca="1" si="164">+IFERROR((R54/Q54-1)," ")</f>
        <v>1.4003672998311067E-2</v>
      </c>
      <c r="BB54" s="121">
        <f t="shared" ref="BB54:BB57" ca="1" si="165">+IFERROR((S54/R54-1)," ")</f>
        <v>4.260894179273178E-2</v>
      </c>
    </row>
    <row r="55" spans="2:54" outlineLevel="1">
      <c r="B55" s="47" t="s">
        <v>97</v>
      </c>
      <c r="C55" s="51" t="s">
        <v>59</v>
      </c>
      <c r="D55" s="63">
        <v>38.199756489999999</v>
      </c>
      <c r="E55" s="63">
        <v>100.56118865999998</v>
      </c>
      <c r="F55" s="63">
        <v>247.69655793999993</v>
      </c>
      <c r="G55" s="63">
        <v>619.45825583999999</v>
      </c>
      <c r="H55" s="63">
        <v>1034.3022135000001</v>
      </c>
      <c r="I55" s="63">
        <v>323.07312678000005</v>
      </c>
      <c r="J55" s="63">
        <v>533.11261079999997</v>
      </c>
      <c r="K55" s="68">
        <f>+TGTbase2021!HK78</f>
        <v>651.16572646999998</v>
      </c>
      <c r="L55" s="68">
        <f>+TGTbase2021!HL78</f>
        <v>936.82303929999989</v>
      </c>
      <c r="M55" s="68">
        <f>+TGTbase2021!HM78</f>
        <v>905.87177052999994</v>
      </c>
      <c r="N55" s="1420">
        <f>+TGTbase2021!HN78</f>
        <v>1429.5723508399997</v>
      </c>
      <c r="O55" s="68">
        <f>+Drivers!O92</f>
        <v>618.6124315840359</v>
      </c>
      <c r="P55" s="68">
        <f ca="1">+Drivers!P92</f>
        <v>534.66202051947744</v>
      </c>
      <c r="Q55" s="68">
        <f ca="1">+Drivers!Q92</f>
        <v>607.38860495013364</v>
      </c>
      <c r="R55" s="68">
        <f ca="1">+Drivers!R92</f>
        <v>615.89427635675565</v>
      </c>
      <c r="S55" s="68">
        <f ca="1">+Drivers!S92</f>
        <v>642.13687972851733</v>
      </c>
      <c r="T55" s="27"/>
      <c r="U55" s="286">
        <f t="shared" si="143"/>
        <v>0.34642157149374819</v>
      </c>
      <c r="V55" s="286">
        <f t="shared" ca="1" si="144"/>
        <v>8.9659594803948917E-2</v>
      </c>
      <c r="X55" s="286">
        <f t="shared" si="145"/>
        <v>2.7359657776550141E-3</v>
      </c>
      <c r="Y55" s="286">
        <f t="shared" si="146"/>
        <v>6.2894313528623052E-3</v>
      </c>
      <c r="Z55" s="286">
        <f t="shared" si="147"/>
        <v>3.6757029791676062E-2</v>
      </c>
      <c r="AA55" s="286">
        <f t="shared" si="148"/>
        <v>0.16812381468926918</v>
      </c>
      <c r="AB55" s="286">
        <f t="shared" si="149"/>
        <v>2.3705151747788693E-2</v>
      </c>
      <c r="AC55" s="286">
        <f t="shared" si="150"/>
        <v>3.7674381519609008E-2</v>
      </c>
      <c r="AD55" s="286">
        <f t="shared" si="151"/>
        <v>3.0672898465956281E-2</v>
      </c>
      <c r="AE55" s="286">
        <f t="shared" si="152"/>
        <v>7.4233867722246244E-2</v>
      </c>
      <c r="AF55" s="286">
        <f t="shared" si="153"/>
        <v>5.9952391921643526E-2</v>
      </c>
      <c r="AG55" s="286">
        <f t="shared" si="154"/>
        <v>4.7350042909094663E-2</v>
      </c>
      <c r="AH55" s="286">
        <f t="shared" si="155"/>
        <v>2.0279379795440141E-2</v>
      </c>
      <c r="AI55" s="286">
        <f t="shared" ca="1" si="156"/>
        <v>1.5530724707013438E-2</v>
      </c>
      <c r="AJ55" s="286">
        <f t="shared" ca="1" si="157"/>
        <v>1.6996490820773796E-2</v>
      </c>
      <c r="AK55" s="286">
        <f t="shared" ca="1" si="158"/>
        <v>1.5721124558196471E-2</v>
      </c>
      <c r="AL55" s="286">
        <f t="shared" ca="1" si="159"/>
        <v>1.575601753283952E-2</v>
      </c>
      <c r="AN55" s="286">
        <f t="shared" si="160"/>
        <v>1.6325086309470342</v>
      </c>
      <c r="AO55" s="286">
        <f t="shared" si="160"/>
        <v>1.4631427018774459</v>
      </c>
      <c r="AP55" s="286">
        <f t="shared" si="160"/>
        <v>1.5008755107127998</v>
      </c>
      <c r="AQ55" s="286">
        <f t="shared" si="160"/>
        <v>0.669688318379843</v>
      </c>
      <c r="AR55" s="286">
        <f t="shared" si="160"/>
        <v>-0.68764146246313729</v>
      </c>
      <c r="AS55" s="286">
        <f t="shared" si="160"/>
        <v>0.65012985175652949</v>
      </c>
      <c r="AT55" s="286">
        <f t="shared" si="160"/>
        <v>0.22144123638877544</v>
      </c>
      <c r="AU55" s="286">
        <f t="shared" si="160"/>
        <v>0.43868603831249176</v>
      </c>
      <c r="AV55" s="286">
        <f t="shared" si="160"/>
        <v>-3.3038543536596743E-2</v>
      </c>
      <c r="AW55" s="286">
        <f t="shared" si="160"/>
        <v>0.57811778371633915</v>
      </c>
      <c r="AX55" s="286">
        <f t="shared" si="161"/>
        <v>-0.5672744851139947</v>
      </c>
      <c r="AY55" s="286">
        <f t="shared" ca="1" si="162"/>
        <v>-0.1357076042742833</v>
      </c>
      <c r="AZ55" s="286">
        <f t="shared" ca="1" si="163"/>
        <v>0.13602347209924326</v>
      </c>
      <c r="BA55" s="286">
        <f t="shared" ca="1" si="164"/>
        <v>1.4003672998311067E-2</v>
      </c>
      <c r="BB55" s="286">
        <f t="shared" ca="1" si="165"/>
        <v>4.260894179273178E-2</v>
      </c>
    </row>
    <row r="56" spans="2:54" outlineLevel="1">
      <c r="B56" s="17" t="s">
        <v>98</v>
      </c>
      <c r="C56" s="18" t="s">
        <v>59</v>
      </c>
      <c r="D56" s="43">
        <v>14.63645182</v>
      </c>
      <c r="E56" s="43">
        <v>934.59195030000001</v>
      </c>
      <c r="F56" s="43">
        <v>181.98214300000001</v>
      </c>
      <c r="G56" s="43">
        <v>5.5897990000000126</v>
      </c>
      <c r="H56" s="43">
        <v>0</v>
      </c>
      <c r="I56" s="43">
        <v>0</v>
      </c>
      <c r="J56" s="43">
        <v>0</v>
      </c>
      <c r="K56" s="38">
        <f>+TGTbase2021!HK82</f>
        <v>0</v>
      </c>
      <c r="L56" s="38">
        <f>+TGTbase2021!HL82</f>
        <v>0</v>
      </c>
      <c r="M56" s="38">
        <f>+TGTbase2021!HM82</f>
        <v>0</v>
      </c>
      <c r="N56" s="168">
        <f>+TGTbase2021!HN82</f>
        <v>0</v>
      </c>
      <c r="O56" s="38">
        <f>+Drivers!O93</f>
        <v>0</v>
      </c>
      <c r="P56" s="38">
        <f>+Drivers!P93</f>
        <v>0</v>
      </c>
      <c r="Q56" s="38">
        <f>+Drivers!Q93</f>
        <v>0</v>
      </c>
      <c r="R56" s="38">
        <f>+Drivers!R93</f>
        <v>0</v>
      </c>
      <c r="S56" s="38">
        <f>+Drivers!S93</f>
        <v>0</v>
      </c>
      <c r="U56" s="85" t="str">
        <f t="shared" si="143"/>
        <v xml:space="preserve"> </v>
      </c>
      <c r="V56" s="85" t="str">
        <f t="shared" si="144"/>
        <v xml:space="preserve"> </v>
      </c>
      <c r="X56" s="42">
        <f t="shared" si="145"/>
        <v>2.5427420122667594E-2</v>
      </c>
      <c r="Y56" s="42">
        <f t="shared" si="146"/>
        <v>4.6208320590491285E-3</v>
      </c>
      <c r="Z56" s="42">
        <f t="shared" si="147"/>
        <v>3.31684026220406E-4</v>
      </c>
      <c r="AA56" s="42">
        <f t="shared" si="148"/>
        <v>0</v>
      </c>
      <c r="AB56" s="42">
        <f t="shared" si="149"/>
        <v>0</v>
      </c>
      <c r="AC56" s="42">
        <f t="shared" si="150"/>
        <v>0</v>
      </c>
      <c r="AD56" s="42">
        <f t="shared" si="151"/>
        <v>0</v>
      </c>
      <c r="AE56" s="42">
        <f t="shared" si="152"/>
        <v>0</v>
      </c>
      <c r="AF56" s="42">
        <f t="shared" si="153"/>
        <v>0</v>
      </c>
      <c r="AG56" s="42">
        <f t="shared" si="154"/>
        <v>0</v>
      </c>
      <c r="AH56" s="42">
        <f t="shared" si="155"/>
        <v>0</v>
      </c>
      <c r="AI56" s="42">
        <f t="shared" si="156"/>
        <v>0</v>
      </c>
      <c r="AJ56" s="42">
        <f t="shared" si="157"/>
        <v>0</v>
      </c>
      <c r="AK56" s="42">
        <f t="shared" si="158"/>
        <v>0</v>
      </c>
      <c r="AL56" s="42">
        <f t="shared" si="159"/>
        <v>0</v>
      </c>
      <c r="AN56" s="42">
        <f t="shared" si="160"/>
        <v>62.853723688887875</v>
      </c>
      <c r="AO56" s="42">
        <f t="shared" si="160"/>
        <v>-0.80528171364884482</v>
      </c>
      <c r="AP56" s="42">
        <f t="shared" si="160"/>
        <v>-0.96928380495002742</v>
      </c>
      <c r="AQ56" s="42">
        <f t="shared" si="160"/>
        <v>-1</v>
      </c>
      <c r="AR56" s="42" t="str">
        <f t="shared" si="160"/>
        <v xml:space="preserve"> </v>
      </c>
      <c r="AS56" s="42" t="str">
        <f t="shared" si="160"/>
        <v xml:space="preserve"> </v>
      </c>
      <c r="AT56" s="42" t="str">
        <f t="shared" si="160"/>
        <v xml:space="preserve"> </v>
      </c>
      <c r="AU56" s="42" t="str">
        <f t="shared" si="160"/>
        <v xml:space="preserve"> </v>
      </c>
      <c r="AV56" s="42" t="str">
        <f t="shared" si="160"/>
        <v xml:space="preserve"> </v>
      </c>
      <c r="AW56" s="42" t="str">
        <f t="shared" si="160"/>
        <v xml:space="preserve"> </v>
      </c>
      <c r="AX56" s="42" t="str">
        <f t="shared" si="161"/>
        <v xml:space="preserve"> </v>
      </c>
      <c r="AY56" s="42" t="str">
        <f t="shared" si="162"/>
        <v xml:space="preserve"> </v>
      </c>
      <c r="AZ56" s="42" t="str">
        <f t="shared" si="163"/>
        <v xml:space="preserve"> </v>
      </c>
      <c r="BA56" s="42" t="str">
        <f t="shared" si="164"/>
        <v xml:space="preserve"> </v>
      </c>
      <c r="BB56" s="42" t="str">
        <f t="shared" si="165"/>
        <v xml:space="preserve"> </v>
      </c>
    </row>
    <row r="57" spans="2:54" outlineLevel="1">
      <c r="B57" s="186" t="s">
        <v>99</v>
      </c>
      <c r="C57" s="191" t="s">
        <v>59</v>
      </c>
      <c r="D57" s="651">
        <v>51.158188959999997</v>
      </c>
      <c r="E57" s="651">
        <v>79.118952489999998</v>
      </c>
      <c r="F57" s="651">
        <v>2258.9917656300004</v>
      </c>
      <c r="G57" s="651">
        <v>5199.1601533399989</v>
      </c>
      <c r="H57" s="651">
        <v>413.96396562999996</v>
      </c>
      <c r="I57" s="651">
        <v>0.29985410999999995</v>
      </c>
      <c r="J57" s="651">
        <f>+TGTbase2021!HJ83</f>
        <v>105.54877246</v>
      </c>
      <c r="K57" s="265">
        <f>+TGTbase2021!HK83</f>
        <v>8.11936313</v>
      </c>
      <c r="L57" s="265">
        <f>+TGTbase2021!HL83</f>
        <v>215.97393908999999</v>
      </c>
      <c r="M57" s="265">
        <f>+TGTbase2021!HM83</f>
        <v>79.666543060000009</v>
      </c>
      <c r="N57" s="298">
        <f>+TGTbase2021!HN83</f>
        <v>43.665280900000006</v>
      </c>
      <c r="O57" s="265">
        <f>Drivers!O94</f>
        <v>0</v>
      </c>
      <c r="P57" s="265">
        <f>Drivers!P94</f>
        <v>0</v>
      </c>
      <c r="Q57" s="265">
        <f>Drivers!Q94</f>
        <v>0</v>
      </c>
      <c r="R57" s="265">
        <f>Drivers!R94</f>
        <v>0</v>
      </c>
      <c r="S57" s="265">
        <f>Drivers!S94</f>
        <v>0</v>
      </c>
      <c r="U57" s="256">
        <f t="shared" si="143"/>
        <v>1.7079787402648852</v>
      </c>
      <c r="V57" s="256">
        <f t="shared" si="144"/>
        <v>-1</v>
      </c>
      <c r="X57" s="256">
        <f t="shared" si="145"/>
        <v>2.1525873874505669E-3</v>
      </c>
      <c r="Y57" s="256">
        <f t="shared" si="146"/>
        <v>5.7359592538434388E-2</v>
      </c>
      <c r="Z57" s="256">
        <f t="shared" si="147"/>
        <v>0.30850454061487909</v>
      </c>
      <c r="AA57" s="256">
        <f t="shared" si="148"/>
        <v>6.7289038094679759E-2</v>
      </c>
      <c r="AB57" s="256">
        <f t="shared" si="149"/>
        <v>2.2001480750172224E-5</v>
      </c>
      <c r="AC57" s="256">
        <f t="shared" si="150"/>
        <v>7.4589957956860999E-3</v>
      </c>
      <c r="AD57" s="256">
        <f t="shared" si="151"/>
        <v>3.8245931991046333E-4</v>
      </c>
      <c r="AE57" s="256">
        <f t="shared" si="152"/>
        <v>1.7113777259192057E-2</v>
      </c>
      <c r="AF57" s="256">
        <f t="shared" si="153"/>
        <v>5.2724899571395091E-3</v>
      </c>
      <c r="AG57" s="256">
        <f t="shared" si="154"/>
        <v>1.4462737216747389E-3</v>
      </c>
      <c r="AH57" s="256">
        <f t="shared" si="155"/>
        <v>0</v>
      </c>
      <c r="AI57" s="256">
        <f t="shared" si="156"/>
        <v>0</v>
      </c>
      <c r="AJ57" s="256">
        <f t="shared" si="157"/>
        <v>0</v>
      </c>
      <c r="AK57" s="256">
        <f t="shared" si="158"/>
        <v>0</v>
      </c>
      <c r="AL57" s="256">
        <f t="shared" si="159"/>
        <v>0</v>
      </c>
      <c r="AN57" s="256">
        <f t="shared" si="160"/>
        <v>0.54655499145722697</v>
      </c>
      <c r="AO57" s="256">
        <f t="shared" si="160"/>
        <v>27.551841177567649</v>
      </c>
      <c r="AP57" s="256">
        <f t="shared" si="160"/>
        <v>1.3015401084873046</v>
      </c>
      <c r="AQ57" s="256">
        <f t="shared" si="160"/>
        <v>-0.92037868551441626</v>
      </c>
      <c r="AR57" s="256">
        <f t="shared" si="160"/>
        <v>-0.99927565166319809</v>
      </c>
      <c r="AS57" s="256">
        <f t="shared" si="160"/>
        <v>351.00041933725709</v>
      </c>
      <c r="AT57" s="256">
        <f t="shared" si="160"/>
        <v>-0.92307477443115682</v>
      </c>
      <c r="AU57" s="256">
        <f t="shared" si="160"/>
        <v>25.599862037455146</v>
      </c>
      <c r="AV57" s="256">
        <f t="shared" si="160"/>
        <v>-0.63112890659089382</v>
      </c>
      <c r="AW57" s="256">
        <f t="shared" si="160"/>
        <v>-0.45189938934448348</v>
      </c>
      <c r="AX57" s="256">
        <f t="shared" si="161"/>
        <v>-1</v>
      </c>
      <c r="AY57" s="256" t="str">
        <f t="shared" si="162"/>
        <v xml:space="preserve"> </v>
      </c>
      <c r="AZ57" s="256" t="str">
        <f t="shared" si="163"/>
        <v xml:space="preserve"> </v>
      </c>
      <c r="BA57" s="256" t="str">
        <f t="shared" si="164"/>
        <v xml:space="preserve"> </v>
      </c>
      <c r="BB57" s="256" t="str">
        <f t="shared" si="165"/>
        <v xml:space="preserve"> </v>
      </c>
    </row>
    <row r="58" spans="2:54">
      <c r="B58" s="25" t="s">
        <v>100</v>
      </c>
      <c r="C58" s="33" t="s">
        <v>59</v>
      </c>
      <c r="D58" s="23">
        <f>+SUM(D59:D60)</f>
        <v>-442.37731422999997</v>
      </c>
      <c r="E58" s="23">
        <f>+SUM(E59:E60)</f>
        <v>-683.02864893000003</v>
      </c>
      <c r="F58" s="23">
        <f>+SUM(F59:F60)</f>
        <v>-2075.1150880599998</v>
      </c>
      <c r="G58" s="23">
        <f>+SUM(G59:G60)</f>
        <v>-5595.5558193999987</v>
      </c>
      <c r="H58" s="23">
        <f>+SUM(H59:H60)</f>
        <v>-2569.4432413799996</v>
      </c>
      <c r="I58" s="23">
        <f t="shared" ref="I58:P58" si="166">+SUM(I59:I60)</f>
        <v>-1313.42324222</v>
      </c>
      <c r="J58" s="23">
        <f t="shared" si="166"/>
        <v>-1214.1673176100001</v>
      </c>
      <c r="K58" s="23">
        <f t="shared" si="166"/>
        <v>-1886.0584679000003</v>
      </c>
      <c r="L58" s="23">
        <f t="shared" si="166"/>
        <v>-1961.7989865500003</v>
      </c>
      <c r="M58" s="23">
        <f t="shared" si="166"/>
        <v>-1682.9114280499998</v>
      </c>
      <c r="N58" s="23">
        <f t="shared" ref="N58" si="167">+SUM(N59:N60)</f>
        <v>-2740.2618399899998</v>
      </c>
      <c r="O58" s="23">
        <f t="shared" si="166"/>
        <v>-2209.2488345829229</v>
      </c>
      <c r="P58" s="23">
        <f t="shared" ca="1" si="166"/>
        <v>-1259.3865248307811</v>
      </c>
      <c r="Q58" s="23">
        <f ca="1">+SUM(Q59:Q60)</f>
        <v>-945.29046111110756</v>
      </c>
      <c r="R58" s="23">
        <f ca="1">+SUM(R59:R60)</f>
        <v>-752.03084610507483</v>
      </c>
      <c r="S58" s="23">
        <f ca="1">+SUM(S59:S60)</f>
        <v>-756.55104736310147</v>
      </c>
      <c r="U58" s="121">
        <f t="shared" si="143"/>
        <v>0.15845047809853852</v>
      </c>
      <c r="V58" s="121">
        <f t="shared" ca="1" si="144"/>
        <v>-6.6629237923947038E-2</v>
      </c>
      <c r="X58" s="121">
        <f t="shared" si="145"/>
        <v>-1.858314359179554E-2</v>
      </c>
      <c r="Y58" s="121">
        <f t="shared" si="146"/>
        <v>-5.269065506676774E-2</v>
      </c>
      <c r="Z58" s="121">
        <f t="shared" si="147"/>
        <v>-0.33202562079953329</v>
      </c>
      <c r="AA58" s="121">
        <f t="shared" si="148"/>
        <v>-0.41765800530056213</v>
      </c>
      <c r="AB58" s="121">
        <f t="shared" si="149"/>
        <v>-9.6371052511276645E-2</v>
      </c>
      <c r="AC58" s="121">
        <f t="shared" si="150"/>
        <v>-8.5803640404672699E-2</v>
      </c>
      <c r="AD58" s="121">
        <f t="shared" si="151"/>
        <v>-8.8842022138305887E-2</v>
      </c>
      <c r="AE58" s="121">
        <f t="shared" si="152"/>
        <v>-0.15545297281971904</v>
      </c>
      <c r="AF58" s="121">
        <f t="shared" si="153"/>
        <v>-0.11137841887360704</v>
      </c>
      <c r="AG58" s="121">
        <f t="shared" ref="AG58:AG60" si="168">+N58/N$5</f>
        <v>-9.0762468670746707E-2</v>
      </c>
      <c r="AH58" s="121">
        <f t="shared" ref="AH58:AH60" si="169">+O58/O$5</f>
        <v>-7.2423691946214008E-2</v>
      </c>
      <c r="AI58" s="121">
        <f t="shared" ref="AI58:AI60" ca="1" si="170">+P58/P$5</f>
        <v>-3.6582335505831343E-2</v>
      </c>
      <c r="AJ58" s="121">
        <f t="shared" ref="AJ58:AJ60" ca="1" si="171">+Q58/Q$5</f>
        <v>-2.6451962572723982E-2</v>
      </c>
      <c r="AK58" s="121">
        <f t="shared" ref="AK58:AK60" ca="1" si="172">+R58/R$5</f>
        <v>-1.9196104034542843E-2</v>
      </c>
      <c r="AL58" s="121">
        <f t="shared" ref="AL58:AL60" ca="1" si="173">+S58/S$5</f>
        <v>-1.856338102209729E-2</v>
      </c>
      <c r="AN58" s="121">
        <f t="shared" ref="AN58:AW60" si="174">+IFERROR((E58/D58-1)," ")</f>
        <v>0.54399565022649665</v>
      </c>
      <c r="AO58" s="121">
        <f t="shared" si="174"/>
        <v>2.0381084180155193</v>
      </c>
      <c r="AP58" s="121">
        <f t="shared" si="174"/>
        <v>1.6965038477124739</v>
      </c>
      <c r="AQ58" s="121">
        <f t="shared" si="174"/>
        <v>-0.54080643204886902</v>
      </c>
      <c r="AR58" s="121">
        <f t="shared" si="174"/>
        <v>-0.48882963395813905</v>
      </c>
      <c r="AS58" s="121">
        <f t="shared" si="174"/>
        <v>-7.5570403674472542E-2</v>
      </c>
      <c r="AT58" s="121">
        <f t="shared" si="174"/>
        <v>0.55337607967620883</v>
      </c>
      <c r="AU58" s="121">
        <f t="shared" si="174"/>
        <v>4.0158096866600435E-2</v>
      </c>
      <c r="AV58" s="121">
        <f t="shared" si="174"/>
        <v>-0.14215908990270676</v>
      </c>
      <c r="AW58" s="121">
        <f t="shared" si="174"/>
        <v>0.62828642928948364</v>
      </c>
      <c r="AX58" s="121">
        <f t="shared" ref="AX58:AX60" si="175">+IFERROR((O58/N58-1)," ")</f>
        <v>-0.1937818487480798</v>
      </c>
      <c r="AY58" s="121">
        <f t="shared" ref="AY58:AY60" ca="1" si="176">+IFERROR((P58/O58-1)," ")</f>
        <v>-0.42994808682629149</v>
      </c>
      <c r="AZ58" s="121">
        <f t="shared" ref="AZ58:AZ60" ca="1" si="177">+IFERROR((Q58/P58-1)," ")</f>
        <v>-0.24940402134434259</v>
      </c>
      <c r="BA58" s="121">
        <f t="shared" ref="BA58:BA60" ca="1" si="178">+IFERROR((R58/Q58-1)," ")</f>
        <v>-0.20444468970825402</v>
      </c>
      <c r="BB58" s="121">
        <f t="shared" ref="BB58:BB60" ca="1" si="179">+IFERROR((S58/R58-1)," ")</f>
        <v>6.0106593784519102E-3</v>
      </c>
    </row>
    <row r="59" spans="2:54" outlineLevel="1">
      <c r="B59" s="47" t="s">
        <v>101</v>
      </c>
      <c r="C59" s="51" t="s">
        <v>59</v>
      </c>
      <c r="D59" s="63">
        <v>-187.72289462999998</v>
      </c>
      <c r="E59" s="63">
        <v>-305.53180380000003</v>
      </c>
      <c r="F59" s="63">
        <v>-449.48998982000001</v>
      </c>
      <c r="G59" s="63">
        <v>-1079.8116662500001</v>
      </c>
      <c r="H59" s="63">
        <v>-1475.37337817</v>
      </c>
      <c r="I59" s="63">
        <v>-1071.5977011</v>
      </c>
      <c r="J59" s="63">
        <v>-1187.8645023500001</v>
      </c>
      <c r="K59" s="68">
        <f>+TGTbase2021!HK93</f>
        <v>-1676.5291299700002</v>
      </c>
      <c r="L59" s="68">
        <f>+TGTbase2021!HL93</f>
        <v>-1787.3361203200004</v>
      </c>
      <c r="M59" s="68">
        <f>+TGTbase2021!HM93</f>
        <v>-1271.1261409399999</v>
      </c>
      <c r="N59" s="1420">
        <f>+TGTbase2021!HN93</f>
        <v>-2052.6828955599999</v>
      </c>
      <c r="O59" s="68">
        <f>-Drivers!O179</f>
        <v>-852.33881440696427</v>
      </c>
      <c r="P59" s="68">
        <f ca="1">-Drivers!P179</f>
        <v>-627.35300226139475</v>
      </c>
      <c r="Q59" s="68">
        <f ca="1">-Drivers!Q179</f>
        <v>-281.46863757527245</v>
      </c>
      <c r="R59" s="68">
        <f ca="1">-Drivers!R179</f>
        <v>-39.964782601995999</v>
      </c>
      <c r="S59" s="68">
        <f ca="1">-Drivers!S179</f>
        <v>-13.066203642198399</v>
      </c>
      <c r="U59" s="286">
        <f t="shared" si="143"/>
        <v>0.13882768947370283</v>
      </c>
      <c r="V59" s="286">
        <f t="shared" ca="1" si="144"/>
        <v>-0.42354593485966052</v>
      </c>
      <c r="X59" s="286">
        <f t="shared" si="145"/>
        <v>-8.3125962443452127E-3</v>
      </c>
      <c r="Y59" s="286">
        <f t="shared" si="146"/>
        <v>-1.141330528887069E-2</v>
      </c>
      <c r="Z59" s="286">
        <f t="shared" si="147"/>
        <v>-6.4073194943425435E-2</v>
      </c>
      <c r="AA59" s="286">
        <f t="shared" si="148"/>
        <v>-0.23981907530640134</v>
      </c>
      <c r="AB59" s="286">
        <f t="shared" si="149"/>
        <v>-7.8627357126038591E-2</v>
      </c>
      <c r="AC59" s="286">
        <f t="shared" si="150"/>
        <v>-8.394485433007956E-2</v>
      </c>
      <c r="AD59" s="286">
        <f t="shared" si="151"/>
        <v>-7.8972227327687841E-2</v>
      </c>
      <c r="AE59" s="286">
        <f t="shared" si="152"/>
        <v>-0.14162853342096252</v>
      </c>
      <c r="AF59" s="286">
        <f t="shared" si="153"/>
        <v>-8.4125651182279992E-2</v>
      </c>
      <c r="AG59" s="286">
        <f t="shared" si="168"/>
        <v>-6.7988600315626049E-2</v>
      </c>
      <c r="AH59" s="286">
        <f t="shared" si="169"/>
        <v>-2.7941408302277083E-2</v>
      </c>
      <c r="AI59" s="286">
        <f t="shared" ca="1" si="170"/>
        <v>-1.8223188478533721E-2</v>
      </c>
      <c r="AJ59" s="286">
        <f t="shared" ca="1" si="171"/>
        <v>-7.8763069901131699E-3</v>
      </c>
      <c r="AK59" s="286">
        <f t="shared" ca="1" si="172"/>
        <v>-1.0201285339811888E-3</v>
      </c>
      <c r="AL59" s="286">
        <f t="shared" ca="1" si="173"/>
        <v>-3.2060350397748196E-4</v>
      </c>
      <c r="AN59" s="286">
        <f t="shared" si="174"/>
        <v>0.62756814720016041</v>
      </c>
      <c r="AO59" s="286">
        <f t="shared" si="174"/>
        <v>0.47117250718106729</v>
      </c>
      <c r="AP59" s="286">
        <f t="shared" si="174"/>
        <v>1.4023041462667831</v>
      </c>
      <c r="AQ59" s="286">
        <f t="shared" si="174"/>
        <v>0.36632472521223769</v>
      </c>
      <c r="AR59" s="286">
        <f t="shared" si="174"/>
        <v>-0.27367694377868523</v>
      </c>
      <c r="AS59" s="286">
        <f t="shared" si="174"/>
        <v>0.10849855419683307</v>
      </c>
      <c r="AT59" s="286">
        <f t="shared" si="174"/>
        <v>0.41138078177540893</v>
      </c>
      <c r="AU59" s="286">
        <f t="shared" si="174"/>
        <v>6.6093089806309013E-2</v>
      </c>
      <c r="AV59" s="286">
        <f t="shared" si="174"/>
        <v>-0.28881527850932676</v>
      </c>
      <c r="AW59" s="286">
        <f t="shared" si="174"/>
        <v>0.61485381304646713</v>
      </c>
      <c r="AX59" s="286">
        <f t="shared" si="175"/>
        <v>-0.58476839445070028</v>
      </c>
      <c r="AY59" s="286">
        <f t="shared" ca="1" si="176"/>
        <v>-0.26396288464477469</v>
      </c>
      <c r="AZ59" s="286">
        <f t="shared" ca="1" si="177"/>
        <v>-0.55133929930888437</v>
      </c>
      <c r="BA59" s="286">
        <f t="shared" ca="1" si="178"/>
        <v>-0.85801337247987952</v>
      </c>
      <c r="BB59" s="286">
        <f t="shared" ca="1" si="179"/>
        <v>-0.67305705695129137</v>
      </c>
    </row>
    <row r="60" spans="2:54" outlineLevel="1">
      <c r="B60" s="186" t="s">
        <v>102</v>
      </c>
      <c r="C60" s="191" t="s">
        <v>59</v>
      </c>
      <c r="D60" s="651">
        <v>-254.65441959999998</v>
      </c>
      <c r="E60" s="651">
        <v>-377.49684513</v>
      </c>
      <c r="F60" s="651">
        <v>-1625.6250982399997</v>
      </c>
      <c r="G60" s="651">
        <v>-4515.744153149999</v>
      </c>
      <c r="H60" s="651">
        <v>-1094.0698632099998</v>
      </c>
      <c r="I60" s="651">
        <v>-241.82554112</v>
      </c>
      <c r="J60" s="651">
        <v>-26.302815260000003</v>
      </c>
      <c r="K60" s="265">
        <f>+TGTbase2021!HK99</f>
        <v>-209.52933793</v>
      </c>
      <c r="L60" s="265">
        <f>+TGTbase2021!HL99</f>
        <v>-174.46286623000003</v>
      </c>
      <c r="M60" s="265">
        <f>+TGTbase2021!HM99</f>
        <v>-411.78528711000001</v>
      </c>
      <c r="N60" s="298">
        <f>+TGTbase2021!HN99</f>
        <v>-687.57894442999998</v>
      </c>
      <c r="O60" s="1244">
        <f>Drivers!O102</f>
        <v>-1356.9100201759586</v>
      </c>
      <c r="P60" s="265">
        <f>Drivers!P102</f>
        <v>-632.03352256938626</v>
      </c>
      <c r="Q60" s="265">
        <f>Drivers!Q102</f>
        <v>-663.82182353583505</v>
      </c>
      <c r="R60" s="265">
        <f>Drivers!R102</f>
        <v>-712.06606350307879</v>
      </c>
      <c r="S60" s="265">
        <f>Drivers!S102</f>
        <v>-743.48484372090309</v>
      </c>
      <c r="U60" s="256">
        <f t="shared" si="143"/>
        <v>0.23243516106856443</v>
      </c>
      <c r="V60" s="256">
        <f t="shared" si="144"/>
        <v>0.15072419316868624</v>
      </c>
      <c r="X60" s="256">
        <f t="shared" si="145"/>
        <v>-1.0270547347450329E-2</v>
      </c>
      <c r="Y60" s="256">
        <f t="shared" si="146"/>
        <v>-4.127734977789705E-2</v>
      </c>
      <c r="Z60" s="256">
        <f t="shared" si="147"/>
        <v>-0.2679524258561079</v>
      </c>
      <c r="AA60" s="256">
        <f t="shared" si="148"/>
        <v>-0.17783892999416079</v>
      </c>
      <c r="AB60" s="256">
        <f t="shared" si="149"/>
        <v>-1.774369538523805E-2</v>
      </c>
      <c r="AC60" s="256">
        <f t="shared" si="150"/>
        <v>-1.8587860745931429E-3</v>
      </c>
      <c r="AD60" s="256">
        <f t="shared" si="151"/>
        <v>-9.8697948106180409E-3</v>
      </c>
      <c r="AE60" s="256">
        <f t="shared" si="152"/>
        <v>-1.3824439398756537E-2</v>
      </c>
      <c r="AF60" s="256">
        <f t="shared" si="153"/>
        <v>-2.7252767691327062E-2</v>
      </c>
      <c r="AG60" s="256">
        <f t="shared" si="168"/>
        <v>-2.2773868355120658E-2</v>
      </c>
      <c r="AH60" s="256">
        <f t="shared" si="169"/>
        <v>-4.4482283643936922E-2</v>
      </c>
      <c r="AI60" s="256">
        <f t="shared" si="170"/>
        <v>-1.8359147027297618E-2</v>
      </c>
      <c r="AJ60" s="256">
        <f t="shared" si="171"/>
        <v>-1.857565558261081E-2</v>
      </c>
      <c r="AK60" s="256">
        <f t="shared" si="172"/>
        <v>-1.8175975500561655E-2</v>
      </c>
      <c r="AL60" s="256">
        <f t="shared" si="173"/>
        <v>-1.8242777518119806E-2</v>
      </c>
      <c r="AN60" s="256">
        <f t="shared" si="174"/>
        <v>0.48238874362736572</v>
      </c>
      <c r="AO60" s="256">
        <f t="shared" si="174"/>
        <v>3.3063276401162431</v>
      </c>
      <c r="AP60" s="256">
        <f t="shared" si="174"/>
        <v>1.7778509067305968</v>
      </c>
      <c r="AQ60" s="256">
        <f t="shared" si="174"/>
        <v>-0.75772102534931673</v>
      </c>
      <c r="AR60" s="256">
        <f t="shared" si="174"/>
        <v>-0.7789670027008293</v>
      </c>
      <c r="AS60" s="256">
        <f t="shared" si="174"/>
        <v>-0.89123226960154767</v>
      </c>
      <c r="AT60" s="256">
        <f t="shared" si="174"/>
        <v>6.9660422604511716</v>
      </c>
      <c r="AU60" s="256">
        <f t="shared" si="174"/>
        <v>-0.1673582899961964</v>
      </c>
      <c r="AV60" s="256">
        <f t="shared" si="174"/>
        <v>1.3603033471153121</v>
      </c>
      <c r="AW60" s="256">
        <f t="shared" si="174"/>
        <v>0.6697511201907691</v>
      </c>
      <c r="AX60" s="256">
        <f t="shared" si="175"/>
        <v>0.97346069301297655</v>
      </c>
      <c r="AY60" s="256">
        <f t="shared" si="176"/>
        <v>-0.53421117600161372</v>
      </c>
      <c r="AZ60" s="256">
        <f t="shared" si="177"/>
        <v>5.029527680307333E-2</v>
      </c>
      <c r="BA60" s="256">
        <f t="shared" si="178"/>
        <v>7.2676489769907926E-2</v>
      </c>
      <c r="BB60" s="256">
        <f t="shared" si="179"/>
        <v>4.412340627954725E-2</v>
      </c>
    </row>
    <row r="61" spans="2:54">
      <c r="P61" s="650"/>
      <c r="Q61" s="650"/>
      <c r="R61" s="650"/>
      <c r="S61" s="650"/>
      <c r="U61" s="122"/>
      <c r="V61" s="122"/>
      <c r="X61" s="108"/>
      <c r="Y61" s="108"/>
      <c r="Z61" s="108"/>
      <c r="AA61" s="108"/>
      <c r="AB61" s="108"/>
      <c r="AC61" s="108"/>
      <c r="AD61" s="108"/>
      <c r="AE61" s="108"/>
      <c r="AF61" s="108"/>
      <c r="AG61" s="108"/>
      <c r="AH61" s="108"/>
      <c r="AI61" s="108"/>
      <c r="AJ61" s="108"/>
      <c r="AK61" s="108"/>
      <c r="AL61" s="108"/>
      <c r="AN61" s="108"/>
      <c r="AO61" s="108"/>
      <c r="AP61" s="108"/>
      <c r="AQ61" s="108"/>
      <c r="AR61" s="108"/>
      <c r="AS61" s="108"/>
      <c r="AT61" s="108"/>
      <c r="AU61" s="108"/>
      <c r="AV61" s="108"/>
      <c r="AW61" s="108"/>
      <c r="AX61" s="108"/>
      <c r="AY61" s="108"/>
      <c r="AZ61" s="108"/>
      <c r="BA61" s="108"/>
      <c r="BB61" s="108"/>
    </row>
    <row r="62" spans="2:54">
      <c r="B62" s="1288" t="s">
        <v>103</v>
      </c>
      <c r="C62" s="1289" t="s">
        <v>59</v>
      </c>
      <c r="D62" s="1092">
        <f t="shared" ref="D62:S62" si="180">+D51+D54+D58</f>
        <v>8931.5570461600055</v>
      </c>
      <c r="E62" s="1092">
        <f t="shared" si="180"/>
        <v>8980.9896752600034</v>
      </c>
      <c r="F62" s="1092">
        <f t="shared" si="180"/>
        <v>10403.767443010007</v>
      </c>
      <c r="G62" s="1092">
        <f t="shared" si="180"/>
        <v>-4628.345122640003</v>
      </c>
      <c r="H62" s="1092">
        <f t="shared" si="180"/>
        <v>-5381.4546237600007</v>
      </c>
      <c r="I62" s="1092">
        <f t="shared" si="180"/>
        <v>1178.2330083700047</v>
      </c>
      <c r="J62" s="1092">
        <f t="shared" si="180"/>
        <v>760.96409521999863</v>
      </c>
      <c r="K62" s="1092">
        <f t="shared" si="180"/>
        <v>2265.9614028400019</v>
      </c>
      <c r="L62" s="1092">
        <f t="shared" si="180"/>
        <v>134.95334016999777</v>
      </c>
      <c r="M62" s="1092">
        <f t="shared" si="180"/>
        <v>1353.1946156599988</v>
      </c>
      <c r="N62" s="1421">
        <f t="shared" si="180"/>
        <v>3682.1340359299988</v>
      </c>
      <c r="O62" s="1092">
        <f t="shared" ca="1" si="180"/>
        <v>3474.5684848524138</v>
      </c>
      <c r="P62" s="1092">
        <f t="shared" ca="1" si="180"/>
        <v>5248.5617658712226</v>
      </c>
      <c r="Q62" s="1092">
        <f t="shared" ca="1" si="180"/>
        <v>5774.6451410458703</v>
      </c>
      <c r="R62" s="1092">
        <f ca="1">+R51+R54+R58</f>
        <v>6788.8103259331492</v>
      </c>
      <c r="S62" s="1092">
        <f t="shared" ca="1" si="180"/>
        <v>7045.277907446738</v>
      </c>
      <c r="U62" s="1284">
        <f>+IFERROR(((N62/I62)^(1/5))-1," ")</f>
        <v>0.25595385020727757</v>
      </c>
      <c r="V62" s="1284">
        <f ca="1">+IFERROR(((S62/I62)^(1/8))-1," ")</f>
        <v>0.25049905520339322</v>
      </c>
      <c r="X62" s="1284">
        <f>+E62/$E$5</f>
        <v>0.24434556441115551</v>
      </c>
      <c r="Y62" s="1284">
        <f>+F62/$F$5</f>
        <v>0.26416911760156714</v>
      </c>
      <c r="Z62" s="1284">
        <f>+G62/$G$5</f>
        <v>-0.27463387234761244</v>
      </c>
      <c r="AA62" s="1284">
        <f>+H62/$H$5</f>
        <v>-0.87474499050149912</v>
      </c>
      <c r="AB62" s="1284">
        <f>+I62/$I$5</f>
        <v>8.6451610927961497E-2</v>
      </c>
      <c r="AC62" s="1284">
        <f>+J62/$J$5</f>
        <v>5.3776352435222316E-2</v>
      </c>
      <c r="AD62" s="1284">
        <f>+K62/$K$5</f>
        <v>0.10673719640293347</v>
      </c>
      <c r="AE62" s="1284">
        <f>+L62/$L$5</f>
        <v>1.0693704128306353E-2</v>
      </c>
      <c r="AF62" s="1284">
        <f>+M62/$M$5</f>
        <v>8.9557105744492702E-2</v>
      </c>
      <c r="AG62" s="1284">
        <f>+N62/N$5</f>
        <v>0.12195899318833206</v>
      </c>
      <c r="AH62" s="1284">
        <f t="shared" ref="AH62:AL62" ca="1" si="181">+O62/O$5</f>
        <v>0.11390345607695264</v>
      </c>
      <c r="AI62" s="1284">
        <f t="shared" ca="1" si="181"/>
        <v>0.15245887077279838</v>
      </c>
      <c r="AJ62" s="1284">
        <f t="shared" ca="1" si="181"/>
        <v>0.16159128164920067</v>
      </c>
      <c r="AK62" s="1284">
        <f t="shared" ca="1" si="181"/>
        <v>0.17328904786597427</v>
      </c>
      <c r="AL62" s="1284">
        <f t="shared" ca="1" si="181"/>
        <v>0.17286894077846554</v>
      </c>
      <c r="AN62" s="1284">
        <f t="shared" ref="AN62:AY63" si="182">+IFERROR((E62/D62-1)," ")</f>
        <v>5.5346037476466936E-3</v>
      </c>
      <c r="AO62" s="1284">
        <f t="shared" si="182"/>
        <v>0.15842104480638031</v>
      </c>
      <c r="AP62" s="1284">
        <f t="shared" si="182"/>
        <v>-1.4448720281372356</v>
      </c>
      <c r="AQ62" s="1284">
        <f t="shared" si="182"/>
        <v>0.16271679858878474</v>
      </c>
      <c r="AR62" s="1284">
        <f t="shared" si="182"/>
        <v>-1.2189432208845381</v>
      </c>
      <c r="AS62" s="1284">
        <f t="shared" si="182"/>
        <v>-0.35414804218332474</v>
      </c>
      <c r="AT62" s="1284">
        <f t="shared" si="182"/>
        <v>1.9777507468140145</v>
      </c>
      <c r="AU62" s="1284">
        <f t="shared" si="182"/>
        <v>-0.94044323085077419</v>
      </c>
      <c r="AV62" s="1284">
        <f t="shared" si="182"/>
        <v>9.0271294801255682</v>
      </c>
      <c r="AW62" s="1284">
        <f t="shared" si="182"/>
        <v>1.721067607953862</v>
      </c>
      <c r="AX62" s="1284">
        <f t="shared" ca="1" si="182"/>
        <v>-5.6370992759137817E-2</v>
      </c>
      <c r="AY62" s="1284">
        <f t="shared" ca="1" si="182"/>
        <v>0.51056506405115831</v>
      </c>
      <c r="AZ62" s="1284">
        <f t="shared" ref="AZ62:AZ63" ca="1" si="183">+IFERROR((Q62/P62-1)," ")</f>
        <v>0.10023381616569815</v>
      </c>
      <c r="BA62" s="1284">
        <f t="shared" ref="BA62:BA63" ca="1" si="184">+IFERROR((R62/Q62-1)," ")</f>
        <v>0.1756238106613075</v>
      </c>
      <c r="BB62" s="1284">
        <f t="shared" ref="BB62:BB63" ca="1" si="185">+IFERROR((S62/R62-1)," ")</f>
        <v>3.7777986009402298E-2</v>
      </c>
    </row>
    <row r="63" spans="2:54">
      <c r="B63" s="189" t="s">
        <v>104</v>
      </c>
      <c r="C63" s="193" t="s">
        <v>35</v>
      </c>
      <c r="D63" s="343">
        <f t="shared" ref="D63:S63" si="186">+D62/D5</f>
        <v>0.24617476574052111</v>
      </c>
      <c r="E63" s="343">
        <f t="shared" si="186"/>
        <v>0.24434556441115551</v>
      </c>
      <c r="F63" s="343">
        <f t="shared" si="186"/>
        <v>0.26416911760156714</v>
      </c>
      <c r="G63" s="343">
        <f t="shared" si="186"/>
        <v>-0.27463387234761244</v>
      </c>
      <c r="H63" s="343">
        <f t="shared" si="186"/>
        <v>-0.87474499050149912</v>
      </c>
      <c r="I63" s="343">
        <f t="shared" si="186"/>
        <v>8.6451610927961497E-2</v>
      </c>
      <c r="J63" s="343">
        <f t="shared" si="186"/>
        <v>5.3776352435222316E-2</v>
      </c>
      <c r="K63" s="343">
        <f t="shared" si="186"/>
        <v>0.10673719640293347</v>
      </c>
      <c r="L63" s="343">
        <f t="shared" si="186"/>
        <v>1.0693704128306353E-2</v>
      </c>
      <c r="M63" s="343">
        <f t="shared" si="186"/>
        <v>8.9557105744492702E-2</v>
      </c>
      <c r="N63" s="1197">
        <f t="shared" si="186"/>
        <v>0.12195899318833206</v>
      </c>
      <c r="O63" s="343">
        <f t="shared" ca="1" si="186"/>
        <v>0.11390345607695264</v>
      </c>
      <c r="P63" s="343">
        <f t="shared" ca="1" si="186"/>
        <v>0.15245887077279838</v>
      </c>
      <c r="Q63" s="343">
        <f t="shared" ca="1" si="186"/>
        <v>0.16159128164920067</v>
      </c>
      <c r="R63" s="343">
        <f t="shared" ca="1" si="186"/>
        <v>0.17328904786597427</v>
      </c>
      <c r="S63" s="343">
        <f t="shared" ca="1" si="186"/>
        <v>0.17286894077846554</v>
      </c>
      <c r="U63" s="256">
        <f>+IFERROR(((N63/I63)^(1/5))-1," ")</f>
        <v>7.1243372411830874E-2</v>
      </c>
      <c r="V63" s="256">
        <f ca="1">+IFERROR(((S63/I63)^(1/8))-1," ")</f>
        <v>9.0480703799922013E-2</v>
      </c>
      <c r="X63" s="256"/>
      <c r="Y63" s="256"/>
      <c r="Z63" s="256"/>
      <c r="AA63" s="256"/>
      <c r="AB63" s="256"/>
      <c r="AC63" s="256"/>
      <c r="AD63" s="256"/>
      <c r="AE63" s="256"/>
      <c r="AF63" s="256"/>
      <c r="AG63" s="256"/>
      <c r="AH63" s="256"/>
      <c r="AI63" s="256"/>
      <c r="AJ63" s="256"/>
      <c r="AK63" s="256"/>
      <c r="AL63" s="256"/>
      <c r="AN63" s="256">
        <f t="shared" si="182"/>
        <v>-7.4304989134981181E-3</v>
      </c>
      <c r="AO63" s="256">
        <f t="shared" si="182"/>
        <v>8.1129171459216387E-2</v>
      </c>
      <c r="AP63" s="256">
        <f t="shared" si="182"/>
        <v>-2.0396138460129496</v>
      </c>
      <c r="AQ63" s="256">
        <f t="shared" si="182"/>
        <v>2.1851314734924898</v>
      </c>
      <c r="AR63" s="256">
        <f t="shared" si="182"/>
        <v>-1.0988306442068312</v>
      </c>
      <c r="AS63" s="256">
        <f t="shared" si="182"/>
        <v>-0.37796008821590221</v>
      </c>
      <c r="AT63" s="256">
        <f t="shared" si="182"/>
        <v>0.98483518441505491</v>
      </c>
      <c r="AU63" s="256">
        <f t="shared" si="182"/>
        <v>-0.89981276922491416</v>
      </c>
      <c r="AV63" s="256">
        <f t="shared" si="182"/>
        <v>7.3747506635641855</v>
      </c>
      <c r="AW63" s="256">
        <f t="shared" si="182"/>
        <v>0.3618014134610632</v>
      </c>
      <c r="AX63" s="256">
        <f t="shared" ca="1" si="182"/>
        <v>-6.6051193936472297E-2</v>
      </c>
      <c r="AY63" s="256">
        <f t="shared" ca="1" si="182"/>
        <v>0.33849205304005769</v>
      </c>
      <c r="AZ63" s="256">
        <f t="shared" ca="1" si="183"/>
        <v>5.990081672592118E-2</v>
      </c>
      <c r="BA63" s="256">
        <f t="shared" ca="1" si="184"/>
        <v>7.2391072695173753E-2</v>
      </c>
      <c r="BB63" s="256">
        <f t="shared" ca="1" si="185"/>
        <v>-2.4243141311137695E-3</v>
      </c>
    </row>
    <row r="64" spans="2:54">
      <c r="B64" s="17"/>
      <c r="C64" s="18"/>
      <c r="D64" s="42"/>
      <c r="E64" s="42"/>
      <c r="F64" s="42"/>
      <c r="G64" s="174"/>
      <c r="U64" s="299"/>
      <c r="V64" s="299"/>
      <c r="X64" s="82"/>
      <c r="Y64" s="82"/>
      <c r="Z64" s="82"/>
      <c r="AA64" s="82"/>
      <c r="AB64" s="82"/>
      <c r="AC64" s="82"/>
      <c r="AD64" s="82"/>
      <c r="AE64" s="82"/>
      <c r="AF64" s="82"/>
      <c r="AG64" s="82"/>
      <c r="AH64" s="82"/>
      <c r="AI64" s="82"/>
      <c r="AJ64" s="82"/>
      <c r="AK64" s="82"/>
      <c r="AL64" s="82"/>
      <c r="AN64" s="82"/>
      <c r="AO64" s="82"/>
      <c r="AP64" s="82"/>
      <c r="AQ64" s="82"/>
      <c r="AR64" s="82"/>
      <c r="AS64" s="82"/>
      <c r="AT64" s="82"/>
      <c r="AU64" s="82"/>
      <c r="AV64" s="82"/>
      <c r="AW64" s="82"/>
      <c r="AX64" s="82"/>
      <c r="AY64" s="82"/>
      <c r="AZ64" s="82"/>
      <c r="BA64" s="82"/>
      <c r="BB64" s="82"/>
    </row>
    <row r="65" spans="1:54">
      <c r="B65" s="153" t="s">
        <v>105</v>
      </c>
      <c r="C65" s="154" t="s">
        <v>59</v>
      </c>
      <c r="D65" s="1093">
        <v>-2841.49</v>
      </c>
      <c r="E65" s="1093">
        <v>-2930.8150000000001</v>
      </c>
      <c r="F65" s="1093">
        <v>-3644.2605459900001</v>
      </c>
      <c r="G65" s="1093">
        <v>1573.7229999899998</v>
      </c>
      <c r="H65" s="1093">
        <v>651</v>
      </c>
      <c r="I65" s="1093">
        <v>83.713960759999992</v>
      </c>
      <c r="J65" s="1093">
        <f>+TGTbase2021!HJ108</f>
        <v>-453.28872899999999</v>
      </c>
      <c r="K65" s="1205">
        <f>+TGTbase2021!HK108</f>
        <v>-725.85913900000003</v>
      </c>
      <c r="L65" s="1205">
        <f>+TGTbase2021!HL108</f>
        <v>-335.46991600000001</v>
      </c>
      <c r="M65" s="1205">
        <f>+TGTbase2021!HM108</f>
        <v>-657.02942900000005</v>
      </c>
      <c r="N65" s="1422">
        <f>+TGTbase2021!HN108</f>
        <v>-1288.6999999999998</v>
      </c>
      <c r="O65" s="1205">
        <f ca="1">+Drivers!O369</f>
        <v>-1216.0989696983447</v>
      </c>
      <c r="P65" s="1205">
        <f ca="1">+Drivers!P369</f>
        <v>-1836.9966180549277</v>
      </c>
      <c r="Q65" s="1205">
        <f ca="1">+Drivers!Q369</f>
        <v>-2021.1257993660545</v>
      </c>
      <c r="R65" s="1205">
        <f ca="1">+Drivers!R369</f>
        <v>-2376.0836140766019</v>
      </c>
      <c r="S65" s="1205">
        <f ca="1">+Drivers!S369</f>
        <v>-2465.8472676063579</v>
      </c>
      <c r="U65" s="1284">
        <f>+IFERROR(((N65/I65)^(1/5))-1," ")</f>
        <v>-2.7277097641219532</v>
      </c>
      <c r="V65" s="1284" t="str">
        <f ca="1">+IFERROR(((S65/I65)^(1/8))-1," ")</f>
        <v xml:space="preserve"> </v>
      </c>
      <c r="X65" s="1284">
        <f>+E65/$E$5</f>
        <v>-7.9738611361776054E-2</v>
      </c>
      <c r="Y65" s="1284">
        <f>+F65/$F$5</f>
        <v>-9.2533891978832619E-2</v>
      </c>
      <c r="Z65" s="1284">
        <f>+G65/$G$5</f>
        <v>9.3380599336816569E-2</v>
      </c>
      <c r="AA65" s="1284">
        <f>+H65/$H$5</f>
        <v>0.10581878481372332</v>
      </c>
      <c r="AB65" s="1284">
        <f>+I65/$I$5</f>
        <v>6.1424240480872951E-3</v>
      </c>
      <c r="AC65" s="1284">
        <f>+J65/$J$5</f>
        <v>-3.2033330611440598E-2</v>
      </c>
      <c r="AD65" s="1284">
        <f>+K65/$K$5</f>
        <v>-3.4191301486072898E-2</v>
      </c>
      <c r="AE65" s="1284">
        <f>+L65/$L$5</f>
        <v>-2.658263975632464E-2</v>
      </c>
      <c r="AF65" s="1284">
        <f>+M65/$M$5</f>
        <v>-4.3483511809199446E-2</v>
      </c>
      <c r="AG65" s="1284">
        <f>+N65/N$5</f>
        <v>-4.2684093785876356E-2</v>
      </c>
      <c r="AH65" s="1284">
        <f t="shared" ref="AH65:AL65" ca="1" si="187">+O65/O$5</f>
        <v>-3.9866209626933422E-2</v>
      </c>
      <c r="AI65" s="1284">
        <f t="shared" ca="1" si="187"/>
        <v>-5.3360604770479422E-2</v>
      </c>
      <c r="AJ65" s="1284">
        <f t="shared" ca="1" si="187"/>
        <v>-5.6556948577220233E-2</v>
      </c>
      <c r="AK65" s="1284">
        <f t="shared" ca="1" si="187"/>
        <v>-6.0651166753090985E-2</v>
      </c>
      <c r="AL65" s="1284">
        <f t="shared" ca="1" si="187"/>
        <v>-6.0504129272462931E-2</v>
      </c>
      <c r="AN65" s="1284">
        <f t="shared" ref="AN65:AY66" si="188">+IFERROR((E65/D65-1)," ")</f>
        <v>3.1435971972451071E-2</v>
      </c>
      <c r="AO65" s="1284">
        <f t="shared" si="188"/>
        <v>0.24342906187869251</v>
      </c>
      <c r="AP65" s="1284">
        <f t="shared" si="188"/>
        <v>-1.4318360282229716</v>
      </c>
      <c r="AQ65" s="1284">
        <f t="shared" si="188"/>
        <v>-0.58633126668153368</v>
      </c>
      <c r="AR65" s="1284">
        <f t="shared" si="188"/>
        <v>-0.87140712632872508</v>
      </c>
      <c r="AS65" s="1284">
        <f t="shared" si="188"/>
        <v>-6.4147327982668969</v>
      </c>
      <c r="AT65" s="1284">
        <f t="shared" si="188"/>
        <v>0.60131742212368144</v>
      </c>
      <c r="AU65" s="1284">
        <f t="shared" si="188"/>
        <v>-0.53783055420068215</v>
      </c>
      <c r="AV65" s="1284">
        <f t="shared" si="188"/>
        <v>0.95853457393180985</v>
      </c>
      <c r="AW65" s="1284">
        <f t="shared" si="188"/>
        <v>0.96140377145876621</v>
      </c>
      <c r="AX65" s="1284">
        <f t="shared" ca="1" si="188"/>
        <v>-5.6336641810859844E-2</v>
      </c>
      <c r="AY65" s="1284">
        <f t="shared" ca="1" si="188"/>
        <v>0.51056506405115831</v>
      </c>
      <c r="AZ65" s="1284">
        <f t="shared" ref="AZ65:AZ66" ca="1" si="189">+IFERROR((Q65/P65-1)," ")</f>
        <v>0.10023381616569815</v>
      </c>
      <c r="BA65" s="1284">
        <f t="shared" ref="BA65:BA66" ca="1" si="190">+IFERROR((R65/Q65-1)," ")</f>
        <v>0.17562381066130728</v>
      </c>
      <c r="BB65" s="1284">
        <f t="shared" ref="BB65:BB66" ca="1" si="191">+IFERROR((S65/R65-1)," ")</f>
        <v>3.7777986009402298E-2</v>
      </c>
    </row>
    <row r="66" spans="1:54">
      <c r="B66" s="189" t="s">
        <v>106</v>
      </c>
      <c r="C66" s="193" t="s">
        <v>35</v>
      </c>
      <c r="D66" s="343">
        <f>-D65/D62</f>
        <v>0.31814049726320198</v>
      </c>
      <c r="E66" s="343">
        <f>-E65/E62</f>
        <v>0.3263354158031756</v>
      </c>
      <c r="F66" s="343">
        <f>-F65/F62</f>
        <v>0.35028277649924539</v>
      </c>
      <c r="G66" s="343">
        <f>-G65/G62</f>
        <v>0.34001850732608074</v>
      </c>
      <c r="H66" s="343">
        <f>-H65/H62</f>
        <v>0.12097100979458764</v>
      </c>
      <c r="I66" s="343">
        <f t="shared" ref="I66:P66" si="192">-I65/I62</f>
        <v>-7.1050429045280153E-2</v>
      </c>
      <c r="J66" s="343">
        <f t="shared" si="192"/>
        <v>0.59567689441241234</v>
      </c>
      <c r="K66" s="343">
        <f t="shared" si="192"/>
        <v>0.32033164293542582</v>
      </c>
      <c r="L66" s="343">
        <f t="shared" si="192"/>
        <v>2.4858215111787221</v>
      </c>
      <c r="M66" s="343">
        <f>-M65/M62</f>
        <v>0.48553949402137148</v>
      </c>
      <c r="N66" s="1197">
        <f t="shared" si="192"/>
        <v>0.34998725940581144</v>
      </c>
      <c r="O66" s="343">
        <f t="shared" ca="1" si="192"/>
        <v>0.35</v>
      </c>
      <c r="P66" s="343">
        <f t="shared" ca="1" si="192"/>
        <v>0.35</v>
      </c>
      <c r="Q66" s="343">
        <f ca="1">-Q65/Q62</f>
        <v>0.35</v>
      </c>
      <c r="R66" s="343">
        <f ca="1">-R65/R62</f>
        <v>0.34999999999999992</v>
      </c>
      <c r="S66" s="343">
        <f ca="1">-S65/S62</f>
        <v>0.34999999999999992</v>
      </c>
      <c r="U66" s="256">
        <f>+IFERROR(((N66/I66)^(1/5))-1," ")</f>
        <v>-2.3756156437092164</v>
      </c>
      <c r="V66" s="256" t="str">
        <f ca="1">+IFERROR(((S66/I66)^(1/8))-1," ")</f>
        <v xml:space="preserve"> </v>
      </c>
      <c r="X66" s="256"/>
      <c r="Y66" s="256"/>
      <c r="Z66" s="256"/>
      <c r="AA66" s="256"/>
      <c r="AB66" s="256"/>
      <c r="AC66" s="256"/>
      <c r="AD66" s="256"/>
      <c r="AE66" s="256"/>
      <c r="AF66" s="256"/>
      <c r="AG66" s="256"/>
      <c r="AH66" s="256"/>
      <c r="AI66" s="256"/>
      <c r="AJ66" s="256"/>
      <c r="AK66" s="256"/>
      <c r="AL66" s="256"/>
      <c r="AN66" s="256">
        <f t="shared" si="188"/>
        <v>2.575880345466941E-2</v>
      </c>
      <c r="AO66" s="256">
        <f t="shared" si="188"/>
        <v>7.338265948588707E-2</v>
      </c>
      <c r="AP66" s="256">
        <f t="shared" si="188"/>
        <v>-2.9302808650047196E-2</v>
      </c>
      <c r="AQ66" s="256">
        <f t="shared" si="188"/>
        <v>-0.64422227852857616</v>
      </c>
      <c r="AR66" s="256">
        <f t="shared" si="188"/>
        <v>-1.5873343470136017</v>
      </c>
      <c r="AS66" s="256">
        <f t="shared" si="188"/>
        <v>-9.3838606243009437</v>
      </c>
      <c r="AT66" s="256">
        <f t="shared" si="188"/>
        <v>-0.46223926773018886</v>
      </c>
      <c r="AU66" s="256">
        <f t="shared" si="188"/>
        <v>6.7601497260756949</v>
      </c>
      <c r="AV66" s="256">
        <f t="shared" si="188"/>
        <v>-0.80467644525646609</v>
      </c>
      <c r="AW66" s="256">
        <f t="shared" si="188"/>
        <v>-0.27917859676641177</v>
      </c>
      <c r="AX66" s="256">
        <f t="shared" ca="1" si="188"/>
        <v>3.6403022813491503E-5</v>
      </c>
      <c r="AY66" s="256">
        <f t="shared" ca="1" si="188"/>
        <v>0</v>
      </c>
      <c r="AZ66" s="256">
        <f t="shared" ca="1" si="189"/>
        <v>0</v>
      </c>
      <c r="BA66" s="256">
        <f t="shared" ca="1" si="190"/>
        <v>-1.1102230246251565E-16</v>
      </c>
      <c r="BB66" s="256">
        <f t="shared" ca="1" si="191"/>
        <v>0</v>
      </c>
    </row>
    <row r="67" spans="1:54">
      <c r="B67" s="17"/>
      <c r="C67" s="18"/>
      <c r="D67" s="32"/>
      <c r="E67" s="32"/>
      <c r="F67" s="32"/>
      <c r="G67" s="42"/>
      <c r="U67" s="299"/>
      <c r="V67" s="299"/>
      <c r="X67" s="82"/>
      <c r="Y67" s="82"/>
      <c r="Z67" s="82"/>
      <c r="AA67" s="82"/>
      <c r="AB67" s="82"/>
      <c r="AC67" s="82"/>
      <c r="AD67" s="82"/>
      <c r="AE67" s="82"/>
      <c r="AF67" s="82"/>
      <c r="AG67" s="82"/>
      <c r="AH67" s="82"/>
      <c r="AI67" s="82"/>
      <c r="AJ67" s="82"/>
      <c r="AK67" s="82"/>
      <c r="AL67" s="82"/>
      <c r="AN67" s="82"/>
      <c r="AO67" s="82"/>
      <c r="AP67" s="82"/>
      <c r="AQ67" s="82"/>
      <c r="AR67" s="82"/>
      <c r="AS67" s="82"/>
      <c r="AT67" s="82"/>
      <c r="AU67" s="82"/>
      <c r="AV67" s="82"/>
      <c r="AW67" s="82"/>
      <c r="AX67" s="82"/>
      <c r="AY67" s="82"/>
      <c r="AZ67" s="82"/>
      <c r="BA67" s="82"/>
      <c r="BB67" s="82"/>
    </row>
    <row r="68" spans="1:54">
      <c r="B68" s="153" t="s">
        <v>107</v>
      </c>
      <c r="C68" s="154" t="s">
        <v>59</v>
      </c>
      <c r="D68" s="52">
        <f>+D62+D65</f>
        <v>6090.0670461600057</v>
      </c>
      <c r="E68" s="52">
        <f>+E62+E65</f>
        <v>6050.1746752600029</v>
      </c>
      <c r="F68" s="52">
        <f>+F62+F65</f>
        <v>6759.5068970200064</v>
      </c>
      <c r="G68" s="52">
        <f>+G62+G65</f>
        <v>-3054.6221226500029</v>
      </c>
      <c r="H68" s="52">
        <f>+H62+H65</f>
        <v>-4730.4546237600007</v>
      </c>
      <c r="I68" s="52">
        <f t="shared" ref="I68:P68" si="193">+I62+I65</f>
        <v>1261.9469691300046</v>
      </c>
      <c r="J68" s="52">
        <f t="shared" si="193"/>
        <v>307.67536621999864</v>
      </c>
      <c r="K68" s="52">
        <f t="shared" si="193"/>
        <v>1540.1022638400018</v>
      </c>
      <c r="L68" s="52">
        <f t="shared" si="193"/>
        <v>-200.51657583000224</v>
      </c>
      <c r="M68" s="52">
        <f>+M62+M65</f>
        <v>696.16518665999877</v>
      </c>
      <c r="N68" s="52">
        <f>+N62+N65</f>
        <v>2393.434035929999</v>
      </c>
      <c r="O68" s="1423">
        <f t="shared" ca="1" si="193"/>
        <v>2258.4695151540691</v>
      </c>
      <c r="P68" s="52">
        <f t="shared" ca="1" si="193"/>
        <v>3411.5651478162949</v>
      </c>
      <c r="Q68" s="52">
        <f ca="1">+Q62+Q65</f>
        <v>3753.5193416798156</v>
      </c>
      <c r="R68" s="52">
        <f ca="1">+R62+R65</f>
        <v>4412.7267118565469</v>
      </c>
      <c r="S68" s="52">
        <f ca="1">+S62+S65</f>
        <v>4579.4306398403805</v>
      </c>
      <c r="U68" s="1284">
        <f>+IFERROR(((N68/I68)^(1/5))-1," ")</f>
        <v>0.13656969374970962</v>
      </c>
      <c r="V68" s="1284">
        <f ca="1">+IFERROR(((S68/I68)^(1/8))-1," ")</f>
        <v>0.17481990880968334</v>
      </c>
      <c r="X68" s="1285">
        <f>+E68/$E$5</f>
        <v>0.16460695304937945</v>
      </c>
      <c r="Y68" s="1285">
        <f>+F68/$F$5</f>
        <v>0.17163522562273453</v>
      </c>
      <c r="Z68" s="1285">
        <f>+G68/$G$5</f>
        <v>-0.18125327301079583</v>
      </c>
      <c r="AA68" s="1285">
        <f>+H68/$H$5</f>
        <v>-0.76892620568777581</v>
      </c>
      <c r="AB68" s="1285">
        <f>+I68/$I$5</f>
        <v>9.2594034976048789E-2</v>
      </c>
      <c r="AC68" s="1285">
        <f>+J68/$J$5</f>
        <v>2.1743021823781721E-2</v>
      </c>
      <c r="AD68" s="1285">
        <f>+K68/$K$5</f>
        <v>7.2545894916860559E-2</v>
      </c>
      <c r="AE68" s="1285">
        <f>+L68/$L$5</f>
        <v>-1.5888935628018287E-2</v>
      </c>
      <c r="AF68" s="1285">
        <f>+M68/$M$5</f>
        <v>4.6073593935293256E-2</v>
      </c>
      <c r="AG68" s="1285">
        <f>+N68/N$5</f>
        <v>7.9274899402455704E-2</v>
      </c>
      <c r="AH68" s="1285">
        <f t="shared" ref="AH68:AL68" ca="1" si="194">+O68/O$5</f>
        <v>7.4037246450019217E-2</v>
      </c>
      <c r="AI68" s="1285">
        <f t="shared" ca="1" si="194"/>
        <v>9.9098266002318955E-2</v>
      </c>
      <c r="AJ68" s="1285">
        <f t="shared" ca="1" si="194"/>
        <v>0.10503433307198044</v>
      </c>
      <c r="AK68" s="1285">
        <f t="shared" ca="1" si="194"/>
        <v>0.11263788111288328</v>
      </c>
      <c r="AL68" s="1285">
        <f t="shared" ca="1" si="194"/>
        <v>0.11236481150600262</v>
      </c>
      <c r="AN68" s="1285">
        <f t="shared" ref="AN68:AY69" si="195">+IFERROR((E68/D68-1)," ")</f>
        <v>-6.5503992973535707E-3</v>
      </c>
      <c r="AO68" s="1285">
        <f t="shared" si="195"/>
        <v>0.11724161033904701</v>
      </c>
      <c r="AP68" s="1285">
        <f t="shared" si="195"/>
        <v>-1.4519001414136676</v>
      </c>
      <c r="AQ68" s="1285">
        <f t="shared" si="195"/>
        <v>0.54862187001256579</v>
      </c>
      <c r="AR68" s="1285">
        <f t="shared" si="195"/>
        <v>-1.2667707587324759</v>
      </c>
      <c r="AS68" s="1285">
        <f t="shared" si="195"/>
        <v>-0.75618994003201867</v>
      </c>
      <c r="AT68" s="1285">
        <f t="shared" si="195"/>
        <v>4.0056079651783847</v>
      </c>
      <c r="AU68" s="1285">
        <f t="shared" si="195"/>
        <v>-1.1301969229822739</v>
      </c>
      <c r="AV68" s="1285">
        <f t="shared" si="195"/>
        <v>-4.4718585422594037</v>
      </c>
      <c r="AW68" s="1285">
        <f t="shared" si="195"/>
        <v>2.4380260343281601</v>
      </c>
      <c r="AX68" s="1285">
        <f t="shared" ca="1" si="195"/>
        <v>-5.6389488387754039E-2</v>
      </c>
      <c r="AY68" s="1285">
        <f t="shared" ca="1" si="195"/>
        <v>0.51056506405115831</v>
      </c>
      <c r="AZ68" s="1285">
        <f t="shared" ref="AZ68:AZ69" ca="1" si="196">+IFERROR((Q68/P68-1)," ")</f>
        <v>0.10023381616569793</v>
      </c>
      <c r="BA68" s="1285">
        <f t="shared" ref="BA68:BA69" ca="1" si="197">+IFERROR((R68/Q68-1)," ")</f>
        <v>0.1756238106613075</v>
      </c>
      <c r="BB68" s="1285">
        <f t="shared" ref="BB68:BB69" ca="1" si="198">+IFERROR((S68/R68-1)," ")</f>
        <v>3.777798600940252E-2</v>
      </c>
    </row>
    <row r="69" spans="1:54">
      <c r="B69" s="189" t="s">
        <v>108</v>
      </c>
      <c r="C69" s="193" t="s">
        <v>35</v>
      </c>
      <c r="D69" s="212">
        <f t="shared" ref="D69:S69" si="199">+D68/D5</f>
        <v>0.16785660335417946</v>
      </c>
      <c r="E69" s="212">
        <f t="shared" si="199"/>
        <v>0.16460695304937945</v>
      </c>
      <c r="F69" s="212">
        <f t="shared" si="199"/>
        <v>0.17163522562273453</v>
      </c>
      <c r="G69" s="343">
        <f t="shared" si="199"/>
        <v>-0.18125327301079583</v>
      </c>
      <c r="H69" s="343">
        <f t="shared" si="199"/>
        <v>-0.76892620568777581</v>
      </c>
      <c r="I69" s="343">
        <f t="shared" si="199"/>
        <v>9.2594034976048789E-2</v>
      </c>
      <c r="J69" s="343">
        <f t="shared" si="199"/>
        <v>2.1743021823781721E-2</v>
      </c>
      <c r="K69" s="212">
        <f t="shared" si="199"/>
        <v>7.2545894916860559E-2</v>
      </c>
      <c r="L69" s="212">
        <f t="shared" si="199"/>
        <v>-1.5888935628018287E-2</v>
      </c>
      <c r="M69" s="212">
        <f t="shared" si="199"/>
        <v>4.6073593935293256E-2</v>
      </c>
      <c r="N69" s="1196">
        <f t="shared" si="199"/>
        <v>7.9274899402455704E-2</v>
      </c>
      <c r="O69" s="212">
        <f t="shared" ca="1" si="199"/>
        <v>7.4037246450019217E-2</v>
      </c>
      <c r="P69" s="212">
        <f t="shared" ca="1" si="199"/>
        <v>9.9098266002318955E-2</v>
      </c>
      <c r="Q69" s="212">
        <f t="shared" ca="1" si="199"/>
        <v>0.10503433307198044</v>
      </c>
      <c r="R69" s="212">
        <f t="shared" ca="1" si="199"/>
        <v>0.11263788111288328</v>
      </c>
      <c r="S69" s="212">
        <f t="shared" ca="1" si="199"/>
        <v>0.11236481150600262</v>
      </c>
      <c r="U69" s="256">
        <f>+IFERROR(((N69/I69)^(1/5))-1," ")</f>
        <v>-3.0583208521091532E-2</v>
      </c>
      <c r="V69" s="256">
        <f ca="1">+IFERROR(((S69/I69)^(1/8))-1," ")</f>
        <v>2.4485732848930741E-2</v>
      </c>
      <c r="X69" s="230"/>
      <c r="Y69" s="230"/>
      <c r="Z69" s="230"/>
      <c r="AA69" s="230"/>
      <c r="AB69" s="230"/>
      <c r="AC69" s="230"/>
      <c r="AD69" s="230"/>
      <c r="AE69" s="230"/>
      <c r="AF69" s="230"/>
      <c r="AG69" s="230"/>
      <c r="AH69" s="230"/>
      <c r="AI69" s="230"/>
      <c r="AJ69" s="230"/>
      <c r="AK69" s="230"/>
      <c r="AL69" s="230"/>
      <c r="AN69" s="230">
        <f t="shared" si="195"/>
        <v>-1.935968106028696E-2</v>
      </c>
      <c r="AO69" s="230">
        <f t="shared" si="195"/>
        <v>4.269730071029687E-2</v>
      </c>
      <c r="AP69" s="230">
        <f t="shared" si="195"/>
        <v>-2.0560377239180632</v>
      </c>
      <c r="AQ69" s="230">
        <f t="shared" si="195"/>
        <v>3.2422748726969299</v>
      </c>
      <c r="AR69" s="230">
        <f t="shared" si="195"/>
        <v>-1.1204199236430328</v>
      </c>
      <c r="AS69" s="230">
        <f t="shared" si="195"/>
        <v>-0.76517902228360635</v>
      </c>
      <c r="AT69" s="230">
        <f t="shared" si="195"/>
        <v>2.3365139171921592</v>
      </c>
      <c r="AU69" s="230">
        <f t="shared" si="195"/>
        <v>-1.219019086417328</v>
      </c>
      <c r="AV69" s="230">
        <f t="shared" si="195"/>
        <v>-3.8997281513336768</v>
      </c>
      <c r="AW69" s="230">
        <f t="shared" si="195"/>
        <v>0.72061462176775426</v>
      </c>
      <c r="AX69" s="230">
        <f t="shared" ca="1" si="195"/>
        <v>-6.6069499828015466E-2</v>
      </c>
      <c r="AY69" s="230">
        <f t="shared" ca="1" si="195"/>
        <v>0.33849205304005792</v>
      </c>
      <c r="AZ69" s="230">
        <f t="shared" ca="1" si="196"/>
        <v>5.990081672592118E-2</v>
      </c>
      <c r="BA69" s="230">
        <f t="shared" ca="1" si="197"/>
        <v>7.2391072695173753E-2</v>
      </c>
      <c r="BB69" s="230">
        <f t="shared" ca="1" si="198"/>
        <v>-2.4243141311136585E-3</v>
      </c>
    </row>
    <row r="70" spans="1:54">
      <c r="J70" s="28"/>
      <c r="K70" s="28"/>
      <c r="L70" s="28"/>
      <c r="M70" s="28"/>
      <c r="U70" s="90"/>
      <c r="V70" s="90"/>
    </row>
    <row r="71" spans="1:54">
      <c r="D71" s="28"/>
      <c r="E71" s="28"/>
      <c r="F71" s="28"/>
      <c r="G71" s="28"/>
      <c r="H71" s="28"/>
      <c r="I71" s="28"/>
      <c r="J71" s="28"/>
      <c r="K71" s="28"/>
      <c r="L71" s="28"/>
      <c r="M71" s="28"/>
      <c r="N71" s="28"/>
      <c r="O71" s="28"/>
      <c r="P71" s="28"/>
      <c r="Q71" s="28"/>
      <c r="R71" s="28"/>
      <c r="S71" s="28"/>
    </row>
    <row r="72" spans="1:54">
      <c r="A72" s="471" t="s">
        <v>109</v>
      </c>
      <c r="B72" s="471"/>
      <c r="C72" s="471"/>
      <c r="D72" s="471">
        <v>2012</v>
      </c>
      <c r="E72" s="471">
        <v>2013</v>
      </c>
      <c r="F72" s="471">
        <v>2014</v>
      </c>
      <c r="G72" s="471">
        <v>2015</v>
      </c>
      <c r="H72" s="471">
        <v>2016</v>
      </c>
      <c r="I72" s="471">
        <v>2017</v>
      </c>
      <c r="J72" s="471">
        <v>2018</v>
      </c>
      <c r="K72" s="471">
        <v>2019</v>
      </c>
      <c r="L72" s="471">
        <v>2020</v>
      </c>
      <c r="M72" s="471">
        <v>2021</v>
      </c>
      <c r="N72" s="471">
        <v>2022</v>
      </c>
      <c r="O72" s="470">
        <v>2023</v>
      </c>
      <c r="P72" s="470">
        <v>2024</v>
      </c>
      <c r="Q72" s="470">
        <v>2025</v>
      </c>
      <c r="R72" s="470">
        <v>2026</v>
      </c>
      <c r="S72" s="470">
        <f>+R72+1</f>
        <v>2027</v>
      </c>
      <c r="U72" s="131" t="s">
        <v>110</v>
      </c>
      <c r="V72" s="131"/>
    </row>
    <row r="73" spans="1:54">
      <c r="D73" s="28"/>
      <c r="E73" s="28"/>
      <c r="F73" s="28"/>
      <c r="G73" s="28"/>
      <c r="H73" s="28"/>
      <c r="I73" s="28"/>
      <c r="J73" s="28"/>
      <c r="K73" s="28"/>
      <c r="L73" s="28"/>
      <c r="M73" s="28"/>
      <c r="N73" s="28"/>
      <c r="O73" s="28"/>
      <c r="P73" s="28"/>
      <c r="Q73" s="28"/>
      <c r="R73" s="28"/>
      <c r="S73" s="28"/>
    </row>
    <row r="74" spans="1:54">
      <c r="B74" s="25" t="s">
        <v>111</v>
      </c>
      <c r="C74" s="34" t="s">
        <v>59</v>
      </c>
      <c r="D74" s="23">
        <f>+SUM(D75:D80,D85:D86)</f>
        <v>13229.053844349999</v>
      </c>
      <c r="E74" s="23">
        <f>+SUM(E75:E80,E85:E86)</f>
        <v>17218.367465679999</v>
      </c>
      <c r="F74" s="23">
        <f>+SUM(F75:F80,F85:F86)</f>
        <v>24914.331813289995</v>
      </c>
      <c r="G74" s="23">
        <f>+SUM(G75:G80,G85:G86)</f>
        <v>11614.117605769999</v>
      </c>
      <c r="H74" s="23">
        <f>+SUM(H75:H80,H85:H86)</f>
        <v>7585.6421850299994</v>
      </c>
      <c r="I74" s="23">
        <f t="shared" ref="I74:P74" si="200">+SUM(I75:I80,I85:I86)</f>
        <v>8475.1825465900001</v>
      </c>
      <c r="J74" s="23">
        <f t="shared" si="200"/>
        <v>8217.1698319200004</v>
      </c>
      <c r="K74" s="23">
        <f t="shared" si="200"/>
        <v>11038.144556390002</v>
      </c>
      <c r="L74" s="23">
        <f t="shared" si="200"/>
        <v>8141.5347523600003</v>
      </c>
      <c r="M74" s="23">
        <f t="shared" si="200"/>
        <v>8522.8897244900018</v>
      </c>
      <c r="N74" s="23">
        <f t="shared" si="200"/>
        <v>14901.15571424</v>
      </c>
      <c r="O74" s="23">
        <f t="shared" ca="1" si="200"/>
        <v>12071.184543942143</v>
      </c>
      <c r="P74" s="23">
        <f t="shared" ca="1" si="200"/>
        <v>14994.399686809378</v>
      </c>
      <c r="Q74" s="23">
        <f ca="1">+SUM(Q75:Q80,Q85:Q86)</f>
        <v>15521.689330484254</v>
      </c>
      <c r="R74" s="23">
        <f ca="1">+SUM(R75:R80,R85:R86)</f>
        <v>16902.068235954746</v>
      </c>
      <c r="S74" s="23">
        <f ca="1">+SUM(S75:S80,S85:S86)</f>
        <v>17536.79682196815</v>
      </c>
      <c r="T74" s="28"/>
      <c r="U74" s="123">
        <f t="shared" ref="U74:U86" si="201">+IFERROR(((N74/I74)^(1/5))-1," ")</f>
        <v>0.11947443022217219</v>
      </c>
      <c r="V74" s="123">
        <f t="shared" ref="V74:V86" ca="1" si="202">+IFERROR(((S74/I74)^(1/8))-1," ")</f>
        <v>9.5153892578302646E-2</v>
      </c>
      <c r="W74" s="28"/>
      <c r="X74" s="172"/>
      <c r="Z74" s="279"/>
    </row>
    <row r="75" spans="1:54">
      <c r="B75" s="47" t="s">
        <v>112</v>
      </c>
      <c r="C75" s="51" t="s">
        <v>59</v>
      </c>
      <c r="D75" s="63">
        <v>3835.39230219</v>
      </c>
      <c r="E75" s="63">
        <v>4645.1392445599995</v>
      </c>
      <c r="F75" s="63">
        <v>3701.5536533199993</v>
      </c>
      <c r="G75" s="63">
        <v>1554.79484645</v>
      </c>
      <c r="H75" s="63">
        <v>994.77457359000005</v>
      </c>
      <c r="I75" s="63">
        <v>1388.09621137</v>
      </c>
      <c r="J75" s="63">
        <v>571.73365359000002</v>
      </c>
      <c r="K75" s="68">
        <f>+TGTbase2021!HK118</f>
        <v>1771.27937219</v>
      </c>
      <c r="L75" s="68">
        <f>+TGTbase2021!HL118</f>
        <v>1512.67682281</v>
      </c>
      <c r="M75" s="68">
        <f>+TGTbase2021!HM118</f>
        <v>747.73482663000004</v>
      </c>
      <c r="N75" s="1420">
        <f>+TGTbase2021!HN118</f>
        <v>1780.0150192999999</v>
      </c>
      <c r="O75" s="48">
        <f t="shared" ref="O75" ca="1" si="203">+O182</f>
        <v>-349.27966272190133</v>
      </c>
      <c r="P75" s="48">
        <f ca="1">+P182</f>
        <v>999.99999999999977</v>
      </c>
      <c r="Q75" s="48">
        <f ca="1">+Q182</f>
        <v>1000</v>
      </c>
      <c r="R75" s="48">
        <f ca="1">+R182</f>
        <v>1000</v>
      </c>
      <c r="S75" s="48">
        <f ca="1">+S182</f>
        <v>1000</v>
      </c>
      <c r="U75" s="286">
        <f t="shared" si="201"/>
        <v>5.099541058141277E-2</v>
      </c>
      <c r="V75" s="286">
        <f t="shared" ca="1" si="202"/>
        <v>-4.0162852593747744E-2</v>
      </c>
      <c r="W75" s="28">
        <f>+SUM(K76:K86)-SUM(L76:L86)</f>
        <v>2537.78306488</v>
      </c>
      <c r="X75" s="172"/>
    </row>
    <row r="76" spans="1:54">
      <c r="B76" s="17" t="s">
        <v>113</v>
      </c>
      <c r="C76" s="18" t="s">
        <v>59</v>
      </c>
      <c r="D76" s="43">
        <v>71.150999999999996</v>
      </c>
      <c r="E76" s="43">
        <v>0</v>
      </c>
      <c r="F76" s="43">
        <v>2999.9969603899999</v>
      </c>
      <c r="G76" s="43">
        <v>0</v>
      </c>
      <c r="H76" s="43">
        <v>0</v>
      </c>
      <c r="I76" s="43">
        <v>0</v>
      </c>
      <c r="J76" s="43">
        <v>0</v>
      </c>
      <c r="K76" s="38">
        <f>+TGTbase2021!HK119</f>
        <v>0</v>
      </c>
      <c r="L76" s="38">
        <f>+TGTbase2021!HL119</f>
        <v>0</v>
      </c>
      <c r="M76" s="38">
        <f>+TGTbase2021!HM119</f>
        <v>0</v>
      </c>
      <c r="N76" s="168">
        <f>+TGTbase2021!HN119</f>
        <v>0</v>
      </c>
      <c r="O76" s="43">
        <v>0</v>
      </c>
      <c r="P76" s="43">
        <v>0</v>
      </c>
      <c r="Q76" s="43">
        <v>0</v>
      </c>
      <c r="R76" s="43">
        <v>0</v>
      </c>
      <c r="S76" s="43">
        <v>0</v>
      </c>
      <c r="T76" s="28"/>
      <c r="U76" s="42" t="str">
        <f t="shared" si="201"/>
        <v xml:space="preserve"> </v>
      </c>
      <c r="V76" s="42" t="str">
        <f t="shared" si="202"/>
        <v xml:space="preserve"> </v>
      </c>
      <c r="W76" s="28">
        <f>+SUM(L110:L116)-SUM(K110:K116)</f>
        <v>-2355.9488328099997</v>
      </c>
      <c r="X76" s="172"/>
      <c r="Z76" s="279"/>
    </row>
    <row r="77" spans="1:54">
      <c r="B77" s="17" t="s">
        <v>114</v>
      </c>
      <c r="C77" s="18" t="s">
        <v>59</v>
      </c>
      <c r="D77" s="43">
        <v>4800.9107446899998</v>
      </c>
      <c r="E77" s="43">
        <v>6206.8621487499995</v>
      </c>
      <c r="F77" s="43">
        <v>10590.56282719</v>
      </c>
      <c r="G77" s="43">
        <v>5721.5446691199995</v>
      </c>
      <c r="H77" s="43">
        <v>4518.0038039999999</v>
      </c>
      <c r="I77" s="43">
        <v>3946.1515562899999</v>
      </c>
      <c r="J77" s="43">
        <v>4555.0173417400001</v>
      </c>
      <c r="K77" s="38">
        <f>+TGTbase2021!HK121</f>
        <v>4497.4228453100004</v>
      </c>
      <c r="L77" s="38">
        <f>+TGTbase2021!HL121</f>
        <v>2589.6019576599997</v>
      </c>
      <c r="M77" s="38">
        <f>+TGTbase2021!HM121</f>
        <v>4112.5312060900005</v>
      </c>
      <c r="N77" s="168">
        <f>+TGTbase2021!HN121</f>
        <v>8241.4661028299997</v>
      </c>
      <c r="O77" s="38">
        <f>+Drivers!O191</f>
        <v>7521.6586360152796</v>
      </c>
      <c r="P77" s="38">
        <f>+Drivers!P191</f>
        <v>8488.6232484365264</v>
      </c>
      <c r="Q77" s="38">
        <f>+Drivers!Q191</f>
        <v>8811.6455834709177</v>
      </c>
      <c r="R77" s="38">
        <f>+Drivers!R191</f>
        <v>9659.8905220293163</v>
      </c>
      <c r="S77" s="38">
        <f>+Drivers!S191</f>
        <v>10049.184110067097</v>
      </c>
      <c r="T77" s="28"/>
      <c r="U77" s="32">
        <f t="shared" si="201"/>
        <v>0.15868702347927655</v>
      </c>
      <c r="V77" s="32">
        <f t="shared" si="202"/>
        <v>0.12394388878065699</v>
      </c>
      <c r="W77" s="28">
        <f>+SUM(W75:W76)</f>
        <v>181.83423207000033</v>
      </c>
      <c r="X77" s="172"/>
    </row>
    <row r="78" spans="1:54">
      <c r="B78" s="17" t="s">
        <v>68</v>
      </c>
      <c r="C78" s="18" t="s">
        <v>59</v>
      </c>
      <c r="D78" s="43">
        <v>3463.3354494200003</v>
      </c>
      <c r="E78" s="43">
        <v>4657.64484705</v>
      </c>
      <c r="F78" s="43">
        <v>5112.3382132200004</v>
      </c>
      <c r="G78" s="43">
        <v>3277.0963567700001</v>
      </c>
      <c r="H78" s="43">
        <v>1528</v>
      </c>
      <c r="I78" s="43">
        <v>1657.90942002</v>
      </c>
      <c r="J78" s="43">
        <v>1594.9852257299999</v>
      </c>
      <c r="K78" s="38">
        <f>+TGTbase2021!HK122</f>
        <v>2910.1309270500001</v>
      </c>
      <c r="L78" s="38">
        <f>+TGTbase2021!HL122</f>
        <v>1870.0387588699998</v>
      </c>
      <c r="M78" s="38">
        <f>+TGTbase2021!HM122</f>
        <v>1910.29391154</v>
      </c>
      <c r="N78" s="168">
        <f>+TGTbase2021!HN122</f>
        <v>3634.91686338</v>
      </c>
      <c r="O78" s="38">
        <f>+Drivers!O192</f>
        <v>3672.5920831264775</v>
      </c>
      <c r="P78" s="38">
        <f>+Drivers!P192</f>
        <v>4144.7308429523382</v>
      </c>
      <c r="Q78" s="38">
        <f>+Drivers!Q192</f>
        <v>4302.4526072238441</v>
      </c>
      <c r="R78" s="38">
        <f>+Drivers!R192</f>
        <v>4716.6242409889246</v>
      </c>
      <c r="S78" s="38">
        <f>+Drivers!S192</f>
        <v>4906.704197900779</v>
      </c>
      <c r="U78" s="32">
        <f t="shared" si="201"/>
        <v>0.17000235693987942</v>
      </c>
      <c r="V78" s="32">
        <f t="shared" si="202"/>
        <v>0.14525879272046405</v>
      </c>
      <c r="W78" s="28"/>
      <c r="X78" s="172"/>
      <c r="Z78" s="279"/>
    </row>
    <row r="79" spans="1:54">
      <c r="B79" s="17" t="s">
        <v>115</v>
      </c>
      <c r="C79" s="18" t="s">
        <v>59</v>
      </c>
      <c r="D79" s="43">
        <v>548.95273213999997</v>
      </c>
      <c r="E79" s="43">
        <v>404.07414027000004</v>
      </c>
      <c r="F79" s="43">
        <v>308.08695413999999</v>
      </c>
      <c r="G79" s="43">
        <v>385.65959927</v>
      </c>
      <c r="H79" s="43">
        <v>348.22277494000002</v>
      </c>
      <c r="I79" s="43">
        <v>584.44420807000006</v>
      </c>
      <c r="J79" s="43">
        <v>664.91499580999994</v>
      </c>
      <c r="K79" s="38">
        <f>+TGTbase2021!HK123</f>
        <v>913.49819362000005</v>
      </c>
      <c r="L79" s="38">
        <f>+TGTbase2021!HL123</f>
        <v>1152.97058655</v>
      </c>
      <c r="M79" s="38">
        <f>+TGTbase2021!HM123</f>
        <v>1260.6158910300001</v>
      </c>
      <c r="N79" s="168">
        <f>+TGTbase2021!HN123</f>
        <v>652.28043898999999</v>
      </c>
      <c r="O79" s="38">
        <f>+Drivers!O193</f>
        <v>630.87746753245676</v>
      </c>
      <c r="P79" s="38">
        <f>+Drivers!P193</f>
        <v>709.27571149026016</v>
      </c>
      <c r="Q79" s="38">
        <f>+Drivers!Q193</f>
        <v>736.4776464826034</v>
      </c>
      <c r="R79" s="38">
        <f>+Drivers!R193</f>
        <v>805.08296857747337</v>
      </c>
      <c r="S79" s="38">
        <f>+Drivers!S193</f>
        <v>837.3940730989018</v>
      </c>
      <c r="U79" s="32">
        <f t="shared" si="201"/>
        <v>2.2205607781822678E-2</v>
      </c>
      <c r="V79" s="32">
        <f t="shared" si="202"/>
        <v>4.5979933561606012E-2</v>
      </c>
      <c r="W79" s="28"/>
      <c r="X79" s="172"/>
    </row>
    <row r="80" spans="1:54">
      <c r="B80" s="17" t="s">
        <v>116</v>
      </c>
      <c r="C80" s="18" t="s">
        <v>59</v>
      </c>
      <c r="D80" s="16">
        <f>+SUM(D81:D84)</f>
        <v>303.26433100999998</v>
      </c>
      <c r="E80" s="16">
        <f>+SUM(E81:E84)</f>
        <v>616.57358817999989</v>
      </c>
      <c r="F80" s="16">
        <f>+SUM(F81:F84)</f>
        <v>1005.4924514600001</v>
      </c>
      <c r="G80" s="16">
        <f>+SUM(G81:G84)</f>
        <v>324.80004122000003</v>
      </c>
      <c r="H80" s="16">
        <f t="shared" ref="H80:P80" si="204">+SUM(H81:H84)</f>
        <v>543.70467169000005</v>
      </c>
      <c r="I80" s="16">
        <f t="shared" si="204"/>
        <v>741.32012697999994</v>
      </c>
      <c r="J80" s="16">
        <f t="shared" si="204"/>
        <v>428.14857602999996</v>
      </c>
      <c r="K80" s="38">
        <f>+TGTbase2021!HK124</f>
        <v>352.76158563999996</v>
      </c>
      <c r="L80" s="38">
        <f>+TGTbase2021!HL124</f>
        <v>452.98577540999997</v>
      </c>
      <c r="M80" s="38">
        <f>+TGTbase2021!HM124</f>
        <v>372.89824778000002</v>
      </c>
      <c r="N80" s="168">
        <f>+TGTbase2021!HN124</f>
        <v>268.87641309000003</v>
      </c>
      <c r="O80" s="16">
        <f t="shared" si="204"/>
        <v>268.38108199642841</v>
      </c>
      <c r="P80" s="16">
        <f t="shared" si="204"/>
        <v>282.78248073267548</v>
      </c>
      <c r="Q80" s="16">
        <f>+SUM(Q81:Q84)</f>
        <v>288.08480578195002</v>
      </c>
      <c r="R80" s="16">
        <f>+SUM(R81:R84)</f>
        <v>300.56991334705907</v>
      </c>
      <c r="S80" s="16">
        <f>+SUM(S81:S84)</f>
        <v>306.69185607161052</v>
      </c>
      <c r="U80" s="42">
        <f t="shared" si="201"/>
        <v>-0.18358799374505053</v>
      </c>
      <c r="V80" s="42">
        <f t="shared" si="202"/>
        <v>-0.1044557360202979</v>
      </c>
      <c r="W80" s="28"/>
      <c r="X80" s="172"/>
    </row>
    <row r="81" spans="2:25" ht="15" customHeight="1" outlineLevel="1">
      <c r="B81" s="29" t="s">
        <v>116</v>
      </c>
      <c r="C81" s="18" t="s">
        <v>59</v>
      </c>
      <c r="D81" s="16">
        <v>45.683813000000001</v>
      </c>
      <c r="E81" s="603">
        <v>151.64571827999998</v>
      </c>
      <c r="F81" s="603">
        <v>217.41029005000001</v>
      </c>
      <c r="G81" s="16">
        <v>12.34993755</v>
      </c>
      <c r="H81" s="16">
        <v>2.6406670000000001</v>
      </c>
      <c r="I81" s="16">
        <v>5.3220590000000003</v>
      </c>
      <c r="J81" s="43">
        <v>51.467167000000003</v>
      </c>
      <c r="K81" s="38">
        <f>+TGTbase2021!HK125</f>
        <v>32.640667000000001</v>
      </c>
      <c r="L81" s="38">
        <f>+TGTbase2021!HL125</f>
        <v>130.80366700000002</v>
      </c>
      <c r="M81" s="38">
        <f>+TGTbase2021!HM125</f>
        <v>63.773608000000003</v>
      </c>
      <c r="N81" s="168">
        <f>+TGTbase2021!HN125</f>
        <v>99.709997000000001</v>
      </c>
      <c r="O81" s="38">
        <f>+Drivers!O195</f>
        <v>99.843564508926548</v>
      </c>
      <c r="P81" s="38">
        <f>+Drivers!P195</f>
        <v>111.94133236096793</v>
      </c>
      <c r="Q81" s="38">
        <f>+Drivers!Q195</f>
        <v>116.44436377310129</v>
      </c>
      <c r="R81" s="38">
        <f>+Drivers!R195</f>
        <v>126.9135927825161</v>
      </c>
      <c r="S81" s="38">
        <f>+Drivers!S195</f>
        <v>132.08611553895676</v>
      </c>
      <c r="U81" s="32">
        <f t="shared" si="201"/>
        <v>0.79693266594441736</v>
      </c>
      <c r="V81" s="32">
        <f t="shared" si="202"/>
        <v>0.49398826245041216</v>
      </c>
      <c r="W81" s="28"/>
      <c r="X81" s="172"/>
      <c r="Y81" s="279"/>
    </row>
    <row r="82" spans="2:25" ht="15" customHeight="1" outlineLevel="1">
      <c r="B82" s="29" t="s">
        <v>117</v>
      </c>
      <c r="C82" s="18" t="s">
        <v>59</v>
      </c>
      <c r="D82" s="16">
        <v>214.44639749999999</v>
      </c>
      <c r="E82" s="16">
        <v>53.165152459999995</v>
      </c>
      <c r="F82" s="16">
        <v>608.19288423000012</v>
      </c>
      <c r="G82" s="16">
        <v>38.940740820000002</v>
      </c>
      <c r="H82" s="16">
        <v>28.178694359999998</v>
      </c>
      <c r="I82" s="16">
        <v>373.24613364999999</v>
      </c>
      <c r="J82" s="43">
        <v>13.9294747</v>
      </c>
      <c r="K82" s="38">
        <f>+TGTbase2021!HK130</f>
        <v>20.12091882</v>
      </c>
      <c r="L82" s="38">
        <f>+TGTbase2021!HL130</f>
        <v>22.182108589999999</v>
      </c>
      <c r="M82" s="38">
        <f>+TGTbase2021!HM130</f>
        <v>9.124639779999999</v>
      </c>
      <c r="N82" s="168">
        <f>+TGTbase2021!HN130</f>
        <v>19.166416089999998</v>
      </c>
      <c r="O82" s="38">
        <f>+Drivers!O196</f>
        <v>18.537517487501884</v>
      </c>
      <c r="P82" s="38">
        <f>+Drivers!P196</f>
        <v>20.84114837170754</v>
      </c>
      <c r="Q82" s="38">
        <f>+Drivers!Q196</f>
        <v>21.640442008848748</v>
      </c>
      <c r="R82" s="38">
        <f>+Drivers!R196</f>
        <v>23.656320564542963</v>
      </c>
      <c r="S82" s="38">
        <f>+Drivers!S196</f>
        <v>24.605740532653751</v>
      </c>
      <c r="U82" s="32">
        <f t="shared" si="201"/>
        <v>-0.44778383077783401</v>
      </c>
      <c r="V82" s="32">
        <f t="shared" si="202"/>
        <v>-0.28816368480018073</v>
      </c>
      <c r="W82" s="28"/>
      <c r="X82" s="172"/>
    </row>
    <row r="83" spans="2:25" ht="15" customHeight="1" outlineLevel="1">
      <c r="B83" s="29" t="s">
        <v>118</v>
      </c>
      <c r="C83" s="18" t="s">
        <v>59</v>
      </c>
      <c r="D83" s="16">
        <v>31.423399370000002</v>
      </c>
      <c r="E83" s="16">
        <v>16.72475318</v>
      </c>
      <c r="F83" s="16">
        <v>16.72475318</v>
      </c>
      <c r="G83" s="16">
        <v>122.75193418000001</v>
      </c>
      <c r="H83" s="16">
        <v>512.88531033000004</v>
      </c>
      <c r="I83" s="16">
        <v>362.75193432999998</v>
      </c>
      <c r="J83" s="43">
        <v>362.75193432999998</v>
      </c>
      <c r="K83" s="38">
        <f>+TGTbase2021!HK131</f>
        <v>299.99999981999997</v>
      </c>
      <c r="L83" s="38">
        <f>+TGTbase2021!HL131</f>
        <v>299.99999981999997</v>
      </c>
      <c r="M83" s="38">
        <f>+TGTbase2021!HM131</f>
        <v>300</v>
      </c>
      <c r="N83" s="168">
        <f>+TGTbase2021!HN131</f>
        <v>150</v>
      </c>
      <c r="O83" s="38">
        <f>+Drivers!O197</f>
        <v>150</v>
      </c>
      <c r="P83" s="38">
        <f>+Drivers!P197</f>
        <v>150</v>
      </c>
      <c r="Q83" s="38">
        <f>+Drivers!Q197</f>
        <v>150</v>
      </c>
      <c r="R83" s="38">
        <f>+Drivers!R197</f>
        <v>150</v>
      </c>
      <c r="S83" s="38">
        <f>+Drivers!S197</f>
        <v>150</v>
      </c>
      <c r="U83" s="32">
        <f t="shared" si="201"/>
        <v>-0.16189910502147664</v>
      </c>
      <c r="V83" s="32">
        <f t="shared" si="202"/>
        <v>-0.10451113437719761</v>
      </c>
      <c r="W83" s="28"/>
      <c r="X83" s="172"/>
    </row>
    <row r="84" spans="2:25" ht="15" customHeight="1" outlineLevel="1">
      <c r="B84" s="29" t="s">
        <v>119</v>
      </c>
      <c r="C84" s="18" t="s">
        <v>59</v>
      </c>
      <c r="D84" s="16">
        <v>11.71072114</v>
      </c>
      <c r="E84" s="16">
        <v>395.03796425999997</v>
      </c>
      <c r="F84" s="16">
        <v>163.164524</v>
      </c>
      <c r="G84" s="16">
        <v>150.75742867</v>
      </c>
      <c r="H84" s="16">
        <v>0</v>
      </c>
      <c r="I84" s="16">
        <v>0</v>
      </c>
      <c r="J84" s="16">
        <v>0</v>
      </c>
      <c r="K84" s="38">
        <f>+TGTbase2021!HK133</f>
        <v>0</v>
      </c>
      <c r="L84" s="38">
        <f>+TGTbase2021!HL133</f>
        <v>0</v>
      </c>
      <c r="M84" s="38">
        <f>+TGTbase2021!HM133</f>
        <v>0</v>
      </c>
      <c r="N84" s="168">
        <f>+TGTbase2021!HN133</f>
        <v>0</v>
      </c>
      <c r="O84" s="38">
        <f>+Drivers!O198</f>
        <v>0</v>
      </c>
      <c r="P84" s="38">
        <f>+Drivers!P198</f>
        <v>0</v>
      </c>
      <c r="Q84" s="38">
        <f>+Drivers!Q198</f>
        <v>0</v>
      </c>
      <c r="R84" s="38">
        <f>+Drivers!R198</f>
        <v>0</v>
      </c>
      <c r="S84" s="38">
        <f>+Drivers!S198</f>
        <v>0</v>
      </c>
      <c r="U84" s="32" t="str">
        <f t="shared" si="201"/>
        <v xml:space="preserve"> </v>
      </c>
      <c r="V84" s="32" t="str">
        <f t="shared" si="202"/>
        <v xml:space="preserve"> </v>
      </c>
      <c r="W84" s="28"/>
      <c r="X84" s="172"/>
    </row>
    <row r="85" spans="2:25">
      <c r="B85" s="17" t="s">
        <v>93</v>
      </c>
      <c r="C85" s="18" t="s">
        <v>59</v>
      </c>
      <c r="D85" s="43">
        <v>-26.549074000000001</v>
      </c>
      <c r="E85" s="43">
        <v>-26.025024420000001</v>
      </c>
      <c r="F85" s="43">
        <v>-11.814254</v>
      </c>
      <c r="G85" s="43">
        <v>-1206</v>
      </c>
      <c r="H85" s="43">
        <v>-911.79222283000001</v>
      </c>
      <c r="I85" s="43">
        <v>-296.68854314999999</v>
      </c>
      <c r="J85" s="43">
        <v>0</v>
      </c>
      <c r="K85" s="38">
        <f>+TGTbase2021!HK134</f>
        <v>0</v>
      </c>
      <c r="L85" s="38">
        <f>+TGTbase2021!HL134</f>
        <v>0</v>
      </c>
      <c r="M85" s="38">
        <f>+TGTbase2021!HM134</f>
        <v>0</v>
      </c>
      <c r="N85" s="168">
        <f>+TGTbase2021!HN134</f>
        <v>0</v>
      </c>
      <c r="O85" s="38">
        <f>+Drivers!O199</f>
        <v>0</v>
      </c>
      <c r="P85" s="38">
        <f>+Drivers!P199</f>
        <v>0</v>
      </c>
      <c r="Q85" s="38">
        <f>+Drivers!Q199</f>
        <v>0</v>
      </c>
      <c r="R85" s="38">
        <f>+Drivers!R199</f>
        <v>0</v>
      </c>
      <c r="S85" s="38">
        <f>+Drivers!S199</f>
        <v>0</v>
      </c>
      <c r="U85" s="32">
        <f t="shared" si="201"/>
        <v>-1</v>
      </c>
      <c r="V85" s="32">
        <f t="shared" si="202"/>
        <v>-1</v>
      </c>
      <c r="W85" s="28"/>
      <c r="X85" s="172"/>
    </row>
    <row r="86" spans="2:25">
      <c r="B86" s="186" t="s">
        <v>120</v>
      </c>
      <c r="C86" s="191" t="s">
        <v>59</v>
      </c>
      <c r="D86" s="651">
        <v>232.59635890000001</v>
      </c>
      <c r="E86" s="651">
        <v>714.09852129000001</v>
      </c>
      <c r="F86" s="651">
        <v>1208.11500757</v>
      </c>
      <c r="G86" s="651">
        <v>1556.22209294</v>
      </c>
      <c r="H86" s="651">
        <v>564.72858364000001</v>
      </c>
      <c r="I86" s="651">
        <v>453.94956701000001</v>
      </c>
      <c r="J86" s="651">
        <v>402.37003901999998</v>
      </c>
      <c r="K86" s="265">
        <f>+TGTbase2021!HK135</f>
        <v>593.05163258000005</v>
      </c>
      <c r="L86" s="265">
        <f>+TGTbase2021!HL135</f>
        <v>563.26085105999994</v>
      </c>
      <c r="M86" s="265">
        <f>+TGTbase2021!HM135</f>
        <v>118.81564142000001</v>
      </c>
      <c r="N86" s="298">
        <f>+TGTbase2021!HN135</f>
        <v>323.60087664999998</v>
      </c>
      <c r="O86" s="265">
        <f>+Drivers!O200</f>
        <v>326.95493799340159</v>
      </c>
      <c r="P86" s="265">
        <f>+Drivers!P200</f>
        <v>368.98740319757758</v>
      </c>
      <c r="Q86" s="265">
        <f>+Drivers!Q200</f>
        <v>383.02868752494027</v>
      </c>
      <c r="R86" s="265">
        <f>+Drivers!R200</f>
        <v>419.90059101197511</v>
      </c>
      <c r="S86" s="265">
        <f>+Drivers!S200</f>
        <v>436.82258482975772</v>
      </c>
      <c r="U86" s="230">
        <f t="shared" si="201"/>
        <v>-6.5454573098022939E-2</v>
      </c>
      <c r="V86" s="230">
        <f t="shared" si="202"/>
        <v>-4.7958352934605042E-3</v>
      </c>
      <c r="W86" s="28"/>
      <c r="X86" s="172"/>
    </row>
    <row r="87" spans="2:25">
      <c r="D87" s="28"/>
      <c r="E87" s="28"/>
      <c r="F87" s="28"/>
      <c r="G87" s="28"/>
      <c r="H87" s="28"/>
      <c r="I87" s="28"/>
      <c r="J87" s="16"/>
      <c r="K87" s="16"/>
      <c r="L87" s="16"/>
      <c r="M87" s="16"/>
      <c r="N87" s="16"/>
      <c r="O87" s="16"/>
      <c r="P87" s="16"/>
      <c r="Q87" s="16"/>
      <c r="R87" s="16"/>
      <c r="S87" s="16"/>
      <c r="U87" s="108"/>
      <c r="V87" s="108"/>
      <c r="W87" s="28"/>
      <c r="X87" s="28"/>
    </row>
    <row r="88" spans="2:25">
      <c r="B88" s="1290" t="s">
        <v>121</v>
      </c>
      <c r="C88" s="1291" t="s">
        <v>59</v>
      </c>
      <c r="D88" s="221">
        <f t="shared" ref="D88:I88" si="205">+SUM(D89,D99:D100,D104:D106)</f>
        <v>5910.0350581300017</v>
      </c>
      <c r="E88" s="221">
        <f>+SUM(E89,E99:E100,E104:E106)</f>
        <v>5793.9416717099994</v>
      </c>
      <c r="F88" s="221">
        <f>+SUM(F89,F99:F100,F104:F106)</f>
        <v>7994.86876484</v>
      </c>
      <c r="G88" s="221">
        <f t="shared" si="205"/>
        <v>15809.33559991</v>
      </c>
      <c r="H88" s="221">
        <f t="shared" si="205"/>
        <v>13091.171318509998</v>
      </c>
      <c r="I88" s="221">
        <f t="shared" si="205"/>
        <v>12927.02540572</v>
      </c>
      <c r="J88" s="221">
        <f t="shared" ref="J88:P88" si="206">+SUM(J89,J99:J100,J104:J106)</f>
        <v>13790.349712270001</v>
      </c>
      <c r="K88" s="23">
        <f t="shared" si="206"/>
        <v>13607.911864549998</v>
      </c>
      <c r="L88" s="23">
        <f t="shared" si="206"/>
        <v>13968.555516510001</v>
      </c>
      <c r="M88" s="23">
        <f t="shared" si="206"/>
        <v>13592.242015299998</v>
      </c>
      <c r="N88" s="23">
        <f>+SUM(N89,N99:N100,N104:N106)</f>
        <v>14995.60652272</v>
      </c>
      <c r="O88" s="221">
        <f t="shared" ca="1" si="206"/>
        <v>14864.783333403637</v>
      </c>
      <c r="P88" s="221">
        <f t="shared" ca="1" si="206"/>
        <v>14794.215606310929</v>
      </c>
      <c r="Q88" s="221">
        <f ca="1">+SUM(Q89,Q99:Q100,Q104:Q106)</f>
        <v>14692.209532967152</v>
      </c>
      <c r="R88" s="221">
        <f ca="1">+SUM(R89,R99:R100,R104:R106)</f>
        <v>14623.960796084744</v>
      </c>
      <c r="S88" s="221">
        <f ca="1">+SUM(S89,S99:S100,S104:S106)</f>
        <v>14522.744647232961</v>
      </c>
      <c r="U88" s="1278">
        <f t="shared" ref="U88:U106" si="207">+IFERROR(((N88/I88)^(1/5))-1," ")</f>
        <v>3.0132494513106955E-2</v>
      </c>
      <c r="V88" s="1278">
        <f t="shared" ref="V88:V106" ca="1" si="208">+IFERROR(((S88/I88)^(1/8))-1," ")</f>
        <v>1.4655847023254065E-2</v>
      </c>
      <c r="W88" s="28"/>
      <c r="X88" s="172"/>
    </row>
    <row r="89" spans="2:25">
      <c r="B89" s="17" t="s">
        <v>122</v>
      </c>
      <c r="C89" s="18" t="s">
        <v>59</v>
      </c>
      <c r="D89" s="16">
        <f>+D90+SUM(D97:D98)</f>
        <v>4335.8611459100011</v>
      </c>
      <c r="E89" s="16">
        <f>+E90+SUM(E97:E98)</f>
        <v>4148.3749045899986</v>
      </c>
      <c r="F89" s="16">
        <f>+F90+SUM(F97:F98)</f>
        <v>5277.0045758400001</v>
      </c>
      <c r="G89" s="16">
        <f>+G90+G98</f>
        <v>11757.290173699999</v>
      </c>
      <c r="H89" s="48">
        <f>+H90+H98</f>
        <v>9683.8412113699978</v>
      </c>
      <c r="I89" s="16">
        <f>+I90+I98</f>
        <v>9868.5442695099991</v>
      </c>
      <c r="J89" s="16">
        <f>+J90+J98</f>
        <v>11019.617097990002</v>
      </c>
      <c r="K89" s="48">
        <f>+K90+K98</f>
        <v>11453.022646309999</v>
      </c>
      <c r="L89" s="48">
        <f t="shared" ref="L89:M89" si="209">+L90+L98</f>
        <v>11172.775860490001</v>
      </c>
      <c r="M89" s="48">
        <f t="shared" si="209"/>
        <v>11346.462306179998</v>
      </c>
      <c r="N89" s="1424">
        <f t="shared" ref="N89:S89" si="210">+N90+N98</f>
        <v>13374.871632689999</v>
      </c>
      <c r="O89" s="55">
        <f t="shared" ca="1" si="210"/>
        <v>13333.993895472137</v>
      </c>
      <c r="P89" s="55">
        <f t="shared" ca="1" si="210"/>
        <v>13353.371620477928</v>
      </c>
      <c r="Q89" s="55">
        <f t="shared" ca="1" si="210"/>
        <v>13341.310999232652</v>
      </c>
      <c r="R89" s="55">
        <f t="shared" ca="1" si="210"/>
        <v>13363.007714448744</v>
      </c>
      <c r="S89" s="55">
        <f t="shared" ca="1" si="210"/>
        <v>13351.737017695461</v>
      </c>
      <c r="U89" s="42">
        <f t="shared" si="207"/>
        <v>6.2691742014503449E-2</v>
      </c>
      <c r="V89" s="42">
        <f t="shared" ca="1" si="208"/>
        <v>3.8509764964300919E-2</v>
      </c>
      <c r="W89" s="28"/>
      <c r="X89" s="172"/>
    </row>
    <row r="90" spans="2:25" ht="15" customHeight="1" outlineLevel="1">
      <c r="B90" s="29" t="s">
        <v>123</v>
      </c>
      <c r="D90" s="16">
        <f>+SUM(D91:D96)</f>
        <v>7038.8459994900004</v>
      </c>
      <c r="E90" s="16">
        <f>+SUM(E91:E96)</f>
        <v>7272.8061216399983</v>
      </c>
      <c r="F90" s="16">
        <f>+SUM(F91:F96)</f>
        <v>8565.0381131300001</v>
      </c>
      <c r="G90" s="16">
        <f>+SUM(G91:G97)</f>
        <v>15077.897173699999</v>
      </c>
      <c r="H90" s="16">
        <f>+SUM(H91:H97)</f>
        <v>13840.526737699998</v>
      </c>
      <c r="I90" s="16">
        <f>+SUM(I91:I97)</f>
        <v>14550.735922530001</v>
      </c>
      <c r="J90" s="16">
        <f>+SUM(J91:J97)</f>
        <v>16128.458083650001</v>
      </c>
      <c r="K90" s="16">
        <f t="shared" ref="K90:L90" si="211">+SUM(K91:K97)</f>
        <v>17049.984147949999</v>
      </c>
      <c r="L90" s="16">
        <f t="shared" si="211"/>
        <v>17075.98169465</v>
      </c>
      <c r="M90" s="16">
        <f>+SUM(M91:M97)</f>
        <v>17842.191409619998</v>
      </c>
      <c r="N90" s="1095">
        <f>+SUM(N91:N97)</f>
        <v>20289.127739359999</v>
      </c>
      <c r="O90" s="16">
        <f>Drivers!O246+Drivers!O306</f>
        <v>21262.706389110135</v>
      </c>
      <c r="P90" s="16">
        <f>Drivers!P246+Drivers!P306</f>
        <v>22361.445744400604</v>
      </c>
      <c r="Q90" s="16">
        <f>Drivers!Q246+Drivers!Q306</f>
        <v>23501.9960437927</v>
      </c>
      <c r="R90" s="16">
        <f>Drivers!R246+Drivers!R306</f>
        <v>24752.340366272307</v>
      </c>
      <c r="S90" s="16">
        <f>Drivers!S246+Drivers!S306</f>
        <v>26053.073564947845</v>
      </c>
      <c r="U90" s="42">
        <f t="shared" si="207"/>
        <v>6.8748906814954935E-2</v>
      </c>
      <c r="V90" s="42">
        <f t="shared" si="208"/>
        <v>7.5528073519894656E-2</v>
      </c>
      <c r="W90" s="28"/>
      <c r="X90" s="172"/>
    </row>
    <row r="91" spans="2:25" ht="15" customHeight="1" outlineLevel="2">
      <c r="B91" s="40" t="s">
        <v>124</v>
      </c>
      <c r="C91" s="18" t="s">
        <v>59</v>
      </c>
      <c r="D91" s="43">
        <v>141.55000000000001</v>
      </c>
      <c r="E91" s="43">
        <v>141.55000000000001</v>
      </c>
      <c r="F91" s="43">
        <v>141.55000000000001</v>
      </c>
      <c r="G91" s="43">
        <v>0</v>
      </c>
      <c r="H91" s="43">
        <v>0</v>
      </c>
      <c r="I91" s="43">
        <v>0</v>
      </c>
      <c r="J91" s="43">
        <v>0</v>
      </c>
      <c r="K91" s="38">
        <f>+TGTbase2021!HK140</f>
        <v>0</v>
      </c>
      <c r="L91" s="38">
        <f>+TGTbase2021!HL140</f>
        <v>0</v>
      </c>
      <c r="M91" s="38">
        <f>+TGTbase2021!HM140</f>
        <v>0</v>
      </c>
      <c r="N91" s="168">
        <f>+TGTbase2021!HN140</f>
        <v>0</v>
      </c>
      <c r="O91" s="134"/>
      <c r="P91" s="134"/>
      <c r="Q91" s="134"/>
      <c r="R91" s="134"/>
      <c r="S91" s="134"/>
      <c r="U91" s="42" t="str">
        <f t="shared" si="207"/>
        <v xml:space="preserve"> </v>
      </c>
      <c r="V91" s="42" t="str">
        <f t="shared" si="208"/>
        <v xml:space="preserve"> </v>
      </c>
      <c r="W91" s="28"/>
      <c r="X91" s="172"/>
    </row>
    <row r="92" spans="2:25" ht="15" customHeight="1" outlineLevel="2">
      <c r="B92" s="40" t="s">
        <v>125</v>
      </c>
      <c r="C92" s="18" t="s">
        <v>59</v>
      </c>
      <c r="D92" s="43">
        <v>763.41397800000004</v>
      </c>
      <c r="E92" s="43">
        <v>763.41397800000004</v>
      </c>
      <c r="F92" s="43">
        <v>770.14197799999999</v>
      </c>
      <c r="G92" s="43">
        <v>5723.9039169999996</v>
      </c>
      <c r="H92" s="43">
        <v>4473.9039169999996</v>
      </c>
      <c r="I92" s="43">
        <v>4473.9039169999996</v>
      </c>
      <c r="J92" s="43">
        <v>4525.0032920000003</v>
      </c>
      <c r="K92" s="38">
        <f>+TGTbase2021!HK141</f>
        <v>4534.4488300000003</v>
      </c>
      <c r="L92" s="38">
        <f>+TGTbase2021!HL141</f>
        <v>4534.4488300000003</v>
      </c>
      <c r="M92" s="38">
        <f>+TGTbase2021!HM141</f>
        <v>4534.4488300000003</v>
      </c>
      <c r="N92" s="168">
        <f>+TGTbase2021!HN141</f>
        <v>4540.128557</v>
      </c>
      <c r="O92" s="134"/>
      <c r="P92" s="134"/>
      <c r="Q92" s="134"/>
      <c r="R92" s="134"/>
      <c r="S92" s="134"/>
      <c r="U92" s="42">
        <f t="shared" si="207"/>
        <v>2.9431107104709309E-3</v>
      </c>
      <c r="V92" s="42">
        <f t="shared" si="208"/>
        <v>-1</v>
      </c>
      <c r="W92" s="28"/>
      <c r="X92" s="172"/>
    </row>
    <row r="93" spans="2:25" ht="15" customHeight="1" outlineLevel="2">
      <c r="B93" s="40" t="s">
        <v>126</v>
      </c>
      <c r="C93" s="18" t="s">
        <v>59</v>
      </c>
      <c r="D93" s="43">
        <v>1587.6439082699999</v>
      </c>
      <c r="E93" s="43">
        <v>1815.0119307799998</v>
      </c>
      <c r="F93" s="43">
        <v>1807.63393124</v>
      </c>
      <c r="G93" s="43">
        <v>2061.9214566999999</v>
      </c>
      <c r="H93" s="43">
        <v>2040.0935767000001</v>
      </c>
      <c r="I93" s="43">
        <v>2781.8883946999999</v>
      </c>
      <c r="J93" s="43">
        <v>3015.0041660000002</v>
      </c>
      <c r="K93" s="38">
        <f>+TGTbase2021!HK145</f>
        <v>3143.6621655200001</v>
      </c>
      <c r="L93" s="38">
        <f>+TGTbase2021!HL145</f>
        <v>3037.1060140500003</v>
      </c>
      <c r="M93" s="38">
        <f>+TGTbase2021!HM145</f>
        <v>3123.0562650399997</v>
      </c>
      <c r="N93" s="168">
        <f>+TGTbase2021!HN145</f>
        <v>3459.5826411399999</v>
      </c>
      <c r="O93" s="134"/>
      <c r="P93" s="134"/>
      <c r="Q93" s="134"/>
      <c r="R93" s="134"/>
      <c r="S93" s="134"/>
      <c r="U93" s="42">
        <f t="shared" si="207"/>
        <v>4.4568202228913778E-2</v>
      </c>
      <c r="V93" s="42">
        <f t="shared" si="208"/>
        <v>-1</v>
      </c>
      <c r="W93" s="28"/>
      <c r="X93" s="172"/>
    </row>
    <row r="94" spans="2:25" ht="15" customHeight="1" outlineLevel="2">
      <c r="B94" s="40" t="s">
        <v>127</v>
      </c>
      <c r="C94" s="18" t="s">
        <v>59</v>
      </c>
      <c r="D94" s="43">
        <v>2564.0631227200001</v>
      </c>
      <c r="E94" s="43">
        <v>2608.2257146100001</v>
      </c>
      <c r="F94" s="43">
        <v>3805.7907611999995</v>
      </c>
      <c r="G94" s="43">
        <v>5134.7808000000005</v>
      </c>
      <c r="H94" s="43">
        <v>5259.4811199799997</v>
      </c>
      <c r="I94" s="43">
        <v>5548.4404298099998</v>
      </c>
      <c r="J94" s="43">
        <v>6765.5618421199997</v>
      </c>
      <c r="K94" s="38">
        <f>+TGTbase2021!HK149</f>
        <v>7399.905850789999</v>
      </c>
      <c r="L94" s="38">
        <f>+TGTbase2021!HL149</f>
        <v>7490.76076216</v>
      </c>
      <c r="M94" s="38">
        <f>+TGTbase2021!HM149</f>
        <v>7964.0023809999993</v>
      </c>
      <c r="N94" s="168">
        <f>+TGTbase2021!HN149</f>
        <v>9601.3787597499995</v>
      </c>
      <c r="O94" s="134"/>
      <c r="P94" s="134"/>
      <c r="Q94" s="134"/>
      <c r="R94" s="134"/>
      <c r="S94" s="134"/>
      <c r="U94" s="42">
        <f t="shared" si="207"/>
        <v>0.11591864757893977</v>
      </c>
      <c r="V94" s="42">
        <f t="shared" si="208"/>
        <v>-1</v>
      </c>
      <c r="W94" s="28"/>
      <c r="X94" s="172"/>
    </row>
    <row r="95" spans="2:25" ht="15" customHeight="1" outlineLevel="2">
      <c r="B95" s="40" t="s">
        <v>128</v>
      </c>
      <c r="C95" s="18" t="s">
        <v>59</v>
      </c>
      <c r="D95" s="43">
        <v>373.62071473000003</v>
      </c>
      <c r="E95" s="43">
        <v>399.82855530999996</v>
      </c>
      <c r="F95" s="43">
        <v>322.73364975999993</v>
      </c>
      <c r="G95" s="43">
        <v>749.88099999999997</v>
      </c>
      <c r="H95" s="43">
        <v>749.58758755999997</v>
      </c>
      <c r="I95" s="43">
        <v>828.73170355999991</v>
      </c>
      <c r="J95" s="43">
        <v>242.434471</v>
      </c>
      <c r="K95" s="38">
        <f>+TGTbase2021!HK152</f>
        <v>250.09897609999999</v>
      </c>
      <c r="L95" s="38">
        <f>+TGTbase2021!HL152</f>
        <v>249.80179609999999</v>
      </c>
      <c r="M95" s="38">
        <f>+TGTbase2021!HM152</f>
        <v>263.02038881999999</v>
      </c>
      <c r="N95" s="168">
        <f>+TGTbase2021!HN152</f>
        <v>286.23288375999999</v>
      </c>
      <c r="O95" s="134"/>
      <c r="P95" s="134"/>
      <c r="Q95" s="134"/>
      <c r="R95" s="134"/>
      <c r="S95" s="134"/>
      <c r="U95" s="42">
        <f t="shared" si="207"/>
        <v>-0.19153520228142884</v>
      </c>
      <c r="V95" s="42">
        <f t="shared" si="208"/>
        <v>-1</v>
      </c>
      <c r="W95" s="28"/>
      <c r="X95" s="172"/>
    </row>
    <row r="96" spans="2:25" ht="15" customHeight="1" outlineLevel="2">
      <c r="B96" s="40" t="s">
        <v>129</v>
      </c>
      <c r="C96" s="18" t="s">
        <v>59</v>
      </c>
      <c r="D96" s="43">
        <v>1608.55427577</v>
      </c>
      <c r="E96" s="43">
        <v>1544.7759429399998</v>
      </c>
      <c r="F96" s="43">
        <v>1717.1877929299999</v>
      </c>
      <c r="G96" s="43">
        <v>1407.41</v>
      </c>
      <c r="H96" s="43">
        <v>1317.46053646</v>
      </c>
      <c r="I96" s="43">
        <v>917.77147746000003</v>
      </c>
      <c r="J96" s="43">
        <v>1580.4543125299999</v>
      </c>
      <c r="K96" s="38">
        <f>+TGTbase2021!HK153</f>
        <v>1721.8683255399999</v>
      </c>
      <c r="L96" s="38">
        <f>+TGTbase2021!HL153</f>
        <v>1763.86429234</v>
      </c>
      <c r="M96" s="38">
        <f>+TGTbase2021!HM153</f>
        <v>1957.6635447599999</v>
      </c>
      <c r="N96" s="168">
        <f>+TGTbase2021!HN153</f>
        <v>2401.8048977100002</v>
      </c>
      <c r="O96" s="134"/>
      <c r="P96" s="134"/>
      <c r="Q96" s="134"/>
      <c r="R96" s="134"/>
      <c r="S96" s="134"/>
      <c r="U96" s="42">
        <f t="shared" si="207"/>
        <v>0.21216191262709083</v>
      </c>
      <c r="V96" s="42">
        <f t="shared" si="208"/>
        <v>-1</v>
      </c>
      <c r="W96" s="28"/>
      <c r="X96" s="172"/>
    </row>
    <row r="97" spans="2:26" ht="15" customHeight="1" outlineLevel="1">
      <c r="B97" s="29" t="s">
        <v>93</v>
      </c>
      <c r="C97" s="18" t="s">
        <v>59</v>
      </c>
      <c r="D97" s="16">
        <v>0</v>
      </c>
      <c r="E97" s="16">
        <v>0</v>
      </c>
      <c r="F97" s="16">
        <v>0</v>
      </c>
      <c r="G97" s="16">
        <v>0</v>
      </c>
      <c r="H97" s="16">
        <v>0</v>
      </c>
      <c r="I97" s="16">
        <v>0</v>
      </c>
      <c r="J97" s="16"/>
      <c r="K97" s="38">
        <f>+TGTbase2021!HK155</f>
        <v>0</v>
      </c>
      <c r="L97" s="38">
        <f>+TGTbase2021!HL155</f>
        <v>0</v>
      </c>
      <c r="M97" s="38">
        <f>+TGTbase2021!HM155</f>
        <v>0</v>
      </c>
      <c r="N97" s="168">
        <f>+TGTbase2021!HN155</f>
        <v>0</v>
      </c>
      <c r="O97" s="134"/>
      <c r="P97" s="134"/>
      <c r="Q97" s="134"/>
      <c r="R97" s="134"/>
      <c r="S97" s="134"/>
      <c r="U97" s="42" t="str">
        <f t="shared" si="207"/>
        <v xml:space="preserve"> </v>
      </c>
      <c r="V97" s="42" t="str">
        <f t="shared" si="208"/>
        <v xml:space="preserve"> </v>
      </c>
      <c r="W97" s="28"/>
      <c r="X97" s="172"/>
    </row>
    <row r="98" spans="2:26" ht="15" customHeight="1" outlineLevel="1">
      <c r="B98" s="29" t="s">
        <v>130</v>
      </c>
      <c r="C98" s="18" t="s">
        <v>59</v>
      </c>
      <c r="D98" s="43">
        <v>-2702.9848535799997</v>
      </c>
      <c r="E98" s="43">
        <v>-3124.4312170499998</v>
      </c>
      <c r="F98" s="43">
        <v>-3288.0335372899999</v>
      </c>
      <c r="G98" s="43">
        <v>-3320.607</v>
      </c>
      <c r="H98" s="43">
        <v>-4156.6855263300004</v>
      </c>
      <c r="I98" s="43">
        <v>-4682.1916530200006</v>
      </c>
      <c r="J98" s="43">
        <v>-5108.8409856600001</v>
      </c>
      <c r="K98" s="38">
        <f>+TGTbase2021!HK156</f>
        <v>-5596.9615016400003</v>
      </c>
      <c r="L98" s="38">
        <f>+TGTbase2021!HL156</f>
        <v>-5903.2058341599995</v>
      </c>
      <c r="M98" s="38">
        <f>+TGTbase2021!HM156</f>
        <v>-6495.7291034399996</v>
      </c>
      <c r="N98" s="168">
        <f>+TGTbase2021!HN156</f>
        <v>-6914.25610667</v>
      </c>
      <c r="O98" s="16">
        <f ca="1">-Drivers!O308-Drivers!O247</f>
        <v>-7928.7124936379996</v>
      </c>
      <c r="P98" s="16">
        <f ca="1">-Drivers!P308-Drivers!P247</f>
        <v>-9008.0741239226754</v>
      </c>
      <c r="Q98" s="16">
        <f ca="1">-Drivers!Q308-Drivers!Q247</f>
        <v>-10160.685044560048</v>
      </c>
      <c r="R98" s="16">
        <f ca="1">-Drivers!R308-Drivers!R247</f>
        <v>-11389.332651823563</v>
      </c>
      <c r="S98" s="16">
        <f ca="1">-Drivers!S308-Drivers!S247</f>
        <v>-12701.336547252384</v>
      </c>
      <c r="U98" s="42">
        <f t="shared" si="207"/>
        <v>8.1083540106274166E-2</v>
      </c>
      <c r="V98" s="42">
        <f t="shared" ca="1" si="208"/>
        <v>0.13285683598020603</v>
      </c>
      <c r="W98" s="28"/>
      <c r="X98" s="172"/>
    </row>
    <row r="99" spans="2:26">
      <c r="B99" s="17" t="s">
        <v>131</v>
      </c>
      <c r="C99" s="18" t="s">
        <v>59</v>
      </c>
      <c r="D99" s="38">
        <f>+TGTbase2021!HD157</f>
        <v>206.72865598999999</v>
      </c>
      <c r="E99" s="38">
        <f>+TGTbase2021!HE157</f>
        <v>604.69869375000007</v>
      </c>
      <c r="F99" s="38">
        <f>+TGTbase2021!HF157</f>
        <v>972.32163301000037</v>
      </c>
      <c r="G99" s="38">
        <f>+TGTbase2021!HG157</f>
        <v>309.62942621000002</v>
      </c>
      <c r="H99" s="38">
        <f>+TGTbase2021!HH157</f>
        <v>0</v>
      </c>
      <c r="I99" s="38">
        <f>+TGTbase2021!HI157</f>
        <v>0</v>
      </c>
      <c r="J99" s="38">
        <f>+TGTbase2021!HJ157</f>
        <v>0</v>
      </c>
      <c r="K99" s="38">
        <f>+TGTbase2021!HK157</f>
        <v>0</v>
      </c>
      <c r="L99" s="38">
        <f>+TGTbase2021!HL157</f>
        <v>798.31</v>
      </c>
      <c r="M99" s="38">
        <f>+TGTbase2021!HM157</f>
        <v>638.96500000000003</v>
      </c>
      <c r="N99" s="168">
        <f>+TGTbase2021!HN157</f>
        <v>0</v>
      </c>
      <c r="O99" s="38">
        <f>+Drivers!O316</f>
        <v>0</v>
      </c>
      <c r="P99" s="38">
        <f>+Drivers!P316</f>
        <v>0</v>
      </c>
      <c r="Q99" s="38">
        <f>+Drivers!Q316</f>
        <v>0</v>
      </c>
      <c r="R99" s="38">
        <f>+Drivers!R316</f>
        <v>0</v>
      </c>
      <c r="S99" s="38">
        <f>+Drivers!S316</f>
        <v>0</v>
      </c>
      <c r="T99" s="28"/>
      <c r="U99" s="42" t="str">
        <f t="shared" si="207"/>
        <v xml:space="preserve"> </v>
      </c>
      <c r="V99" s="42" t="str">
        <f t="shared" si="208"/>
        <v xml:space="preserve"> </v>
      </c>
      <c r="W99" s="28"/>
      <c r="X99" s="172"/>
      <c r="Z99" s="279"/>
    </row>
    <row r="100" spans="2:26">
      <c r="B100" s="17" t="s">
        <v>132</v>
      </c>
      <c r="C100" s="18" t="s">
        <v>59</v>
      </c>
      <c r="D100" s="55">
        <f t="shared" ref="D100:K100" si="212">+SUM(D101:D103)</f>
        <v>859.04051708999998</v>
      </c>
      <c r="E100" s="55">
        <f t="shared" si="212"/>
        <v>580.26921057000004</v>
      </c>
      <c r="F100" s="55">
        <f t="shared" si="212"/>
        <v>84.625561000000005</v>
      </c>
      <c r="G100" s="55">
        <f t="shared" si="212"/>
        <v>341.86000000000007</v>
      </c>
      <c r="H100" s="55">
        <f t="shared" si="212"/>
        <v>225.39206973000012</v>
      </c>
      <c r="I100" s="55">
        <f t="shared" si="212"/>
        <v>247.47654420000001</v>
      </c>
      <c r="J100" s="55">
        <f t="shared" si="212"/>
        <v>174.41584913999998</v>
      </c>
      <c r="K100" s="55">
        <f t="shared" si="212"/>
        <v>104.27844770000002</v>
      </c>
      <c r="L100" s="55">
        <f t="shared" ref="L100:M100" si="213">+SUM(L101:L103)</f>
        <v>100.90566253999995</v>
      </c>
      <c r="M100" s="55">
        <f t="shared" si="213"/>
        <v>49.747753100000011</v>
      </c>
      <c r="N100" s="169">
        <f t="shared" ref="N100:S100" si="214">+SUM(N101:N103)</f>
        <v>59.391383980000001</v>
      </c>
      <c r="O100" s="38">
        <f t="shared" si="214"/>
        <v>47.513107184000006</v>
      </c>
      <c r="P100" s="38">
        <f t="shared" si="214"/>
        <v>35.634830388000012</v>
      </c>
      <c r="Q100" s="38">
        <f t="shared" si="214"/>
        <v>23.756553592000017</v>
      </c>
      <c r="R100" s="38">
        <f t="shared" si="214"/>
        <v>11.878276796000023</v>
      </c>
      <c r="S100" s="38">
        <f t="shared" si="214"/>
        <v>0</v>
      </c>
      <c r="U100" s="42">
        <f t="shared" si="207"/>
        <v>-0.24831154416050416</v>
      </c>
      <c r="V100" s="42">
        <f t="shared" si="208"/>
        <v>-1</v>
      </c>
      <c r="W100" s="28"/>
      <c r="X100" s="172"/>
    </row>
    <row r="101" spans="2:26" ht="15" customHeight="1" outlineLevel="1">
      <c r="B101" s="29" t="s">
        <v>133</v>
      </c>
      <c r="C101" s="18" t="s">
        <v>59</v>
      </c>
      <c r="D101" s="43">
        <v>962.03228300000001</v>
      </c>
      <c r="E101" s="43">
        <v>753.18400799999995</v>
      </c>
      <c r="F101" s="43">
        <v>9</v>
      </c>
      <c r="G101" s="43">
        <v>9</v>
      </c>
      <c r="H101" s="43">
        <v>9</v>
      </c>
      <c r="I101" s="43">
        <v>9</v>
      </c>
      <c r="J101" s="43">
        <v>9</v>
      </c>
      <c r="K101" s="38">
        <f>+TGTbase2021!HK159+TGTbase2021!HK160</f>
        <v>411.87904350000002</v>
      </c>
      <c r="L101" s="38">
        <f>+TGTbase2021!HL159+TGTbase2021!HL160</f>
        <v>356.34909733999996</v>
      </c>
      <c r="M101" s="38">
        <f>+TGTbase2021!HM159+TGTbase2021!HM160</f>
        <v>208.34611521000002</v>
      </c>
      <c r="N101" s="168">
        <f>+TGTbase2021!HN159+TGTbase2021!HN160</f>
        <v>150.64031978</v>
      </c>
      <c r="O101" s="38">
        <f>+Drivers!O253</f>
        <v>150.64031978</v>
      </c>
      <c r="P101" s="38">
        <f>+Drivers!P253</f>
        <v>150.64031978</v>
      </c>
      <c r="Q101" s="38">
        <f>+Drivers!Q253</f>
        <v>150.64031978</v>
      </c>
      <c r="R101" s="38">
        <f>+Drivers!R253</f>
        <v>150.64031978</v>
      </c>
      <c r="S101" s="38">
        <f>+Drivers!S253</f>
        <v>150.64031978</v>
      </c>
      <c r="U101" s="42">
        <f t="shared" si="207"/>
        <v>0.75687047304018495</v>
      </c>
      <c r="V101" s="42">
        <f t="shared" si="208"/>
        <v>0.42220545451750313</v>
      </c>
      <c r="W101" s="28"/>
      <c r="X101" s="172"/>
    </row>
    <row r="102" spans="2:26" ht="15" customHeight="1" outlineLevel="1">
      <c r="B102" s="29" t="s">
        <v>134</v>
      </c>
      <c r="C102" s="18" t="s">
        <v>59</v>
      </c>
      <c r="D102" s="43">
        <v>0</v>
      </c>
      <c r="E102" s="43">
        <v>0</v>
      </c>
      <c r="F102" s="43">
        <v>226.87668300000001</v>
      </c>
      <c r="G102" s="43">
        <v>717.61800000000005</v>
      </c>
      <c r="H102" s="43">
        <v>789.7621352000001</v>
      </c>
      <c r="I102" s="43">
        <v>419.83991549000001</v>
      </c>
      <c r="J102" s="43">
        <f>+TGTbase2021!HJ160</f>
        <v>429.84172494000001</v>
      </c>
      <c r="K102" s="43"/>
      <c r="L102" s="43"/>
      <c r="M102" s="43"/>
      <c r="N102" s="1096"/>
      <c r="O102" s="55"/>
      <c r="P102" s="55"/>
      <c r="Q102" s="55"/>
      <c r="R102" s="55"/>
      <c r="S102" s="55"/>
      <c r="U102" s="42">
        <f t="shared" si="207"/>
        <v>-1</v>
      </c>
      <c r="V102" s="42">
        <f t="shared" si="208"/>
        <v>-1</v>
      </c>
      <c r="W102" s="28"/>
      <c r="X102" s="172"/>
    </row>
    <row r="103" spans="2:26" ht="15" customHeight="1" outlineLevel="1" collapsed="1">
      <c r="B103" s="29" t="s">
        <v>135</v>
      </c>
      <c r="C103" s="18" t="s">
        <v>59</v>
      </c>
      <c r="D103" s="43">
        <v>-102.99176591</v>
      </c>
      <c r="E103" s="43">
        <v>-172.91479742999996</v>
      </c>
      <c r="F103" s="43">
        <v>-151.25112200000001</v>
      </c>
      <c r="G103" s="43">
        <v>-384.75799999999998</v>
      </c>
      <c r="H103" s="43">
        <v>-573.37006546999999</v>
      </c>
      <c r="I103" s="43">
        <v>-181.36337129</v>
      </c>
      <c r="J103" s="43">
        <f>+TGTbase2021!HJ161</f>
        <v>-264.42587580000003</v>
      </c>
      <c r="K103" s="38">
        <f>+TGTbase2021!HK161</f>
        <v>-307.60059580000001</v>
      </c>
      <c r="L103" s="38">
        <f>+TGTbase2021!HL161</f>
        <v>-255.44343480000001</v>
      </c>
      <c r="M103" s="38">
        <f>+TGTbase2021!HM161</f>
        <v>-158.59836211000001</v>
      </c>
      <c r="N103" s="168">
        <f>+TGTbase2021!HN161</f>
        <v>-91.248935799999998</v>
      </c>
      <c r="O103" s="38">
        <f>+Drivers!O254</f>
        <v>-103.12721259599999</v>
      </c>
      <c r="P103" s="38">
        <f>+Drivers!P254</f>
        <v>-115.00548939199999</v>
      </c>
      <c r="Q103" s="38">
        <f>+Drivers!Q254</f>
        <v>-126.88376618799998</v>
      </c>
      <c r="R103" s="38">
        <f>+Drivers!R254</f>
        <v>-138.76204298399998</v>
      </c>
      <c r="S103" s="38">
        <f>+Drivers!S254</f>
        <v>-150.64031977999997</v>
      </c>
      <c r="U103" s="42">
        <f t="shared" si="207"/>
        <v>-0.12836302341227768</v>
      </c>
      <c r="V103" s="42">
        <f t="shared" si="208"/>
        <v>-2.2933875903939471E-2</v>
      </c>
      <c r="W103" s="28"/>
      <c r="X103" s="172"/>
    </row>
    <row r="104" spans="2:26">
      <c r="B104" s="17" t="s">
        <v>136</v>
      </c>
      <c r="C104" s="18" t="s">
        <v>59</v>
      </c>
      <c r="D104" s="43">
        <v>273.31431781999999</v>
      </c>
      <c r="E104" s="43">
        <v>231.64966146</v>
      </c>
      <c r="F104" s="43">
        <v>1094.20397299</v>
      </c>
      <c r="G104" s="43">
        <v>3400.556</v>
      </c>
      <c r="H104" s="43">
        <v>3181.9380374100001</v>
      </c>
      <c r="I104" s="43">
        <v>2811.0045920100001</v>
      </c>
      <c r="J104" s="43">
        <f>+TGTbase2021!HJ162</f>
        <v>2596.3167651399999</v>
      </c>
      <c r="K104" s="38">
        <f>+TGTbase2021!HK162</f>
        <v>2050.61077054</v>
      </c>
      <c r="L104" s="38">
        <f>+TGTbase2021!HL162</f>
        <v>1896.5639934799999</v>
      </c>
      <c r="M104" s="38">
        <f>+TGTbase2021!HM162</f>
        <v>1557.0669560199999</v>
      </c>
      <c r="N104" s="168">
        <f>+TGTbase2021!HN162</f>
        <v>1561.3435060499999</v>
      </c>
      <c r="O104" s="38">
        <f>+Drivers!O264</f>
        <v>1483.2763307475</v>
      </c>
      <c r="P104" s="38">
        <f>+Drivers!P264</f>
        <v>1405.2091554450001</v>
      </c>
      <c r="Q104" s="38">
        <f>+Drivers!Q264</f>
        <v>1327.1419801425002</v>
      </c>
      <c r="R104" s="38">
        <f>+Drivers!R264</f>
        <v>1249.0748048400003</v>
      </c>
      <c r="S104" s="38">
        <f>+Drivers!S264</f>
        <v>1171.0076295375004</v>
      </c>
      <c r="U104" s="42">
        <f t="shared" si="207"/>
        <v>-0.110947553803731</v>
      </c>
      <c r="V104" s="42">
        <f t="shared" si="208"/>
        <v>-0.10368168398515976</v>
      </c>
      <c r="W104" s="28"/>
      <c r="X104" s="172"/>
    </row>
    <row r="105" spans="2:26">
      <c r="B105" s="17" t="s">
        <v>137</v>
      </c>
      <c r="C105" s="18" t="s">
        <v>59</v>
      </c>
      <c r="D105" s="43">
        <v>10.498307</v>
      </c>
      <c r="E105" s="43">
        <v>0</v>
      </c>
      <c r="F105" s="43">
        <v>0</v>
      </c>
      <c r="G105" s="43">
        <v>0</v>
      </c>
      <c r="H105" s="43">
        <v>0</v>
      </c>
      <c r="I105" s="43">
        <v>0</v>
      </c>
      <c r="J105" s="43">
        <v>0</v>
      </c>
      <c r="K105" s="38">
        <f>+TGTbase2021!HK163</f>
        <v>0</v>
      </c>
      <c r="L105" s="38">
        <f>+TGTbase2021!HL163</f>
        <v>0</v>
      </c>
      <c r="M105" s="38">
        <f>+TGTbase2021!HM163</f>
        <v>0</v>
      </c>
      <c r="N105" s="168">
        <f>+TGTbase2021!HN163</f>
        <v>0</v>
      </c>
      <c r="O105" s="38">
        <f>+Drivers!O318</f>
        <v>0</v>
      </c>
      <c r="P105" s="38">
        <f>+Drivers!P318</f>
        <v>0</v>
      </c>
      <c r="Q105" s="38">
        <f>+Drivers!Q318</f>
        <v>0</v>
      </c>
      <c r="R105" s="38">
        <f>+Drivers!R318</f>
        <v>0</v>
      </c>
      <c r="S105" s="38">
        <f>+Drivers!S318</f>
        <v>0</v>
      </c>
      <c r="U105" s="42" t="str">
        <f t="shared" si="207"/>
        <v xml:space="preserve"> </v>
      </c>
      <c r="V105" s="42" t="str">
        <f t="shared" si="208"/>
        <v xml:space="preserve"> </v>
      </c>
      <c r="W105" s="28"/>
      <c r="X105" s="172"/>
    </row>
    <row r="106" spans="2:26">
      <c r="B106" s="186" t="s">
        <v>138</v>
      </c>
      <c r="C106" s="191" t="s">
        <v>59</v>
      </c>
      <c r="D106" s="651">
        <v>224.59211431999998</v>
      </c>
      <c r="E106" s="651">
        <v>228.94920134</v>
      </c>
      <c r="F106" s="651">
        <v>566.71302199999991</v>
      </c>
      <c r="G106" s="651">
        <v>0</v>
      </c>
      <c r="H106" s="651">
        <v>0</v>
      </c>
      <c r="I106" s="651">
        <v>0</v>
      </c>
      <c r="J106" s="651">
        <v>0</v>
      </c>
      <c r="K106" s="265">
        <f>+TGTbase2021!HK164</f>
        <v>0</v>
      </c>
      <c r="L106" s="265">
        <f>+TGTbase2021!HL164</f>
        <v>0</v>
      </c>
      <c r="M106" s="265">
        <f>+TGTbase2021!HM164</f>
        <v>0</v>
      </c>
      <c r="N106" s="298">
        <f>+TGTbase2021!HN164</f>
        <v>0</v>
      </c>
      <c r="O106" s="187">
        <f t="shared" ref="O106:S106" si="215">+N106</f>
        <v>0</v>
      </c>
      <c r="P106" s="187">
        <f t="shared" si="215"/>
        <v>0</v>
      </c>
      <c r="Q106" s="187">
        <f t="shared" si="215"/>
        <v>0</v>
      </c>
      <c r="R106" s="187">
        <f t="shared" si="215"/>
        <v>0</v>
      </c>
      <c r="S106" s="187">
        <f t="shared" si="215"/>
        <v>0</v>
      </c>
      <c r="U106" s="256" t="str">
        <f t="shared" si="207"/>
        <v xml:space="preserve"> </v>
      </c>
      <c r="V106" s="256" t="str">
        <f t="shared" si="208"/>
        <v xml:space="preserve"> </v>
      </c>
      <c r="W106" s="28"/>
      <c r="X106" s="172"/>
    </row>
    <row r="107" spans="2:26">
      <c r="D107" s="28"/>
      <c r="E107" s="28"/>
      <c r="F107" s="28"/>
      <c r="G107" s="28"/>
      <c r="H107" s="28"/>
      <c r="I107" s="28"/>
      <c r="J107" s="28"/>
      <c r="K107" s="28"/>
      <c r="L107" s="28"/>
      <c r="M107" s="28"/>
      <c r="N107" s="28"/>
      <c r="O107" s="28"/>
      <c r="P107" s="28"/>
      <c r="Q107" s="28"/>
      <c r="R107" s="28"/>
      <c r="S107" s="28"/>
      <c r="U107" s="122"/>
      <c r="V107" s="122"/>
      <c r="W107" s="28"/>
      <c r="X107" s="28"/>
    </row>
    <row r="108" spans="2:26">
      <c r="B108" s="41" t="s">
        <v>139</v>
      </c>
      <c r="C108" s="35" t="s">
        <v>59</v>
      </c>
      <c r="D108" s="23">
        <f>+SUM(D109:D116)</f>
        <v>3202.5419650700001</v>
      </c>
      <c r="E108" s="23">
        <f>+SUM(E109:E116)</f>
        <v>5319.4332962400003</v>
      </c>
      <c r="F108" s="23">
        <f>+SUM(F109:F116)</f>
        <v>9567.1712247700016</v>
      </c>
      <c r="G108" s="23">
        <f>+SUM(G109:G116)</f>
        <v>11927.19334666</v>
      </c>
      <c r="H108" s="23">
        <f>+SUM(H109:H116)</f>
        <v>1466.6803750200002</v>
      </c>
      <c r="I108" s="23">
        <f t="shared" ref="I108:P108" si="216">+SUM(I109:I116)</f>
        <v>2652.2812820000004</v>
      </c>
      <c r="J108" s="23">
        <f t="shared" si="216"/>
        <v>3481.9220031200002</v>
      </c>
      <c r="K108" s="23">
        <f t="shared" si="216"/>
        <v>4829.7895098899999</v>
      </c>
      <c r="L108" s="23">
        <f t="shared" si="216"/>
        <v>2473.8406770800002</v>
      </c>
      <c r="M108" s="23">
        <f t="shared" si="216"/>
        <v>2708.5768457699996</v>
      </c>
      <c r="N108" s="23">
        <f t="shared" si="216"/>
        <v>9099.6508949400013</v>
      </c>
      <c r="O108" s="23">
        <f t="shared" ca="1" si="216"/>
        <v>6847.9475518427807</v>
      </c>
      <c r="P108" s="23">
        <f t="shared" ca="1" si="216"/>
        <v>7685.1843055901163</v>
      </c>
      <c r="Q108" s="23">
        <f ca="1">+SUM(Q109:Q116)</f>
        <v>8135.1336077355109</v>
      </c>
      <c r="R108" s="23">
        <f ca="1">+SUM(R109:R116)</f>
        <v>8834.2559895590875</v>
      </c>
      <c r="S108" s="23">
        <f ca="1">+SUM(S109:S116)</f>
        <v>9151.9941906696822</v>
      </c>
      <c r="U108" s="121">
        <f t="shared" ref="U108:U116" si="217">+IFERROR(((N108/I108)^(1/5))-1," ")</f>
        <v>0.27962003186628359</v>
      </c>
      <c r="V108" s="121">
        <f t="shared" ref="V108:V116" ca="1" si="218">+IFERROR(((S108/I108)^(1/8))-1," ")</f>
        <v>0.16744658584763239</v>
      </c>
      <c r="W108" s="28"/>
      <c r="X108" s="172"/>
    </row>
    <row r="109" spans="2:26" outlineLevel="1">
      <c r="B109" s="47" t="s">
        <v>140</v>
      </c>
      <c r="C109" s="51" t="s">
        <v>59</v>
      </c>
      <c r="D109" s="63">
        <v>57.998131560000004</v>
      </c>
      <c r="E109" s="63">
        <v>915.99257815999999</v>
      </c>
      <c r="F109" s="63">
        <v>3641.6666666700003</v>
      </c>
      <c r="G109" s="63">
        <v>8835.6429530299993</v>
      </c>
      <c r="H109" s="63">
        <v>18.07</v>
      </c>
      <c r="I109" s="63">
        <v>0</v>
      </c>
      <c r="J109" s="63">
        <v>0</v>
      </c>
      <c r="K109" s="1206">
        <v>0</v>
      </c>
      <c r="L109" s="1206">
        <v>0</v>
      </c>
      <c r="M109" s="1206">
        <v>0</v>
      </c>
      <c r="N109" s="1425">
        <v>0</v>
      </c>
      <c r="O109" s="68">
        <f ca="1">Drivers!O157</f>
        <v>0</v>
      </c>
      <c r="P109" s="68">
        <f ca="1">Drivers!P157</f>
        <v>0</v>
      </c>
      <c r="Q109" s="68">
        <f ca="1">Drivers!Q157</f>
        <v>153.42953152584153</v>
      </c>
      <c r="R109" s="68">
        <f ca="1">Drivers!R157</f>
        <v>122.74362522067322</v>
      </c>
      <c r="S109" s="68">
        <f ca="1">Drivers!S157</f>
        <v>92.057718915504921</v>
      </c>
      <c r="T109" s="28"/>
      <c r="U109" s="286" t="str">
        <f t="shared" si="217"/>
        <v xml:space="preserve"> </v>
      </c>
      <c r="V109" s="286" t="str">
        <f t="shared" ca="1" si="218"/>
        <v xml:space="preserve"> </v>
      </c>
      <c r="W109" s="28"/>
      <c r="X109" s="172"/>
    </row>
    <row r="110" spans="2:26" outlineLevel="1">
      <c r="B110" s="17" t="s">
        <v>141</v>
      </c>
      <c r="C110" s="18" t="s">
        <v>59</v>
      </c>
      <c r="D110" s="43">
        <v>406.06706401999998</v>
      </c>
      <c r="E110" s="43">
        <v>183.33468015</v>
      </c>
      <c r="F110" s="43">
        <v>943.96051063000004</v>
      </c>
      <c r="G110" s="43">
        <v>948.23800000000006</v>
      </c>
      <c r="H110" s="43">
        <v>408.79548588</v>
      </c>
      <c r="I110" s="43">
        <v>387.86741648000003</v>
      </c>
      <c r="J110" s="43">
        <v>1110.5391087</v>
      </c>
      <c r="K110" s="38">
        <f>+TGTbase2021!HK173</f>
        <v>1031.1538294700001</v>
      </c>
      <c r="L110" s="38">
        <f>+TGTbase2021!HL173</f>
        <v>610.44292705999999</v>
      </c>
      <c r="M110" s="38">
        <f>+TGTbase2021!HM173</f>
        <v>1033.80769029</v>
      </c>
      <c r="N110" s="168">
        <f>+TGTbase2021!HN173</f>
        <v>3579.8173610200001</v>
      </c>
      <c r="O110" s="38">
        <f>+Drivers!O215</f>
        <v>2837.8083568692123</v>
      </c>
      <c r="P110" s="38">
        <f>+Drivers!P215</f>
        <v>3190.4587578060314</v>
      </c>
      <c r="Q110" s="38">
        <f>+Drivers!Q215</f>
        <v>3312.8183005334204</v>
      </c>
      <c r="R110" s="38">
        <f>+Drivers!R215</f>
        <v>3621.4182527999196</v>
      </c>
      <c r="S110" s="38">
        <f>+Drivers!S215</f>
        <v>3766.7598241025385</v>
      </c>
      <c r="U110" s="42">
        <f t="shared" si="217"/>
        <v>0.55968004068309063</v>
      </c>
      <c r="V110" s="42">
        <f t="shared" si="218"/>
        <v>0.32864996072907426</v>
      </c>
      <c r="W110" s="28"/>
      <c r="X110" s="172"/>
    </row>
    <row r="111" spans="2:26" outlineLevel="1">
      <c r="B111" s="17" t="s">
        <v>142</v>
      </c>
      <c r="C111" s="18" t="s">
        <v>59</v>
      </c>
      <c r="D111" s="43">
        <v>234.20071649000002</v>
      </c>
      <c r="E111" s="43">
        <v>131.82741253999998</v>
      </c>
      <c r="F111" s="43">
        <v>177.48362533999995</v>
      </c>
      <c r="G111" s="43">
        <v>269.38810932999996</v>
      </c>
      <c r="H111" s="43">
        <v>224</v>
      </c>
      <c r="I111" s="43">
        <v>1342.1771091400001</v>
      </c>
      <c r="J111" s="43">
        <v>1560.20745629</v>
      </c>
      <c r="K111" s="38">
        <f>+TGTbase2021!HK174</f>
        <v>1994.82668816</v>
      </c>
      <c r="L111" s="38">
        <f>+TGTbase2021!HL174</f>
        <v>1147.8533564700001</v>
      </c>
      <c r="M111" s="38">
        <f>+TGTbase2021!HM174</f>
        <v>800.53310648000001</v>
      </c>
      <c r="N111" s="168">
        <f>+TGTbase2021!HN174</f>
        <v>2385.4815398600003</v>
      </c>
      <c r="O111" s="38">
        <f>+Drivers!O216</f>
        <v>2010.5281384326638</v>
      </c>
      <c r="P111" s="38">
        <f>+Drivers!P216</f>
        <v>2260.373605409598</v>
      </c>
      <c r="Q111" s="38">
        <f>+Drivers!Q216</f>
        <v>2347.0627939390783</v>
      </c>
      <c r="R111" s="38">
        <f>+Drivers!R216</f>
        <v>2565.6994351516228</v>
      </c>
      <c r="S111" s="38">
        <f>+Drivers!S216</f>
        <v>2668.6709124469799</v>
      </c>
      <c r="U111" s="42">
        <f t="shared" si="217"/>
        <v>0.12189767110772398</v>
      </c>
      <c r="V111" s="42">
        <f t="shared" si="218"/>
        <v>8.9709279789077279E-2</v>
      </c>
      <c r="W111" s="28"/>
      <c r="X111" s="172"/>
    </row>
    <row r="112" spans="2:26" outlineLevel="1">
      <c r="B112" s="17" t="s">
        <v>143</v>
      </c>
      <c r="C112" s="18" t="s">
        <v>59</v>
      </c>
      <c r="D112" s="43">
        <v>0</v>
      </c>
      <c r="E112" s="43">
        <v>0</v>
      </c>
      <c r="F112" s="43">
        <v>0</v>
      </c>
      <c r="G112" s="43">
        <v>0</v>
      </c>
      <c r="H112" s="43">
        <v>0</v>
      </c>
      <c r="I112" s="43">
        <v>0</v>
      </c>
      <c r="J112" s="43">
        <v>0</v>
      </c>
      <c r="K112" s="38">
        <f>+TGTbase2021!HK175</f>
        <v>0</v>
      </c>
      <c r="L112" s="38">
        <f>+TGTbase2021!HL175</f>
        <v>0</v>
      </c>
      <c r="M112" s="38">
        <f>+TGTbase2021!HM175</f>
        <v>0</v>
      </c>
      <c r="N112" s="168">
        <f>+TGTbase2021!HN175</f>
        <v>0</v>
      </c>
      <c r="O112" s="38">
        <f>+Drivers!O217</f>
        <v>0</v>
      </c>
      <c r="P112" s="38">
        <f>+Drivers!P217</f>
        <v>0</v>
      </c>
      <c r="Q112" s="38">
        <f>+Drivers!Q217</f>
        <v>0</v>
      </c>
      <c r="R112" s="38">
        <f>+Drivers!R217</f>
        <v>0</v>
      </c>
      <c r="S112" s="38">
        <f>+Drivers!S217</f>
        <v>0</v>
      </c>
      <c r="U112" s="42" t="str">
        <f t="shared" si="217"/>
        <v xml:space="preserve"> </v>
      </c>
      <c r="V112" s="42" t="str">
        <f t="shared" si="218"/>
        <v xml:space="preserve"> </v>
      </c>
      <c r="W112" s="28"/>
      <c r="X112" s="172"/>
    </row>
    <row r="113" spans="2:24" outlineLevel="1">
      <c r="B113" s="17" t="s">
        <v>144</v>
      </c>
      <c r="C113" s="18" t="s">
        <v>59</v>
      </c>
      <c r="D113" s="43">
        <v>443.16883100000001</v>
      </c>
      <c r="E113" s="43">
        <v>410.98695500000002</v>
      </c>
      <c r="F113" s="43">
        <v>536.001668</v>
      </c>
      <c r="G113" s="43">
        <v>223.465464</v>
      </c>
      <c r="H113" s="43">
        <v>0.50640128000000006</v>
      </c>
      <c r="I113" s="43">
        <v>0</v>
      </c>
      <c r="J113" s="43">
        <v>0</v>
      </c>
      <c r="K113" s="38">
        <f>+TGTbase2021!HK176</f>
        <v>-1.26</v>
      </c>
      <c r="L113" s="38">
        <f>+TGTbase2021!HL176</f>
        <v>0</v>
      </c>
      <c r="M113" s="38">
        <f>+TGTbase2021!HM176</f>
        <v>0.27</v>
      </c>
      <c r="N113" s="168">
        <f>+TGTbase2021!HN176</f>
        <v>2.76</v>
      </c>
      <c r="O113" s="38">
        <f>+Drivers!O218</f>
        <v>3.1013861028133456</v>
      </c>
      <c r="P113" s="38">
        <f>+Drivers!P218</f>
        <v>3.4805042054730451</v>
      </c>
      <c r="Q113" s="38">
        <f>+Drivers!Q218</f>
        <v>3.6241016379826512</v>
      </c>
      <c r="R113" s="38">
        <f>+Drivers!R218</f>
        <v>3.9504040914992058</v>
      </c>
      <c r="S113" s="38">
        <f>+Drivers!S218</f>
        <v>4.1135294348763747</v>
      </c>
      <c r="U113" s="42" t="str">
        <f t="shared" si="217"/>
        <v xml:space="preserve"> </v>
      </c>
      <c r="V113" s="42" t="str">
        <f t="shared" si="218"/>
        <v xml:space="preserve"> </v>
      </c>
      <c r="W113" s="28"/>
      <c r="X113" s="172"/>
    </row>
    <row r="114" spans="2:24" outlineLevel="1">
      <c r="B114" s="17" t="s">
        <v>145</v>
      </c>
      <c r="C114" s="18" t="s">
        <v>59</v>
      </c>
      <c r="D114" s="43">
        <v>1321.6532219999999</v>
      </c>
      <c r="E114" s="43">
        <v>2169.0181703899998</v>
      </c>
      <c r="F114" s="43">
        <v>2217.12162175</v>
      </c>
      <c r="G114" s="43">
        <v>615.31073474000004</v>
      </c>
      <c r="H114" s="43">
        <v>452.98258534000001</v>
      </c>
      <c r="I114" s="43">
        <v>562.82319022000001</v>
      </c>
      <c r="J114" s="43">
        <v>702.95443762000002</v>
      </c>
      <c r="K114" s="38">
        <f>+TGTbase2021!HK179</f>
        <v>1175.3563469999999</v>
      </c>
      <c r="L114" s="38">
        <f>+TGTbase2021!HL179</f>
        <v>583.59713899999997</v>
      </c>
      <c r="M114" s="38">
        <f>+TGTbase2021!HM179</f>
        <v>873.96511999999996</v>
      </c>
      <c r="N114" s="168">
        <f>+TGTbase2021!HN179</f>
        <v>1421.7179919999999</v>
      </c>
      <c r="O114" s="38">
        <f>+Drivers!O219</f>
        <v>1653.5268861542481</v>
      </c>
      <c r="P114" s="38">
        <f>+Drivers!P219</f>
        <v>1855.6565001377958</v>
      </c>
      <c r="Q114" s="38">
        <f>+Drivers!Q219</f>
        <v>1932.216530900158</v>
      </c>
      <c r="R114" s="38">
        <f>+Drivers!R219</f>
        <v>2106.1870918110621</v>
      </c>
      <c r="S114" s="38">
        <f>+Drivers!S219</f>
        <v>2193.1585723508801</v>
      </c>
      <c r="U114" s="42">
        <f t="shared" si="217"/>
        <v>0.20361695029577365</v>
      </c>
      <c r="V114" s="42">
        <f t="shared" si="218"/>
        <v>0.18532448676078372</v>
      </c>
      <c r="W114" s="28"/>
      <c r="X114" s="172"/>
    </row>
    <row r="115" spans="2:24" outlineLevel="1">
      <c r="B115" s="17" t="s">
        <v>146</v>
      </c>
      <c r="C115" s="18" t="s">
        <v>59</v>
      </c>
      <c r="D115" s="43">
        <v>0</v>
      </c>
      <c r="E115" s="43">
        <v>0</v>
      </c>
      <c r="F115" s="43">
        <v>98.663510000000002</v>
      </c>
      <c r="G115" s="43">
        <v>411.26909454000003</v>
      </c>
      <c r="H115" s="43">
        <v>243.14505288000001</v>
      </c>
      <c r="I115" s="43">
        <v>243.14505288000001</v>
      </c>
      <c r="J115" s="43">
        <v>1E-8</v>
      </c>
      <c r="K115" s="38">
        <f>+TGTbase2021!HK182</f>
        <v>406.12876557999999</v>
      </c>
      <c r="L115" s="38">
        <f>+TGTbase2021!HL182</f>
        <v>0.69999992</v>
      </c>
      <c r="M115" s="38">
        <f>+TGTbase2021!HM182</f>
        <v>0</v>
      </c>
      <c r="N115" s="168">
        <f>+TGTbase2021!HN182</f>
        <v>92.260829749999999</v>
      </c>
      <c r="O115" s="16">
        <f t="shared" ref="O115:S115" si="219">+N115</f>
        <v>92.260829749999999</v>
      </c>
      <c r="P115" s="16">
        <f t="shared" si="219"/>
        <v>92.260829749999999</v>
      </c>
      <c r="Q115" s="16">
        <f t="shared" si="219"/>
        <v>92.260829749999999</v>
      </c>
      <c r="R115" s="16">
        <f t="shared" si="219"/>
        <v>92.260829749999999</v>
      </c>
      <c r="S115" s="16">
        <f t="shared" si="219"/>
        <v>92.260829749999999</v>
      </c>
      <c r="U115" s="42">
        <f t="shared" si="217"/>
        <v>-0.17618369421504743</v>
      </c>
      <c r="V115" s="42">
        <f t="shared" si="218"/>
        <v>-0.11408105332829055</v>
      </c>
      <c r="W115" s="28"/>
      <c r="X115" s="172"/>
    </row>
    <row r="116" spans="2:24" outlineLevel="1">
      <c r="B116" s="186" t="s">
        <v>147</v>
      </c>
      <c r="C116" s="191" t="s">
        <v>59</v>
      </c>
      <c r="D116" s="651">
        <v>739.45400000000006</v>
      </c>
      <c r="E116" s="651">
        <v>1508.2735000000002</v>
      </c>
      <c r="F116" s="651">
        <v>1952.2736223799998</v>
      </c>
      <c r="G116" s="651">
        <v>623.87899101999994</v>
      </c>
      <c r="H116" s="651">
        <v>119.18084964000001</v>
      </c>
      <c r="I116" s="651">
        <v>116.26851327999999</v>
      </c>
      <c r="J116" s="651">
        <f>+TGTbase2021!HJ183</f>
        <v>108.2210005</v>
      </c>
      <c r="K116" s="265">
        <f>+TGTbase2021!HK183</f>
        <v>223.58387968000002</v>
      </c>
      <c r="L116" s="265">
        <f>+TGTbase2021!HL183</f>
        <v>131.24725462999999</v>
      </c>
      <c r="M116" s="265">
        <f>+TGTbase2021!HM183</f>
        <v>9.2900000000000003E-4</v>
      </c>
      <c r="N116" s="298">
        <f>+TGTbase2021!HN183</f>
        <v>1617.6131723099998</v>
      </c>
      <c r="O116" s="265">
        <f>+Drivers!O221</f>
        <v>250.72195453384265</v>
      </c>
      <c r="P116" s="265">
        <f>+Drivers!P221</f>
        <v>282.95410828121754</v>
      </c>
      <c r="Q116" s="265">
        <f>+Drivers!Q221</f>
        <v>293.72151944903061</v>
      </c>
      <c r="R116" s="265">
        <f>+Drivers!R221</f>
        <v>321.99635073431051</v>
      </c>
      <c r="S116" s="265">
        <f>+Drivers!S221</f>
        <v>334.97280366890323</v>
      </c>
      <c r="U116" s="256">
        <f t="shared" si="217"/>
        <v>0.6930996155928113</v>
      </c>
      <c r="V116" s="256">
        <f t="shared" si="218"/>
        <v>0.14141461381990483</v>
      </c>
      <c r="W116" s="28"/>
      <c r="X116" s="172"/>
    </row>
    <row r="117" spans="2:24">
      <c r="D117" s="16"/>
      <c r="E117" s="16"/>
      <c r="F117" s="16"/>
      <c r="G117" s="16"/>
      <c r="H117" s="28"/>
      <c r="I117" s="28"/>
      <c r="J117" s="28"/>
      <c r="K117" s="28"/>
      <c r="L117" s="28"/>
      <c r="M117" s="28"/>
      <c r="N117" s="28"/>
      <c r="O117" s="28"/>
      <c r="P117" s="28"/>
      <c r="Q117" s="28"/>
      <c r="R117" s="28"/>
      <c r="S117" s="28"/>
      <c r="U117" s="122"/>
      <c r="V117" s="122"/>
      <c r="W117" s="28"/>
      <c r="X117" s="28"/>
    </row>
    <row r="118" spans="2:24">
      <c r="B118" s="1290" t="s">
        <v>148</v>
      </c>
      <c r="C118" s="1291" t="s">
        <v>59</v>
      </c>
      <c r="D118" s="221">
        <f>+SUM(D119:D123)</f>
        <v>4799.1225999999997</v>
      </c>
      <c r="E118" s="221">
        <f>+SUM(E119:E123)</f>
        <v>3470.2798959299998</v>
      </c>
      <c r="F118" s="221">
        <f>+SUM(F119:F123)</f>
        <v>6118.2493911000001</v>
      </c>
      <c r="G118" s="221">
        <f>+SUM(G119:G123)</f>
        <v>2303.2292436299999</v>
      </c>
      <c r="H118" s="221">
        <f>+SUM(H119:H123)</f>
        <v>10310.39085589</v>
      </c>
      <c r="I118" s="221">
        <f t="shared" ref="I118:P118" si="220">+SUM(I119:I123)</f>
        <v>8276.85224724</v>
      </c>
      <c r="J118" s="221">
        <f t="shared" si="220"/>
        <v>7262.3475079899999</v>
      </c>
      <c r="K118" s="23">
        <f t="shared" si="220"/>
        <v>7012.9146139200002</v>
      </c>
      <c r="L118" s="23">
        <f t="shared" si="220"/>
        <v>7033.4081236299999</v>
      </c>
      <c r="M118" s="23">
        <f t="shared" si="220"/>
        <v>6690.4943551999995</v>
      </c>
      <c r="N118" s="23">
        <f t="shared" si="220"/>
        <v>6685.6663082899995</v>
      </c>
      <c r="O118" s="221">
        <f t="shared" si="220"/>
        <v>5468.1057766189342</v>
      </c>
      <c r="P118" s="221">
        <f t="shared" si="220"/>
        <v>5046.0134396180329</v>
      </c>
      <c r="Q118" s="221">
        <f>+SUM(Q119:Q123)</f>
        <v>1267.828366123922</v>
      </c>
      <c r="R118" s="221">
        <f>+SUM(R119:R123)</f>
        <v>844.61274879991186</v>
      </c>
      <c r="S118" s="221">
        <f>+SUM(S119:S123)</f>
        <v>848.2960964130483</v>
      </c>
      <c r="U118" s="1278">
        <f t="shared" ref="U118:U123" si="221">+IFERROR(((N118/I118)^(1/5))-1," ")</f>
        <v>-4.180059069989539E-2</v>
      </c>
      <c r="V118" s="1278">
        <f t="shared" ref="V118:V123" si="222">+IFERROR(((S118/I118)^(1/8))-1," ")</f>
        <v>-0.24779661537543085</v>
      </c>
      <c r="W118" s="28"/>
      <c r="X118" s="172"/>
    </row>
    <row r="119" spans="2:24" outlineLevel="1">
      <c r="B119" s="17" t="s">
        <v>149</v>
      </c>
      <c r="C119" s="18" t="s">
        <v>59</v>
      </c>
      <c r="D119" s="43">
        <v>648.83004700000004</v>
      </c>
      <c r="E119" s="43">
        <v>0</v>
      </c>
      <c r="F119" s="43">
        <v>0</v>
      </c>
      <c r="G119" s="43">
        <v>0</v>
      </c>
      <c r="H119" s="63">
        <f>8412.462208-H109</f>
        <v>8394.3922080000011</v>
      </c>
      <c r="I119" s="43">
        <v>8246.4127042399996</v>
      </c>
      <c r="J119" s="43">
        <v>7056.6752209899996</v>
      </c>
      <c r="K119" s="1098">
        <f>+TGTbase2021!HK169+TGTbase2021!HK191</f>
        <v>6638.9976559200004</v>
      </c>
      <c r="L119" s="1098">
        <f>+TGTbase2021!HL169+TGTbase2021!HL191</f>
        <v>6442.4520322199996</v>
      </c>
      <c r="M119" s="1098">
        <f>+TGTbase2021!HM169+TGTbase2021!HM191</f>
        <v>5713.4003596399998</v>
      </c>
      <c r="N119" s="1426">
        <f>+TGTbase2021!HN169+TGTbase2021!HN191</f>
        <v>5074.9655510399998</v>
      </c>
      <c r="O119" s="38">
        <f>Drivers!O139</f>
        <v>4643.7241632799996</v>
      </c>
      <c r="P119" s="38">
        <f>Drivers!P139</f>
        <v>4212.4827755199994</v>
      </c>
      <c r="Q119" s="38">
        <f>Drivers!Q139</f>
        <v>431.24138776000018</v>
      </c>
      <c r="R119" s="38">
        <f>Drivers!R139</f>
        <v>0</v>
      </c>
      <c r="S119" s="38">
        <f>Drivers!S139</f>
        <v>0</v>
      </c>
      <c r="T119" s="28"/>
      <c r="U119" s="42">
        <f t="shared" si="221"/>
        <v>-9.2527221126317061E-2</v>
      </c>
      <c r="V119" s="42">
        <f t="shared" si="222"/>
        <v>-1</v>
      </c>
      <c r="W119" s="28"/>
      <c r="X119" s="172"/>
    </row>
    <row r="120" spans="2:24" outlineLevel="1">
      <c r="B120" s="17" t="s">
        <v>68</v>
      </c>
      <c r="C120" s="18" t="s">
        <v>59</v>
      </c>
      <c r="D120" s="43">
        <v>0</v>
      </c>
      <c r="E120" s="43">
        <v>0</v>
      </c>
      <c r="F120" s="43">
        <v>0</v>
      </c>
      <c r="G120" s="43">
        <v>1469.84</v>
      </c>
      <c r="H120" s="43">
        <v>1469.8408690000001</v>
      </c>
      <c r="I120" s="43">
        <v>30.439543</v>
      </c>
      <c r="J120" s="43">
        <f>+TGTbase2021!HJ192</f>
        <v>205.67228700000001</v>
      </c>
      <c r="K120" s="38">
        <f>+TGTbase2021!HK192</f>
        <v>373.91695800000002</v>
      </c>
      <c r="L120" s="38">
        <f>+TGTbase2021!HL192</f>
        <v>565.51911299999995</v>
      </c>
      <c r="M120" s="38">
        <f>+TGTbase2021!HM192</f>
        <v>753.21454500000004</v>
      </c>
      <c r="N120" s="168">
        <f>+TGTbase2021!HN192</f>
        <v>753.21454500000004</v>
      </c>
      <c r="O120" s="38">
        <f>+Drivers!O321</f>
        <v>753.21454500000004</v>
      </c>
      <c r="P120" s="38">
        <f>+Drivers!P321</f>
        <v>753.21454500000004</v>
      </c>
      <c r="Q120" s="38">
        <f>+Drivers!Q321</f>
        <v>753.21454500000004</v>
      </c>
      <c r="R120" s="38">
        <f>+Drivers!R321</f>
        <v>753.21454500000004</v>
      </c>
      <c r="S120" s="38">
        <f>+Drivers!S321</f>
        <v>753.21454500000004</v>
      </c>
      <c r="U120" s="42">
        <f t="shared" si="221"/>
        <v>0.89974851627970587</v>
      </c>
      <c r="V120" s="42">
        <f t="shared" si="222"/>
        <v>0.49343068797547618</v>
      </c>
      <c r="W120" s="28"/>
      <c r="X120" s="172"/>
    </row>
    <row r="121" spans="2:24" outlineLevel="1">
      <c r="B121" s="17" t="s">
        <v>93</v>
      </c>
      <c r="C121" s="18" t="s">
        <v>59</v>
      </c>
      <c r="D121" s="43">
        <v>2841.49</v>
      </c>
      <c r="E121" s="43">
        <v>3336.9465619299999</v>
      </c>
      <c r="F121" s="43">
        <v>6118.2493911000001</v>
      </c>
      <c r="G121" s="43">
        <v>833.38924363000001</v>
      </c>
      <c r="H121" s="43">
        <v>446.15777888999997</v>
      </c>
      <c r="I121" s="43">
        <v>0</v>
      </c>
      <c r="J121" s="43">
        <v>0</v>
      </c>
      <c r="K121" s="38">
        <f>+TGTbase2021!HK196</f>
        <v>0</v>
      </c>
      <c r="L121" s="38">
        <f>+TGTbase2021!HL196</f>
        <v>25.436978410000002</v>
      </c>
      <c r="M121" s="38">
        <f>+TGTbase2021!HM196</f>
        <v>223.87945056000001</v>
      </c>
      <c r="N121" s="168">
        <f>+TGTbase2021!HN196</f>
        <v>70.437002250000006</v>
      </c>
      <c r="O121" s="38">
        <f>+Drivers!O222</f>
        <v>71.167068338935053</v>
      </c>
      <c r="P121" s="38">
        <f>+Drivers!P222</f>
        <v>80.316119098033454</v>
      </c>
      <c r="Q121" s="38">
        <f>+Drivers!Q222</f>
        <v>83.372433363921701</v>
      </c>
      <c r="R121" s="38">
        <f>+Drivers!R222</f>
        <v>91.398203799911826</v>
      </c>
      <c r="S121" s="38">
        <f>+Drivers!S222</f>
        <v>95.08155141304826</v>
      </c>
      <c r="U121" s="42" t="str">
        <f t="shared" si="221"/>
        <v xml:space="preserve"> </v>
      </c>
      <c r="V121" s="42" t="str">
        <f t="shared" si="222"/>
        <v xml:space="preserve"> </v>
      </c>
      <c r="W121" s="28"/>
      <c r="X121" s="172"/>
    </row>
    <row r="122" spans="2:24" outlineLevel="1">
      <c r="B122" s="17" t="s">
        <v>150</v>
      </c>
      <c r="C122" s="18" t="s">
        <v>59</v>
      </c>
      <c r="D122" s="43">
        <v>1308.802553</v>
      </c>
      <c r="E122" s="43">
        <v>133.33333400000001</v>
      </c>
      <c r="F122" s="43">
        <v>0</v>
      </c>
      <c r="G122" s="43">
        <v>0</v>
      </c>
      <c r="H122" s="43">
        <v>0</v>
      </c>
      <c r="I122" s="43">
        <v>0</v>
      </c>
      <c r="J122" s="43">
        <v>0</v>
      </c>
      <c r="K122" s="38">
        <f>+TGTbase2021!HK193</f>
        <v>0</v>
      </c>
      <c r="L122" s="38">
        <f>+TGTbase2021!HL193</f>
        <v>0</v>
      </c>
      <c r="M122" s="38">
        <f>+TGTbase2021!HM193</f>
        <v>0</v>
      </c>
      <c r="N122" s="168">
        <f>+TGTbase2021!HN193</f>
        <v>787.04921000000002</v>
      </c>
      <c r="O122" s="38">
        <f>+Drivers!O223</f>
        <v>0</v>
      </c>
      <c r="P122" s="38">
        <f>+Drivers!P223</f>
        <v>0</v>
      </c>
      <c r="Q122" s="38">
        <f>+Drivers!Q223</f>
        <v>0</v>
      </c>
      <c r="R122" s="38">
        <f>+Drivers!R223</f>
        <v>0</v>
      </c>
      <c r="S122" s="38">
        <f>+Drivers!S223</f>
        <v>0</v>
      </c>
      <c r="U122" s="42" t="str">
        <f t="shared" si="221"/>
        <v xml:space="preserve"> </v>
      </c>
      <c r="V122" s="42" t="str">
        <f t="shared" si="222"/>
        <v xml:space="preserve"> </v>
      </c>
      <c r="W122" s="28"/>
      <c r="X122" s="172"/>
    </row>
    <row r="123" spans="2:24" outlineLevel="1">
      <c r="B123" s="186" t="s">
        <v>151</v>
      </c>
      <c r="C123" s="191" t="s">
        <v>59</v>
      </c>
      <c r="D123" s="651">
        <v>0</v>
      </c>
      <c r="E123" s="651">
        <v>0</v>
      </c>
      <c r="F123" s="651">
        <v>0</v>
      </c>
      <c r="G123" s="651">
        <v>0</v>
      </c>
      <c r="H123" s="651">
        <v>0</v>
      </c>
      <c r="I123" s="651">
        <v>0</v>
      </c>
      <c r="J123" s="651">
        <v>0</v>
      </c>
      <c r="K123" s="265">
        <f>+TGTbase2021!HK200</f>
        <v>0</v>
      </c>
      <c r="L123" s="265">
        <f>+TGTbase2021!HL200</f>
        <v>0</v>
      </c>
      <c r="M123" s="265">
        <f>+TGTbase2021!HM200</f>
        <v>0</v>
      </c>
      <c r="N123" s="298">
        <f>+TGTbase2021!HN200</f>
        <v>0</v>
      </c>
      <c r="O123" s="265">
        <f>+Drivers!O322</f>
        <v>0</v>
      </c>
      <c r="P123" s="265">
        <f>+Drivers!P322</f>
        <v>0</v>
      </c>
      <c r="Q123" s="265">
        <f>+Drivers!Q322</f>
        <v>0</v>
      </c>
      <c r="R123" s="265">
        <f>+Drivers!R322</f>
        <v>0</v>
      </c>
      <c r="S123" s="265">
        <f>+Drivers!S322</f>
        <v>0</v>
      </c>
      <c r="U123" s="256" t="str">
        <f t="shared" si="221"/>
        <v xml:space="preserve"> </v>
      </c>
      <c r="V123" s="256" t="str">
        <f t="shared" si="222"/>
        <v xml:space="preserve"> </v>
      </c>
      <c r="W123" s="28"/>
      <c r="X123" s="172"/>
    </row>
    <row r="124" spans="2:24">
      <c r="D124" s="16"/>
      <c r="E124" s="16"/>
      <c r="F124" s="16"/>
      <c r="G124" s="16"/>
      <c r="H124" s="16"/>
      <c r="I124" s="486"/>
      <c r="J124" s="486"/>
      <c r="K124" s="486"/>
      <c r="L124" s="486"/>
      <c r="M124" s="486"/>
      <c r="N124" s="486"/>
      <c r="O124" s="486"/>
      <c r="P124" s="486"/>
      <c r="Q124" s="486"/>
      <c r="R124" s="486"/>
      <c r="S124" s="486"/>
      <c r="U124" s="122"/>
      <c r="V124" s="122"/>
      <c r="W124" s="28"/>
      <c r="X124" s="28"/>
    </row>
    <row r="125" spans="2:24">
      <c r="B125" s="185" t="s">
        <v>152</v>
      </c>
      <c r="C125" s="192" t="s">
        <v>59</v>
      </c>
      <c r="D125" s="221">
        <f>+SUM(D126:D133)</f>
        <v>11137.424337410004</v>
      </c>
      <c r="E125" s="221">
        <f>+SUM(E126:E133)</f>
        <v>14222.595945220002</v>
      </c>
      <c r="F125" s="221">
        <f>+SUM(F126:F133)</f>
        <v>17223.779962240009</v>
      </c>
      <c r="G125" s="221">
        <f>+SUM(G126:G133)</f>
        <v>13193.030241689998</v>
      </c>
      <c r="H125" s="221">
        <f>+SUM(H126:H133)</f>
        <v>8900.9665368799997</v>
      </c>
      <c r="I125" s="221">
        <f t="shared" ref="I125:P125" si="223">+SUM(I126:I133)</f>
        <v>10473.07442307</v>
      </c>
      <c r="J125" s="221">
        <f t="shared" si="223"/>
        <v>11263.149789289997</v>
      </c>
      <c r="K125" s="23">
        <f t="shared" si="223"/>
        <v>12803.352297129997</v>
      </c>
      <c r="L125" s="23">
        <f t="shared" si="223"/>
        <v>12602.841468159999</v>
      </c>
      <c r="M125" s="23">
        <f t="shared" si="223"/>
        <v>12716.060538820002</v>
      </c>
      <c r="N125" s="23">
        <f t="shared" si="223"/>
        <v>14111.444075750002</v>
      </c>
      <c r="O125" s="221">
        <f t="shared" ca="1" si="223"/>
        <v>14619.913590904069</v>
      </c>
      <c r="P125" s="221">
        <f t="shared" ca="1" si="223"/>
        <v>17057.416589932163</v>
      </c>
      <c r="Q125" s="221">
        <f ca="1">+SUM(Q126:Q133)</f>
        <v>20810.935931611981</v>
      </c>
      <c r="R125" s="221">
        <f ca="1">+SUM(R126:R133)</f>
        <v>21847.159335700497</v>
      </c>
      <c r="S125" s="221">
        <f ca="1">+SUM(S126:S133)</f>
        <v>22059.250224138385</v>
      </c>
      <c r="U125" s="1279">
        <f t="shared" ref="U125:U133" si="224">+IFERROR(((N125/I125)^(1/5))-1," ")</f>
        <v>6.1449786082538704E-2</v>
      </c>
      <c r="V125" s="1279">
        <f t="shared" ref="V125:V133" ca="1" si="225">+IFERROR(((S125/I125)^(1/8))-1," ")</f>
        <v>9.7588554610019251E-2</v>
      </c>
      <c r="W125" s="28"/>
      <c r="X125" s="172"/>
    </row>
    <row r="126" spans="2:24" outlineLevel="1">
      <c r="B126" s="17" t="s">
        <v>153</v>
      </c>
      <c r="C126" s="18" t="s">
        <v>59</v>
      </c>
      <c r="D126" s="43">
        <v>320</v>
      </c>
      <c r="E126" s="43">
        <v>4000</v>
      </c>
      <c r="F126" s="43">
        <v>4000</v>
      </c>
      <c r="G126" s="43">
        <v>4000</v>
      </c>
      <c r="H126" s="63">
        <v>4340</v>
      </c>
      <c r="I126" s="43">
        <v>4340</v>
      </c>
      <c r="J126" s="43">
        <v>4761.8440000000001</v>
      </c>
      <c r="K126" s="68">
        <f>+TGTbase2021!HK205</f>
        <v>4761.8440000000001</v>
      </c>
      <c r="L126" s="68">
        <f>+TGTbase2021!HL205</f>
        <v>4761.8440000000001</v>
      </c>
      <c r="M126" s="68">
        <f>+TGTbase2021!HM205</f>
        <v>4761.8440000000001</v>
      </c>
      <c r="N126" s="1420">
        <f>+TGTbase2021!HN205</f>
        <v>4761.8440000000001</v>
      </c>
      <c r="O126" s="38">
        <f>+Drivers!O327</f>
        <v>4761.8440000000001</v>
      </c>
      <c r="P126" s="38">
        <f>+Drivers!P327</f>
        <v>4761.8440000000001</v>
      </c>
      <c r="Q126" s="38">
        <f>+Drivers!Q327</f>
        <v>4761.8440000000001</v>
      </c>
      <c r="R126" s="38">
        <f>+Drivers!R327</f>
        <v>4761.8440000000001</v>
      </c>
      <c r="S126" s="38">
        <f>+Drivers!S327</f>
        <v>4761.8440000000001</v>
      </c>
      <c r="U126" s="42">
        <f t="shared" si="224"/>
        <v>1.8725287911755872E-2</v>
      </c>
      <c r="V126" s="42">
        <f t="shared" si="225"/>
        <v>1.1662563522434777E-2</v>
      </c>
      <c r="W126" s="28"/>
      <c r="X126" s="172"/>
    </row>
    <row r="127" spans="2:24" outlineLevel="1">
      <c r="B127" s="17" t="s">
        <v>154</v>
      </c>
      <c r="C127" s="18" t="s">
        <v>59</v>
      </c>
      <c r="D127" s="43">
        <v>0</v>
      </c>
      <c r="E127" s="43">
        <v>0</v>
      </c>
      <c r="F127" s="43">
        <v>139.035572</v>
      </c>
      <c r="G127" s="43">
        <v>139.035572</v>
      </c>
      <c r="H127" s="43">
        <v>139.035572</v>
      </c>
      <c r="I127" s="43">
        <v>139.035572</v>
      </c>
      <c r="J127" s="43">
        <v>199.59157200000001</v>
      </c>
      <c r="K127" s="38">
        <f>+TGTbase2021!HK206</f>
        <v>199.59157200000001</v>
      </c>
      <c r="L127" s="38">
        <f>+TGTbase2021!HL206</f>
        <v>199.59157200000001</v>
      </c>
      <c r="M127" s="38">
        <f>+TGTbase2021!HM206</f>
        <v>199.59157200000001</v>
      </c>
      <c r="N127" s="168">
        <f>+TGTbase2021!HN206</f>
        <v>199.59157200000001</v>
      </c>
      <c r="O127" s="16">
        <f t="shared" ref="O127:S127" si="226">+N127</f>
        <v>199.59157200000001</v>
      </c>
      <c r="P127" s="16">
        <f t="shared" si="226"/>
        <v>199.59157200000001</v>
      </c>
      <c r="Q127" s="16">
        <f t="shared" si="226"/>
        <v>199.59157200000001</v>
      </c>
      <c r="R127" s="16">
        <f t="shared" si="226"/>
        <v>199.59157200000001</v>
      </c>
      <c r="S127" s="16">
        <f t="shared" si="226"/>
        <v>199.59157200000001</v>
      </c>
      <c r="U127" s="42">
        <f t="shared" si="224"/>
        <v>7.4987103641932062E-2</v>
      </c>
      <c r="V127" s="42">
        <f t="shared" si="225"/>
        <v>4.622967442472059E-2</v>
      </c>
      <c r="W127" s="28"/>
      <c r="X127" s="172"/>
    </row>
    <row r="128" spans="2:24" outlineLevel="1">
      <c r="B128" s="17" t="s">
        <v>155</v>
      </c>
      <c r="C128" s="18" t="s">
        <v>59</v>
      </c>
      <c r="D128" s="43">
        <v>493.34978698999998</v>
      </c>
      <c r="E128" s="43">
        <v>0</v>
      </c>
      <c r="F128" s="43">
        <v>0</v>
      </c>
      <c r="G128" s="43">
        <v>0</v>
      </c>
      <c r="H128" s="43">
        <v>0</v>
      </c>
      <c r="I128" s="43">
        <v>0</v>
      </c>
      <c r="J128" s="43">
        <v>0</v>
      </c>
      <c r="K128" s="38">
        <f>+TGTbase2021!HK212</f>
        <v>0</v>
      </c>
      <c r="L128" s="38">
        <f>+TGTbase2021!HL212</f>
        <v>0</v>
      </c>
      <c r="M128" s="38">
        <f>+TGTbase2021!HM212</f>
        <v>0</v>
      </c>
      <c r="N128" s="168">
        <f>+TGTbase2021!HN212</f>
        <v>0</v>
      </c>
      <c r="O128" s="16">
        <f t="shared" ref="O128:S128" si="227">+N128</f>
        <v>0</v>
      </c>
      <c r="P128" s="16">
        <f t="shared" si="227"/>
        <v>0</v>
      </c>
      <c r="Q128" s="16">
        <f t="shared" si="227"/>
        <v>0</v>
      </c>
      <c r="R128" s="16">
        <f t="shared" si="227"/>
        <v>0</v>
      </c>
      <c r="S128" s="16">
        <f t="shared" si="227"/>
        <v>0</v>
      </c>
      <c r="U128" s="42" t="str">
        <f t="shared" si="224"/>
        <v xml:space="preserve"> </v>
      </c>
      <c r="V128" s="42" t="str">
        <f t="shared" si="225"/>
        <v xml:space="preserve"> </v>
      </c>
      <c r="W128" s="28"/>
      <c r="X128" s="172"/>
    </row>
    <row r="129" spans="1:27" outlineLevel="1">
      <c r="B129" s="17" t="s">
        <v>156</v>
      </c>
      <c r="C129" s="18" t="s">
        <v>59</v>
      </c>
      <c r="D129" s="43">
        <v>740.21220130999995</v>
      </c>
      <c r="E129" s="43">
        <v>740.21220130999995</v>
      </c>
      <c r="F129" s="43">
        <v>1345.2296688399999</v>
      </c>
      <c r="G129" s="43">
        <v>1345.2296688399999</v>
      </c>
      <c r="H129" s="43">
        <v>1345.2296688399999</v>
      </c>
      <c r="I129" s="43">
        <v>1345.2296688399999</v>
      </c>
      <c r="J129" s="43">
        <v>1345.2296688399999</v>
      </c>
      <c r="K129" s="38">
        <f>+TGTbase2021!HK207</f>
        <v>1345.2296688399999</v>
      </c>
      <c r="L129" s="38">
        <f>+TGTbase2021!HL207</f>
        <v>1345.2296688399999</v>
      </c>
      <c r="M129" s="38">
        <f>+TGTbase2021!HM207</f>
        <v>1345.2296688399999</v>
      </c>
      <c r="N129" s="168">
        <f>+TGTbase2021!HN207</f>
        <v>1345.2296688399999</v>
      </c>
      <c r="O129" s="38">
        <f>+Drivers!O329</f>
        <v>1584.5730724329999</v>
      </c>
      <c r="P129" s="38">
        <f ca="1">+Drivers!P329</f>
        <v>1810.4200239484069</v>
      </c>
      <c r="Q129" s="38">
        <f ca="1">+Drivers!Q329</f>
        <v>2151.5765387300362</v>
      </c>
      <c r="R129" s="38">
        <f ca="1">+Drivers!R329</f>
        <v>2526.9284728980178</v>
      </c>
      <c r="S129" s="38">
        <f ca="1">+Drivers!S329</f>
        <v>2526.9284728980178</v>
      </c>
      <c r="U129" s="32">
        <f t="shared" si="224"/>
        <v>0</v>
      </c>
      <c r="V129" s="32">
        <f t="shared" ca="1" si="225"/>
        <v>8.1993281272565888E-2</v>
      </c>
      <c r="W129" s="28"/>
      <c r="X129" s="172"/>
    </row>
    <row r="130" spans="1:27" outlineLevel="1">
      <c r="B130" s="17" t="s">
        <v>157</v>
      </c>
      <c r="C130" s="18" t="s">
        <v>59</v>
      </c>
      <c r="D130" s="43">
        <v>3269.2031886300001</v>
      </c>
      <c r="E130" s="43">
        <v>3203.2598673100001</v>
      </c>
      <c r="F130" s="43">
        <v>4413.29480238</v>
      </c>
      <c r="G130" s="43">
        <v>4413</v>
      </c>
      <c r="H130" s="43">
        <v>4413.29480238</v>
      </c>
      <c r="I130" s="43">
        <v>4413.29480238</v>
      </c>
      <c r="J130" s="43">
        <v>4413.29480238</v>
      </c>
      <c r="K130" s="38">
        <f>+TGTbase2021!HK208</f>
        <v>4413.29480238</v>
      </c>
      <c r="L130" s="38">
        <f>+TGTbase2021!HL208</f>
        <v>4413.29480238</v>
      </c>
      <c r="M130" s="38">
        <f>+TGTbase2021!HM208</f>
        <v>4413.29480238</v>
      </c>
      <c r="N130" s="168">
        <f>+TGTbase2021!HN208</f>
        <v>4413.29480238</v>
      </c>
      <c r="O130" s="16">
        <f t="shared" ref="O130:S130" si="228">+N130</f>
        <v>4413.29480238</v>
      </c>
      <c r="P130" s="16">
        <f t="shared" si="228"/>
        <v>4413.29480238</v>
      </c>
      <c r="Q130" s="16">
        <f t="shared" si="228"/>
        <v>4413.29480238</v>
      </c>
      <c r="R130" s="16">
        <f t="shared" si="228"/>
        <v>4413.29480238</v>
      </c>
      <c r="S130" s="16">
        <f t="shared" si="228"/>
        <v>4413.29480238</v>
      </c>
      <c r="U130" s="42">
        <f t="shared" si="224"/>
        <v>0</v>
      </c>
      <c r="V130" s="42">
        <f t="shared" si="225"/>
        <v>0</v>
      </c>
      <c r="W130" s="28"/>
      <c r="X130" s="172"/>
      <c r="Y130" s="28"/>
      <c r="Z130" s="28"/>
      <c r="AA130" s="28"/>
    </row>
    <row r="131" spans="1:27" outlineLevel="1">
      <c r="B131" s="17" t="s">
        <v>158</v>
      </c>
      <c r="C131" s="18" t="s">
        <v>59</v>
      </c>
      <c r="D131" s="43">
        <v>0</v>
      </c>
      <c r="E131" s="43">
        <v>0</v>
      </c>
      <c r="F131" s="43">
        <v>0</v>
      </c>
      <c r="G131" s="43">
        <v>6350.3871234999997</v>
      </c>
      <c r="H131" s="43">
        <v>3393.86111742</v>
      </c>
      <c r="I131" s="43">
        <v>-1026.4325892800043</v>
      </c>
      <c r="J131" s="43">
        <v>235.51437984999666</v>
      </c>
      <c r="K131" s="38">
        <f>+TGTbase2021!HK214</f>
        <v>543.2899900699972</v>
      </c>
      <c r="L131" s="38">
        <f>+TGTbase2021!HL214</f>
        <v>2083.3980007700002</v>
      </c>
      <c r="M131" s="38">
        <f>+TGTbase2021!HM214</f>
        <v>1297.6583089400028</v>
      </c>
      <c r="N131" s="168">
        <f>+TGTbase2021!HN214</f>
        <v>998.04999660000146</v>
      </c>
      <c r="O131" s="38">
        <f>+Drivers!O339</f>
        <v>1402.1406289370007</v>
      </c>
      <c r="P131" s="38">
        <f ca="1">+Drivers!P339</f>
        <v>2460.701043787461</v>
      </c>
      <c r="Q131" s="38">
        <f ca="1">+Drivers!Q339</f>
        <v>5531.1096768221269</v>
      </c>
      <c r="R131" s="38">
        <f ca="1">+Drivers!R339</f>
        <v>5532.7737765659322</v>
      </c>
      <c r="S131" s="38">
        <f ca="1">+Drivers!S339</f>
        <v>5578.1607370199827</v>
      </c>
      <c r="U131" s="42">
        <f t="shared" si="224"/>
        <v>-1.9944074584115761</v>
      </c>
      <c r="V131" s="42" t="str">
        <f t="shared" ca="1" si="225"/>
        <v xml:space="preserve"> </v>
      </c>
      <c r="W131" s="28"/>
      <c r="X131" s="172"/>
    </row>
    <row r="132" spans="1:27" outlineLevel="1">
      <c r="B132" s="17" t="s">
        <v>159</v>
      </c>
      <c r="C132" s="18" t="s">
        <v>59</v>
      </c>
      <c r="D132" s="16">
        <f t="shared" ref="D132:I132" si="229">+D68</f>
        <v>6090.0670461600057</v>
      </c>
      <c r="E132" s="16">
        <f t="shared" si="229"/>
        <v>6050.1746752600029</v>
      </c>
      <c r="F132" s="16">
        <f t="shared" si="229"/>
        <v>6759.5068970200064</v>
      </c>
      <c r="G132" s="16">
        <f t="shared" si="229"/>
        <v>-3054.6221226500029</v>
      </c>
      <c r="H132" s="16">
        <f t="shared" si="229"/>
        <v>-4730.4546237600007</v>
      </c>
      <c r="I132" s="55">
        <f t="shared" si="229"/>
        <v>1261.9469691300046</v>
      </c>
      <c r="J132" s="55">
        <f t="shared" ref="J132:P132" si="230">+J68</f>
        <v>307.67536621999864</v>
      </c>
      <c r="K132" s="38">
        <f>+TGTbase2021!HK213</f>
        <v>1540.1022638399986</v>
      </c>
      <c r="L132" s="38">
        <f>+TGTbase2021!HL213</f>
        <v>-200.51657583000036</v>
      </c>
      <c r="M132" s="38">
        <f>+TGTbase2021!HM213</f>
        <v>698.44218665999961</v>
      </c>
      <c r="N132" s="168">
        <f>+TGTbase2021!HN213</f>
        <v>2393.4340359300008</v>
      </c>
      <c r="O132" s="55">
        <f t="shared" ca="1" si="230"/>
        <v>2258.4695151540691</v>
      </c>
      <c r="P132" s="55">
        <f t="shared" ca="1" si="230"/>
        <v>3411.5651478162949</v>
      </c>
      <c r="Q132" s="55">
        <f ca="1">+Q68</f>
        <v>3753.5193416798156</v>
      </c>
      <c r="R132" s="55">
        <f ca="1">+R68</f>
        <v>4412.7267118565469</v>
      </c>
      <c r="S132" s="55">
        <f ca="1">+S68</f>
        <v>4579.4306398403805</v>
      </c>
      <c r="U132" s="42">
        <f t="shared" si="224"/>
        <v>0.13656969374970962</v>
      </c>
      <c r="V132" s="42">
        <f t="shared" ca="1" si="225"/>
        <v>0.17481990880968334</v>
      </c>
      <c r="W132" s="28"/>
      <c r="X132" s="172"/>
      <c r="Z132" s="28"/>
    </row>
    <row r="133" spans="1:27" outlineLevel="1">
      <c r="A133" s="194"/>
      <c r="B133" s="186" t="s">
        <v>138</v>
      </c>
      <c r="C133" s="191" t="s">
        <v>59</v>
      </c>
      <c r="D133" s="651">
        <v>224.59211431999998</v>
      </c>
      <c r="E133" s="651">
        <v>228.94920134</v>
      </c>
      <c r="F133" s="651">
        <v>566.71302199999991</v>
      </c>
      <c r="G133" s="651">
        <v>0</v>
      </c>
      <c r="H133" s="651">
        <v>0</v>
      </c>
      <c r="I133" s="651">
        <v>0</v>
      </c>
      <c r="J133" s="651">
        <f t="shared" ref="J133:S133" si="231">+I133</f>
        <v>0</v>
      </c>
      <c r="K133" s="265">
        <f>+TGTbase2021!HK215</f>
        <v>0</v>
      </c>
      <c r="L133" s="265">
        <f>+TGTbase2021!HL215</f>
        <v>0</v>
      </c>
      <c r="M133" s="265">
        <f>+TGTbase2021!HM215</f>
        <v>0</v>
      </c>
      <c r="N133" s="298">
        <f>+TGTbase2021!HN215</f>
        <v>0</v>
      </c>
      <c r="O133" s="187">
        <f t="shared" si="231"/>
        <v>0</v>
      </c>
      <c r="P133" s="187">
        <f t="shared" si="231"/>
        <v>0</v>
      </c>
      <c r="Q133" s="187">
        <f t="shared" si="231"/>
        <v>0</v>
      </c>
      <c r="R133" s="187">
        <f t="shared" si="231"/>
        <v>0</v>
      </c>
      <c r="S133" s="187">
        <f t="shared" si="231"/>
        <v>0</v>
      </c>
      <c r="U133" s="256" t="str">
        <f t="shared" si="224"/>
        <v xml:space="preserve"> </v>
      </c>
      <c r="V133" s="256" t="str">
        <f t="shared" si="225"/>
        <v xml:space="preserve"> </v>
      </c>
      <c r="W133" s="28"/>
      <c r="X133" s="172"/>
    </row>
    <row r="134" spans="1:27">
      <c r="D134" s="28"/>
      <c r="E134" s="28"/>
      <c r="F134" s="28"/>
      <c r="G134" s="28"/>
      <c r="H134" s="28"/>
      <c r="I134" s="28"/>
      <c r="J134" s="28"/>
      <c r="K134" s="28"/>
      <c r="L134" s="28"/>
      <c r="M134" s="28"/>
      <c r="U134" s="1285"/>
      <c r="V134" s="123"/>
      <c r="W134" s="28"/>
    </row>
    <row r="135" spans="1:27">
      <c r="A135" s="471" t="s">
        <v>160</v>
      </c>
      <c r="B135" s="471"/>
      <c r="C135" s="471"/>
      <c r="D135" s="471">
        <v>2012</v>
      </c>
      <c r="E135" s="471">
        <v>2013</v>
      </c>
      <c r="F135" s="471">
        <v>2014</v>
      </c>
      <c r="G135" s="471">
        <v>2015</v>
      </c>
      <c r="H135" s="471">
        <v>2016</v>
      </c>
      <c r="I135" s="471">
        <v>2017</v>
      </c>
      <c r="J135" s="471">
        <v>2018</v>
      </c>
      <c r="K135" s="471">
        <v>2019</v>
      </c>
      <c r="L135" s="471">
        <v>2020</v>
      </c>
      <c r="M135" s="471">
        <v>2021</v>
      </c>
      <c r="N135" s="471">
        <v>2022</v>
      </c>
      <c r="O135" s="470">
        <v>2023</v>
      </c>
      <c r="P135" s="470">
        <v>2024</v>
      </c>
      <c r="Q135" s="470">
        <v>2025</v>
      </c>
      <c r="R135" s="470">
        <v>2026</v>
      </c>
      <c r="S135" s="470">
        <f>+R135+1</f>
        <v>2027</v>
      </c>
      <c r="U135"/>
      <c r="V135"/>
      <c r="Y135" s="28"/>
    </row>
    <row r="136" spans="1:27">
      <c r="D136" s="28"/>
      <c r="E136" s="28"/>
      <c r="F136" s="28"/>
      <c r="G136" s="28"/>
      <c r="H136" s="28"/>
      <c r="I136" s="28"/>
      <c r="J136" s="28"/>
      <c r="K136" s="28"/>
      <c r="L136" s="28"/>
      <c r="M136" s="28"/>
      <c r="N136" s="28"/>
      <c r="O136" s="28"/>
      <c r="P136" s="28"/>
      <c r="Q136" s="28"/>
      <c r="R136" s="28"/>
      <c r="S136" s="28"/>
      <c r="U136"/>
      <c r="V136"/>
    </row>
    <row r="137" spans="1:27">
      <c r="B137" s="47" t="s">
        <v>89</v>
      </c>
      <c r="C137" s="51" t="s">
        <v>59</v>
      </c>
      <c r="D137" s="48"/>
      <c r="E137" s="48">
        <f t="shared" ref="E137:L137" si="232">+E43</f>
        <v>9648.7294075400023</v>
      </c>
      <c r="F137" s="48">
        <f t="shared" si="232"/>
        <v>10736.332828470007</v>
      </c>
      <c r="G137" s="48">
        <f t="shared" si="232"/>
        <v>-2402.4764779000034</v>
      </c>
      <c r="H137" s="48">
        <f t="shared" si="232"/>
        <v>-1923.0661363100007</v>
      </c>
      <c r="I137" s="48">
        <f t="shared" si="232"/>
        <v>3142.0866296900044</v>
      </c>
      <c r="J137" s="48">
        <f t="shared" si="232"/>
        <v>2036.5649709299987</v>
      </c>
      <c r="K137" s="48">
        <f>+K43</f>
        <v>4238.8806948900019</v>
      </c>
      <c r="L137" s="48">
        <f t="shared" si="232"/>
        <v>2008.2013068499987</v>
      </c>
      <c r="M137" s="48">
        <f t="shared" ref="M137:N137" si="233">+M43</f>
        <v>2880.6430227699984</v>
      </c>
      <c r="N137" s="1424">
        <f t="shared" si="233"/>
        <v>5889.2312605899988</v>
      </c>
      <c r="O137" s="48">
        <f t="shared" ref="O137:S137" si="234">+O43</f>
        <v>6169.6067269178002</v>
      </c>
      <c r="P137" s="48">
        <f t="shared" si="234"/>
        <v>7142.5933525657019</v>
      </c>
      <c r="Q137" s="48">
        <f t="shared" si="234"/>
        <v>7355.1033699427189</v>
      </c>
      <c r="R137" s="48">
        <f t="shared" si="234"/>
        <v>8243.5399550434813</v>
      </c>
      <c r="S137" s="48">
        <f t="shared" si="234"/>
        <v>8561.6414226086417</v>
      </c>
      <c r="U137"/>
      <c r="V137"/>
      <c r="X137" s="81"/>
      <c r="Z137" s="172"/>
    </row>
    <row r="138" spans="1:27">
      <c r="B138" s="17" t="s">
        <v>161</v>
      </c>
      <c r="C138" s="18" t="s">
        <v>59</v>
      </c>
      <c r="D138" s="16"/>
      <c r="E138" s="16">
        <f t="shared" ref="E138:K138" si="235">+SUM(E139:E153)</f>
        <v>-1496.3642324599987</v>
      </c>
      <c r="F138" s="16">
        <f t="shared" si="235"/>
        <v>-1336.1863092700032</v>
      </c>
      <c r="G138" s="16">
        <f t="shared" si="235"/>
        <v>371.45135744000163</v>
      </c>
      <c r="H138" s="16">
        <f t="shared" si="235"/>
        <v>489.80863679999976</v>
      </c>
      <c r="I138" s="16">
        <f t="shared" si="235"/>
        <v>-1435.9132804999999</v>
      </c>
      <c r="J138" s="16">
        <f t="shared" si="235"/>
        <v>413.32609101000003</v>
      </c>
      <c r="K138" s="16">
        <f t="shared" si="235"/>
        <v>-105.31682810000055</v>
      </c>
      <c r="L138" s="16">
        <f>+SUM(L139:L153)</f>
        <v>250.49139425000081</v>
      </c>
      <c r="M138" s="16">
        <f t="shared" ref="M138:N138" si="236">+SUM(M139:M153)</f>
        <v>-525.42289547000087</v>
      </c>
      <c r="N138" s="1095">
        <f t="shared" si="236"/>
        <v>891.64580378000039</v>
      </c>
      <c r="O138" s="16">
        <f t="shared" ref="O138:S138" si="237">+SUM(O139:O153)</f>
        <v>-1550.2967887323291</v>
      </c>
      <c r="P138" s="16">
        <f t="shared" si="237"/>
        <v>-727.54967563890023</v>
      </c>
      <c r="Q138" s="16">
        <f t="shared" si="237"/>
        <v>-227.71355878943518</v>
      </c>
      <c r="R138" s="16">
        <f t="shared" si="237"/>
        <v>-642.54484690575862</v>
      </c>
      <c r="S138" s="16">
        <f t="shared" si="237"/>
        <v>-282.62113098449748</v>
      </c>
      <c r="U138"/>
      <c r="V138"/>
      <c r="X138" s="81"/>
      <c r="Z138" s="172"/>
    </row>
    <row r="139" spans="1:27" ht="15" customHeight="1" outlineLevel="1">
      <c r="A139" s="654"/>
      <c r="B139" s="655" t="s">
        <v>162</v>
      </c>
      <c r="C139" s="656" t="s">
        <v>59</v>
      </c>
      <c r="D139" s="323"/>
      <c r="E139" s="653">
        <f>-(E77-D77)</f>
        <v>-1405.9514040599997</v>
      </c>
      <c r="F139" s="653">
        <f t="shared" ref="F139:F141" si="238">-(F77-E77)</f>
        <v>-4383.700678440001</v>
      </c>
      <c r="G139" s="653">
        <f t="shared" ref="G139:L139" si="239">-(G77-F77)+G49</f>
        <v>3735.9853871900009</v>
      </c>
      <c r="H139" s="653">
        <f t="shared" si="239"/>
        <v>255.06496838999954</v>
      </c>
      <c r="I139" s="653">
        <f t="shared" si="239"/>
        <v>314.04588890000002</v>
      </c>
      <c r="J139" s="653">
        <f t="shared" si="239"/>
        <v>-642.06331645000023</v>
      </c>
      <c r="K139" s="653">
        <f t="shared" si="239"/>
        <v>57.594496429999708</v>
      </c>
      <c r="L139" s="653">
        <f t="shared" si="239"/>
        <v>1659.2147266500001</v>
      </c>
      <c r="M139" s="653">
        <f t="shared" ref="M139:N142" si="240">-(M77-L77)</f>
        <v>-1522.9292484300008</v>
      </c>
      <c r="N139" s="1207">
        <f t="shared" si="240"/>
        <v>-4128.9348967399992</v>
      </c>
      <c r="O139" s="653">
        <f t="shared" ref="O139:S139" si="241">-(O77-N77)</f>
        <v>719.8074668147201</v>
      </c>
      <c r="P139" s="653">
        <f t="shared" si="241"/>
        <v>-966.96461242124678</v>
      </c>
      <c r="Q139" s="653">
        <f t="shared" si="241"/>
        <v>-323.02233503439129</v>
      </c>
      <c r="R139" s="653">
        <f t="shared" si="241"/>
        <v>-848.24493855839864</v>
      </c>
      <c r="S139" s="653">
        <f t="shared" si="241"/>
        <v>-389.29358803778086</v>
      </c>
      <c r="T139" s="324"/>
      <c r="U139"/>
      <c r="V139"/>
      <c r="X139" s="81"/>
      <c r="Z139" s="172"/>
    </row>
    <row r="140" spans="1:27" ht="15" customHeight="1" outlineLevel="1">
      <c r="A140" s="654"/>
      <c r="B140" s="655" t="s">
        <v>163</v>
      </c>
      <c r="C140" s="656" t="s">
        <v>59</v>
      </c>
      <c r="D140" s="323"/>
      <c r="E140" s="653">
        <f>-(E78-D78)</f>
        <v>-1194.3093976299997</v>
      </c>
      <c r="F140" s="653">
        <f t="shared" si="238"/>
        <v>-454.69336617000044</v>
      </c>
      <c r="G140" s="653">
        <f t="shared" ref="G140:L140" si="242">-(G78-F78)</f>
        <v>1835.2418564500003</v>
      </c>
      <c r="H140" s="653">
        <f t="shared" si="242"/>
        <v>1749.0963567700001</v>
      </c>
      <c r="I140" s="653">
        <f t="shared" si="242"/>
        <v>-129.90942001999997</v>
      </c>
      <c r="J140" s="653">
        <f t="shared" si="242"/>
        <v>62.924194290000059</v>
      </c>
      <c r="K140" s="653">
        <f t="shared" si="242"/>
        <v>-1315.1457013200002</v>
      </c>
      <c r="L140" s="653">
        <f t="shared" si="242"/>
        <v>1040.0921681800003</v>
      </c>
      <c r="M140" s="653">
        <f t="shared" si="240"/>
        <v>-40.255152670000143</v>
      </c>
      <c r="N140" s="1207">
        <f t="shared" si="240"/>
        <v>-1724.62295184</v>
      </c>
      <c r="O140" s="653">
        <f t="shared" ref="O140:S140" si="243">-(O78-N78)</f>
        <v>-37.675219746477524</v>
      </c>
      <c r="P140" s="653">
        <f t="shared" si="243"/>
        <v>-472.13875982586069</v>
      </c>
      <c r="Q140" s="653">
        <f t="shared" si="243"/>
        <v>-157.72176427150589</v>
      </c>
      <c r="R140" s="653">
        <f t="shared" si="243"/>
        <v>-414.17163376508051</v>
      </c>
      <c r="S140" s="653">
        <f t="shared" si="243"/>
        <v>-190.07995691185442</v>
      </c>
      <c r="T140" s="324"/>
      <c r="U140"/>
      <c r="V140"/>
      <c r="X140" s="81"/>
      <c r="Z140" s="172"/>
    </row>
    <row r="141" spans="1:27" ht="15" customHeight="1" outlineLevel="1">
      <c r="A141" s="654"/>
      <c r="B141" s="655" t="s">
        <v>164</v>
      </c>
      <c r="C141" s="656" t="s">
        <v>59</v>
      </c>
      <c r="D141" s="323"/>
      <c r="E141" s="653">
        <f>-(E79-D79)</f>
        <v>144.87859186999992</v>
      </c>
      <c r="F141" s="653">
        <f t="shared" si="238"/>
        <v>95.987186130000055</v>
      </c>
      <c r="G141" s="653">
        <f t="shared" ref="G141:L142" si="244">-(G79-F79)</f>
        <v>-77.572645130000012</v>
      </c>
      <c r="H141" s="653">
        <f t="shared" si="244"/>
        <v>37.436824329999979</v>
      </c>
      <c r="I141" s="653">
        <f t="shared" si="244"/>
        <v>-236.22143313000004</v>
      </c>
      <c r="J141" s="653">
        <f t="shared" si="244"/>
        <v>-80.470787739999878</v>
      </c>
      <c r="K141" s="653">
        <f t="shared" si="244"/>
        <v>-248.58319781000012</v>
      </c>
      <c r="L141" s="653">
        <f t="shared" si="244"/>
        <v>-239.47239292999996</v>
      </c>
      <c r="M141" s="653">
        <f t="shared" si="240"/>
        <v>-107.64530448000005</v>
      </c>
      <c r="N141" s="1207">
        <f t="shared" si="240"/>
        <v>608.33545204000006</v>
      </c>
      <c r="O141" s="653">
        <f t="shared" ref="O141:S141" si="245">-(O79-N79)</f>
        <v>21.402971457543231</v>
      </c>
      <c r="P141" s="653">
        <f t="shared" si="245"/>
        <v>-78.398243957803402</v>
      </c>
      <c r="Q141" s="653">
        <f t="shared" si="245"/>
        <v>-27.20193499234324</v>
      </c>
      <c r="R141" s="653">
        <f t="shared" si="245"/>
        <v>-68.605322094869962</v>
      </c>
      <c r="S141" s="653">
        <f t="shared" si="245"/>
        <v>-32.311104521428433</v>
      </c>
      <c r="T141" s="324"/>
      <c r="U141"/>
      <c r="V141"/>
      <c r="X141" s="81"/>
      <c r="Z141" s="172"/>
    </row>
    <row r="142" spans="1:27" ht="15" customHeight="1" outlineLevel="1">
      <c r="A142" s="654"/>
      <c r="B142" s="655" t="s">
        <v>165</v>
      </c>
      <c r="C142" s="656" t="s">
        <v>59</v>
      </c>
      <c r="D142" s="323"/>
      <c r="E142" s="653">
        <f>-(E80-D80)</f>
        <v>-313.30925716999991</v>
      </c>
      <c r="F142" s="653">
        <f t="shared" ref="F142" si="246">-(F80-E80)</f>
        <v>-388.91886328000021</v>
      </c>
      <c r="G142" s="653">
        <f t="shared" ref="G142" si="247">-(G80-F80)</f>
        <v>680.69241024000007</v>
      </c>
      <c r="H142" s="653">
        <f t="shared" ref="H142" si="248">-(H80-G80)</f>
        <v>-218.90463047000003</v>
      </c>
      <c r="I142" s="653">
        <f t="shared" ref="I142" si="249">-(I80-H80)</f>
        <v>-197.61545528999989</v>
      </c>
      <c r="J142" s="653">
        <f t="shared" ref="J142" si="250">-(J80-I80)</f>
        <v>313.17155094999998</v>
      </c>
      <c r="K142" s="653">
        <f t="shared" si="244"/>
        <v>75.386990389999994</v>
      </c>
      <c r="L142" s="653">
        <f t="shared" ref="L142" si="251">-(L80-K80)</f>
        <v>-100.22418977000001</v>
      </c>
      <c r="M142" s="653">
        <f t="shared" si="240"/>
        <v>80.087527629999954</v>
      </c>
      <c r="N142" s="1207">
        <f t="shared" si="240"/>
        <v>104.02183468999999</v>
      </c>
      <c r="O142" s="653">
        <f t="shared" ref="O142:S142" si="252">-(O80-N80)</f>
        <v>0.49533109357162175</v>
      </c>
      <c r="P142" s="653">
        <f t="shared" si="252"/>
        <v>-14.401398736247074</v>
      </c>
      <c r="Q142" s="653">
        <f t="shared" si="252"/>
        <v>-5.3023250492745433</v>
      </c>
      <c r="R142" s="653">
        <f t="shared" si="252"/>
        <v>-12.485107565109047</v>
      </c>
      <c r="S142" s="653">
        <f t="shared" si="252"/>
        <v>-6.1219427245514453</v>
      </c>
      <c r="T142" s="324"/>
      <c r="U142"/>
      <c r="V142"/>
      <c r="X142" s="81"/>
      <c r="Z142" s="172"/>
    </row>
    <row r="143" spans="1:27" ht="15" customHeight="1" outlineLevel="1">
      <c r="A143" s="654"/>
      <c r="B143" s="655" t="s">
        <v>166</v>
      </c>
      <c r="C143" s="656" t="s">
        <v>59</v>
      </c>
      <c r="D143" s="323"/>
      <c r="E143" s="653">
        <f>-(E85-D85)</f>
        <v>-0.52404957999999979</v>
      </c>
      <c r="F143" s="653">
        <f t="shared" ref="F143:L143" si="253">-(F85-E85)</f>
        <v>-14.210770420000001</v>
      </c>
      <c r="G143" s="653">
        <f t="shared" si="253"/>
        <v>1194.1857460000001</v>
      </c>
      <c r="H143" s="653">
        <f t="shared" si="253"/>
        <v>-294.20777716999999</v>
      </c>
      <c r="I143" s="653">
        <f t="shared" si="253"/>
        <v>-615.10367968000003</v>
      </c>
      <c r="J143" s="653">
        <f t="shared" si="253"/>
        <v>-296.68854314999999</v>
      </c>
      <c r="K143" s="653">
        <f t="shared" si="253"/>
        <v>0</v>
      </c>
      <c r="L143" s="653">
        <f t="shared" si="253"/>
        <v>0</v>
      </c>
      <c r="M143" s="653">
        <f>-(M85-L85)</f>
        <v>0</v>
      </c>
      <c r="N143" s="1207">
        <f>-(N85-M85)</f>
        <v>0</v>
      </c>
      <c r="O143" s="653">
        <f t="shared" ref="O143:S143" si="254">-(O85-N85)</f>
        <v>0</v>
      </c>
      <c r="P143" s="653">
        <f t="shared" si="254"/>
        <v>0</v>
      </c>
      <c r="Q143" s="653">
        <f t="shared" si="254"/>
        <v>0</v>
      </c>
      <c r="R143" s="653">
        <f t="shared" si="254"/>
        <v>0</v>
      </c>
      <c r="S143" s="653">
        <f t="shared" si="254"/>
        <v>0</v>
      </c>
      <c r="T143" s="324"/>
      <c r="U143"/>
      <c r="V143"/>
      <c r="X143" s="81"/>
      <c r="Z143" s="172"/>
    </row>
    <row r="144" spans="1:27" ht="15" customHeight="1" outlineLevel="1">
      <c r="A144" s="654"/>
      <c r="B144" s="655" t="s">
        <v>167</v>
      </c>
      <c r="C144" s="656" t="s">
        <v>59</v>
      </c>
      <c r="D144" s="323"/>
      <c r="E144" s="653">
        <f>-(E86-D86)</f>
        <v>-481.50216238999997</v>
      </c>
      <c r="F144" s="653">
        <f t="shared" ref="F144:L144" si="255">-(F86-E86)</f>
        <v>-494.01648627999998</v>
      </c>
      <c r="G144" s="653">
        <f t="shared" si="255"/>
        <v>-348.10708537000005</v>
      </c>
      <c r="H144" s="653">
        <f t="shared" si="255"/>
        <v>991.49350930000003</v>
      </c>
      <c r="I144" s="653">
        <f t="shared" si="255"/>
        <v>110.77901663</v>
      </c>
      <c r="J144" s="653">
        <f t="shared" si="255"/>
        <v>51.579527990000031</v>
      </c>
      <c r="K144" s="653">
        <f t="shared" si="255"/>
        <v>-190.68159356000007</v>
      </c>
      <c r="L144" s="653">
        <f t="shared" si="255"/>
        <v>29.79078152000011</v>
      </c>
      <c r="M144" s="653">
        <f>-(M86-L86)</f>
        <v>444.44520963999992</v>
      </c>
      <c r="N144" s="1207">
        <f>-(N86-M86)</f>
        <v>-204.78523522999996</v>
      </c>
      <c r="O144" s="653">
        <f t="shared" ref="O144:S144" si="256">-(O86-N86)</f>
        <v>-3.3540613434016109</v>
      </c>
      <c r="P144" s="653">
        <f t="shared" si="256"/>
        <v>-42.032465204175992</v>
      </c>
      <c r="Q144" s="653">
        <f t="shared" si="256"/>
        <v>-14.041284327362689</v>
      </c>
      <c r="R144" s="653">
        <f t="shared" si="256"/>
        <v>-36.871903487034842</v>
      </c>
      <c r="S144" s="653">
        <f t="shared" si="256"/>
        <v>-16.921993817782607</v>
      </c>
      <c r="T144" s="324"/>
      <c r="U144"/>
      <c r="V144"/>
      <c r="X144" s="81"/>
      <c r="Z144" s="81"/>
    </row>
    <row r="145" spans="1:26" ht="15" customHeight="1" outlineLevel="1">
      <c r="A145" s="654"/>
      <c r="B145" s="655" t="s">
        <v>168</v>
      </c>
      <c r="C145" s="656" t="s">
        <v>59</v>
      </c>
      <c r="D145" s="323"/>
      <c r="E145" s="653">
        <f t="shared" ref="E145:E150" si="257">+(E110-D110)</f>
        <v>-222.73238386999998</v>
      </c>
      <c r="F145" s="653">
        <f t="shared" ref="F145:L145" si="258">+(F110-E110)</f>
        <v>760.6258304800001</v>
      </c>
      <c r="G145" s="653">
        <f t="shared" si="258"/>
        <v>4.2774893700000121</v>
      </c>
      <c r="H145" s="653">
        <f t="shared" si="258"/>
        <v>-539.44251412000006</v>
      </c>
      <c r="I145" s="653">
        <f t="shared" si="258"/>
        <v>-20.92806939999997</v>
      </c>
      <c r="J145" s="653">
        <f t="shared" si="258"/>
        <v>722.67169222000007</v>
      </c>
      <c r="K145" s="653">
        <f t="shared" si="258"/>
        <v>-79.385279229999924</v>
      </c>
      <c r="L145" s="653">
        <f t="shared" si="258"/>
        <v>-420.71090241000013</v>
      </c>
      <c r="M145" s="653">
        <f t="shared" ref="M145:N150" si="259">+(M110-L110)</f>
        <v>423.36476322999999</v>
      </c>
      <c r="N145" s="1207">
        <f t="shared" si="259"/>
        <v>2546.0096707299999</v>
      </c>
      <c r="O145" s="653">
        <f t="shared" ref="O145:S145" si="260">+(O110-N110)</f>
        <v>-742.00900415078786</v>
      </c>
      <c r="P145" s="653">
        <f t="shared" si="260"/>
        <v>352.6504009368191</v>
      </c>
      <c r="Q145" s="653">
        <f t="shared" si="260"/>
        <v>122.359542727389</v>
      </c>
      <c r="R145" s="653">
        <f t="shared" si="260"/>
        <v>308.59995226649926</v>
      </c>
      <c r="S145" s="653">
        <f t="shared" si="260"/>
        <v>145.34157130261883</v>
      </c>
      <c r="T145" s="324"/>
      <c r="U145"/>
      <c r="V145"/>
      <c r="X145" s="81"/>
      <c r="Z145" s="81"/>
    </row>
    <row r="146" spans="1:26" ht="15" customHeight="1" outlineLevel="1">
      <c r="A146" s="654"/>
      <c r="B146" s="655" t="s">
        <v>169</v>
      </c>
      <c r="C146" s="656" t="s">
        <v>59</v>
      </c>
      <c r="D146" s="323"/>
      <c r="E146" s="653">
        <f t="shared" si="257"/>
        <v>-102.37330395000004</v>
      </c>
      <c r="F146" s="653">
        <f t="shared" ref="F146:L146" si="261">+(F111-E111)</f>
        <v>45.656212799999963</v>
      </c>
      <c r="G146" s="653">
        <f t="shared" si="261"/>
        <v>91.904483990000017</v>
      </c>
      <c r="H146" s="653">
        <f t="shared" si="261"/>
        <v>-45.388109329999963</v>
      </c>
      <c r="I146" s="653">
        <f t="shared" si="261"/>
        <v>1118.1771091400001</v>
      </c>
      <c r="J146" s="653">
        <f t="shared" si="261"/>
        <v>218.0303471499999</v>
      </c>
      <c r="K146" s="653">
        <f t="shared" si="261"/>
        <v>434.61923187000002</v>
      </c>
      <c r="L146" s="653">
        <f t="shared" si="261"/>
        <v>-846.9733316899999</v>
      </c>
      <c r="M146" s="653">
        <f t="shared" si="259"/>
        <v>-347.32024999000009</v>
      </c>
      <c r="N146" s="1207">
        <f t="shared" si="259"/>
        <v>1584.9484333800003</v>
      </c>
      <c r="O146" s="653">
        <f t="shared" ref="O146:S146" si="262">+(O111-N111)</f>
        <v>-374.95340142733653</v>
      </c>
      <c r="P146" s="653">
        <f t="shared" si="262"/>
        <v>249.84546697693418</v>
      </c>
      <c r="Q146" s="653">
        <f t="shared" si="262"/>
        <v>86.689188529480361</v>
      </c>
      <c r="R146" s="653">
        <f t="shared" si="262"/>
        <v>218.63664121254442</v>
      </c>
      <c r="S146" s="653">
        <f t="shared" si="262"/>
        <v>102.97147729535709</v>
      </c>
      <c r="T146" s="324"/>
      <c r="U146"/>
      <c r="V146"/>
      <c r="X146" s="81"/>
      <c r="Z146" s="81"/>
    </row>
    <row r="147" spans="1:26" ht="15" customHeight="1" outlineLevel="1">
      <c r="A147" s="654"/>
      <c r="B147" s="655" t="s">
        <v>170</v>
      </c>
      <c r="C147" s="656" t="s">
        <v>59</v>
      </c>
      <c r="D147" s="323"/>
      <c r="E147" s="653">
        <f t="shared" si="257"/>
        <v>0</v>
      </c>
      <c r="F147" s="653">
        <f t="shared" ref="F147:L147" si="263">+(F112-E112)</f>
        <v>0</v>
      </c>
      <c r="G147" s="653">
        <f t="shared" si="263"/>
        <v>0</v>
      </c>
      <c r="H147" s="653">
        <f t="shared" si="263"/>
        <v>0</v>
      </c>
      <c r="I147" s="653">
        <f t="shared" si="263"/>
        <v>0</v>
      </c>
      <c r="J147" s="653">
        <f t="shared" si="263"/>
        <v>0</v>
      </c>
      <c r="K147" s="653">
        <f t="shared" si="263"/>
        <v>0</v>
      </c>
      <c r="L147" s="653">
        <f t="shared" si="263"/>
        <v>0</v>
      </c>
      <c r="M147" s="653">
        <f t="shared" si="259"/>
        <v>0</v>
      </c>
      <c r="N147" s="1207">
        <f t="shared" si="259"/>
        <v>0</v>
      </c>
      <c r="O147" s="653">
        <f t="shared" ref="O147:S147" si="264">+(O112-N112)</f>
        <v>0</v>
      </c>
      <c r="P147" s="653">
        <f t="shared" si="264"/>
        <v>0</v>
      </c>
      <c r="Q147" s="653">
        <f t="shared" si="264"/>
        <v>0</v>
      </c>
      <c r="R147" s="653">
        <f t="shared" si="264"/>
        <v>0</v>
      </c>
      <c r="S147" s="653">
        <f t="shared" si="264"/>
        <v>0</v>
      </c>
      <c r="T147" s="324"/>
      <c r="U147"/>
      <c r="V147"/>
      <c r="X147" s="81"/>
      <c r="Z147" s="81"/>
    </row>
    <row r="148" spans="1:26" ht="15" customHeight="1" outlineLevel="1">
      <c r="A148" s="654"/>
      <c r="B148" s="655" t="s">
        <v>171</v>
      </c>
      <c r="C148" s="656" t="s">
        <v>59</v>
      </c>
      <c r="D148" s="323"/>
      <c r="E148" s="653">
        <f t="shared" si="257"/>
        <v>-32.181875999999988</v>
      </c>
      <c r="F148" s="653">
        <f t="shared" ref="F148:L148" si="265">+(F113-E113)</f>
        <v>125.01471299999997</v>
      </c>
      <c r="G148" s="653">
        <f t="shared" si="265"/>
        <v>-312.536204</v>
      </c>
      <c r="H148" s="653">
        <f t="shared" si="265"/>
        <v>-222.95906271999999</v>
      </c>
      <c r="I148" s="653">
        <f t="shared" si="265"/>
        <v>-0.50640128000000006</v>
      </c>
      <c r="J148" s="653">
        <f t="shared" si="265"/>
        <v>0</v>
      </c>
      <c r="K148" s="653">
        <f t="shared" si="265"/>
        <v>-1.26</v>
      </c>
      <c r="L148" s="653">
        <f t="shared" si="265"/>
        <v>1.26</v>
      </c>
      <c r="M148" s="653">
        <f t="shared" si="259"/>
        <v>0.27</v>
      </c>
      <c r="N148" s="1207">
        <f t="shared" si="259"/>
        <v>2.4899999999999998</v>
      </c>
      <c r="O148" s="653">
        <f t="shared" ref="O148:S148" si="266">+(O113-N113)</f>
        <v>0.3413861028133458</v>
      </c>
      <c r="P148" s="653">
        <f t="shared" si="266"/>
        <v>0.37911810265969947</v>
      </c>
      <c r="Q148" s="653">
        <f t="shared" si="266"/>
        <v>0.1435974325096061</v>
      </c>
      <c r="R148" s="653">
        <f t="shared" si="266"/>
        <v>0.32630245351655462</v>
      </c>
      <c r="S148" s="653">
        <f t="shared" si="266"/>
        <v>0.16312534337716889</v>
      </c>
      <c r="T148" s="324"/>
      <c r="U148"/>
      <c r="V148"/>
      <c r="X148" s="81"/>
      <c r="Z148" s="81"/>
    </row>
    <row r="149" spans="1:26" ht="15" customHeight="1" outlineLevel="1">
      <c r="A149" s="654"/>
      <c r="B149" s="655" t="s">
        <v>172</v>
      </c>
      <c r="C149" s="656" t="s">
        <v>59</v>
      </c>
      <c r="D149" s="323"/>
      <c r="E149" s="653">
        <f t="shared" si="257"/>
        <v>847.36494838999988</v>
      </c>
      <c r="F149" s="653">
        <f t="shared" ref="F149:L149" si="267">+(F114-E114)</f>
        <v>48.103451360000236</v>
      </c>
      <c r="G149" s="653">
        <f t="shared" si="267"/>
        <v>-1601.81088701</v>
      </c>
      <c r="H149" s="653">
        <f t="shared" si="267"/>
        <v>-162.32814940000003</v>
      </c>
      <c r="I149" s="653">
        <f t="shared" si="267"/>
        <v>109.84060488</v>
      </c>
      <c r="J149" s="653">
        <f t="shared" si="267"/>
        <v>140.13124740000001</v>
      </c>
      <c r="K149" s="653">
        <f t="shared" si="267"/>
        <v>472.40190937999989</v>
      </c>
      <c r="L149" s="653">
        <f t="shared" si="267"/>
        <v>-591.75920799999994</v>
      </c>
      <c r="M149" s="653">
        <f t="shared" si="259"/>
        <v>290.36798099999999</v>
      </c>
      <c r="N149" s="1207">
        <f t="shared" si="259"/>
        <v>547.75287199999991</v>
      </c>
      <c r="O149" s="653">
        <f t="shared" ref="O149:S149" si="268">+(O114-N114)</f>
        <v>231.80889415424826</v>
      </c>
      <c r="P149" s="653">
        <f t="shared" si="268"/>
        <v>202.12961398354764</v>
      </c>
      <c r="Q149" s="653">
        <f t="shared" si="268"/>
        <v>76.560030762362203</v>
      </c>
      <c r="R149" s="653">
        <f t="shared" si="268"/>
        <v>173.97056091090417</v>
      </c>
      <c r="S149" s="653">
        <f t="shared" si="268"/>
        <v>86.971480539818003</v>
      </c>
      <c r="T149" s="324"/>
      <c r="U149"/>
      <c r="V149"/>
      <c r="X149" s="81"/>
      <c r="Z149" s="81"/>
    </row>
    <row r="150" spans="1:26" ht="15" customHeight="1" outlineLevel="1">
      <c r="A150" s="654"/>
      <c r="B150" s="655" t="s">
        <v>173</v>
      </c>
      <c r="C150" s="656" t="s">
        <v>59</v>
      </c>
      <c r="D150" s="323"/>
      <c r="E150" s="653">
        <f t="shared" si="257"/>
        <v>0</v>
      </c>
      <c r="F150" s="653">
        <f t="shared" ref="F150:L150" si="269">+(F115-E115)</f>
        <v>98.663510000000002</v>
      </c>
      <c r="G150" s="653">
        <f t="shared" si="269"/>
        <v>312.60558454</v>
      </c>
      <c r="H150" s="653">
        <f t="shared" si="269"/>
        <v>-168.12404166000002</v>
      </c>
      <c r="I150" s="653">
        <f t="shared" si="269"/>
        <v>0</v>
      </c>
      <c r="J150" s="653">
        <f t="shared" si="269"/>
        <v>-243.14505287</v>
      </c>
      <c r="K150" s="653">
        <f t="shared" si="269"/>
        <v>406.12876556999998</v>
      </c>
      <c r="L150" s="653">
        <f t="shared" si="269"/>
        <v>-405.42876566000001</v>
      </c>
      <c r="M150" s="653">
        <f t="shared" si="259"/>
        <v>-0.69999992</v>
      </c>
      <c r="N150" s="1207">
        <f t="shared" si="259"/>
        <v>92.260829749999999</v>
      </c>
      <c r="O150" s="653">
        <f t="shared" ref="O150:S151" si="270">+(O115-N115)</f>
        <v>0</v>
      </c>
      <c r="P150" s="653">
        <f t="shared" si="270"/>
        <v>0</v>
      </c>
      <c r="Q150" s="653">
        <f t="shared" si="270"/>
        <v>0</v>
      </c>
      <c r="R150" s="653">
        <f t="shared" si="270"/>
        <v>0</v>
      </c>
      <c r="S150" s="653">
        <f t="shared" si="270"/>
        <v>0</v>
      </c>
      <c r="T150" s="324"/>
      <c r="U150"/>
      <c r="V150"/>
      <c r="X150" s="81"/>
      <c r="Z150" s="81"/>
    </row>
    <row r="151" spans="1:26" ht="15" customHeight="1" outlineLevel="1">
      <c r="A151" s="654"/>
      <c r="B151" s="655" t="s">
        <v>174</v>
      </c>
      <c r="C151" s="656" t="s">
        <v>59</v>
      </c>
      <c r="D151" s="323"/>
      <c r="E151" s="653">
        <f t="shared" ref="E151:N151" si="271">+(E116-D116)</f>
        <v>768.81950000000018</v>
      </c>
      <c r="F151" s="653">
        <f t="shared" si="271"/>
        <v>444.00012237999954</v>
      </c>
      <c r="G151" s="653">
        <f t="shared" si="271"/>
        <v>-1328.3946313599999</v>
      </c>
      <c r="H151" s="653">
        <f t="shared" si="271"/>
        <v>-504.69814137999992</v>
      </c>
      <c r="I151" s="653">
        <f t="shared" si="271"/>
        <v>-2.9123363600000118</v>
      </c>
      <c r="J151" s="653">
        <f t="shared" si="271"/>
        <v>-8.047512779999991</v>
      </c>
      <c r="K151" s="653">
        <f t="shared" si="271"/>
        <v>115.36287918000002</v>
      </c>
      <c r="L151" s="653">
        <f t="shared" si="271"/>
        <v>-92.336625050000038</v>
      </c>
      <c r="M151" s="653">
        <f t="shared" si="271"/>
        <v>-131.24632562999997</v>
      </c>
      <c r="N151" s="1207">
        <f t="shared" si="271"/>
        <v>1617.6122433099997</v>
      </c>
      <c r="O151" s="653">
        <f t="shared" si="270"/>
        <v>-1366.8912177761572</v>
      </c>
      <c r="P151" s="653">
        <f t="shared" si="270"/>
        <v>32.232153747374895</v>
      </c>
      <c r="Q151" s="653">
        <f t="shared" si="270"/>
        <v>10.767411167813066</v>
      </c>
      <c r="R151" s="653">
        <f t="shared" si="270"/>
        <v>28.274831285279902</v>
      </c>
      <c r="S151" s="653">
        <f t="shared" si="270"/>
        <v>12.976452934592714</v>
      </c>
      <c r="T151" s="324"/>
      <c r="U151"/>
      <c r="V151"/>
      <c r="X151" s="81"/>
      <c r="Z151" s="81"/>
    </row>
    <row r="152" spans="1:26" ht="15" customHeight="1" outlineLevel="1">
      <c r="A152" s="654"/>
      <c r="B152" s="655" t="s">
        <v>175</v>
      </c>
      <c r="C152" s="656" t="s">
        <v>59</v>
      </c>
      <c r="D152" s="323"/>
      <c r="E152" s="653">
        <f>+(E120-D120)</f>
        <v>0</v>
      </c>
      <c r="F152" s="653">
        <f t="shared" ref="F152:L152" si="272">+(F120-E120)</f>
        <v>0</v>
      </c>
      <c r="G152" s="653">
        <f t="shared" si="272"/>
        <v>1469.84</v>
      </c>
      <c r="H152" s="653">
        <f t="shared" si="272"/>
        <v>8.6900000019340951E-4</v>
      </c>
      <c r="I152" s="653">
        <f t="shared" si="272"/>
        <v>-1439.4013260000002</v>
      </c>
      <c r="J152" s="653">
        <f t="shared" si="272"/>
        <v>175.23274400000003</v>
      </c>
      <c r="K152" s="653">
        <f t="shared" si="272"/>
        <v>168.24467100000001</v>
      </c>
      <c r="L152" s="653">
        <f t="shared" si="272"/>
        <v>191.60215499999993</v>
      </c>
      <c r="M152" s="653">
        <f>+(M120-L120)</f>
        <v>187.6954320000001</v>
      </c>
      <c r="N152" s="1207">
        <f>+(N120-M120)</f>
        <v>0</v>
      </c>
      <c r="O152" s="653">
        <f t="shared" ref="O152:S152" si="273">+(O120-N120)</f>
        <v>0</v>
      </c>
      <c r="P152" s="653">
        <f t="shared" si="273"/>
        <v>0</v>
      </c>
      <c r="Q152" s="653">
        <f t="shared" si="273"/>
        <v>0</v>
      </c>
      <c r="R152" s="653">
        <f t="shared" si="273"/>
        <v>0</v>
      </c>
      <c r="S152" s="653">
        <f t="shared" si="273"/>
        <v>0</v>
      </c>
      <c r="T152" s="324"/>
      <c r="U152"/>
      <c r="V152"/>
      <c r="X152" s="81"/>
      <c r="Z152" s="81"/>
    </row>
    <row r="153" spans="1:26" ht="15" customHeight="1" outlineLevel="1">
      <c r="A153" s="654"/>
      <c r="B153" s="655" t="s">
        <v>176</v>
      </c>
      <c r="C153" s="656" t="s">
        <v>59</v>
      </c>
      <c r="D153" s="323"/>
      <c r="E153" s="653">
        <f>+(E121-D121)</f>
        <v>495.45656193000013</v>
      </c>
      <c r="F153" s="653">
        <f t="shared" ref="F153:L153" si="274">+(F121-E121)</f>
        <v>2781.3028291700002</v>
      </c>
      <c r="G153" s="653">
        <f t="shared" si="274"/>
        <v>-5284.8601474699999</v>
      </c>
      <c r="H153" s="653">
        <f t="shared" si="274"/>
        <v>-387.23146474000004</v>
      </c>
      <c r="I153" s="653">
        <f t="shared" si="274"/>
        <v>-446.15777888999997</v>
      </c>
      <c r="J153" s="653">
        <f t="shared" si="274"/>
        <v>0</v>
      </c>
      <c r="K153" s="653">
        <f t="shared" si="274"/>
        <v>0</v>
      </c>
      <c r="L153" s="653">
        <f t="shared" si="274"/>
        <v>25.436978410000002</v>
      </c>
      <c r="M153" s="653">
        <f>+(M121-L121)</f>
        <v>198.44247215000001</v>
      </c>
      <c r="N153" s="1207">
        <f>+(N121-M121)</f>
        <v>-153.44244831</v>
      </c>
      <c r="O153" s="653">
        <f t="shared" ref="O153:S153" si="275">+(O121-N121)</f>
        <v>0.73006608893504676</v>
      </c>
      <c r="P153" s="653">
        <f t="shared" si="275"/>
        <v>9.1490507590984009</v>
      </c>
      <c r="Q153" s="653">
        <f t="shared" si="275"/>
        <v>3.056314265888247</v>
      </c>
      <c r="R153" s="653">
        <f t="shared" si="275"/>
        <v>8.0257704359901254</v>
      </c>
      <c r="S153" s="653">
        <f t="shared" si="275"/>
        <v>3.6833476131364336</v>
      </c>
      <c r="T153" s="324"/>
      <c r="U153"/>
      <c r="V153"/>
      <c r="X153" s="81"/>
      <c r="Z153" s="81"/>
    </row>
    <row r="154" spans="1:26">
      <c r="A154" s="654"/>
      <c r="B154" s="657" t="s">
        <v>105</v>
      </c>
      <c r="C154" s="658" t="s">
        <v>59</v>
      </c>
      <c r="D154" s="16"/>
      <c r="E154" s="55">
        <f>+E65</f>
        <v>-2930.8150000000001</v>
      </c>
      <c r="F154" s="55">
        <f t="shared" ref="F154:L154" si="276">+F65</f>
        <v>-3644.2605459900001</v>
      </c>
      <c r="G154" s="55">
        <f t="shared" si="276"/>
        <v>1573.7229999899998</v>
      </c>
      <c r="H154" s="55">
        <f t="shared" si="276"/>
        <v>651</v>
      </c>
      <c r="I154" s="55">
        <f t="shared" si="276"/>
        <v>83.713960759999992</v>
      </c>
      <c r="J154" s="55">
        <f t="shared" si="276"/>
        <v>-453.28872899999999</v>
      </c>
      <c r="K154" s="55">
        <f t="shared" si="276"/>
        <v>-725.85913900000003</v>
      </c>
      <c r="L154" s="55">
        <f t="shared" si="276"/>
        <v>-335.46991600000001</v>
      </c>
      <c r="M154" s="55">
        <f>+M65</f>
        <v>-657.02942900000005</v>
      </c>
      <c r="N154" s="169">
        <f>+N65</f>
        <v>-1288.6999999999998</v>
      </c>
      <c r="O154" s="55">
        <f t="shared" ref="O154:S154" ca="1" si="277">+O65</f>
        <v>-1216.0989696983447</v>
      </c>
      <c r="P154" s="55">
        <f t="shared" ca="1" si="277"/>
        <v>-1836.9966180549277</v>
      </c>
      <c r="Q154" s="55">
        <f t="shared" ca="1" si="277"/>
        <v>-2021.1257993660545</v>
      </c>
      <c r="R154" s="55">
        <f t="shared" ca="1" si="277"/>
        <v>-2376.0836140766019</v>
      </c>
      <c r="S154" s="55">
        <f t="shared" ca="1" si="277"/>
        <v>-2465.8472676063579</v>
      </c>
      <c r="U154"/>
      <c r="V154"/>
      <c r="X154" s="81"/>
      <c r="Z154" s="81"/>
    </row>
    <row r="155" spans="1:26">
      <c r="A155" s="654"/>
      <c r="B155" s="1292" t="s">
        <v>177</v>
      </c>
      <c r="C155" s="1293" t="s">
        <v>59</v>
      </c>
      <c r="D155" s="221"/>
      <c r="E155" s="221">
        <f t="shared" ref="E155:J155" si="278">+E137+E138+E154</f>
        <v>5221.5501750800031</v>
      </c>
      <c r="F155" s="221">
        <f t="shared" si="278"/>
        <v>5755.8859732100027</v>
      </c>
      <c r="G155" s="221">
        <f t="shared" si="278"/>
        <v>-457.30212047000191</v>
      </c>
      <c r="H155" s="221">
        <f t="shared" si="278"/>
        <v>-782.25749951000103</v>
      </c>
      <c r="I155" s="221">
        <f t="shared" si="278"/>
        <v>1789.8873099500045</v>
      </c>
      <c r="J155" s="221">
        <f t="shared" si="278"/>
        <v>1996.6023329399986</v>
      </c>
      <c r="K155" s="221">
        <f>+K137+K138+K154</f>
        <v>3407.704727790001</v>
      </c>
      <c r="L155" s="221">
        <f>+L137+L138+L154</f>
        <v>1923.2227850999993</v>
      </c>
      <c r="M155" s="221">
        <f t="shared" ref="M155:N155" si="279">+M137+M138+M154</f>
        <v>1698.1906982999972</v>
      </c>
      <c r="N155" s="1208">
        <f t="shared" si="279"/>
        <v>5492.1770643699992</v>
      </c>
      <c r="O155" s="221">
        <f t="shared" ref="O155:S155" ca="1" si="280">+O137+O138+O154</f>
        <v>3403.2109684871261</v>
      </c>
      <c r="P155" s="221">
        <f t="shared" ca="1" si="280"/>
        <v>4578.0470588718745</v>
      </c>
      <c r="Q155" s="221">
        <f t="shared" ca="1" si="280"/>
        <v>5106.2640117872288</v>
      </c>
      <c r="R155" s="221">
        <f t="shared" ca="1" si="280"/>
        <v>5224.9114940611216</v>
      </c>
      <c r="S155" s="221">
        <f t="shared" ca="1" si="280"/>
        <v>5813.1730240177876</v>
      </c>
      <c r="U155"/>
      <c r="V155"/>
      <c r="X155" s="81"/>
      <c r="Z155" s="172"/>
    </row>
    <row r="156" spans="1:26">
      <c r="D156" s="28"/>
      <c r="E156" s="28"/>
      <c r="F156" s="28"/>
      <c r="G156" s="23"/>
      <c r="H156" s="23"/>
      <c r="I156" s="23"/>
      <c r="J156" s="23"/>
      <c r="K156" s="23"/>
      <c r="L156" s="23"/>
      <c r="M156" s="28"/>
      <c r="N156" s="23"/>
      <c r="O156" s="23"/>
      <c r="P156" s="23"/>
      <c r="Q156" s="23"/>
      <c r="R156" s="23"/>
      <c r="S156" s="23"/>
      <c r="U156"/>
      <c r="V156"/>
      <c r="Z156" s="172"/>
    </row>
    <row r="157" spans="1:26">
      <c r="B157" s="47" t="s">
        <v>178</v>
      </c>
      <c r="C157" s="51" t="s">
        <v>59</v>
      </c>
      <c r="D157" s="48"/>
      <c r="E157" s="48">
        <f>+-(E89-D89)+E47</f>
        <v>-617.52784829999746</v>
      </c>
      <c r="F157" s="48">
        <f t="shared" ref="F157:J157" si="281">+-(F89-E89)+F47</f>
        <v>-1860.9380982200016</v>
      </c>
      <c r="G157" s="48">
        <f t="shared" si="281"/>
        <v>-7445.4626016799994</v>
      </c>
      <c r="H157" s="48">
        <f t="shared" si="281"/>
        <v>1249.3500033300015</v>
      </c>
      <c r="I157" s="48">
        <f t="shared" si="281"/>
        <v>-724.09549490000131</v>
      </c>
      <c r="J157" s="48">
        <f t="shared" si="281"/>
        <v>-1577.7221611200025</v>
      </c>
      <c r="K157" s="48">
        <f>+-(K89-J89)+K47</f>
        <v>-966.02626806999717</v>
      </c>
      <c r="L157" s="48">
        <f>+-(L89-K89)+L47</f>
        <v>-341.50710770000194</v>
      </c>
      <c r="M157" s="48">
        <f>+-(M89-L89)+M47</f>
        <v>-780.33111202999658</v>
      </c>
      <c r="N157" s="1424">
        <f>+-(N89-M89)+N47</f>
        <v>-2765.811069010002</v>
      </c>
      <c r="O157" s="48">
        <f ca="1">+-(O89-N89)+O47</f>
        <v>-973.57864975013706</v>
      </c>
      <c r="P157" s="48">
        <f t="shared" ref="P157:S157" ca="1" si="282">+-(P89-O89)+P47</f>
        <v>-1098.7393552904675</v>
      </c>
      <c r="Q157" s="48">
        <f t="shared" ca="1" si="282"/>
        <v>-1140.550299392097</v>
      </c>
      <c r="R157" s="48">
        <f t="shared" ca="1" si="282"/>
        <v>-1250.3443224796056</v>
      </c>
      <c r="S157" s="48">
        <f t="shared" ca="1" si="282"/>
        <v>-1300.7331986755373</v>
      </c>
      <c r="U157"/>
      <c r="V157"/>
      <c r="Z157" s="172"/>
    </row>
    <row r="158" spans="1:26" outlineLevel="1">
      <c r="B158" s="29" t="s">
        <v>124</v>
      </c>
      <c r="C158" s="18" t="s">
        <v>59</v>
      </c>
      <c r="D158" s="16"/>
      <c r="E158" s="16"/>
      <c r="F158" s="16"/>
      <c r="G158" s="16"/>
      <c r="H158" s="16"/>
      <c r="I158" s="16"/>
      <c r="J158" s="16"/>
      <c r="K158" s="16"/>
      <c r="L158" s="16"/>
      <c r="M158" s="16"/>
      <c r="N158" s="1095"/>
      <c r="O158" s="16"/>
      <c r="P158" s="16"/>
      <c r="Q158" s="16"/>
      <c r="R158" s="16"/>
      <c r="S158" s="16"/>
      <c r="U158"/>
      <c r="V158"/>
      <c r="Z158" s="172"/>
    </row>
    <row r="159" spans="1:26" outlineLevel="1">
      <c r="B159" s="29" t="s">
        <v>125</v>
      </c>
      <c r="C159" s="18" t="s">
        <v>59</v>
      </c>
      <c r="D159" s="16"/>
      <c r="E159" s="16"/>
      <c r="F159" s="16"/>
      <c r="G159" s="16"/>
      <c r="H159" s="16"/>
      <c r="I159" s="16"/>
      <c r="J159" s="16"/>
      <c r="K159" s="16"/>
      <c r="L159" s="16"/>
      <c r="M159" s="16"/>
      <c r="N159" s="1095"/>
      <c r="O159" s="16"/>
      <c r="P159" s="16"/>
      <c r="Q159" s="16"/>
      <c r="R159" s="16"/>
      <c r="S159" s="16"/>
      <c r="U159"/>
      <c r="V159"/>
      <c r="Z159" s="172"/>
    </row>
    <row r="160" spans="1:26" outlineLevel="1">
      <c r="B160" s="29" t="s">
        <v>179</v>
      </c>
      <c r="C160" s="18" t="s">
        <v>59</v>
      </c>
      <c r="D160" s="16"/>
      <c r="E160" s="16"/>
      <c r="F160" s="16"/>
      <c r="G160" s="16"/>
      <c r="H160" s="16"/>
      <c r="I160" s="16"/>
      <c r="J160" s="16"/>
      <c r="K160" s="16"/>
      <c r="L160" s="16"/>
      <c r="M160" s="16"/>
      <c r="N160" s="1095"/>
      <c r="O160" s="16"/>
      <c r="P160" s="16"/>
      <c r="Q160" s="16"/>
      <c r="R160" s="16"/>
      <c r="S160" s="16"/>
      <c r="U160"/>
      <c r="V160"/>
      <c r="Z160" s="172"/>
    </row>
    <row r="161" spans="2:26" outlineLevel="1">
      <c r="B161" s="29" t="s">
        <v>127</v>
      </c>
      <c r="C161" s="18" t="s">
        <v>59</v>
      </c>
      <c r="D161" s="16"/>
      <c r="E161" s="16"/>
      <c r="F161" s="16"/>
      <c r="G161" s="16"/>
      <c r="H161" s="16"/>
      <c r="I161" s="16"/>
      <c r="J161" s="16"/>
      <c r="K161" s="16"/>
      <c r="L161" s="16"/>
      <c r="M161" s="16"/>
      <c r="N161" s="1095"/>
      <c r="O161" s="16"/>
      <c r="P161" s="16"/>
      <c r="Q161" s="16"/>
      <c r="R161" s="16"/>
      <c r="S161" s="16"/>
      <c r="U161"/>
      <c r="V161"/>
      <c r="Z161" s="172"/>
    </row>
    <row r="162" spans="2:26" outlineLevel="1">
      <c r="B162" s="29" t="s">
        <v>128</v>
      </c>
      <c r="C162" s="18" t="s">
        <v>59</v>
      </c>
      <c r="D162" s="16"/>
      <c r="E162" s="16"/>
      <c r="F162" s="16"/>
      <c r="G162" s="16"/>
      <c r="H162" s="16"/>
      <c r="I162" s="16"/>
      <c r="J162" s="16"/>
      <c r="K162" s="16"/>
      <c r="L162" s="16"/>
      <c r="M162" s="16"/>
      <c r="N162" s="1095"/>
      <c r="O162" s="16"/>
      <c r="P162" s="16"/>
      <c r="Q162" s="16"/>
      <c r="R162" s="16"/>
      <c r="S162" s="16"/>
      <c r="U162"/>
      <c r="V162"/>
      <c r="Z162" s="172"/>
    </row>
    <row r="163" spans="2:26" outlineLevel="1">
      <c r="B163" s="29" t="s">
        <v>129</v>
      </c>
      <c r="C163" s="18" t="s">
        <v>59</v>
      </c>
      <c r="D163" s="16"/>
      <c r="E163" s="16"/>
      <c r="F163" s="16"/>
      <c r="G163" s="16"/>
      <c r="H163" s="16"/>
      <c r="I163" s="16"/>
      <c r="J163" s="16"/>
      <c r="K163" s="16"/>
      <c r="L163" s="16"/>
      <c r="M163" s="16"/>
      <c r="N163" s="1095"/>
      <c r="O163" s="16"/>
      <c r="P163" s="16"/>
      <c r="Q163" s="16"/>
      <c r="R163" s="16"/>
      <c r="S163" s="16"/>
      <c r="U163"/>
      <c r="V163"/>
      <c r="Z163" s="172"/>
    </row>
    <row r="164" spans="2:26">
      <c r="B164" s="17" t="s">
        <v>180</v>
      </c>
      <c r="C164" s="18" t="s">
        <v>59</v>
      </c>
      <c r="D164" s="16"/>
      <c r="E164" s="16">
        <f>+-(E100+E104-D100-D104)+E48</f>
        <v>26.466877699999884</v>
      </c>
      <c r="F164" s="16">
        <f t="shared" ref="F164:L164" si="283">+-(F100+F104-E100-E104)+F48</f>
        <v>-580.72299896000004</v>
      </c>
      <c r="G164" s="16">
        <f t="shared" si="283"/>
        <v>-2919.8977248300007</v>
      </c>
      <c r="H164" s="16">
        <f t="shared" si="283"/>
        <v>-229.55067660999998</v>
      </c>
      <c r="I164" s="16">
        <f t="shared" si="283"/>
        <v>172.24440651000018</v>
      </c>
      <c r="J164" s="16">
        <f t="shared" si="283"/>
        <v>47.500444210000126</v>
      </c>
      <c r="K164" s="16">
        <f t="shared" si="283"/>
        <v>402.31820203999979</v>
      </c>
      <c r="L164" s="16">
        <f t="shared" si="283"/>
        <v>-36.466341779999794</v>
      </c>
      <c r="M164" s="16">
        <f>+-(M100+M104-L100-L104)+M48</f>
        <v>167.22432058999993</v>
      </c>
      <c r="N164" s="1095">
        <f>+-(N100+N104-M100-M104)+N48</f>
        <v>-216.59145482</v>
      </c>
      <c r="O164" s="16">
        <f t="shared" ref="O164:S164" si="284">+-(O100+O104-N100-N104)+O48</f>
        <v>-1.8474111129762605E-13</v>
      </c>
      <c r="P164" s="16">
        <f t="shared" si="284"/>
        <v>0</v>
      </c>
      <c r="Q164" s="16">
        <f t="shared" si="284"/>
        <v>-1.8474111129762605E-13</v>
      </c>
      <c r="R164" s="16">
        <f t="shared" si="284"/>
        <v>0</v>
      </c>
      <c r="S164" s="16">
        <f t="shared" si="284"/>
        <v>-1.8474111129762605E-13</v>
      </c>
      <c r="U164"/>
      <c r="V164"/>
      <c r="Z164" s="172"/>
    </row>
    <row r="165" spans="2:26">
      <c r="B165" s="17" t="s">
        <v>82</v>
      </c>
      <c r="C165" s="18" t="s">
        <v>59</v>
      </c>
      <c r="D165" s="16"/>
      <c r="E165" s="16">
        <f>E166</f>
        <v>-397.97003776000008</v>
      </c>
      <c r="F165" s="16">
        <f t="shared" ref="F165:L165" si="285">F166</f>
        <v>-367.62293926000029</v>
      </c>
      <c r="G165" s="16">
        <f t="shared" si="285"/>
        <v>662.69220680000035</v>
      </c>
      <c r="H165" s="16">
        <f t="shared" si="285"/>
        <v>309.62942621000002</v>
      </c>
      <c r="I165" s="16">
        <f>I166</f>
        <v>0</v>
      </c>
      <c r="J165" s="16">
        <f>J166</f>
        <v>0</v>
      </c>
      <c r="K165" s="16">
        <f t="shared" si="285"/>
        <v>0</v>
      </c>
      <c r="L165" s="16">
        <f t="shared" si="285"/>
        <v>-798.31</v>
      </c>
      <c r="M165" s="16">
        <f>M166</f>
        <v>159.34499999999991</v>
      </c>
      <c r="N165" s="1095">
        <f>N166</f>
        <v>638.96500000000003</v>
      </c>
      <c r="O165" s="16">
        <f t="shared" ref="O165:S165" si="286">O166</f>
        <v>0</v>
      </c>
      <c r="P165" s="16">
        <f t="shared" si="286"/>
        <v>0</v>
      </c>
      <c r="Q165" s="16">
        <f t="shared" si="286"/>
        <v>0</v>
      </c>
      <c r="R165" s="16">
        <f t="shared" si="286"/>
        <v>0</v>
      </c>
      <c r="S165" s="16">
        <f t="shared" si="286"/>
        <v>0</v>
      </c>
      <c r="U165"/>
      <c r="V165"/>
      <c r="Z165" s="172"/>
    </row>
    <row r="166" spans="2:26" outlineLevel="1">
      <c r="B166" s="29" t="s">
        <v>181</v>
      </c>
      <c r="C166" s="18" t="s">
        <v>59</v>
      </c>
      <c r="D166" s="16"/>
      <c r="E166" s="16">
        <f>-(+E99-D99)</f>
        <v>-397.97003776000008</v>
      </c>
      <c r="F166" s="16">
        <f t="shared" ref="F166:L166" si="287">-(+F99-E99)</f>
        <v>-367.62293926000029</v>
      </c>
      <c r="G166" s="16">
        <f t="shared" si="287"/>
        <v>662.69220680000035</v>
      </c>
      <c r="H166" s="16">
        <f t="shared" si="287"/>
        <v>309.62942621000002</v>
      </c>
      <c r="I166" s="16">
        <f t="shared" si="287"/>
        <v>0</v>
      </c>
      <c r="J166" s="16">
        <f t="shared" si="287"/>
        <v>0</v>
      </c>
      <c r="K166" s="16">
        <f t="shared" si="287"/>
        <v>0</v>
      </c>
      <c r="L166" s="16">
        <f t="shared" si="287"/>
        <v>-798.31</v>
      </c>
      <c r="M166" s="16">
        <f>-(+M99-L99)</f>
        <v>159.34499999999991</v>
      </c>
      <c r="N166" s="1095">
        <f>-(+N99-M99)</f>
        <v>638.96500000000003</v>
      </c>
      <c r="O166" s="16">
        <f t="shared" ref="O166:S166" si="288">-(+O99-N99)</f>
        <v>0</v>
      </c>
      <c r="P166" s="16">
        <f t="shared" si="288"/>
        <v>0</v>
      </c>
      <c r="Q166" s="16">
        <f t="shared" si="288"/>
        <v>0</v>
      </c>
      <c r="R166" s="16">
        <f t="shared" si="288"/>
        <v>0</v>
      </c>
      <c r="S166" s="16">
        <f t="shared" si="288"/>
        <v>0</v>
      </c>
      <c r="U166"/>
      <c r="V166"/>
      <c r="Z166" s="172"/>
    </row>
    <row r="167" spans="2:26">
      <c r="B167" s="241" t="s">
        <v>182</v>
      </c>
      <c r="C167" s="192" t="s">
        <v>59</v>
      </c>
      <c r="D167" s="221"/>
      <c r="E167" s="221">
        <f t="shared" ref="E167:N167" si="289">+E157+E164+E165</f>
        <v>-989.0310083599976</v>
      </c>
      <c r="F167" s="221">
        <f t="shared" si="289"/>
        <v>-2809.2840364400022</v>
      </c>
      <c r="G167" s="221">
        <f t="shared" si="289"/>
        <v>-9702.6681197099988</v>
      </c>
      <c r="H167" s="221">
        <f t="shared" si="289"/>
        <v>1329.4287529300016</v>
      </c>
      <c r="I167" s="221">
        <f t="shared" si="289"/>
        <v>-551.85108839000111</v>
      </c>
      <c r="J167" s="221">
        <f t="shared" si="289"/>
        <v>-1530.2217169100024</v>
      </c>
      <c r="K167" s="221">
        <f t="shared" si="289"/>
        <v>-563.70806602999733</v>
      </c>
      <c r="L167" s="221">
        <f t="shared" si="289"/>
        <v>-1176.2834494800018</v>
      </c>
      <c r="M167" s="221">
        <f t="shared" si="289"/>
        <v>-453.76179143999673</v>
      </c>
      <c r="N167" s="1208">
        <f t="shared" si="289"/>
        <v>-2343.4375238300017</v>
      </c>
      <c r="O167" s="221">
        <f ca="1">+O157+O164+O165</f>
        <v>-973.57864975013729</v>
      </c>
      <c r="P167" s="221">
        <f t="shared" ref="P167:S167" ca="1" si="290">+P157+P164+P165</f>
        <v>-1098.7393552904675</v>
      </c>
      <c r="Q167" s="221">
        <f t="shared" ca="1" si="290"/>
        <v>-1140.5502993920973</v>
      </c>
      <c r="R167" s="221">
        <f t="shared" ca="1" si="290"/>
        <v>-1250.3443224796056</v>
      </c>
      <c r="S167" s="221">
        <f t="shared" ca="1" si="290"/>
        <v>-1300.7331986755376</v>
      </c>
      <c r="U167"/>
      <c r="V167"/>
      <c r="Z167" s="172"/>
    </row>
    <row r="168" spans="2:26">
      <c r="D168" s="28"/>
      <c r="E168" s="28"/>
      <c r="F168" s="28"/>
      <c r="G168" s="23"/>
      <c r="H168" s="23"/>
      <c r="I168" s="23"/>
      <c r="J168" s="23"/>
      <c r="K168" s="23"/>
      <c r="L168" s="23"/>
      <c r="M168" s="28"/>
      <c r="N168" s="23"/>
      <c r="O168" s="23"/>
      <c r="P168" s="23"/>
      <c r="Q168" s="23"/>
      <c r="R168" s="23"/>
      <c r="S168" s="23"/>
      <c r="U168"/>
      <c r="V168"/>
      <c r="Z168" s="172"/>
    </row>
    <row r="169" spans="2:26">
      <c r="B169" s="47" t="s">
        <v>183</v>
      </c>
      <c r="C169" s="51" t="s">
        <v>59</v>
      </c>
      <c r="D169" s="48"/>
      <c r="E169" s="48">
        <f>E109+E119-D109-D119</f>
        <v>209.16439959999991</v>
      </c>
      <c r="F169" s="48">
        <f>F109+F119-E109-E119</f>
        <v>2725.6740885100003</v>
      </c>
      <c r="G169" s="48">
        <f t="shared" ref="G169:L169" si="291">G119-F119</f>
        <v>0</v>
      </c>
      <c r="H169" s="48">
        <f t="shared" si="291"/>
        <v>8394.3922080000011</v>
      </c>
      <c r="I169" s="48">
        <f t="shared" si="291"/>
        <v>-147.97950376000153</v>
      </c>
      <c r="J169" s="48">
        <f t="shared" si="291"/>
        <v>-1189.73748325</v>
      </c>
      <c r="K169" s="48">
        <f t="shared" si="291"/>
        <v>-417.67756506999922</v>
      </c>
      <c r="L169" s="48">
        <f t="shared" si="291"/>
        <v>-196.54562370000076</v>
      </c>
      <c r="M169" s="48">
        <f>M109+M119-L109-L119</f>
        <v>-729.05167257999983</v>
      </c>
      <c r="N169" s="1427">
        <f>N109+N119-M109-M119</f>
        <v>-638.4348086</v>
      </c>
      <c r="O169" s="75">
        <f>O119-N119</f>
        <v>-431.24138776000018</v>
      </c>
      <c r="P169" s="75">
        <f t="shared" ref="P169:S169" si="292">P119-O119</f>
        <v>-431.24138776000018</v>
      </c>
      <c r="Q169" s="75">
        <f t="shared" si="292"/>
        <v>-3781.2413877599993</v>
      </c>
      <c r="R169" s="75">
        <f t="shared" si="292"/>
        <v>-431.24138776000018</v>
      </c>
      <c r="S169" s="75">
        <f t="shared" si="292"/>
        <v>0</v>
      </c>
      <c r="U169"/>
      <c r="V169"/>
      <c r="W169" s="28"/>
      <c r="X169" s="81"/>
      <c r="Z169" s="172"/>
    </row>
    <row r="170" spans="2:26">
      <c r="B170" s="17" t="s">
        <v>184</v>
      </c>
      <c r="C170" s="18" t="s">
        <v>59</v>
      </c>
      <c r="D170" s="16"/>
      <c r="E170" s="16"/>
      <c r="F170" s="16"/>
      <c r="G170" s="16">
        <f t="shared" ref="G170:L170" si="293">G109-F109</f>
        <v>5193.976286359999</v>
      </c>
      <c r="H170" s="16">
        <f t="shared" si="293"/>
        <v>-8817.5729530299996</v>
      </c>
      <c r="I170" s="16">
        <f t="shared" si="293"/>
        <v>-18.07</v>
      </c>
      <c r="J170" s="16">
        <f t="shared" si="293"/>
        <v>0</v>
      </c>
      <c r="K170" s="16">
        <f t="shared" si="293"/>
        <v>0</v>
      </c>
      <c r="L170" s="16">
        <f t="shared" si="293"/>
        <v>0</v>
      </c>
      <c r="M170" s="16">
        <f t="shared" ref="M170:N170" si="294">M109-L109</f>
        <v>0</v>
      </c>
      <c r="N170" s="169">
        <f t="shared" si="294"/>
        <v>0</v>
      </c>
      <c r="O170" s="55">
        <f ca="1">O109-N109</f>
        <v>0</v>
      </c>
      <c r="P170" s="55">
        <f ca="1">P109-O109</f>
        <v>0</v>
      </c>
      <c r="Q170" s="55">
        <f ca="1">Q109-P109</f>
        <v>153.42953152584153</v>
      </c>
      <c r="R170" s="55">
        <f ca="1">R109-Q109</f>
        <v>-30.685906305168302</v>
      </c>
      <c r="S170" s="55">
        <f ca="1">S109-R109</f>
        <v>-30.685906305168302</v>
      </c>
      <c r="U170"/>
      <c r="V170"/>
      <c r="W170" s="28"/>
      <c r="X170" s="81"/>
      <c r="Z170" s="172"/>
    </row>
    <row r="171" spans="2:26">
      <c r="B171" s="17" t="s">
        <v>185</v>
      </c>
      <c r="C171" s="18" t="s">
        <v>59</v>
      </c>
      <c r="D171" s="16"/>
      <c r="E171" s="16">
        <f t="shared" ref="E171:N171" si="295">+E59</f>
        <v>-305.53180380000003</v>
      </c>
      <c r="F171" s="16">
        <f t="shared" si="295"/>
        <v>-449.48998982000001</v>
      </c>
      <c r="G171" s="16">
        <f t="shared" si="295"/>
        <v>-1079.8116662500001</v>
      </c>
      <c r="H171" s="16">
        <f t="shared" si="295"/>
        <v>-1475.37337817</v>
      </c>
      <c r="I171" s="16">
        <f t="shared" si="295"/>
        <v>-1071.5977011</v>
      </c>
      <c r="J171" s="16">
        <f t="shared" si="295"/>
        <v>-1187.8645023500001</v>
      </c>
      <c r="K171" s="55">
        <f t="shared" si="295"/>
        <v>-1676.5291299700002</v>
      </c>
      <c r="L171" s="55">
        <f t="shared" si="295"/>
        <v>-1787.3361203200004</v>
      </c>
      <c r="M171" s="16">
        <f t="shared" si="295"/>
        <v>-1271.1261409399999</v>
      </c>
      <c r="N171" s="169">
        <f t="shared" si="295"/>
        <v>-2052.6828955599999</v>
      </c>
      <c r="O171" s="55">
        <f t="shared" ref="O171:S171" si="296">+O59</f>
        <v>-852.33881440696427</v>
      </c>
      <c r="P171" s="55">
        <f t="shared" ca="1" si="296"/>
        <v>-627.35300226139475</v>
      </c>
      <c r="Q171" s="55">
        <f t="shared" ca="1" si="296"/>
        <v>-281.46863757527245</v>
      </c>
      <c r="R171" s="55">
        <f t="shared" ca="1" si="296"/>
        <v>-39.964782601995999</v>
      </c>
      <c r="S171" s="55">
        <f t="shared" ca="1" si="296"/>
        <v>-13.066203642198399</v>
      </c>
      <c r="U171"/>
      <c r="V171"/>
      <c r="W171" s="28"/>
      <c r="X171" s="81"/>
      <c r="Z171" s="172"/>
    </row>
    <row r="172" spans="2:26">
      <c r="B172" s="17" t="s">
        <v>186</v>
      </c>
      <c r="C172" s="18" t="s">
        <v>59</v>
      </c>
      <c r="D172" s="16"/>
      <c r="E172" s="16">
        <f>-E105+D105</f>
        <v>10.498307</v>
      </c>
      <c r="F172" s="16">
        <f t="shared" ref="F172:S172" si="297">-F105+E105</f>
        <v>0</v>
      </c>
      <c r="G172" s="16">
        <f t="shared" si="297"/>
        <v>0</v>
      </c>
      <c r="H172" s="16">
        <f t="shared" si="297"/>
        <v>0</v>
      </c>
      <c r="I172" s="16">
        <f t="shared" si="297"/>
        <v>0</v>
      </c>
      <c r="J172" s="16">
        <f t="shared" si="297"/>
        <v>0</v>
      </c>
      <c r="K172" s="16">
        <f t="shared" si="297"/>
        <v>0</v>
      </c>
      <c r="L172" s="16">
        <f t="shared" si="297"/>
        <v>0</v>
      </c>
      <c r="M172" s="16">
        <f t="shared" si="297"/>
        <v>0</v>
      </c>
      <c r="N172" s="1095">
        <f t="shared" si="297"/>
        <v>0</v>
      </c>
      <c r="O172" s="16">
        <f t="shared" si="297"/>
        <v>0</v>
      </c>
      <c r="P172" s="16">
        <f t="shared" si="297"/>
        <v>0</v>
      </c>
      <c r="Q172" s="16">
        <f t="shared" si="297"/>
        <v>0</v>
      </c>
      <c r="R172" s="16">
        <f t="shared" si="297"/>
        <v>0</v>
      </c>
      <c r="S172" s="16">
        <f t="shared" si="297"/>
        <v>0</v>
      </c>
      <c r="U172"/>
      <c r="V172"/>
      <c r="W172" s="28"/>
      <c r="X172" s="81"/>
      <c r="Z172" s="172"/>
    </row>
    <row r="173" spans="2:26">
      <c r="B173" s="17" t="s">
        <v>187</v>
      </c>
      <c r="C173" s="18" t="s">
        <v>59</v>
      </c>
      <c r="D173" s="16"/>
      <c r="E173" s="16">
        <f t="shared" ref="E173:O173" si="298">+E54+E60</f>
        <v>736.77524632000006</v>
      </c>
      <c r="F173" s="16">
        <f t="shared" si="298"/>
        <v>1063.0453683300007</v>
      </c>
      <c r="G173" s="16">
        <f t="shared" si="298"/>
        <v>1308.4640550300001</v>
      </c>
      <c r="H173" s="16">
        <f t="shared" si="298"/>
        <v>354.19631592000042</v>
      </c>
      <c r="I173" s="16">
        <f t="shared" si="298"/>
        <v>81.547439770000068</v>
      </c>
      <c r="J173" s="16">
        <f t="shared" si="298"/>
        <v>612.35856799999999</v>
      </c>
      <c r="K173" s="16">
        <f t="shared" si="298"/>
        <v>449.75575167</v>
      </c>
      <c r="L173" s="16">
        <f t="shared" si="298"/>
        <v>978.33411215999979</v>
      </c>
      <c r="M173" s="16">
        <f t="shared" si="298"/>
        <v>573.7530264799999</v>
      </c>
      <c r="N173" s="1095">
        <f t="shared" si="298"/>
        <v>785.65868730999966</v>
      </c>
      <c r="O173" s="16">
        <f t="shared" si="298"/>
        <v>-738.2975885919227</v>
      </c>
      <c r="P173" s="16">
        <f t="shared" ref="P173:S173" ca="1" si="299">+P54+P60</f>
        <v>-97.371502049908827</v>
      </c>
      <c r="Q173" s="16">
        <f t="shared" ca="1" si="299"/>
        <v>-56.433218585701411</v>
      </c>
      <c r="R173" s="16">
        <f t="shared" ca="1" si="299"/>
        <v>-96.17178714632314</v>
      </c>
      <c r="S173" s="16">
        <f t="shared" ca="1" si="299"/>
        <v>-101.34796399238576</v>
      </c>
      <c r="U173"/>
      <c r="V173"/>
      <c r="W173" s="28"/>
      <c r="X173" s="81"/>
      <c r="Z173" s="172"/>
    </row>
    <row r="174" spans="2:26">
      <c r="B174" s="185" t="s">
        <v>188</v>
      </c>
      <c r="C174" s="192" t="s">
        <v>59</v>
      </c>
      <c r="D174" s="221"/>
      <c r="E174" s="221">
        <f t="shared" ref="E174:N174" si="300">+E155+E167+SUM(E169:E172,E173:E173)</f>
        <v>4883.4253158400052</v>
      </c>
      <c r="F174" s="221">
        <f t="shared" si="300"/>
        <v>6285.8314037900018</v>
      </c>
      <c r="G174" s="221">
        <f t="shared" si="300"/>
        <v>-4737.3415650400011</v>
      </c>
      <c r="H174" s="221">
        <f t="shared" si="300"/>
        <v>-997.1865538599975</v>
      </c>
      <c r="I174" s="221">
        <f t="shared" si="300"/>
        <v>81.936456470001986</v>
      </c>
      <c r="J174" s="221">
        <f t="shared" si="300"/>
        <v>-1298.862801570004</v>
      </c>
      <c r="K174" s="221">
        <f t="shared" si="300"/>
        <v>1199.5457183900044</v>
      </c>
      <c r="L174" s="221">
        <f t="shared" si="300"/>
        <v>-258.60829624000382</v>
      </c>
      <c r="M174" s="221">
        <f t="shared" si="300"/>
        <v>-181.9958801799994</v>
      </c>
      <c r="N174" s="1208">
        <f t="shared" si="300"/>
        <v>1243.2805236899972</v>
      </c>
      <c r="O174" s="221">
        <f t="shared" ref="O174:S174" ca="1" si="301">+O155+O167+SUM(O169:O172,O173:O173)</f>
        <v>407.75452797810181</v>
      </c>
      <c r="P174" s="221">
        <f t="shared" ca="1" si="301"/>
        <v>2323.3418115101031</v>
      </c>
      <c r="Q174" s="221">
        <f t="shared" ca="1" si="301"/>
        <v>0</v>
      </c>
      <c r="R174" s="221">
        <f t="shared" ca="1" si="301"/>
        <v>3376.5033077680282</v>
      </c>
      <c r="S174" s="221">
        <f t="shared" ca="1" si="301"/>
        <v>4367.3397514024973</v>
      </c>
      <c r="U174"/>
      <c r="V174"/>
      <c r="W174" s="28"/>
      <c r="X174" s="81"/>
      <c r="Z174" s="172"/>
    </row>
    <row r="175" spans="2:26">
      <c r="D175" s="28"/>
      <c r="E175" s="28"/>
      <c r="F175" s="28"/>
      <c r="G175" s="28"/>
      <c r="H175" s="28"/>
      <c r="I175" s="28"/>
      <c r="J175" s="28"/>
      <c r="K175" s="28"/>
      <c r="L175" s="28"/>
      <c r="M175" s="28"/>
      <c r="N175" s="28"/>
      <c r="O175" s="28"/>
      <c r="P175" s="28"/>
      <c r="Q175" s="28"/>
      <c r="R175" s="28"/>
      <c r="S175" s="28"/>
      <c r="U175"/>
      <c r="V175"/>
      <c r="Z175" s="172"/>
    </row>
    <row r="176" spans="2:26">
      <c r="B176" s="47" t="s">
        <v>189</v>
      </c>
      <c r="C176" s="58"/>
      <c r="D176" s="48"/>
      <c r="E176" s="48">
        <f>+(E126+E127+E128-D126-D127-D128)</f>
        <v>3186.6502130099998</v>
      </c>
      <c r="F176" s="48">
        <f>+(F126+F127+F128-E126-E127-E128)</f>
        <v>139.03557199999977</v>
      </c>
      <c r="G176" s="48">
        <f>+(G126+G127+G128-F126-F127-F128)</f>
        <v>-2.2737367544323206E-13</v>
      </c>
      <c r="H176" s="48">
        <f>+(H126+H127+H128-G126-G127-G128)</f>
        <v>339.99999999999977</v>
      </c>
      <c r="I176" s="48">
        <f>+(I126+I127+I128-H126-H127-H128)</f>
        <v>-2.2737367544323206E-13</v>
      </c>
      <c r="J176" s="48">
        <f>+J126+J127-I126-I127</f>
        <v>482.40000000000032</v>
      </c>
      <c r="K176" s="48">
        <f>+K126+K127-J126-J127</f>
        <v>2.5579538487363607E-13</v>
      </c>
      <c r="L176" s="48">
        <f>+L126+L127-K126-K127</f>
        <v>2.5579538487363607E-13</v>
      </c>
      <c r="M176" s="48">
        <f>+(M126+M127+M128-L126-L127-L128)</f>
        <v>2.5579538487363607E-13</v>
      </c>
      <c r="N176" s="1424">
        <f>+(N126+N127+N128-M126-M127-M128)</f>
        <v>2.5579538487363607E-13</v>
      </c>
      <c r="O176" s="48">
        <f t="shared" ref="O176:S176" si="302">+(O126+O127+O128-N126-N127-N128)</f>
        <v>2.5579538487363607E-13</v>
      </c>
      <c r="P176" s="48">
        <f t="shared" si="302"/>
        <v>2.5579538487363607E-13</v>
      </c>
      <c r="Q176" s="48">
        <f t="shared" si="302"/>
        <v>2.5579538487363607E-13</v>
      </c>
      <c r="R176" s="48">
        <f t="shared" si="302"/>
        <v>2.5579538487363607E-13</v>
      </c>
      <c r="S176" s="48">
        <f t="shared" si="302"/>
        <v>2.5579538487363607E-13</v>
      </c>
      <c r="U176"/>
      <c r="V176"/>
      <c r="X176" s="81"/>
      <c r="Z176" s="172"/>
    </row>
    <row r="177" spans="2:26" outlineLevel="1">
      <c r="B177" s="29" t="s">
        <v>151</v>
      </c>
      <c r="C177" s="18" t="s">
        <v>59</v>
      </c>
      <c r="D177" s="16"/>
      <c r="E177" s="16">
        <f>+E123-D123+E122-D122</f>
        <v>-1175.4692190000001</v>
      </c>
      <c r="F177" s="16">
        <f t="shared" ref="F177:S177" si="303">+F123-E123+F122-E122</f>
        <v>-133.33333400000001</v>
      </c>
      <c r="G177" s="16">
        <f t="shared" si="303"/>
        <v>0</v>
      </c>
      <c r="H177" s="16">
        <f t="shared" si="303"/>
        <v>0</v>
      </c>
      <c r="I177" s="16">
        <f t="shared" si="303"/>
        <v>0</v>
      </c>
      <c r="J177" s="16">
        <f t="shared" si="303"/>
        <v>0</v>
      </c>
      <c r="K177" s="16">
        <f t="shared" si="303"/>
        <v>0</v>
      </c>
      <c r="L177" s="16">
        <f t="shared" si="303"/>
        <v>0</v>
      </c>
      <c r="M177" s="16">
        <f t="shared" si="303"/>
        <v>0</v>
      </c>
      <c r="N177" s="1095">
        <f t="shared" si="303"/>
        <v>787.04921000000002</v>
      </c>
      <c r="O177" s="16">
        <f t="shared" si="303"/>
        <v>-787.04921000000002</v>
      </c>
      <c r="P177" s="16">
        <f t="shared" si="303"/>
        <v>0</v>
      </c>
      <c r="Q177" s="16">
        <f t="shared" si="303"/>
        <v>0</v>
      </c>
      <c r="R177" s="16">
        <f t="shared" si="303"/>
        <v>0</v>
      </c>
      <c r="S177" s="16">
        <f t="shared" si="303"/>
        <v>0</v>
      </c>
      <c r="U177"/>
      <c r="V177"/>
      <c r="Z177" s="172"/>
    </row>
    <row r="178" spans="2:26">
      <c r="B178" s="17" t="s">
        <v>190</v>
      </c>
      <c r="D178" s="16"/>
      <c r="E178" s="16">
        <f>+E129+E130+E131+E132-D129-D131-D132-D130-E68</f>
        <v>-6156.0103674800057</v>
      </c>
      <c r="F178" s="16">
        <f>+F129+F130+F131+F132-E129-E131-E132-E130-F68</f>
        <v>-4235.1222726600026</v>
      </c>
      <c r="G178" s="16">
        <f>+G129+G130+G131+G132-F129-F131-F132-F130-G68</f>
        <v>-409.41457590000664</v>
      </c>
      <c r="H178" s="16">
        <f>+H129+H130+H131+H132-G129-G131-G132-G130-H68</f>
        <v>98.390918950002742</v>
      </c>
      <c r="I178" s="16">
        <f>+I129+I130+I131-H129-H131-H132-H130</f>
        <v>310.16091705999679</v>
      </c>
      <c r="J178" s="16">
        <f>+J129+J130+J131-I129-I131-I132-I130</f>
        <v>0</v>
      </c>
      <c r="K178" s="16">
        <f>+K129+K130+K131-J129-J131-J132-J130</f>
        <v>0.10024400000202149</v>
      </c>
      <c r="L178" s="16">
        <f>+L129+L130+L131-K129-K131-K132-K130</f>
        <v>5.7468600043648621E-3</v>
      </c>
      <c r="M178" s="16">
        <f>+M129+M130+M131+M132-L129-L131-L132-L130-M68</f>
        <v>-582.94611599999655</v>
      </c>
      <c r="N178" s="1095">
        <f>+N129+N130+N131+N132-M129-M131-M132-M130-N68</f>
        <v>-998.05049899999858</v>
      </c>
      <c r="O178" s="38">
        <f t="shared" ref="O178:S178" ca="1" si="304">+O129+O130+O131+O132-N129-N131-N132-N130-O68</f>
        <v>-1750.0000000000036</v>
      </c>
      <c r="P178" s="38">
        <f t="shared" ca="1" si="304"/>
        <v>-974.06214878820219</v>
      </c>
      <c r="Q178" s="38">
        <f t="shared" ca="1" si="304"/>
        <v>0</v>
      </c>
      <c r="R178" s="38">
        <f t="shared" ca="1" si="304"/>
        <v>-3376.5033077680273</v>
      </c>
      <c r="S178" s="38">
        <f t="shared" ca="1" si="304"/>
        <v>-4367.3397514024946</v>
      </c>
      <c r="U178"/>
      <c r="V178"/>
      <c r="X178" s="81"/>
      <c r="Z178" s="81"/>
    </row>
    <row r="179" spans="2:26">
      <c r="B179" s="185" t="s">
        <v>191</v>
      </c>
      <c r="C179" s="194"/>
      <c r="D179" s="221"/>
      <c r="E179" s="221">
        <f>+E174+SUM(E176:E178)</f>
        <v>738.59594236999965</v>
      </c>
      <c r="F179" s="221">
        <f>+F174+SUM(F176:F178)</f>
        <v>2056.411369129999</v>
      </c>
      <c r="G179" s="221">
        <f>+G174+SUM(G176:G178)</f>
        <v>-5146.7561409400078</v>
      </c>
      <c r="H179" s="221">
        <f>+H174+SUM(H176:H178)</f>
        <v>-558.79563490999499</v>
      </c>
      <c r="I179" s="221">
        <f>+I174+SUM(I176:I178)</f>
        <v>392.09737352999855</v>
      </c>
      <c r="J179" s="221">
        <f t="shared" ref="J179:L179" si="305">+J174+SUM(J176:J178)</f>
        <v>-816.46280157000365</v>
      </c>
      <c r="K179" s="221">
        <f t="shared" si="305"/>
        <v>1199.6459623900066</v>
      </c>
      <c r="L179" s="221">
        <f t="shared" si="305"/>
        <v>-258.60254937999923</v>
      </c>
      <c r="M179" s="221">
        <f>+M174+SUM(M176:M178)</f>
        <v>-764.94199617999573</v>
      </c>
      <c r="N179" s="1208">
        <f>+N174+SUM(N176:N178)</f>
        <v>1032.2792346899987</v>
      </c>
      <c r="O179" s="221">
        <f t="shared" ref="O179:S179" ca="1" si="306">+O174+SUM(O176:O178)</f>
        <v>-2129.2946820219013</v>
      </c>
      <c r="P179" s="221">
        <f t="shared" ca="1" si="306"/>
        <v>1349.2796627219011</v>
      </c>
      <c r="Q179" s="221">
        <f t="shared" ca="1" si="306"/>
        <v>2.5579538487363607E-13</v>
      </c>
      <c r="R179" s="221">
        <f t="shared" ca="1" si="306"/>
        <v>0</v>
      </c>
      <c r="S179" s="221">
        <f t="shared" ca="1" si="306"/>
        <v>0</v>
      </c>
      <c r="U179"/>
      <c r="V179"/>
      <c r="X179" s="81"/>
      <c r="Z179" s="81"/>
    </row>
    <row r="180" spans="2:26">
      <c r="H180" s="28"/>
      <c r="I180" s="28"/>
      <c r="J180" s="28"/>
      <c r="K180" s="28"/>
      <c r="L180" s="28"/>
      <c r="N180" s="28"/>
      <c r="O180" s="28"/>
      <c r="P180" s="28"/>
      <c r="Q180" s="28"/>
      <c r="R180" s="28"/>
      <c r="S180" s="28"/>
      <c r="U180"/>
      <c r="V180"/>
      <c r="Z180" s="81"/>
    </row>
    <row r="181" spans="2:26">
      <c r="B181" s="47" t="s">
        <v>192</v>
      </c>
      <c r="C181" s="58"/>
      <c r="D181" s="63"/>
      <c r="E181" s="48">
        <f>+D76+D75</f>
        <v>3906.5433021899998</v>
      </c>
      <c r="F181" s="48">
        <f>+E76+E75</f>
        <v>4645.1392445599995</v>
      </c>
      <c r="G181" s="48">
        <f>+F76+F75</f>
        <v>6701.5506137099992</v>
      </c>
      <c r="H181" s="48">
        <f>+G76+G75</f>
        <v>1554.79484645</v>
      </c>
      <c r="I181" s="48">
        <f>+H76+H75</f>
        <v>994.77457359000005</v>
      </c>
      <c r="J181" s="48">
        <f>+I75</f>
        <v>1388.09621137</v>
      </c>
      <c r="K181" s="48">
        <f>+J75</f>
        <v>571.73365359000002</v>
      </c>
      <c r="L181" s="48">
        <f>+K75</f>
        <v>1771.27937219</v>
      </c>
      <c r="M181" s="48">
        <f>+L76+L75</f>
        <v>1512.67682281</v>
      </c>
      <c r="N181" s="1424">
        <f>+M76+M75</f>
        <v>747.73482663000004</v>
      </c>
      <c r="O181" s="48">
        <f t="shared" ref="O181:S181" si="307">+N76+N75</f>
        <v>1780.0150192999999</v>
      </c>
      <c r="P181" s="48">
        <f t="shared" ca="1" si="307"/>
        <v>-349.27966272190133</v>
      </c>
      <c r="Q181" s="48">
        <f t="shared" ca="1" si="307"/>
        <v>999.99999999999977</v>
      </c>
      <c r="R181" s="48">
        <f t="shared" ca="1" si="307"/>
        <v>1000</v>
      </c>
      <c r="S181" s="48">
        <f t="shared" ca="1" si="307"/>
        <v>1000</v>
      </c>
      <c r="U181"/>
      <c r="V181"/>
      <c r="Z181" s="81"/>
    </row>
    <row r="182" spans="2:26">
      <c r="B182" s="186" t="s">
        <v>193</v>
      </c>
      <c r="C182" s="194"/>
      <c r="D182" s="187"/>
      <c r="E182" s="187">
        <f>+E179+E181</f>
        <v>4645.1392445599995</v>
      </c>
      <c r="F182" s="187">
        <f>+F179+F181</f>
        <v>6701.5506136899985</v>
      </c>
      <c r="G182" s="187">
        <f>+G179+G181</f>
        <v>1554.7944727699914</v>
      </c>
      <c r="H182" s="187">
        <f>+H179+H181</f>
        <v>995.99921154000504</v>
      </c>
      <c r="I182" s="187">
        <f>+I179+I181</f>
        <v>1386.8719471199986</v>
      </c>
      <c r="J182" s="187">
        <f t="shared" ref="J182:K182" si="308">+J179+J181</f>
        <v>571.63340979999634</v>
      </c>
      <c r="K182" s="187">
        <f t="shared" si="308"/>
        <v>1771.3796159800067</v>
      </c>
      <c r="L182" s="187">
        <f>+L179+L181</f>
        <v>1512.6768228100009</v>
      </c>
      <c r="M182" s="187">
        <f>+M179+M181</f>
        <v>747.73482663000425</v>
      </c>
      <c r="N182" s="1108">
        <f>+N179+N181</f>
        <v>1780.0140613199987</v>
      </c>
      <c r="O182" s="187">
        <f t="shared" ref="O182:S182" ca="1" si="309">+O179+O181</f>
        <v>-349.27966272190133</v>
      </c>
      <c r="P182" s="187">
        <f t="shared" ca="1" si="309"/>
        <v>999.99999999999977</v>
      </c>
      <c r="Q182" s="187">
        <f t="shared" ca="1" si="309"/>
        <v>1000</v>
      </c>
      <c r="R182" s="187">
        <f t="shared" ca="1" si="309"/>
        <v>1000</v>
      </c>
      <c r="S182" s="187">
        <f t="shared" ca="1" si="309"/>
        <v>1000</v>
      </c>
      <c r="U182"/>
      <c r="V182"/>
      <c r="Z182" s="81"/>
    </row>
    <row r="183" spans="2:26">
      <c r="E183" s="28"/>
      <c r="M183" s="28"/>
      <c r="U183"/>
      <c r="V183"/>
      <c r="Z183" s="81"/>
    </row>
    <row r="184" spans="2:26">
      <c r="B184" s="53" t="s">
        <v>194</v>
      </c>
      <c r="C184" s="54"/>
      <c r="D184" s="170"/>
      <c r="E184" s="170">
        <f t="shared" ref="E184:N184" si="310">+E182-E76-E75</f>
        <v>0</v>
      </c>
      <c r="F184" s="170">
        <f t="shared" si="310"/>
        <v>-2.0000697986688465E-8</v>
      </c>
      <c r="G184" s="170">
        <f t="shared" si="310"/>
        <v>-3.7368000857895822E-4</v>
      </c>
      <c r="H184" s="170">
        <f t="shared" si="310"/>
        <v>1.2246379500049898</v>
      </c>
      <c r="I184" s="170">
        <f t="shared" si="310"/>
        <v>-1.2242642500013972</v>
      </c>
      <c r="J184" s="170">
        <f t="shared" si="310"/>
        <v>-0.10024379000367389</v>
      </c>
      <c r="K184" s="170">
        <f t="shared" si="310"/>
        <v>0.10024379000674344</v>
      </c>
      <c r="L184" s="170">
        <f t="shared" si="310"/>
        <v>0</v>
      </c>
      <c r="M184" s="170">
        <f t="shared" si="310"/>
        <v>4.2064129956997931E-12</v>
      </c>
      <c r="N184" s="170">
        <f t="shared" si="310"/>
        <v>-9.5798000120339566E-4</v>
      </c>
      <c r="O184" s="53">
        <f t="shared" ref="O184:S184" ca="1" si="311">+O182-O76-O75</f>
        <v>0</v>
      </c>
      <c r="P184" s="53">
        <f t="shared" ca="1" si="311"/>
        <v>0</v>
      </c>
      <c r="Q184" s="53">
        <f t="shared" ca="1" si="311"/>
        <v>0</v>
      </c>
      <c r="R184" s="53">
        <f t="shared" ca="1" si="311"/>
        <v>0</v>
      </c>
      <c r="S184" s="53">
        <f t="shared" ca="1" si="311"/>
        <v>0</v>
      </c>
      <c r="U184"/>
      <c r="V184"/>
      <c r="Z184" s="81"/>
    </row>
    <row r="185" spans="2:26"/>
    <row r="186" spans="2:26">
      <c r="G186" s="28"/>
    </row>
    <row r="187" spans="2:26"/>
    <row r="188" spans="2:26"/>
    <row r="189" spans="2:26"/>
    <row r="190" spans="2:26"/>
    <row r="191" spans="2:26"/>
    <row r="192" spans="2:26"/>
    <row r="193"/>
    <row r="194"/>
    <row r="195"/>
    <row r="196"/>
    <row r="197"/>
  </sheetData>
  <mergeCells count="1">
    <mergeCell ref="K1:L1"/>
  </mergeCells>
  <pageMargins left="0.7" right="0.7" top="0.75" bottom="0.75" header="0.3" footer="0.3"/>
  <pageSetup orientation="portrait" horizontalDpi="4294967293" verticalDpi="4294967293" r:id="rId1"/>
  <ignoredErrors>
    <ignoredError sqref="G89:G90 O129:P129 U11:V11 U12:V12" formula="1"/>
    <ignoredError sqref="G13 G80"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DP411"/>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9.1796875" defaultRowHeight="14.5" zeroHeight="1" outlineLevelRow="1" outlineLevelCol="1"/>
  <cols>
    <col min="1" max="1" width="1.7265625" customWidth="1"/>
    <col min="2" max="2" width="30.7265625" customWidth="1"/>
    <col min="3" max="3" width="10.7265625" customWidth="1"/>
    <col min="4" max="6" width="12.7265625" customWidth="1" outlineLevel="1"/>
    <col min="7" max="11" width="12.7265625" customWidth="1"/>
    <col min="12" max="18" width="10.7265625" customWidth="1"/>
    <col min="19" max="19" width="10.1796875" bestFit="1" customWidth="1"/>
  </cols>
  <sheetData>
    <row r="1" spans="1:120" ht="18">
      <c r="A1" s="12" t="s">
        <v>195</v>
      </c>
      <c r="J1" s="170"/>
      <c r="K1" s="1584" t="str">
        <f>+Cover!D38</f>
        <v>Base</v>
      </c>
      <c r="L1" s="1584"/>
    </row>
    <row r="2" spans="1:120" ht="18">
      <c r="A2" s="12"/>
      <c r="J2" s="28"/>
      <c r="K2" s="350"/>
      <c r="L2" s="350"/>
      <c r="M2" s="350"/>
      <c r="N2" s="350"/>
      <c r="O2" s="297"/>
      <c r="DO2" s="263"/>
      <c r="DP2" s="263"/>
    </row>
    <row r="3" spans="1:120">
      <c r="F3" s="16">
        <f>+'Annual FS'!F2</f>
        <v>1.9983417587354779E-8</v>
      </c>
      <c r="G3" s="16">
        <f>+'Annual FS'!G2</f>
        <v>3.7370000427472405E-4</v>
      </c>
      <c r="H3" s="16">
        <f>+'Annual FS'!H2</f>
        <v>1.2242642500041256</v>
      </c>
      <c r="I3" s="16">
        <f>+'Annual FS'!I2</f>
        <v>0</v>
      </c>
      <c r="J3" s="16">
        <f>+'Annual FS'!J2</f>
        <v>0.10024379000060435</v>
      </c>
      <c r="K3" s="16">
        <f>+'Annual FS'!K2</f>
        <v>1.8189894035458565E-12</v>
      </c>
      <c r="L3" s="16">
        <f>+'Annual FS'!L2</f>
        <v>1.8189894035458565E-12</v>
      </c>
      <c r="M3" s="16">
        <f>+'Annual FS'!M2</f>
        <v>3.637978807091713E-12</v>
      </c>
      <c r="N3" s="16">
        <f>+'Annual FS'!N2</f>
        <v>9.579799971106695E-4</v>
      </c>
      <c r="O3" s="16">
        <f ca="1">+'Annual FS'!O2</f>
        <v>9.579799971106695E-4</v>
      </c>
      <c r="P3" s="16">
        <f ca="1">+'Annual FS'!P2</f>
        <v>9.579799952916801E-4</v>
      </c>
      <c r="Q3" s="16">
        <f ca="1">+'Annual FS'!Q2</f>
        <v>9.5797999165370129E-4</v>
      </c>
      <c r="R3" s="16">
        <f ca="1">+'Annual FS'!R2</f>
        <v>9.579799952916801E-4</v>
      </c>
      <c r="S3" s="16">
        <f ca="1">+'Annual FS'!S2</f>
        <v>9.579799952916801E-4</v>
      </c>
      <c r="T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row>
    <row r="4" spans="1:120">
      <c r="A4" s="471" t="s">
        <v>196</v>
      </c>
      <c r="B4" s="471"/>
      <c r="C4" s="471"/>
      <c r="D4" s="471">
        <v>2012</v>
      </c>
      <c r="E4" s="471">
        <v>2013</v>
      </c>
      <c r="F4" s="471">
        <v>2014</v>
      </c>
      <c r="G4" s="471">
        <v>2015</v>
      </c>
      <c r="H4" s="471">
        <v>2016</v>
      </c>
      <c r="I4" s="471">
        <v>2017</v>
      </c>
      <c r="J4" s="471">
        <v>2018</v>
      </c>
      <c r="K4" s="471">
        <v>2019</v>
      </c>
      <c r="L4" s="471">
        <v>2020</v>
      </c>
      <c r="M4" s="471">
        <v>2021</v>
      </c>
      <c r="N4" s="471">
        <v>2022</v>
      </c>
      <c r="O4" s="470">
        <v>2023</v>
      </c>
      <c r="P4" s="470">
        <v>2024</v>
      </c>
      <c r="Q4" s="470">
        <v>2025</v>
      </c>
      <c r="R4" s="470">
        <v>2026</v>
      </c>
      <c r="S4" s="470">
        <v>2027</v>
      </c>
      <c r="T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row>
    <row r="5" spans="1:120" outlineLevel="1">
      <c r="D5" s="634"/>
      <c r="E5" s="634"/>
      <c r="F5" s="634"/>
      <c r="G5" s="334"/>
      <c r="H5" s="334"/>
    </row>
    <row r="6" spans="1:120" outlineLevel="1">
      <c r="B6" s="1294" t="s">
        <v>197</v>
      </c>
      <c r="C6" s="1295" t="s">
        <v>35</v>
      </c>
      <c r="D6" s="353">
        <v>3.9E-2</v>
      </c>
      <c r="E6" s="353">
        <v>5.0999999999999997E-2</v>
      </c>
      <c r="F6" s="353">
        <v>4.4999999999999998E-2</v>
      </c>
      <c r="G6" s="1296">
        <v>0.03</v>
      </c>
      <c r="H6" s="1296">
        <v>2.1000000000000001E-2</v>
      </c>
      <c r="I6" s="1296">
        <v>1.4E-2</v>
      </c>
      <c r="J6" s="1296">
        <v>2.5999999999999999E-2</v>
      </c>
      <c r="K6" s="1296">
        <v>3.2000000000000001E-2</v>
      </c>
      <c r="L6" s="1296">
        <v>-7.0000000000000007E-2</v>
      </c>
      <c r="M6" s="1296">
        <v>0.107</v>
      </c>
      <c r="N6" s="1428">
        <v>7.4999999999999997E-2</v>
      </c>
      <c r="O6" s="1296">
        <v>8.9999999999999993E-3</v>
      </c>
      <c r="P6" s="1296">
        <v>2.5000000000000001E-2</v>
      </c>
      <c r="Q6" s="1296">
        <v>2.8000000000000001E-2</v>
      </c>
      <c r="R6" s="1296">
        <v>2.8000000000000001E-2</v>
      </c>
      <c r="S6" s="1296">
        <f>R6</f>
        <v>2.8000000000000001E-2</v>
      </c>
      <c r="T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row>
    <row r="7" spans="1:120" outlineLevel="1">
      <c r="B7" s="45" t="s">
        <v>198</v>
      </c>
      <c r="C7" s="61" t="s">
        <v>199</v>
      </c>
      <c r="D7" s="1238">
        <v>111.57068273092368</v>
      </c>
      <c r="E7" s="1238">
        <v>108.55500000000012</v>
      </c>
      <c r="F7" s="1238">
        <v>98.9696062992126</v>
      </c>
      <c r="G7" s="1238">
        <v>52.316549019607855</v>
      </c>
      <c r="H7" s="1238">
        <v>43.637999999999998</v>
      </c>
      <c r="I7" s="1238">
        <v>54.124804687500017</v>
      </c>
      <c r="J7" s="1238">
        <v>71.335000000000022</v>
      </c>
      <c r="K7" s="1238">
        <v>64.300622568093402</v>
      </c>
      <c r="L7" s="1238">
        <v>41.957254901960781</v>
      </c>
      <c r="M7" s="1238">
        <v>70.855335968379435</v>
      </c>
      <c r="N7" s="1239">
        <v>100.9313095238096</v>
      </c>
      <c r="O7" s="1238">
        <v>89</v>
      </c>
      <c r="P7" s="1238">
        <v>82</v>
      </c>
      <c r="Q7" s="1238">
        <v>80</v>
      </c>
      <c r="R7" s="1238">
        <v>78</v>
      </c>
      <c r="S7" s="1238">
        <f>R7</f>
        <v>78</v>
      </c>
      <c r="T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row>
    <row r="8" spans="1:120" outlineLevel="1">
      <c r="B8" s="45" t="s">
        <v>200</v>
      </c>
      <c r="C8" s="61" t="s">
        <v>35</v>
      </c>
      <c r="D8" s="46">
        <v>2.4400000000000002E-2</v>
      </c>
      <c r="E8" s="46">
        <v>1.9400000000000001E-2</v>
      </c>
      <c r="F8" s="46">
        <v>3.6600000000000001E-2</v>
      </c>
      <c r="G8" s="353">
        <v>6.7699999999999996E-2</v>
      </c>
      <c r="H8" s="353">
        <v>5.7500000000000002E-2</v>
      </c>
      <c r="I8" s="353">
        <v>4.0899999999999999E-2</v>
      </c>
      <c r="J8" s="353">
        <v>3.1800000000000002E-2</v>
      </c>
      <c r="K8" s="353">
        <v>3.7999999999999999E-2</v>
      </c>
      <c r="L8" s="353">
        <v>1.61E-2</v>
      </c>
      <c r="M8" s="353">
        <v>5.62E-2</v>
      </c>
      <c r="N8" s="1234">
        <v>0.13120000000000001</v>
      </c>
      <c r="O8" s="353">
        <v>7.4999999999999997E-2</v>
      </c>
      <c r="P8" s="353">
        <v>0.05</v>
      </c>
      <c r="Q8" s="353">
        <v>4.2999999999999997E-2</v>
      </c>
      <c r="R8" s="353">
        <v>3.6999999999999998E-2</v>
      </c>
      <c r="S8" s="353">
        <f t="shared" ref="S8" si="0">R8</f>
        <v>3.6999999999999998E-2</v>
      </c>
      <c r="T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row>
    <row r="9" spans="1:120" outlineLevel="1">
      <c r="B9" s="17" t="s">
        <v>201</v>
      </c>
      <c r="C9" s="18" t="s">
        <v>35</v>
      </c>
      <c r="D9" s="46">
        <v>1.7000000000000001E-2</v>
      </c>
      <c r="E9" s="46">
        <v>1.4999999999999999E-2</v>
      </c>
      <c r="F9" s="46">
        <v>8.0000000000000002E-3</v>
      </c>
      <c r="G9" s="353">
        <v>7.0000000000000001E-3</v>
      </c>
      <c r="H9" s="353">
        <v>2.1000000000000001E-2</v>
      </c>
      <c r="I9" s="353">
        <v>2.1000000000000001E-2</v>
      </c>
      <c r="J9" s="353">
        <v>1.9E-2</v>
      </c>
      <c r="K9" s="353">
        <v>2.3E-2</v>
      </c>
      <c r="L9" s="353">
        <v>1.4E-2</v>
      </c>
      <c r="M9" s="353">
        <v>7.0000000000000007E-2</v>
      </c>
      <c r="N9" s="1234">
        <v>6.5000000000000002E-2</v>
      </c>
      <c r="O9" s="353">
        <v>3.1E-2</v>
      </c>
      <c r="P9" s="353">
        <v>2.5000000000000001E-2</v>
      </c>
      <c r="Q9" s="353">
        <v>2.1000000000000001E-2</v>
      </c>
      <c r="R9" s="353">
        <v>0.02</v>
      </c>
      <c r="S9" s="353">
        <v>0.02</v>
      </c>
      <c r="T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row>
    <row r="10" spans="1:120" outlineLevel="1">
      <c r="B10" s="45" t="s">
        <v>202</v>
      </c>
      <c r="C10" s="61" t="s">
        <v>203</v>
      </c>
      <c r="D10" s="43">
        <v>1768.23</v>
      </c>
      <c r="E10" s="43">
        <v>1926.83</v>
      </c>
      <c r="F10" s="43">
        <v>2392.46</v>
      </c>
      <c r="G10" s="43">
        <v>3149.47</v>
      </c>
      <c r="H10" s="43">
        <v>3000.71</v>
      </c>
      <c r="I10" s="43">
        <v>2984</v>
      </c>
      <c r="J10" s="43">
        <v>3249.75</v>
      </c>
      <c r="K10" s="43">
        <v>3277.14</v>
      </c>
      <c r="L10" s="43">
        <v>3432.5</v>
      </c>
      <c r="M10" s="43">
        <v>3981.16</v>
      </c>
      <c r="N10" s="1096">
        <v>4810.2</v>
      </c>
      <c r="O10" s="55">
        <f>(O11*2)-N10</f>
        <v>5019.8</v>
      </c>
      <c r="P10" s="55">
        <f>(P11*2)-O10</f>
        <v>4446.2</v>
      </c>
      <c r="Q10" s="55">
        <f>(Q11*2)-P10</f>
        <v>4773.8</v>
      </c>
      <c r="R10" s="55">
        <f>(R11*2)-Q10</f>
        <v>4942.2</v>
      </c>
      <c r="S10" s="55">
        <f>(S11*2)-R10</f>
        <v>4773.8</v>
      </c>
      <c r="T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row>
    <row r="11" spans="1:120" outlineLevel="1">
      <c r="B11" s="45" t="s">
        <v>204</v>
      </c>
      <c r="C11" s="61" t="s">
        <v>203</v>
      </c>
      <c r="D11" s="43">
        <v>1797.7857650273213</v>
      </c>
      <c r="E11" s="43">
        <v>1869.0989041095884</v>
      </c>
      <c r="F11" s="43">
        <v>2000.3268219178083</v>
      </c>
      <c r="G11" s="43">
        <v>2743.3867397260287</v>
      </c>
      <c r="H11" s="43">
        <v>3050.9778688524607</v>
      </c>
      <c r="I11" s="43">
        <v>2951.3226575342492</v>
      </c>
      <c r="J11" s="43">
        <v>2956.4302739726054</v>
      </c>
      <c r="K11" s="43">
        <v>3281.0921917808259</v>
      </c>
      <c r="L11" s="43">
        <v>3693.3608743169475</v>
      </c>
      <c r="M11" s="43">
        <v>3743.0876164383517</v>
      </c>
      <c r="N11" s="1096">
        <v>4255.4398630136948</v>
      </c>
      <c r="O11" s="43">
        <v>4915</v>
      </c>
      <c r="P11" s="43">
        <v>4733</v>
      </c>
      <c r="Q11" s="43">
        <v>4610</v>
      </c>
      <c r="R11" s="43">
        <v>4858</v>
      </c>
      <c r="S11" s="43">
        <f>R11</f>
        <v>4858</v>
      </c>
      <c r="T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row>
    <row r="12" spans="1:120" outlineLevel="1">
      <c r="B12" s="17" t="s">
        <v>205</v>
      </c>
      <c r="C12" s="62" t="s">
        <v>35</v>
      </c>
      <c r="D12" s="46">
        <v>5.3551020408163258E-2</v>
      </c>
      <c r="E12" s="46">
        <v>4.2430769230769237E-2</v>
      </c>
      <c r="F12" s="46">
        <v>4.0598076923076924E-2</v>
      </c>
      <c r="G12" s="46">
        <v>4.5521153846153829E-2</v>
      </c>
      <c r="H12" s="46">
        <v>6.7373076923076938E-2</v>
      </c>
      <c r="I12" s="46">
        <v>6.0119230769230786E-2</v>
      </c>
      <c r="J12" s="46">
        <v>4.7188679245283013E-2</v>
      </c>
      <c r="K12" s="46">
        <v>4.492692307692308E-2</v>
      </c>
      <c r="L12" s="46">
        <v>3.4119230769230777E-2</v>
      </c>
      <c r="M12" s="46">
        <v>2.0455769230769229E-2</v>
      </c>
      <c r="N12" s="1236">
        <v>8.269038461538461E-2</v>
      </c>
      <c r="O12" s="353">
        <v>0.12130000000000001</v>
      </c>
      <c r="P12" s="353">
        <v>8.7099999999999997E-2</v>
      </c>
      <c r="Q12" s="353">
        <v>6.4100000000000004E-2</v>
      </c>
      <c r="R12" s="353">
        <v>6.2199999999999998E-2</v>
      </c>
      <c r="S12" s="353">
        <f t="shared" ref="S12" si="1">R12</f>
        <v>6.2199999999999998E-2</v>
      </c>
      <c r="T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row>
    <row r="13" spans="1:120" outlineLevel="1">
      <c r="B13" s="17" t="s">
        <v>206</v>
      </c>
      <c r="C13" s="62" t="s">
        <v>35</v>
      </c>
      <c r="D13" s="46">
        <v>5.1824489795918388E-2</v>
      </c>
      <c r="E13" s="46">
        <v>4.132692307692306E-2</v>
      </c>
      <c r="F13" s="46">
        <v>3.9592307692307697E-2</v>
      </c>
      <c r="G13" s="46">
        <v>4.4261538461538477E-2</v>
      </c>
      <c r="H13" s="46">
        <v>6.4653846153846159E-2</v>
      </c>
      <c r="I13" s="46">
        <v>5.7938461538461522E-2</v>
      </c>
      <c r="J13" s="46">
        <v>4.5839622641509432E-2</v>
      </c>
      <c r="K13" s="46">
        <v>4.3709615384615381E-2</v>
      </c>
      <c r="L13" s="46">
        <v>3.3350000000000005E-2</v>
      </c>
      <c r="M13" s="46">
        <v>2.0190384615384617E-2</v>
      </c>
      <c r="N13" s="1236">
        <v>7.8101923076923055E-2</v>
      </c>
      <c r="O13" s="109">
        <f t="shared" ref="O13:Q13" si="2">4*(1-(1+O12)^ -0.25)</f>
        <v>0.11286578879053044</v>
      </c>
      <c r="P13" s="109">
        <f t="shared" si="2"/>
        <v>8.2647820881171619E-2</v>
      </c>
      <c r="Q13" s="109">
        <f t="shared" si="2"/>
        <v>6.1649352601742535E-2</v>
      </c>
      <c r="R13" s="109">
        <f>4*(1-(1+R12)^ -0.25)</f>
        <v>5.988936104608511E-2</v>
      </c>
      <c r="S13" s="109">
        <f>4*(1-(1+S12)^ -0.25)</f>
        <v>5.988936104608511E-2</v>
      </c>
      <c r="T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row>
    <row r="14" spans="1:120" outlineLevel="1">
      <c r="B14" s="186" t="s">
        <v>207</v>
      </c>
      <c r="C14" s="354" t="s">
        <v>35</v>
      </c>
      <c r="D14" s="360">
        <v>5.0074426229508182E-2</v>
      </c>
      <c r="E14" s="360">
        <v>3.3926188524590117E-2</v>
      </c>
      <c r="F14" s="360">
        <v>3.8380163934426233E-2</v>
      </c>
      <c r="G14" s="360">
        <v>4.6853223140495871E-2</v>
      </c>
      <c r="H14" s="360">
        <v>7.1048489795918421E-2</v>
      </c>
      <c r="I14" s="360">
        <v>6.1255785123966879E-2</v>
      </c>
      <c r="J14" s="360">
        <v>4.3441481481481477E-2</v>
      </c>
      <c r="K14" s="360">
        <v>4.2545959183673411E-2</v>
      </c>
      <c r="L14" s="360">
        <v>2.8533456790123434E-2</v>
      </c>
      <c r="M14" s="360">
        <v>1.9160979591836717E-2</v>
      </c>
      <c r="N14" s="1235">
        <v>7.1842040816326558E-2</v>
      </c>
      <c r="O14" s="1237">
        <v>9.9500000000000005E-2</v>
      </c>
      <c r="P14" s="360">
        <v>6.4699999999999994E-2</v>
      </c>
      <c r="Q14" s="360">
        <v>5.9700000000000003E-2</v>
      </c>
      <c r="R14" s="360">
        <v>5.96E-2</v>
      </c>
      <c r="S14" s="360">
        <f>R14</f>
        <v>5.96E-2</v>
      </c>
      <c r="T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row>
    <row r="15" spans="1:120">
      <c r="B15" s="17"/>
      <c r="C15" s="44"/>
      <c r="D15" s="56"/>
      <c r="E15" s="56"/>
      <c r="F15" s="56"/>
      <c r="G15" s="56"/>
      <c r="H15" s="56"/>
      <c r="I15" s="56"/>
      <c r="J15" s="56"/>
      <c r="K15" s="56"/>
      <c r="L15" s="56"/>
      <c r="M15" s="42"/>
      <c r="N15" s="42"/>
      <c r="O15" s="42"/>
      <c r="P15" s="42"/>
      <c r="Q15" s="42"/>
      <c r="R15" s="42"/>
      <c r="S15" s="42"/>
      <c r="T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row>
    <row r="16" spans="1:120">
      <c r="A16" s="471" t="s">
        <v>208</v>
      </c>
      <c r="B16" s="471"/>
      <c r="C16" s="471"/>
      <c r="D16" s="471">
        <v>2012</v>
      </c>
      <c r="E16" s="471">
        <v>2013</v>
      </c>
      <c r="F16" s="471">
        <v>2014</v>
      </c>
      <c r="G16" s="471">
        <v>2015</v>
      </c>
      <c r="H16" s="471">
        <v>2016</v>
      </c>
      <c r="I16" s="471">
        <v>2017</v>
      </c>
      <c r="J16" s="471">
        <v>2018</v>
      </c>
      <c r="K16" s="471">
        <v>2019</v>
      </c>
      <c r="L16" s="471">
        <v>2020</v>
      </c>
      <c r="M16" s="471">
        <v>2021</v>
      </c>
      <c r="N16" s="471">
        <v>2022</v>
      </c>
      <c r="O16" s="470">
        <v>2023</v>
      </c>
      <c r="P16" s="470">
        <v>2024</v>
      </c>
      <c r="Q16" s="470">
        <v>2025</v>
      </c>
      <c r="R16" s="470">
        <v>2026</v>
      </c>
      <c r="S16" s="470">
        <v>2027</v>
      </c>
    </row>
    <row r="17" spans="1:19" outlineLevel="1"/>
    <row r="18" spans="1:19" outlineLevel="1">
      <c r="B18" s="153" t="s">
        <v>209</v>
      </c>
      <c r="C18" s="58"/>
      <c r="D18" s="635">
        <v>29</v>
      </c>
      <c r="E18" s="635">
        <v>32</v>
      </c>
      <c r="F18" s="636">
        <f>+E18+F19</f>
        <v>32</v>
      </c>
      <c r="G18" s="1297">
        <f t="shared" ref="G18:S18" si="3">+F18+F19</f>
        <v>32</v>
      </c>
      <c r="H18" s="1297">
        <v>31</v>
      </c>
      <c r="I18" s="1429">
        <v>30</v>
      </c>
      <c r="J18" s="1297">
        <f t="shared" si="3"/>
        <v>30</v>
      </c>
      <c r="K18" s="1297">
        <f t="shared" si="3"/>
        <v>30</v>
      </c>
      <c r="L18" s="1297">
        <f t="shared" si="3"/>
        <v>30</v>
      </c>
      <c r="M18" s="1297">
        <f t="shared" si="3"/>
        <v>30</v>
      </c>
      <c r="N18" s="1297">
        <f t="shared" si="3"/>
        <v>30</v>
      </c>
      <c r="O18" s="1297">
        <f t="shared" si="3"/>
        <v>30</v>
      </c>
      <c r="P18" s="1297">
        <f t="shared" si="3"/>
        <v>30</v>
      </c>
      <c r="Q18" s="1297">
        <f t="shared" si="3"/>
        <v>30</v>
      </c>
      <c r="R18" s="1297">
        <f t="shared" si="3"/>
        <v>30</v>
      </c>
      <c r="S18" s="1297">
        <f t="shared" si="3"/>
        <v>30</v>
      </c>
    </row>
    <row r="19" spans="1:19" outlineLevel="1">
      <c r="B19" s="185" t="s">
        <v>210</v>
      </c>
      <c r="C19" s="194"/>
      <c r="D19" s="361"/>
      <c r="E19" s="361"/>
      <c r="F19" s="361">
        <f>+F294</f>
        <v>0</v>
      </c>
      <c r="G19" s="361">
        <v>0</v>
      </c>
      <c r="H19" s="361">
        <f>+H294</f>
        <v>0</v>
      </c>
      <c r="I19" s="362">
        <f>+I294</f>
        <v>0</v>
      </c>
      <c r="J19" s="361">
        <f>+J294</f>
        <v>0</v>
      </c>
      <c r="K19" s="361">
        <f>+K294</f>
        <v>0</v>
      </c>
      <c r="L19" s="361">
        <f>+L294</f>
        <v>0</v>
      </c>
      <c r="M19" s="361">
        <f t="shared" ref="M19:R19" si="4">+M294</f>
        <v>0</v>
      </c>
      <c r="N19" s="361">
        <f t="shared" si="4"/>
        <v>0</v>
      </c>
      <c r="O19" s="361">
        <f t="shared" si="4"/>
        <v>0</v>
      </c>
      <c r="P19" s="361">
        <f t="shared" si="4"/>
        <v>0</v>
      </c>
      <c r="Q19" s="361">
        <f t="shared" si="4"/>
        <v>0</v>
      </c>
      <c r="R19" s="361">
        <f t="shared" si="4"/>
        <v>0</v>
      </c>
      <c r="S19" s="361">
        <f>+S294</f>
        <v>0</v>
      </c>
    </row>
    <row r="20" spans="1:19" outlineLevel="1">
      <c r="B20" s="25"/>
      <c r="D20" s="292"/>
      <c r="E20" s="292"/>
    </row>
    <row r="21" spans="1:19" outlineLevel="1">
      <c r="B21" s="47" t="s">
        <v>211</v>
      </c>
      <c r="C21" s="47"/>
      <c r="D21" s="637"/>
      <c r="E21" s="637"/>
      <c r="F21" s="637">
        <v>21.75</v>
      </c>
      <c r="G21" s="1298">
        <f>+'Drivers Revenue'!G54</f>
        <v>11.6</v>
      </c>
      <c r="H21" s="1299">
        <f>+'Drivers Revenue'!H54</f>
        <v>4.5</v>
      </c>
      <c r="I21" s="1430">
        <f>+'Drivers Revenue'!I54</f>
        <v>11.416666666666666</v>
      </c>
      <c r="J21" s="1299">
        <f>+'Drivers Revenue'!J54</f>
        <v>12.916666666666666</v>
      </c>
      <c r="K21" s="1299">
        <f>+'Drivers Revenue'!K54</f>
        <v>18</v>
      </c>
      <c r="L21" s="1299">
        <f>+'Drivers Revenue'!L54</f>
        <v>10</v>
      </c>
      <c r="M21" s="1299">
        <f>+'Drivers Revenue'!M54</f>
        <v>11</v>
      </c>
      <c r="N21" s="1299">
        <f>+'Drivers Revenue'!N54</f>
        <v>18</v>
      </c>
      <c r="O21" s="1299">
        <f>+'Drivers Revenue'!O54</f>
        <v>16</v>
      </c>
      <c r="P21" s="1299">
        <f>+'Drivers Revenue'!P54</f>
        <v>17</v>
      </c>
      <c r="Q21" s="1299">
        <f>+'Drivers Revenue'!Q54</f>
        <v>17</v>
      </c>
      <c r="R21" s="1299">
        <f>+'Drivers Revenue'!R54</f>
        <v>18</v>
      </c>
      <c r="S21" s="1299">
        <f>+'Drivers Revenue'!S54</f>
        <v>18</v>
      </c>
    </row>
    <row r="22" spans="1:19" outlineLevel="1">
      <c r="B22" s="17" t="s">
        <v>212</v>
      </c>
      <c r="C22" s="17"/>
      <c r="D22" s="128"/>
      <c r="E22" s="128"/>
      <c r="F22" s="128">
        <v>10.875</v>
      </c>
      <c r="G22" s="363">
        <f>+G18-G21</f>
        <v>20.399999999999999</v>
      </c>
      <c r="H22" s="138">
        <f>+H18-H21</f>
        <v>26.5</v>
      </c>
      <c r="I22" s="364">
        <f>I18-I21</f>
        <v>18.583333333333336</v>
      </c>
      <c r="J22" s="138">
        <f t="shared" ref="J22:S22" si="5">J18-J21</f>
        <v>17.083333333333336</v>
      </c>
      <c r="K22" s="138">
        <f t="shared" si="5"/>
        <v>12</v>
      </c>
      <c r="L22" s="138">
        <f t="shared" si="5"/>
        <v>20</v>
      </c>
      <c r="M22" s="138">
        <f t="shared" si="5"/>
        <v>19</v>
      </c>
      <c r="N22" s="138">
        <f t="shared" si="5"/>
        <v>12</v>
      </c>
      <c r="O22" s="138">
        <f t="shared" si="5"/>
        <v>14</v>
      </c>
      <c r="P22" s="138">
        <f t="shared" si="5"/>
        <v>13</v>
      </c>
      <c r="Q22" s="138">
        <f t="shared" si="5"/>
        <v>13</v>
      </c>
      <c r="R22" s="138">
        <f t="shared" si="5"/>
        <v>12</v>
      </c>
      <c r="S22" s="138">
        <f t="shared" si="5"/>
        <v>12</v>
      </c>
    </row>
    <row r="23" spans="1:19" outlineLevel="1">
      <c r="B23" s="186" t="s">
        <v>213</v>
      </c>
      <c r="C23" s="186"/>
      <c r="D23" s="630"/>
      <c r="E23" s="630"/>
      <c r="F23" s="630">
        <v>0</v>
      </c>
      <c r="G23" s="194"/>
      <c r="H23" s="194"/>
      <c r="I23" s="365"/>
      <c r="J23" s="194"/>
      <c r="K23" s="194"/>
      <c r="L23" s="194"/>
      <c r="M23" s="194"/>
      <c r="N23" s="194"/>
      <c r="O23" s="194"/>
      <c r="P23" s="194"/>
      <c r="Q23" s="194"/>
      <c r="R23" s="194"/>
      <c r="S23" s="194"/>
    </row>
    <row r="24" spans="1:19" outlineLevel="1">
      <c r="B24" s="1431" t="s">
        <v>214</v>
      </c>
      <c r="C24" s="1432"/>
      <c r="D24" s="361">
        <f>+D18</f>
        <v>29</v>
      </c>
      <c r="E24" s="361">
        <f>+E18</f>
        <v>32</v>
      </c>
      <c r="F24" s="361">
        <f>+SUM(F21:F23)</f>
        <v>32.625</v>
      </c>
      <c r="G24" s="1433">
        <f t="shared" ref="G24:L24" si="6">+SUM(G21:G23)</f>
        <v>32</v>
      </c>
      <c r="H24" s="1433">
        <f t="shared" si="6"/>
        <v>31</v>
      </c>
      <c r="I24" s="368">
        <f t="shared" si="6"/>
        <v>30</v>
      </c>
      <c r="J24" s="1433">
        <f t="shared" si="6"/>
        <v>30</v>
      </c>
      <c r="K24" s="1433">
        <f t="shared" si="6"/>
        <v>30</v>
      </c>
      <c r="L24" s="1433">
        <f t="shared" si="6"/>
        <v>30</v>
      </c>
      <c r="M24" s="1433">
        <f t="shared" ref="M24:R24" si="7">+SUM(M21:M23)</f>
        <v>30</v>
      </c>
      <c r="N24" s="1433">
        <f t="shared" si="7"/>
        <v>30</v>
      </c>
      <c r="O24" s="1433">
        <f t="shared" si="7"/>
        <v>30</v>
      </c>
      <c r="P24" s="1433">
        <f t="shared" si="7"/>
        <v>30</v>
      </c>
      <c r="Q24" s="1433">
        <f t="shared" si="7"/>
        <v>30</v>
      </c>
      <c r="R24" s="1433">
        <f t="shared" si="7"/>
        <v>30</v>
      </c>
      <c r="S24" s="1433">
        <f>+SUM(S21:S23)</f>
        <v>30</v>
      </c>
    </row>
    <row r="25" spans="1:19">
      <c r="B25" s="25"/>
      <c r="C25" s="125"/>
      <c r="D25" s="292"/>
      <c r="E25" s="292"/>
      <c r="F25" s="292"/>
      <c r="G25" s="292"/>
      <c r="H25" s="292"/>
      <c r="I25" s="292"/>
      <c r="J25" s="292"/>
      <c r="K25" s="292"/>
      <c r="L25" s="292"/>
      <c r="M25" s="292"/>
      <c r="N25" s="292"/>
      <c r="O25" s="292"/>
      <c r="P25" s="292"/>
      <c r="Q25" s="292"/>
      <c r="R25" s="292"/>
      <c r="S25" s="292"/>
    </row>
    <row r="26" spans="1:19">
      <c r="A26" s="471" t="s">
        <v>215</v>
      </c>
      <c r="B26" s="471"/>
      <c r="C26" s="471"/>
      <c r="D26" s="471">
        <v>2012</v>
      </c>
      <c r="E26" s="471">
        <v>2013</v>
      </c>
      <c r="F26" s="471">
        <v>2014</v>
      </c>
      <c r="G26" s="471">
        <v>2015</v>
      </c>
      <c r="H26" s="471">
        <v>2016</v>
      </c>
      <c r="I26" s="471">
        <v>2017</v>
      </c>
      <c r="J26" s="471">
        <v>2018</v>
      </c>
      <c r="K26" s="471">
        <v>2019</v>
      </c>
      <c r="L26" s="471">
        <v>2020</v>
      </c>
      <c r="M26" s="471">
        <v>2021</v>
      </c>
      <c r="N26" s="471">
        <v>2022</v>
      </c>
      <c r="O26" s="470">
        <v>2023</v>
      </c>
      <c r="P26" s="470">
        <v>2024</v>
      </c>
      <c r="Q26" s="470">
        <v>2025</v>
      </c>
      <c r="R26" s="470">
        <v>2026</v>
      </c>
      <c r="S26" s="470">
        <v>2027</v>
      </c>
    </row>
    <row r="27" spans="1:19" outlineLevel="1">
      <c r="I27" s="28"/>
    </row>
    <row r="28" spans="1:19" outlineLevel="1">
      <c r="B28" s="185" t="str">
        <f>+'Annual FS'!B13</f>
        <v>Cost of goods sold</v>
      </c>
      <c r="C28" s="192" t="str">
        <f>+'Annual FS'!C13</f>
        <v>COP MM</v>
      </c>
      <c r="D28" s="23">
        <f t="shared" ref="D28:R28" si="8">+SUM(D29:D38)</f>
        <v>-22916.210651540001</v>
      </c>
      <c r="E28" s="23">
        <f t="shared" si="8"/>
        <v>-22478.260733739997</v>
      </c>
      <c r="F28" s="23">
        <f t="shared" si="8"/>
        <v>-23199.886896879998</v>
      </c>
      <c r="G28" s="23">
        <f t="shared" si="8"/>
        <v>-12779.26428524</v>
      </c>
      <c r="H28" s="23">
        <f t="shared" si="8"/>
        <v>-4997.1798879000007</v>
      </c>
      <c r="I28" s="23">
        <f>+SUM(I29:I38)</f>
        <v>-8327.4982118200005</v>
      </c>
      <c r="J28" s="23">
        <f t="shared" si="8"/>
        <v>-9481.3011454199986</v>
      </c>
      <c r="K28" s="23">
        <f t="shared" si="8"/>
        <v>-14176.21938748</v>
      </c>
      <c r="L28" s="23">
        <f t="shared" si="8"/>
        <v>-8133.1793244200007</v>
      </c>
      <c r="M28" s="23">
        <f t="shared" si="8"/>
        <v>-9555.8718428400025</v>
      </c>
      <c r="N28" s="23">
        <f>+SUM(N29:N38)</f>
        <v>-21152.064727369998</v>
      </c>
      <c r="O28" s="23">
        <f>+SUM(O29:O38)</f>
        <v>-20458.01196943508</v>
      </c>
      <c r="P28" s="23">
        <f t="shared" si="8"/>
        <v>-23000.299966412753</v>
      </c>
      <c r="Q28" s="23">
        <f t="shared" si="8"/>
        <v>-23882.400755083763</v>
      </c>
      <c r="R28" s="23">
        <f t="shared" si="8"/>
        <v>-26107.125163253553</v>
      </c>
      <c r="S28" s="23">
        <f>+SUM(S29:S38)</f>
        <v>-27154.905432900039</v>
      </c>
    </row>
    <row r="29" spans="1:19" outlineLevel="1">
      <c r="B29" s="17" t="str">
        <f>+'Annual FS'!B14</f>
        <v xml:space="preserve">Payroll / gastos de personal </v>
      </c>
      <c r="C29" s="24" t="s">
        <v>216</v>
      </c>
      <c r="D29" s="638">
        <f>+'Annual FS'!D14</f>
        <v>-14767.10322632</v>
      </c>
      <c r="E29" s="638">
        <f>+'Annual FS'!E14</f>
        <v>-14534.346954049997</v>
      </c>
      <c r="F29" s="638">
        <f>+'Annual FS'!F14</f>
        <v>-14872.349820220003</v>
      </c>
      <c r="G29" s="68">
        <f>+'Annual FS'!G14</f>
        <v>-9399.1835248000007</v>
      </c>
      <c r="H29" s="68">
        <f>+'Annual FS'!H14</f>
        <v>-3585.1786395799995</v>
      </c>
      <c r="I29" s="68">
        <f>+'Annual FS'!I14</f>
        <v>-5810.4459832399998</v>
      </c>
      <c r="J29" s="68">
        <f>+'Annual FS'!J14</f>
        <v>-6497.3512971600003</v>
      </c>
      <c r="K29" s="68">
        <f>+'Annual FS'!K14</f>
        <v>-9000.5122297300004</v>
      </c>
      <c r="L29" s="68">
        <f>+'Annual FS'!L14</f>
        <v>-4822.6795869200005</v>
      </c>
      <c r="M29" s="68">
        <f>+'Annual FS'!M14</f>
        <v>-5712.2498321699995</v>
      </c>
      <c r="N29" s="1420">
        <f>+'Annual FS'!N14</f>
        <v>-11093.825810429998</v>
      </c>
      <c r="O29" s="75">
        <f>-O41*('Annual FS'!O7+'Annual FS'!O9)</f>
        <v>-12430.585570825808</v>
      </c>
      <c r="P29" s="75">
        <f>-P41*('Annual FS'!P7+'Annual FS'!P9)</f>
        <v>-14028.628893492531</v>
      </c>
      <c r="Q29" s="75">
        <f>-Q41*('Annual FS'!Q7+'Annual FS'!Q9)</f>
        <v>-14562.468166350063</v>
      </c>
      <c r="R29" s="75">
        <f>-R41*('Annual FS'!R7+'Annual FS'!R9)</f>
        <v>-15964.310739114837</v>
      </c>
      <c r="S29" s="75">
        <f>-S41*('Annual FS'!S7+'Annual FS'!S9)</f>
        <v>-16607.672461901166</v>
      </c>
    </row>
    <row r="30" spans="1:19" outlineLevel="1">
      <c r="B30" s="29" t="s">
        <v>217</v>
      </c>
      <c r="C30" s="24"/>
      <c r="D30" s="38"/>
      <c r="E30" s="38"/>
      <c r="F30" s="38"/>
      <c r="G30" s="38"/>
      <c r="H30" s="38">
        <v>138.85665126999999</v>
      </c>
      <c r="I30" s="38"/>
      <c r="J30" s="38"/>
      <c r="K30" s="38"/>
      <c r="L30" s="38"/>
      <c r="M30" s="38"/>
      <c r="N30" s="168"/>
      <c r="O30" s="55"/>
      <c r="P30" s="55"/>
      <c r="Q30" s="55"/>
      <c r="R30" s="55"/>
      <c r="S30" s="55"/>
    </row>
    <row r="31" spans="1:19" outlineLevel="1">
      <c r="B31" s="17" t="str">
        <f>+'Annual FS'!B15</f>
        <v>Fees / Honorarios</v>
      </c>
      <c r="C31" s="24" t="s">
        <v>216</v>
      </c>
      <c r="D31" s="38">
        <f>+'Annual FS'!D15</f>
        <v>-300.165322</v>
      </c>
      <c r="E31" s="38">
        <f>+'Annual FS'!E15</f>
        <v>-240.04321491999997</v>
      </c>
      <c r="F31" s="38">
        <f>+'Annual FS'!F15</f>
        <v>-672.94013526999993</v>
      </c>
      <c r="G31" s="38">
        <f>+'Annual FS'!G15</f>
        <v>-198.98113347999998</v>
      </c>
      <c r="H31" s="38">
        <f>+'Annual FS'!H15</f>
        <v>-71.175030979999988</v>
      </c>
      <c r="I31" s="38">
        <f>+'Annual FS'!I15</f>
        <v>-17.097999999999999</v>
      </c>
      <c r="J31" s="38">
        <f>+'Annual FS'!J15</f>
        <v>-2.0720000000000001</v>
      </c>
      <c r="K31" s="38">
        <f>+'Annual FS'!K15</f>
        <v>-39.23573249999999</v>
      </c>
      <c r="L31" s="38">
        <f>+'Annual FS'!L15</f>
        <v>-359.18189187999997</v>
      </c>
      <c r="M31" s="38">
        <f>+'Annual FS'!M15</f>
        <v>-151.83381249999999</v>
      </c>
      <c r="N31" s="168">
        <f>+'Annual FS'!N15</f>
        <v>-1144.1653345999998</v>
      </c>
      <c r="O31" s="55">
        <f>-('Annual FS'!O$7+'Annual FS'!O$8)*O44</f>
        <v>-776.92006019894484</v>
      </c>
      <c r="P31" s="55">
        <f>-('Annual FS'!P$7+'Annual FS'!P$8)*P44</f>
        <v>-876.79885572090609</v>
      </c>
      <c r="Q31" s="55">
        <f>-('Annual FS'!Q$7+'Annual FS'!Q$8)*Q44</f>
        <v>-910.1641736813441</v>
      </c>
      <c r="R31" s="55">
        <f>-('Annual FS'!R$7+'Annual FS'!R$8)*R44</f>
        <v>-997.78028877233226</v>
      </c>
      <c r="S31" s="55">
        <f>-('Annual FS'!S$7+'Annual FS'!S$8)*S44</f>
        <v>-1037.9908344098571</v>
      </c>
    </row>
    <row r="32" spans="1:19" outlineLevel="1">
      <c r="B32" s="17" t="str">
        <f>+'Annual FS'!B19</f>
        <v>Services / Servicios</v>
      </c>
      <c r="C32" s="24" t="s">
        <v>216</v>
      </c>
      <c r="D32" s="38">
        <f>+'Annual FS'!D19</f>
        <v>-1362.715731</v>
      </c>
      <c r="E32" s="38">
        <f>+'Annual FS'!E19</f>
        <v>-980.46682989999999</v>
      </c>
      <c r="F32" s="38">
        <f>+'Annual FS'!F19</f>
        <v>-2729.9045431599998</v>
      </c>
      <c r="G32" s="38">
        <f>+'Annual FS'!G19</f>
        <v>-1475.8888479899999</v>
      </c>
      <c r="H32" s="38">
        <f>+'Annual FS'!H19</f>
        <v>-723.14750791000006</v>
      </c>
      <c r="I32" s="38">
        <f>+'Annual FS'!I19</f>
        <v>-1355.67263983</v>
      </c>
      <c r="J32" s="38">
        <f>+'Annual FS'!J19</f>
        <v>-1681.19863412</v>
      </c>
      <c r="K32" s="38">
        <f>+'Annual FS'!K19</f>
        <v>-2715.03725239</v>
      </c>
      <c r="L32" s="38">
        <f>+'Annual FS'!L19</f>
        <v>-1541.2441281900001</v>
      </c>
      <c r="M32" s="38">
        <f>+'Annual FS'!M19</f>
        <v>-1807.7877714000001</v>
      </c>
      <c r="N32" s="168">
        <f>+'Annual FS'!N19</f>
        <v>-3279.2491772899994</v>
      </c>
      <c r="O32" s="55">
        <f>-('Annual FS'!O$7+'Annual FS'!O$8)*O42</f>
        <v>-3562.7827154286961</v>
      </c>
      <c r="P32" s="55">
        <f>-('Annual FS'!P$7+'Annual FS'!P$8)*P42</f>
        <v>-4020.8046723239258</v>
      </c>
      <c r="Q32" s="55">
        <f>-('Annual FS'!Q$7+'Annual FS'!Q$8)*Q42</f>
        <v>-4173.8106046122375</v>
      </c>
      <c r="R32" s="55">
        <f>-('Annual FS'!R$7+'Annual FS'!R$8)*R42</f>
        <v>-4575.5986345921183</v>
      </c>
      <c r="S32" s="55">
        <f>-('Annual FS'!S$7+'Annual FS'!S$8)*S42</f>
        <v>-4759.9952595661807</v>
      </c>
    </row>
    <row r="33" spans="2:19" outlineLevel="1">
      <c r="B33" s="17" t="str">
        <f>+'Annual FS'!B16</f>
        <v>Taxes</v>
      </c>
      <c r="C33" s="24" t="s">
        <v>216</v>
      </c>
      <c r="D33" s="38">
        <f>+'Annual FS'!D16</f>
        <v>-1039.4926720999999</v>
      </c>
      <c r="E33" s="38">
        <f>+'Annual FS'!E16</f>
        <v>-2098.15862492</v>
      </c>
      <c r="F33" s="38">
        <f>+'Annual FS'!F16</f>
        <v>-464.09100000000024</v>
      </c>
      <c r="G33" s="38">
        <f>+'Annual FS'!G16</f>
        <v>-2.7948000000000285E-2</v>
      </c>
      <c r="H33" s="38">
        <f>+'Annual FS'!H16</f>
        <v>-95.720041099999989</v>
      </c>
      <c r="I33" s="38">
        <f>+'Annual FS'!I16</f>
        <v>-148.52132723</v>
      </c>
      <c r="J33" s="38">
        <f>+'Annual FS'!J16</f>
        <v>-147.71641402999998</v>
      </c>
      <c r="K33" s="38">
        <f>+'Annual FS'!K16</f>
        <v>-233.51291173999999</v>
      </c>
      <c r="L33" s="38">
        <f>+'Annual FS'!L16</f>
        <v>-128.20754145000001</v>
      </c>
      <c r="M33" s="38">
        <f>+'Annual FS'!M16</f>
        <v>-156.08334291999998</v>
      </c>
      <c r="N33" s="168">
        <f>+'Annual FS'!N16</f>
        <v>-350.68542497999999</v>
      </c>
      <c r="O33" s="55">
        <f>-('Annual FS'!O$7+'Annual FS'!O$8)*O47</f>
        <v>-326.44307126610175</v>
      </c>
      <c r="P33" s="55">
        <f>-('Annual FS'!P$7+'Annual FS'!P$8)*P47</f>
        <v>-368.40973223273835</v>
      </c>
      <c r="Q33" s="55">
        <f>-('Annual FS'!Q$7+'Annual FS'!Q$8)*Q47</f>
        <v>-382.4290341233168</v>
      </c>
      <c r="R33" s="55">
        <f>-('Annual FS'!R$7+'Annual FS'!R$8)*R47</f>
        <v>-419.24321252847017</v>
      </c>
      <c r="S33" s="55">
        <f>-('Annual FS'!S$7+'Annual FS'!S$8)*S47</f>
        <v>-436.1387139933675</v>
      </c>
    </row>
    <row r="34" spans="2:19" outlineLevel="1">
      <c r="B34" s="17" t="str">
        <f>+'Annual FS'!B17</f>
        <v>Leases</v>
      </c>
      <c r="C34" s="24" t="s">
        <v>218</v>
      </c>
      <c r="D34" s="38">
        <f>+'Annual FS'!D17</f>
        <v>-2753.6788858</v>
      </c>
      <c r="E34" s="38">
        <f>+'Annual FS'!E17</f>
        <v>-2632.7813885699998</v>
      </c>
      <c r="F34" s="38">
        <f>+'Annual FS'!F17</f>
        <v>-333.8161384399998</v>
      </c>
      <c r="G34" s="38">
        <f>+'Annual FS'!G17</f>
        <v>-178.86378571999998</v>
      </c>
      <c r="H34" s="38">
        <f>+'Annual FS'!H17</f>
        <v>-37.95460525</v>
      </c>
      <c r="I34" s="38">
        <f>+'Annual FS'!I17</f>
        <v>-1.9858399999999998</v>
      </c>
      <c r="J34" s="38">
        <f>+'Annual FS'!J17</f>
        <v>0</v>
      </c>
      <c r="K34" s="38">
        <f>+'Annual FS'!K17</f>
        <v>-258.33216779999998</v>
      </c>
      <c r="L34" s="38">
        <f>+'Annual FS'!L17</f>
        <v>-464.10061344999997</v>
      </c>
      <c r="M34" s="38">
        <f>+'Annual FS'!M17</f>
        <v>-317.26237008999999</v>
      </c>
      <c r="N34" s="168">
        <f>+'Annual FS'!N17</f>
        <v>-966.92704451999998</v>
      </c>
      <c r="O34" s="55">
        <f>+N34*(1+O8)</f>
        <v>-1039.4465728589998</v>
      </c>
      <c r="P34" s="55">
        <f t="shared" ref="P34:S34" si="9">+O34*(1+P8)</f>
        <v>-1091.4189015019499</v>
      </c>
      <c r="Q34" s="55">
        <f t="shared" si="9"/>
        <v>-1138.3499142665337</v>
      </c>
      <c r="R34" s="55">
        <f t="shared" si="9"/>
        <v>-1180.4688610943954</v>
      </c>
      <c r="S34" s="55">
        <f t="shared" si="9"/>
        <v>-1224.1462089548879</v>
      </c>
    </row>
    <row r="35" spans="2:19" outlineLevel="1">
      <c r="B35" s="17" t="str">
        <f>+'Annual FS'!B20</f>
        <v>Maintenance &amp; repair</v>
      </c>
      <c r="C35" s="24" t="s">
        <v>216</v>
      </c>
      <c r="D35" s="38">
        <f>+'Annual FS'!D20</f>
        <v>-520.65370174999998</v>
      </c>
      <c r="E35" s="38">
        <f>+'Annual FS'!E20</f>
        <v>-378.2503749</v>
      </c>
      <c r="F35" s="38">
        <f>+'Annual FS'!F20</f>
        <v>-1636.1211441100002</v>
      </c>
      <c r="G35" s="38">
        <f>+'Annual FS'!G20</f>
        <v>-545.44761896</v>
      </c>
      <c r="H35" s="38">
        <f>+'Annual FS'!H20</f>
        <v>-257.53410213999996</v>
      </c>
      <c r="I35" s="38">
        <f>+'Annual FS'!I20</f>
        <v>-487.83468914000002</v>
      </c>
      <c r="J35" s="38">
        <f>+'Annual FS'!J20</f>
        <v>-467.91868559</v>
      </c>
      <c r="K35" s="38">
        <f>+'Annual FS'!K20</f>
        <v>-642.32484606000003</v>
      </c>
      <c r="L35" s="38">
        <f>+'Annual FS'!L20</f>
        <v>-222.35188063000004</v>
      </c>
      <c r="M35" s="38">
        <f>+'Annual FS'!M20</f>
        <v>-765.35994700999993</v>
      </c>
      <c r="N35" s="168">
        <f>+'Annual FS'!N20</f>
        <v>-3159.1730126900002</v>
      </c>
      <c r="O35" s="55">
        <f>-('Annual FS'!O$7+'Annual FS'!O$8)*O43</f>
        <v>-1041.304905605401</v>
      </c>
      <c r="P35" s="55">
        <f>-('Annual FS'!P$7+'Annual FS'!P$8)*P43</f>
        <v>-1175.1723201195077</v>
      </c>
      <c r="Q35" s="55">
        <f>-('Annual FS'!Q$7+'Annual FS'!Q$8)*Q43</f>
        <v>-1219.8918106426272</v>
      </c>
      <c r="R35" s="55">
        <f>-('Annual FS'!R$7+'Annual FS'!R$8)*R43</f>
        <v>-1337.3235711650302</v>
      </c>
      <c r="S35" s="55">
        <f>-('Annual FS'!S$7+'Annual FS'!S$8)*S43</f>
        <v>-1391.2177110829809</v>
      </c>
    </row>
    <row r="36" spans="2:19" outlineLevel="1">
      <c r="B36" s="17" t="str">
        <f>+'Annual FS'!B21</f>
        <v>Travel expenses</v>
      </c>
      <c r="C36" s="24" t="s">
        <v>216</v>
      </c>
      <c r="D36" s="38">
        <f>+'Annual FS'!D21</f>
        <v>-330.21481299999999</v>
      </c>
      <c r="E36" s="38">
        <f>+'Annual FS'!E21</f>
        <v>-5.4317000000000002</v>
      </c>
      <c r="F36" s="38">
        <f>+'Annual FS'!F21</f>
        <v>-1042.8464395200001</v>
      </c>
      <c r="G36" s="38">
        <f>+'Annual FS'!G21</f>
        <v>-692.38863186999993</v>
      </c>
      <c r="H36" s="38">
        <f>+'Annual FS'!H21</f>
        <v>-72.648054279999997</v>
      </c>
      <c r="I36" s="38">
        <f>+'Annual FS'!I21</f>
        <v>-358.90212622000001</v>
      </c>
      <c r="J36" s="38">
        <f>+'Annual FS'!J21</f>
        <v>-511.58129876999999</v>
      </c>
      <c r="K36" s="38">
        <f>+'Annual FS'!K21</f>
        <v>-1158.52375265</v>
      </c>
      <c r="L36" s="38">
        <f>+'Annual FS'!L21</f>
        <v>-491.39475318000001</v>
      </c>
      <c r="M36" s="38">
        <f>+'Annual FS'!M21</f>
        <v>-532.932908</v>
      </c>
      <c r="N36" s="168">
        <f>+'Annual FS'!N21</f>
        <v>-913.4001324699999</v>
      </c>
      <c r="O36" s="55">
        <f>-('Annual FS'!O$7+'Annual FS'!O$8)*O45</f>
        <v>-1062.1888201413726</v>
      </c>
      <c r="P36" s="55">
        <f>-('Annual FS'!P$7+'Annual FS'!P$8)*P45</f>
        <v>-1198.7410156728499</v>
      </c>
      <c r="Q36" s="55">
        <f>-('Annual FS'!Q$7+'Annual FS'!Q$8)*Q45</f>
        <v>-1244.3573789689194</v>
      </c>
      <c r="R36" s="55">
        <f>-('Annual FS'!R$7+'Annual FS'!R$8)*R45</f>
        <v>-1364.1442948712281</v>
      </c>
      <c r="S36" s="55">
        <f>-('Annual FS'!S$7+'Annual FS'!S$8)*S45</f>
        <v>-1419.1193099545385</v>
      </c>
    </row>
    <row r="37" spans="2:19" outlineLevel="1">
      <c r="B37" s="17" t="str">
        <f>+'Annual FS'!B18</f>
        <v>Insurance</v>
      </c>
      <c r="C37" s="24" t="s">
        <v>218</v>
      </c>
      <c r="D37" s="38">
        <f>+'Annual FS'!D18</f>
        <v>-777.87831684000002</v>
      </c>
      <c r="E37" s="38">
        <f>+'Annual FS'!E18</f>
        <v>-851.05833693</v>
      </c>
      <c r="F37" s="38">
        <f>+'Annual FS'!F18</f>
        <v>-146.79068222000001</v>
      </c>
      <c r="G37" s="38">
        <f>+'Annual FS'!G18</f>
        <v>-67.002007460000002</v>
      </c>
      <c r="H37" s="38">
        <f>+'Annual FS'!H18</f>
        <v>-167.63044567</v>
      </c>
      <c r="I37" s="38">
        <f>+'Annual FS'!I18</f>
        <v>-66.920111659999989</v>
      </c>
      <c r="J37" s="38">
        <f>+'Annual FS'!J18</f>
        <v>-112.37656874999999</v>
      </c>
      <c r="K37" s="38">
        <f>+'Annual FS'!K18</f>
        <v>-64.274254110000001</v>
      </c>
      <c r="L37" s="38">
        <f>+'Annual FS'!L18</f>
        <v>-80.328612219999982</v>
      </c>
      <c r="M37" s="38">
        <f>+'Annual FS'!M18</f>
        <v>-57.253531020000004</v>
      </c>
      <c r="N37" s="168">
        <f>+'Annual FS'!N18</f>
        <v>-100.42117021</v>
      </c>
      <c r="O37" s="55">
        <f>-+O48*O288</f>
        <v>-113.59642774155201</v>
      </c>
      <c r="P37" s="55">
        <f>-+P48*P288</f>
        <v>-122.11615982216838</v>
      </c>
      <c r="Q37" s="55">
        <f>-+Q48*Q288</f>
        <v>-128.22196781327682</v>
      </c>
      <c r="R37" s="55">
        <f>-+R48*R288</f>
        <v>-133.73551242924771</v>
      </c>
      <c r="S37" s="55">
        <f>-+S48*S288</f>
        <v>-138.68372638912984</v>
      </c>
    </row>
    <row r="38" spans="2:19" outlineLevel="1">
      <c r="B38" s="186" t="str">
        <f>+'Annual FS'!B22</f>
        <v>Other</v>
      </c>
      <c r="C38" s="240" t="s">
        <v>59</v>
      </c>
      <c r="D38" s="265">
        <f>+'Annual FS'!D22</f>
        <v>-1064.30798273</v>
      </c>
      <c r="E38" s="265">
        <f>+'Annual FS'!E22</f>
        <v>-757.72330955000007</v>
      </c>
      <c r="F38" s="265">
        <f>+'Annual FS'!F22</f>
        <v>-1301.02699394</v>
      </c>
      <c r="G38" s="265">
        <f>+'Annual FS'!G22</f>
        <v>-221.48078695999999</v>
      </c>
      <c r="H38" s="265">
        <f>+'Annual FS'!H22</f>
        <v>-125.04811226000001</v>
      </c>
      <c r="I38" s="265">
        <f>+'Annual FS'!I22</f>
        <v>-80.117494500000006</v>
      </c>
      <c r="J38" s="265">
        <f>+'Annual FS'!J22</f>
        <v>-61.086247</v>
      </c>
      <c r="K38" s="265">
        <f>+'Annual FS'!K22</f>
        <v>-64.466240499999998</v>
      </c>
      <c r="L38" s="265">
        <f>+'Annual FS'!L22</f>
        <v>-23.690316500000002</v>
      </c>
      <c r="M38" s="265">
        <f>+'Annual FS'!M22</f>
        <v>-55.108327729999999</v>
      </c>
      <c r="N38" s="298">
        <f>+'Annual FS'!N22</f>
        <v>-144.21762017999998</v>
      </c>
      <c r="O38" s="375">
        <f>-O49*'Annual FS'!O5</f>
        <v>-104.74382536820592</v>
      </c>
      <c r="P38" s="375">
        <f>-P49*'Annual FS'!P5</f>
        <v>-118.20941552616908</v>
      </c>
      <c r="Q38" s="375">
        <f>-Q49*'Annual FS'!Q5</f>
        <v>-122.70770462544638</v>
      </c>
      <c r="R38" s="375">
        <f>-R49*'Annual FS'!R5</f>
        <v>-134.52004868589077</v>
      </c>
      <c r="S38" s="375">
        <f>-S49*'Annual FS'!S5</f>
        <v>-139.94120664793218</v>
      </c>
    </row>
    <row r="39" spans="2:19" outlineLevel="1">
      <c r="B39" s="29"/>
      <c r="C39" s="104"/>
      <c r="D39" s="38"/>
      <c r="E39" s="105"/>
      <c r="F39" s="112"/>
      <c r="G39" s="55"/>
      <c r="J39" s="56"/>
      <c r="K39" s="55"/>
      <c r="L39" s="55"/>
      <c r="M39" s="55"/>
      <c r="N39" s="55"/>
    </row>
    <row r="40" spans="2:19" outlineLevel="1">
      <c r="B40" s="185" t="s">
        <v>65</v>
      </c>
      <c r="C40" s="33" t="s">
        <v>59</v>
      </c>
      <c r="D40" s="16"/>
      <c r="E40" s="16"/>
      <c r="G40" s="267"/>
      <c r="H40" s="285"/>
      <c r="I40" s="285"/>
      <c r="J40" s="267"/>
      <c r="K40" s="267"/>
      <c r="L40" s="267"/>
      <c r="M40" s="267"/>
      <c r="N40" s="267"/>
      <c r="O40" s="267"/>
      <c r="P40" s="267"/>
      <c r="Q40" s="267"/>
      <c r="R40" s="267"/>
      <c r="S40" s="267"/>
    </row>
    <row r="41" spans="2:19" outlineLevel="1">
      <c r="B41" s="17" t="s">
        <v>66</v>
      </c>
      <c r="C41" s="639" t="s">
        <v>219</v>
      </c>
      <c r="D41" s="640">
        <f>-+D29/('Annual FS'!D$7+'Annual FS'!D$8)</f>
        <v>0.40701617406881579</v>
      </c>
      <c r="E41" s="640">
        <f>-+E29/('Annual FS'!E$7+'Annual FS'!E$8)</f>
        <v>0.39543561881804423</v>
      </c>
      <c r="F41" s="640">
        <f>-+F29/('Annual FS'!F$7+'Annual FS'!F$8)</f>
        <v>0.37763392445964394</v>
      </c>
      <c r="G41" s="1300">
        <f>-+IFERROR(G29/('Annual FS'!G$7+'Annual FS'!G$8)," ")</f>
        <v>0.55772292253982025</v>
      </c>
      <c r="H41" s="1300">
        <f>-+IFERROR(H29/('Annual FS'!H$7+'Annual FS'!H$8)," ")</f>
        <v>0.58276382024650275</v>
      </c>
      <c r="I41" s="1300">
        <f>-+IFERROR(I29/('Annual FS'!I$7+'Annual FS'!I$8)," ")</f>
        <v>0.42633537839508151</v>
      </c>
      <c r="J41" s="1300">
        <f>-+IFERROR(J29/('Annual FS'!J$7+'Annual FS'!J$8)," ")</f>
        <v>0.45915944713595275</v>
      </c>
      <c r="K41" s="266">
        <f>-+IFERROR(K29/('Annual FS'!K$7+'Annual FS'!K$8)," ")</f>
        <v>0.42396549225756136</v>
      </c>
      <c r="L41" s="266">
        <f>-+IFERROR(L29/('Annual FS'!L$7+'Annual FS'!L$8)," ")</f>
        <v>0.38214918240023316</v>
      </c>
      <c r="M41" s="266">
        <f>-+IFERROR(M29/('Annual FS'!M$7+'Annual FS'!M$8)," ")</f>
        <v>0.37804803266165676</v>
      </c>
      <c r="N41" s="1434">
        <f>-+IFERROR(N29/('Annual FS'!N$7+'Annual FS'!N$8)," ")</f>
        <v>0.36744773906771933</v>
      </c>
      <c r="O41" s="1246">
        <v>0.40749999999999997</v>
      </c>
      <c r="P41" s="266">
        <f t="shared" ref="P41:S49" si="10">O41</f>
        <v>0.40749999999999997</v>
      </c>
      <c r="Q41" s="266">
        <f t="shared" si="10"/>
        <v>0.40749999999999997</v>
      </c>
      <c r="R41" s="266">
        <f t="shared" si="10"/>
        <v>0.40749999999999997</v>
      </c>
      <c r="S41" s="266">
        <f t="shared" si="10"/>
        <v>0.40749999999999997</v>
      </c>
    </row>
    <row r="42" spans="2:19" outlineLevel="1">
      <c r="B42" s="17" t="s">
        <v>71</v>
      </c>
      <c r="C42" s="24" t="s">
        <v>216</v>
      </c>
      <c r="D42" s="110">
        <f>-+D32/('Annual FS'!D$7+'Annual FS'!D$8)</f>
        <v>3.7559657752404642E-2</v>
      </c>
      <c r="E42" s="110">
        <f>-+E32/('Annual FS'!E$7+'Annual FS'!E$8)</f>
        <v>2.667553683958513E-2</v>
      </c>
      <c r="F42" s="110">
        <f>-+F32/('Annual FS'!F$7+'Annual FS'!F$8)</f>
        <v>6.931685836438134E-2</v>
      </c>
      <c r="G42" s="110">
        <f>-+G32/('Annual FS'!G$7+'Annual FS'!G$8)</f>
        <v>8.7575377103026222E-2</v>
      </c>
      <c r="H42" s="110">
        <f>-+H32/('Annual FS'!H$7+'Annual FS'!H$8)</f>
        <v>0.11754622200938339</v>
      </c>
      <c r="I42" s="110">
        <f>-+I32/('Annual FS'!I$7+'Annual FS'!I$8)</f>
        <v>9.9471057737894303E-2</v>
      </c>
      <c r="J42" s="110">
        <f>-+J32/('Annual FS'!J$7+'Annual FS'!J$8)</f>
        <v>0.11880814197404921</v>
      </c>
      <c r="K42" s="148">
        <f>-+K32/('Annual FS'!K$7+'Annual FS'!K$8)</f>
        <v>0.12789073286350877</v>
      </c>
      <c r="L42" s="148">
        <f>-+L32/('Annual FS'!L$7+'Annual FS'!L$8)</f>
        <v>0.12212820131455664</v>
      </c>
      <c r="M42" s="148">
        <f>-+M32/('Annual FS'!M$7+'Annual FS'!M$8)</f>
        <v>0.11964298315501823</v>
      </c>
      <c r="N42" s="164">
        <f>-+N32/('Annual FS'!N$7+'Annual FS'!N$8)</f>
        <v>0.10861471205921025</v>
      </c>
      <c r="O42" s="148">
        <f>AVERAGE(L42:N42)</f>
        <v>0.11679529884292837</v>
      </c>
      <c r="P42" s="148">
        <f t="shared" si="10"/>
        <v>0.11679529884292837</v>
      </c>
      <c r="Q42" s="148">
        <f t="shared" si="10"/>
        <v>0.11679529884292837</v>
      </c>
      <c r="R42" s="148">
        <f t="shared" si="10"/>
        <v>0.11679529884292837</v>
      </c>
      <c r="S42" s="148">
        <f t="shared" si="10"/>
        <v>0.11679529884292837</v>
      </c>
    </row>
    <row r="43" spans="2:19" outlineLevel="1">
      <c r="B43" s="17" t="s">
        <v>72</v>
      </c>
      <c r="C43" s="24" t="s">
        <v>216</v>
      </c>
      <c r="D43" s="110">
        <f>-+D35/('Annual FS'!D$7+'Annual FS'!D$8)</f>
        <v>1.4350443309920637E-2</v>
      </c>
      <c r="E43" s="110">
        <f>-+E35/('Annual FS'!E$7+'Annual FS'!E$8)</f>
        <v>1.029104861330285E-2</v>
      </c>
      <c r="F43" s="110">
        <f>-+F35/('Annual FS'!F$7+'Annual FS'!F$8)</f>
        <v>4.1543861999644806E-2</v>
      </c>
      <c r="G43" s="110">
        <f>-+G35/('Annual FS'!G$7+'Annual FS'!G$8)</f>
        <v>3.2365432522526529E-2</v>
      </c>
      <c r="H43" s="110">
        <f>-+H35/('Annual FS'!H$7+'Annual FS'!H$8)</f>
        <v>4.1861667798076957E-2</v>
      </c>
      <c r="I43" s="110">
        <f>-+I35/('Annual FS'!I$7+'Annual FS'!I$8)</f>
        <v>3.5794358537823485E-2</v>
      </c>
      <c r="J43" s="110">
        <f>-+J35/('Annual FS'!J$7+'Annual FS'!J$8)</f>
        <v>3.3067210799267846E-2</v>
      </c>
      <c r="K43" s="148">
        <f>-+K35/('Annual FS'!K$7+'Annual FS'!K$8)</f>
        <v>3.0256452366073775E-2</v>
      </c>
      <c r="L43" s="148">
        <f>-+L35/('Annual FS'!L$7+'Annual FS'!L$8)</f>
        <v>1.7619165415502087E-2</v>
      </c>
      <c r="M43" s="148">
        <f>-+M35/('Annual FS'!M$7+'Annual FS'!M$8)</f>
        <v>5.0653040526283014E-2</v>
      </c>
      <c r="N43" s="164">
        <f>-+N35/('Annual FS'!N$7+'Annual FS'!N$8)</f>
        <v>0.10463757054354741</v>
      </c>
      <c r="O43" s="1245">
        <f>AVERAGE(L43:M43)</f>
        <v>3.4136102970892548E-2</v>
      </c>
      <c r="P43" s="148">
        <f t="shared" si="10"/>
        <v>3.4136102970892548E-2</v>
      </c>
      <c r="Q43" s="148">
        <f t="shared" si="10"/>
        <v>3.4136102970892548E-2</v>
      </c>
      <c r="R43" s="148">
        <f t="shared" si="10"/>
        <v>3.4136102970892548E-2</v>
      </c>
      <c r="S43" s="148">
        <f t="shared" si="10"/>
        <v>3.4136102970892548E-2</v>
      </c>
    </row>
    <row r="44" spans="2:19" outlineLevel="1">
      <c r="B44" s="17" t="s">
        <v>67</v>
      </c>
      <c r="C44" s="24" t="s">
        <v>216</v>
      </c>
      <c r="D44" s="110">
        <f>-+D31/('Annual FS'!D$7+'Annual FS'!D$8)</f>
        <v>8.2732638267755763E-3</v>
      </c>
      <c r="E44" s="110">
        <f>-+E31/('Annual FS'!E$7+'Annual FS'!E$8)</f>
        <v>6.5308498231847322E-3</v>
      </c>
      <c r="F44" s="110">
        <f>-+F31/('Annual FS'!F$7+'Annual FS'!F$8)</f>
        <v>1.7087079532174056E-2</v>
      </c>
      <c r="G44" s="148">
        <f>-+G31/('Annual FS'!G$7+'Annual FS'!G$8)</f>
        <v>1.1807019088619515E-2</v>
      </c>
      <c r="H44" s="148">
        <f>-+H31/('Annual FS'!H$7+'Annual FS'!H$8)</f>
        <v>1.1569362960649324E-2</v>
      </c>
      <c r="I44" s="148">
        <f>-+I31/('Annual FS'!I$7+'Annual FS'!I$8)</f>
        <v>1.254547812822858E-3</v>
      </c>
      <c r="J44" s="148">
        <f>-+J31/('Annual FS'!J$7+'Annual FS'!J$8)</f>
        <v>1.4642557112181124E-4</v>
      </c>
      <c r="K44" s="148">
        <f>-+K31/('Annual FS'!K$7+'Annual FS'!K$8)</f>
        <v>1.8481833276668413E-3</v>
      </c>
      <c r="L44" s="148">
        <f>-+L31/('Annual FS'!L$7+'Annual FS'!L$8)</f>
        <v>2.8461576980396613E-2</v>
      </c>
      <c r="M44" s="148">
        <f>-+M31/('Annual FS'!M$7+'Annual FS'!M$8)</f>
        <v>1.004866310011134E-2</v>
      </c>
      <c r="N44" s="164">
        <f>-+N31/('Annual FS'!N$7+'Annual FS'!N$8)</f>
        <v>3.7896842126650891E-2</v>
      </c>
      <c r="O44" s="148">
        <f>AVERAGE(L44:N44)</f>
        <v>2.5469027402386282E-2</v>
      </c>
      <c r="P44" s="148">
        <f t="shared" si="10"/>
        <v>2.5469027402386282E-2</v>
      </c>
      <c r="Q44" s="148">
        <f t="shared" si="10"/>
        <v>2.5469027402386282E-2</v>
      </c>
      <c r="R44" s="148">
        <f t="shared" si="10"/>
        <v>2.5469027402386282E-2</v>
      </c>
      <c r="S44" s="148">
        <f t="shared" si="10"/>
        <v>2.5469027402386282E-2</v>
      </c>
    </row>
    <row r="45" spans="2:19" outlineLevel="1">
      <c r="B45" s="17" t="s">
        <v>73</v>
      </c>
      <c r="C45" s="24" t="s">
        <v>216</v>
      </c>
      <c r="D45" s="110">
        <f>-+D36/('Annual FS'!D$7+'Annual FS'!D$8)</f>
        <v>9.1014986316719192E-3</v>
      </c>
      <c r="E45" s="110">
        <f>-+E36/('Annual FS'!E$7+'Annual FS'!E$8)</f>
        <v>1.4778012782579555E-4</v>
      </c>
      <c r="F45" s="110">
        <f>-+F36/('Annual FS'!F$7+'Annual FS'!F$8)</f>
        <v>2.6479621467031818E-2</v>
      </c>
      <c r="G45" s="148">
        <f>-+G36/('Annual FS'!G$7+'Annual FS'!G$8)</f>
        <v>4.1084527212495399E-2</v>
      </c>
      <c r="H45" s="148">
        <f>-+H36/('Annual FS'!H$7+'Annual FS'!H$8)</f>
        <v>1.1808800035316454E-2</v>
      </c>
      <c r="I45" s="148">
        <f>-+I36/('Annual FS'!I$7+'Annual FS'!I$8)</f>
        <v>2.6334066994196655E-2</v>
      </c>
      <c r="J45" s="148">
        <f>-+J36/('Annual FS'!J$7+'Annual FS'!J$8)</f>
        <v>3.6152791432256366E-2</v>
      </c>
      <c r="K45" s="148">
        <f>-+K36/('Annual FS'!K$7+'Annual FS'!K$8)</f>
        <v>5.4571793309931303E-2</v>
      </c>
      <c r="L45" s="148">
        <f>-+L36/('Annual FS'!L$7+'Annual FS'!L$8)</f>
        <v>3.8938125533533693E-2</v>
      </c>
      <c r="M45" s="148">
        <f>-+M36/('Annual FS'!M$7+'Annual FS'!M$8)</f>
        <v>3.5270557718852194E-2</v>
      </c>
      <c r="N45" s="164">
        <f>-+N36/('Annual FS'!N$7+'Annual FS'!N$8)</f>
        <v>3.0253477860154709E-2</v>
      </c>
      <c r="O45" s="148">
        <f>AVERAGE(L45:N45)</f>
        <v>3.4820720370846867E-2</v>
      </c>
      <c r="P45" s="148">
        <f t="shared" si="10"/>
        <v>3.4820720370846867E-2</v>
      </c>
      <c r="Q45" s="148">
        <f t="shared" si="10"/>
        <v>3.4820720370846867E-2</v>
      </c>
      <c r="R45" s="148">
        <f t="shared" si="10"/>
        <v>3.4820720370846867E-2</v>
      </c>
      <c r="S45" s="148">
        <f t="shared" si="10"/>
        <v>3.4820720370846867E-2</v>
      </c>
    </row>
    <row r="46" spans="2:19" outlineLevel="1">
      <c r="B46" s="17" t="s">
        <v>69</v>
      </c>
      <c r="C46" s="24" t="s">
        <v>218</v>
      </c>
      <c r="D46" s="110"/>
      <c r="E46" s="110">
        <f t="shared" ref="E46:L46" si="11">+E34/D34-1</f>
        <v>-4.3903992529207736E-2</v>
      </c>
      <c r="F46" s="110">
        <f t="shared" si="11"/>
        <v>-0.87320780225459105</v>
      </c>
      <c r="G46" s="148">
        <f t="shared" si="11"/>
        <v>-0.46418472589170823</v>
      </c>
      <c r="H46" s="148">
        <f t="shared" si="11"/>
        <v>-0.78780162179159308</v>
      </c>
      <c r="I46" s="148">
        <f t="shared" si="11"/>
        <v>-0.94767854949565045</v>
      </c>
      <c r="J46" s="148">
        <f>+J34/I34-1</f>
        <v>-1</v>
      </c>
      <c r="K46" s="148" t="e">
        <f>+K34/J34-1</f>
        <v>#DIV/0!</v>
      </c>
      <c r="L46" s="148">
        <f t="shared" si="11"/>
        <v>0.79652660914186013</v>
      </c>
      <c r="M46" s="148">
        <f t="shared" ref="M46" si="12">+M34/L34-1</f>
        <v>-0.3163931249054891</v>
      </c>
      <c r="N46" s="164">
        <f t="shared" ref="N46:O46" si="13">+N34/M34-1</f>
        <v>2.0477205482821841</v>
      </c>
      <c r="O46" s="148">
        <f t="shared" si="13"/>
        <v>7.4999999999999956E-2</v>
      </c>
      <c r="P46" s="148">
        <f t="shared" ref="P46" si="14">+P34/O34-1</f>
        <v>5.0000000000000044E-2</v>
      </c>
      <c r="Q46" s="148">
        <f t="shared" ref="Q46" si="15">+Q34/P34-1</f>
        <v>4.2999999999999927E-2</v>
      </c>
      <c r="R46" s="148">
        <f t="shared" ref="R46" si="16">+R34/Q34-1</f>
        <v>3.6999999999999922E-2</v>
      </c>
      <c r="S46" s="148">
        <f t="shared" ref="S46" si="17">+S34/R34-1</f>
        <v>3.6999999999999922E-2</v>
      </c>
    </row>
    <row r="47" spans="2:19" outlineLevel="1">
      <c r="B47" s="17" t="s">
        <v>68</v>
      </c>
      <c r="C47" s="24" t="s">
        <v>216</v>
      </c>
      <c r="D47" s="110">
        <f>-+D33/('Annual FS'!D$7+'Annual FS'!D$8)</f>
        <v>2.8650868344755741E-2</v>
      </c>
      <c r="E47" s="110">
        <f>-+E33/('Annual FS'!E$7+'Annual FS'!E$8)</f>
        <v>5.7084549917976513E-2</v>
      </c>
      <c r="F47" s="110">
        <f>-+F33/('Annual FS'!F$7+'Annual FS'!F$8)</f>
        <v>1.1784049444434612E-2</v>
      </c>
      <c r="G47" s="110">
        <f>-+G33/('Annual FS'!G$7+'Annual FS'!G$8)</f>
        <v>1.6583610904091508E-6</v>
      </c>
      <c r="H47" s="110">
        <f>-+H33/('Annual FS'!H$7+'Annual FS'!H$8)</f>
        <v>1.5559106653643089E-2</v>
      </c>
      <c r="I47" s="110">
        <f>-+I33/('Annual FS'!I$7+'Annual FS'!I$8)</f>
        <v>1.0897596574683852E-2</v>
      </c>
      <c r="J47" s="110">
        <f>-+J33/('Annual FS'!J$7+'Annual FS'!J$8)</f>
        <v>1.0438928710621949E-2</v>
      </c>
      <c r="K47" s="148">
        <f>-+K33/('Annual FS'!K$7+'Annual FS'!K$8)</f>
        <v>1.099953136526269E-2</v>
      </c>
      <c r="L47" s="148">
        <f>-+L33/('Annual FS'!L$7+'Annual FS'!L$8)</f>
        <v>1.0159166965092063E-2</v>
      </c>
      <c r="M47" s="148">
        <f>-+M33/('Annual FS'!M$7+'Annual FS'!M$8)</f>
        <v>1.0329905458589656E-2</v>
      </c>
      <c r="N47" s="164">
        <f>-+N33/('Annual FS'!N$7+'Annual FS'!N$8)</f>
        <v>1.1615340707058453E-2</v>
      </c>
      <c r="O47" s="148">
        <f>AVERAGE(L47:N47)</f>
        <v>1.0701471043580059E-2</v>
      </c>
      <c r="P47" s="148">
        <f t="shared" si="10"/>
        <v>1.0701471043580059E-2</v>
      </c>
      <c r="Q47" s="148">
        <f t="shared" si="10"/>
        <v>1.0701471043580059E-2</v>
      </c>
      <c r="R47" s="148">
        <f t="shared" si="10"/>
        <v>1.0701471043580059E-2</v>
      </c>
      <c r="S47" s="148">
        <f t="shared" si="10"/>
        <v>1.0701471043580059E-2</v>
      </c>
    </row>
    <row r="48" spans="2:19" outlineLevel="1">
      <c r="B48" s="17" t="s">
        <v>70</v>
      </c>
      <c r="C48" s="24" t="s">
        <v>220</v>
      </c>
      <c r="D48" s="113">
        <f>-+D18/D37</f>
        <v>3.7280895189118562E-2</v>
      </c>
      <c r="E48" s="113">
        <f>-+E18/E37</f>
        <v>3.760024267599886E-2</v>
      </c>
      <c r="F48" s="113">
        <f t="shared" ref="F48:I48" si="18">-+F37/F18</f>
        <v>4.5872088193750002</v>
      </c>
      <c r="G48" s="113">
        <f t="shared" si="18"/>
        <v>2.093812733125</v>
      </c>
      <c r="H48" s="113">
        <f t="shared" si="18"/>
        <v>5.4074337312903227</v>
      </c>
      <c r="I48" s="113">
        <f t="shared" si="18"/>
        <v>2.2306703886666663</v>
      </c>
      <c r="J48" s="113">
        <f>-+J37/J18</f>
        <v>3.7458856249999997</v>
      </c>
      <c r="K48" s="174">
        <f>-+K37/K18</f>
        <v>2.1424751369999999</v>
      </c>
      <c r="L48" s="174">
        <f t="shared" ref="L48:N48" si="19">-+L37/L18</f>
        <v>2.677620407333333</v>
      </c>
      <c r="M48" s="174">
        <f t="shared" si="19"/>
        <v>1.908451034</v>
      </c>
      <c r="N48" s="1195">
        <f t="shared" si="19"/>
        <v>3.3473723403333335</v>
      </c>
      <c r="O48" s="174">
        <f>N48*(1+N8)</f>
        <v>3.7865475913850668</v>
      </c>
      <c r="P48" s="174">
        <f t="shared" ref="P48:S48" si="20">O48*(1+O8)</f>
        <v>4.0705386607389462</v>
      </c>
      <c r="Q48" s="174">
        <f t="shared" si="20"/>
        <v>4.2740655937758936</v>
      </c>
      <c r="R48" s="174">
        <f t="shared" si="20"/>
        <v>4.4578504143082567</v>
      </c>
      <c r="S48" s="174">
        <f t="shared" si="20"/>
        <v>4.6227908796376616</v>
      </c>
    </row>
    <row r="49" spans="1:19" outlineLevel="1">
      <c r="B49" s="186" t="s">
        <v>74</v>
      </c>
      <c r="C49" s="240" t="s">
        <v>216</v>
      </c>
      <c r="D49" s="230">
        <f>-D38/'Annual FS'!D5</f>
        <v>2.9334836800596818E-2</v>
      </c>
      <c r="E49" s="230">
        <f>-E38/'Annual FS'!E5</f>
        <v>2.061535937954671E-2</v>
      </c>
      <c r="F49" s="230">
        <f>-F38/'Annual FS'!F5</f>
        <v>3.3035259087405448E-2</v>
      </c>
      <c r="G49" s="230">
        <f>-G38/'Annual FS'!G5</f>
        <v>1.3142089572336434E-2</v>
      </c>
      <c r="H49" s="230">
        <f>-H38/'Annual FS'!H5</f>
        <v>2.0326327623046481E-2</v>
      </c>
      <c r="I49" s="230">
        <f>-I38/'Annual FS'!I5</f>
        <v>5.8785371092421558E-3</v>
      </c>
      <c r="J49" s="230">
        <f>-J38/'Annual FS'!J5</f>
        <v>4.316886392211886E-3</v>
      </c>
      <c r="K49" s="256">
        <f>-K38/'Annual FS'!K5</f>
        <v>3.0366562135538291E-3</v>
      </c>
      <c r="L49" s="256">
        <f>-L38/'Annual FS'!L5</f>
        <v>1.8772209345675386E-3</v>
      </c>
      <c r="M49" s="256">
        <f>-M38/'Annual FS'!M5</f>
        <v>3.6471785187459052E-3</v>
      </c>
      <c r="N49" s="659">
        <f>-N38/'Annual FS'!N5</f>
        <v>4.7767505434461203E-3</v>
      </c>
      <c r="O49" s="256">
        <f>AVERAGE(L49:N49)</f>
        <v>3.4337166655865211E-3</v>
      </c>
      <c r="P49" s="256">
        <f t="shared" si="10"/>
        <v>3.4337166655865211E-3</v>
      </c>
      <c r="Q49" s="256">
        <f t="shared" si="10"/>
        <v>3.4337166655865211E-3</v>
      </c>
      <c r="R49" s="256">
        <f t="shared" si="10"/>
        <v>3.4337166655865211E-3</v>
      </c>
      <c r="S49" s="256">
        <f t="shared" si="10"/>
        <v>3.4337166655865211E-3</v>
      </c>
    </row>
    <row r="50" spans="1:19">
      <c r="B50" s="29"/>
      <c r="C50" s="104"/>
      <c r="D50" s="111"/>
      <c r="E50" s="111"/>
      <c r="F50" s="111"/>
      <c r="G50" s="111"/>
      <c r="H50" s="111"/>
      <c r="I50" s="111"/>
      <c r="J50" s="111"/>
      <c r="K50" s="111"/>
      <c r="L50" s="111"/>
    </row>
    <row r="51" spans="1:19">
      <c r="A51" s="471" t="s">
        <v>77</v>
      </c>
      <c r="B51" s="471"/>
      <c r="C51" s="471"/>
      <c r="D51" s="471">
        <v>2012</v>
      </c>
      <c r="E51" s="471">
        <v>2013</v>
      </c>
      <c r="F51" s="471">
        <v>2014</v>
      </c>
      <c r="G51" s="471">
        <v>2015</v>
      </c>
      <c r="H51" s="471">
        <v>2016</v>
      </c>
      <c r="I51" s="471">
        <v>2017</v>
      </c>
      <c r="J51" s="471">
        <v>2018</v>
      </c>
      <c r="K51" s="471">
        <v>2019</v>
      </c>
      <c r="L51" s="471">
        <v>2020</v>
      </c>
      <c r="M51" s="471">
        <v>2021</v>
      </c>
      <c r="N51" s="471">
        <v>2022</v>
      </c>
      <c r="O51" s="470">
        <v>2023</v>
      </c>
      <c r="P51" s="470">
        <v>2024</v>
      </c>
      <c r="Q51" s="470">
        <v>2025</v>
      </c>
      <c r="R51" s="470">
        <v>2026</v>
      </c>
      <c r="S51" s="470">
        <v>2027</v>
      </c>
    </row>
    <row r="52" spans="1:19" outlineLevel="1">
      <c r="A52" s="70"/>
      <c r="B52" s="71"/>
      <c r="C52" s="72"/>
      <c r="D52" s="73"/>
      <c r="E52" s="73"/>
      <c r="F52" s="631"/>
      <c r="G52" s="264"/>
      <c r="J52" s="352"/>
      <c r="K52" s="352"/>
      <c r="L52" s="352"/>
      <c r="M52" s="352"/>
      <c r="N52" s="352"/>
      <c r="O52" s="352"/>
      <c r="P52" s="352"/>
      <c r="Q52" s="352"/>
    </row>
    <row r="53" spans="1:19" outlineLevel="1">
      <c r="A53" s="70"/>
      <c r="B53" s="185" t="str">
        <f>+'Annual FS'!B27</f>
        <v>SG&amp;A</v>
      </c>
      <c r="C53" s="192" t="str">
        <f>+'Annual FS'!C27</f>
        <v>COP MM</v>
      </c>
      <c r="D53" s="221">
        <f t="shared" ref="D53:S53" si="21">+SUM(D54:D58)</f>
        <v>-3278.7241652599996</v>
      </c>
      <c r="E53" s="221">
        <f t="shared" si="21"/>
        <v>-4628.2900165699984</v>
      </c>
      <c r="F53" s="221">
        <f t="shared" si="21"/>
        <v>-5446.7616672799995</v>
      </c>
      <c r="G53" s="221">
        <f t="shared" si="21"/>
        <v>-6475.9954385000001</v>
      </c>
      <c r="H53" s="221">
        <f t="shared" si="21"/>
        <v>-2939.0563960300005</v>
      </c>
      <c r="I53" s="221">
        <f t="shared" si="21"/>
        <v>-2159.23011894</v>
      </c>
      <c r="J53" s="221">
        <f t="shared" si="21"/>
        <v>-2632.6677291099995</v>
      </c>
      <c r="K53" s="23">
        <f t="shared" si="21"/>
        <v>-2814.2508768399998</v>
      </c>
      <c r="L53" s="23">
        <f t="shared" si="21"/>
        <v>-2478.5065987100002</v>
      </c>
      <c r="M53" s="23">
        <f t="shared" ref="M53:N53" si="22">+SUM(M54:M58)</f>
        <v>-2673.3371602099996</v>
      </c>
      <c r="N53" s="23">
        <f t="shared" si="22"/>
        <v>-3150.2785705799997</v>
      </c>
      <c r="O53" s="221">
        <f>+SUM(O54:O58)</f>
        <v>-3876.8857719313105</v>
      </c>
      <c r="P53" s="221">
        <f t="shared" si="21"/>
        <v>-4283.1898552363491</v>
      </c>
      <c r="Q53" s="221">
        <f t="shared" si="21"/>
        <v>-4498.6140746055771</v>
      </c>
      <c r="R53" s="221">
        <f t="shared" si="21"/>
        <v>-4825.557554377413</v>
      </c>
      <c r="S53" s="221">
        <f t="shared" si="21"/>
        <v>-5038.477590874546</v>
      </c>
    </row>
    <row r="54" spans="1:19" outlineLevel="1">
      <c r="A54" s="70"/>
      <c r="B54" s="17" t="str">
        <f>+'Annual FS'!B28</f>
        <v>Payroll</v>
      </c>
      <c r="C54" s="24" t="s">
        <v>221</v>
      </c>
      <c r="D54" s="38">
        <f>+'Annual FS'!D28</f>
        <v>-2339.8608622399997</v>
      </c>
      <c r="E54" s="38">
        <f>+'Annual FS'!E28</f>
        <v>-3552.5743537299991</v>
      </c>
      <c r="F54" s="38">
        <f>+'Annual FS'!F28</f>
        <v>-3731.8351354899996</v>
      </c>
      <c r="G54" s="38">
        <f>+'Annual FS'!G28</f>
        <v>-3925.9452178799997</v>
      </c>
      <c r="H54" s="68">
        <f>+'Annual FS'!H28</f>
        <v>-1797.9145988600001</v>
      </c>
      <c r="I54" s="68">
        <f>+'Annual FS'!I28</f>
        <v>-1260.5124630299999</v>
      </c>
      <c r="J54" s="68">
        <f>+'Annual FS'!J28</f>
        <v>-1594.4143252799997</v>
      </c>
      <c r="K54" s="68">
        <f>+'Annual FS'!K28</f>
        <v>-1671.4724476199999</v>
      </c>
      <c r="L54" s="68">
        <f>+'Annual FS'!L28</f>
        <v>-1706.5721977900002</v>
      </c>
      <c r="M54" s="68">
        <f>+'Annual FS'!M28</f>
        <v>-1742.7515394899997</v>
      </c>
      <c r="N54" s="1420">
        <f>+'Annual FS'!N28</f>
        <v>-1883.0921449999998</v>
      </c>
      <c r="O54" s="75">
        <f>+N54*(1+O72)*(1+N$8)</f>
        <v>-2151.4553727682396</v>
      </c>
      <c r="P54" s="75">
        <f t="shared" ref="P54:S54" si="23">+O54*(1+P72)*(1+O$8)</f>
        <v>-2335.9426709831164</v>
      </c>
      <c r="Q54" s="75">
        <f t="shared" si="23"/>
        <v>-2477.2672025775951</v>
      </c>
      <c r="R54" s="75">
        <f t="shared" si="23"/>
        <v>-2609.6275892113158</v>
      </c>
      <c r="S54" s="75">
        <f t="shared" si="23"/>
        <v>-2733.2456481122558</v>
      </c>
    </row>
    <row r="55" spans="1:19" outlineLevel="1">
      <c r="A55" s="70"/>
      <c r="B55" s="17" t="str">
        <f>+'Annual FS'!B29</f>
        <v>Payroll commercial force</v>
      </c>
      <c r="C55" s="24" t="s">
        <v>221</v>
      </c>
      <c r="D55" s="38"/>
      <c r="E55" s="38"/>
      <c r="F55" s="38"/>
      <c r="G55" s="38">
        <f>+'Annual FS'!G29</f>
        <v>-296.23427975000004</v>
      </c>
      <c r="H55" s="38">
        <f>+'Annual FS'!H29</f>
        <v>-155.31832292000001</v>
      </c>
      <c r="I55" s="38">
        <f>+'Annual FS'!I29</f>
        <v>-110.64245015</v>
      </c>
      <c r="J55" s="38">
        <f>+'Annual FS'!J29</f>
        <v>-133.06479322000001</v>
      </c>
      <c r="K55" s="38">
        <f>+'Annual FS'!K29</f>
        <v>-56.614837989999998</v>
      </c>
      <c r="L55" s="38">
        <f>+'Annual FS'!L29</f>
        <v>-55.040050130000012</v>
      </c>
      <c r="M55" s="38">
        <f>+'Annual FS'!M29</f>
        <v>-67.912050570000005</v>
      </c>
      <c r="N55" s="168">
        <f>+'Annual FS'!N29</f>
        <v>-91.895999999999987</v>
      </c>
      <c r="O55" s="55">
        <f>-O73*'Annual FS'!O5</f>
        <v>-120.99806476359622</v>
      </c>
      <c r="P55" s="55">
        <f>-P73*'Annual FS'!P5</f>
        <v>-136.55325710343826</v>
      </c>
      <c r="Q55" s="55">
        <f>-Q73*'Annual FS'!Q5</f>
        <v>-141.74959468082207</v>
      </c>
      <c r="R55" s="55">
        <f>-R73*'Annual FS'!R5</f>
        <v>-155.3949887325594</v>
      </c>
      <c r="S55" s="55">
        <f>-S73*'Annual FS'!S5</f>
        <v>-161.65740677848154</v>
      </c>
    </row>
    <row r="56" spans="1:19" outlineLevel="1">
      <c r="A56" s="70"/>
      <c r="B56" s="17" t="str">
        <f>+'Annual FS'!B30</f>
        <v>Services</v>
      </c>
      <c r="C56" s="24" t="s">
        <v>221</v>
      </c>
      <c r="D56" s="38">
        <f>+'Annual FS'!D30</f>
        <v>-354.48912064999996</v>
      </c>
      <c r="E56" s="38">
        <f>+'Annual FS'!E30</f>
        <v>-103.02983166999999</v>
      </c>
      <c r="F56" s="38">
        <f>+'Annual FS'!F30</f>
        <v>-247.35398885000001</v>
      </c>
      <c r="G56" s="38">
        <f>+'Annual FS'!G30</f>
        <v>-461.23218131000004</v>
      </c>
      <c r="H56" s="38">
        <f>+'Annual FS'!H30</f>
        <v>-311.33617829000002</v>
      </c>
      <c r="I56" s="38">
        <f>+'Annual FS'!I30</f>
        <v>-285.10069353</v>
      </c>
      <c r="J56" s="38">
        <f>+'Annual FS'!J30</f>
        <v>-310.36101825000003</v>
      </c>
      <c r="K56" s="38">
        <f>+'Annual FS'!K30</f>
        <v>-353.27539547999993</v>
      </c>
      <c r="L56" s="38">
        <f>+'Annual FS'!L30</f>
        <v>-246.12362771000002</v>
      </c>
      <c r="M56" s="38">
        <f>+'Annual FS'!M30</f>
        <v>-266.71844011999997</v>
      </c>
      <c r="N56" s="168">
        <f>+'Annual FS'!N30</f>
        <v>-408.25365050999994</v>
      </c>
      <c r="O56" s="55">
        <f>-O74*'Annual FS'!O5</f>
        <v>-515.29124099565684</v>
      </c>
      <c r="P56" s="55">
        <f>-P74*'Annual FS'!P5</f>
        <v>-581.53572499119673</v>
      </c>
      <c r="Q56" s="55">
        <f>-Q74*'Annual FS'!Q5</f>
        <v>-603.66522965818422</v>
      </c>
      <c r="R56" s="55">
        <f>-R74*'Annual FS'!R5</f>
        <v>-661.77650646688528</v>
      </c>
      <c r="S56" s="55">
        <f>-S74*'Annual FS'!S5</f>
        <v>-688.4460996775008</v>
      </c>
    </row>
    <row r="57" spans="1:19" outlineLevel="1">
      <c r="A57" s="70"/>
      <c r="B57" s="17" t="str">
        <f>+'Annual FS'!B31</f>
        <v>Fees</v>
      </c>
      <c r="C57" s="24" t="s">
        <v>221</v>
      </c>
      <c r="D57" s="38">
        <f>+'Annual FS'!D31</f>
        <v>-260.49934400000001</v>
      </c>
      <c r="E57" s="38">
        <f>+'Annual FS'!E31</f>
        <v>-484.78001742999999</v>
      </c>
      <c r="F57" s="38">
        <f>+'Annual FS'!F31</f>
        <v>-865.06198270000004</v>
      </c>
      <c r="G57" s="38">
        <f>+'Annual FS'!G31</f>
        <v>-750.21039499999995</v>
      </c>
      <c r="H57" s="38">
        <f>+'Annual FS'!H31</f>
        <v>-294.63544299999995</v>
      </c>
      <c r="I57" s="38">
        <f>+'Annual FS'!I31</f>
        <v>-185.96296000000001</v>
      </c>
      <c r="J57" s="38">
        <f>+'Annual FS'!J31</f>
        <v>-344.76681649999995</v>
      </c>
      <c r="K57" s="38">
        <f>+'Annual FS'!K31</f>
        <v>-447.38194816000004</v>
      </c>
      <c r="L57" s="38">
        <f>+'Annual FS'!L31</f>
        <v>-409.35930780000001</v>
      </c>
      <c r="M57" s="38">
        <f>+'Annual FS'!M31</f>
        <v>-459.76092227999999</v>
      </c>
      <c r="N57" s="168">
        <f>+'Annual FS'!N31</f>
        <v>-578.85363600000005</v>
      </c>
      <c r="O57" s="55">
        <f>-O76*'Annual FS'!O5</f>
        <v>-884.63062958024159</v>
      </c>
      <c r="P57" s="55">
        <f>-P76*'Annual FS'!P5</f>
        <v>-998.3564120522293</v>
      </c>
      <c r="Q57" s="55">
        <f>-Q76*'Annual FS'!Q5</f>
        <v>-1036.3474277893297</v>
      </c>
      <c r="R57" s="55">
        <f>-R76*'Annual FS'!R5</f>
        <v>-1136.110457507559</v>
      </c>
      <c r="S57" s="55">
        <f>-S76*'Annual FS'!S5</f>
        <v>-1181.8957089451137</v>
      </c>
    </row>
    <row r="58" spans="1:19" outlineLevel="1">
      <c r="A58" s="70"/>
      <c r="B58" s="186" t="str">
        <f>+'Annual FS'!B32</f>
        <v>Others</v>
      </c>
      <c r="C58" s="240" t="s">
        <v>59</v>
      </c>
      <c r="D58" s="265">
        <f>+'Annual FS'!D32</f>
        <v>-323.87483837000002</v>
      </c>
      <c r="E58" s="265">
        <f>+'Annual FS'!E32</f>
        <v>-487.9058137400001</v>
      </c>
      <c r="F58" s="265">
        <f>+'Annual FS'!F32</f>
        <v>-602.5105602399999</v>
      </c>
      <c r="G58" s="265">
        <f>+'Annual FS'!G32</f>
        <v>-1042.37336456</v>
      </c>
      <c r="H58" s="265">
        <f>+'Annual FS'!H32</f>
        <v>-379.85185296000003</v>
      </c>
      <c r="I58" s="265">
        <f>+'Annual FS'!I32</f>
        <v>-317.01155223000006</v>
      </c>
      <c r="J58" s="265">
        <f>+'Annual FS'!J32</f>
        <v>-250.06077586000006</v>
      </c>
      <c r="K58" s="265">
        <f>+'Annual FS'!K32</f>
        <v>-285.50624758999999</v>
      </c>
      <c r="L58" s="265">
        <f>+'Annual FS'!L32</f>
        <v>-61.41141528</v>
      </c>
      <c r="M58" s="265">
        <f>+'Annual FS'!M32</f>
        <v>-136.19420775</v>
      </c>
      <c r="N58" s="298">
        <f>+'Annual FS'!N32</f>
        <v>-188.18313906999998</v>
      </c>
      <c r="O58" s="1275">
        <f>-O77*'Annual FS'!O5</f>
        <v>-204.51046382357683</v>
      </c>
      <c r="P58" s="375">
        <f>-P77*'Annual FS'!P5</f>
        <v>-230.80179010636832</v>
      </c>
      <c r="Q58" s="375">
        <f>-Q77*'Annual FS'!Q5</f>
        <v>-239.5846198996459</v>
      </c>
      <c r="R58" s="375">
        <f>-R77*'Annual FS'!R5</f>
        <v>-262.64801245909342</v>
      </c>
      <c r="S58" s="375">
        <f>-S77*'Annual FS'!S5</f>
        <v>-273.23272736119492</v>
      </c>
    </row>
    <row r="59" spans="1:19" outlineLevel="1">
      <c r="A59" s="70"/>
      <c r="B59" s="29" t="str">
        <f>+'Annual FS'!B33</f>
        <v>Diverse</v>
      </c>
      <c r="C59" s="24" t="str">
        <f>+'Annual FS'!C33</f>
        <v>COP MM</v>
      </c>
      <c r="D59" s="38">
        <f>+'Annual FS'!D33</f>
        <v>-115.82085938</v>
      </c>
      <c r="E59" s="38">
        <f>+'Annual FS'!E33</f>
        <v>-132.36970581000003</v>
      </c>
      <c r="F59" s="38">
        <f>+'Annual FS'!F33</f>
        <v>-341.52701432000003</v>
      </c>
      <c r="G59" s="38">
        <f>+'Annual FS'!G33</f>
        <v>-332.37760000000003</v>
      </c>
      <c r="H59" s="38">
        <f>+'Annual FS'!H33</f>
        <v>-106.46417846</v>
      </c>
      <c r="I59" s="38">
        <f>+'Annual FS'!I33</f>
        <v>-124.0990376</v>
      </c>
      <c r="J59" s="38">
        <f>+'Annual FS'!J33</f>
        <v>-100.884849</v>
      </c>
      <c r="K59" s="38">
        <f>+'Annual FS'!K33</f>
        <v>-119.13211999999999</v>
      </c>
      <c r="L59" s="38">
        <f>+'Annual FS'!L33</f>
        <v>-56.065785999999996</v>
      </c>
      <c r="M59" s="38">
        <f>+'Annual FS'!M33</f>
        <v>-49.975959629999998</v>
      </c>
      <c r="N59" s="168">
        <f>+'Annual FS'!N33</f>
        <v>-92.056234799999999</v>
      </c>
      <c r="O59" s="1249"/>
      <c r="P59" s="1249"/>
      <c r="Q59" s="1249"/>
      <c r="R59" s="1249"/>
      <c r="S59" s="1249"/>
    </row>
    <row r="60" spans="1:19" outlineLevel="1">
      <c r="B60" s="29" t="str">
        <f>+'Annual FS'!B34</f>
        <v>Legal expenses</v>
      </c>
      <c r="C60" s="24" t="str">
        <f>+'Annual FS'!C34</f>
        <v>COP MM</v>
      </c>
      <c r="D60" s="38">
        <f>+'Annual FS'!D34</f>
        <v>-73.366791159999991</v>
      </c>
      <c r="E60" s="38">
        <f>+'Annual FS'!E34</f>
        <v>-29.484423</v>
      </c>
      <c r="F60" s="38">
        <f>+'Annual FS'!F34</f>
        <v>-9.3089346499999976</v>
      </c>
      <c r="G60" s="38">
        <f>+'Annual FS'!G34</f>
        <v>-47.635096759999989</v>
      </c>
      <c r="H60" s="38">
        <f>+'Annual FS'!H34</f>
        <v>-12.216852999999999</v>
      </c>
      <c r="I60" s="38">
        <f>+'Annual FS'!I34</f>
        <v>-2.707303</v>
      </c>
      <c r="J60" s="38">
        <f>+'Annual FS'!J34</f>
        <v>-4.6742989999999986</v>
      </c>
      <c r="K60" s="38">
        <f>+'Annual FS'!K34</f>
        <v>-7.3470599999999999</v>
      </c>
      <c r="L60" s="38">
        <f>+'Annual FS'!L34</f>
        <v>-3.7812734399999992</v>
      </c>
      <c r="M60" s="38">
        <f>+'Annual FS'!M34</f>
        <v>-4.0210703200000006</v>
      </c>
      <c r="N60" s="168">
        <f>+'Annual FS'!N34</f>
        <v>-4.5863820000000004</v>
      </c>
      <c r="O60" s="1249"/>
      <c r="P60" s="1249"/>
      <c r="Q60" s="1249"/>
      <c r="R60" s="1249"/>
      <c r="S60" s="1249"/>
    </row>
    <row r="61" spans="1:19" outlineLevel="1">
      <c r="B61" s="29" t="str">
        <f>+'Annual FS'!B35</f>
        <v>Leases</v>
      </c>
      <c r="C61" s="24" t="str">
        <f>+'Annual FS'!C35</f>
        <v>COP MM</v>
      </c>
      <c r="D61" s="38">
        <f>+'Annual FS'!D35</f>
        <v>-58.633104000000003</v>
      </c>
      <c r="E61" s="38">
        <f>+'Annual FS'!E35</f>
        <v>0</v>
      </c>
      <c r="F61" s="38">
        <f>+'Annual FS'!F35</f>
        <v>-71.056486000000007</v>
      </c>
      <c r="G61" s="38">
        <f>+'Annual FS'!G35</f>
        <v>-84.373984009999987</v>
      </c>
      <c r="H61" s="38">
        <f>+'Annual FS'!H35</f>
        <v>-14.821703999999999</v>
      </c>
      <c r="I61" s="38">
        <f>+'Annual FS'!I35</f>
        <v>-15.019326999999999</v>
      </c>
      <c r="J61" s="38">
        <f>+'Annual FS'!J35</f>
        <v>-0.7846280000000001</v>
      </c>
      <c r="K61" s="38">
        <f>+'Annual FS'!K35</f>
        <v>-1.399613</v>
      </c>
      <c r="L61" s="38">
        <f>+'Annual FS'!L35</f>
        <v>-2.4451000000000001</v>
      </c>
      <c r="M61" s="38">
        <f>+'Annual FS'!M35</f>
        <v>0</v>
      </c>
      <c r="N61" s="168">
        <f>+'Annual FS'!N35</f>
        <v>0</v>
      </c>
      <c r="O61" s="1249"/>
      <c r="P61" s="1249"/>
      <c r="Q61" s="1249"/>
      <c r="R61" s="1249"/>
      <c r="S61" s="1249"/>
    </row>
    <row r="62" spans="1:19" outlineLevel="1">
      <c r="B62" s="29" t="str">
        <f>+'Annual FS'!B36</f>
        <v>Contributions and Afiliations</v>
      </c>
      <c r="C62" s="24" t="str">
        <f>+'Annual FS'!C36</f>
        <v>COP MM</v>
      </c>
      <c r="D62" s="38">
        <f>+'Annual FS'!D36</f>
        <v>-58.768407000000003</v>
      </c>
      <c r="E62" s="38">
        <f>+'Annual FS'!E36</f>
        <v>-55.847946000000007</v>
      </c>
      <c r="F62" s="38">
        <f>+'Annual FS'!F36</f>
        <v>-86.452375879999991</v>
      </c>
      <c r="G62" s="38">
        <f>+'Annual FS'!G36</f>
        <v>-86.17007108</v>
      </c>
      <c r="H62" s="38">
        <f>+'Annual FS'!H36</f>
        <v>-43.485651399999995</v>
      </c>
      <c r="I62" s="38">
        <f>+'Annual FS'!I36</f>
        <v>-46.248234139999994</v>
      </c>
      <c r="J62" s="38">
        <f>+'Annual FS'!J36</f>
        <v>-33.234026</v>
      </c>
      <c r="K62" s="38">
        <f>+'Annual FS'!K36</f>
        <v>-46.415555269999999</v>
      </c>
      <c r="L62" s="38">
        <f>+'Annual FS'!L36</f>
        <v>-32.741580000000006</v>
      </c>
      <c r="M62" s="38">
        <f>+'Annual FS'!M36</f>
        <v>-38.294976999999996</v>
      </c>
      <c r="N62" s="168">
        <f>+'Annual FS'!N36</f>
        <v>-43.382629609999995</v>
      </c>
      <c r="O62" s="1249"/>
      <c r="P62" s="1249"/>
      <c r="Q62" s="1249"/>
      <c r="R62" s="1249"/>
      <c r="S62" s="1249"/>
    </row>
    <row r="63" spans="1:19" outlineLevel="1">
      <c r="B63" s="29" t="str">
        <f>+'Annual FS'!B37</f>
        <v>Taxes</v>
      </c>
      <c r="C63" s="24" t="str">
        <f>+'Annual FS'!C37</f>
        <v>COP MM</v>
      </c>
      <c r="D63" s="38">
        <f>+'Annual FS'!D37</f>
        <v>-8.8837572700000003</v>
      </c>
      <c r="E63" s="38">
        <f>+'Annual FS'!E37</f>
        <v>-22.127097280000001</v>
      </c>
      <c r="F63" s="38">
        <f>+'Annual FS'!F37</f>
        <v>-21.796629589999998</v>
      </c>
      <c r="G63" s="38">
        <f>+'Annual FS'!G37</f>
        <v>-365.06280715000003</v>
      </c>
      <c r="H63" s="38">
        <f>+'Annual FS'!H37</f>
        <v>-167.50610622999997</v>
      </c>
      <c r="I63" s="38">
        <f>+'Annual FS'!I37</f>
        <v>-90.958480890000004</v>
      </c>
      <c r="J63" s="38">
        <f>+'Annual FS'!J37</f>
        <v>-61.78824693</v>
      </c>
      <c r="K63" s="38">
        <f>+'Annual FS'!K37</f>
        <v>-61.228069640000001</v>
      </c>
      <c r="L63" s="38">
        <f>+'Annual FS'!L37</f>
        <v>63.014629440000007</v>
      </c>
      <c r="M63" s="38">
        <f>+'Annual FS'!M37</f>
        <v>-24.066563800000001</v>
      </c>
      <c r="N63" s="168">
        <f>+'Annual FS'!N37</f>
        <v>-23.56394135</v>
      </c>
      <c r="O63" s="1249"/>
      <c r="P63" s="1249"/>
      <c r="Q63" s="1249"/>
      <c r="R63" s="1249"/>
      <c r="S63" s="1249"/>
    </row>
    <row r="64" spans="1:19" outlineLevel="1">
      <c r="B64" s="40" t="s">
        <v>222</v>
      </c>
      <c r="C64" s="24"/>
      <c r="D64" s="38"/>
      <c r="E64" s="38"/>
      <c r="F64" s="38"/>
      <c r="G64" s="38"/>
      <c r="H64" s="38"/>
      <c r="I64" s="38"/>
      <c r="J64" s="38"/>
      <c r="K64" s="38"/>
      <c r="L64" s="38"/>
      <c r="M64" s="38"/>
      <c r="N64" s="168"/>
      <c r="O64" s="1249"/>
      <c r="P64" s="1249"/>
      <c r="Q64" s="1249"/>
      <c r="R64" s="1249"/>
      <c r="S64" s="1249"/>
    </row>
    <row r="65" spans="2:19" outlineLevel="1">
      <c r="B65" s="29" t="str">
        <f>+'Annual FS'!B38</f>
        <v>Insurance</v>
      </c>
      <c r="C65" s="24" t="str">
        <f>+'Annual FS'!C38</f>
        <v>COP MM</v>
      </c>
      <c r="D65" s="38">
        <f>+'Annual FS'!D38</f>
        <v>-1.4709800000000002</v>
      </c>
      <c r="E65" s="38">
        <f>+'Annual FS'!E38</f>
        <v>-210.61008600000002</v>
      </c>
      <c r="F65" s="38">
        <f>+'Annual FS'!F38</f>
        <v>-35.049444000000008</v>
      </c>
      <c r="G65" s="38">
        <f>+'Annual FS'!G38</f>
        <v>-36.61577879</v>
      </c>
      <c r="H65" s="38">
        <f>+'Annual FS'!H38</f>
        <v>-26.352348950000003</v>
      </c>
      <c r="I65" s="38">
        <f>+'Annual FS'!I38</f>
        <v>-16.1243306</v>
      </c>
      <c r="J65" s="38">
        <f>+'Annual FS'!J38</f>
        <v>-13.127663</v>
      </c>
      <c r="K65" s="38">
        <f>+'Annual FS'!K38</f>
        <v>-29.173183679999994</v>
      </c>
      <c r="L65" s="38">
        <f>+'Annual FS'!L38</f>
        <v>-16.34873</v>
      </c>
      <c r="M65" s="38">
        <f>+'Annual FS'!M38</f>
        <v>-8.9727180000000004</v>
      </c>
      <c r="N65" s="168">
        <f>+'Annual FS'!N38</f>
        <v>-12.88123057</v>
      </c>
      <c r="O65" s="1249"/>
      <c r="P65" s="1249"/>
      <c r="Q65" s="1249"/>
      <c r="R65" s="1249"/>
      <c r="S65" s="1249"/>
    </row>
    <row r="66" spans="2:19" outlineLevel="1">
      <c r="B66" s="29" t="str">
        <f>+'Annual FS'!B39</f>
        <v>Mantenimiento y reparaciones</v>
      </c>
      <c r="C66" s="24" t="str">
        <f>+'Annual FS'!C39</f>
        <v>COP MM</v>
      </c>
      <c r="D66" s="38">
        <f>+'Annual FS'!D39</f>
        <v>-4.06671856</v>
      </c>
      <c r="E66" s="38">
        <f>+'Annual FS'!E39</f>
        <v>-17.049613999999998</v>
      </c>
      <c r="F66" s="38">
        <f>+'Annual FS'!F39</f>
        <v>-15.52324445</v>
      </c>
      <c r="G66" s="38">
        <f>+'Annual FS'!G39</f>
        <v>-53.567878470000004</v>
      </c>
      <c r="H66" s="38">
        <f>+'Annual FS'!H39</f>
        <v>-3.3661599999999998</v>
      </c>
      <c r="I66" s="38">
        <f>+'Annual FS'!I39</f>
        <v>-5.8816190000000006</v>
      </c>
      <c r="J66" s="38">
        <f>+'Annual FS'!J39</f>
        <v>-22.59067293</v>
      </c>
      <c r="K66" s="38">
        <f>+'Annual FS'!K39</f>
        <v>-9.5105889999999995</v>
      </c>
      <c r="L66" s="38">
        <f>+'Annual FS'!L39</f>
        <v>-10.755684280000001</v>
      </c>
      <c r="M66" s="38">
        <f>+'Annual FS'!M39</f>
        <v>-7.862051000000001</v>
      </c>
      <c r="N66" s="168">
        <f>+'Annual FS'!N39</f>
        <v>-9.3267332800000009</v>
      </c>
      <c r="O66" s="1249"/>
      <c r="P66" s="1249"/>
      <c r="Q66" s="1249"/>
      <c r="R66" s="1249"/>
      <c r="S66" s="1249"/>
    </row>
    <row r="67" spans="2:19" outlineLevel="1">
      <c r="B67" s="29" t="str">
        <f>+'Annual FS'!B40</f>
        <v>Adecuaciones e instalaciones</v>
      </c>
      <c r="C67" s="24" t="str">
        <f>+'Annual FS'!C40</f>
        <v>COP MM</v>
      </c>
      <c r="D67" s="38">
        <f>+'Annual FS'!D40</f>
        <v>-2.8642210000000001</v>
      </c>
      <c r="E67" s="38">
        <f>+'Annual FS'!E40</f>
        <v>-2.7790396500000001</v>
      </c>
      <c r="F67" s="38">
        <f>+'Annual FS'!F40</f>
        <v>-7.6724801700000009</v>
      </c>
      <c r="G67" s="38">
        <f>+'Annual FS'!G40</f>
        <v>-1.6852499999999999</v>
      </c>
      <c r="H67" s="38">
        <f>+'Annual FS'!H40</f>
        <v>-0.8</v>
      </c>
      <c r="I67" s="38">
        <f>+'Annual FS'!I40</f>
        <v>-0.78556899999999996</v>
      </c>
      <c r="J67" s="38">
        <f>+'Annual FS'!J40</f>
        <v>0</v>
      </c>
      <c r="K67" s="38">
        <f>+'Annual FS'!K40</f>
        <v>0</v>
      </c>
      <c r="L67" s="38">
        <f>+'Annual FS'!L40</f>
        <v>0</v>
      </c>
      <c r="M67" s="38">
        <f>+'Annual FS'!M40</f>
        <v>0</v>
      </c>
      <c r="N67" s="168">
        <f>+'Annual FS'!N40</f>
        <v>0</v>
      </c>
      <c r="O67" s="1249"/>
      <c r="P67" s="1249"/>
      <c r="Q67" s="1249"/>
      <c r="R67" s="1249"/>
      <c r="S67" s="1249"/>
    </row>
    <row r="68" spans="2:19" outlineLevel="1">
      <c r="B68" s="29" t="str">
        <f>+'Annual FS'!B41</f>
        <v>Gastos de Viaje</v>
      </c>
      <c r="C68" s="24" t="str">
        <f>+'Annual FS'!C41</f>
        <v>COP MM</v>
      </c>
      <c r="D68" s="38">
        <f>+'Annual FS'!D41</f>
        <v>0</v>
      </c>
      <c r="E68" s="38">
        <f>+'Annual FS'!E41</f>
        <v>-17.637902</v>
      </c>
      <c r="F68" s="38">
        <f>+'Annual FS'!F41</f>
        <v>-14.123951180000001</v>
      </c>
      <c r="G68" s="38">
        <f>+'Annual FS'!G41</f>
        <v>-34.884898299999996</v>
      </c>
      <c r="H68" s="38">
        <f>+'Annual FS'!H41</f>
        <v>-4.8388509199999996</v>
      </c>
      <c r="I68" s="38">
        <f>+'Annual FS'!I41</f>
        <v>-15.187650999999999</v>
      </c>
      <c r="J68" s="38">
        <f>+'Annual FS'!J41</f>
        <v>-12.976391000000001</v>
      </c>
      <c r="K68" s="38">
        <f>+'Annual FS'!K41</f>
        <v>-11.300057000000001</v>
      </c>
      <c r="L68" s="38">
        <f>+'Annual FS'!L41</f>
        <v>-2.2878910000000001</v>
      </c>
      <c r="M68" s="38">
        <f>+'Annual FS'!M41</f>
        <v>-3.0008680000000001</v>
      </c>
      <c r="N68" s="168">
        <f>+'Annual FS'!N41</f>
        <v>-2.3859874599999999</v>
      </c>
      <c r="O68" s="1249"/>
      <c r="P68" s="1249"/>
      <c r="Q68" s="1249"/>
      <c r="R68" s="1249"/>
      <c r="S68" s="1249"/>
    </row>
    <row r="69" spans="2:19" outlineLevel="1">
      <c r="B69" s="399" t="str">
        <f>+'Annual FS'!B49</f>
        <v>Provisions</v>
      </c>
      <c r="C69" s="240" t="str">
        <f>+'Annual FS'!C49</f>
        <v>COP MM</v>
      </c>
      <c r="D69" s="265">
        <f>+'Annual FS'!D49</f>
        <v>0</v>
      </c>
      <c r="E69" s="265">
        <f>+'Annual FS'!E49</f>
        <v>0</v>
      </c>
      <c r="F69" s="265">
        <f>+'Annual FS'!F49</f>
        <v>0</v>
      </c>
      <c r="G69" s="265">
        <f>+'Annual FS'!G49</f>
        <v>-1133.03277088</v>
      </c>
      <c r="H69" s="265">
        <f>+'Annual FS'!H49</f>
        <v>-948.47589673000004</v>
      </c>
      <c r="I69" s="265">
        <f>+'Annual FS'!I49</f>
        <v>-257.80635881000001</v>
      </c>
      <c r="J69" s="265">
        <f>+'Annual FS'!J49</f>
        <v>-33.197530999999998</v>
      </c>
      <c r="K69" s="265">
        <f>+'Annual FS'!K49</f>
        <v>0</v>
      </c>
      <c r="L69" s="265">
        <f>+'Annual FS'!L49</f>
        <v>-248.6061610000005</v>
      </c>
      <c r="M69" s="265">
        <f>+'Annual FS'!M49</f>
        <v>0</v>
      </c>
      <c r="N69" s="298">
        <f>+'Annual FS'!N49</f>
        <v>0</v>
      </c>
      <c r="O69" s="1301"/>
      <c r="P69" s="1301"/>
      <c r="Q69" s="1301"/>
      <c r="R69" s="1301"/>
      <c r="S69" s="1301"/>
    </row>
    <row r="70" spans="2:19" outlineLevel="1">
      <c r="B70" s="17"/>
      <c r="C70" s="24"/>
      <c r="D70" s="16"/>
      <c r="E70" s="16"/>
    </row>
    <row r="71" spans="2:19" outlineLevel="1">
      <c r="B71" s="185" t="s">
        <v>77</v>
      </c>
      <c r="C71" s="192" t="s">
        <v>59</v>
      </c>
      <c r="D71" s="117"/>
      <c r="E71" s="117"/>
      <c r="F71" s="117"/>
      <c r="G71" s="117"/>
      <c r="H71" s="117"/>
    </row>
    <row r="72" spans="2:19" outlineLevel="1">
      <c r="B72" s="17" t="s">
        <v>78</v>
      </c>
      <c r="C72" s="24" t="s">
        <v>223</v>
      </c>
      <c r="D72" s="641"/>
      <c r="E72" s="641">
        <f t="shared" ref="E72:M72" si="24">(E54/D54-1)-D8</f>
        <v>0.49388444633628437</v>
      </c>
      <c r="F72" s="641">
        <f t="shared" si="24"/>
        <v>3.1059403213274578E-2</v>
      </c>
      <c r="G72" s="76">
        <f t="shared" si="24"/>
        <v>1.541464570178893E-2</v>
      </c>
      <c r="H72" s="76">
        <f t="shared" si="24"/>
        <v>-0.60974287144106676</v>
      </c>
      <c r="I72" s="76">
        <f t="shared" si="24"/>
        <v>-0.35640303809243756</v>
      </c>
      <c r="J72" s="286">
        <f t="shared" si="24"/>
        <v>0.22399374127041288</v>
      </c>
      <c r="K72" s="84">
        <f t="shared" si="24"/>
        <v>1.6530048920294242E-2</v>
      </c>
      <c r="L72" s="84">
        <f t="shared" si="24"/>
        <v>-1.700070071751477E-2</v>
      </c>
      <c r="M72" s="84">
        <f t="shared" si="24"/>
        <v>5.1000065082809111E-3</v>
      </c>
      <c r="N72" s="1435">
        <f>(N54/M54-1)-M8</f>
        <v>2.4328177614503482E-2</v>
      </c>
      <c r="O72" s="79">
        <v>0.01</v>
      </c>
      <c r="P72" s="79">
        <v>0.01</v>
      </c>
      <c r="Q72" s="79">
        <v>0.01</v>
      </c>
      <c r="R72" s="79">
        <v>0.01</v>
      </c>
      <c r="S72" s="79">
        <v>0.01</v>
      </c>
    </row>
    <row r="73" spans="2:19" outlineLevel="1">
      <c r="B73" s="17" t="s">
        <v>79</v>
      </c>
      <c r="C73" s="24" t="s">
        <v>216</v>
      </c>
      <c r="D73" s="32"/>
      <c r="E73" s="32"/>
      <c r="F73" s="32"/>
      <c r="G73" s="32">
        <f>-G55/'Annual FS'!G5</f>
        <v>1.7577765964747905E-2</v>
      </c>
      <c r="H73" s="32">
        <f>-H55/'Annual FS'!H5</f>
        <v>2.5246691537173384E-2</v>
      </c>
      <c r="I73" s="32">
        <f>-I55/'Annual FS'!I5</f>
        <v>8.1182737069273956E-3</v>
      </c>
      <c r="J73" s="42">
        <f>-J55/'Annual FS'!J5</f>
        <v>9.4035175402723045E-3</v>
      </c>
      <c r="K73" s="85">
        <f>-K55/'Annual FS'!K5</f>
        <v>2.6668190703888943E-3</v>
      </c>
      <c r="L73" s="85">
        <f>-L55/'Annual FS'!L5</f>
        <v>4.3613741649961828E-3</v>
      </c>
      <c r="M73" s="85">
        <f>-M55/'Annual FS'!M5</f>
        <v>4.494554311580988E-3</v>
      </c>
      <c r="N73" s="296">
        <f>-N55/'Annual FS'!N5</f>
        <v>3.0437630810482611E-3</v>
      </c>
      <c r="O73" s="42">
        <f>AVERAGE(L73:N73)</f>
        <v>3.9665638525418108E-3</v>
      </c>
      <c r="P73" s="42">
        <f>O73</f>
        <v>3.9665638525418108E-3</v>
      </c>
      <c r="Q73" s="42">
        <f t="shared" ref="Q73:S77" si="25">P73</f>
        <v>3.9665638525418108E-3</v>
      </c>
      <c r="R73" s="42">
        <f t="shared" si="25"/>
        <v>3.9665638525418108E-3</v>
      </c>
      <c r="S73" s="42">
        <f t="shared" si="25"/>
        <v>3.9665638525418108E-3</v>
      </c>
    </row>
    <row r="74" spans="2:19" outlineLevel="1">
      <c r="B74" s="17" t="s">
        <v>80</v>
      </c>
      <c r="C74" s="24" t="s">
        <v>216</v>
      </c>
      <c r="D74" s="32">
        <f>-D56/'Annual FS'!D5</f>
        <v>9.7705557701269954E-3</v>
      </c>
      <c r="E74" s="32">
        <f>-E56/'Annual FS'!E5</f>
        <v>2.803130087092954E-3</v>
      </c>
      <c r="F74" s="32">
        <f>-F56/'Annual FS'!F5</f>
        <v>6.280732948681457E-3</v>
      </c>
      <c r="G74" s="32">
        <f>-G56/'Annual FS'!G5</f>
        <v>2.7368309114392263E-2</v>
      </c>
      <c r="H74" s="32">
        <f>-H56/'Annual FS'!H5</f>
        <v>5.0607090714587577E-2</v>
      </c>
      <c r="I74" s="32">
        <f>-I56/'Annual FS'!I5</f>
        <v>2.0918964294206428E-2</v>
      </c>
      <c r="J74" s="32">
        <f>-J56/'Annual FS'!J5</f>
        <v>2.1932813393437806E-2</v>
      </c>
      <c r="K74" s="32">
        <f>-K56/'Annual FS'!K5</f>
        <v>1.6640894776236072E-2</v>
      </c>
      <c r="L74" s="32">
        <f>-L56/'Annual FS'!L5</f>
        <v>1.9502838910105701E-2</v>
      </c>
      <c r="M74" s="32">
        <f>-M56/'Annual FS'!M5</f>
        <v>1.7651955801038056E-2</v>
      </c>
      <c r="N74" s="296">
        <f>-N56/'Annual FS'!N5</f>
        <v>1.3522105305187576E-2</v>
      </c>
      <c r="O74" s="42">
        <f>AVERAGE(L74:N74)</f>
        <v>1.689230000544378E-2</v>
      </c>
      <c r="P74" s="42">
        <f>O74</f>
        <v>1.689230000544378E-2</v>
      </c>
      <c r="Q74" s="42">
        <f t="shared" si="25"/>
        <v>1.689230000544378E-2</v>
      </c>
      <c r="R74" s="42">
        <f t="shared" si="25"/>
        <v>1.689230000544378E-2</v>
      </c>
      <c r="S74" s="42">
        <f t="shared" si="25"/>
        <v>1.689230000544378E-2</v>
      </c>
    </row>
    <row r="75" spans="2:19" outlineLevel="1">
      <c r="B75" s="17" t="s">
        <v>224</v>
      </c>
      <c r="C75" s="24"/>
      <c r="D75" s="32"/>
      <c r="E75" s="32"/>
      <c r="F75" s="32"/>
      <c r="G75" s="32"/>
      <c r="H75" s="32"/>
      <c r="I75" s="32"/>
      <c r="J75" s="42"/>
      <c r="K75" s="85"/>
      <c r="L75" s="85"/>
      <c r="M75" s="1213">
        <v>0.01</v>
      </c>
      <c r="N75" s="1213">
        <v>0</v>
      </c>
      <c r="O75" s="19">
        <v>0</v>
      </c>
      <c r="P75" s="19">
        <v>0.01</v>
      </c>
      <c r="Q75" s="42">
        <f t="shared" ref="Q75:S75" si="26">+P75</f>
        <v>0.01</v>
      </c>
      <c r="R75" s="42">
        <f t="shared" si="26"/>
        <v>0.01</v>
      </c>
      <c r="S75" s="42">
        <f t="shared" si="26"/>
        <v>0.01</v>
      </c>
    </row>
    <row r="76" spans="2:19" outlineLevel="1">
      <c r="B76" s="17" t="s">
        <v>81</v>
      </c>
      <c r="C76" s="24" t="s">
        <v>216</v>
      </c>
      <c r="D76" s="32">
        <f>-D57/'Annual FS'!D5</f>
        <v>7.1799759720876984E-3</v>
      </c>
      <c r="E76" s="32">
        <f>-E57/'Annual FS'!E5</f>
        <v>1.3189397968075703E-2</v>
      </c>
      <c r="F76" s="32">
        <f>-F57/'Annual FS'!F5</f>
        <v>2.1965375705707359E-2</v>
      </c>
      <c r="G76" s="32">
        <f>-G57/'Annual FS'!G5</f>
        <v>4.4515519131546694E-2</v>
      </c>
      <c r="H76" s="32">
        <f>-H57/'Annual FS'!H5</f>
        <v>4.7892418650250443E-2</v>
      </c>
      <c r="I76" s="32">
        <f>-I57/'Annual FS'!I5</f>
        <v>1.3644837099898508E-2</v>
      </c>
      <c r="J76" s="42">
        <f>-J57/'Annual FS'!J5</f>
        <v>2.4364226838736094E-2</v>
      </c>
      <c r="K76" s="85">
        <f>-K57/'Annual FS'!K5</f>
        <v>2.1073745919957615E-2</v>
      </c>
      <c r="L76" s="85">
        <f>-L57/'Annual FS'!L5</f>
        <v>3.243763595822946E-2</v>
      </c>
      <c r="M76" s="296">
        <f>-M57/'Annual FS'!M5</f>
        <v>3.0427890458116461E-2</v>
      </c>
      <c r="N76" s="296">
        <f>-N57/'Annual FS'!N5</f>
        <v>1.9172687892697712E-2</v>
      </c>
      <c r="O76" s="1250">
        <v>2.9000000000000001E-2</v>
      </c>
      <c r="P76" s="42">
        <f>O76</f>
        <v>2.9000000000000001E-2</v>
      </c>
      <c r="Q76" s="42">
        <f t="shared" si="25"/>
        <v>2.9000000000000001E-2</v>
      </c>
      <c r="R76" s="42">
        <f t="shared" si="25"/>
        <v>2.9000000000000001E-2</v>
      </c>
      <c r="S76" s="42">
        <f t="shared" si="25"/>
        <v>2.9000000000000001E-2</v>
      </c>
    </row>
    <row r="77" spans="2:19" outlineLevel="1">
      <c r="B77" s="17" t="s">
        <v>74</v>
      </c>
      <c r="C77" s="240" t="s">
        <v>216</v>
      </c>
      <c r="D77" s="230">
        <f>-D58/'Annual FS'!D5</f>
        <v>8.9267539862226564E-3</v>
      </c>
      <c r="E77" s="230">
        <f>-E58/'Annual FS'!E5</f>
        <v>1.3274441431125801E-2</v>
      </c>
      <c r="F77" s="230">
        <f>-F58/'Annual FS'!F5</f>
        <v>1.5298754409506225E-2</v>
      </c>
      <c r="G77" s="230">
        <f>-G58/'Annual FS'!G5</f>
        <v>6.1851704217302107E-2</v>
      </c>
      <c r="H77" s="230">
        <f>-H58/'Annual FS'!H5</f>
        <v>6.1744180475373757E-2</v>
      </c>
      <c r="I77" s="230">
        <f>-I58/'Annual FS'!I5</f>
        <v>2.3260390074261658E-2</v>
      </c>
      <c r="J77" s="256">
        <f>-J58/'Annual FS'!J5</f>
        <v>1.7671472934586745E-2</v>
      </c>
      <c r="K77" s="239">
        <f>-K58/'Annual FS'!K5</f>
        <v>1.3448656444493789E-2</v>
      </c>
      <c r="L77" s="239">
        <f>-L58/'Annual FS'!L5</f>
        <v>4.8662412080917872E-3</v>
      </c>
      <c r="M77" s="261">
        <f>-M58/'Annual FS'!M5</f>
        <v>9.0136030132703347E-3</v>
      </c>
      <c r="N77" s="261">
        <f>-N58/'Annual FS'!N5</f>
        <v>6.23296869479669E-3</v>
      </c>
      <c r="O77" s="1247">
        <f>AVERAGE(L77:N77)</f>
        <v>6.7042709720529373E-3</v>
      </c>
      <c r="P77" s="256">
        <f>O77</f>
        <v>6.7042709720529373E-3</v>
      </c>
      <c r="Q77" s="256">
        <f t="shared" si="25"/>
        <v>6.7042709720529373E-3</v>
      </c>
      <c r="R77" s="256">
        <f t="shared" si="25"/>
        <v>6.7042709720529373E-3</v>
      </c>
      <c r="S77" s="256">
        <f t="shared" si="25"/>
        <v>6.7042709720529373E-3</v>
      </c>
    </row>
    <row r="78" spans="2:19" outlineLevel="1">
      <c r="B78" s="83" t="s">
        <v>83</v>
      </c>
      <c r="C78" s="24" t="s">
        <v>225</v>
      </c>
      <c r="D78" s="42"/>
      <c r="E78" s="42">
        <f t="shared" ref="E78:L81" si="27">+IFERROR(E59/D59-1," ")</f>
        <v>0.14288312587721741</v>
      </c>
      <c r="F78" s="42">
        <f t="shared" si="27"/>
        <v>1.5800995192224638</v>
      </c>
      <c r="G78" s="32">
        <f t="shared" si="27"/>
        <v>-2.6789723612982708E-2</v>
      </c>
      <c r="H78" s="32">
        <f t="shared" si="27"/>
        <v>-0.67968906911897797</v>
      </c>
      <c r="I78" s="32">
        <f t="shared" si="27"/>
        <v>0.16564124567612803</v>
      </c>
      <c r="J78" s="42">
        <f t="shared" si="27"/>
        <v>-0.18706179394255029</v>
      </c>
      <c r="K78" s="85">
        <f t="shared" si="27"/>
        <v>0.18087226358439601</v>
      </c>
      <c r="L78" s="85">
        <f t="shared" si="27"/>
        <v>-0.52938144641428353</v>
      </c>
      <c r="M78" s="1214">
        <v>9.3348605656743636E-3</v>
      </c>
      <c r="N78" s="1214">
        <v>0</v>
      </c>
      <c r="O78" s="1248"/>
      <c r="P78" s="190"/>
      <c r="Q78" s="190"/>
      <c r="R78" s="190"/>
      <c r="S78" s="190"/>
    </row>
    <row r="79" spans="2:19" outlineLevel="1">
      <c r="B79" s="57" t="s">
        <v>84</v>
      </c>
      <c r="C79" s="24" t="s">
        <v>225</v>
      </c>
      <c r="D79" s="32"/>
      <c r="E79" s="32">
        <f t="shared" si="27"/>
        <v>-0.59812303995005467</v>
      </c>
      <c r="F79" s="32">
        <f t="shared" si="27"/>
        <v>-0.68427618034105675</v>
      </c>
      <c r="G79" s="32">
        <f t="shared" si="27"/>
        <v>4.1171373042134309</v>
      </c>
      <c r="H79" s="32">
        <f t="shared" si="27"/>
        <v>-0.74353252473586451</v>
      </c>
      <c r="I79" s="32">
        <f t="shared" si="27"/>
        <v>-0.77839604028959009</v>
      </c>
      <c r="J79" s="42">
        <f t="shared" si="27"/>
        <v>0.72655184883258306</v>
      </c>
      <c r="K79" s="85">
        <f t="shared" si="27"/>
        <v>0.57179932220852847</v>
      </c>
      <c r="L79" s="85">
        <f t="shared" si="27"/>
        <v>-0.48533516263648324</v>
      </c>
      <c r="M79" s="296">
        <f>$M$78</f>
        <v>9.3348605656743636E-3</v>
      </c>
      <c r="N79" s="296">
        <v>0</v>
      </c>
      <c r="O79" s="190"/>
      <c r="P79" s="190"/>
      <c r="Q79" s="190"/>
      <c r="R79" s="190"/>
      <c r="S79" s="190"/>
    </row>
    <row r="80" spans="2:19" outlineLevel="1">
      <c r="B80" s="57" t="s">
        <v>69</v>
      </c>
      <c r="C80" s="24" t="s">
        <v>226</v>
      </c>
      <c r="D80" s="32"/>
      <c r="E80" s="32">
        <f t="shared" si="27"/>
        <v>-1</v>
      </c>
      <c r="F80" s="32" t="str">
        <f t="shared" si="27"/>
        <v xml:space="preserve"> </v>
      </c>
      <c r="G80" s="32">
        <f t="shared" si="27"/>
        <v>0.18742128635519606</v>
      </c>
      <c r="H80" s="32">
        <f t="shared" si="27"/>
        <v>-0.82433324473283931</v>
      </c>
      <c r="I80" s="32">
        <f t="shared" si="27"/>
        <v>1.3333352224548456E-2</v>
      </c>
      <c r="J80" s="42">
        <f t="shared" si="27"/>
        <v>-0.94775877774017436</v>
      </c>
      <c r="K80" s="85">
        <f t="shared" si="27"/>
        <v>0.78379180962188433</v>
      </c>
      <c r="L80" s="85">
        <f t="shared" si="27"/>
        <v>0.7469829159917778</v>
      </c>
      <c r="M80" s="296">
        <f t="shared" ref="M80:M87" si="28">$M$78</f>
        <v>9.3348605656743636E-3</v>
      </c>
      <c r="N80" s="296">
        <v>0</v>
      </c>
      <c r="O80" s="1248"/>
      <c r="P80" s="190"/>
      <c r="Q80" s="190"/>
      <c r="R80" s="190"/>
      <c r="S80" s="190"/>
    </row>
    <row r="81" spans="1:19" outlineLevel="1">
      <c r="B81" s="57" t="s">
        <v>85</v>
      </c>
      <c r="C81" s="24" t="s">
        <v>225</v>
      </c>
      <c r="D81" s="32"/>
      <c r="E81" s="32">
        <f t="shared" si="27"/>
        <v>-4.9694404682434135E-2</v>
      </c>
      <c r="F81" s="32">
        <f t="shared" si="27"/>
        <v>0.54799562153995751</v>
      </c>
      <c r="G81" s="32">
        <f t="shared" si="27"/>
        <v>-3.2654371511067204E-3</v>
      </c>
      <c r="H81" s="32">
        <f t="shared" si="27"/>
        <v>-0.49535087002971057</v>
      </c>
      <c r="I81" s="32">
        <f t="shared" si="27"/>
        <v>6.352860428808027E-2</v>
      </c>
      <c r="J81" s="42">
        <f t="shared" si="27"/>
        <v>-0.28139902813595286</v>
      </c>
      <c r="K81" s="85">
        <f t="shared" si="27"/>
        <v>0.3966275187363697</v>
      </c>
      <c r="L81" s="85">
        <f t="shared" si="27"/>
        <v>-0.29459898067486789</v>
      </c>
      <c r="M81" s="296">
        <f t="shared" si="28"/>
        <v>9.3348605656743636E-3</v>
      </c>
      <c r="N81" s="296">
        <v>0</v>
      </c>
      <c r="O81" s="1248"/>
      <c r="P81" s="190"/>
      <c r="Q81" s="190"/>
      <c r="R81" s="190"/>
      <c r="S81" s="190"/>
    </row>
    <row r="82" spans="1:19" outlineLevel="1">
      <c r="B82" s="57" t="s">
        <v>68</v>
      </c>
      <c r="C82" s="24" t="s">
        <v>219</v>
      </c>
      <c r="D82" s="32"/>
      <c r="E82" s="42">
        <f>+-E63/'Annual FS'!E5</f>
        <v>6.0201138951934262E-4</v>
      </c>
      <c r="F82" s="42">
        <f>+-F63/'Annual FS'!F5</f>
        <v>5.5345300988510085E-4</v>
      </c>
      <c r="G82" s="42">
        <f>+-G63/'Annual FS'!G5</f>
        <v>2.1661870435562235E-2</v>
      </c>
      <c r="H82" s="42">
        <f>+-(H63+H64)/'Annual FS'!H5</f>
        <v>2.7227792027860288E-2</v>
      </c>
      <c r="I82" s="42">
        <f>+-(I63+I64)/'Annual FS'!I5</f>
        <v>6.6739831125417742E-3</v>
      </c>
      <c r="J82" s="42">
        <f>+-(J63+J64)/'Annual FS'!J5</f>
        <v>4.3664958230409025E-3</v>
      </c>
      <c r="K82" s="85">
        <f>+-(K63+K64)/'Annual FS'!K5</f>
        <v>2.8841234834566251E-3</v>
      </c>
      <c r="L82" s="85">
        <f>+-(L63+L64)/'Annual FS'!L5</f>
        <v>-4.9932799153942888E-3</v>
      </c>
      <c r="M82" s="296">
        <f t="shared" si="28"/>
        <v>9.3348605656743636E-3</v>
      </c>
      <c r="N82" s="296">
        <v>0</v>
      </c>
      <c r="O82" s="1248"/>
      <c r="P82" s="190"/>
      <c r="Q82" s="190"/>
      <c r="R82" s="190"/>
      <c r="S82" s="190"/>
    </row>
    <row r="83" spans="1:19" outlineLevel="1">
      <c r="B83" s="57" t="s">
        <v>70</v>
      </c>
      <c r="C83" s="24" t="s">
        <v>225</v>
      </c>
      <c r="D83" s="32"/>
      <c r="E83" s="32">
        <f t="shared" ref="E83:L86" si="29">+IFERROR(E65/D65-1," ")</f>
        <v>142.17671620280356</v>
      </c>
      <c r="F83" s="32">
        <f t="shared" si="29"/>
        <v>-0.83358136039125874</v>
      </c>
      <c r="G83" s="32">
        <f t="shared" si="29"/>
        <v>4.4689290648947111E-2</v>
      </c>
      <c r="H83" s="32">
        <f t="shared" si="29"/>
        <v>-0.28030073862044969</v>
      </c>
      <c r="I83" s="32">
        <f t="shared" si="29"/>
        <v>-0.38812549004289054</v>
      </c>
      <c r="J83" s="42">
        <f t="shared" si="29"/>
        <v>-0.18584756628594556</v>
      </c>
      <c r="K83" s="85">
        <f t="shared" si="29"/>
        <v>1.2222678690030353</v>
      </c>
      <c r="L83" s="85">
        <f t="shared" si="29"/>
        <v>-0.43959733091427877</v>
      </c>
      <c r="M83" s="296">
        <f t="shared" si="28"/>
        <v>9.3348605656743636E-3</v>
      </c>
      <c r="N83" s="296">
        <v>0</v>
      </c>
      <c r="O83" s="190"/>
      <c r="P83" s="190"/>
      <c r="Q83" s="190"/>
      <c r="R83" s="190"/>
      <c r="S83" s="190"/>
    </row>
    <row r="84" spans="1:19" outlineLevel="1">
      <c r="B84" s="57" t="s">
        <v>86</v>
      </c>
      <c r="C84" s="24" t="s">
        <v>225</v>
      </c>
      <c r="D84" s="32"/>
      <c r="E84" s="32">
        <f t="shared" si="29"/>
        <v>3.1924745340626668</v>
      </c>
      <c r="F84" s="32">
        <f t="shared" si="29"/>
        <v>-8.9525167549247664E-2</v>
      </c>
      <c r="G84" s="32">
        <f t="shared" si="29"/>
        <v>2.4508171692161946</v>
      </c>
      <c r="H84" s="32">
        <f t="shared" si="29"/>
        <v>-0.93716084907328978</v>
      </c>
      <c r="I84" s="32">
        <f t="shared" si="29"/>
        <v>0.74727850131901064</v>
      </c>
      <c r="J84" s="42">
        <f t="shared" si="29"/>
        <v>2.8408936263977651</v>
      </c>
      <c r="K84" s="85">
        <f t="shared" si="29"/>
        <v>-0.57900373178480613</v>
      </c>
      <c r="L84" s="85">
        <f t="shared" si="29"/>
        <v>0.13091673712322138</v>
      </c>
      <c r="M84" s="296">
        <f t="shared" si="28"/>
        <v>9.3348605656743636E-3</v>
      </c>
      <c r="N84" s="296">
        <v>0</v>
      </c>
      <c r="O84" s="190"/>
      <c r="P84" s="190"/>
      <c r="Q84" s="190"/>
      <c r="R84" s="190"/>
      <c r="S84" s="190"/>
    </row>
    <row r="85" spans="1:19" outlineLevel="1">
      <c r="B85" s="57" t="s">
        <v>87</v>
      </c>
      <c r="C85" s="24" t="s">
        <v>225</v>
      </c>
      <c r="D85" s="32"/>
      <c r="E85" s="32">
        <f t="shared" si="29"/>
        <v>-2.9739796614856151E-2</v>
      </c>
      <c r="F85" s="32">
        <f t="shared" si="29"/>
        <v>1.7608386839676795</v>
      </c>
      <c r="G85" s="32">
        <f t="shared" si="29"/>
        <v>-0.78035133846426097</v>
      </c>
      <c r="H85" s="32">
        <f t="shared" si="29"/>
        <v>-0.52529298323690843</v>
      </c>
      <c r="I85" s="32">
        <f t="shared" si="29"/>
        <v>-1.8038750000000103E-2</v>
      </c>
      <c r="J85" s="42">
        <f t="shared" si="29"/>
        <v>-1</v>
      </c>
      <c r="K85" s="85" t="str">
        <f t="shared" si="29"/>
        <v xml:space="preserve"> </v>
      </c>
      <c r="L85" s="85" t="str">
        <f t="shared" si="29"/>
        <v xml:space="preserve"> </v>
      </c>
      <c r="M85" s="296">
        <f t="shared" si="28"/>
        <v>9.3348605656743636E-3</v>
      </c>
      <c r="N85" s="296">
        <v>0</v>
      </c>
      <c r="O85" s="190"/>
      <c r="P85" s="190"/>
      <c r="Q85" s="190"/>
      <c r="R85" s="190"/>
      <c r="S85" s="190"/>
    </row>
    <row r="86" spans="1:19" outlineLevel="1">
      <c r="B86" s="57" t="s">
        <v>88</v>
      </c>
      <c r="C86" s="24" t="s">
        <v>227</v>
      </c>
      <c r="D86" s="32"/>
      <c r="E86" s="32" t="str">
        <f t="shared" si="29"/>
        <v xml:space="preserve"> </v>
      </c>
      <c r="F86" s="32">
        <f t="shared" si="29"/>
        <v>-0.19922725616686154</v>
      </c>
      <c r="G86" s="32">
        <f t="shared" si="29"/>
        <v>1.469910710920483</v>
      </c>
      <c r="H86" s="32">
        <f t="shared" si="29"/>
        <v>-0.86129095523262567</v>
      </c>
      <c r="I86" s="32">
        <f t="shared" si="29"/>
        <v>2.1386895878991039</v>
      </c>
      <c r="J86" s="42">
        <f t="shared" si="29"/>
        <v>-0.1455959186841993</v>
      </c>
      <c r="K86" s="85">
        <f t="shared" si="29"/>
        <v>-0.12918337617909326</v>
      </c>
      <c r="L86" s="85">
        <f t="shared" si="29"/>
        <v>-0.79753279120627441</v>
      </c>
      <c r="M86" s="296">
        <f t="shared" si="28"/>
        <v>9.3348605656743636E-3</v>
      </c>
      <c r="N86" s="296">
        <v>0</v>
      </c>
      <c r="O86" s="190"/>
      <c r="P86" s="190"/>
      <c r="Q86" s="190"/>
      <c r="R86" s="190"/>
      <c r="S86" s="190"/>
    </row>
    <row r="87" spans="1:19" outlineLevel="1">
      <c r="B87" s="623" t="s">
        <v>93</v>
      </c>
      <c r="C87" s="240" t="s">
        <v>228</v>
      </c>
      <c r="D87" s="230"/>
      <c r="E87" s="230">
        <f t="shared" ref="E87:L87" si="30">+-E69/E191</f>
        <v>0</v>
      </c>
      <c r="F87" s="230">
        <f t="shared" si="30"/>
        <v>0</v>
      </c>
      <c r="G87" s="230">
        <f t="shared" si="30"/>
        <v>0.19802917505741782</v>
      </c>
      <c r="H87" s="230">
        <f t="shared" si="30"/>
        <v>0.20993251397669696</v>
      </c>
      <c r="I87" s="230">
        <f t="shared" si="30"/>
        <v>6.5331084002353504E-2</v>
      </c>
      <c r="J87" s="256">
        <f t="shared" si="30"/>
        <v>7.2881239541710855E-3</v>
      </c>
      <c r="K87" s="239">
        <f t="shared" si="30"/>
        <v>0</v>
      </c>
      <c r="L87" s="239">
        <f t="shared" si="30"/>
        <v>9.6001688701473062E-2</v>
      </c>
      <c r="M87" s="261">
        <f t="shared" si="28"/>
        <v>9.3348605656743636E-3</v>
      </c>
      <c r="N87" s="261">
        <v>0</v>
      </c>
      <c r="O87" s="1302"/>
      <c r="P87" s="1302"/>
      <c r="Q87" s="1302"/>
      <c r="R87" s="1302"/>
      <c r="S87" s="1302"/>
    </row>
    <row r="88" spans="1:19">
      <c r="B88" s="29"/>
      <c r="C88" s="24"/>
      <c r="D88" s="16"/>
      <c r="E88" s="16"/>
    </row>
    <row r="89" spans="1:19">
      <c r="A89" s="471" t="s">
        <v>187</v>
      </c>
      <c r="B89" s="471"/>
      <c r="C89" s="471"/>
      <c r="D89" s="471">
        <v>2012</v>
      </c>
      <c r="E89" s="471">
        <v>2013</v>
      </c>
      <c r="F89" s="471">
        <v>2014</v>
      </c>
      <c r="G89" s="471">
        <v>2015</v>
      </c>
      <c r="H89" s="471">
        <v>2016</v>
      </c>
      <c r="I89" s="471">
        <v>2017</v>
      </c>
      <c r="J89" s="471">
        <v>2018</v>
      </c>
      <c r="K89" s="471">
        <v>2019</v>
      </c>
      <c r="L89" s="471">
        <v>2020</v>
      </c>
      <c r="M89" s="471">
        <v>2021</v>
      </c>
      <c r="N89" s="471">
        <v>2022</v>
      </c>
      <c r="O89" s="470">
        <v>2023</v>
      </c>
      <c r="P89" s="470">
        <v>2024</v>
      </c>
      <c r="Q89" s="470">
        <v>2025</v>
      </c>
      <c r="R89" s="470">
        <v>2026</v>
      </c>
      <c r="S89" s="470">
        <v>2027</v>
      </c>
    </row>
    <row r="90" spans="1:19" outlineLevel="1">
      <c r="B90" s="29"/>
      <c r="C90" s="24"/>
      <c r="D90" s="16"/>
      <c r="E90" s="16"/>
    </row>
    <row r="91" spans="1:19" outlineLevel="1">
      <c r="B91" s="25" t="str">
        <f>+'Annual FS'!B54</f>
        <v>Non-operating income</v>
      </c>
      <c r="C91" s="33" t="str">
        <f>+'Annual FS'!C54</f>
        <v>COP MM</v>
      </c>
      <c r="D91" s="287">
        <f>+SUM(D92:D94)</f>
        <v>103.99439726999999</v>
      </c>
      <c r="E91" s="287">
        <f>+SUM(E92:E94)</f>
        <v>1114.2720914500001</v>
      </c>
      <c r="F91" s="287">
        <f>+SUM(F92:F94)</f>
        <v>2688.6704665700004</v>
      </c>
      <c r="G91" s="287">
        <f t="shared" ref="G91:L91" si="31">+SUM(G92:G94)</f>
        <v>5824.208208179999</v>
      </c>
      <c r="H91" s="287">
        <f t="shared" si="31"/>
        <v>1448.2661791300002</v>
      </c>
      <c r="I91" s="287">
        <f t="shared" si="31"/>
        <v>323.37298089000006</v>
      </c>
      <c r="J91" s="287">
        <f t="shared" si="31"/>
        <v>638.66138325999998</v>
      </c>
      <c r="K91" s="287">
        <f t="shared" si="31"/>
        <v>659.28508959999999</v>
      </c>
      <c r="L91" s="287">
        <f t="shared" si="31"/>
        <v>1152.7969783899998</v>
      </c>
      <c r="M91" s="287">
        <f t="shared" ref="M91:R91" si="32">+SUM(M92:M94)</f>
        <v>985.53831358999992</v>
      </c>
      <c r="N91" s="287">
        <f t="shared" si="32"/>
        <v>1473.2376317399996</v>
      </c>
      <c r="O91" s="287">
        <f t="shared" si="32"/>
        <v>618.6124315840359</v>
      </c>
      <c r="P91" s="287">
        <f t="shared" ca="1" si="32"/>
        <v>534.66202051947744</v>
      </c>
      <c r="Q91" s="287">
        <f t="shared" ca="1" si="32"/>
        <v>607.38860495013364</v>
      </c>
      <c r="R91" s="287">
        <f t="shared" ca="1" si="32"/>
        <v>615.89427635675565</v>
      </c>
      <c r="S91" s="287">
        <f ca="1">+SUM(S92:S94)</f>
        <v>642.13687972851733</v>
      </c>
    </row>
    <row r="92" spans="1:19" outlineLevel="1">
      <c r="B92" s="47" t="str">
        <f>+'Annual FS'!B55</f>
        <v>Financial income</v>
      </c>
      <c r="C92" s="395" t="str">
        <f>+'Annual FS'!C55</f>
        <v>COP MM</v>
      </c>
      <c r="D92" s="638">
        <f>+'Annual FS'!D55</f>
        <v>38.199756489999999</v>
      </c>
      <c r="E92" s="638">
        <f>+'Annual FS'!E55</f>
        <v>100.56118865999998</v>
      </c>
      <c r="F92" s="638">
        <f>+'Annual FS'!F55</f>
        <v>247.69655793999993</v>
      </c>
      <c r="G92" s="68">
        <f>+'Annual FS'!G55</f>
        <v>619.45825583999999</v>
      </c>
      <c r="H92" s="68">
        <f>+'Annual FS'!H55</f>
        <v>1034.3022135000001</v>
      </c>
      <c r="I92" s="68">
        <f>+'Annual FS'!I55</f>
        <v>323.07312678000005</v>
      </c>
      <c r="J92" s="68">
        <f>+'Annual FS'!J55</f>
        <v>533.11261079999997</v>
      </c>
      <c r="K92" s="68">
        <f>+'Annual FS'!K55</f>
        <v>651.16572646999998</v>
      </c>
      <c r="L92" s="68">
        <f>+'Annual FS'!L55</f>
        <v>936.82303929999989</v>
      </c>
      <c r="M92" s="1420">
        <f>+'Annual FS'!M55</f>
        <v>905.87177052999994</v>
      </c>
      <c r="N92" s="1420">
        <f>+'Annual FS'!N55</f>
        <v>1429.5723508399997</v>
      </c>
      <c r="O92" s="75">
        <f>(('Annual FS'!N75+'Annual FS'!N76)*O97)+(('Annual FS'!N74+'Annual FS'!N88)*O98)</f>
        <v>618.6124315840359</v>
      </c>
      <c r="P92" s="75">
        <f ca="1">(('Annual FS'!O75+'Annual FS'!O76)*P97)+(('Annual FS'!O74+'Annual FS'!O88)*P98)</f>
        <v>534.66202051947744</v>
      </c>
      <c r="Q92" s="75">
        <f ca="1">(('Annual FS'!P75+'Annual FS'!P76)*Q97)+(('Annual FS'!P74+'Annual FS'!P88)*Q98)</f>
        <v>607.38860495013364</v>
      </c>
      <c r="R92" s="75">
        <f ca="1">(('Annual FS'!Q75+'Annual FS'!Q76)*R97)+(('Annual FS'!Q74+'Annual FS'!Q88)*R98)</f>
        <v>615.89427635675565</v>
      </c>
      <c r="S92" s="75">
        <f ca="1">(('Annual FS'!R75+'Annual FS'!R76)*S97)+(('Annual FS'!R74+'Annual FS'!R88)*S98)</f>
        <v>642.13687972851733</v>
      </c>
    </row>
    <row r="93" spans="1:19" outlineLevel="1">
      <c r="B93" s="17" t="str">
        <f>+'Annual FS'!B56</f>
        <v>Fixed investments / partcipaciones</v>
      </c>
      <c r="C93" s="18" t="str">
        <f>+'Annual FS'!C56</f>
        <v>COP MM</v>
      </c>
      <c r="D93" s="38">
        <f>+'Annual FS'!D56</f>
        <v>14.63645182</v>
      </c>
      <c r="E93" s="38">
        <f>+'Annual FS'!E56</f>
        <v>934.59195030000001</v>
      </c>
      <c r="F93" s="38">
        <f>+'Annual FS'!F56</f>
        <v>181.98214300000001</v>
      </c>
      <c r="G93" s="38">
        <f>+'Annual FS'!G56</f>
        <v>5.5897990000000126</v>
      </c>
      <c r="H93" s="38">
        <f>+'Annual FS'!H56</f>
        <v>0</v>
      </c>
      <c r="I93" s="38">
        <f>+'Annual FS'!I56</f>
        <v>0</v>
      </c>
      <c r="J93" s="38">
        <f>+'Annual FS'!J56</f>
        <v>0</v>
      </c>
      <c r="K93" s="38">
        <f>+'Annual FS'!K56</f>
        <v>0</v>
      </c>
      <c r="L93" s="38">
        <f>+'Annual FS'!L56</f>
        <v>0</v>
      </c>
      <c r="M93" s="168">
        <f>+'Annual FS'!M56</f>
        <v>0</v>
      </c>
      <c r="N93" s="168">
        <f>+'Annual FS'!N56</f>
        <v>0</v>
      </c>
      <c r="O93" s="55">
        <f>+'Annual FS'!N99*O99</f>
        <v>0</v>
      </c>
      <c r="P93" s="55">
        <f>+'Annual FS'!N99*P99</f>
        <v>0</v>
      </c>
      <c r="Q93" s="55">
        <f>+'Annual FS'!O99*Q99</f>
        <v>0</v>
      </c>
      <c r="R93" s="55">
        <f>+'Annual FS'!P99*R99</f>
        <v>0</v>
      </c>
      <c r="S93" s="55">
        <f>+'Annual FS'!Q99*S99</f>
        <v>0</v>
      </c>
    </row>
    <row r="94" spans="1:19" outlineLevel="1">
      <c r="B94" s="186" t="str">
        <f>+'Annual FS'!B57</f>
        <v>Other Non-operating income</v>
      </c>
      <c r="C94" s="191" t="str">
        <f>+'Annual FS'!C57</f>
        <v>COP MM</v>
      </c>
      <c r="D94" s="332">
        <f>+'Annual FS'!D57</f>
        <v>51.158188959999997</v>
      </c>
      <c r="E94" s="332">
        <f>+'Annual FS'!E57</f>
        <v>79.118952489999998</v>
      </c>
      <c r="F94" s="332">
        <f>+'Annual FS'!F57</f>
        <v>2258.9917656300004</v>
      </c>
      <c r="G94" s="332">
        <f>+'Annual FS'!G57</f>
        <v>5199.1601533399989</v>
      </c>
      <c r="H94" s="332">
        <f>+'Annual FS'!H57</f>
        <v>413.96396562999996</v>
      </c>
      <c r="I94" s="332">
        <f>+'Annual FS'!I57</f>
        <v>0.29985410999999995</v>
      </c>
      <c r="J94" s="332">
        <f>+'Annual FS'!J57</f>
        <v>105.54877246</v>
      </c>
      <c r="K94" s="265">
        <f>+'Annual FS'!K57</f>
        <v>8.11936313</v>
      </c>
      <c r="L94" s="265">
        <f>+'Annual FS'!L57</f>
        <v>215.97393908999999</v>
      </c>
      <c r="M94" s="298">
        <f>+'Annual FS'!M57</f>
        <v>79.666543060000009</v>
      </c>
      <c r="N94" s="298">
        <f>+'Annual FS'!N57</f>
        <v>43.665280900000006</v>
      </c>
      <c r="O94" s="369">
        <v>0</v>
      </c>
      <c r="P94" s="369">
        <v>0</v>
      </c>
      <c r="Q94" s="369">
        <v>0</v>
      </c>
      <c r="R94" s="369">
        <v>0</v>
      </c>
      <c r="S94" s="369">
        <v>0</v>
      </c>
    </row>
    <row r="95" spans="1:19" outlineLevel="1">
      <c r="B95" s="17"/>
      <c r="C95" s="18"/>
      <c r="D95" s="29"/>
      <c r="E95" s="29"/>
    </row>
    <row r="96" spans="1:19" outlineLevel="1">
      <c r="B96" s="25" t="s">
        <v>96</v>
      </c>
      <c r="C96" s="33"/>
      <c r="D96" s="29"/>
      <c r="E96" s="29"/>
    </row>
    <row r="97" spans="1:21" outlineLevel="1">
      <c r="B97" s="47" t="s">
        <v>97</v>
      </c>
      <c r="C97" s="51" t="s">
        <v>229</v>
      </c>
      <c r="D97" s="642"/>
      <c r="E97" s="642">
        <f>TGTbase2021!HD79/('Annual FS'!D75+'Annual FS'!D76)</f>
        <v>0</v>
      </c>
      <c r="F97" s="642">
        <f>TGTbase2021!HE79/('Annual FS'!E75+'Annual FS'!E76)</f>
        <v>0</v>
      </c>
      <c r="G97" s="642">
        <f>TGTbase2021!HF79/('Annual FS'!F75+'Annual FS'!F76)</f>
        <v>0</v>
      </c>
      <c r="H97" s="642">
        <f>TGTbase2021!HG79/('Annual FS'!G75+'Annual FS'!G76)</f>
        <v>0</v>
      </c>
      <c r="I97" s="642">
        <f>TGTbase2021!HH79/('Annual FS'!H75+'Annual FS'!H76)</f>
        <v>0</v>
      </c>
      <c r="J97" s="642">
        <f>TGTbase2021!HI79/('Annual FS'!I75+'Annual FS'!I76)</f>
        <v>9.0573388407936412E-3</v>
      </c>
      <c r="K97" s="642">
        <f>TGTbase2021!HJ79/('Annual FS'!J75+'Annual FS'!J76)</f>
        <v>3.0602576794520931E-2</v>
      </c>
      <c r="L97" s="642">
        <f>TGTbase2021!HK79/('Annual FS'!K75+'Annual FS'!K76)</f>
        <v>1.7071853054220713E-2</v>
      </c>
      <c r="M97" s="642">
        <f>TGTbase2021!HL79/('Annual FS'!L75+'Annual FS'!L76)</f>
        <v>1.0169595314763557E-2</v>
      </c>
      <c r="N97" s="1436">
        <f>TGTbase2021!HM79/('Annual FS'!M75+'Annual FS'!M76)</f>
        <v>7.6074488941983648E-3</v>
      </c>
      <c r="O97" s="288">
        <f>AVERAGE(L97:N97)</f>
        <v>1.1616299087727544E-2</v>
      </c>
      <c r="P97" s="288">
        <f>O97</f>
        <v>1.1616299087727544E-2</v>
      </c>
      <c r="Q97" s="288">
        <f>P97</f>
        <v>1.1616299087727544E-2</v>
      </c>
      <c r="R97" s="288">
        <f t="shared" ref="R97:S98" si="33">Q97</f>
        <v>1.1616299087727544E-2</v>
      </c>
      <c r="S97" s="288">
        <f t="shared" si="33"/>
        <v>1.1616299087727544E-2</v>
      </c>
    </row>
    <row r="98" spans="1:21" outlineLevel="1">
      <c r="B98" s="17" t="s">
        <v>230</v>
      </c>
      <c r="C98" s="18" t="s">
        <v>231</v>
      </c>
      <c r="D98" s="1259"/>
      <c r="E98" s="1259">
        <f>(TGTbase2021!HE80/('Annual FS'!D74+'Annual FS'!D88))</f>
        <v>0</v>
      </c>
      <c r="F98" s="1259">
        <f>(TGTbase2021!HF80/('Annual FS'!E74+'Annual FS'!E88))</f>
        <v>0</v>
      </c>
      <c r="G98" s="1259">
        <f>(TGTbase2021!HG80/('Annual FS'!F74+'Annual FS'!F88))</f>
        <v>0</v>
      </c>
      <c r="H98" s="1259">
        <f>(TGTbase2021!HH80/('Annual FS'!G74+'Annual FS'!G88))</f>
        <v>0</v>
      </c>
      <c r="I98" s="1259">
        <f>(TGTbase2021!HI80/('Annual FS'!H74+'Annual FS'!H88))</f>
        <v>1.4945066317742554E-2</v>
      </c>
      <c r="J98" s="1259">
        <f>(TGTbase2021!HJ80/('Annual FS'!I74+'Annual FS'!I88))</f>
        <v>2.4079554357585624E-2</v>
      </c>
      <c r="K98" s="1259">
        <f>(TGTbase2021!HK80/('Annual FS'!J74+'Annual FS'!J88))</f>
        <v>2.8214297575117907E-2</v>
      </c>
      <c r="L98" s="1259">
        <f>(TGTbase2021!HL80/('Annual FS'!K74+'Annual FS'!K88))</f>
        <v>3.7386903301378394E-2</v>
      </c>
      <c r="M98" s="1259">
        <f>(TGTbase2021!HM80/('Annual FS'!L74+'Annual FS'!L88))</f>
        <v>4.0713692486249932E-2</v>
      </c>
      <c r="N98" s="1260">
        <f>(TGTbase2021!HN80/('Annual FS'!M74+'Annual FS'!M88))</f>
        <v>6.3564369383374453E-2</v>
      </c>
      <c r="O98" s="1261">
        <v>0.02</v>
      </c>
      <c r="P98" s="1259">
        <f>O98</f>
        <v>0.02</v>
      </c>
      <c r="Q98" s="1259">
        <f t="shared" ref="Q98" si="34">P98</f>
        <v>0.02</v>
      </c>
      <c r="R98" s="1259">
        <f t="shared" si="33"/>
        <v>0.02</v>
      </c>
      <c r="S98" s="1259">
        <f t="shared" si="33"/>
        <v>0.02</v>
      </c>
    </row>
    <row r="99" spans="1:21" outlineLevel="1">
      <c r="B99" s="186" t="s">
        <v>98</v>
      </c>
      <c r="C99" s="191" t="s">
        <v>59</v>
      </c>
      <c r="D99" s="300"/>
      <c r="E99" s="300">
        <f>+E93/AVERAGE('Annual FS'!D99:E99)</f>
        <v>2.3035751767535682</v>
      </c>
      <c r="F99" s="300">
        <f>+F93/AVERAGE('Annual FS'!E99:F99)</f>
        <v>0.23079238727871521</v>
      </c>
      <c r="G99" s="300">
        <f>+G93/AVERAGE('Annual FS'!F99:G99)</f>
        <v>8.7207681756604812E-3</v>
      </c>
      <c r="H99" s="370">
        <v>0</v>
      </c>
      <c r="I99" s="370">
        <v>0</v>
      </c>
      <c r="J99" s="370">
        <v>0</v>
      </c>
      <c r="K99" s="370">
        <v>0</v>
      </c>
      <c r="L99" s="370">
        <v>0</v>
      </c>
      <c r="M99" s="1215">
        <v>0</v>
      </c>
      <c r="N99" s="1215">
        <v>0</v>
      </c>
      <c r="O99" s="300">
        <f t="shared" ref="O99:S99" si="35">+N99</f>
        <v>0</v>
      </c>
      <c r="P99" s="300">
        <f t="shared" si="35"/>
        <v>0</v>
      </c>
      <c r="Q99" s="300">
        <f t="shared" si="35"/>
        <v>0</v>
      </c>
      <c r="R99" s="300">
        <f t="shared" si="35"/>
        <v>0</v>
      </c>
      <c r="S99" s="300">
        <f t="shared" si="35"/>
        <v>0</v>
      </c>
    </row>
    <row r="100" spans="1:21" outlineLevel="1">
      <c r="B100" s="17"/>
      <c r="C100" s="18"/>
      <c r="D100" s="29"/>
      <c r="E100" s="29"/>
      <c r="T100" s="28"/>
    </row>
    <row r="101" spans="1:21" outlineLevel="1">
      <c r="B101" s="185" t="str">
        <f>+'Annual FS'!B58</f>
        <v>Non-operating expenses</v>
      </c>
      <c r="C101" s="192" t="str">
        <f>+'Annual FS'!C58</f>
        <v>COP MM</v>
      </c>
      <c r="D101" s="222"/>
      <c r="E101" s="222"/>
    </row>
    <row r="102" spans="1:21" outlineLevel="1">
      <c r="B102" s="17" t="str">
        <f>+'Annual FS'!B60</f>
        <v>Other Non-operating expenses</v>
      </c>
      <c r="C102" s="18" t="str">
        <f>+'Annual FS'!C60</f>
        <v>COP MM</v>
      </c>
      <c r="D102" s="38">
        <f>+'Annual FS'!D60</f>
        <v>-254.65441959999998</v>
      </c>
      <c r="E102" s="38">
        <f>+'Annual FS'!E60</f>
        <v>-377.49684513</v>
      </c>
      <c r="F102" s="638">
        <f>+'Annual FS'!F60</f>
        <v>-1625.6250982399997</v>
      </c>
      <c r="G102" s="68">
        <f>+'Annual FS'!G60</f>
        <v>-4515.744153149999</v>
      </c>
      <c r="H102" s="68">
        <f>+'Annual FS'!H60</f>
        <v>-1094.0698632099998</v>
      </c>
      <c r="I102" s="68">
        <f>+'Annual FS'!I60</f>
        <v>-241.82554112</v>
      </c>
      <c r="J102" s="68">
        <f>+'Annual FS'!J60</f>
        <v>-26.302815260000003</v>
      </c>
      <c r="K102" s="68">
        <f>+'Annual FS'!K60</f>
        <v>-209.52933793</v>
      </c>
      <c r="L102" s="68">
        <f>+'Annual FS'!L60</f>
        <v>-174.46286623000003</v>
      </c>
      <c r="M102" s="1420">
        <f>+'Annual FS'!M60</f>
        <v>-411.78528711000001</v>
      </c>
      <c r="N102" s="1420">
        <f>+'Annual FS'!N60</f>
        <v>-687.57894442999998</v>
      </c>
      <c r="O102" s="75">
        <f>O53*O103</f>
        <v>-1356.9100201759586</v>
      </c>
      <c r="P102" s="75">
        <f t="shared" ref="P102:S102" si="36">P53*P103</f>
        <v>-632.03352256938626</v>
      </c>
      <c r="Q102" s="75">
        <f t="shared" si="36"/>
        <v>-663.82182353583505</v>
      </c>
      <c r="R102" s="75">
        <f t="shared" si="36"/>
        <v>-712.06606350307879</v>
      </c>
      <c r="S102" s="75">
        <f t="shared" si="36"/>
        <v>-743.48484372090309</v>
      </c>
      <c r="T102" s="28"/>
      <c r="U102" s="28"/>
    </row>
    <row r="103" spans="1:21" outlineLevel="1">
      <c r="B103" s="186"/>
      <c r="C103" s="191" t="s">
        <v>232</v>
      </c>
      <c r="D103" s="1262">
        <f>D102/D53</f>
        <v>7.7668753687245948E-2</v>
      </c>
      <c r="E103" s="1262">
        <f t="shared" ref="E103:N103" si="37">E102/E53</f>
        <v>8.1562919302485923E-2</v>
      </c>
      <c r="F103" s="1262">
        <f t="shared" si="37"/>
        <v>0.29845717465581773</v>
      </c>
      <c r="G103" s="1262">
        <f t="shared" si="37"/>
        <v>0.69730502376572956</v>
      </c>
      <c r="H103" s="1262">
        <f t="shared" si="37"/>
        <v>0.3722520822287862</v>
      </c>
      <c r="I103" s="1262">
        <f t="shared" si="37"/>
        <v>0.11199618743680546</v>
      </c>
      <c r="J103" s="1262">
        <f t="shared" si="37"/>
        <v>9.9909361782209941E-3</v>
      </c>
      <c r="K103" s="1262">
        <f t="shared" si="37"/>
        <v>7.4452970648185915E-2</v>
      </c>
      <c r="L103" s="1262">
        <f t="shared" si="37"/>
        <v>7.0390317427762153E-2</v>
      </c>
      <c r="M103" s="1263">
        <f t="shared" si="37"/>
        <v>0.15403417617464044</v>
      </c>
      <c r="N103" s="1263">
        <f t="shared" si="37"/>
        <v>0.21825972815585301</v>
      </c>
      <c r="O103" s="1265">
        <v>0.35</v>
      </c>
      <c r="P103" s="1264">
        <f>AVERAGE(L103:N103)</f>
        <v>0.14756140725275188</v>
      </c>
      <c r="Q103" s="1264">
        <f>P103</f>
        <v>0.14756140725275188</v>
      </c>
      <c r="R103" s="1264">
        <f>Q103</f>
        <v>0.14756140725275188</v>
      </c>
      <c r="S103" s="1264">
        <f>R103</f>
        <v>0.14756140725275188</v>
      </c>
      <c r="T103" s="28"/>
      <c r="U103" s="28"/>
    </row>
    <row r="104" spans="1:21">
      <c r="B104" s="29"/>
      <c r="C104" s="24"/>
      <c r="D104" s="16"/>
      <c r="E104" s="16"/>
    </row>
    <row r="105" spans="1:21">
      <c r="A105" s="471" t="s">
        <v>233</v>
      </c>
      <c r="B105" s="471"/>
      <c r="C105" s="471"/>
      <c r="D105" s="471">
        <v>2012</v>
      </c>
      <c r="E105" s="471">
        <v>2013</v>
      </c>
      <c r="F105" s="471">
        <v>2014</v>
      </c>
      <c r="G105" s="471">
        <v>2015</v>
      </c>
      <c r="H105" s="471">
        <v>2016</v>
      </c>
      <c r="I105" s="471">
        <v>2017</v>
      </c>
      <c r="J105" s="471">
        <v>2018</v>
      </c>
      <c r="K105" s="471">
        <v>2019</v>
      </c>
      <c r="L105" s="471">
        <v>2020</v>
      </c>
      <c r="M105" s="471">
        <v>2021</v>
      </c>
      <c r="N105" s="471">
        <v>2022</v>
      </c>
      <c r="O105" s="470">
        <v>2023</v>
      </c>
      <c r="P105" s="470">
        <v>2024</v>
      </c>
      <c r="Q105" s="470">
        <v>2025</v>
      </c>
      <c r="R105" s="470">
        <v>2026</v>
      </c>
      <c r="S105" s="470">
        <v>2027</v>
      </c>
    </row>
    <row r="106" spans="1:21" outlineLevel="1">
      <c r="B106" s="25"/>
      <c r="C106" s="33"/>
      <c r="D106" s="16"/>
      <c r="E106" s="23"/>
      <c r="F106" s="77"/>
      <c r="G106" s="77"/>
      <c r="H106" s="77"/>
      <c r="I106" s="77"/>
      <c r="J106" s="77"/>
      <c r="K106" s="77"/>
      <c r="L106" s="77"/>
    </row>
    <row r="107" spans="1:21" outlineLevel="1">
      <c r="B107" s="268" t="s">
        <v>234</v>
      </c>
      <c r="C107" s="269"/>
      <c r="D107" s="16"/>
      <c r="E107" s="23"/>
      <c r="F107" s="77"/>
      <c r="G107" s="77"/>
      <c r="H107" s="77"/>
      <c r="I107" s="77"/>
      <c r="J107" s="77"/>
      <c r="K107" s="77"/>
      <c r="L107" s="77"/>
    </row>
    <row r="108" spans="1:21" outlineLevel="1">
      <c r="B108" s="47" t="s">
        <v>235</v>
      </c>
      <c r="C108" s="51" t="s">
        <v>35</v>
      </c>
      <c r="D108" s="396"/>
      <c r="E108" s="643"/>
      <c r="F108" s="644"/>
      <c r="G108" s="273"/>
      <c r="H108" s="273"/>
      <c r="I108" s="273"/>
      <c r="J108" s="1437"/>
      <c r="K108" s="1303"/>
      <c r="L108" s="1303"/>
      <c r="M108" s="1303"/>
      <c r="N108" s="1303"/>
      <c r="O108" s="1303">
        <v>0.05</v>
      </c>
      <c r="P108" s="1303">
        <v>0.05</v>
      </c>
      <c r="Q108" s="1303">
        <v>0.05</v>
      </c>
      <c r="R108" s="1303">
        <v>0.05</v>
      </c>
      <c r="S108" s="1303">
        <v>0.05</v>
      </c>
    </row>
    <row r="109" spans="1:21" outlineLevel="1">
      <c r="B109" s="17" t="s">
        <v>236</v>
      </c>
      <c r="C109" s="18" t="s">
        <v>35</v>
      </c>
      <c r="D109" s="39"/>
      <c r="E109" s="142"/>
      <c r="F109" s="274"/>
      <c r="G109" s="274"/>
      <c r="H109" s="274"/>
      <c r="I109" s="274"/>
      <c r="J109" s="321"/>
      <c r="K109" s="98"/>
      <c r="L109" s="98"/>
      <c r="M109" s="98"/>
      <c r="N109" s="98"/>
      <c r="O109" s="98">
        <f>+O108+O$14</f>
        <v>0.14950000000000002</v>
      </c>
      <c r="P109" s="98">
        <f t="shared" ref="P109:R109" si="38">+P108+P$14</f>
        <v>0.1147</v>
      </c>
      <c r="Q109" s="98">
        <f t="shared" si="38"/>
        <v>0.10970000000000001</v>
      </c>
      <c r="R109" s="98">
        <f t="shared" si="38"/>
        <v>0.1096</v>
      </c>
      <c r="S109" s="98">
        <f>+S108+S$14</f>
        <v>0.1096</v>
      </c>
    </row>
    <row r="110" spans="1:21" outlineLevel="1">
      <c r="B110" s="25" t="s">
        <v>185</v>
      </c>
      <c r="C110" s="33" t="s">
        <v>59</v>
      </c>
      <c r="D110" s="142"/>
      <c r="E110" s="142"/>
      <c r="F110" s="275"/>
      <c r="G110" s="275"/>
      <c r="H110" s="275"/>
      <c r="I110" s="275"/>
      <c r="J110" s="320"/>
      <c r="K110" s="97"/>
      <c r="L110" s="97"/>
      <c r="M110" s="97"/>
      <c r="N110" s="97"/>
      <c r="O110" s="97">
        <f>+AVERAGE(O111,O115)*O109</f>
        <v>225.64705614541998</v>
      </c>
      <c r="P110" s="97">
        <f t="shared" ref="P110:S110" si="39">+AVERAGE(P111,P115)*P109</f>
        <v>123.65846794017999</v>
      </c>
      <c r="Q110" s="97">
        <f t="shared" si="39"/>
        <v>70.960770355907997</v>
      </c>
      <c r="R110" s="97">
        <f t="shared" si="39"/>
        <v>23.632028049247999</v>
      </c>
      <c r="S110" s="97">
        <f t="shared" si="39"/>
        <v>0</v>
      </c>
    </row>
    <row r="111" spans="1:21" outlineLevel="1">
      <c r="B111" s="17" t="s">
        <v>237</v>
      </c>
      <c r="C111" s="18" t="s">
        <v>59</v>
      </c>
      <c r="D111" s="39"/>
      <c r="E111" s="142"/>
      <c r="F111" s="276"/>
      <c r="G111" s="276"/>
      <c r="H111" s="276"/>
      <c r="I111" s="276"/>
      <c r="J111" s="319"/>
      <c r="K111" s="77"/>
      <c r="L111" s="77"/>
      <c r="M111" s="77"/>
      <c r="N111" s="77"/>
      <c r="O111" s="77">
        <f t="shared" ref="O111:S111" si="40">+N115</f>
        <v>1724.9655510399998</v>
      </c>
      <c r="P111" s="77">
        <f t="shared" si="40"/>
        <v>1293.7241632799999</v>
      </c>
      <c r="Q111" s="77">
        <f t="shared" si="40"/>
        <v>862.4827755199999</v>
      </c>
      <c r="R111" s="77">
        <f t="shared" si="40"/>
        <v>431.24138775999995</v>
      </c>
      <c r="S111" s="77">
        <f t="shared" si="40"/>
        <v>0</v>
      </c>
    </row>
    <row r="112" spans="1:21" outlineLevel="1">
      <c r="B112" s="17" t="s">
        <v>238</v>
      </c>
      <c r="C112" s="18" t="s">
        <v>59</v>
      </c>
      <c r="D112" s="39"/>
      <c r="E112" s="142"/>
      <c r="F112" s="276"/>
      <c r="G112" s="277"/>
      <c r="H112" s="277"/>
      <c r="I112" s="277"/>
      <c r="J112" s="322"/>
      <c r="K112" s="335"/>
      <c r="L112" s="335"/>
      <c r="M112" s="335"/>
      <c r="N112" s="335"/>
      <c r="O112" s="335">
        <v>0.25</v>
      </c>
      <c r="P112" s="335">
        <v>0.25</v>
      </c>
      <c r="Q112" s="335">
        <v>0.25</v>
      </c>
      <c r="R112" s="335">
        <v>0.25</v>
      </c>
      <c r="S112" s="335">
        <v>0</v>
      </c>
    </row>
    <row r="113" spans="2:19" outlineLevel="1">
      <c r="B113" s="17" t="s">
        <v>50</v>
      </c>
      <c r="C113" s="18" t="s">
        <v>59</v>
      </c>
      <c r="D113" s="39"/>
      <c r="E113" s="142"/>
      <c r="F113" s="276"/>
      <c r="G113" s="276"/>
      <c r="H113" s="276"/>
      <c r="I113" s="276"/>
      <c r="J113" s="319"/>
      <c r="K113" s="77"/>
      <c r="L113" s="77"/>
      <c r="M113" s="1141"/>
      <c r="N113" s="1141"/>
      <c r="O113" s="1141">
        <f>IF(N115&gt;0,-$N$115*O112,0)</f>
        <v>-431.24138775999995</v>
      </c>
      <c r="P113" s="1141">
        <f>IF(O115&gt;0,-$N$115*P112,0)</f>
        <v>-431.24138775999995</v>
      </c>
      <c r="Q113" s="1141">
        <f>IF(P115&gt;0,-$N$115*Q112,0)</f>
        <v>-431.24138775999995</v>
      </c>
      <c r="R113" s="1141">
        <f>IF(Q115&gt;0,-$N$115*R112,0)</f>
        <v>-431.24138775999995</v>
      </c>
      <c r="S113" s="1141">
        <f>-MIN(R115,SUMIF('Creditos bancarios'!$C$4:$C$56,"="&amp;Drivers!S$105,'Creditos bancarios'!$G$4:$G$56)/1000000)</f>
        <v>0</v>
      </c>
    </row>
    <row r="114" spans="2:19" outlineLevel="1">
      <c r="B114" s="17" t="s">
        <v>239</v>
      </c>
      <c r="C114" s="18" t="s">
        <v>59</v>
      </c>
      <c r="D114" s="39"/>
      <c r="E114" s="142"/>
      <c r="F114" s="277"/>
      <c r="G114" s="277"/>
      <c r="H114" s="277"/>
      <c r="I114" s="277"/>
      <c r="J114" s="322"/>
      <c r="K114" s="96"/>
      <c r="L114" s="96"/>
      <c r="M114" s="96"/>
      <c r="N114" s="96"/>
      <c r="O114" s="96">
        <v>0</v>
      </c>
      <c r="P114" s="96">
        <v>0</v>
      </c>
      <c r="Q114" s="96">
        <v>0</v>
      </c>
      <c r="R114" s="96">
        <v>0</v>
      </c>
      <c r="S114" s="96">
        <v>0</v>
      </c>
    </row>
    <row r="115" spans="2:19" outlineLevel="1">
      <c r="B115" s="185" t="s">
        <v>240</v>
      </c>
      <c r="C115" s="192" t="s">
        <v>59</v>
      </c>
      <c r="D115" s="271"/>
      <c r="E115" s="272"/>
      <c r="F115" s="380"/>
      <c r="G115" s="380"/>
      <c r="H115" s="381"/>
      <c r="I115" s="381"/>
      <c r="J115" s="337"/>
      <c r="K115" s="326"/>
      <c r="L115" s="1304"/>
      <c r="M115" s="1304"/>
      <c r="N115" s="1304">
        <f>'Annual FS'!N119-Drivers!N126</f>
        <v>1724.9655510399998</v>
      </c>
      <c r="O115" s="326">
        <f t="shared" ref="O115:R115" si="41">+O111+O113+O114</f>
        <v>1293.7241632799999</v>
      </c>
      <c r="P115" s="326">
        <f t="shared" si="41"/>
        <v>862.4827755199999</v>
      </c>
      <c r="Q115" s="326">
        <f t="shared" si="41"/>
        <v>431.24138775999995</v>
      </c>
      <c r="R115" s="326">
        <f t="shared" si="41"/>
        <v>0</v>
      </c>
      <c r="S115" s="326">
        <f>+S111+S113+S114</f>
        <v>0</v>
      </c>
    </row>
    <row r="116" spans="2:19" outlineLevel="1">
      <c r="B116" s="25"/>
      <c r="C116" s="33"/>
      <c r="D116" s="16"/>
      <c r="E116" s="94"/>
      <c r="F116" s="97"/>
      <c r="G116" s="97"/>
      <c r="H116" s="97"/>
      <c r="I116" s="97"/>
      <c r="J116" s="97"/>
      <c r="K116" s="97"/>
      <c r="L116" s="97"/>
    </row>
    <row r="117" spans="2:19" outlineLevel="1">
      <c r="B117" s="268" t="s">
        <v>241</v>
      </c>
      <c r="C117" s="269"/>
      <c r="D117" s="170" t="s">
        <v>242</v>
      </c>
      <c r="E117" s="23"/>
      <c r="F117" s="77"/>
      <c r="G117" s="77"/>
      <c r="H117" s="77"/>
      <c r="I117" s="77"/>
      <c r="J117" s="77"/>
      <c r="K117" s="77"/>
      <c r="L117" s="77"/>
    </row>
    <row r="118" spans="2:19" outlineLevel="1">
      <c r="B118" s="47" t="s">
        <v>243</v>
      </c>
      <c r="C118" s="51" t="s">
        <v>35</v>
      </c>
      <c r="D118" s="396"/>
      <c r="E118" s="643"/>
      <c r="F118" s="644"/>
      <c r="G118" s="273"/>
      <c r="H118" s="273"/>
      <c r="I118" s="273"/>
      <c r="J118" s="1438"/>
      <c r="K118" s="1303"/>
      <c r="L118" s="1303"/>
      <c r="M118" s="1303"/>
      <c r="N118" s="1303">
        <v>5.5E-2</v>
      </c>
      <c r="O118" s="1303">
        <v>5.5E-2</v>
      </c>
      <c r="P118" s="1303">
        <v>5.5E-2</v>
      </c>
      <c r="Q118" s="1303">
        <v>5.5E-2</v>
      </c>
      <c r="R118" s="1303">
        <v>5.5E-2</v>
      </c>
      <c r="S118" s="1303">
        <v>5.5E-2</v>
      </c>
    </row>
    <row r="119" spans="2:19" outlineLevel="1">
      <c r="B119" s="17" t="s">
        <v>244</v>
      </c>
      <c r="C119" s="18" t="s">
        <v>35</v>
      </c>
      <c r="D119" s="39"/>
      <c r="E119" s="142"/>
      <c r="F119" s="274"/>
      <c r="G119" s="386"/>
      <c r="H119" s="274"/>
      <c r="I119" s="274"/>
      <c r="J119" s="387"/>
      <c r="K119" s="98"/>
      <c r="L119" s="98"/>
      <c r="M119" s="98"/>
      <c r="N119" s="98">
        <f t="shared" ref="N119:S119" si="42">+N118+N13</f>
        <v>0.13310192307692306</v>
      </c>
      <c r="O119" s="98">
        <f t="shared" si="42"/>
        <v>0.16786578879053043</v>
      </c>
      <c r="P119" s="98">
        <f t="shared" si="42"/>
        <v>0.13764782088117161</v>
      </c>
      <c r="Q119" s="98">
        <f t="shared" si="42"/>
        <v>0.11664935260174253</v>
      </c>
      <c r="R119" s="98">
        <f t="shared" si="42"/>
        <v>0.1148893610460851</v>
      </c>
      <c r="S119" s="98">
        <f t="shared" si="42"/>
        <v>0.1148893610460851</v>
      </c>
    </row>
    <row r="120" spans="2:19" outlineLevel="1">
      <c r="B120" s="17" t="s">
        <v>236</v>
      </c>
      <c r="C120" s="18" t="s">
        <v>35</v>
      </c>
      <c r="D120" s="39"/>
      <c r="E120" s="142"/>
      <c r="F120" s="278"/>
      <c r="G120" s="274"/>
      <c r="H120" s="274"/>
      <c r="I120" s="274"/>
      <c r="J120" s="387"/>
      <c r="K120" s="98"/>
      <c r="L120" s="98"/>
      <c r="M120" s="98"/>
      <c r="N120" s="98">
        <f t="shared" ref="N120:R120" si="43">(4/(4-N119))^4-1</f>
        <v>0.14495670486401191</v>
      </c>
      <c r="O120" s="98">
        <f t="shared" si="43"/>
        <v>0.18707216664523707</v>
      </c>
      <c r="P120" s="98">
        <f t="shared" si="43"/>
        <v>0.15035657740931785</v>
      </c>
      <c r="Q120" s="98">
        <f t="shared" si="43"/>
        <v>0.12567633863842653</v>
      </c>
      <c r="R120" s="98">
        <f t="shared" si="43"/>
        <v>0.12363795651687326</v>
      </c>
      <c r="S120" s="98">
        <f>(4/(4-S119))^4-1</f>
        <v>0.12363795651687326</v>
      </c>
    </row>
    <row r="121" spans="2:19" outlineLevel="1">
      <c r="B121" s="25" t="s">
        <v>185</v>
      </c>
      <c r="C121" s="33" t="s">
        <v>59</v>
      </c>
      <c r="D121" s="142"/>
      <c r="E121" s="142"/>
      <c r="F121" s="275"/>
      <c r="G121" s="275"/>
      <c r="H121" s="275"/>
      <c r="I121" s="275"/>
      <c r="J121" s="388"/>
      <c r="K121" s="97"/>
      <c r="L121" s="97"/>
      <c r="M121" s="97"/>
      <c r="N121" s="97">
        <f t="shared" ref="N121:S121" si="44">+AVERAGE(N122,N126)*N120</f>
        <v>485.60496129443987</v>
      </c>
      <c r="O121" s="97">
        <f t="shared" si="44"/>
        <v>626.69175826154424</v>
      </c>
      <c r="P121" s="97">
        <f t="shared" si="44"/>
        <v>503.6945343212148</v>
      </c>
      <c r="Q121" s="97">
        <f t="shared" si="44"/>
        <v>210.50786721936444</v>
      </c>
      <c r="R121" s="97">
        <f t="shared" si="44"/>
        <v>0</v>
      </c>
      <c r="S121" s="97">
        <f t="shared" si="44"/>
        <v>0</v>
      </c>
    </row>
    <row r="122" spans="2:19" outlineLevel="1">
      <c r="B122" s="17" t="s">
        <v>237</v>
      </c>
      <c r="C122" s="18" t="s">
        <v>59</v>
      </c>
      <c r="D122" s="39"/>
      <c r="E122" s="142"/>
      <c r="F122" s="276"/>
      <c r="G122" s="276"/>
      <c r="H122" s="276"/>
      <c r="I122" s="276"/>
      <c r="J122" s="389"/>
      <c r="K122" s="77"/>
      <c r="L122" s="77"/>
      <c r="M122" s="77"/>
      <c r="N122" s="77">
        <f t="shared" ref="N122:S122" si="45">+M126</f>
        <v>3350</v>
      </c>
      <c r="O122" s="77">
        <f t="shared" si="45"/>
        <v>3350</v>
      </c>
      <c r="P122" s="77">
        <f t="shared" si="45"/>
        <v>3350</v>
      </c>
      <c r="Q122" s="77">
        <f t="shared" si="45"/>
        <v>3350</v>
      </c>
      <c r="R122" s="77">
        <f t="shared" si="45"/>
        <v>0</v>
      </c>
      <c r="S122" s="77">
        <f t="shared" si="45"/>
        <v>0</v>
      </c>
    </row>
    <row r="123" spans="2:19" outlineLevel="1">
      <c r="B123" s="17" t="s">
        <v>238</v>
      </c>
      <c r="C123" s="18" t="s">
        <v>59</v>
      </c>
      <c r="D123" s="39"/>
      <c r="E123" s="1305" t="s">
        <v>245</v>
      </c>
      <c r="F123" s="1306"/>
      <c r="G123" s="276"/>
      <c r="H123" s="276"/>
      <c r="I123" s="661"/>
      <c r="J123" s="390"/>
      <c r="K123" s="351"/>
      <c r="L123" s="351"/>
      <c r="M123" s="351"/>
      <c r="N123" s="351">
        <v>0</v>
      </c>
      <c r="O123" s="351">
        <v>0</v>
      </c>
      <c r="P123" s="351">
        <v>0</v>
      </c>
      <c r="Q123" s="351">
        <v>1</v>
      </c>
      <c r="R123" s="351">
        <v>0</v>
      </c>
      <c r="S123" s="351">
        <v>0</v>
      </c>
    </row>
    <row r="124" spans="2:19" outlineLevel="1">
      <c r="B124" s="17" t="s">
        <v>50</v>
      </c>
      <c r="C124" s="18" t="s">
        <v>59</v>
      </c>
      <c r="D124" s="39"/>
      <c r="E124" s="142"/>
      <c r="F124" s="270"/>
      <c r="G124" s="270"/>
      <c r="H124" s="270"/>
      <c r="I124" s="270"/>
      <c r="J124" s="391"/>
      <c r="K124" s="78"/>
      <c r="L124" s="628"/>
      <c r="M124" s="78"/>
      <c r="N124" s="78">
        <f t="shared" ref="N124:S124" si="46">-M126*N$123</f>
        <v>0</v>
      </c>
      <c r="O124" s="78">
        <f t="shared" si="46"/>
        <v>0</v>
      </c>
      <c r="P124" s="78">
        <f t="shared" si="46"/>
        <v>0</v>
      </c>
      <c r="Q124" s="78">
        <f t="shared" si="46"/>
        <v>-3350</v>
      </c>
      <c r="R124" s="78">
        <f t="shared" si="46"/>
        <v>0</v>
      </c>
      <c r="S124" s="78">
        <f t="shared" si="46"/>
        <v>0</v>
      </c>
    </row>
    <row r="125" spans="2:19" outlineLevel="1">
      <c r="B125" s="17" t="s">
        <v>239</v>
      </c>
      <c r="C125" s="18" t="s">
        <v>59</v>
      </c>
      <c r="D125" s="39"/>
      <c r="E125" s="142"/>
      <c r="F125" s="277"/>
      <c r="G125" s="277"/>
      <c r="H125" s="277"/>
      <c r="I125" s="277"/>
      <c r="J125" s="392"/>
      <c r="K125" s="96"/>
      <c r="L125" s="96"/>
      <c r="M125" s="96"/>
      <c r="N125" s="96">
        <v>0</v>
      </c>
      <c r="O125" s="96">
        <v>0</v>
      </c>
      <c r="P125" s="96">
        <v>0</v>
      </c>
      <c r="Q125" s="96">
        <v>0</v>
      </c>
      <c r="R125" s="96">
        <v>0</v>
      </c>
      <c r="S125" s="96">
        <v>0</v>
      </c>
    </row>
    <row r="126" spans="2:19" outlineLevel="1">
      <c r="B126" s="185" t="s">
        <v>240</v>
      </c>
      <c r="C126" s="192" t="s">
        <v>59</v>
      </c>
      <c r="D126" s="271"/>
      <c r="E126" s="272"/>
      <c r="F126" s="272"/>
      <c r="G126" s="380"/>
      <c r="H126" s="381"/>
      <c r="I126" s="381"/>
      <c r="J126" s="385"/>
      <c r="K126" s="326"/>
      <c r="L126" s="1304">
        <v>0</v>
      </c>
      <c r="M126" s="1304">
        <f>Leasing!C3/1000000</f>
        <v>3350</v>
      </c>
      <c r="N126" s="1304">
        <f t="shared" ref="N126:R126" si="47">+N122+N124+N125</f>
        <v>3350</v>
      </c>
      <c r="O126" s="326">
        <f t="shared" si="47"/>
        <v>3350</v>
      </c>
      <c r="P126" s="326">
        <f t="shared" si="47"/>
        <v>3350</v>
      </c>
      <c r="Q126" s="326">
        <f t="shared" si="47"/>
        <v>0</v>
      </c>
      <c r="R126" s="326">
        <f t="shared" si="47"/>
        <v>0</v>
      </c>
      <c r="S126" s="326">
        <f>+S122+S124+S125</f>
        <v>0</v>
      </c>
    </row>
    <row r="127" spans="2:19" outlineLevel="1">
      <c r="B127" s="25"/>
      <c r="C127" s="33"/>
      <c r="D127" s="16"/>
      <c r="E127" s="94"/>
      <c r="F127" s="94"/>
      <c r="G127" s="97"/>
      <c r="H127" s="97"/>
      <c r="I127" s="97"/>
      <c r="J127" s="97"/>
      <c r="K127" s="97"/>
      <c r="L127" s="97"/>
      <c r="M127" s="97"/>
      <c r="N127" s="97"/>
      <c r="O127" s="97"/>
      <c r="P127" s="97"/>
      <c r="Q127" s="97"/>
      <c r="R127" s="97"/>
      <c r="S127" s="97"/>
    </row>
    <row r="128" spans="2:19" outlineLevel="1">
      <c r="B128" s="268" t="s">
        <v>246</v>
      </c>
      <c r="C128" s="269"/>
      <c r="D128" s="16"/>
      <c r="E128" s="94"/>
      <c r="F128" s="94"/>
      <c r="G128" s="97"/>
      <c r="H128" s="97"/>
      <c r="I128" s="97"/>
      <c r="J128" s="97"/>
      <c r="K128" s="97"/>
      <c r="L128" s="97"/>
      <c r="M128" s="97"/>
      <c r="N128" s="97"/>
      <c r="O128" s="97"/>
      <c r="P128" s="97"/>
      <c r="Q128" s="97"/>
      <c r="R128" s="97"/>
      <c r="S128" s="97"/>
    </row>
    <row r="129" spans="2:19" outlineLevel="1">
      <c r="B129" s="185" t="s">
        <v>240</v>
      </c>
      <c r="C129" s="192" t="s">
        <v>59</v>
      </c>
      <c r="D129" s="271"/>
      <c r="E129" s="272"/>
      <c r="F129" s="195"/>
      <c r="G129" s="195"/>
      <c r="H129" s="382">
        <v>360</v>
      </c>
      <c r="I129" s="382">
        <v>360</v>
      </c>
      <c r="J129" s="383">
        <v>0</v>
      </c>
      <c r="K129" s="326">
        <f>J129</f>
        <v>0</v>
      </c>
      <c r="L129" s="326">
        <f t="shared" ref="L129:S129" si="48">K129</f>
        <v>0</v>
      </c>
      <c r="M129" s="326">
        <f t="shared" si="48"/>
        <v>0</v>
      </c>
      <c r="N129" s="326">
        <f t="shared" si="48"/>
        <v>0</v>
      </c>
      <c r="O129" s="326">
        <f t="shared" si="48"/>
        <v>0</v>
      </c>
      <c r="P129" s="326">
        <f t="shared" si="48"/>
        <v>0</v>
      </c>
      <c r="Q129" s="326">
        <f t="shared" si="48"/>
        <v>0</v>
      </c>
      <c r="R129" s="326">
        <f t="shared" si="48"/>
        <v>0</v>
      </c>
      <c r="S129" s="326">
        <f t="shared" si="48"/>
        <v>0</v>
      </c>
    </row>
    <row r="130" spans="2:19" outlineLevel="1">
      <c r="B130" s="25"/>
      <c r="C130" s="33"/>
      <c r="D130" s="16"/>
      <c r="E130" s="94"/>
      <c r="G130" s="97"/>
      <c r="H130" s="97"/>
      <c r="I130" s="97"/>
      <c r="J130" s="97"/>
      <c r="K130" s="97"/>
      <c r="L130" s="97"/>
      <c r="M130" s="97"/>
      <c r="N130" s="97"/>
      <c r="O130" s="97"/>
      <c r="P130" s="97"/>
      <c r="Q130" s="97"/>
      <c r="R130" s="97"/>
      <c r="S130" s="97"/>
    </row>
    <row r="131" spans="2:19" outlineLevel="1">
      <c r="B131" s="268" t="s">
        <v>247</v>
      </c>
      <c r="C131" s="269"/>
      <c r="D131" s="16"/>
      <c r="E131" s="94"/>
      <c r="F131" s="94"/>
      <c r="G131" s="97"/>
      <c r="H131" s="97"/>
      <c r="I131" s="97"/>
      <c r="J131" s="97"/>
      <c r="K131" s="97"/>
      <c r="L131" s="97"/>
      <c r="M131" s="97"/>
      <c r="N131" s="97"/>
      <c r="O131" s="97"/>
      <c r="P131" s="97"/>
      <c r="Q131" s="97"/>
      <c r="R131" s="97"/>
      <c r="S131" s="97"/>
    </row>
    <row r="132" spans="2:19" outlineLevel="1">
      <c r="B132" s="185" t="s">
        <v>240</v>
      </c>
      <c r="C132" s="192" t="s">
        <v>59</v>
      </c>
      <c r="D132" s="271"/>
      <c r="E132" s="272"/>
      <c r="F132" s="195"/>
      <c r="G132" s="195"/>
      <c r="H132" s="382"/>
      <c r="I132" s="381">
        <v>39.448640939999997</v>
      </c>
      <c r="J132" s="385">
        <v>50.75</v>
      </c>
      <c r="K132" s="1140">
        <v>0</v>
      </c>
      <c r="L132" s="326">
        <f>K132</f>
        <v>0</v>
      </c>
      <c r="M132" s="326">
        <f t="shared" ref="M132:S132" si="49">L132</f>
        <v>0</v>
      </c>
      <c r="N132" s="326">
        <f t="shared" si="49"/>
        <v>0</v>
      </c>
      <c r="O132" s="326">
        <f t="shared" si="49"/>
        <v>0</v>
      </c>
      <c r="P132" s="326">
        <f t="shared" si="49"/>
        <v>0</v>
      </c>
      <c r="Q132" s="326">
        <f t="shared" si="49"/>
        <v>0</v>
      </c>
      <c r="R132" s="326">
        <f t="shared" si="49"/>
        <v>0</v>
      </c>
      <c r="S132" s="326">
        <f t="shared" si="49"/>
        <v>0</v>
      </c>
    </row>
    <row r="133" spans="2:19" outlineLevel="1">
      <c r="B133" s="25"/>
      <c r="C133" s="33"/>
      <c r="D133" s="16"/>
      <c r="E133" s="94"/>
      <c r="G133" s="97"/>
      <c r="H133" s="97"/>
      <c r="I133" s="97"/>
      <c r="J133" s="97"/>
      <c r="K133" s="97"/>
      <c r="L133" s="97"/>
      <c r="M133" s="97"/>
      <c r="N133" s="97"/>
      <c r="O133" s="97"/>
      <c r="P133" s="97"/>
      <c r="Q133" s="97"/>
      <c r="R133" s="97"/>
      <c r="S133" s="97"/>
    </row>
    <row r="134" spans="2:19" outlineLevel="1">
      <c r="B134" s="877" t="s">
        <v>248</v>
      </c>
      <c r="C134" s="99"/>
      <c r="D134" s="16"/>
      <c r="E134" s="23"/>
      <c r="F134" s="100"/>
      <c r="G134" s="100"/>
      <c r="H134" s="100"/>
      <c r="I134" s="100"/>
      <c r="J134" s="77"/>
      <c r="K134" s="77"/>
      <c r="L134" s="77"/>
      <c r="M134" s="77"/>
      <c r="N134" s="77"/>
      <c r="O134" s="77"/>
      <c r="P134" s="77"/>
      <c r="Q134" s="77"/>
      <c r="R134" s="77"/>
      <c r="S134" s="77"/>
    </row>
    <row r="135" spans="2:19" outlineLevel="1">
      <c r="B135" s="153" t="s">
        <v>249</v>
      </c>
      <c r="C135" s="154" t="s">
        <v>35</v>
      </c>
      <c r="D135" s="142"/>
      <c r="E135" s="141"/>
      <c r="F135" s="141"/>
      <c r="G135" s="318"/>
      <c r="H135" s="318"/>
      <c r="I135" s="318"/>
      <c r="J135" s="318"/>
      <c r="K135" s="318"/>
      <c r="L135" s="318"/>
      <c r="M135" s="318"/>
      <c r="N135" s="1439"/>
      <c r="O135" s="171">
        <f t="shared" ref="O135:S136" si="50">+O110+O121</f>
        <v>852.33881440696427</v>
      </c>
      <c r="P135" s="171">
        <f t="shared" si="50"/>
        <v>627.35300226139475</v>
      </c>
      <c r="Q135" s="171">
        <f t="shared" si="50"/>
        <v>281.46863757527245</v>
      </c>
      <c r="R135" s="171">
        <f t="shared" si="50"/>
        <v>23.632028049247999</v>
      </c>
      <c r="S135" s="171">
        <f t="shared" si="50"/>
        <v>0</v>
      </c>
    </row>
    <row r="136" spans="2:19" outlineLevel="1">
      <c r="B136" s="17" t="s">
        <v>237</v>
      </c>
      <c r="C136" s="18" t="s">
        <v>59</v>
      </c>
      <c r="D136" s="39"/>
      <c r="E136" s="141"/>
      <c r="F136" s="141"/>
      <c r="G136" s="276"/>
      <c r="H136" s="276"/>
      <c r="I136" s="276"/>
      <c r="J136" s="276"/>
      <c r="K136" s="276"/>
      <c r="L136" s="276"/>
      <c r="M136" s="276"/>
      <c r="N136" s="319"/>
      <c r="O136" s="77">
        <f t="shared" si="50"/>
        <v>5074.9655510399998</v>
      </c>
      <c r="P136" s="77">
        <f t="shared" si="50"/>
        <v>4643.7241632799996</v>
      </c>
      <c r="Q136" s="77">
        <f t="shared" si="50"/>
        <v>4212.4827755200004</v>
      </c>
      <c r="R136" s="77">
        <f t="shared" si="50"/>
        <v>431.24138775999995</v>
      </c>
      <c r="S136" s="77">
        <f t="shared" si="50"/>
        <v>0</v>
      </c>
    </row>
    <row r="137" spans="2:19" outlineLevel="1">
      <c r="B137" s="17" t="s">
        <v>239</v>
      </c>
      <c r="C137" s="18" t="s">
        <v>59</v>
      </c>
      <c r="D137" s="39"/>
      <c r="E137" s="141"/>
      <c r="F137" s="141"/>
      <c r="G137" s="276"/>
      <c r="H137" s="276"/>
      <c r="I137" s="276"/>
      <c r="J137" s="276"/>
      <c r="K137" s="276"/>
      <c r="L137" s="276"/>
      <c r="M137" s="276"/>
      <c r="N137" s="319"/>
      <c r="O137" s="77">
        <f t="shared" ref="O137:S137" si="51">+O114+O125</f>
        <v>0</v>
      </c>
      <c r="P137" s="77">
        <f t="shared" si="51"/>
        <v>0</v>
      </c>
      <c r="Q137" s="77">
        <f t="shared" si="51"/>
        <v>0</v>
      </c>
      <c r="R137" s="77">
        <f t="shared" si="51"/>
        <v>0</v>
      </c>
      <c r="S137" s="77">
        <f t="shared" si="51"/>
        <v>0</v>
      </c>
    </row>
    <row r="138" spans="2:19" outlineLevel="1">
      <c r="B138" s="17" t="s">
        <v>50</v>
      </c>
      <c r="C138" s="18" t="s">
        <v>59</v>
      </c>
      <c r="D138" s="39"/>
      <c r="E138" s="141"/>
      <c r="F138" s="141"/>
      <c r="G138" s="276"/>
      <c r="H138" s="276"/>
      <c r="I138" s="276"/>
      <c r="J138" s="276"/>
      <c r="K138" s="276"/>
      <c r="L138" s="276"/>
      <c r="M138" s="276"/>
      <c r="N138" s="319"/>
      <c r="O138" s="77">
        <f t="shared" ref="O138:S138" si="52">+O113+O124</f>
        <v>-431.24138775999995</v>
      </c>
      <c r="P138" s="77">
        <f t="shared" si="52"/>
        <v>-431.24138775999995</v>
      </c>
      <c r="Q138" s="77">
        <f t="shared" si="52"/>
        <v>-3781.2413877600002</v>
      </c>
      <c r="R138" s="77">
        <f t="shared" si="52"/>
        <v>-431.24138775999995</v>
      </c>
      <c r="S138" s="77">
        <f t="shared" si="52"/>
        <v>0</v>
      </c>
    </row>
    <row r="139" spans="2:19" outlineLevel="1">
      <c r="B139" s="25" t="s">
        <v>240</v>
      </c>
      <c r="C139" s="33" t="s">
        <v>59</v>
      </c>
      <c r="D139" s="142"/>
      <c r="E139" s="141"/>
      <c r="F139" s="141"/>
      <c r="G139" s="275"/>
      <c r="H139" s="275"/>
      <c r="I139" s="275"/>
      <c r="J139" s="275"/>
      <c r="K139" s="275"/>
      <c r="L139" s="275"/>
      <c r="M139" s="275"/>
      <c r="N139" s="320"/>
      <c r="O139" s="97">
        <f>+SUM(O136:O138)</f>
        <v>4643.7241632799996</v>
      </c>
      <c r="P139" s="97">
        <f t="shared" ref="P139" si="53">+SUM(P136:P138)</f>
        <v>4212.4827755199994</v>
      </c>
      <c r="Q139" s="97">
        <f>+SUM(Q136:Q138)</f>
        <v>431.24138776000018</v>
      </c>
      <c r="R139" s="97">
        <f>+SUM(R136:R138)</f>
        <v>0</v>
      </c>
      <c r="S139" s="97">
        <f>+SUM(S136:S138)</f>
        <v>0</v>
      </c>
    </row>
    <row r="140" spans="2:19" outlineLevel="1">
      <c r="B140" s="186" t="s">
        <v>250</v>
      </c>
      <c r="C140" s="191" t="s">
        <v>251</v>
      </c>
      <c r="D140" s="271"/>
      <c r="E140" s="303"/>
      <c r="F140" s="303"/>
      <c r="G140" s="384"/>
      <c r="H140" s="384"/>
      <c r="I140" s="384"/>
      <c r="J140" s="384"/>
      <c r="K140" s="384"/>
      <c r="L140" s="384"/>
      <c r="M140" s="384"/>
      <c r="N140" s="314"/>
      <c r="O140" s="1307">
        <f>+O139/'Annual FS'!O43</f>
        <v>0.75267749936468031</v>
      </c>
      <c r="P140" s="1307">
        <f>+P139/'Annual FS'!P43</f>
        <v>0.58976936913352729</v>
      </c>
      <c r="Q140" s="1307">
        <f>+Q139/'Annual FS'!Q43</f>
        <v>5.8631587629659469E-2</v>
      </c>
      <c r="R140" s="1307">
        <f>+R139/'Annual FS'!R43</f>
        <v>0</v>
      </c>
      <c r="S140" s="1307">
        <f>+S139/'Annual FS'!S43</f>
        <v>0</v>
      </c>
    </row>
    <row r="141" spans="2:19" outlineLevel="1">
      <c r="B141" s="17"/>
      <c r="C141" s="18"/>
      <c r="D141" s="16"/>
      <c r="E141" s="23"/>
      <c r="F141" s="100"/>
      <c r="G141" s="100"/>
      <c r="H141" s="100"/>
      <c r="I141" s="100"/>
      <c r="J141" s="100"/>
      <c r="K141" s="100"/>
      <c r="L141" s="100"/>
      <c r="M141" s="100"/>
      <c r="N141" s="100"/>
      <c r="O141" s="100"/>
      <c r="P141" s="100"/>
      <c r="Q141" s="100"/>
      <c r="R141" s="100"/>
      <c r="S141" s="100"/>
    </row>
    <row r="142" spans="2:19" outlineLevel="1">
      <c r="B142" s="877" t="s">
        <v>252</v>
      </c>
      <c r="C142" s="99"/>
      <c r="D142" s="16"/>
      <c r="E142" s="23"/>
      <c r="F142" s="100"/>
      <c r="G142" s="100"/>
      <c r="H142" s="100"/>
      <c r="I142" s="100"/>
      <c r="J142" s="100"/>
      <c r="K142" s="100"/>
      <c r="L142" s="100"/>
      <c r="M142" s="100"/>
      <c r="N142" s="100"/>
      <c r="O142" s="100"/>
      <c r="P142" s="100"/>
      <c r="Q142" s="100"/>
      <c r="R142" s="100"/>
      <c r="S142" s="100"/>
    </row>
    <row r="143" spans="2:19" outlineLevel="1">
      <c r="B143" s="47" t="s">
        <v>253</v>
      </c>
      <c r="C143" s="51"/>
      <c r="D143" s="39"/>
      <c r="E143" s="142"/>
      <c r="F143" s="142"/>
      <c r="G143" s="1308"/>
      <c r="H143" s="1309"/>
      <c r="I143" s="1309"/>
      <c r="J143" s="1440"/>
      <c r="K143" s="1310"/>
      <c r="L143" s="1311"/>
      <c r="M143" s="1311"/>
      <c r="N143" s="1267">
        <v>2</v>
      </c>
      <c r="O143" s="1311">
        <f t="shared" ref="O143:S143" si="54">+N143</f>
        <v>2</v>
      </c>
      <c r="P143" s="1311">
        <f t="shared" si="54"/>
        <v>2</v>
      </c>
      <c r="Q143" s="1311">
        <f t="shared" si="54"/>
        <v>2</v>
      </c>
      <c r="R143" s="1311">
        <f t="shared" si="54"/>
        <v>2</v>
      </c>
      <c r="S143" s="1311">
        <f t="shared" si="54"/>
        <v>2</v>
      </c>
    </row>
    <row r="144" spans="2:19" outlineLevel="1">
      <c r="B144" s="17" t="s">
        <v>89</v>
      </c>
      <c r="C144" s="18"/>
      <c r="D144" s="39"/>
      <c r="E144" s="142"/>
      <c r="F144" s="142"/>
      <c r="G144" s="142"/>
      <c r="H144" s="393"/>
      <c r="I144" s="393"/>
      <c r="J144" s="315"/>
      <c r="K144" s="143"/>
      <c r="L144" s="143"/>
      <c r="M144" s="1144"/>
      <c r="N144" s="1144"/>
      <c r="O144" s="1144">
        <f>+'Annual FS'!O43</f>
        <v>6169.6067269178002</v>
      </c>
      <c r="P144" s="1144">
        <f>+'Annual FS'!P43</f>
        <v>7142.5933525657019</v>
      </c>
      <c r="Q144" s="1144">
        <f>+'Annual FS'!Q43</f>
        <v>7355.1033699427189</v>
      </c>
      <c r="R144" s="1144">
        <f>+'Annual FS'!R43</f>
        <v>8243.5399550434813</v>
      </c>
      <c r="S144" s="1144">
        <f>+'Annual FS'!S43</f>
        <v>8561.6414226086417</v>
      </c>
    </row>
    <row r="145" spans="2:19" outlineLevel="1">
      <c r="B145" s="17" t="s">
        <v>254</v>
      </c>
      <c r="C145" s="18"/>
      <c r="D145" s="39"/>
      <c r="E145" s="142"/>
      <c r="F145" s="142"/>
      <c r="G145" s="142"/>
      <c r="H145" s="393"/>
      <c r="I145" s="393"/>
      <c r="J145" s="315"/>
      <c r="K145" s="143"/>
      <c r="L145" s="143"/>
      <c r="M145" s="143"/>
      <c r="N145" s="143"/>
      <c r="O145" s="143">
        <f t="shared" ref="O145:Q145" si="55">+O143*O144</f>
        <v>12339.2134538356</v>
      </c>
      <c r="P145" s="143">
        <f t="shared" si="55"/>
        <v>14285.186705131404</v>
      </c>
      <c r="Q145" s="143">
        <f t="shared" si="55"/>
        <v>14710.206739885438</v>
      </c>
      <c r="R145" s="143">
        <f>+R143*R144</f>
        <v>16487.079910086963</v>
      </c>
      <c r="S145" s="143">
        <f>+S143*S144</f>
        <v>17123.282845217283</v>
      </c>
    </row>
    <row r="146" spans="2:19" outlineLevel="1">
      <c r="B146" s="17" t="s">
        <v>255</v>
      </c>
      <c r="C146" s="18"/>
      <c r="D146" s="39"/>
      <c r="E146" s="142"/>
      <c r="F146" s="142"/>
      <c r="G146" s="142"/>
      <c r="H146" s="393"/>
      <c r="I146" s="393"/>
      <c r="J146" s="315"/>
      <c r="K146" s="143"/>
      <c r="L146" s="143"/>
      <c r="M146" s="67"/>
      <c r="N146" s="1266">
        <v>1000</v>
      </c>
      <c r="O146" s="143">
        <f t="shared" ref="O146:S146" si="56">N146</f>
        <v>1000</v>
      </c>
      <c r="P146" s="143">
        <f t="shared" si="56"/>
        <v>1000</v>
      </c>
      <c r="Q146" s="143">
        <f t="shared" si="56"/>
        <v>1000</v>
      </c>
      <c r="R146" s="143">
        <f t="shared" si="56"/>
        <v>1000</v>
      </c>
      <c r="S146" s="143">
        <f t="shared" si="56"/>
        <v>1000</v>
      </c>
    </row>
    <row r="147" spans="2:19" outlineLevel="1">
      <c r="B147" s="17" t="s">
        <v>256</v>
      </c>
      <c r="C147" s="18"/>
      <c r="D147" s="39"/>
      <c r="E147" s="142"/>
      <c r="F147" s="142"/>
      <c r="G147" s="142"/>
      <c r="H147" s="393"/>
      <c r="I147" s="393"/>
      <c r="J147" s="315"/>
      <c r="K147" s="143"/>
      <c r="L147" s="143"/>
      <c r="M147" s="143"/>
      <c r="N147" s="143"/>
      <c r="O147" s="143">
        <f ca="1">MAX(0,O146-SUM('Annual FS'!O155,'Annual FS'!O167,'Annual FS'!O169,'Annual FS'!O171:O173,'Annual FS'!O176,'Annual FS'!O181,-O176))</f>
        <v>0</v>
      </c>
      <c r="P147" s="143">
        <f ca="1">MAX(0,P146-SUM('Annual FS'!P155,'Annual FS'!P167,'Annual FS'!P169,'Annual FS'!P171:P173,'Annual FS'!P176,'Annual FS'!P181,-P176))</f>
        <v>0</v>
      </c>
      <c r="Q147" s="143">
        <f ca="1">MAX(0,Q146-SUM('Annual FS'!Q155,'Annual FS'!Q167,'Annual FS'!Q169,'Annual FS'!Q171:Q173,'Annual FS'!Q176,'Annual FS'!Q181,-Q176))</f>
        <v>153.42953152584153</v>
      </c>
      <c r="R147" s="143">
        <f ca="1">MAX(0,R146-SUM('Annual FS'!R155,'Annual FS'!R167,'Annual FS'!R169,'Annual FS'!R171:R173,'Annual FS'!R176,'Annual FS'!R181,-R176))</f>
        <v>0</v>
      </c>
      <c r="S147" s="143">
        <f ca="1">MAX(0,S146-SUM('Annual FS'!S155,'Annual FS'!S167,'Annual FS'!S169,'Annual FS'!S171:S173,'Annual FS'!S176,'Annual FS'!S181,-S176))</f>
        <v>0</v>
      </c>
    </row>
    <row r="148" spans="2:19" outlineLevel="1">
      <c r="B148" s="186" t="s">
        <v>257</v>
      </c>
      <c r="C148" s="191"/>
      <c r="D148" s="271"/>
      <c r="E148" s="303"/>
      <c r="F148" s="303"/>
      <c r="G148" s="303"/>
      <c r="H148" s="384"/>
      <c r="I148" s="384"/>
      <c r="J148" s="314"/>
      <c r="K148" s="1307"/>
      <c r="L148" s="1312"/>
      <c r="M148" s="1312"/>
      <c r="N148" s="1312"/>
      <c r="O148" s="1312">
        <f t="shared" ref="O148:S148" ca="1" si="57">O183/O144</f>
        <v>0.75267749936468031</v>
      </c>
      <c r="P148" s="1312">
        <f t="shared" ca="1" si="57"/>
        <v>0.58976936913352729</v>
      </c>
      <c r="Q148" s="1312">
        <f t="shared" ca="1" si="57"/>
        <v>7.9491869777813209E-2</v>
      </c>
      <c r="R148" s="1312">
        <f t="shared" ca="1" si="57"/>
        <v>1.4889674325600549E-2</v>
      </c>
      <c r="S148" s="1312">
        <f t="shared" ca="1" si="57"/>
        <v>1.0752344599764365E-2</v>
      </c>
    </row>
    <row r="149" spans="2:19" outlineLevel="1">
      <c r="B149" s="17" t="s">
        <v>243</v>
      </c>
      <c r="C149" s="18" t="s">
        <v>35</v>
      </c>
      <c r="D149" s="39"/>
      <c r="E149" s="144"/>
      <c r="F149" s="144"/>
      <c r="G149" s="144"/>
      <c r="H149" s="190"/>
      <c r="I149" s="190"/>
      <c r="J149" s="311"/>
      <c r="K149" s="473"/>
      <c r="L149" s="42"/>
      <c r="M149" s="42"/>
      <c r="N149" s="1142">
        <f>+Control!E29</f>
        <v>0.04</v>
      </c>
      <c r="O149" s="42">
        <f t="shared" ref="O149:S149" si="58">+N149</f>
        <v>0.04</v>
      </c>
      <c r="P149" s="42">
        <f t="shared" si="58"/>
        <v>0.04</v>
      </c>
      <c r="Q149" s="42">
        <f t="shared" si="58"/>
        <v>0.04</v>
      </c>
      <c r="R149" s="42">
        <f t="shared" si="58"/>
        <v>0.04</v>
      </c>
      <c r="S149" s="42">
        <f t="shared" si="58"/>
        <v>0.04</v>
      </c>
    </row>
    <row r="150" spans="2:19" outlineLevel="1">
      <c r="B150" s="17" t="s">
        <v>244</v>
      </c>
      <c r="C150" s="18" t="s">
        <v>35</v>
      </c>
      <c r="D150" s="39"/>
      <c r="E150" s="144"/>
      <c r="F150" s="144"/>
      <c r="G150" s="144"/>
      <c r="H150" s="190"/>
      <c r="I150" s="190"/>
      <c r="J150" s="311"/>
      <c r="K150" s="42"/>
      <c r="L150" s="42"/>
      <c r="M150" s="42"/>
      <c r="N150" s="42"/>
      <c r="O150" s="42">
        <f t="shared" ref="O150:S150" si="59">+O149+O13</f>
        <v>0.15286578879053045</v>
      </c>
      <c r="P150" s="42">
        <f t="shared" si="59"/>
        <v>0.12264782088117163</v>
      </c>
      <c r="Q150" s="42">
        <f t="shared" si="59"/>
        <v>0.10164935260174254</v>
      </c>
      <c r="R150" s="42">
        <f t="shared" si="59"/>
        <v>9.9889361046085118E-2</v>
      </c>
      <c r="S150" s="42">
        <f t="shared" si="59"/>
        <v>9.9889361046085118E-2</v>
      </c>
    </row>
    <row r="151" spans="2:19" outlineLevel="1">
      <c r="B151" s="17" t="s">
        <v>236</v>
      </c>
      <c r="C151" s="18" t="s">
        <v>35</v>
      </c>
      <c r="D151" s="39"/>
      <c r="E151" s="144"/>
      <c r="F151" s="144"/>
      <c r="G151" s="144"/>
      <c r="H151" s="190"/>
      <c r="I151" s="190"/>
      <c r="J151" s="311"/>
      <c r="K151" s="42"/>
      <c r="L151" s="42"/>
      <c r="M151" s="42"/>
      <c r="N151" s="42"/>
      <c r="O151" s="42">
        <f t="shared" ref="O151:Q151" si="60">(4/(4-O150))^4-1</f>
        <v>0.16866655569604694</v>
      </c>
      <c r="P151" s="42">
        <f t="shared" si="60"/>
        <v>0.13265844290893436</v>
      </c>
      <c r="Q151" s="42">
        <f t="shared" si="60"/>
        <v>0.10845065440869162</v>
      </c>
      <c r="R151" s="42">
        <f>(4/(4-R150))^4-1</f>
        <v>0.10645117918513058</v>
      </c>
      <c r="S151" s="42">
        <f>(4/(4-S150))^4-1</f>
        <v>0.10645117918513058</v>
      </c>
    </row>
    <row r="152" spans="2:19" outlineLevel="1">
      <c r="B152" s="17" t="s">
        <v>237</v>
      </c>
      <c r="C152" s="18" t="s">
        <v>59</v>
      </c>
      <c r="D152" s="39"/>
      <c r="E152" s="144"/>
      <c r="F152" s="144"/>
      <c r="G152" s="144"/>
      <c r="H152" s="39"/>
      <c r="I152" s="39"/>
      <c r="J152" s="167"/>
      <c r="K152" s="16"/>
      <c r="L152" s="16"/>
      <c r="M152" s="16"/>
      <c r="N152" s="16"/>
      <c r="O152" s="16">
        <f t="shared" ref="O152:S152" si="61">+N157</f>
        <v>0</v>
      </c>
      <c r="P152" s="16">
        <f t="shared" ca="1" si="61"/>
        <v>0</v>
      </c>
      <c r="Q152" s="16">
        <f t="shared" ca="1" si="61"/>
        <v>0</v>
      </c>
      <c r="R152" s="16">
        <f t="shared" ca="1" si="61"/>
        <v>153.42953152584153</v>
      </c>
      <c r="S152" s="16">
        <f t="shared" ca="1" si="61"/>
        <v>122.74362522067322</v>
      </c>
    </row>
    <row r="153" spans="2:19" outlineLevel="1">
      <c r="B153" s="17" t="s">
        <v>258</v>
      </c>
      <c r="C153" s="18" t="s">
        <v>259</v>
      </c>
      <c r="D153" s="39"/>
      <c r="E153" s="144"/>
      <c r="F153" s="144"/>
      <c r="G153" s="144"/>
      <c r="H153" s="394"/>
      <c r="I153" s="394"/>
      <c r="J153" s="316"/>
      <c r="K153" s="38"/>
      <c r="L153" s="325"/>
      <c r="M153" s="16"/>
      <c r="N153" s="1143">
        <f>Control!$E$30</f>
        <v>5</v>
      </c>
      <c r="O153" s="325">
        <f t="shared" ref="O153:S153" si="62">+N153</f>
        <v>5</v>
      </c>
      <c r="P153" s="325">
        <f t="shared" si="62"/>
        <v>5</v>
      </c>
      <c r="Q153" s="325">
        <f t="shared" si="62"/>
        <v>5</v>
      </c>
      <c r="R153" s="325">
        <f t="shared" si="62"/>
        <v>5</v>
      </c>
      <c r="S153" s="325">
        <f t="shared" si="62"/>
        <v>5</v>
      </c>
    </row>
    <row r="154" spans="2:19" outlineLevel="1">
      <c r="B154" s="17" t="s">
        <v>185</v>
      </c>
      <c r="C154" s="18" t="s">
        <v>59</v>
      </c>
      <c r="D154" s="39"/>
      <c r="E154" s="144"/>
      <c r="F154" s="144"/>
      <c r="G154" s="144"/>
      <c r="H154" s="39"/>
      <c r="I154" s="39"/>
      <c r="J154" s="167"/>
      <c r="K154" s="16"/>
      <c r="L154" s="16"/>
      <c r="M154" s="16"/>
      <c r="N154" s="16"/>
      <c r="O154" s="16">
        <f t="shared" ref="O154:S154" si="63">O152*O151</f>
        <v>0</v>
      </c>
      <c r="P154" s="16">
        <f t="shared" ca="1" si="63"/>
        <v>0</v>
      </c>
      <c r="Q154" s="16">
        <f t="shared" ca="1" si="63"/>
        <v>0</v>
      </c>
      <c r="R154" s="16">
        <f t="shared" ca="1" si="63"/>
        <v>16.332754552748</v>
      </c>
      <c r="S154" s="16">
        <f t="shared" ca="1" si="63"/>
        <v>13.066203642198399</v>
      </c>
    </row>
    <row r="155" spans="2:19" outlineLevel="1">
      <c r="B155" s="17" t="s">
        <v>50</v>
      </c>
      <c r="C155" s="18" t="s">
        <v>59</v>
      </c>
      <c r="D155" s="39"/>
      <c r="E155" s="144"/>
      <c r="F155" s="144"/>
      <c r="G155" s="144"/>
      <c r="H155" s="142"/>
      <c r="I155" s="142"/>
      <c r="J155" s="317"/>
      <c r="K155" s="23"/>
      <c r="L155" s="23"/>
      <c r="M155" s="23"/>
      <c r="N155" s="23"/>
      <c r="O155" s="23">
        <f t="shared" ref="O155:S155" si="64">-O176</f>
        <v>0</v>
      </c>
      <c r="P155" s="23">
        <f ca="1">-P176</f>
        <v>0</v>
      </c>
      <c r="Q155" s="23">
        <f t="shared" ca="1" si="64"/>
        <v>0</v>
      </c>
      <c r="R155" s="23">
        <f t="shared" ca="1" si="64"/>
        <v>-30.685906305168306</v>
      </c>
      <c r="S155" s="23">
        <f t="shared" ca="1" si="64"/>
        <v>-30.685906305168306</v>
      </c>
    </row>
    <row r="156" spans="2:19" outlineLevel="1">
      <c r="B156" s="17" t="s">
        <v>239</v>
      </c>
      <c r="C156" s="18" t="s">
        <v>59</v>
      </c>
      <c r="D156" s="39"/>
      <c r="E156" s="144"/>
      <c r="F156" s="144"/>
      <c r="G156" s="144"/>
      <c r="H156" s="39"/>
      <c r="I156" s="39"/>
      <c r="J156" s="167"/>
      <c r="K156" s="16"/>
      <c r="L156" s="16"/>
      <c r="M156" s="16"/>
      <c r="N156" s="16"/>
      <c r="O156" s="16">
        <f t="shared" ref="O156:Q156" ca="1" si="65">+O147</f>
        <v>0</v>
      </c>
      <c r="P156" s="16">
        <f t="shared" ca="1" si="65"/>
        <v>0</v>
      </c>
      <c r="Q156" s="16">
        <f t="shared" ca="1" si="65"/>
        <v>153.42953152584153</v>
      </c>
      <c r="R156" s="16">
        <f ca="1">+R147</f>
        <v>0</v>
      </c>
      <c r="S156" s="16">
        <f ca="1">+S147</f>
        <v>0</v>
      </c>
    </row>
    <row r="157" spans="2:19" outlineLevel="1">
      <c r="B157" s="185" t="s">
        <v>240</v>
      </c>
      <c r="C157" s="192" t="s">
        <v>59</v>
      </c>
      <c r="D157" s="303"/>
      <c r="E157" s="310"/>
      <c r="F157" s="310"/>
      <c r="G157" s="310"/>
      <c r="H157" s="303"/>
      <c r="I157" s="303"/>
      <c r="J157" s="304"/>
      <c r="K157" s="221"/>
      <c r="L157" s="221"/>
      <c r="M157" s="221"/>
      <c r="N157" s="221">
        <f t="shared" ref="N157:Q157" si="66">+N152+N155+N156</f>
        <v>0</v>
      </c>
      <c r="O157" s="221">
        <f t="shared" ca="1" si="66"/>
        <v>0</v>
      </c>
      <c r="P157" s="221">
        <f t="shared" ca="1" si="66"/>
        <v>0</v>
      </c>
      <c r="Q157" s="221">
        <f t="shared" ca="1" si="66"/>
        <v>153.42953152584153</v>
      </c>
      <c r="R157" s="221">
        <f ca="1">+R152+R155+R156</f>
        <v>122.74362522067322</v>
      </c>
      <c r="S157" s="221">
        <f ca="1">+S152+S155+S156</f>
        <v>92.057718915504921</v>
      </c>
    </row>
    <row r="158" spans="2:19" outlineLevel="1">
      <c r="B158" s="25"/>
      <c r="C158" s="33"/>
      <c r="D158" s="16"/>
      <c r="E158" s="93"/>
      <c r="F158" s="23"/>
      <c r="G158" s="23"/>
      <c r="H158" s="23"/>
      <c r="I158" s="23"/>
      <c r="J158" s="23"/>
      <c r="K158" s="23"/>
      <c r="L158" s="23"/>
      <c r="M158" s="23"/>
      <c r="N158" s="23"/>
      <c r="O158" s="23"/>
      <c r="P158" s="23"/>
      <c r="Q158" s="23"/>
      <c r="R158" s="23"/>
      <c r="S158" s="23"/>
    </row>
    <row r="159" spans="2:19" outlineLevel="1">
      <c r="B159" s="25" t="s">
        <v>260</v>
      </c>
      <c r="C159" s="33"/>
      <c r="D159" s="16"/>
      <c r="E159" s="93"/>
      <c r="F159" s="23"/>
      <c r="G159" s="23"/>
      <c r="H159" s="23"/>
      <c r="I159" s="23"/>
      <c r="J159" s="23"/>
      <c r="K159" s="23"/>
      <c r="L159" s="23"/>
      <c r="M159" s="23"/>
      <c r="N159" s="23"/>
      <c r="O159" s="23"/>
      <c r="P159" s="23"/>
      <c r="Q159" s="23"/>
      <c r="R159" s="23"/>
      <c r="S159" s="23"/>
    </row>
    <row r="160" spans="2:19" outlineLevel="1">
      <c r="B160" s="25"/>
      <c r="C160" s="33">
        <v>2021</v>
      </c>
      <c r="D160" s="39"/>
      <c r="E160" s="144"/>
      <c r="F160" s="144"/>
      <c r="G160" s="144"/>
      <c r="H160" s="190"/>
      <c r="I160" s="190"/>
      <c r="J160" s="311"/>
      <c r="K160" s="16"/>
      <c r="L160" s="16"/>
      <c r="M160" s="16"/>
      <c r="N160" s="16"/>
      <c r="O160" s="16">
        <f t="shared" ref="O160:S166" si="67">+IF($C160=O$4,O$156,IF(O$4&lt;=$C160+O$153,N160,0))</f>
        <v>0</v>
      </c>
      <c r="P160" s="16">
        <f t="shared" si="67"/>
        <v>0</v>
      </c>
      <c r="Q160" s="16">
        <f t="shared" si="67"/>
        <v>0</v>
      </c>
      <c r="R160" s="16">
        <f t="shared" si="67"/>
        <v>0</v>
      </c>
      <c r="S160" s="16">
        <f t="shared" si="67"/>
        <v>0</v>
      </c>
    </row>
    <row r="161" spans="2:19" outlineLevel="1">
      <c r="B161" s="25"/>
      <c r="C161" s="33">
        <v>2022</v>
      </c>
      <c r="D161" s="39"/>
      <c r="E161" s="144"/>
      <c r="F161" s="144"/>
      <c r="G161" s="144"/>
      <c r="H161" s="190"/>
      <c r="I161" s="190"/>
      <c r="J161" s="311"/>
      <c r="K161" s="16"/>
      <c r="L161" s="16"/>
      <c r="M161" s="16"/>
      <c r="N161" s="16"/>
      <c r="O161" s="16">
        <f t="shared" si="67"/>
        <v>0</v>
      </c>
      <c r="P161" s="16">
        <f t="shared" si="67"/>
        <v>0</v>
      </c>
      <c r="Q161" s="16">
        <f t="shared" si="67"/>
        <v>0</v>
      </c>
      <c r="R161" s="16">
        <f t="shared" si="67"/>
        <v>0</v>
      </c>
      <c r="S161" s="16">
        <f t="shared" si="67"/>
        <v>0</v>
      </c>
    </row>
    <row r="162" spans="2:19" outlineLevel="1">
      <c r="B162" s="25"/>
      <c r="C162" s="33">
        <v>2023</v>
      </c>
      <c r="D162" s="39"/>
      <c r="E162" s="144"/>
      <c r="F162" s="144"/>
      <c r="G162" s="144"/>
      <c r="H162" s="190"/>
      <c r="I162" s="190"/>
      <c r="J162" s="311"/>
      <c r="K162" s="16"/>
      <c r="L162" s="16"/>
      <c r="M162" s="16"/>
      <c r="N162" s="16"/>
      <c r="O162" s="16">
        <f t="shared" ca="1" si="67"/>
        <v>0</v>
      </c>
      <c r="P162" s="16">
        <f t="shared" ca="1" si="67"/>
        <v>0</v>
      </c>
      <c r="Q162" s="16">
        <f t="shared" ca="1" si="67"/>
        <v>0</v>
      </c>
      <c r="R162" s="16">
        <f t="shared" ca="1" si="67"/>
        <v>0</v>
      </c>
      <c r="S162" s="16">
        <f t="shared" ca="1" si="67"/>
        <v>0</v>
      </c>
    </row>
    <row r="163" spans="2:19" outlineLevel="1">
      <c r="B163" s="25"/>
      <c r="C163" s="33">
        <v>2024</v>
      </c>
      <c r="D163" s="39"/>
      <c r="E163" s="144"/>
      <c r="F163" s="144"/>
      <c r="G163" s="144"/>
      <c r="H163" s="190"/>
      <c r="I163" s="190"/>
      <c r="J163" s="311"/>
      <c r="K163" s="16"/>
      <c r="L163" s="16"/>
      <c r="M163" s="16"/>
      <c r="N163" s="16"/>
      <c r="O163" s="16">
        <f t="shared" si="67"/>
        <v>0</v>
      </c>
      <c r="P163" s="16">
        <f t="shared" ca="1" si="67"/>
        <v>0</v>
      </c>
      <c r="Q163" s="16">
        <f t="shared" ca="1" si="67"/>
        <v>0</v>
      </c>
      <c r="R163" s="16">
        <f t="shared" ca="1" si="67"/>
        <v>0</v>
      </c>
      <c r="S163" s="16">
        <f t="shared" ca="1" si="67"/>
        <v>0</v>
      </c>
    </row>
    <row r="164" spans="2:19" outlineLevel="1">
      <c r="B164" s="25"/>
      <c r="C164" s="33">
        <v>2025</v>
      </c>
      <c r="D164" s="39"/>
      <c r="E164" s="144"/>
      <c r="F164" s="144"/>
      <c r="G164" s="144"/>
      <c r="H164" s="190"/>
      <c r="I164" s="190"/>
      <c r="J164" s="311"/>
      <c r="K164" s="16"/>
      <c r="L164" s="16"/>
      <c r="M164" s="16"/>
      <c r="N164" s="16"/>
      <c r="O164" s="16">
        <f t="shared" si="67"/>
        <v>0</v>
      </c>
      <c r="P164" s="16">
        <f t="shared" si="67"/>
        <v>0</v>
      </c>
      <c r="Q164" s="16">
        <f t="shared" ca="1" si="67"/>
        <v>153.42953152584153</v>
      </c>
      <c r="R164" s="16">
        <f t="shared" ca="1" si="67"/>
        <v>153.42953152584153</v>
      </c>
      <c r="S164" s="16">
        <f t="shared" ca="1" si="67"/>
        <v>153.42953152584153</v>
      </c>
    </row>
    <row r="165" spans="2:19" outlineLevel="1">
      <c r="B165" s="25"/>
      <c r="C165" s="33">
        <v>2026</v>
      </c>
      <c r="D165" s="39"/>
      <c r="E165" s="144"/>
      <c r="F165" s="144"/>
      <c r="G165" s="144"/>
      <c r="H165" s="190"/>
      <c r="I165" s="190"/>
      <c r="J165" s="311"/>
      <c r="K165" s="16"/>
      <c r="L165" s="16"/>
      <c r="M165" s="16"/>
      <c r="N165" s="16"/>
      <c r="O165" s="16">
        <f t="shared" si="67"/>
        <v>0</v>
      </c>
      <c r="P165" s="16">
        <f t="shared" si="67"/>
        <v>0</v>
      </c>
      <c r="Q165" s="16">
        <f t="shared" si="67"/>
        <v>0</v>
      </c>
      <c r="R165" s="16">
        <f t="shared" ca="1" si="67"/>
        <v>0</v>
      </c>
      <c r="S165" s="16">
        <f t="shared" ca="1" si="67"/>
        <v>0</v>
      </c>
    </row>
    <row r="166" spans="2:19" outlineLevel="1">
      <c r="B166" s="475"/>
      <c r="C166" s="476">
        <v>2027</v>
      </c>
      <c r="D166" s="479"/>
      <c r="E166" s="480"/>
      <c r="F166" s="480"/>
      <c r="G166" s="480"/>
      <c r="H166" s="481"/>
      <c r="I166" s="481"/>
      <c r="J166" s="482"/>
      <c r="K166" s="397"/>
      <c r="L166" s="397"/>
      <c r="M166" s="397"/>
      <c r="N166" s="397"/>
      <c r="O166" s="397">
        <f t="shared" si="67"/>
        <v>0</v>
      </c>
      <c r="P166" s="397">
        <f t="shared" si="67"/>
        <v>0</v>
      </c>
      <c r="Q166" s="397">
        <f t="shared" si="67"/>
        <v>0</v>
      </c>
      <c r="R166" s="397">
        <f t="shared" si="67"/>
        <v>0</v>
      </c>
      <c r="S166" s="397">
        <f t="shared" ca="1" si="67"/>
        <v>0</v>
      </c>
    </row>
    <row r="167" spans="2:19" outlineLevel="1">
      <c r="B167" s="25"/>
      <c r="C167" s="33"/>
      <c r="D167" s="16"/>
      <c r="E167" s="93"/>
      <c r="F167" s="23"/>
      <c r="G167" s="23"/>
      <c r="H167" s="23"/>
      <c r="I167" s="23"/>
      <c r="J167" s="23"/>
      <c r="K167" s="23"/>
      <c r="L167" s="23"/>
      <c r="M167" s="23"/>
      <c r="N167" s="23"/>
      <c r="O167" s="23"/>
      <c r="P167" s="23"/>
      <c r="Q167" s="23"/>
      <c r="R167" s="23"/>
      <c r="S167" s="23"/>
    </row>
    <row r="168" spans="2:19" outlineLevel="1">
      <c r="B168" s="25" t="s">
        <v>50</v>
      </c>
      <c r="C168" s="33"/>
      <c r="D168" s="16"/>
      <c r="E168" s="93"/>
      <c r="F168" s="23"/>
      <c r="G168" s="23"/>
      <c r="H168" s="23"/>
      <c r="I168" s="23"/>
      <c r="J168" s="23"/>
      <c r="K168" s="23"/>
      <c r="L168" s="23"/>
      <c r="M168" s="23"/>
      <c r="N168" s="23"/>
      <c r="O168" s="23"/>
      <c r="P168" s="23"/>
      <c r="Q168" s="23"/>
      <c r="R168" s="23"/>
      <c r="S168" s="23"/>
    </row>
    <row r="169" spans="2:19" outlineLevel="1">
      <c r="B169" s="25"/>
      <c r="C169" s="33">
        <v>2021</v>
      </c>
      <c r="D169" s="39"/>
      <c r="E169" s="144"/>
      <c r="F169" s="144"/>
      <c r="G169" s="144"/>
      <c r="H169" s="190"/>
      <c r="I169" s="190"/>
      <c r="J169" s="311"/>
      <c r="K169" s="16"/>
      <c r="L169" s="16"/>
      <c r="M169" s="16"/>
      <c r="N169" s="16"/>
      <c r="O169" s="16">
        <f>+IF(O$4=$C169,0,O160/O$153)</f>
        <v>0</v>
      </c>
      <c r="P169" s="16">
        <f t="shared" ref="O169:S175" si="68">+IF(P$4=$C169,0,P160/P$153)</f>
        <v>0</v>
      </c>
      <c r="Q169" s="16">
        <f t="shared" si="68"/>
        <v>0</v>
      </c>
      <c r="R169" s="16">
        <f t="shared" si="68"/>
        <v>0</v>
      </c>
      <c r="S169" s="16">
        <f t="shared" si="68"/>
        <v>0</v>
      </c>
    </row>
    <row r="170" spans="2:19" outlineLevel="1">
      <c r="B170" s="25"/>
      <c r="C170" s="33">
        <v>2022</v>
      </c>
      <c r="D170" s="39"/>
      <c r="E170" s="144"/>
      <c r="F170" s="144"/>
      <c r="G170" s="144"/>
      <c r="H170" s="190"/>
      <c r="I170" s="190"/>
      <c r="J170" s="311"/>
      <c r="K170" s="16"/>
      <c r="L170" s="16"/>
      <c r="M170" s="16"/>
      <c r="N170" s="16"/>
      <c r="O170" s="16">
        <f t="shared" si="68"/>
        <v>0</v>
      </c>
      <c r="P170" s="16">
        <f t="shared" si="68"/>
        <v>0</v>
      </c>
      <c r="Q170" s="16">
        <f t="shared" si="68"/>
        <v>0</v>
      </c>
      <c r="R170" s="16">
        <f t="shared" si="68"/>
        <v>0</v>
      </c>
      <c r="S170" s="16">
        <f t="shared" si="68"/>
        <v>0</v>
      </c>
    </row>
    <row r="171" spans="2:19" outlineLevel="1">
      <c r="B171" s="25"/>
      <c r="C171" s="33">
        <v>2023</v>
      </c>
      <c r="D171" s="39"/>
      <c r="E171" s="144"/>
      <c r="F171" s="144"/>
      <c r="G171" s="144"/>
      <c r="H171" s="190"/>
      <c r="I171" s="190"/>
      <c r="J171" s="311"/>
      <c r="K171" s="16"/>
      <c r="L171" s="16"/>
      <c r="M171" s="16"/>
      <c r="N171" s="16"/>
      <c r="O171" s="16">
        <f t="shared" si="68"/>
        <v>0</v>
      </c>
      <c r="P171" s="16">
        <f t="shared" ca="1" si="68"/>
        <v>0</v>
      </c>
      <c r="Q171" s="16">
        <f t="shared" ca="1" si="68"/>
        <v>0</v>
      </c>
      <c r="R171" s="16">
        <f t="shared" ca="1" si="68"/>
        <v>0</v>
      </c>
      <c r="S171" s="16">
        <f t="shared" ca="1" si="68"/>
        <v>0</v>
      </c>
    </row>
    <row r="172" spans="2:19" outlineLevel="1">
      <c r="B172" s="25"/>
      <c r="C172" s="33">
        <v>2024</v>
      </c>
      <c r="D172" s="39"/>
      <c r="E172" s="144"/>
      <c r="F172" s="144"/>
      <c r="G172" s="144"/>
      <c r="H172" s="190"/>
      <c r="I172" s="190"/>
      <c r="J172" s="311"/>
      <c r="K172" s="16"/>
      <c r="L172" s="16"/>
      <c r="M172" s="16"/>
      <c r="N172" s="16"/>
      <c r="O172" s="16">
        <f t="shared" si="68"/>
        <v>0</v>
      </c>
      <c r="P172" s="16">
        <f t="shared" si="68"/>
        <v>0</v>
      </c>
      <c r="Q172" s="16">
        <f t="shared" ca="1" si="68"/>
        <v>0</v>
      </c>
      <c r="R172" s="16">
        <f t="shared" ca="1" si="68"/>
        <v>0</v>
      </c>
      <c r="S172" s="16">
        <f t="shared" ca="1" si="68"/>
        <v>0</v>
      </c>
    </row>
    <row r="173" spans="2:19" outlineLevel="1">
      <c r="B173" s="25"/>
      <c r="C173" s="33">
        <v>2025</v>
      </c>
      <c r="D173" s="39"/>
      <c r="E173" s="144"/>
      <c r="F173" s="144"/>
      <c r="G173" s="144"/>
      <c r="H173" s="190"/>
      <c r="I173" s="190"/>
      <c r="J173" s="311"/>
      <c r="K173" s="16"/>
      <c r="L173" s="16"/>
      <c r="M173" s="16"/>
      <c r="N173" s="16"/>
      <c r="O173" s="16">
        <f t="shared" si="68"/>
        <v>0</v>
      </c>
      <c r="P173" s="16">
        <f t="shared" si="68"/>
        <v>0</v>
      </c>
      <c r="Q173" s="16">
        <f t="shared" si="68"/>
        <v>0</v>
      </c>
      <c r="R173" s="16">
        <f t="shared" ca="1" si="68"/>
        <v>30.685906305168306</v>
      </c>
      <c r="S173" s="16">
        <f t="shared" ca="1" si="68"/>
        <v>30.685906305168306</v>
      </c>
    </row>
    <row r="174" spans="2:19" outlineLevel="1">
      <c r="B174" s="25"/>
      <c r="C174" s="33">
        <v>2026</v>
      </c>
      <c r="D174" s="39"/>
      <c r="E174" s="144"/>
      <c r="F174" s="144"/>
      <c r="G174" s="144"/>
      <c r="H174" s="190"/>
      <c r="I174" s="190"/>
      <c r="J174" s="311"/>
      <c r="K174" s="16"/>
      <c r="L174" s="16"/>
      <c r="M174" s="16"/>
      <c r="N174" s="16"/>
      <c r="O174" s="16">
        <f t="shared" si="68"/>
        <v>0</v>
      </c>
      <c r="P174" s="16">
        <f t="shared" si="68"/>
        <v>0</v>
      </c>
      <c r="Q174" s="16">
        <f t="shared" si="68"/>
        <v>0</v>
      </c>
      <c r="R174" s="16">
        <f t="shared" si="68"/>
        <v>0</v>
      </c>
      <c r="S174" s="16">
        <f t="shared" ca="1" si="68"/>
        <v>0</v>
      </c>
    </row>
    <row r="175" spans="2:19" outlineLevel="1">
      <c r="B175" s="475"/>
      <c r="C175" s="476">
        <v>2027</v>
      </c>
      <c r="D175" s="479"/>
      <c r="E175" s="480"/>
      <c r="F175" s="480"/>
      <c r="G175" s="480"/>
      <c r="H175" s="481"/>
      <c r="I175" s="481"/>
      <c r="J175" s="482"/>
      <c r="K175" s="397"/>
      <c r="L175" s="397"/>
      <c r="M175" s="16"/>
      <c r="N175" s="16"/>
      <c r="O175" s="16">
        <f t="shared" si="68"/>
        <v>0</v>
      </c>
      <c r="P175" s="16">
        <f t="shared" si="68"/>
        <v>0</v>
      </c>
      <c r="Q175" s="16">
        <f t="shared" si="68"/>
        <v>0</v>
      </c>
      <c r="R175" s="16">
        <f t="shared" si="68"/>
        <v>0</v>
      </c>
      <c r="S175" s="16">
        <f t="shared" si="68"/>
        <v>0</v>
      </c>
    </row>
    <row r="176" spans="2:19" outlineLevel="1">
      <c r="B176" s="475" t="s">
        <v>261</v>
      </c>
      <c r="C176" s="476"/>
      <c r="D176" s="397"/>
      <c r="E176" s="477"/>
      <c r="F176" s="478"/>
      <c r="G176" s="478"/>
      <c r="H176" s="478"/>
      <c r="I176" s="478"/>
      <c r="J176" s="478"/>
      <c r="K176" s="478"/>
      <c r="L176" s="478"/>
      <c r="M176" s="1268"/>
      <c r="N176" s="1268"/>
      <c r="O176" s="1268">
        <f>SUM(O169:O175)</f>
        <v>0</v>
      </c>
      <c r="P176" s="1268">
        <f t="shared" ref="P176:S176" ca="1" si="69">SUM(P169:P175)</f>
        <v>0</v>
      </c>
      <c r="Q176" s="1268">
        <f t="shared" ca="1" si="69"/>
        <v>0</v>
      </c>
      <c r="R176" s="1268">
        <f t="shared" ca="1" si="69"/>
        <v>30.685906305168306</v>
      </c>
      <c r="S176" s="1268">
        <f t="shared" ca="1" si="69"/>
        <v>30.685906305168306</v>
      </c>
    </row>
    <row r="177" spans="1:120" outlineLevel="1">
      <c r="B177" s="25"/>
      <c r="C177" s="33"/>
      <c r="D177" s="16"/>
      <c r="E177" s="93"/>
      <c r="F177" s="23"/>
      <c r="G177" s="23"/>
      <c r="H177" s="23"/>
      <c r="I177" s="23"/>
      <c r="J177" s="23"/>
      <c r="K177" s="23"/>
      <c r="L177" s="23"/>
      <c r="M177" s="23"/>
      <c r="N177" s="23"/>
      <c r="O177" s="23"/>
      <c r="P177" s="23"/>
      <c r="Q177" s="23"/>
      <c r="R177" s="23"/>
      <c r="S177" s="23"/>
    </row>
    <row r="178" spans="1:120" outlineLevel="1">
      <c r="B178" s="877" t="s">
        <v>262</v>
      </c>
      <c r="C178" s="99"/>
      <c r="D178" s="16"/>
      <c r="E178" s="93"/>
      <c r="F178" s="23"/>
      <c r="G178" s="23"/>
      <c r="H178" s="23"/>
      <c r="I178" s="23"/>
      <c r="J178" s="23"/>
      <c r="K178" s="23"/>
      <c r="L178" s="23"/>
      <c r="M178" s="23"/>
      <c r="N178" s="23"/>
      <c r="O178" s="23"/>
      <c r="P178" s="23"/>
      <c r="Q178" s="23"/>
      <c r="R178" s="23"/>
      <c r="S178" s="23"/>
    </row>
    <row r="179" spans="1:120" outlineLevel="1">
      <c r="B179" s="47" t="s">
        <v>185</v>
      </c>
      <c r="C179" s="51" t="s">
        <v>35</v>
      </c>
      <c r="D179" s="134"/>
      <c r="E179" s="134"/>
      <c r="F179" s="134"/>
      <c r="G179" s="1313"/>
      <c r="H179" s="1313"/>
      <c r="I179" s="1313"/>
      <c r="J179" s="1441"/>
      <c r="K179" s="924"/>
      <c r="L179" s="924"/>
      <c r="M179" s="924"/>
      <c r="N179" s="924"/>
      <c r="O179" s="924">
        <f>+O135+O154</f>
        <v>852.33881440696427</v>
      </c>
      <c r="P179" s="924">
        <f t="shared" ref="P179:S179" ca="1" si="70">+P135+P154</f>
        <v>627.35300226139475</v>
      </c>
      <c r="Q179" s="924">
        <f t="shared" ca="1" si="70"/>
        <v>281.46863757527245</v>
      </c>
      <c r="R179" s="924">
        <f t="shared" ca="1" si="70"/>
        <v>39.964782601995999</v>
      </c>
      <c r="S179" s="924">
        <f t="shared" ca="1" si="70"/>
        <v>13.066203642198399</v>
      </c>
    </row>
    <row r="180" spans="1:120" outlineLevel="1">
      <c r="B180" s="17" t="s">
        <v>237</v>
      </c>
      <c r="C180" s="18" t="s">
        <v>59</v>
      </c>
      <c r="D180" s="134"/>
      <c r="E180" s="134"/>
      <c r="F180" s="134"/>
      <c r="G180" s="284"/>
      <c r="H180" s="284"/>
      <c r="I180" s="284"/>
      <c r="J180" s="262"/>
      <c r="K180" s="102"/>
      <c r="L180" s="102"/>
      <c r="M180" s="102"/>
      <c r="N180" s="102"/>
      <c r="O180" s="102">
        <f t="shared" ref="O180:S180" si="71">+O136+O152</f>
        <v>5074.9655510399998</v>
      </c>
      <c r="P180" s="102">
        <f t="shared" ca="1" si="71"/>
        <v>4643.7241632799996</v>
      </c>
      <c r="Q180" s="102">
        <f t="shared" ca="1" si="71"/>
        <v>4212.4827755200004</v>
      </c>
      <c r="R180" s="102">
        <f t="shared" ca="1" si="71"/>
        <v>584.67091928584148</v>
      </c>
      <c r="S180" s="102">
        <f t="shared" ca="1" si="71"/>
        <v>122.74362522067322</v>
      </c>
    </row>
    <row r="181" spans="1:120" outlineLevel="1">
      <c r="B181" s="17" t="s">
        <v>239</v>
      </c>
      <c r="C181" s="18" t="s">
        <v>59</v>
      </c>
      <c r="D181" s="134"/>
      <c r="E181" s="134"/>
      <c r="F181" s="134"/>
      <c r="G181" s="284"/>
      <c r="H181" s="284"/>
      <c r="I181" s="284"/>
      <c r="J181" s="262"/>
      <c r="K181" s="102"/>
      <c r="L181" s="102"/>
      <c r="M181" s="102"/>
      <c r="N181" s="102"/>
      <c r="O181" s="102">
        <f t="shared" ref="O181:S181" ca="1" si="72">+O137+O147</f>
        <v>0</v>
      </c>
      <c r="P181" s="102">
        <f t="shared" ca="1" si="72"/>
        <v>0</v>
      </c>
      <c r="Q181" s="102">
        <f t="shared" ca="1" si="72"/>
        <v>153.42953152584153</v>
      </c>
      <c r="R181" s="102">
        <f t="shared" ca="1" si="72"/>
        <v>0</v>
      </c>
      <c r="S181" s="102">
        <f t="shared" ca="1" si="72"/>
        <v>0</v>
      </c>
    </row>
    <row r="182" spans="1:120" outlineLevel="1">
      <c r="B182" s="17" t="s">
        <v>50</v>
      </c>
      <c r="C182" s="18" t="s">
        <v>59</v>
      </c>
      <c r="D182" s="134"/>
      <c r="E182" s="134"/>
      <c r="F182" s="134"/>
      <c r="G182" s="284"/>
      <c r="H182" s="284"/>
      <c r="I182" s="284"/>
      <c r="J182" s="262"/>
      <c r="K182" s="102"/>
      <c r="L182" s="102"/>
      <c r="M182" s="102"/>
      <c r="N182" s="102"/>
      <c r="O182" s="102">
        <f t="shared" ref="O182:S182" si="73">+O138+O155</f>
        <v>-431.24138775999995</v>
      </c>
      <c r="P182" s="102">
        <f t="shared" ca="1" si="73"/>
        <v>-431.24138775999995</v>
      </c>
      <c r="Q182" s="102">
        <f t="shared" ca="1" si="73"/>
        <v>-3781.2413877600002</v>
      </c>
      <c r="R182" s="102">
        <f t="shared" ca="1" si="73"/>
        <v>-461.92729406516827</v>
      </c>
      <c r="S182" s="102">
        <f t="shared" ca="1" si="73"/>
        <v>-30.685906305168306</v>
      </c>
    </row>
    <row r="183" spans="1:120" outlineLevel="1">
      <c r="B183" s="25" t="s">
        <v>240</v>
      </c>
      <c r="C183" s="33" t="s">
        <v>59</v>
      </c>
      <c r="D183" s="39"/>
      <c r="E183" s="142"/>
      <c r="F183" s="142"/>
      <c r="G183" s="312"/>
      <c r="H183" s="312"/>
      <c r="I183" s="312"/>
      <c r="J183" s="313"/>
      <c r="K183" s="146"/>
      <c r="L183" s="146"/>
      <c r="M183" s="146"/>
      <c r="N183" s="146"/>
      <c r="O183" s="146">
        <f ca="1">+O139+O157</f>
        <v>4643.7241632799996</v>
      </c>
      <c r="P183" s="146">
        <f t="shared" ref="P183:S183" ca="1" si="74">+P139+P157</f>
        <v>4212.4827755199994</v>
      </c>
      <c r="Q183" s="146">
        <f t="shared" ca="1" si="74"/>
        <v>584.67091928584171</v>
      </c>
      <c r="R183" s="146">
        <f t="shared" ca="1" si="74"/>
        <v>122.74362522067322</v>
      </c>
      <c r="S183" s="146">
        <f t="shared" ca="1" si="74"/>
        <v>92.057718915504921</v>
      </c>
    </row>
    <row r="184" spans="1:120" outlineLevel="1">
      <c r="B184" s="17" t="s">
        <v>250</v>
      </c>
      <c r="C184" s="18" t="s">
        <v>251</v>
      </c>
      <c r="D184" s="271"/>
      <c r="E184" s="271"/>
      <c r="F184" s="271"/>
      <c r="G184" s="384"/>
      <c r="H184" s="384"/>
      <c r="I184" s="384"/>
      <c r="J184" s="314"/>
      <c r="K184" s="1307"/>
      <c r="L184" s="1307"/>
      <c r="M184" s="1307"/>
      <c r="N184" s="1307"/>
      <c r="O184" s="1307">
        <f ca="1">+O183/'Annual FS'!O43</f>
        <v>0.75267749936468031</v>
      </c>
      <c r="P184" s="1307">
        <f ca="1">+P183/'Annual FS'!P43</f>
        <v>0.58976936913352729</v>
      </c>
      <c r="Q184" s="1307">
        <f ca="1">+Q183/'Annual FS'!Q43</f>
        <v>7.9491869777813209E-2</v>
      </c>
      <c r="R184" s="1307">
        <f ca="1">+R183/'Annual FS'!R43</f>
        <v>1.4889674325600549E-2</v>
      </c>
      <c r="S184" s="1307">
        <f ca="1">+S183/'Annual FS'!S43</f>
        <v>1.0752344599764365E-2</v>
      </c>
    </row>
    <row r="185" spans="1:120" outlineLevel="1">
      <c r="A185" s="58"/>
      <c r="B185" s="47"/>
      <c r="C185" s="51"/>
      <c r="D185" s="16"/>
      <c r="E185" s="16"/>
      <c r="F185" s="16"/>
      <c r="G185" s="48"/>
      <c r="H185" s="1314"/>
      <c r="I185" s="48"/>
      <c r="J185" s="76"/>
      <c r="K185" s="76"/>
      <c r="L185" s="76"/>
      <c r="M185" s="76"/>
      <c r="N185" s="76"/>
      <c r="O185" s="76">
        <f t="shared" ref="O185:S185" ca="1" si="75">+O179/AVERAGE(O183,O180)</f>
        <v>0.17540200159926619</v>
      </c>
      <c r="P185" s="76">
        <f t="shared" ca="1" si="75"/>
        <v>0.14167532592602225</v>
      </c>
      <c r="Q185" s="76">
        <f t="shared" ca="1" si="75"/>
        <v>0.11734818414512546</v>
      </c>
      <c r="R185" s="76">
        <f t="shared" ca="1" si="75"/>
        <v>0.11298829777347885</v>
      </c>
      <c r="S185" s="76">
        <f t="shared" ca="1" si="75"/>
        <v>0.12165849049729209</v>
      </c>
    </row>
    <row r="186" spans="1:120">
      <c r="B186" s="17"/>
      <c r="C186" s="18"/>
      <c r="D186" s="16"/>
      <c r="E186" s="23"/>
      <c r="F186" s="101"/>
      <c r="G186" s="77"/>
      <c r="H186" s="77"/>
      <c r="I186" s="77"/>
      <c r="J186" s="77"/>
      <c r="K186" s="77"/>
      <c r="L186" s="77"/>
    </row>
    <row r="187" spans="1:120">
      <c r="A187" s="471" t="s">
        <v>263</v>
      </c>
      <c r="B187" s="471"/>
      <c r="C187" s="471"/>
      <c r="D187" s="471">
        <v>2012</v>
      </c>
      <c r="E187" s="471">
        <v>2013</v>
      </c>
      <c r="F187" s="471">
        <v>2014</v>
      </c>
      <c r="G187" s="471">
        <v>2015</v>
      </c>
      <c r="H187" s="471">
        <v>2016</v>
      </c>
      <c r="I187" s="471">
        <v>2017</v>
      </c>
      <c r="J187" s="471">
        <v>2018</v>
      </c>
      <c r="K187" s="471">
        <v>2019</v>
      </c>
      <c r="L187" s="471">
        <v>2020</v>
      </c>
      <c r="M187" s="471">
        <v>2021</v>
      </c>
      <c r="N187" s="471">
        <v>2022</v>
      </c>
      <c r="O187" s="470">
        <v>2023</v>
      </c>
      <c r="P187" s="470">
        <v>2024</v>
      </c>
      <c r="Q187" s="470">
        <v>2025</v>
      </c>
      <c r="R187" s="470">
        <v>2026</v>
      </c>
      <c r="S187" s="470">
        <v>2027</v>
      </c>
      <c r="T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row>
    <row r="188" spans="1:120" outlineLevel="1"/>
    <row r="189" spans="1:120" outlineLevel="1">
      <c r="B189" s="1315" t="s">
        <v>264</v>
      </c>
      <c r="C189" s="194"/>
      <c r="D189" s="194"/>
      <c r="E189" s="194"/>
      <c r="F189" s="194"/>
      <c r="G189" s="194"/>
      <c r="H189" s="194"/>
      <c r="I189" s="194"/>
      <c r="J189" s="194"/>
    </row>
    <row r="190" spans="1:120" outlineLevel="1">
      <c r="B190" s="47" t="s">
        <v>112</v>
      </c>
      <c r="C190" s="51" t="s">
        <v>59</v>
      </c>
      <c r="D190" s="38">
        <f>+'Annual FS'!D75</f>
        <v>3835.39230219</v>
      </c>
      <c r="E190" s="38">
        <f>+'Annual FS'!E75</f>
        <v>4645.1392445599995</v>
      </c>
      <c r="F190" s="38">
        <f>+'Annual FS'!F75</f>
        <v>3701.5536533199993</v>
      </c>
      <c r="G190" s="68">
        <f>+'Annual FS'!G75</f>
        <v>1554.79484645</v>
      </c>
      <c r="H190" s="68">
        <f>+'Annual FS'!H75</f>
        <v>994.77457359000005</v>
      </c>
      <c r="I190" s="68">
        <f>+'Annual FS'!I75</f>
        <v>1388.09621137</v>
      </c>
      <c r="J190" s="68">
        <f>+'Annual FS'!J75</f>
        <v>571.73365359000002</v>
      </c>
      <c r="K190" s="68">
        <f>+'Annual FS'!K75</f>
        <v>1771.27937219</v>
      </c>
      <c r="L190" s="68">
        <f>+'Annual FS'!L75</f>
        <v>1512.67682281</v>
      </c>
      <c r="M190" s="68">
        <f>+'Annual FS'!M75</f>
        <v>747.73482663000004</v>
      </c>
      <c r="N190" s="1420">
        <f>+'Annual FS'!N75</f>
        <v>1780.0150192999999</v>
      </c>
      <c r="O190" s="1316"/>
      <c r="P190" s="1316"/>
      <c r="Q190" s="1316"/>
      <c r="R190" s="1316"/>
      <c r="S190" s="1316"/>
    </row>
    <row r="191" spans="1:120" outlineLevel="1">
      <c r="B191" s="17" t="s">
        <v>114</v>
      </c>
      <c r="C191" s="18" t="s">
        <v>59</v>
      </c>
      <c r="D191" s="38">
        <f>+'Annual FS'!D77</f>
        <v>4800.9107446899998</v>
      </c>
      <c r="E191" s="38">
        <f>+'Annual FS'!E77</f>
        <v>6206.8621487499995</v>
      </c>
      <c r="F191" s="38">
        <f>+'Annual FS'!F77</f>
        <v>10590.56282719</v>
      </c>
      <c r="G191" s="38">
        <f>+'Annual FS'!G77</f>
        <v>5721.5446691199995</v>
      </c>
      <c r="H191" s="38">
        <f>+'Annual FS'!H77</f>
        <v>4518.0038039999999</v>
      </c>
      <c r="I191" s="38">
        <f>+'Annual FS'!I77</f>
        <v>3946.1515562899999</v>
      </c>
      <c r="J191" s="38">
        <f>+'Annual FS'!J77</f>
        <v>4555.0173417400001</v>
      </c>
      <c r="K191" s="38">
        <f>+'Annual FS'!K77</f>
        <v>4497.4228453100004</v>
      </c>
      <c r="L191" s="38">
        <f>+'Annual FS'!L77</f>
        <v>2589.6019576599997</v>
      </c>
      <c r="M191" s="38">
        <f>+'Annual FS'!M77</f>
        <v>4112.5312060900005</v>
      </c>
      <c r="N191" s="168">
        <f>+'Annual FS'!N77</f>
        <v>8241.4661028299997</v>
      </c>
      <c r="O191" s="38">
        <f>+('Annual FS'!O5*O204)/365</f>
        <v>7521.6586360152796</v>
      </c>
      <c r="P191" s="38">
        <f>+('Annual FS'!P5*P204)/365</f>
        <v>8488.6232484365264</v>
      </c>
      <c r="Q191" s="38">
        <f>+('Annual FS'!Q5*Q204)/365</f>
        <v>8811.6455834709177</v>
      </c>
      <c r="R191" s="38">
        <f>+('Annual FS'!R5*R204)/365</f>
        <v>9659.8905220293163</v>
      </c>
      <c r="S191" s="38">
        <f>+('Annual FS'!S5*S204)/365</f>
        <v>10049.184110067097</v>
      </c>
    </row>
    <row r="192" spans="1:120" outlineLevel="1">
      <c r="B192" s="17" t="s">
        <v>68</v>
      </c>
      <c r="C192" s="18" t="s">
        <v>59</v>
      </c>
      <c r="D192" s="38">
        <f>+'Annual FS'!D78</f>
        <v>3463.3354494200003</v>
      </c>
      <c r="E192" s="38">
        <f>+'Annual FS'!E78</f>
        <v>4657.64484705</v>
      </c>
      <c r="F192" s="38">
        <f>+'Annual FS'!F78</f>
        <v>5112.3382132200004</v>
      </c>
      <c r="G192" s="38">
        <f>+'Annual FS'!G78</f>
        <v>3277.0963567700001</v>
      </c>
      <c r="H192" s="38">
        <f>+'Annual FS'!H78</f>
        <v>1528</v>
      </c>
      <c r="I192" s="38">
        <f>+'Annual FS'!I78</f>
        <v>1657.90942002</v>
      </c>
      <c r="J192" s="38">
        <f>+'Annual FS'!J78</f>
        <v>1594.9852257299999</v>
      </c>
      <c r="K192" s="38">
        <f>+'Annual FS'!K78</f>
        <v>2910.1309270500001</v>
      </c>
      <c r="L192" s="38">
        <f>+'Annual FS'!L78</f>
        <v>1870.0387588699998</v>
      </c>
      <c r="M192" s="38">
        <f>+'Annual FS'!M78</f>
        <v>1910.29391154</v>
      </c>
      <c r="N192" s="168">
        <f>+'Annual FS'!N78</f>
        <v>3634.91686338</v>
      </c>
      <c r="O192" s="38">
        <f>+('Annual FS'!O5*O205)/365</f>
        <v>3672.5920831264775</v>
      </c>
      <c r="P192" s="38">
        <f>+('Annual FS'!P5*P205)/365</f>
        <v>4144.7308429523382</v>
      </c>
      <c r="Q192" s="38">
        <f>+('Annual FS'!Q5*Q205)/365</f>
        <v>4302.4526072238441</v>
      </c>
      <c r="R192" s="38">
        <f>+('Annual FS'!R5*R205)/365</f>
        <v>4716.6242409889246</v>
      </c>
      <c r="S192" s="38">
        <f>+('Annual FS'!S5*S205)/365</f>
        <v>4906.704197900779</v>
      </c>
    </row>
    <row r="193" spans="2:19" outlineLevel="1">
      <c r="B193" s="17" t="s">
        <v>115</v>
      </c>
      <c r="C193" s="18" t="s">
        <v>59</v>
      </c>
      <c r="D193" s="38">
        <f>+'Annual FS'!D79</f>
        <v>548.95273213999997</v>
      </c>
      <c r="E193" s="38">
        <f>+'Annual FS'!E79</f>
        <v>404.07414027000004</v>
      </c>
      <c r="F193" s="38">
        <f>+'Annual FS'!F79</f>
        <v>308.08695413999999</v>
      </c>
      <c r="G193" s="38">
        <f>+'Annual FS'!G79</f>
        <v>385.65959927</v>
      </c>
      <c r="H193" s="38">
        <f>+'Annual FS'!H79</f>
        <v>348.22277494000002</v>
      </c>
      <c r="I193" s="38">
        <f>+'Annual FS'!I79</f>
        <v>584.44420807000006</v>
      </c>
      <c r="J193" s="38">
        <f>+'Annual FS'!J79</f>
        <v>664.91499580999994</v>
      </c>
      <c r="K193" s="38">
        <f>+'Annual FS'!K79</f>
        <v>913.49819362000005</v>
      </c>
      <c r="L193" s="38">
        <f>+'Annual FS'!L79</f>
        <v>1152.97058655</v>
      </c>
      <c r="M193" s="38">
        <f>+'Annual FS'!M79</f>
        <v>1260.6158910300001</v>
      </c>
      <c r="N193" s="168">
        <f>+'Annual FS'!N79</f>
        <v>652.28043898999999</v>
      </c>
      <c r="O193" s="38">
        <f>-+('Annual FS'!O13*O206)/365</f>
        <v>630.87746753245676</v>
      </c>
      <c r="P193" s="38">
        <f>-+('Annual FS'!P13*P206)/365</f>
        <v>709.27571149026016</v>
      </c>
      <c r="Q193" s="38">
        <f>-+('Annual FS'!Q13*Q206)/365</f>
        <v>736.4776464826034</v>
      </c>
      <c r="R193" s="38">
        <f>-+('Annual FS'!R13*R206)/365</f>
        <v>805.08296857747337</v>
      </c>
      <c r="S193" s="38">
        <f>-+('Annual FS'!S13*S206)/365</f>
        <v>837.3940730989018</v>
      </c>
    </row>
    <row r="194" spans="2:19" outlineLevel="1">
      <c r="B194" s="17" t="s">
        <v>116</v>
      </c>
      <c r="C194" s="18" t="s">
        <v>59</v>
      </c>
      <c r="D194" s="38">
        <f t="shared" ref="D194:Q194" si="76">+SUM(D195:D198)</f>
        <v>303.26433100999998</v>
      </c>
      <c r="E194" s="38">
        <f t="shared" si="76"/>
        <v>616.57358817999989</v>
      </c>
      <c r="F194" s="38">
        <f t="shared" si="76"/>
        <v>1005.4924514600001</v>
      </c>
      <c r="G194" s="55">
        <f t="shared" si="76"/>
        <v>324.80004122000003</v>
      </c>
      <c r="H194" s="55">
        <f t="shared" si="76"/>
        <v>543.70467169000005</v>
      </c>
      <c r="I194" s="55">
        <f>+SUM(I195:I198)</f>
        <v>741.32012697999994</v>
      </c>
      <c r="J194" s="55">
        <f>+SUM(J195:J198)</f>
        <v>428.14857602999996</v>
      </c>
      <c r="K194" s="55">
        <f t="shared" si="76"/>
        <v>352.76158563999996</v>
      </c>
      <c r="L194" s="55">
        <f t="shared" si="76"/>
        <v>452.98577540999997</v>
      </c>
      <c r="M194" s="55">
        <f t="shared" ref="M194" si="77">+SUM(M195:M198)</f>
        <v>372.89824778000002</v>
      </c>
      <c r="N194" s="169">
        <f t="shared" ref="N194" si="78">+SUM(N195:N198)</f>
        <v>268.87641309000003</v>
      </c>
      <c r="O194" s="55">
        <f t="shared" si="76"/>
        <v>268.38108199642841</v>
      </c>
      <c r="P194" s="55">
        <f t="shared" si="76"/>
        <v>282.78248073267548</v>
      </c>
      <c r="Q194" s="55">
        <f t="shared" si="76"/>
        <v>288.08480578195002</v>
      </c>
      <c r="R194" s="55">
        <f>+SUM(R195:R198)</f>
        <v>300.56991334705907</v>
      </c>
      <c r="S194" s="55">
        <f>+SUM(S195:S198)</f>
        <v>306.69185607161052</v>
      </c>
    </row>
    <row r="195" spans="2:19" outlineLevel="1">
      <c r="B195" s="29" t="s">
        <v>265</v>
      </c>
      <c r="C195" s="18" t="s">
        <v>59</v>
      </c>
      <c r="D195" s="38">
        <f>+'Annual FS'!D81</f>
        <v>45.683813000000001</v>
      </c>
      <c r="E195" s="38">
        <f>+'Annual FS'!E81</f>
        <v>151.64571827999998</v>
      </c>
      <c r="F195" s="38">
        <f>+'Annual FS'!F81</f>
        <v>217.41029005000001</v>
      </c>
      <c r="G195" s="38">
        <f>+'Annual FS'!G81</f>
        <v>12.34993755</v>
      </c>
      <c r="H195" s="38">
        <f>+'Annual FS'!H81</f>
        <v>2.6406670000000001</v>
      </c>
      <c r="I195" s="38">
        <f>+'Annual FS'!I81</f>
        <v>5.3220590000000003</v>
      </c>
      <c r="J195" s="38">
        <f>+'Annual FS'!J81</f>
        <v>51.467167000000003</v>
      </c>
      <c r="K195" s="38">
        <f>+'Annual FS'!K81</f>
        <v>32.640667000000001</v>
      </c>
      <c r="L195" s="38">
        <f>+'Annual FS'!L81</f>
        <v>130.80366700000002</v>
      </c>
      <c r="M195" s="38">
        <f>+'Annual FS'!M81</f>
        <v>63.773608000000003</v>
      </c>
      <c r="N195" s="168">
        <f>+'Annual FS'!N81</f>
        <v>99.709997000000001</v>
      </c>
      <c r="O195" s="38">
        <f>-+(('Annual FS'!O13+'Annual FS'!O27)*O207)/365</f>
        <v>99.843564508926548</v>
      </c>
      <c r="P195" s="38">
        <f>-+(('Annual FS'!P13+'Annual FS'!P27)*P207)/365</f>
        <v>111.94133236096793</v>
      </c>
      <c r="Q195" s="38">
        <f>-+(('Annual FS'!Q13+'Annual FS'!Q27)*Q207)/365</f>
        <v>116.44436377310129</v>
      </c>
      <c r="R195" s="38">
        <f>-+(('Annual FS'!R13+'Annual FS'!R27)*R207)/365</f>
        <v>126.9135927825161</v>
      </c>
      <c r="S195" s="38">
        <f>-+(('Annual FS'!S13+'Annual FS'!S27)*S207)/365</f>
        <v>132.08611553895676</v>
      </c>
    </row>
    <row r="196" spans="2:19" outlineLevel="1">
      <c r="B196" s="29" t="s">
        <v>117</v>
      </c>
      <c r="C196" s="18" t="s">
        <v>59</v>
      </c>
      <c r="D196" s="38">
        <f>+'Annual FS'!D82</f>
        <v>214.44639749999999</v>
      </c>
      <c r="E196" s="38">
        <f>+'Annual FS'!E82</f>
        <v>53.165152459999995</v>
      </c>
      <c r="F196" s="38">
        <f>+'Annual FS'!F82</f>
        <v>608.19288423000012</v>
      </c>
      <c r="G196" s="38">
        <f>+'Annual FS'!G82</f>
        <v>38.940740820000002</v>
      </c>
      <c r="H196" s="38">
        <f>+'Annual FS'!H82</f>
        <v>28.178694359999998</v>
      </c>
      <c r="I196" s="38">
        <f>+'Annual FS'!I82</f>
        <v>373.24613364999999</v>
      </c>
      <c r="J196" s="38">
        <f>+'Annual FS'!J82</f>
        <v>13.9294747</v>
      </c>
      <c r="K196" s="38">
        <f>+'Annual FS'!K82</f>
        <v>20.12091882</v>
      </c>
      <c r="L196" s="38">
        <f>+'Annual FS'!L82</f>
        <v>22.182108589999999</v>
      </c>
      <c r="M196" s="38">
        <f>+'Annual FS'!M82</f>
        <v>9.124639779999999</v>
      </c>
      <c r="N196" s="168">
        <f>+'Annual FS'!N82</f>
        <v>19.166416089999998</v>
      </c>
      <c r="O196" s="38">
        <f>-+('Annual FS'!O13*O208)/365</f>
        <v>18.537517487501884</v>
      </c>
      <c r="P196" s="38">
        <f>-+('Annual FS'!P13*P208)/365</f>
        <v>20.84114837170754</v>
      </c>
      <c r="Q196" s="38">
        <f>-+('Annual FS'!Q13*Q208)/365</f>
        <v>21.640442008848748</v>
      </c>
      <c r="R196" s="38">
        <f>-+('Annual FS'!R13*R208)/365</f>
        <v>23.656320564542963</v>
      </c>
      <c r="S196" s="38">
        <f>-+('Annual FS'!S13*S208)/365</f>
        <v>24.605740532653751</v>
      </c>
    </row>
    <row r="197" spans="2:19" outlineLevel="1">
      <c r="B197" s="29" t="s">
        <v>266</v>
      </c>
      <c r="C197" s="18" t="s">
        <v>59</v>
      </c>
      <c r="D197" s="38">
        <f>+'Annual FS'!D83</f>
        <v>31.423399370000002</v>
      </c>
      <c r="E197" s="38">
        <f>+'Annual FS'!E83</f>
        <v>16.72475318</v>
      </c>
      <c r="F197" s="38">
        <f>+'Annual FS'!F83</f>
        <v>16.72475318</v>
      </c>
      <c r="G197" s="38">
        <f>+'Annual FS'!G83</f>
        <v>122.75193418000001</v>
      </c>
      <c r="H197" s="38">
        <f>+'Annual FS'!H83</f>
        <v>512.88531033000004</v>
      </c>
      <c r="I197" s="38">
        <f>+'Annual FS'!I83</f>
        <v>362.75193432999998</v>
      </c>
      <c r="J197" s="38">
        <f>+'Annual FS'!J83</f>
        <v>362.75193432999998</v>
      </c>
      <c r="K197" s="38">
        <f>+'Annual FS'!K83</f>
        <v>299.99999981999997</v>
      </c>
      <c r="L197" s="38">
        <f>+'Annual FS'!L83</f>
        <v>299.99999981999997</v>
      </c>
      <c r="M197" s="38">
        <f>+'Annual FS'!M83</f>
        <v>300</v>
      </c>
      <c r="N197" s="168">
        <f>+'Annual FS'!N83</f>
        <v>150</v>
      </c>
      <c r="O197" s="55">
        <f t="shared" ref="O197:O199" si="79">+N197</f>
        <v>150</v>
      </c>
      <c r="P197" s="55">
        <f t="shared" ref="P197:S197" si="80">+O197</f>
        <v>150</v>
      </c>
      <c r="Q197" s="55">
        <f t="shared" si="80"/>
        <v>150</v>
      </c>
      <c r="R197" s="55">
        <f t="shared" si="80"/>
        <v>150</v>
      </c>
      <c r="S197" s="55">
        <f t="shared" si="80"/>
        <v>150</v>
      </c>
    </row>
    <row r="198" spans="2:19" outlineLevel="1">
      <c r="B198" s="29" t="s">
        <v>119</v>
      </c>
      <c r="C198" s="18" t="s">
        <v>59</v>
      </c>
      <c r="D198" s="38">
        <f>+'Annual FS'!D84</f>
        <v>11.71072114</v>
      </c>
      <c r="E198" s="38">
        <f>+'Annual FS'!E84</f>
        <v>395.03796425999997</v>
      </c>
      <c r="F198" s="38">
        <f>+'Annual FS'!F84</f>
        <v>163.164524</v>
      </c>
      <c r="G198" s="38">
        <f>+'Annual FS'!G84</f>
        <v>150.75742867</v>
      </c>
      <c r="H198" s="38">
        <f>+'Annual FS'!H84</f>
        <v>0</v>
      </c>
      <c r="I198" s="38">
        <f>+'Annual FS'!I84</f>
        <v>0</v>
      </c>
      <c r="J198" s="38">
        <f>+'Annual FS'!J84</f>
        <v>0</v>
      </c>
      <c r="K198" s="38">
        <f>+'Annual FS'!K84</f>
        <v>0</v>
      </c>
      <c r="L198" s="38">
        <f>+'Annual FS'!L84</f>
        <v>0</v>
      </c>
      <c r="M198" s="38">
        <f>+'Annual FS'!M84</f>
        <v>0</v>
      </c>
      <c r="N198" s="168">
        <f>+'Annual FS'!N84</f>
        <v>0</v>
      </c>
      <c r="O198" s="55">
        <f t="shared" si="79"/>
        <v>0</v>
      </c>
      <c r="P198" s="55">
        <f t="shared" ref="P198" si="81">+O198</f>
        <v>0</v>
      </c>
      <c r="Q198" s="55">
        <f t="shared" ref="Q198" si="82">+P198</f>
        <v>0</v>
      </c>
      <c r="R198" s="55">
        <f t="shared" ref="R198" si="83">+Q198</f>
        <v>0</v>
      </c>
      <c r="S198" s="55">
        <f t="shared" ref="S198" si="84">+R198</f>
        <v>0</v>
      </c>
    </row>
    <row r="199" spans="2:19" outlineLevel="1">
      <c r="B199" s="17" t="s">
        <v>93</v>
      </c>
      <c r="C199" s="18" t="s">
        <v>59</v>
      </c>
      <c r="D199" s="38">
        <f>+'Annual FS'!D85</f>
        <v>-26.549074000000001</v>
      </c>
      <c r="E199" s="38">
        <f>+'Annual FS'!E85</f>
        <v>-26.025024420000001</v>
      </c>
      <c r="F199" s="38">
        <f>+'Annual FS'!F85</f>
        <v>-11.814254</v>
      </c>
      <c r="G199" s="38">
        <f>+'Annual FS'!G85</f>
        <v>-1206</v>
      </c>
      <c r="H199" s="38">
        <f>+'Annual FS'!H85</f>
        <v>-911.79222283000001</v>
      </c>
      <c r="I199" s="38">
        <f>+'Annual FS'!I85</f>
        <v>-296.68854314999999</v>
      </c>
      <c r="J199" s="38">
        <f>+'Annual FS'!J85</f>
        <v>0</v>
      </c>
      <c r="K199" s="38">
        <f>+'Annual FS'!K85</f>
        <v>0</v>
      </c>
      <c r="L199" s="38">
        <f>+'Annual FS'!L85</f>
        <v>0</v>
      </c>
      <c r="M199" s="38">
        <f>+'Annual FS'!M85</f>
        <v>0</v>
      </c>
      <c r="N199" s="168">
        <f>+'Annual FS'!N85</f>
        <v>0</v>
      </c>
      <c r="O199" s="55">
        <f t="shared" si="79"/>
        <v>0</v>
      </c>
      <c r="P199" s="55">
        <f t="shared" ref="P199:S199" si="85">+O199</f>
        <v>0</v>
      </c>
      <c r="Q199" s="55">
        <f t="shared" si="85"/>
        <v>0</v>
      </c>
      <c r="R199" s="55">
        <f t="shared" si="85"/>
        <v>0</v>
      </c>
      <c r="S199" s="55">
        <f t="shared" si="85"/>
        <v>0</v>
      </c>
    </row>
    <row r="200" spans="2:19" outlineLevel="1">
      <c r="B200" s="329" t="s">
        <v>120</v>
      </c>
      <c r="C200" s="330" t="s">
        <v>59</v>
      </c>
      <c r="D200" s="332">
        <f>+'Annual FS'!D86</f>
        <v>232.59635890000001</v>
      </c>
      <c r="E200" s="332">
        <f>+'Annual FS'!E86</f>
        <v>714.09852129000001</v>
      </c>
      <c r="F200" s="332">
        <f>+'Annual FS'!F86</f>
        <v>1208.11500757</v>
      </c>
      <c r="G200" s="332">
        <f>+'Annual FS'!G86</f>
        <v>1556.22209294</v>
      </c>
      <c r="H200" s="332">
        <f>+'Annual FS'!H86</f>
        <v>564.72858364000001</v>
      </c>
      <c r="I200" s="332">
        <f>+'Annual FS'!I86</f>
        <v>453.94956701000001</v>
      </c>
      <c r="J200" s="332">
        <f>+'Annual FS'!J86</f>
        <v>402.37003901999998</v>
      </c>
      <c r="K200" s="265">
        <f>+'Annual FS'!K86</f>
        <v>593.05163258000005</v>
      </c>
      <c r="L200" s="265">
        <f>+'Annual FS'!L86</f>
        <v>563.26085105999994</v>
      </c>
      <c r="M200" s="265">
        <f>+'Annual FS'!M86</f>
        <v>118.81564142000001</v>
      </c>
      <c r="N200" s="298">
        <f>+'Annual FS'!N86</f>
        <v>323.60087664999998</v>
      </c>
      <c r="O200" s="332">
        <f>+('Annual FS'!O5*O212)</f>
        <v>326.95493799340159</v>
      </c>
      <c r="P200" s="332">
        <f>+('Annual FS'!P5*P212)</f>
        <v>368.98740319757758</v>
      </c>
      <c r="Q200" s="332">
        <f>+('Annual FS'!Q5*Q212)</f>
        <v>383.02868752494027</v>
      </c>
      <c r="R200" s="332">
        <f>+('Annual FS'!R5*R212)</f>
        <v>419.90059101197511</v>
      </c>
      <c r="S200" s="332">
        <f>+('Annual FS'!S5*S212)</f>
        <v>436.82258482975772</v>
      </c>
    </row>
    <row r="201" spans="2:19" outlineLevel="1">
      <c r="J201" s="28"/>
      <c r="K201" s="28"/>
      <c r="L201" s="28"/>
      <c r="M201" s="28"/>
      <c r="N201" s="28"/>
      <c r="O201" s="28"/>
      <c r="P201" s="28"/>
      <c r="Q201" s="28"/>
      <c r="R201" s="28"/>
      <c r="S201" s="28"/>
    </row>
    <row r="202" spans="2:19" outlineLevel="1">
      <c r="B202" s="1315" t="s">
        <v>267</v>
      </c>
      <c r="C202" s="194"/>
      <c r="D202" s="194"/>
      <c r="E202" s="194"/>
      <c r="F202" s="194"/>
      <c r="G202" s="194"/>
      <c r="H202" s="194"/>
      <c r="I202" s="194"/>
      <c r="J202" s="194"/>
    </row>
    <row r="203" spans="2:19" outlineLevel="1">
      <c r="B203" s="47" t="s">
        <v>268</v>
      </c>
      <c r="C203" s="18" t="s">
        <v>269</v>
      </c>
      <c r="D203" s="55">
        <f>-+D190/'Annual FS'!D13*365</f>
        <v>61.088554804555955</v>
      </c>
      <c r="E203" s="55">
        <f>-+E190/'Annual FS'!E13*365</f>
        <v>75.427358208345751</v>
      </c>
      <c r="F203" s="55">
        <f>-+F190/'Annual FS'!F13*365</f>
        <v>58.235934057225769</v>
      </c>
      <c r="G203" s="68">
        <f>-+G190/'Annual FS'!G13*365</f>
        <v>44.407886579958316</v>
      </c>
      <c r="H203" s="68">
        <f>-+H190/'Annual FS'!H13*365</f>
        <v>70.695119980401657</v>
      </c>
      <c r="I203" s="68">
        <f>-+I190/'Annual FS'!I13*365</f>
        <v>60.841215964586688</v>
      </c>
      <c r="J203" s="68">
        <f>-+J190/'Annual FS'!J13*365</f>
        <v>22.00993095353326</v>
      </c>
      <c r="K203" s="68">
        <f>-+K190/'Annual FS'!K13*365</f>
        <v>45.605739667117021</v>
      </c>
      <c r="L203" s="68">
        <f>-+L190/'Annual FS'!L13*365</f>
        <v>67.885757623452321</v>
      </c>
      <c r="M203" s="68">
        <f>-+M190/'Annual FS'!M13*365</f>
        <v>28.560786101840115</v>
      </c>
      <c r="N203" s="68">
        <f>-+N190/'Annual FS'!N13*365</f>
        <v>30.715936738024674</v>
      </c>
      <c r="O203" s="1317"/>
      <c r="P203" s="1317"/>
      <c r="Q203" s="1317"/>
      <c r="R203" s="1317"/>
      <c r="S203" s="1317"/>
    </row>
    <row r="204" spans="2:19" outlineLevel="1">
      <c r="B204" s="17" t="s">
        <v>270</v>
      </c>
      <c r="C204" s="18" t="s">
        <v>269</v>
      </c>
      <c r="D204" s="55">
        <f>+D191/'Annual FS'!D5*365</f>
        <v>48.298412159223439</v>
      </c>
      <c r="E204" s="55">
        <f>+E191/'Annual FS'!E5*365</f>
        <v>61.637530024645862</v>
      </c>
      <c r="F204" s="55">
        <f>+F191/'Annual FS'!F5*365</f>
        <v>98.152940565534152</v>
      </c>
      <c r="G204" s="38">
        <f>+G191/'Annual FS'!G5*365</f>
        <v>123.91803619406896</v>
      </c>
      <c r="H204" s="38">
        <f>+H191/'Annual FS'!H5*365</f>
        <v>268.05334930555557</v>
      </c>
      <c r="I204" s="38">
        <f>+I191/'Annual FS'!I5*365</f>
        <v>105.68382667353289</v>
      </c>
      <c r="J204" s="38">
        <f>+J191/'Annual FS'!J5*365</f>
        <v>117.49248105353398</v>
      </c>
      <c r="K204" s="38">
        <f>+K191/'Annual FS'!K5*365</f>
        <v>77.324989430540597</v>
      </c>
      <c r="L204" s="38">
        <f>+L191/'Annual FS'!L5*365</f>
        <v>74.89803175898885</v>
      </c>
      <c r="M204" s="38">
        <f>+M191/'Annual FS'!M5*365</f>
        <v>99.344049674198459</v>
      </c>
      <c r="N204" s="168">
        <f>+N191/'Annual FS'!N5*365</f>
        <v>99.634920388147435</v>
      </c>
      <c r="O204" s="36">
        <v>90</v>
      </c>
      <c r="P204" s="325">
        <f t="shared" ref="P204:S204" si="86">+O204</f>
        <v>90</v>
      </c>
      <c r="Q204" s="325">
        <f t="shared" si="86"/>
        <v>90</v>
      </c>
      <c r="R204" s="325">
        <f t="shared" si="86"/>
        <v>90</v>
      </c>
      <c r="S204" s="325">
        <f t="shared" si="86"/>
        <v>90</v>
      </c>
    </row>
    <row r="205" spans="2:19" outlineLevel="1">
      <c r="B205" s="17" t="s">
        <v>271</v>
      </c>
      <c r="C205" s="18" t="s">
        <v>269</v>
      </c>
      <c r="D205" s="55">
        <f>+D192/'Annual FS'!D5*365</f>
        <v>34.842056409140248</v>
      </c>
      <c r="E205" s="55">
        <f>+E192/'Annual FS'!E5*365</f>
        <v>46.252956360888035</v>
      </c>
      <c r="F205" s="55">
        <f>+F192/'Annual FS'!F5*365</f>
        <v>47.380959537372597</v>
      </c>
      <c r="G205" s="38">
        <f>+G192/'Annual FS'!G5*365</f>
        <v>70.975823564117206</v>
      </c>
      <c r="H205" s="38">
        <f>+H192/'Annual FS'!H5*365</f>
        <v>90.656302098786128</v>
      </c>
      <c r="I205" s="38">
        <f>+I192/'Annual FS'!I5*365</f>
        <v>44.401288010980473</v>
      </c>
      <c r="J205" s="38">
        <f>+J192/'Annual FS'!J5*365</f>
        <v>41.141176279948688</v>
      </c>
      <c r="K205" s="38">
        <f>+K192/'Annual FS'!K5*365</f>
        <v>50.034397679615971</v>
      </c>
      <c r="L205" s="38">
        <f>+L192/'Annual FS'!L5*365</f>
        <v>54.086390357438368</v>
      </c>
      <c r="M205" s="38">
        <f>+M192/'Annual FS'!M5*365</f>
        <v>46.145870688913014</v>
      </c>
      <c r="N205" s="168">
        <f>+N192/'Annual FS'!N5*365</f>
        <v>43.944202133651778</v>
      </c>
      <c r="O205" s="16">
        <f>N205</f>
        <v>43.944202133651778</v>
      </c>
      <c r="P205" s="16">
        <f t="shared" ref="P205:S205" si="87">O205</f>
        <v>43.944202133651778</v>
      </c>
      <c r="Q205" s="16">
        <f t="shared" si="87"/>
        <v>43.944202133651778</v>
      </c>
      <c r="R205" s="16">
        <f t="shared" si="87"/>
        <v>43.944202133651778</v>
      </c>
      <c r="S205" s="16">
        <f t="shared" si="87"/>
        <v>43.944202133651778</v>
      </c>
    </row>
    <row r="206" spans="2:19" outlineLevel="1">
      <c r="B206" s="17" t="s">
        <v>272</v>
      </c>
      <c r="C206" s="18" t="s">
        <v>269</v>
      </c>
      <c r="D206" s="55">
        <f>-+D193/'Annual FS'!D13*365</f>
        <v>8.7434938645772586</v>
      </c>
      <c r="E206" s="55">
        <f>-+E193/'Annual FS'!E13*365</f>
        <v>6.5613199769131185</v>
      </c>
      <c r="F206" s="55">
        <f>-+F193/'Annual FS'!F13*365</f>
        <v>4.8470813138413575</v>
      </c>
      <c r="G206" s="38">
        <f>-+G193/'Annual FS'!G13*365</f>
        <v>11.015168838485788</v>
      </c>
      <c r="H206" s="38">
        <f>-+H193/'Annual FS'!H13*365</f>
        <v>24.746964295086574</v>
      </c>
      <c r="I206" s="38">
        <f>-+I193/'Annual FS'!I13*365</f>
        <v>25.61659342571361</v>
      </c>
      <c r="J206" s="38">
        <f>-+J193/'Annual FS'!J13*365</f>
        <v>25.597116867011945</v>
      </c>
      <c r="K206" s="38">
        <f>-+K193/'Annual FS'!K13*365</f>
        <v>23.520152415655499</v>
      </c>
      <c r="L206" s="38">
        <f>-+L193/'Annual FS'!L13*365</f>
        <v>51.742897494856457</v>
      </c>
      <c r="M206" s="38">
        <f>-+M193/'Annual FS'!M13*365</f>
        <v>48.151001582415653</v>
      </c>
      <c r="N206" s="168">
        <f>-+N193/'Annual FS'!N13*365</f>
        <v>11.255750362908078</v>
      </c>
      <c r="O206" s="16">
        <f>N206</f>
        <v>11.255750362908078</v>
      </c>
      <c r="P206" s="16">
        <f t="shared" ref="O206:S212" si="88">+O206</f>
        <v>11.255750362908078</v>
      </c>
      <c r="Q206" s="16">
        <f t="shared" si="88"/>
        <v>11.255750362908078</v>
      </c>
      <c r="R206" s="16">
        <f t="shared" si="88"/>
        <v>11.255750362908078</v>
      </c>
      <c r="S206" s="16">
        <f t="shared" si="88"/>
        <v>11.255750362908078</v>
      </c>
    </row>
    <row r="207" spans="2:19" outlineLevel="1">
      <c r="B207" s="57" t="s">
        <v>273</v>
      </c>
      <c r="C207" s="18" t="s">
        <v>269</v>
      </c>
      <c r="D207" s="55">
        <f>-+D195/('Annual FS'!D13+'Annual FS'!D27)*365</f>
        <v>0.63655786363346201</v>
      </c>
      <c r="E207" s="55">
        <f>-+E195/('Annual FS'!E13+'Annual FS'!E27)*365</f>
        <v>2.0419671865320965</v>
      </c>
      <c r="F207" s="55">
        <f>-+F195/('Annual FS'!F13+'Annual FS'!F27)*365</f>
        <v>2.7701235518185969</v>
      </c>
      <c r="G207" s="38">
        <f>-+G195/('Annual FS'!G13+'Annual FS'!G27)*365</f>
        <v>0.23410368234048684</v>
      </c>
      <c r="H207" s="38">
        <f>-+H195/('Annual FS'!H13+'Annual FS'!H27)*365</f>
        <v>0.11936004486072556</v>
      </c>
      <c r="I207" s="38">
        <f>-+I195/('Annual FS'!I13+'Annual FS'!I27)*365</f>
        <v>0.18523904441216876</v>
      </c>
      <c r="J207" s="38">
        <f>-+J195/('Annual FS'!J13+'Annual FS'!J27)*365</f>
        <v>1.5507317337175215</v>
      </c>
      <c r="K207" s="38">
        <f>-+K195/('Annual FS'!K13+'Annual FS'!K27)*365</f>
        <v>0.70120739859797054</v>
      </c>
      <c r="L207" s="38">
        <f>-+L195/('Annual FS'!L13+'Annual FS'!L27)*365</f>
        <v>4.499128489181456</v>
      </c>
      <c r="M207" s="38">
        <f>-+M195/('Annual FS'!M13+'Annual FS'!M27)*365</f>
        <v>1.9034237548965396</v>
      </c>
      <c r="N207" s="168">
        <f>-+N195/('Annual FS'!N13+'Annual FS'!N27)*365</f>
        <v>1.4975571885724286</v>
      </c>
      <c r="O207" s="16">
        <f t="shared" si="88"/>
        <v>1.4975571885724286</v>
      </c>
      <c r="P207" s="16">
        <f t="shared" si="88"/>
        <v>1.4975571885724286</v>
      </c>
      <c r="Q207" s="16">
        <f t="shared" si="88"/>
        <v>1.4975571885724286</v>
      </c>
      <c r="R207" s="16">
        <f t="shared" si="88"/>
        <v>1.4975571885724286</v>
      </c>
      <c r="S207" s="16">
        <f t="shared" si="88"/>
        <v>1.4975571885724286</v>
      </c>
    </row>
    <row r="208" spans="2:19" outlineLevel="1">
      <c r="B208" s="57" t="s">
        <v>274</v>
      </c>
      <c r="C208" s="18" t="s">
        <v>269</v>
      </c>
      <c r="D208" s="55">
        <f>-+D196/'Annual FS'!D13*365</f>
        <v>3.4156142251310628</v>
      </c>
      <c r="E208" s="55">
        <f>-+E196/'Annual FS'!E13*365</f>
        <v>0.8632910205002009</v>
      </c>
      <c r="F208" s="55">
        <f>-+F196/'Annual FS'!F13*365</f>
        <v>9.568598490616095</v>
      </c>
      <c r="G208" s="38">
        <f>-+G196/'Annual FS'!G13*365</f>
        <v>1.1122213362248394</v>
      </c>
      <c r="H208" s="38">
        <f>-+H196/'Annual FS'!H13*365</f>
        <v>2.0025604107291115</v>
      </c>
      <c r="I208" s="38">
        <f>-+I196/'Annual FS'!I13*365</f>
        <v>16.359635909483487</v>
      </c>
      <c r="J208" s="38">
        <f>-+J196/'Annual FS'!J13*365</f>
        <v>0.53624056313789603</v>
      </c>
      <c r="K208" s="38">
        <f>-+K196/'Annual FS'!K13*365</f>
        <v>0.51806022244450545</v>
      </c>
      <c r="L208" s="38">
        <f>-+L196/'Annual FS'!L13*365</f>
        <v>0.99548642817209487</v>
      </c>
      <c r="M208" s="38">
        <f>-+M196/'Annual FS'!M13*365</f>
        <v>0.34852848326921243</v>
      </c>
      <c r="N208" s="168">
        <f>-+N196/'Annual FS'!N13*365</f>
        <v>0.33073564982986109</v>
      </c>
      <c r="O208" s="16">
        <f t="shared" ref="O208:O212" si="89">+N208</f>
        <v>0.33073564982986109</v>
      </c>
      <c r="P208" s="16">
        <f t="shared" si="88"/>
        <v>0.33073564982986109</v>
      </c>
      <c r="Q208" s="16">
        <f t="shared" si="88"/>
        <v>0.33073564982986109</v>
      </c>
      <c r="R208" s="16">
        <f t="shared" si="88"/>
        <v>0.33073564982986109</v>
      </c>
      <c r="S208" s="16">
        <f t="shared" si="88"/>
        <v>0.33073564982986109</v>
      </c>
    </row>
    <row r="209" spans="2:19" outlineLevel="1">
      <c r="B209" s="57" t="s">
        <v>266</v>
      </c>
      <c r="C209" s="18" t="s">
        <v>269</v>
      </c>
      <c r="D209" s="55">
        <f>-+D197/'Annual FS'!D13*365</f>
        <v>0.5004990111346892</v>
      </c>
      <c r="E209" s="55">
        <f>-+E197/'Annual FS'!E13*365</f>
        <v>0.27157505569534823</v>
      </c>
      <c r="F209" s="55">
        <f>-+F197/'Annual FS'!F13*365</f>
        <v>0.26312778755490224</v>
      </c>
      <c r="G209" s="38">
        <f>-+G197/'Annual FS'!G13*365</f>
        <v>3.5060278100241633</v>
      </c>
      <c r="H209" s="38">
        <f>-+H197/'Annual FS'!H13*365</f>
        <v>36.44894985515478</v>
      </c>
      <c r="I209" s="38">
        <f>-+I197/'Annual FS'!I13*365</f>
        <v>15.899667902962253</v>
      </c>
      <c r="J209" s="38">
        <f>-+J197/'Annual FS'!J13*365</f>
        <v>13.964798079893155</v>
      </c>
      <c r="K209" s="38">
        <f>-+K197/'Annual FS'!K13*365</f>
        <v>7.7242032548541832</v>
      </c>
      <c r="L209" s="38">
        <f>-+L197/'Annual FS'!L13*365</f>
        <v>13.463369681955061</v>
      </c>
      <c r="M209" s="38">
        <f>-+M197/'Annual FS'!M13*365</f>
        <v>11.458923037152896</v>
      </c>
      <c r="N209" s="168">
        <f>-+N197/'Annual FS'!N13*365</f>
        <v>2.5883997948037436</v>
      </c>
      <c r="O209" s="16"/>
      <c r="P209" s="16"/>
      <c r="Q209" s="16"/>
      <c r="R209" s="16"/>
      <c r="S209" s="16"/>
    </row>
    <row r="210" spans="2:19" outlineLevel="1">
      <c r="B210" s="57" t="s">
        <v>275</v>
      </c>
      <c r="C210" s="18" t="s">
        <v>219</v>
      </c>
      <c r="D210" s="56">
        <f>+D198/'Annual FS'!D5</f>
        <v>3.2277507923789421E-4</v>
      </c>
      <c r="E210" s="56">
        <f>+E198/'Annual FS'!E5</f>
        <v>1.0747788142641318E-2</v>
      </c>
      <c r="F210" s="56">
        <f>+F198/'Annual FS'!F5</f>
        <v>4.1430211281702012E-3</v>
      </c>
      <c r="G210" s="1109">
        <f>+G198/'Annual FS'!G5</f>
        <v>8.9455508013617582E-3</v>
      </c>
      <c r="H210" s="1109">
        <f>+H198/'Annual FS'!H5</f>
        <v>0</v>
      </c>
      <c r="I210" s="1109">
        <f>+I198/'Annual FS'!I5</f>
        <v>0</v>
      </c>
      <c r="J210" s="1110">
        <f>+J198/'Annual FS'!J5</f>
        <v>0</v>
      </c>
      <c r="K210" s="1110">
        <f>+K198/'Annual FS'!K5</f>
        <v>0</v>
      </c>
      <c r="L210" s="1110">
        <f>+L198/'Annual FS'!L5</f>
        <v>0</v>
      </c>
      <c r="M210" s="1110">
        <f>+M198/'Annual FS'!M5</f>
        <v>0</v>
      </c>
      <c r="N210" s="1210">
        <f>+M210</f>
        <v>0</v>
      </c>
      <c r="O210" s="109">
        <f t="shared" si="89"/>
        <v>0</v>
      </c>
      <c r="P210" s="109">
        <f t="shared" si="88"/>
        <v>0</v>
      </c>
      <c r="Q210" s="109">
        <f t="shared" si="88"/>
        <v>0</v>
      </c>
      <c r="R210" s="109">
        <f t="shared" si="88"/>
        <v>0</v>
      </c>
      <c r="S210" s="109">
        <f t="shared" si="88"/>
        <v>0</v>
      </c>
    </row>
    <row r="211" spans="2:19" outlineLevel="1">
      <c r="B211" s="17" t="s">
        <v>93</v>
      </c>
      <c r="C211" s="18" t="s">
        <v>228</v>
      </c>
      <c r="D211" s="109">
        <f t="shared" ref="D211:I211" si="90">-+D199/D191</f>
        <v>5.5300078280697768E-3</v>
      </c>
      <c r="E211" s="109">
        <f t="shared" si="90"/>
        <v>4.1929438412356525E-3</v>
      </c>
      <c r="F211" s="109">
        <f t="shared" si="90"/>
        <v>1.1155454334937063E-3</v>
      </c>
      <c r="G211" s="109">
        <f t="shared" si="90"/>
        <v>0.21078223971735388</v>
      </c>
      <c r="H211" s="109">
        <f t="shared" si="90"/>
        <v>0.20181307107859178</v>
      </c>
      <c r="I211" s="109">
        <f t="shared" si="90"/>
        <v>7.5184274835336948E-2</v>
      </c>
      <c r="J211" s="109">
        <f t="shared" ref="J211:L211" si="91">-+J199/J191</f>
        <v>0</v>
      </c>
      <c r="K211" s="109">
        <f t="shared" si="91"/>
        <v>0</v>
      </c>
      <c r="L211" s="109">
        <f t="shared" si="91"/>
        <v>0</v>
      </c>
      <c r="M211" s="109">
        <f t="shared" ref="M211" si="92">-+M199/M191</f>
        <v>0</v>
      </c>
      <c r="N211" s="1211"/>
      <c r="O211" s="353"/>
      <c r="P211" s="353"/>
      <c r="Q211" s="353"/>
      <c r="R211" s="353"/>
      <c r="S211" s="353"/>
    </row>
    <row r="212" spans="2:19" outlineLevel="1">
      <c r="B212" s="329" t="s">
        <v>276</v>
      </c>
      <c r="C212" s="330" t="s">
        <v>219</v>
      </c>
      <c r="D212" s="331">
        <f>+D200/'Annual FS'!D5</f>
        <v>6.4109039295587892E-3</v>
      </c>
      <c r="E212" s="331">
        <f>+E200/'Annual FS'!E5</f>
        <v>1.9428460842176077E-2</v>
      </c>
      <c r="F212" s="331">
        <f>+F200/'Annual FS'!F5</f>
        <v>3.0676067805168312E-2</v>
      </c>
      <c r="G212" s="1111">
        <f>+G200/'Annual FS'!G5</f>
        <v>9.2342141368497319E-2</v>
      </c>
      <c r="H212" s="1111">
        <f>+H200/'Annual FS'!H5</f>
        <v>9.1795533748632738E-2</v>
      </c>
      <c r="I212" s="1111">
        <f>+I200/'Annual FS'!I5</f>
        <v>3.3308073249753128E-2</v>
      </c>
      <c r="J212" s="1111">
        <f>+J200/'Annual FS'!J5</f>
        <v>2.8434972377320931E-2</v>
      </c>
      <c r="K212" s="1209">
        <f>+K200/'Annual FS'!K5</f>
        <v>2.7935457552116752E-2</v>
      </c>
      <c r="L212" s="1209">
        <f>+L200/'Annual FS'!L5</f>
        <v>4.463279590343E-2</v>
      </c>
      <c r="M212" s="1209">
        <f>+M200/'Annual FS'!M5</f>
        <v>7.8634549972405824E-3</v>
      </c>
      <c r="N212" s="1212">
        <f>+N200/'Annual FS'!N5</f>
        <v>1.0718251081027709E-2</v>
      </c>
      <c r="O212" s="331">
        <f t="shared" si="89"/>
        <v>1.0718251081027709E-2</v>
      </c>
      <c r="P212" s="331">
        <f t="shared" si="88"/>
        <v>1.0718251081027709E-2</v>
      </c>
      <c r="Q212" s="331">
        <f t="shared" si="88"/>
        <v>1.0718251081027709E-2</v>
      </c>
      <c r="R212" s="331">
        <f t="shared" si="88"/>
        <v>1.0718251081027709E-2</v>
      </c>
      <c r="S212" s="331">
        <f t="shared" si="88"/>
        <v>1.0718251081027709E-2</v>
      </c>
    </row>
    <row r="213" spans="2:19" outlineLevel="1"/>
    <row r="214" spans="2:19" outlineLevel="1">
      <c r="B214" s="1315" t="s">
        <v>277</v>
      </c>
      <c r="C214" s="194"/>
      <c r="D214" s="194"/>
      <c r="E214" s="194"/>
      <c r="F214" s="194"/>
      <c r="G214" s="194"/>
      <c r="H214" s="194"/>
      <c r="I214" s="194"/>
      <c r="J214" s="194"/>
    </row>
    <row r="215" spans="2:19" outlineLevel="1">
      <c r="B215" s="17" t="s">
        <v>278</v>
      </c>
      <c r="C215" s="18" t="s">
        <v>59</v>
      </c>
      <c r="D215" s="38">
        <f>+'Annual FS'!D110</f>
        <v>406.06706401999998</v>
      </c>
      <c r="E215" s="38">
        <f>+'Annual FS'!E110</f>
        <v>183.33468015</v>
      </c>
      <c r="F215" s="38">
        <f>+'Annual FS'!F110</f>
        <v>943.96051063000004</v>
      </c>
      <c r="G215" s="68">
        <f>+'Annual FS'!G110</f>
        <v>948.23800000000006</v>
      </c>
      <c r="H215" s="68">
        <f>+'Annual FS'!H110</f>
        <v>408.79548588</v>
      </c>
      <c r="I215" s="68">
        <f>+'Annual FS'!I110</f>
        <v>387.86741648000003</v>
      </c>
      <c r="J215" s="68">
        <f>+'Annual FS'!J110</f>
        <v>1110.5391087</v>
      </c>
      <c r="K215" s="68">
        <f>+'Annual FS'!K110</f>
        <v>1031.1538294700001</v>
      </c>
      <c r="L215" s="68">
        <f>+'Annual FS'!L110</f>
        <v>610.44292705999999</v>
      </c>
      <c r="M215" s="68">
        <f>+'Annual FS'!M110</f>
        <v>1033.80769029</v>
      </c>
      <c r="N215" s="1420">
        <f>+'Annual FS'!N110</f>
        <v>3579.8173610200001</v>
      </c>
      <c r="O215" s="68">
        <f>-+('Annual FS'!O$13*O226)/365</f>
        <v>2837.8083568692123</v>
      </c>
      <c r="P215" s="68">
        <f>-+('Annual FS'!P$13*P226)/365</f>
        <v>3190.4587578060314</v>
      </c>
      <c r="Q215" s="68">
        <f>-+('Annual FS'!Q$13*Q226)/365</f>
        <v>3312.8183005334204</v>
      </c>
      <c r="R215" s="68">
        <f>-+('Annual FS'!R$13*R226)/365</f>
        <v>3621.4182527999196</v>
      </c>
      <c r="S215" s="68">
        <f>-+('Annual FS'!S$13*S226)/365</f>
        <v>3766.7598241025385</v>
      </c>
    </row>
    <row r="216" spans="2:19" outlineLevel="1">
      <c r="B216" s="17" t="s">
        <v>142</v>
      </c>
      <c r="C216" s="18" t="s">
        <v>59</v>
      </c>
      <c r="D216" s="38">
        <f>+'Annual FS'!D111</f>
        <v>234.20071649000002</v>
      </c>
      <c r="E216" s="38">
        <f>+'Annual FS'!E111</f>
        <v>131.82741253999998</v>
      </c>
      <c r="F216" s="38">
        <f>+'Annual FS'!F111</f>
        <v>177.48362533999995</v>
      </c>
      <c r="G216" s="38">
        <f>+'Annual FS'!G111</f>
        <v>269.38810932999996</v>
      </c>
      <c r="H216" s="38">
        <f>+'Annual FS'!H111</f>
        <v>224</v>
      </c>
      <c r="I216" s="38">
        <f>+'Annual FS'!I111</f>
        <v>1342.1771091400001</v>
      </c>
      <c r="J216" s="38">
        <f>+'Annual FS'!J111</f>
        <v>1560.20745629</v>
      </c>
      <c r="K216" s="38">
        <f>+'Annual FS'!K111</f>
        <v>1994.82668816</v>
      </c>
      <c r="L216" s="38">
        <f>+'Annual FS'!L111</f>
        <v>1147.8533564700001</v>
      </c>
      <c r="M216" s="38">
        <f>+'Annual FS'!M111</f>
        <v>800.53310648000001</v>
      </c>
      <c r="N216" s="168">
        <f>+'Annual FS'!N111</f>
        <v>2385.4815398600003</v>
      </c>
      <c r="O216" s="38">
        <f>-+('Annual FS'!O$13*O227)/365</f>
        <v>2010.5281384326638</v>
      </c>
      <c r="P216" s="38">
        <f>-+('Annual FS'!P$13*P227)/365</f>
        <v>2260.373605409598</v>
      </c>
      <c r="Q216" s="38">
        <f>-+('Annual FS'!Q$13*Q227)/365</f>
        <v>2347.0627939390783</v>
      </c>
      <c r="R216" s="38">
        <f>-+('Annual FS'!R$13*R227)/365</f>
        <v>2565.6994351516228</v>
      </c>
      <c r="S216" s="38">
        <f>-+('Annual FS'!S$13*S227)/365</f>
        <v>2668.6709124469799</v>
      </c>
    </row>
    <row r="217" spans="2:19" outlineLevel="1">
      <c r="B217" s="17" t="s">
        <v>143</v>
      </c>
      <c r="C217" s="18" t="s">
        <v>59</v>
      </c>
      <c r="D217" s="38">
        <f>+'Annual FS'!D112</f>
        <v>0</v>
      </c>
      <c r="E217" s="38">
        <f>+'Annual FS'!E112</f>
        <v>0</v>
      </c>
      <c r="F217" s="38">
        <f>+'Annual FS'!F112</f>
        <v>0</v>
      </c>
      <c r="G217" s="38">
        <f>+'Annual FS'!G112</f>
        <v>0</v>
      </c>
      <c r="H217" s="38">
        <f>+'Annual FS'!H112</f>
        <v>0</v>
      </c>
      <c r="I217" s="38">
        <f>+'Annual FS'!I112</f>
        <v>0</v>
      </c>
      <c r="J217" s="38">
        <f>+'Annual FS'!J112</f>
        <v>0</v>
      </c>
      <c r="K217" s="38">
        <f>+'Annual FS'!K112</f>
        <v>0</v>
      </c>
      <c r="L217" s="38">
        <f>+'Annual FS'!L112</f>
        <v>0</v>
      </c>
      <c r="M217" s="38">
        <f>+'Annual FS'!M112</f>
        <v>0</v>
      </c>
      <c r="N217" s="168">
        <f>+'Annual FS'!N112</f>
        <v>0</v>
      </c>
      <c r="O217" s="38">
        <f>+('Annual FS'!O$13*O228)/365</f>
        <v>0</v>
      </c>
      <c r="P217" s="38">
        <f>+('Annual FS'!P$13*P228)/365</f>
        <v>0</v>
      </c>
      <c r="Q217" s="38">
        <f>+('Annual FS'!Q$13*Q228)/365</f>
        <v>0</v>
      </c>
      <c r="R217" s="38">
        <f>+('Annual FS'!R$13*R228)/365</f>
        <v>0</v>
      </c>
      <c r="S217" s="38">
        <f>+('Annual FS'!S$13*S228)/365</f>
        <v>0</v>
      </c>
    </row>
    <row r="218" spans="2:19" outlineLevel="1">
      <c r="B218" s="17" t="s">
        <v>144</v>
      </c>
      <c r="C218" s="18" t="s">
        <v>59</v>
      </c>
      <c r="D218" s="38">
        <f>+'Annual FS'!D113</f>
        <v>443.16883100000001</v>
      </c>
      <c r="E218" s="38">
        <f>+'Annual FS'!E113</f>
        <v>410.98695500000002</v>
      </c>
      <c r="F218" s="38">
        <f>+'Annual FS'!F113</f>
        <v>536.001668</v>
      </c>
      <c r="G218" s="38">
        <f>+'Annual FS'!G113</f>
        <v>223.465464</v>
      </c>
      <c r="H218" s="38">
        <f>+'Annual FS'!H113</f>
        <v>0.50640128000000006</v>
      </c>
      <c r="I218" s="38">
        <f>+'Annual FS'!I113</f>
        <v>0</v>
      </c>
      <c r="J218" s="38">
        <f>+'Annual FS'!J113</f>
        <v>0</v>
      </c>
      <c r="K218" s="38">
        <f>+'Annual FS'!K113</f>
        <v>-1.26</v>
      </c>
      <c r="L218" s="38">
        <f>+'Annual FS'!L113</f>
        <v>0</v>
      </c>
      <c r="M218" s="38">
        <f>+'Annual FS'!M113</f>
        <v>0.27</v>
      </c>
      <c r="N218" s="168">
        <f>+'Annual FS'!N113</f>
        <v>2.76</v>
      </c>
      <c r="O218" s="38">
        <f>-+(('Annual FS'!O14+'Annual FS'!O28)*O229)/365</f>
        <v>3.1013861028133456</v>
      </c>
      <c r="P218" s="38">
        <f>-+(('Annual FS'!P14+'Annual FS'!P28)*P229)/365</f>
        <v>3.4805042054730451</v>
      </c>
      <c r="Q218" s="38">
        <f>-+(('Annual FS'!Q14+'Annual FS'!Q28)*Q229)/365</f>
        <v>3.6241016379826512</v>
      </c>
      <c r="R218" s="38">
        <f>-+(('Annual FS'!R14+'Annual FS'!R28)*R229)/365</f>
        <v>3.9504040914992058</v>
      </c>
      <c r="S218" s="38">
        <f>-+(('Annual FS'!S14+'Annual FS'!S28)*S229)/365</f>
        <v>4.1135294348763747</v>
      </c>
    </row>
    <row r="219" spans="2:19" outlineLevel="1">
      <c r="B219" s="17" t="s">
        <v>145</v>
      </c>
      <c r="C219" s="18" t="s">
        <v>59</v>
      </c>
      <c r="D219" s="38">
        <f>+'Annual FS'!D114</f>
        <v>1321.6532219999999</v>
      </c>
      <c r="E219" s="38">
        <f>+'Annual FS'!E114</f>
        <v>2169.0181703899998</v>
      </c>
      <c r="F219" s="38">
        <f>+'Annual FS'!F114</f>
        <v>2217.12162175</v>
      </c>
      <c r="G219" s="38">
        <f>+'Annual FS'!G114</f>
        <v>615.31073474000004</v>
      </c>
      <c r="H219" s="38">
        <f>+'Annual FS'!H114</f>
        <v>452.98258534000001</v>
      </c>
      <c r="I219" s="38">
        <f>+'Annual FS'!I114</f>
        <v>562.82319022000001</v>
      </c>
      <c r="J219" s="38">
        <f>+'Annual FS'!J114</f>
        <v>702.95443762000002</v>
      </c>
      <c r="K219" s="38">
        <f>+'Annual FS'!K114</f>
        <v>1175.3563469999999</v>
      </c>
      <c r="L219" s="38">
        <f>+'Annual FS'!L114</f>
        <v>583.59713899999997</v>
      </c>
      <c r="M219" s="38">
        <f>+'Annual FS'!M114</f>
        <v>873.96511999999996</v>
      </c>
      <c r="N219" s="168">
        <f>+'Annual FS'!N114</f>
        <v>1421.7179919999999</v>
      </c>
      <c r="O219" s="38">
        <f>-+(('Annual FS'!O14+'Annual FS'!O28)*O230)/365</f>
        <v>1653.5268861542481</v>
      </c>
      <c r="P219" s="38">
        <f>-+(('Annual FS'!P14+'Annual FS'!P28)*P230)/365</f>
        <v>1855.6565001377958</v>
      </c>
      <c r="Q219" s="38">
        <f>-+(('Annual FS'!Q14+'Annual FS'!Q28)*Q230)/365</f>
        <v>1932.216530900158</v>
      </c>
      <c r="R219" s="38">
        <f>-+(('Annual FS'!R14+'Annual FS'!R28)*R230)/365</f>
        <v>2106.1870918110621</v>
      </c>
      <c r="S219" s="38">
        <f>-+(('Annual FS'!S14+'Annual FS'!S28)*S230)/365</f>
        <v>2193.1585723508801</v>
      </c>
    </row>
    <row r="220" spans="2:19" outlineLevel="1">
      <c r="B220" s="17" t="s">
        <v>146</v>
      </c>
      <c r="C220" s="18" t="s">
        <v>59</v>
      </c>
      <c r="D220" s="38">
        <f>+'Annual FS'!D115</f>
        <v>0</v>
      </c>
      <c r="E220" s="38">
        <f>+'Annual FS'!E115</f>
        <v>0</v>
      </c>
      <c r="F220" s="38">
        <f>+'Annual FS'!F115</f>
        <v>98.663510000000002</v>
      </c>
      <c r="G220" s="38">
        <f>+'Annual FS'!G115</f>
        <v>411.26909454000003</v>
      </c>
      <c r="H220" s="38">
        <f>+'Annual FS'!H115</f>
        <v>243.14505288000001</v>
      </c>
      <c r="I220" s="38">
        <f>+'Annual FS'!I115</f>
        <v>243.14505288000001</v>
      </c>
      <c r="J220" s="38">
        <f>+'Annual FS'!J115</f>
        <v>1E-8</v>
      </c>
      <c r="K220" s="38">
        <f>+'Annual FS'!K115</f>
        <v>406.12876557999999</v>
      </c>
      <c r="L220" s="38">
        <f>+'Annual FS'!L115</f>
        <v>0.69999992</v>
      </c>
      <c r="M220" s="38">
        <f>+'Annual FS'!M115</f>
        <v>0</v>
      </c>
      <c r="N220" s="168">
        <f>+'Annual FS'!N115</f>
        <v>92.260829749999999</v>
      </c>
      <c r="O220" s="38">
        <f>+('Annual FS'!O$5*O231)/365</f>
        <v>93.217095646984347</v>
      </c>
      <c r="P220" s="38">
        <f>+('Annual FS'!P$5*P231)/365</f>
        <v>105.20083980837482</v>
      </c>
      <c r="Q220" s="38">
        <f>+('Annual FS'!Q$5*Q231)/365</f>
        <v>109.2041062896313</v>
      </c>
      <c r="R220" s="38">
        <f>+('Annual FS'!R$5*R231)/365</f>
        <v>119.71653890536585</v>
      </c>
      <c r="S220" s="38">
        <f>+('Annual FS'!S$5*S231)/365</f>
        <v>124.54111542325209</v>
      </c>
    </row>
    <row r="221" spans="2:19" outlineLevel="1">
      <c r="B221" s="17" t="s">
        <v>147</v>
      </c>
      <c r="C221" s="18" t="s">
        <v>59</v>
      </c>
      <c r="D221" s="38">
        <f>+'Annual FS'!D116</f>
        <v>739.45400000000006</v>
      </c>
      <c r="E221" s="38">
        <f>+'Annual FS'!E116</f>
        <v>1508.2735000000002</v>
      </c>
      <c r="F221" s="38">
        <f>+'Annual FS'!F116</f>
        <v>1952.2736223799998</v>
      </c>
      <c r="G221" s="38">
        <f>+'Annual FS'!G116</f>
        <v>623.87899101999994</v>
      </c>
      <c r="H221" s="38">
        <f>+'Annual FS'!H116</f>
        <v>119.18084964000001</v>
      </c>
      <c r="I221" s="38">
        <f>+'Annual FS'!I116</f>
        <v>116.26851327999999</v>
      </c>
      <c r="J221" s="38">
        <f>+'Annual FS'!J116</f>
        <v>108.2210005</v>
      </c>
      <c r="K221" s="38">
        <f>+'Annual FS'!K116</f>
        <v>223.58387968000002</v>
      </c>
      <c r="L221" s="38">
        <f>+'Annual FS'!L116</f>
        <v>131.24725462999999</v>
      </c>
      <c r="M221" s="38">
        <f>+'Annual FS'!M116</f>
        <v>9.2900000000000003E-4</v>
      </c>
      <c r="N221" s="168">
        <f>+'Annual FS'!N116</f>
        <v>1617.6131723099998</v>
      </c>
      <c r="O221" s="38">
        <f>+('Annual FS'!O$5*O232)/365</f>
        <v>250.72195453384265</v>
      </c>
      <c r="P221" s="38">
        <f>+('Annual FS'!P$5*P232)/365</f>
        <v>282.95410828121754</v>
      </c>
      <c r="Q221" s="38">
        <f>+('Annual FS'!Q$5*Q232)/365</f>
        <v>293.72151944903061</v>
      </c>
      <c r="R221" s="38">
        <f>+('Annual FS'!R$5*R232)/365</f>
        <v>321.99635073431051</v>
      </c>
      <c r="S221" s="38">
        <f>+('Annual FS'!S$5*S232)/365</f>
        <v>334.97280366890323</v>
      </c>
    </row>
    <row r="222" spans="2:19" outlineLevel="1">
      <c r="B222" s="17" t="s">
        <v>93</v>
      </c>
      <c r="C222" s="18" t="s">
        <v>59</v>
      </c>
      <c r="D222" s="38">
        <f>+'Annual FS'!D121</f>
        <v>2841.49</v>
      </c>
      <c r="E222" s="38">
        <f>+'Annual FS'!E121</f>
        <v>3336.9465619299999</v>
      </c>
      <c r="F222" s="38">
        <f>+'Annual FS'!F121</f>
        <v>6118.2493911000001</v>
      </c>
      <c r="G222" s="38">
        <f>+'Annual FS'!G121</f>
        <v>833.38924363000001</v>
      </c>
      <c r="H222" s="38">
        <f>+'Annual FS'!H121</f>
        <v>446.15777888999997</v>
      </c>
      <c r="I222" s="38">
        <f>+'Annual FS'!I121</f>
        <v>0</v>
      </c>
      <c r="J222" s="38">
        <f>+'Annual FS'!J121</f>
        <v>0</v>
      </c>
      <c r="K222" s="38">
        <f>+'Annual FS'!K121</f>
        <v>0</v>
      </c>
      <c r="L222" s="38">
        <f>+'Annual FS'!L121</f>
        <v>25.436978410000002</v>
      </c>
      <c r="M222" s="38">
        <f>+'Annual FS'!M121</f>
        <v>223.87945056000001</v>
      </c>
      <c r="N222" s="168">
        <f>+'Annual FS'!N121</f>
        <v>70.437002250000006</v>
      </c>
      <c r="O222" s="38">
        <f>+O233*'Annual FS'!O5</f>
        <v>71.167068338935053</v>
      </c>
      <c r="P222" s="38">
        <f>+P233*'Annual FS'!P5</f>
        <v>80.316119098033454</v>
      </c>
      <c r="Q222" s="38">
        <f>+Q233*'Annual FS'!Q5</f>
        <v>83.372433363921701</v>
      </c>
      <c r="R222" s="38">
        <f>+R233*'Annual FS'!R5</f>
        <v>91.398203799911826</v>
      </c>
      <c r="S222" s="38">
        <f>+S233*'Annual FS'!S5</f>
        <v>95.08155141304826</v>
      </c>
    </row>
    <row r="223" spans="2:19" outlineLevel="1">
      <c r="B223" s="186" t="s">
        <v>150</v>
      </c>
      <c r="C223" s="191" t="s">
        <v>59</v>
      </c>
      <c r="D223" s="265">
        <f>+'Annual FS'!D122</f>
        <v>1308.802553</v>
      </c>
      <c r="E223" s="265">
        <f>+'Annual FS'!E122</f>
        <v>133.33333400000001</v>
      </c>
      <c r="F223" s="265">
        <f>+'Annual FS'!F122</f>
        <v>0</v>
      </c>
      <c r="G223" s="265">
        <f>+'Annual FS'!G122</f>
        <v>0</v>
      </c>
      <c r="H223" s="265">
        <f>+'Annual FS'!H122</f>
        <v>0</v>
      </c>
      <c r="I223" s="265">
        <f>+'Annual FS'!I122</f>
        <v>0</v>
      </c>
      <c r="J223" s="265">
        <f>+'Annual FS'!J122</f>
        <v>0</v>
      </c>
      <c r="K223" s="265">
        <f>+'Annual FS'!K122</f>
        <v>0</v>
      </c>
      <c r="L223" s="265">
        <f>+'Annual FS'!L122</f>
        <v>0</v>
      </c>
      <c r="M223" s="265">
        <f>+'Annual FS'!M122</f>
        <v>0</v>
      </c>
      <c r="N223" s="298">
        <f>+'Annual FS'!N122</f>
        <v>787.04921000000002</v>
      </c>
      <c r="O223" s="1318">
        <v>0</v>
      </c>
      <c r="P223" s="375">
        <f t="shared" ref="P223:S223" si="93">+O223</f>
        <v>0</v>
      </c>
      <c r="Q223" s="375">
        <f t="shared" si="93"/>
        <v>0</v>
      </c>
      <c r="R223" s="375">
        <f t="shared" si="93"/>
        <v>0</v>
      </c>
      <c r="S223" s="375">
        <f t="shared" si="93"/>
        <v>0</v>
      </c>
    </row>
    <row r="224" spans="2:19" outlineLevel="1"/>
    <row r="225" spans="1:19" outlineLevel="1">
      <c r="B225" s="1315" t="s">
        <v>279</v>
      </c>
      <c r="C225" s="194"/>
      <c r="D225" s="194"/>
      <c r="E225" s="194"/>
      <c r="F225" s="194"/>
      <c r="G225" s="194"/>
      <c r="H225" s="194"/>
      <c r="I225" s="194"/>
      <c r="J225" s="194"/>
    </row>
    <row r="226" spans="1:19" outlineLevel="1">
      <c r="B226" s="17" t="s">
        <v>280</v>
      </c>
      <c r="C226" s="18" t="s">
        <v>269</v>
      </c>
      <c r="D226" s="55">
        <f>-+D215/'Annual FS'!D13*365</f>
        <v>6.4676695733436969</v>
      </c>
      <c r="E226" s="55">
        <f>-+E215/'Annual FS'!E13*365</f>
        <v>2.9769722420875273</v>
      </c>
      <c r="F226" s="55">
        <f>-+F215/'Annual FS'!F13*365</f>
        <v>14.851175262681375</v>
      </c>
      <c r="G226" s="68">
        <f>-+G215/'Annual FS'!G13*365</f>
        <v>27.083473842837108</v>
      </c>
      <c r="H226" s="68">
        <f>-+H215/'Annual FS'!H13*365</f>
        <v>29.051653197606122</v>
      </c>
      <c r="I226" s="68">
        <f>-+I215/'Annual FS'!I13*365</f>
        <v>17.000496837604139</v>
      </c>
      <c r="J226" s="68">
        <f>-+J215/'Annual FS'!J13*365</f>
        <v>42.752230781247277</v>
      </c>
      <c r="K226" s="68">
        <f>-+K215/'Annual FS'!K13*365</f>
        <v>26.549472568754787</v>
      </c>
      <c r="L226" s="68">
        <f>-+L215/'Annual FS'!L13*365</f>
        <v>27.395396005582267</v>
      </c>
      <c r="M226" s="68">
        <f>-+M215/'Annual FS'!M13*365</f>
        <v>39.487742527499698</v>
      </c>
      <c r="N226" s="1420">
        <f>-+N215/'Annual FS'!N13*365</f>
        <v>61.77332348466031</v>
      </c>
      <c r="O226" s="1319">
        <f>AVERAGE(M226:N226)</f>
        <v>50.63053300608</v>
      </c>
      <c r="P226" s="75">
        <f t="shared" ref="P226:S233" si="94">+O226</f>
        <v>50.63053300608</v>
      </c>
      <c r="Q226" s="75">
        <f t="shared" si="94"/>
        <v>50.63053300608</v>
      </c>
      <c r="R226" s="75">
        <f t="shared" si="94"/>
        <v>50.63053300608</v>
      </c>
      <c r="S226" s="75">
        <f t="shared" si="94"/>
        <v>50.63053300608</v>
      </c>
    </row>
    <row r="227" spans="1:19" outlineLevel="1">
      <c r="B227" s="17" t="s">
        <v>281</v>
      </c>
      <c r="C227" s="18" t="s">
        <v>269</v>
      </c>
      <c r="D227" s="55">
        <f>-+D216/'Annual FS'!D13*365</f>
        <v>3.7302529121718222</v>
      </c>
      <c r="E227" s="55">
        <f>-+E216/'Annual FS'!E13*365</f>
        <v>2.1406018084342304</v>
      </c>
      <c r="F227" s="55">
        <f>-+F216/'Annual FS'!F13*365</f>
        <v>2.7923206495378228</v>
      </c>
      <c r="G227" s="38">
        <f>-+G216/'Annual FS'!G13*365</f>
        <v>7.6942347940183771</v>
      </c>
      <c r="H227" s="38">
        <f>-+H216/'Annual FS'!H13*365</f>
        <v>15.918889863118592</v>
      </c>
      <c r="I227" s="38">
        <f>-+I216/'Annual FS'!I13*365</f>
        <v>58.828549988848593</v>
      </c>
      <c r="J227" s="38">
        <f>-+J216/'Annual FS'!J13*365</f>
        <v>60.063034894840214</v>
      </c>
      <c r="K227" s="38">
        <f>-+K216/'Annual FS'!K13*365</f>
        <v>51.361489356001776</v>
      </c>
      <c r="L227" s="38">
        <f>-+L216/'Annual FS'!L13*365</f>
        <v>51.513246960336467</v>
      </c>
      <c r="M227" s="38">
        <f>-+M216/'Annual FS'!M13*365</f>
        <v>30.577490852824155</v>
      </c>
      <c r="N227" s="168">
        <f>-+N216/'Annual FS'!N13*365</f>
        <v>41.163866188544951</v>
      </c>
      <c r="O227" s="1269">
        <f>AVERAGE(M227:N227)</f>
        <v>35.87067852068455</v>
      </c>
      <c r="P227" s="55">
        <f t="shared" si="94"/>
        <v>35.87067852068455</v>
      </c>
      <c r="Q227" s="55">
        <f t="shared" si="94"/>
        <v>35.87067852068455</v>
      </c>
      <c r="R227" s="55">
        <f t="shared" si="94"/>
        <v>35.87067852068455</v>
      </c>
      <c r="S227" s="55">
        <f t="shared" si="94"/>
        <v>35.87067852068455</v>
      </c>
    </row>
    <row r="228" spans="1:19" outlineLevel="1">
      <c r="B228" s="17" t="s">
        <v>282</v>
      </c>
      <c r="C228" s="18" t="s">
        <v>269</v>
      </c>
      <c r="D228" s="55">
        <f>-+D217/'Annual FS'!D13*365</f>
        <v>0</v>
      </c>
      <c r="E228" s="55">
        <f>-+E217/'Annual FS'!E13*365</f>
        <v>0</v>
      </c>
      <c r="F228" s="55">
        <f>-+F217/'Annual FS'!F13*365</f>
        <v>0</v>
      </c>
      <c r="G228" s="38">
        <f>-+G217/'Annual FS'!G13*365</f>
        <v>0</v>
      </c>
      <c r="H228" s="38">
        <f>-+H217/'Annual FS'!H13*365</f>
        <v>0</v>
      </c>
      <c r="I228" s="38">
        <f>-+I217/'Annual FS'!I13*365</f>
        <v>0</v>
      </c>
      <c r="J228" s="38">
        <f>-+J217/'Annual FS'!J13*365</f>
        <v>0</v>
      </c>
      <c r="K228" s="38">
        <f>-+K217/'Annual FS'!K13*365</f>
        <v>0</v>
      </c>
      <c r="L228" s="38">
        <f>-+L217/'Annual FS'!L13*365</f>
        <v>0</v>
      </c>
      <c r="M228" s="38">
        <f>-+M217/'Annual FS'!M13*365</f>
        <v>0</v>
      </c>
      <c r="N228" s="168">
        <f>-+N217/'Annual FS'!N13*365</f>
        <v>0</v>
      </c>
      <c r="O228" s="55">
        <f t="shared" ref="O228:O233" si="95">+N228</f>
        <v>0</v>
      </c>
      <c r="P228" s="55">
        <f t="shared" si="94"/>
        <v>0</v>
      </c>
      <c r="Q228" s="55">
        <f t="shared" si="94"/>
        <v>0</v>
      </c>
      <c r="R228" s="55">
        <f t="shared" si="94"/>
        <v>0</v>
      </c>
      <c r="S228" s="55">
        <f t="shared" si="94"/>
        <v>0</v>
      </c>
    </row>
    <row r="229" spans="1:19" outlineLevel="1">
      <c r="B229" s="17" t="s">
        <v>283</v>
      </c>
      <c r="C229" s="18" t="s">
        <v>269</v>
      </c>
      <c r="D229" s="55">
        <f>-+D218/('Annual FS'!D14+'Annual FS'!D28)*365</f>
        <v>9.4556007996282698</v>
      </c>
      <c r="E229" s="55">
        <f>-+E218/('Annual FS'!E14+'Annual FS'!E28)*365</f>
        <v>8.2938514533412526</v>
      </c>
      <c r="F229" s="55">
        <f>-+F218/('Annual FS'!F14+'Annual FS'!F28)*365</f>
        <v>10.515946239287087</v>
      </c>
      <c r="G229" s="38">
        <f>-+G218/('Annual FS'!G14+'Annual FS'!G28)*365</f>
        <v>6.1211336817144595</v>
      </c>
      <c r="H229" s="38">
        <f>-+H218/('Annual FS'!H14+'Annual FS'!H28)*365</f>
        <v>3.4336478863138724E-2</v>
      </c>
      <c r="I229" s="38">
        <f>-+I218/('Annual FS'!I14+'Annual FS'!I28)*365</f>
        <v>0</v>
      </c>
      <c r="J229" s="38">
        <f>-+J218/('Annual FS'!J14+'Annual FS'!J28)*365</f>
        <v>0</v>
      </c>
      <c r="K229" s="38">
        <f>-+K218/('Annual FS'!K14+'Annual FS'!K28)*365</f>
        <v>-4.3094139834747164E-2</v>
      </c>
      <c r="L229" s="38">
        <f>-+L218/('Annual FS'!L14+'Annual FS'!L28)*365</f>
        <v>0</v>
      </c>
      <c r="M229" s="38">
        <f>-+M218/('Annual FS'!M14+'Annual FS'!M28)*365</f>
        <v>1.3219313463124951E-2</v>
      </c>
      <c r="N229" s="168">
        <f>-+N218/('Annual FS'!N14+'Annual FS'!N28)*365</f>
        <v>7.7630143263598919E-2</v>
      </c>
      <c r="O229" s="55">
        <f t="shared" si="95"/>
        <v>7.7630143263598919E-2</v>
      </c>
      <c r="P229" s="55">
        <f t="shared" si="94"/>
        <v>7.7630143263598919E-2</v>
      </c>
      <c r="Q229" s="55">
        <f t="shared" si="94"/>
        <v>7.7630143263598919E-2</v>
      </c>
      <c r="R229" s="55">
        <f t="shared" si="94"/>
        <v>7.7630143263598919E-2</v>
      </c>
      <c r="S229" s="55">
        <f t="shared" si="94"/>
        <v>7.7630143263598919E-2</v>
      </c>
    </row>
    <row r="230" spans="1:19" outlineLevel="1">
      <c r="B230" s="17" t="s">
        <v>284</v>
      </c>
      <c r="C230" s="18" t="s">
        <v>269</v>
      </c>
      <c r="D230" s="55">
        <f>-+D219/('Annual FS'!D14+'Annual FS'!D28)*365</f>
        <v>28.199242339708853</v>
      </c>
      <c r="E230" s="55">
        <f>-+E219/('Annual FS'!E14+'Annual FS'!E28)*365</f>
        <v>43.771497576638858</v>
      </c>
      <c r="F230" s="55">
        <f>-+F219/('Annual FS'!F14+'Annual FS'!F28)*365</f>
        <v>43.498244823156035</v>
      </c>
      <c r="G230" s="38">
        <f>-+G219/('Annual FS'!G14+'Annual FS'!G28)*365</f>
        <v>16.854502685647596</v>
      </c>
      <c r="H230" s="38">
        <f>-+H219/('Annual FS'!H14+'Annual FS'!H28)*365</f>
        <v>30.714430593257667</v>
      </c>
      <c r="I230" s="38">
        <f>-+I219/('Annual FS'!I14+'Annual FS'!I28)*365</f>
        <v>29.052704239644711</v>
      </c>
      <c r="J230" s="38">
        <f>-+J219/('Annual FS'!J14+'Annual FS'!J28)*365</f>
        <v>31.70857655834217</v>
      </c>
      <c r="K230" s="38">
        <f>-+K219/('Annual FS'!K14+'Annual FS'!K28)*365</f>
        <v>40.199183153393342</v>
      </c>
      <c r="L230" s="38">
        <f>-+L219/('Annual FS'!L14+'Annual FS'!L28)*365</f>
        <v>32.624405178220748</v>
      </c>
      <c r="M230" s="38">
        <f>-+M219/('Annual FS'!M14+'Annual FS'!M28)*365</f>
        <v>42.789699544880044</v>
      </c>
      <c r="N230" s="168">
        <f>-+N219/('Annual FS'!N14+'Annual FS'!N28)*365</f>
        <v>39.988467898331947</v>
      </c>
      <c r="O230" s="55">
        <f>AVERAGE(M230:N230)</f>
        <v>41.389083721605999</v>
      </c>
      <c r="P230" s="55">
        <f t="shared" si="94"/>
        <v>41.389083721605999</v>
      </c>
      <c r="Q230" s="55">
        <f t="shared" si="94"/>
        <v>41.389083721605999</v>
      </c>
      <c r="R230" s="55">
        <f t="shared" si="94"/>
        <v>41.389083721605999</v>
      </c>
      <c r="S230" s="55">
        <f t="shared" si="94"/>
        <v>41.389083721605999</v>
      </c>
    </row>
    <row r="231" spans="1:19" outlineLevel="1">
      <c r="B231" s="17" t="s">
        <v>285</v>
      </c>
      <c r="C231" s="18" t="s">
        <v>269</v>
      </c>
      <c r="D231" s="55">
        <f>+D220/'Annual FS'!D5*365</f>
        <v>0</v>
      </c>
      <c r="E231" s="55">
        <f>+E220/'Annual FS'!E5*365</f>
        <v>0</v>
      </c>
      <c r="F231" s="55">
        <f>+F220/'Annual FS'!F5*365</f>
        <v>0.91440972411345156</v>
      </c>
      <c r="G231" s="38">
        <f>+G220/'Annual FS'!G5*365</f>
        <v>8.9073251175976829</v>
      </c>
      <c r="H231" s="38">
        <f>+H220/'Annual FS'!H5*365</f>
        <v>14.425805868923174</v>
      </c>
      <c r="I231" s="38">
        <f>+I220/'Annual FS'!I5*365</f>
        <v>6.5117873093692431</v>
      </c>
      <c r="J231" s="38">
        <f>+J220/'Annual FS'!J5*365</f>
        <v>2.579407985495227E-10</v>
      </c>
      <c r="K231" s="38">
        <f>+K220/'Annual FS'!K5*365</f>
        <v>6.9826439687921713</v>
      </c>
      <c r="L231" s="38">
        <f>+L220/'Annual FS'!L5*365</f>
        <v>2.0245820437525805E-2</v>
      </c>
      <c r="M231" s="38">
        <f>+M220/'Annual FS'!M5*365</f>
        <v>0</v>
      </c>
      <c r="N231" s="168">
        <f>+N220/'Annual FS'!N5*365</f>
        <v>1.1153841212705027</v>
      </c>
      <c r="O231" s="55">
        <f t="shared" si="95"/>
        <v>1.1153841212705027</v>
      </c>
      <c r="P231" s="55">
        <f t="shared" si="94"/>
        <v>1.1153841212705027</v>
      </c>
      <c r="Q231" s="55">
        <f t="shared" si="94"/>
        <v>1.1153841212705027</v>
      </c>
      <c r="R231" s="55">
        <f t="shared" si="94"/>
        <v>1.1153841212705027</v>
      </c>
      <c r="S231" s="55">
        <f t="shared" si="94"/>
        <v>1.1153841212705027</v>
      </c>
    </row>
    <row r="232" spans="1:19" outlineLevel="1">
      <c r="B232" s="17" t="s">
        <v>286</v>
      </c>
      <c r="C232" s="18" t="s">
        <v>269</v>
      </c>
      <c r="D232" s="55">
        <f>+D221/'Annual FS'!D5*365</f>
        <v>7.4390997800340344</v>
      </c>
      <c r="E232" s="55">
        <f>+E221/'Annual FS'!E5*365</f>
        <v>14.977979357951456</v>
      </c>
      <c r="F232" s="55">
        <f>+F221/'Annual FS'!F5*365</f>
        <v>18.093598985424947</v>
      </c>
      <c r="G232" s="38">
        <f>+G221/'Annual FS'!G5*365</f>
        <v>13.512060791413203</v>
      </c>
      <c r="H232" s="38">
        <f>+H221/'Annual FS'!H5*365</f>
        <v>7.0710046527184858</v>
      </c>
      <c r="I232" s="38">
        <f>+I221/'Annual FS'!I5*365</f>
        <v>3.1138442682179286</v>
      </c>
      <c r="J232" s="38">
        <f>+J221/'Annual FS'!J5*365</f>
        <v>2.7914611288798294</v>
      </c>
      <c r="K232" s="38">
        <f>+K221/'Annual FS'!K5*365</f>
        <v>3.8441173373600326</v>
      </c>
      <c r="L232" s="38">
        <f>+L221/'Annual FS'!L5*365</f>
        <v>3.7960123626259943</v>
      </c>
      <c r="M232" s="38">
        <f>+M221/'Annual FS'!M5*365</f>
        <v>2.2441318380918967E-5</v>
      </c>
      <c r="N232" s="168">
        <f>+N221/'Annual FS'!N5*365</f>
        <v>19.556078691700463</v>
      </c>
      <c r="O232" s="36">
        <v>3</v>
      </c>
      <c r="P232" s="55">
        <f t="shared" si="94"/>
        <v>3</v>
      </c>
      <c r="Q232" s="55">
        <f t="shared" si="94"/>
        <v>3</v>
      </c>
      <c r="R232" s="55">
        <f t="shared" si="94"/>
        <v>3</v>
      </c>
      <c r="S232" s="55">
        <f t="shared" si="94"/>
        <v>3</v>
      </c>
    </row>
    <row r="233" spans="1:19" outlineLevel="1">
      <c r="B233" s="186" t="s">
        <v>287</v>
      </c>
      <c r="C233" s="191" t="s">
        <v>59</v>
      </c>
      <c r="D233" s="231">
        <f>+D222/'Annual FS'!D5</f>
        <v>7.831816238634165E-2</v>
      </c>
      <c r="E233" s="231">
        <f>+E222/'Annual FS'!E5</f>
        <v>9.0788222742394536E-2</v>
      </c>
      <c r="F233" s="231">
        <f>+F222/'Annual FS'!F5</f>
        <v>0.15535262122752719</v>
      </c>
      <c r="G233" s="1112">
        <f>+G222/'Annual FS'!G5</f>
        <v>4.9451134063313661E-2</v>
      </c>
      <c r="H233" s="1112">
        <f>+H222/'Annual FS'!H5</f>
        <v>7.2522079873010223E-2</v>
      </c>
      <c r="I233" s="1112">
        <f>+I222/'Annual FS'!I5</f>
        <v>0</v>
      </c>
      <c r="J233" s="1113">
        <f>+J222/'Annual FS'!J5</f>
        <v>0</v>
      </c>
      <c r="K233" s="1113">
        <f>+K222/'Annual FS'!K5</f>
        <v>0</v>
      </c>
      <c r="L233" s="1113">
        <f>+L222/'Annual FS'!L5</f>
        <v>2.0156264431247469E-3</v>
      </c>
      <c r="M233" s="1113">
        <f>+M222/'Annual FS'!M5</f>
        <v>1.481678643691749E-2</v>
      </c>
      <c r="N233" s="1114">
        <f>+N222/'Annual FS'!N5</f>
        <v>2.3330019477263791E-3</v>
      </c>
      <c r="O233" s="231">
        <f t="shared" si="95"/>
        <v>2.3330019477263791E-3</v>
      </c>
      <c r="P233" s="231">
        <f t="shared" si="94"/>
        <v>2.3330019477263791E-3</v>
      </c>
      <c r="Q233" s="231">
        <f t="shared" si="94"/>
        <v>2.3330019477263791E-3</v>
      </c>
      <c r="R233" s="231">
        <f t="shared" si="94"/>
        <v>2.3330019477263791E-3</v>
      </c>
      <c r="S233" s="231">
        <f t="shared" si="94"/>
        <v>2.3330019477263791E-3</v>
      </c>
    </row>
    <row r="234" spans="1:19" outlineLevel="1">
      <c r="B234" s="17"/>
      <c r="C234" s="18"/>
      <c r="D234" s="69"/>
      <c r="E234" s="69"/>
      <c r="F234" s="69"/>
      <c r="G234" s="69"/>
      <c r="H234" s="69"/>
      <c r="I234" s="69"/>
      <c r="J234" s="69"/>
      <c r="K234" s="69"/>
      <c r="L234" s="69"/>
    </row>
    <row r="235" spans="1:19"/>
    <row r="236" spans="1:19">
      <c r="A236" s="471" t="s">
        <v>288</v>
      </c>
      <c r="B236" s="471"/>
      <c r="C236" s="471"/>
      <c r="D236" s="471">
        <v>2012</v>
      </c>
      <c r="E236" s="471">
        <v>2013</v>
      </c>
      <c r="F236" s="471">
        <v>2014</v>
      </c>
      <c r="G236" s="471">
        <v>2015</v>
      </c>
      <c r="H236" s="471">
        <v>2016</v>
      </c>
      <c r="I236" s="471">
        <v>2017</v>
      </c>
      <c r="J236" s="471">
        <v>2018</v>
      </c>
      <c r="K236" s="471">
        <v>2019</v>
      </c>
      <c r="L236" s="471">
        <v>2020</v>
      </c>
      <c r="M236" s="471">
        <v>2021</v>
      </c>
      <c r="N236" s="471">
        <v>2022</v>
      </c>
      <c r="O236" s="470">
        <v>2023</v>
      </c>
      <c r="P236" s="470">
        <v>2024</v>
      </c>
      <c r="Q236" s="470">
        <v>2025</v>
      </c>
      <c r="R236" s="470">
        <v>2026</v>
      </c>
      <c r="S236" s="470">
        <f>+R236+1</f>
        <v>2027</v>
      </c>
    </row>
    <row r="237" spans="1:19" outlineLevel="1"/>
    <row r="238" spans="1:19" outlineLevel="1">
      <c r="B238" s="25" t="s">
        <v>289</v>
      </c>
    </row>
    <row r="239" spans="1:19" outlineLevel="1">
      <c r="B239" s="83" t="s">
        <v>124</v>
      </c>
      <c r="C239" s="51" t="s">
        <v>59</v>
      </c>
      <c r="D239" s="68">
        <f>+'Annual FS'!D91</f>
        <v>141.55000000000001</v>
      </c>
      <c r="E239" s="68">
        <f>+'Annual FS'!E91</f>
        <v>141.55000000000001</v>
      </c>
      <c r="F239" s="68">
        <f>+'Annual FS'!F91</f>
        <v>141.55000000000001</v>
      </c>
      <c r="G239" s="68">
        <f>+'Annual FS'!G91</f>
        <v>0</v>
      </c>
      <c r="H239" s="68">
        <f>+'Annual FS'!H91</f>
        <v>0</v>
      </c>
      <c r="I239" s="68">
        <f>+'Annual FS'!I91</f>
        <v>0</v>
      </c>
      <c r="J239" s="68">
        <f>+'Annual FS'!J91</f>
        <v>0</v>
      </c>
      <c r="K239" s="68">
        <f>+'Annual FS'!K91</f>
        <v>0</v>
      </c>
      <c r="L239" s="68">
        <f>+'Annual FS'!L91</f>
        <v>0</v>
      </c>
      <c r="M239" s="68">
        <f>+'Annual FS'!M91</f>
        <v>0</v>
      </c>
      <c r="N239" s="1420">
        <f>+'Annual FS'!N91</f>
        <v>0</v>
      </c>
      <c r="O239" s="75">
        <f t="shared" ref="O239:O244" si="96">+N239</f>
        <v>0</v>
      </c>
      <c r="P239" s="75">
        <f t="shared" ref="P239:S244" si="97">+O239</f>
        <v>0</v>
      </c>
      <c r="Q239" s="75">
        <f t="shared" si="97"/>
        <v>0</v>
      </c>
      <c r="R239" s="75">
        <f t="shared" si="97"/>
        <v>0</v>
      </c>
      <c r="S239" s="75">
        <f t="shared" si="97"/>
        <v>0</v>
      </c>
    </row>
    <row r="240" spans="1:19" outlineLevel="1">
      <c r="B240" s="57" t="s">
        <v>125</v>
      </c>
      <c r="C240" s="18" t="s">
        <v>59</v>
      </c>
      <c r="D240" s="38">
        <f>+'Annual FS'!D92</f>
        <v>763.41397800000004</v>
      </c>
      <c r="E240" s="38">
        <f>+'Annual FS'!E92</f>
        <v>763.41397800000004</v>
      </c>
      <c r="F240" s="38">
        <f>+'Annual FS'!F92</f>
        <v>770.14197799999999</v>
      </c>
      <c r="G240" s="38">
        <f>+'Annual FS'!G92</f>
        <v>5723.9039169999996</v>
      </c>
      <c r="H240" s="38">
        <f>+'Annual FS'!H92</f>
        <v>4473.9039169999996</v>
      </c>
      <c r="I240" s="38">
        <f>+'Annual FS'!I92</f>
        <v>4473.9039169999996</v>
      </c>
      <c r="J240" s="38">
        <f>+'Annual FS'!J92</f>
        <v>4525.0032920000003</v>
      </c>
      <c r="K240" s="38">
        <f>+'Annual FS'!K92</f>
        <v>4534.4488300000003</v>
      </c>
      <c r="L240" s="38">
        <f>+'Annual FS'!L92</f>
        <v>4534.4488300000003</v>
      </c>
      <c r="M240" s="38">
        <f>+'Annual FS'!M92</f>
        <v>4534.4488300000003</v>
      </c>
      <c r="N240" s="168">
        <f>+'Annual FS'!N92</f>
        <v>4540.128557</v>
      </c>
      <c r="O240" s="55">
        <f t="shared" si="96"/>
        <v>4540.128557</v>
      </c>
      <c r="P240" s="55">
        <f t="shared" si="97"/>
        <v>4540.128557</v>
      </c>
      <c r="Q240" s="55">
        <f t="shared" si="97"/>
        <v>4540.128557</v>
      </c>
      <c r="R240" s="55">
        <f t="shared" si="97"/>
        <v>4540.128557</v>
      </c>
      <c r="S240" s="55">
        <f t="shared" si="97"/>
        <v>4540.128557</v>
      </c>
    </row>
    <row r="241" spans="2:21" outlineLevel="1">
      <c r="B241" s="57" t="s">
        <v>126</v>
      </c>
      <c r="C241" s="18" t="s">
        <v>59</v>
      </c>
      <c r="D241" s="38">
        <f>+'Annual FS'!D93</f>
        <v>1587.6439082699999</v>
      </c>
      <c r="E241" s="38">
        <f>+'Annual FS'!E93</f>
        <v>1815.0119307799998</v>
      </c>
      <c r="F241" s="38">
        <f>+'Annual FS'!F93</f>
        <v>1807.63393124</v>
      </c>
      <c r="G241" s="38">
        <f>+'Annual FS'!G93</f>
        <v>2061.9214566999999</v>
      </c>
      <c r="H241" s="38">
        <f>+'Annual FS'!H93</f>
        <v>2040.0935767000001</v>
      </c>
      <c r="I241" s="38">
        <f>+'Annual FS'!I93</f>
        <v>2781.8883946999999</v>
      </c>
      <c r="J241" s="38">
        <f>+'Annual FS'!J93</f>
        <v>3015.0041660000002</v>
      </c>
      <c r="K241" s="38">
        <f>+'Annual FS'!K93</f>
        <v>3143.6621655200001</v>
      </c>
      <c r="L241" s="38">
        <f>+'Annual FS'!L93</f>
        <v>3037.1060140500003</v>
      </c>
      <c r="M241" s="38">
        <f>+'Annual FS'!M93</f>
        <v>3123.0562650399997</v>
      </c>
      <c r="N241" s="168">
        <f>+'Annual FS'!N93</f>
        <v>3459.5826411399999</v>
      </c>
      <c r="O241" s="55">
        <f t="shared" si="96"/>
        <v>3459.5826411399999</v>
      </c>
      <c r="P241" s="55">
        <f t="shared" si="97"/>
        <v>3459.5826411399999</v>
      </c>
      <c r="Q241" s="55">
        <f t="shared" si="97"/>
        <v>3459.5826411399999</v>
      </c>
      <c r="R241" s="55">
        <f t="shared" si="97"/>
        <v>3459.5826411399999</v>
      </c>
      <c r="S241" s="55">
        <f t="shared" si="97"/>
        <v>3459.5826411399999</v>
      </c>
    </row>
    <row r="242" spans="2:21" outlineLevel="1">
      <c r="B242" s="57" t="s">
        <v>127</v>
      </c>
      <c r="C242" s="18" t="s">
        <v>259</v>
      </c>
      <c r="D242" s="38">
        <f>+'Annual FS'!D94</f>
        <v>2564.0631227200001</v>
      </c>
      <c r="E242" s="38">
        <f>+'Annual FS'!E94</f>
        <v>2608.2257146100001</v>
      </c>
      <c r="F242" s="38">
        <f>+'Annual FS'!F94</f>
        <v>3805.7907611999995</v>
      </c>
      <c r="G242" s="38">
        <f>+'Annual FS'!G94</f>
        <v>5134.7808000000005</v>
      </c>
      <c r="H242" s="38">
        <f>+'Annual FS'!H94</f>
        <v>5259.4811199799997</v>
      </c>
      <c r="I242" s="38">
        <f>+'Annual FS'!I94</f>
        <v>5548.4404298099998</v>
      </c>
      <c r="J242" s="38">
        <f>+'Annual FS'!J94</f>
        <v>6765.5618421199997</v>
      </c>
      <c r="K242" s="38">
        <f>+'Annual FS'!K94</f>
        <v>7399.905850789999</v>
      </c>
      <c r="L242" s="38">
        <f>+'Annual FS'!L94</f>
        <v>7490.76076216</v>
      </c>
      <c r="M242" s="38">
        <f>+'Annual FS'!M94</f>
        <v>7964.0023809999993</v>
      </c>
      <c r="N242" s="168">
        <f>+'Annual FS'!N94</f>
        <v>9601.3787597499995</v>
      </c>
      <c r="O242" s="55">
        <f t="shared" si="96"/>
        <v>9601.3787597499995</v>
      </c>
      <c r="P242" s="55">
        <f t="shared" si="97"/>
        <v>9601.3787597499995</v>
      </c>
      <c r="Q242" s="55">
        <f t="shared" si="97"/>
        <v>9601.3787597499995</v>
      </c>
      <c r="R242" s="55">
        <f t="shared" si="97"/>
        <v>9601.3787597499995</v>
      </c>
      <c r="S242" s="55">
        <f t="shared" si="97"/>
        <v>9601.3787597499995</v>
      </c>
    </row>
    <row r="243" spans="2:21" outlineLevel="1">
      <c r="B243" s="57" t="s">
        <v>128</v>
      </c>
      <c r="C243" s="18" t="s">
        <v>59</v>
      </c>
      <c r="D243" s="38">
        <f>+'Annual FS'!D95</f>
        <v>373.62071473000003</v>
      </c>
      <c r="E243" s="38">
        <f>+'Annual FS'!E95</f>
        <v>399.82855530999996</v>
      </c>
      <c r="F243" s="38">
        <f>+'Annual FS'!F95</f>
        <v>322.73364975999993</v>
      </c>
      <c r="G243" s="38">
        <f>+'Annual FS'!G95</f>
        <v>749.88099999999997</v>
      </c>
      <c r="H243" s="38">
        <f>+'Annual FS'!H95</f>
        <v>749.58758755999997</v>
      </c>
      <c r="I243" s="38">
        <f>+'Annual FS'!I95</f>
        <v>828.73170355999991</v>
      </c>
      <c r="J243" s="38">
        <f>+'Annual FS'!J95</f>
        <v>242.434471</v>
      </c>
      <c r="K243" s="38">
        <f>+'Annual FS'!K95</f>
        <v>250.09897609999999</v>
      </c>
      <c r="L243" s="38">
        <f>+'Annual FS'!L95</f>
        <v>249.80179609999999</v>
      </c>
      <c r="M243" s="38">
        <f>+'Annual FS'!M95</f>
        <v>263.02038881999999</v>
      </c>
      <c r="N243" s="168">
        <f>+'Annual FS'!N95</f>
        <v>286.23288375999999</v>
      </c>
      <c r="O243" s="55">
        <f t="shared" si="96"/>
        <v>286.23288375999999</v>
      </c>
      <c r="P243" s="55">
        <f t="shared" si="97"/>
        <v>286.23288375999999</v>
      </c>
      <c r="Q243" s="55">
        <f t="shared" si="97"/>
        <v>286.23288375999999</v>
      </c>
      <c r="R243" s="55">
        <f t="shared" si="97"/>
        <v>286.23288375999999</v>
      </c>
      <c r="S243" s="55">
        <f t="shared" si="97"/>
        <v>286.23288375999999</v>
      </c>
    </row>
    <row r="244" spans="2:21" outlineLevel="1">
      <c r="B244" s="623" t="s">
        <v>129</v>
      </c>
      <c r="C244" s="191" t="s">
        <v>59</v>
      </c>
      <c r="D244" s="265">
        <f>+'Annual FS'!D96</f>
        <v>1608.55427577</v>
      </c>
      <c r="E244" s="265">
        <f>+'Annual FS'!E96</f>
        <v>1544.7759429399998</v>
      </c>
      <c r="F244" s="265">
        <f>+'Annual FS'!F96</f>
        <v>1717.1877929299999</v>
      </c>
      <c r="G244" s="265">
        <f>+'Annual FS'!G96</f>
        <v>1407.41</v>
      </c>
      <c r="H244" s="265">
        <f>+'Annual FS'!H96</f>
        <v>1317.46053646</v>
      </c>
      <c r="I244" s="265">
        <f>+'Annual FS'!I96</f>
        <v>917.77147746000003</v>
      </c>
      <c r="J244" s="265">
        <f>+'Annual FS'!J96</f>
        <v>1580.4543125299999</v>
      </c>
      <c r="K244" s="265">
        <f>+'Annual FS'!K96</f>
        <v>1721.8683255399999</v>
      </c>
      <c r="L244" s="265">
        <f>+'Annual FS'!L96</f>
        <v>1763.86429234</v>
      </c>
      <c r="M244" s="265">
        <f>+'Annual FS'!M96</f>
        <v>1957.6635447599999</v>
      </c>
      <c r="N244" s="298">
        <f>+'Annual FS'!N96</f>
        <v>2401.8048977100002</v>
      </c>
      <c r="O244" s="375">
        <f t="shared" si="96"/>
        <v>2401.8048977100002</v>
      </c>
      <c r="P244" s="375">
        <f t="shared" si="97"/>
        <v>2401.8048977100002</v>
      </c>
      <c r="Q244" s="375">
        <f t="shared" si="97"/>
        <v>2401.8048977100002</v>
      </c>
      <c r="R244" s="375">
        <f t="shared" si="97"/>
        <v>2401.8048977100002</v>
      </c>
      <c r="S244" s="375">
        <f t="shared" si="97"/>
        <v>2401.8048977100002</v>
      </c>
    </row>
    <row r="245" spans="2:21" outlineLevel="1"/>
    <row r="246" spans="2:21" outlineLevel="1">
      <c r="B246" s="83" t="s">
        <v>290</v>
      </c>
      <c r="C246" s="51" t="s">
        <v>59</v>
      </c>
      <c r="D246" s="75">
        <f t="shared" ref="D246:J246" si="98">+SUM(D239:D244)</f>
        <v>7038.8459994900004</v>
      </c>
      <c r="E246" s="75">
        <f t="shared" si="98"/>
        <v>7272.8061216399983</v>
      </c>
      <c r="F246" s="75">
        <f t="shared" si="98"/>
        <v>8565.0381131300001</v>
      </c>
      <c r="G246" s="75">
        <f t="shared" si="98"/>
        <v>15077.897173699999</v>
      </c>
      <c r="H246" s="75">
        <f t="shared" si="98"/>
        <v>13840.526737699998</v>
      </c>
      <c r="I246" s="75">
        <f t="shared" si="98"/>
        <v>14550.735922530001</v>
      </c>
      <c r="J246" s="75">
        <f t="shared" si="98"/>
        <v>16128.458083650001</v>
      </c>
      <c r="K246" s="75">
        <f>+SUM(K239:K244)</f>
        <v>17049.984147949999</v>
      </c>
      <c r="L246" s="75">
        <f>+SUM(L239:L244)</f>
        <v>17075.98169465</v>
      </c>
      <c r="M246" s="75">
        <f>+SUM(M239:M244)</f>
        <v>17842.191409619998</v>
      </c>
      <c r="N246" s="1427">
        <f>+SUM(N239:N244)</f>
        <v>20289.127739359999</v>
      </c>
      <c r="O246" s="75">
        <f>+SUM(O239:O244)</f>
        <v>20289.127739359999</v>
      </c>
      <c r="P246" s="75">
        <f t="shared" ref="P246:S246" si="99">+SUM(P239:P244)</f>
        <v>20289.127739359999</v>
      </c>
      <c r="Q246" s="75">
        <f t="shared" si="99"/>
        <v>20289.127739359999</v>
      </c>
      <c r="R246" s="75">
        <f t="shared" si="99"/>
        <v>20289.127739359999</v>
      </c>
      <c r="S246" s="75">
        <f t="shared" si="99"/>
        <v>20289.127739359999</v>
      </c>
    </row>
    <row r="247" spans="2:21" outlineLevel="1">
      <c r="B247" s="17" t="s">
        <v>130</v>
      </c>
      <c r="C247" s="18" t="s">
        <v>59</v>
      </c>
      <c r="D247" s="55">
        <f>-+'Annual FS'!D98</f>
        <v>2702.9848535799997</v>
      </c>
      <c r="E247" s="55">
        <f>-+'Annual FS'!E98</f>
        <v>3124.4312170499998</v>
      </c>
      <c r="F247" s="55">
        <f>-+'Annual FS'!F98</f>
        <v>3288.0335372899999</v>
      </c>
      <c r="G247" s="38">
        <f>-+'Annual FS'!G98</f>
        <v>3320.607</v>
      </c>
      <c r="H247" s="38">
        <f>-+'Annual FS'!H98</f>
        <v>4156.6855263300004</v>
      </c>
      <c r="I247" s="38">
        <f>-+'Annual FS'!I98</f>
        <v>4682.1916530200006</v>
      </c>
      <c r="J247" s="38">
        <f>-+'Annual FS'!J98</f>
        <v>5108.8409856600001</v>
      </c>
      <c r="K247" s="38">
        <f>-+'Annual FS'!K98</f>
        <v>5596.9615016400003</v>
      </c>
      <c r="L247" s="38">
        <f>-+'Annual FS'!L98</f>
        <v>5903.2058341599995</v>
      </c>
      <c r="M247" s="38">
        <f>-+'Annual FS'!M98</f>
        <v>6495.7291034399996</v>
      </c>
      <c r="N247" s="168">
        <f>-+'Annual FS'!N98</f>
        <v>6914.25610667</v>
      </c>
      <c r="O247" s="55">
        <f t="shared" ref="O247:S247" si="100">+N247+O248</f>
        <v>7928.7124936379996</v>
      </c>
      <c r="P247" s="55">
        <f t="shared" si="100"/>
        <v>8943.1688806059992</v>
      </c>
      <c r="Q247" s="55">
        <f t="shared" si="100"/>
        <v>9957.6252675739997</v>
      </c>
      <c r="R247" s="55">
        <f t="shared" si="100"/>
        <v>10972.081654542</v>
      </c>
      <c r="S247" s="55">
        <f t="shared" si="100"/>
        <v>11986.538041510001</v>
      </c>
      <c r="U247" s="28"/>
    </row>
    <row r="248" spans="2:21" outlineLevel="1">
      <c r="B248" s="17" t="s">
        <v>291</v>
      </c>
      <c r="C248" s="18" t="s">
        <v>59</v>
      </c>
      <c r="D248" s="55">
        <f>-'Annual FS'!D47</f>
        <v>726.37904705000005</v>
      </c>
      <c r="E248" s="55">
        <f>-'Annual FS'!E47</f>
        <v>805.01408962000005</v>
      </c>
      <c r="F248" s="55">
        <f>-'Annual FS'!F47</f>
        <v>732.30842697000003</v>
      </c>
      <c r="G248" s="38">
        <f>-'Annual FS'!G47</f>
        <v>965.17700381999975</v>
      </c>
      <c r="H248" s="38">
        <f>-'Annual FS'!H47</f>
        <v>824.09895899999992</v>
      </c>
      <c r="I248" s="38">
        <f>-'Annual FS'!I47</f>
        <v>539.39243676000001</v>
      </c>
      <c r="J248" s="38">
        <f>-'Annual FS'!J47</f>
        <v>426.64933264000007</v>
      </c>
      <c r="K248" s="38">
        <f>-'Annual FS'!K47</f>
        <v>532.62071974999992</v>
      </c>
      <c r="L248" s="38">
        <f>-'Annual FS'!L47</f>
        <v>621.75389351999991</v>
      </c>
      <c r="M248" s="38">
        <f>-'Annual FS'!M47</f>
        <v>606.64466633999996</v>
      </c>
      <c r="N248" s="168">
        <f>-'Annual FS'!N47</f>
        <v>737.40174249999995</v>
      </c>
      <c r="O248" s="55">
        <f>+(IF(N250&gt;=$N$246/O249,$N$246/O249,N250))</f>
        <v>1014.4563869679999</v>
      </c>
      <c r="P248" s="55">
        <f>+(IF(O250&gt;=$N$246/P249,$N$246/P249,O250))</f>
        <v>1014.4563869679999</v>
      </c>
      <c r="Q248" s="55">
        <f>+(IF(P250&gt;=$N$246/Q249,$N$246/Q249,P250))</f>
        <v>1014.4563869679999</v>
      </c>
      <c r="R248" s="55">
        <f>+(IF(Q250&gt;=$N$246/R249,$N$246/R249,Q250))</f>
        <v>1014.4563869679999</v>
      </c>
      <c r="S248" s="55">
        <f>+(IF(R250&gt;=$N$246/S249,$N$246/S249,R250))</f>
        <v>1014.4563869679999</v>
      </c>
      <c r="T248" s="28"/>
      <c r="U248" s="1220"/>
    </row>
    <row r="249" spans="2:21" outlineLevel="1">
      <c r="B249" s="17" t="s">
        <v>292</v>
      </c>
      <c r="C249" s="18" t="s">
        <v>259</v>
      </c>
      <c r="D249" s="55">
        <f>+AVERAGE(D246:D246)/D248</f>
        <v>9.6903208153875671</v>
      </c>
      <c r="E249" s="55">
        <f t="shared" ref="E249:M249" si="101">D246/E248</f>
        <v>8.7437550351604738</v>
      </c>
      <c r="F249" s="55">
        <f t="shared" si="101"/>
        <v>9.9313429339219361</v>
      </c>
      <c r="G249" s="55">
        <f t="shared" si="101"/>
        <v>8.8740594515110658</v>
      </c>
      <c r="H249" s="55">
        <f t="shared" si="101"/>
        <v>18.296221599401392</v>
      </c>
      <c r="I249" s="55">
        <f t="shared" si="101"/>
        <v>25.659474984181642</v>
      </c>
      <c r="J249" s="55">
        <f t="shared" si="101"/>
        <v>34.104672876185369</v>
      </c>
      <c r="K249" s="55">
        <f t="shared" si="101"/>
        <v>30.281319305828607</v>
      </c>
      <c r="L249" s="55">
        <f t="shared" si="101"/>
        <v>27.422400286748754</v>
      </c>
      <c r="M249" s="55">
        <f t="shared" si="101"/>
        <v>28.148243349228753</v>
      </c>
      <c r="N249" s="169">
        <f>M246/N248</f>
        <v>24.196025560137592</v>
      </c>
      <c r="O249" s="36">
        <v>20</v>
      </c>
      <c r="P249" s="55">
        <f>+O249</f>
        <v>20</v>
      </c>
      <c r="Q249" s="55">
        <f t="shared" ref="Q249:S249" si="102">+P249</f>
        <v>20</v>
      </c>
      <c r="R249" s="55">
        <f t="shared" si="102"/>
        <v>20</v>
      </c>
      <c r="S249" s="55">
        <f t="shared" si="102"/>
        <v>20</v>
      </c>
      <c r="T249" s="1220"/>
    </row>
    <row r="250" spans="2:21" outlineLevel="1">
      <c r="B250" s="185" t="s">
        <v>293</v>
      </c>
      <c r="C250" s="192" t="s">
        <v>59</v>
      </c>
      <c r="D250" s="222">
        <f>+'Annual FS'!D89</f>
        <v>4335.8611459100011</v>
      </c>
      <c r="E250" s="222">
        <f>+'Annual FS'!E89</f>
        <v>4148.3749045899986</v>
      </c>
      <c r="F250" s="222">
        <f>+'Annual FS'!F89</f>
        <v>5277.0045758400001</v>
      </c>
      <c r="G250" s="309">
        <f>+'Annual FS'!G89</f>
        <v>11757.290173699999</v>
      </c>
      <c r="H250" s="309">
        <f>+'Annual FS'!H89</f>
        <v>9683.8412113699978</v>
      </c>
      <c r="I250" s="309">
        <f>+'Annual FS'!I89</f>
        <v>9868.5442695099991</v>
      </c>
      <c r="J250" s="309">
        <f>+'Annual FS'!J89</f>
        <v>11019.617097990002</v>
      </c>
      <c r="K250" s="309">
        <f>+'Annual FS'!K89</f>
        <v>11453.022646309999</v>
      </c>
      <c r="L250" s="309">
        <f>+'Annual FS'!L89</f>
        <v>11172.775860490001</v>
      </c>
      <c r="M250" s="309">
        <f>+'Annual FS'!M89</f>
        <v>11346.462306179998</v>
      </c>
      <c r="N250" s="626">
        <f>+'Annual FS'!N89</f>
        <v>13374.871632689999</v>
      </c>
      <c r="O250" s="222">
        <f>+O246-O247</f>
        <v>12360.415245722001</v>
      </c>
      <c r="P250" s="222">
        <f t="shared" ref="P250" si="103">+P246-P247</f>
        <v>11345.958858754</v>
      </c>
      <c r="Q250" s="222">
        <f>+Q246-Q247</f>
        <v>10331.502471786</v>
      </c>
      <c r="R250" s="222">
        <f>+R246-R247</f>
        <v>9317.0460848179991</v>
      </c>
      <c r="S250" s="222">
        <f>+S246-S247</f>
        <v>8302.5896978499986</v>
      </c>
    </row>
    <row r="251" spans="2:21" outlineLevel="1">
      <c r="G251" s="28"/>
      <c r="I251" s="28"/>
      <c r="J251" s="28"/>
      <c r="K251" s="289"/>
    </row>
    <row r="252" spans="2:21" outlineLevel="1">
      <c r="B252" s="25" t="s">
        <v>294</v>
      </c>
      <c r="J252" s="28"/>
    </row>
    <row r="253" spans="2:21" outlineLevel="1">
      <c r="B253" s="80" t="s">
        <v>133</v>
      </c>
      <c r="C253" s="51" t="s">
        <v>59</v>
      </c>
      <c r="D253" s="68">
        <f>+'Annual FS'!D101</f>
        <v>962.03228300000001</v>
      </c>
      <c r="E253" s="68">
        <f>+'Annual FS'!E101</f>
        <v>753.18400799999995</v>
      </c>
      <c r="F253" s="68">
        <f>+'Annual FS'!F101</f>
        <v>9</v>
      </c>
      <c r="G253" s="68">
        <f>+'Annual FS'!G101+'Annual FS'!G102</f>
        <v>726.61800000000005</v>
      </c>
      <c r="H253" s="68">
        <f>+'Annual FS'!H101+'Annual FS'!H102</f>
        <v>798.7621352000001</v>
      </c>
      <c r="I253" s="68">
        <f>+'Annual FS'!I101+'Annual FS'!I102</f>
        <v>428.83991549000001</v>
      </c>
      <c r="J253" s="68">
        <f>+'Annual FS'!J101+'Annual FS'!J102</f>
        <v>438.84172494000001</v>
      </c>
      <c r="K253" s="68">
        <f>+'Annual FS'!K101+'Annual FS'!K102</f>
        <v>411.87904350000002</v>
      </c>
      <c r="L253" s="68">
        <f>+'Annual FS'!L101+'Annual FS'!L102</f>
        <v>356.34909733999996</v>
      </c>
      <c r="M253" s="68">
        <f>+'Annual FS'!M101+'Annual FS'!M102</f>
        <v>208.34611521000002</v>
      </c>
      <c r="N253" s="1420">
        <f>+'Annual FS'!N101+'Annual FS'!N102</f>
        <v>150.64031978</v>
      </c>
      <c r="O253" s="75">
        <f t="shared" ref="O253:S253" si="104">+N253</f>
        <v>150.64031978</v>
      </c>
      <c r="P253" s="75">
        <f t="shared" si="104"/>
        <v>150.64031978</v>
      </c>
      <c r="Q253" s="75">
        <f t="shared" si="104"/>
        <v>150.64031978</v>
      </c>
      <c r="R253" s="75">
        <f t="shared" si="104"/>
        <v>150.64031978</v>
      </c>
      <c r="S253" s="75">
        <f t="shared" si="104"/>
        <v>150.64031978</v>
      </c>
    </row>
    <row r="254" spans="2:21" outlineLevel="1">
      <c r="B254" s="29" t="s">
        <v>295</v>
      </c>
      <c r="C254" s="18" t="s">
        <v>59</v>
      </c>
      <c r="D254" s="38">
        <f>+'Annual FS'!D103</f>
        <v>-102.99176591</v>
      </c>
      <c r="E254" s="38">
        <f>+'Annual FS'!E103</f>
        <v>-172.91479742999996</v>
      </c>
      <c r="F254" s="38">
        <f>+'Annual FS'!F103</f>
        <v>-151.25112200000001</v>
      </c>
      <c r="G254" s="38">
        <f>+'Annual FS'!G103</f>
        <v>-384.75799999999998</v>
      </c>
      <c r="H254" s="38">
        <f>+'Annual FS'!H103</f>
        <v>-573.37006546999999</v>
      </c>
      <c r="I254" s="38">
        <f>+'Annual FS'!I103</f>
        <v>-181.36337129</v>
      </c>
      <c r="J254" s="38">
        <f>+'Annual FS'!J103</f>
        <v>-264.42587580000003</v>
      </c>
      <c r="K254" s="38">
        <f>+'Annual FS'!K103</f>
        <v>-307.60059580000001</v>
      </c>
      <c r="L254" s="38">
        <f>+'Annual FS'!L103</f>
        <v>-255.44343480000001</v>
      </c>
      <c r="M254" s="38">
        <f>+'Annual FS'!M103</f>
        <v>-158.59836211000001</v>
      </c>
      <c r="N254" s="168">
        <f>+'Annual FS'!N103</f>
        <v>-91.248935799999998</v>
      </c>
      <c r="O254" s="55">
        <f t="shared" ref="O254:S254" si="105">+N254+O256</f>
        <v>-103.12721259599999</v>
      </c>
      <c r="P254" s="55">
        <f t="shared" si="105"/>
        <v>-115.00548939199999</v>
      </c>
      <c r="Q254" s="55">
        <f t="shared" si="105"/>
        <v>-126.88376618799998</v>
      </c>
      <c r="R254" s="55">
        <f t="shared" si="105"/>
        <v>-138.76204298399998</v>
      </c>
      <c r="S254" s="55">
        <f t="shared" si="105"/>
        <v>-150.64031977999997</v>
      </c>
    </row>
    <row r="255" spans="2:21" outlineLevel="1">
      <c r="B255" s="29" t="s">
        <v>258</v>
      </c>
      <c r="C255" s="18" t="s">
        <v>296</v>
      </c>
      <c r="D255" s="38"/>
      <c r="E255" s="38"/>
      <c r="F255" s="38"/>
      <c r="G255" s="43"/>
      <c r="H255" s="43"/>
      <c r="J255" s="55"/>
      <c r="K255" s="55"/>
      <c r="L255" s="55"/>
      <c r="M255" s="55"/>
      <c r="N255" s="1257">
        <v>5</v>
      </c>
      <c r="O255" s="55">
        <f>N255</f>
        <v>5</v>
      </c>
      <c r="P255" s="55">
        <f t="shared" ref="P255:S255" si="106">+O255</f>
        <v>5</v>
      </c>
      <c r="Q255" s="55">
        <f t="shared" si="106"/>
        <v>5</v>
      </c>
      <c r="R255" s="55">
        <f t="shared" si="106"/>
        <v>5</v>
      </c>
      <c r="S255" s="55">
        <f t="shared" si="106"/>
        <v>5</v>
      </c>
    </row>
    <row r="256" spans="2:21" outlineLevel="1">
      <c r="B256" s="29" t="s">
        <v>297</v>
      </c>
      <c r="C256" s="18" t="s">
        <v>59</v>
      </c>
      <c r="D256" s="38"/>
      <c r="E256" s="38"/>
      <c r="F256" s="38"/>
      <c r="G256" s="38"/>
      <c r="H256" s="55"/>
      <c r="I256" s="55"/>
      <c r="J256" s="55"/>
      <c r="K256" s="55"/>
      <c r="L256" s="55"/>
      <c r="M256" s="55"/>
      <c r="N256" s="169"/>
      <c r="O256" s="55">
        <f>-+IF(N257&gt;=$N$257/O255,$N$257/O255,N257)</f>
        <v>-11.878276796</v>
      </c>
      <c r="P256" s="55">
        <f>-+IF(O257&gt;=$N$257/P255,$N$257/P255,O257)</f>
        <v>-11.878276796</v>
      </c>
      <c r="Q256" s="55">
        <f>-+IF(P257&gt;=$N$257/Q255,$N$257/Q255,P257)</f>
        <v>-11.878276796</v>
      </c>
      <c r="R256" s="55">
        <f>-+IF(Q257&gt;=$N$257/R255,$N$257/R255,Q257)</f>
        <v>-11.878276796</v>
      </c>
      <c r="S256" s="55">
        <f>-+IF(R257&gt;=$N$257/S255,$N$257/S255,R257)</f>
        <v>-11.878276796</v>
      </c>
    </row>
    <row r="257" spans="2:19" outlineLevel="1">
      <c r="B257" s="185" t="s">
        <v>298</v>
      </c>
      <c r="C257" s="192" t="s">
        <v>59</v>
      </c>
      <c r="D257" s="309">
        <f t="shared" ref="D257:K257" si="107">+SUM(D253:D254)</f>
        <v>859.04051708999998</v>
      </c>
      <c r="E257" s="309">
        <f t="shared" si="107"/>
        <v>580.26921057000004</v>
      </c>
      <c r="F257" s="309">
        <f t="shared" si="107"/>
        <v>-142.25112200000001</v>
      </c>
      <c r="G257" s="222">
        <f t="shared" si="107"/>
        <v>341.86000000000007</v>
      </c>
      <c r="H257" s="222">
        <f t="shared" si="107"/>
        <v>225.39206973000012</v>
      </c>
      <c r="I257" s="222">
        <f t="shared" si="107"/>
        <v>247.47654420000001</v>
      </c>
      <c r="J257" s="222">
        <f t="shared" si="107"/>
        <v>174.41584913999998</v>
      </c>
      <c r="K257" s="222">
        <f t="shared" si="107"/>
        <v>104.27844770000002</v>
      </c>
      <c r="L257" s="222">
        <f>+SUM(L253:L254)</f>
        <v>100.90566253999995</v>
      </c>
      <c r="M257" s="222">
        <f>+SUM(M253:M254)</f>
        <v>49.747753100000011</v>
      </c>
      <c r="N257" s="1097">
        <f>+SUM(N253:N254)</f>
        <v>59.391383980000001</v>
      </c>
      <c r="O257" s="222">
        <f t="shared" ref="O257:S257" si="108">+N257+O256</f>
        <v>47.513107183999999</v>
      </c>
      <c r="P257" s="222">
        <f t="shared" si="108"/>
        <v>35.634830387999997</v>
      </c>
      <c r="Q257" s="222">
        <f t="shared" si="108"/>
        <v>23.756553591999996</v>
      </c>
      <c r="R257" s="222">
        <f t="shared" si="108"/>
        <v>11.878276795999996</v>
      </c>
      <c r="S257" s="222">
        <f t="shared" si="108"/>
        <v>0</v>
      </c>
    </row>
    <row r="258" spans="2:19" outlineLevel="1">
      <c r="I258" s="28"/>
      <c r="J258" s="28"/>
    </row>
    <row r="259" spans="2:19" outlineLevel="1">
      <c r="B259" s="25" t="s">
        <v>299</v>
      </c>
      <c r="J259" s="28"/>
    </row>
    <row r="260" spans="2:19" outlineLevel="1">
      <c r="B260" s="80" t="s">
        <v>133</v>
      </c>
      <c r="C260" s="395" t="s">
        <v>59</v>
      </c>
      <c r="D260" s="638"/>
      <c r="E260" s="638"/>
      <c r="F260" s="638"/>
      <c r="G260" s="68">
        <f>+'Annual FS'!G104</f>
        <v>3400.556</v>
      </c>
      <c r="H260" s="68">
        <f>+'Annual FS'!H104</f>
        <v>3181.9380374100001</v>
      </c>
      <c r="I260" s="68">
        <f>+'Annual FS'!I104</f>
        <v>2811.0045920100001</v>
      </c>
      <c r="J260" s="68">
        <f>+'Annual FS'!J104</f>
        <v>2596.3167651399999</v>
      </c>
      <c r="K260" s="68">
        <f>+'Annual FS'!K104</f>
        <v>2050.61077054</v>
      </c>
      <c r="L260" s="68">
        <f>+'Annual FS'!L104</f>
        <v>1896.5639934799999</v>
      </c>
      <c r="M260" s="68">
        <f>+'Annual FS'!M104</f>
        <v>1557.0669560199999</v>
      </c>
      <c r="N260" s="1420">
        <f>+'Annual FS'!N104</f>
        <v>1561.3435060499999</v>
      </c>
      <c r="O260" s="75">
        <f t="shared" ref="O260:S260" si="109">+N260</f>
        <v>1561.3435060499999</v>
      </c>
      <c r="P260" s="75">
        <f t="shared" si="109"/>
        <v>1561.3435060499999</v>
      </c>
      <c r="Q260" s="75">
        <f t="shared" si="109"/>
        <v>1561.3435060499999</v>
      </c>
      <c r="R260" s="75">
        <f t="shared" si="109"/>
        <v>1561.3435060499999</v>
      </c>
      <c r="S260" s="75">
        <f t="shared" si="109"/>
        <v>1561.3435060499999</v>
      </c>
    </row>
    <row r="261" spans="2:19" outlineLevel="1">
      <c r="B261" s="29" t="s">
        <v>295</v>
      </c>
      <c r="C261" s="18" t="s">
        <v>59</v>
      </c>
      <c r="D261" s="38"/>
      <c r="E261" s="38"/>
      <c r="F261" s="38"/>
      <c r="G261" s="38"/>
      <c r="H261" s="55"/>
      <c r="I261" s="55"/>
      <c r="J261" s="55"/>
      <c r="K261" s="55"/>
      <c r="L261" s="55"/>
      <c r="M261" s="55"/>
      <c r="N261" s="169"/>
      <c r="O261" s="55">
        <f t="shared" ref="O261:S261" si="110">+N261+O263</f>
        <v>-78.06717530249999</v>
      </c>
      <c r="P261" s="55">
        <f t="shared" si="110"/>
        <v>-156.13435060499998</v>
      </c>
      <c r="Q261" s="55">
        <f t="shared" si="110"/>
        <v>-234.20152590749996</v>
      </c>
      <c r="R261" s="55">
        <f t="shared" si="110"/>
        <v>-312.26870120999996</v>
      </c>
      <c r="S261" s="55">
        <f t="shared" si="110"/>
        <v>-390.33587651249996</v>
      </c>
    </row>
    <row r="262" spans="2:19" outlineLevel="1">
      <c r="B262" s="29" t="s">
        <v>258</v>
      </c>
      <c r="C262" s="18" t="s">
        <v>296</v>
      </c>
      <c r="D262" s="38"/>
      <c r="E262" s="38"/>
      <c r="F262" s="38"/>
      <c r="G262" s="43"/>
      <c r="H262" s="43"/>
      <c r="J262" s="55"/>
      <c r="K262" s="55"/>
      <c r="L262" s="55"/>
      <c r="M262" s="55"/>
      <c r="N262" s="1257">
        <v>20</v>
      </c>
      <c r="O262" s="55">
        <f>N262</f>
        <v>20</v>
      </c>
      <c r="P262" s="55">
        <f t="shared" ref="P262:S262" si="111">+O262</f>
        <v>20</v>
      </c>
      <c r="Q262" s="55">
        <f t="shared" si="111"/>
        <v>20</v>
      </c>
      <c r="R262" s="55">
        <f t="shared" si="111"/>
        <v>20</v>
      </c>
      <c r="S262" s="55">
        <f t="shared" si="111"/>
        <v>20</v>
      </c>
    </row>
    <row r="263" spans="2:19" outlineLevel="1">
      <c r="B263" s="29" t="s">
        <v>50</v>
      </c>
      <c r="C263" s="18" t="s">
        <v>59</v>
      </c>
      <c r="D263" s="38"/>
      <c r="E263" s="38"/>
      <c r="F263" s="38"/>
      <c r="G263" s="38"/>
      <c r="H263" s="55"/>
      <c r="I263" s="55"/>
      <c r="J263" s="55"/>
      <c r="K263" s="36"/>
      <c r="L263" s="55"/>
      <c r="M263" s="55"/>
      <c r="N263" s="169"/>
      <c r="O263" s="55">
        <f>-+IF(N264&gt;=$N$264/O262,$N$264/O262,N264)</f>
        <v>-78.06717530249999</v>
      </c>
      <c r="P263" s="55">
        <f t="shared" ref="P263:S263" si="112">-+IF(O264&gt;=$N$264/P262,$N$264/P262,O264)</f>
        <v>-78.06717530249999</v>
      </c>
      <c r="Q263" s="55">
        <f t="shared" si="112"/>
        <v>-78.06717530249999</v>
      </c>
      <c r="R263" s="55">
        <f t="shared" si="112"/>
        <v>-78.06717530249999</v>
      </c>
      <c r="S263" s="55">
        <f t="shared" si="112"/>
        <v>-78.06717530249999</v>
      </c>
    </row>
    <row r="264" spans="2:19" outlineLevel="1">
      <c r="B264" s="185" t="s">
        <v>300</v>
      </c>
      <c r="C264" s="192" t="s">
        <v>59</v>
      </c>
      <c r="D264" s="309">
        <f t="shared" ref="D264:N264" si="113">+SUM(D260:D261)</f>
        <v>0</v>
      </c>
      <c r="E264" s="309">
        <f t="shared" si="113"/>
        <v>0</v>
      </c>
      <c r="F264" s="309">
        <f t="shared" si="113"/>
        <v>0</v>
      </c>
      <c r="G264" s="222">
        <f t="shared" si="113"/>
        <v>3400.556</v>
      </c>
      <c r="H264" s="222">
        <f t="shared" si="113"/>
        <v>3181.9380374100001</v>
      </c>
      <c r="I264" s="222">
        <f t="shared" si="113"/>
        <v>2811.0045920100001</v>
      </c>
      <c r="J264" s="222">
        <f t="shared" si="113"/>
        <v>2596.3167651399999</v>
      </c>
      <c r="K264" s="222">
        <f t="shared" si="113"/>
        <v>2050.61077054</v>
      </c>
      <c r="L264" s="222">
        <f t="shared" si="113"/>
        <v>1896.5639934799999</v>
      </c>
      <c r="M264" s="222">
        <f t="shared" si="113"/>
        <v>1557.0669560199999</v>
      </c>
      <c r="N264" s="1097">
        <f t="shared" si="113"/>
        <v>1561.3435060499999</v>
      </c>
      <c r="O264" s="222">
        <f>+N264+O263</f>
        <v>1483.2763307475</v>
      </c>
      <c r="P264" s="222">
        <f t="shared" ref="P264:S264" si="114">+O264+P263</f>
        <v>1405.2091554450001</v>
      </c>
      <c r="Q264" s="222">
        <f t="shared" si="114"/>
        <v>1327.1419801425002</v>
      </c>
      <c r="R264" s="222">
        <f t="shared" si="114"/>
        <v>1249.0748048400003</v>
      </c>
      <c r="S264" s="222">
        <f t="shared" si="114"/>
        <v>1171.0076295375004</v>
      </c>
    </row>
    <row r="265" spans="2:19" outlineLevel="1"/>
    <row r="266" spans="2:19" outlineLevel="1">
      <c r="B266" s="185" t="s">
        <v>301</v>
      </c>
      <c r="C266" s="194"/>
      <c r="D266" s="222">
        <f>+SUM(D267:D272)</f>
        <v>0</v>
      </c>
      <c r="E266" s="222">
        <f>+SUM(E267:E272)</f>
        <v>233.96012214999962</v>
      </c>
      <c r="F266" s="221">
        <f>+SUM(F267:F272)</f>
        <v>1292.2319914899995</v>
      </c>
      <c r="G266" s="221">
        <f t="shared" ref="G266:L266" si="115">+SUM(G267:G272)</f>
        <v>6512.8590605700001</v>
      </c>
      <c r="H266" s="221">
        <f t="shared" si="115"/>
        <v>-1237.3704360000006</v>
      </c>
      <c r="I266" s="221">
        <f t="shared" si="115"/>
        <v>710.20918483000003</v>
      </c>
      <c r="J266" s="221">
        <f t="shared" si="115"/>
        <v>1577.7221611200007</v>
      </c>
      <c r="K266" s="23">
        <f t="shared" si="115"/>
        <v>921.52606429999923</v>
      </c>
      <c r="L266" s="23">
        <f t="shared" si="115"/>
        <v>25.997546700001323</v>
      </c>
      <c r="M266" s="23">
        <f>+SUM(M267:M272)</f>
        <v>766.20971496999869</v>
      </c>
      <c r="N266" s="23">
        <f>+SUM(N267:N272)</f>
        <v>2446.9363297400005</v>
      </c>
      <c r="O266" s="221">
        <f t="shared" ref="O266:R266" si="116">+SUM(O267:O272)</f>
        <v>973.57864975013456</v>
      </c>
      <c r="P266" s="221">
        <f t="shared" si="116"/>
        <v>1098.7393552904714</v>
      </c>
      <c r="Q266" s="221">
        <f t="shared" si="116"/>
        <v>1140.5502993920936</v>
      </c>
      <c r="R266" s="221">
        <f t="shared" si="116"/>
        <v>1250.3443224796088</v>
      </c>
      <c r="S266" s="221">
        <f>+SUM(S267:S272)</f>
        <v>1300.7331986755371</v>
      </c>
    </row>
    <row r="267" spans="2:19" outlineLevel="1">
      <c r="B267" s="57" t="s">
        <v>124</v>
      </c>
      <c r="C267" s="18" t="s">
        <v>59</v>
      </c>
      <c r="D267" s="43">
        <v>0</v>
      </c>
      <c r="E267" s="55">
        <f>+'Annual FS'!E91-'Annual FS'!D91</f>
        <v>0</v>
      </c>
      <c r="F267" s="55">
        <f>+'Annual FS'!F91-'Annual FS'!E91</f>
        <v>0</v>
      </c>
      <c r="G267" s="75">
        <f>+'Annual FS'!G91-'Annual FS'!F91</f>
        <v>-141.55000000000001</v>
      </c>
      <c r="H267" s="68">
        <f>+'Annual FS'!H91-'Annual FS'!G91</f>
        <v>0</v>
      </c>
      <c r="I267" s="68">
        <f>+'Annual FS'!I91-'Annual FS'!H91</f>
        <v>0</v>
      </c>
      <c r="J267" s="68">
        <f>+'Annual FS'!J91-'Annual FS'!I91</f>
        <v>0</v>
      </c>
      <c r="K267" s="68">
        <f>+'Annual FS'!K91-'Annual FS'!J91</f>
        <v>0</v>
      </c>
      <c r="L267" s="68">
        <f>+'Annual FS'!L91-'Annual FS'!K91</f>
        <v>0</v>
      </c>
      <c r="M267" s="1420">
        <f>+'Annual FS'!M91-'Annual FS'!L91</f>
        <v>0</v>
      </c>
      <c r="N267" s="1420">
        <f>+'Annual FS'!N91-'Annual FS'!M91</f>
        <v>0</v>
      </c>
      <c r="O267" s="68">
        <f>+O275*'Annual FS'!O$5</f>
        <v>0</v>
      </c>
      <c r="P267" s="68">
        <f>+P275*'Annual FS'!P$5</f>
        <v>0</v>
      </c>
      <c r="Q267" s="68">
        <f>+Q275*'Annual FS'!Q$5</f>
        <v>0</v>
      </c>
      <c r="R267" s="68">
        <f>+R275*'Annual FS'!R$5</f>
        <v>0</v>
      </c>
      <c r="S267" s="68">
        <f>+S275*'Annual FS'!S$5</f>
        <v>0</v>
      </c>
    </row>
    <row r="268" spans="2:19" outlineLevel="1">
      <c r="B268" s="57" t="s">
        <v>125</v>
      </c>
      <c r="C268" s="18" t="s">
        <v>59</v>
      </c>
      <c r="E268" s="55">
        <f>+'Annual FS'!E92-'Annual FS'!D92</f>
        <v>0</v>
      </c>
      <c r="F268" s="55">
        <f>+'Annual FS'!F92-'Annual FS'!E92</f>
        <v>6.7279999999999518</v>
      </c>
      <c r="G268" s="55">
        <f>+'Annual FS'!G92-'Annual FS'!F92</f>
        <v>4953.761939</v>
      </c>
      <c r="H268" s="38">
        <f>+'Annual FS'!H92-'Annual FS'!G92</f>
        <v>-1250</v>
      </c>
      <c r="I268" s="38">
        <f>+'Annual FS'!I92-'Annual FS'!H92</f>
        <v>0</v>
      </c>
      <c r="J268" s="38">
        <f>+'Annual FS'!J92-'Annual FS'!I92</f>
        <v>51.099375000000691</v>
      </c>
      <c r="K268" s="38">
        <f>+'Annual FS'!K92-'Annual FS'!J92</f>
        <v>9.4455379999999423</v>
      </c>
      <c r="L268" s="38">
        <f>+'Annual FS'!L92-'Annual FS'!K92</f>
        <v>0</v>
      </c>
      <c r="M268" s="168">
        <f>+'Annual FS'!M92-'Annual FS'!L92</f>
        <v>0</v>
      </c>
      <c r="N268" s="168">
        <f>+'Annual FS'!N92-'Annual FS'!M92</f>
        <v>5.6797269999997297</v>
      </c>
      <c r="O268" s="38">
        <f>+O276*'Annual FS'!O$5</f>
        <v>2.8692981433311586</v>
      </c>
      <c r="P268" s="38">
        <f>+P276*'Annual FS'!P$5</f>
        <v>3.2381675511772263</v>
      </c>
      <c r="Q268" s="38">
        <f>+Q276*'Annual FS'!Q$5</f>
        <v>3.3613913547317691</v>
      </c>
      <c r="R268" s="38">
        <f>+R276*'Annual FS'!R$5</f>
        <v>3.6849725945984382</v>
      </c>
      <c r="S268" s="38">
        <f>+S276*'Annual FS'!S$5</f>
        <v>3.8334769901607553</v>
      </c>
    </row>
    <row r="269" spans="2:19" outlineLevel="1">
      <c r="B269" s="57" t="s">
        <v>179</v>
      </c>
      <c r="C269" s="18" t="s">
        <v>59</v>
      </c>
      <c r="E269" s="55">
        <f>+'Annual FS'!E93-'Annual FS'!D93</f>
        <v>227.36802250999995</v>
      </c>
      <c r="F269" s="55">
        <f>+'Annual FS'!F93-'Annual FS'!E93</f>
        <v>-7.3779995399997915</v>
      </c>
      <c r="G269" s="55">
        <f>+'Annual FS'!G93-'Annual FS'!F93</f>
        <v>254.28752545999987</v>
      </c>
      <c r="H269" s="38">
        <f>+'Annual FS'!H93-'Annual FS'!G93</f>
        <v>-21.827879999999823</v>
      </c>
      <c r="I269" s="38">
        <f>+'Annual FS'!I93-'Annual FS'!H93</f>
        <v>741.79481799999985</v>
      </c>
      <c r="J269" s="38">
        <f>+'Annual FS'!J93-'Annual FS'!I93</f>
        <v>233.11577130000023</v>
      </c>
      <c r="K269" s="38">
        <f>+'Annual FS'!K93-'Annual FS'!J93</f>
        <v>128.65799951999998</v>
      </c>
      <c r="L269" s="38">
        <f>+'Annual FS'!L93-'Annual FS'!K93</f>
        <v>-106.5561514699998</v>
      </c>
      <c r="M269" s="168">
        <f>+'Annual FS'!M93-'Annual FS'!L93</f>
        <v>85.950250989999404</v>
      </c>
      <c r="N269" s="168">
        <f>+'Annual FS'!N93-'Annual FS'!M93</f>
        <v>336.52637610000011</v>
      </c>
      <c r="O269" s="38">
        <f>+O277*'Annual FS'!O$5</f>
        <v>183.02702680970515</v>
      </c>
      <c r="P269" s="38">
        <f>+P277*'Annual FS'!P$5</f>
        <v>206.5564990452888</v>
      </c>
      <c r="Q269" s="38">
        <f>+Q277*'Annual FS'!Q$5</f>
        <v>214.41670919779236</v>
      </c>
      <c r="R269" s="38">
        <f>+R277*'Annual FS'!R$5</f>
        <v>235.05733603604671</v>
      </c>
      <c r="S269" s="38">
        <f>+S277*'Annual FS'!S$5</f>
        <v>244.53014667829936</v>
      </c>
    </row>
    <row r="270" spans="2:19" outlineLevel="1">
      <c r="B270" s="57" t="s">
        <v>127</v>
      </c>
      <c r="C270" s="18" t="s">
        <v>59</v>
      </c>
      <c r="E270" s="55">
        <f>+'Annual FS'!E94-'Annual FS'!D94</f>
        <v>44.162591889999931</v>
      </c>
      <c r="F270" s="55">
        <f>+'Annual FS'!F94-'Annual FS'!E94</f>
        <v>1197.5650465899994</v>
      </c>
      <c r="G270" s="55">
        <f>+'Annual FS'!G94-'Annual FS'!F94</f>
        <v>1328.990038800001</v>
      </c>
      <c r="H270" s="38">
        <f>+'Annual FS'!H94-'Annual FS'!G94</f>
        <v>124.70031997999922</v>
      </c>
      <c r="I270" s="38">
        <f>+'Annual FS'!I94-'Annual FS'!H94</f>
        <v>288.95930983000017</v>
      </c>
      <c r="J270" s="38">
        <f>+'Annual FS'!J94-'Annual FS'!I94</f>
        <v>1217.1214123099999</v>
      </c>
      <c r="K270" s="38">
        <f>+'Annual FS'!K94-'Annual FS'!J94</f>
        <v>634.34400866999931</v>
      </c>
      <c r="L270" s="38">
        <f>+'Annual FS'!L94-'Annual FS'!K94</f>
        <v>90.854911370000991</v>
      </c>
      <c r="M270" s="168">
        <f>+'Annual FS'!M94-'Annual FS'!L94</f>
        <v>473.24161883999932</v>
      </c>
      <c r="N270" s="168">
        <f>+'Annual FS'!N94-'Annual FS'!M94</f>
        <v>1637.3763787500002</v>
      </c>
      <c r="O270" s="38">
        <f>+O278*'Annual FS'!O$5</f>
        <v>610.09008936568387</v>
      </c>
      <c r="P270" s="38">
        <f>+P278*'Annual FS'!P$5</f>
        <v>688.52166348429603</v>
      </c>
      <c r="Q270" s="38">
        <f>+Q278*'Annual FS'!Q$5</f>
        <v>714.72236399264125</v>
      </c>
      <c r="R270" s="38">
        <f>+R278*'Annual FS'!R$5</f>
        <v>783.52445345348895</v>
      </c>
      <c r="S270" s="38">
        <f>+S278*'Annual FS'!S$5</f>
        <v>815.10048892766463</v>
      </c>
    </row>
    <row r="271" spans="2:19" outlineLevel="1">
      <c r="B271" s="57" t="s">
        <v>128</v>
      </c>
      <c r="C271" s="18" t="s">
        <v>59</v>
      </c>
      <c r="E271" s="55">
        <f>+'Annual FS'!E95-'Annual FS'!D95</f>
        <v>26.207840579999925</v>
      </c>
      <c r="F271" s="55">
        <f>+'Annual FS'!F95-'Annual FS'!E95</f>
        <v>-77.094905550000021</v>
      </c>
      <c r="G271" s="55">
        <f>+'Annual FS'!G95-'Annual FS'!F95</f>
        <v>427.14735024000004</v>
      </c>
      <c r="H271" s="38">
        <f>+'Annual FS'!H95-'Annual FS'!G95</f>
        <v>-0.29341243999999733</v>
      </c>
      <c r="I271" s="38">
        <f>+'Annual FS'!I95-'Annual FS'!H95</f>
        <v>79.14411599999994</v>
      </c>
      <c r="J271" s="38">
        <f>+'Annual FS'!J95-'Annual FS'!I95</f>
        <v>-586.29723255999988</v>
      </c>
      <c r="K271" s="38">
        <f>+'Annual FS'!K95-'Annual FS'!J95</f>
        <v>7.6645050999999853</v>
      </c>
      <c r="L271" s="38">
        <f>+'Annual FS'!L95-'Annual FS'!K95</f>
        <v>-0.29717999999999734</v>
      </c>
      <c r="M271" s="168">
        <f>+'Annual FS'!M95-'Annual FS'!L95</f>
        <v>13.218592720000004</v>
      </c>
      <c r="N271" s="168">
        <f>+'Annual FS'!N95-'Annual FS'!M95</f>
        <v>23.212494939999999</v>
      </c>
      <c r="O271" s="38">
        <f>+O279*'Annual FS'!O$5</f>
        <v>25.069713089993467</v>
      </c>
      <c r="P271" s="38">
        <f>+P279*'Annual FS'!P$5</f>
        <v>28.292609338635202</v>
      </c>
      <c r="Q271" s="38">
        <f>+Q279*'Annual FS'!Q$5</f>
        <v>29.369243848767937</v>
      </c>
      <c r="R271" s="38">
        <f>+R279*'Annual FS'!R$5</f>
        <v>32.196447032102483</v>
      </c>
      <c r="S271" s="38">
        <f>+S279*'Annual FS'!S$5</f>
        <v>33.493963847496211</v>
      </c>
    </row>
    <row r="272" spans="2:19" outlineLevel="1">
      <c r="B272" s="623" t="s">
        <v>129</v>
      </c>
      <c r="C272" s="191" t="s">
        <v>59</v>
      </c>
      <c r="D272" s="194"/>
      <c r="E272" s="375">
        <f>+'Annual FS'!E96-'Annual FS'!D96</f>
        <v>-63.778332830000181</v>
      </c>
      <c r="F272" s="375">
        <f>+'Annual FS'!F96-'Annual FS'!E96</f>
        <v>172.41184999000006</v>
      </c>
      <c r="G272" s="375">
        <f>+'Annual FS'!G96-'Annual FS'!F96</f>
        <v>-309.7777929299998</v>
      </c>
      <c r="H272" s="265">
        <f>+'Annual FS'!H96-'Annual FS'!G96</f>
        <v>-89.949463540000124</v>
      </c>
      <c r="I272" s="265">
        <f>+'Annual FS'!I96-'Annual FS'!H96</f>
        <v>-399.68905899999993</v>
      </c>
      <c r="J272" s="265">
        <f>+'Annual FS'!J96-'Annual FS'!I96</f>
        <v>662.6828350699999</v>
      </c>
      <c r="K272" s="265">
        <f>+'Annual FS'!K96-'Annual FS'!J96</f>
        <v>141.41401300999996</v>
      </c>
      <c r="L272" s="265">
        <f>+'Annual FS'!L96-'Annual FS'!K96</f>
        <v>41.995966800000133</v>
      </c>
      <c r="M272" s="298">
        <f>+'Annual FS'!M96-'Annual FS'!L96</f>
        <v>193.7992524199999</v>
      </c>
      <c r="N272" s="298">
        <f>+'Annual FS'!N96-'Annual FS'!M96</f>
        <v>444.14135295000028</v>
      </c>
      <c r="O272" s="265">
        <f>+O280*'Annual FS'!O$5</f>
        <v>152.52252234142097</v>
      </c>
      <c r="P272" s="265">
        <f>+P280*'Annual FS'!P$5</f>
        <v>172.13041587107401</v>
      </c>
      <c r="Q272" s="265">
        <f>+Q280*'Annual FS'!Q$5</f>
        <v>178.68059099816031</v>
      </c>
      <c r="R272" s="265">
        <f>+R280*'Annual FS'!R$5</f>
        <v>195.88111336337224</v>
      </c>
      <c r="S272" s="265">
        <f>+S280*'Annual FS'!S$5</f>
        <v>203.77512223191616</v>
      </c>
    </row>
    <row r="273" spans="2:19" outlineLevel="1">
      <c r="B273" s="57"/>
      <c r="J273" s="629"/>
    </row>
    <row r="274" spans="2:19" outlineLevel="1">
      <c r="B274" s="291" t="s">
        <v>302</v>
      </c>
      <c r="D274" s="1251">
        <f t="shared" ref="D274:L274" si="117">+SUM(D275:D280)</f>
        <v>0</v>
      </c>
      <c r="E274" s="1251">
        <f t="shared" si="117"/>
        <v>6.3653472683442916E-3</v>
      </c>
      <c r="F274" s="1251">
        <f t="shared" si="117"/>
        <v>3.28119392132111E-2</v>
      </c>
      <c r="G274" s="139">
        <f t="shared" si="117"/>
        <v>0.39485519771415795</v>
      </c>
      <c r="H274" s="139">
        <f t="shared" si="117"/>
        <v>-0.20113215960360536</v>
      </c>
      <c r="I274" s="139">
        <f>+SUM(I275:I280)</f>
        <v>5.2110853870346335E-2</v>
      </c>
      <c r="J274" s="139">
        <f t="shared" si="117"/>
        <v>0.11149559291193745</v>
      </c>
      <c r="K274" s="139">
        <f t="shared" si="117"/>
        <v>4.3408112950349548E-2</v>
      </c>
      <c r="L274" s="139">
        <f t="shared" si="117"/>
        <v>2.0600458804608929E-3</v>
      </c>
      <c r="M274" s="139">
        <f t="shared" ref="M274:R274" si="118">+SUM(M275:M280)</f>
        <v>5.0709279856658095E-2</v>
      </c>
      <c r="N274" s="139">
        <f t="shared" ref="N274" si="119">+SUM(N275:N280)</f>
        <v>8.1046992928292289E-2</v>
      </c>
      <c r="O274" s="139">
        <f t="shared" si="118"/>
        <v>3.1915897888535549E-2</v>
      </c>
      <c r="P274" s="139">
        <f t="shared" si="118"/>
        <v>3.1915897888535549E-2</v>
      </c>
      <c r="Q274" s="139">
        <f t="shared" si="118"/>
        <v>3.1915897888535549E-2</v>
      </c>
      <c r="R274" s="139">
        <f t="shared" si="118"/>
        <v>3.1915897888535549E-2</v>
      </c>
      <c r="S274" s="139">
        <f>+SUM(S275:S280)</f>
        <v>3.1915897888535549E-2</v>
      </c>
    </row>
    <row r="275" spans="2:19" outlineLevel="1">
      <c r="B275" s="83" t="s">
        <v>124</v>
      </c>
      <c r="C275" s="51" t="s">
        <v>219</v>
      </c>
      <c r="D275" s="85">
        <f>+D268/'Annual FS'!D$5</f>
        <v>0</v>
      </c>
      <c r="E275" s="85">
        <f>+E268/'Annual FS'!E$5</f>
        <v>0</v>
      </c>
      <c r="F275" s="85">
        <f>+F268/'Annual FS'!F$5</f>
        <v>1.7083521262458324E-4</v>
      </c>
      <c r="G275" s="84">
        <f>+G268/'Annual FS'!G$5</f>
        <v>0.29394325357046319</v>
      </c>
      <c r="H275" s="84">
        <f>+H268/'Annual FS'!H$5</f>
        <v>-0.20318507068687275</v>
      </c>
      <c r="I275" s="84">
        <f>+I267/'Annual FS'!I$5</f>
        <v>0</v>
      </c>
      <c r="J275" s="84">
        <f>+J267/'Annual FS'!J$5</f>
        <v>0</v>
      </c>
      <c r="K275" s="84">
        <f>+K267/'Annual FS'!K$5</f>
        <v>0</v>
      </c>
      <c r="L275" s="84">
        <f>+L267/'Annual FS'!L$5</f>
        <v>0</v>
      </c>
      <c r="M275" s="1435">
        <f>+M267/'Annual FS'!M$5</f>
        <v>0</v>
      </c>
      <c r="N275" s="1435">
        <f>+N267/'Annual FS'!N$5</f>
        <v>0</v>
      </c>
      <c r="O275" s="84">
        <f>AVERAGE(M275:N275)</f>
        <v>0</v>
      </c>
      <c r="P275" s="84">
        <f t="shared" ref="P275:S280" si="120">O275</f>
        <v>0</v>
      </c>
      <c r="Q275" s="84">
        <f t="shared" si="120"/>
        <v>0</v>
      </c>
      <c r="R275" s="84">
        <f t="shared" si="120"/>
        <v>0</v>
      </c>
      <c r="S275" s="84">
        <f t="shared" si="120"/>
        <v>0</v>
      </c>
    </row>
    <row r="276" spans="2:19" outlineLevel="1">
      <c r="B276" s="57" t="s">
        <v>125</v>
      </c>
      <c r="C276" s="18" t="s">
        <v>219</v>
      </c>
      <c r="D276" s="85">
        <f>+D269/'Annual FS'!D$5</f>
        <v>0</v>
      </c>
      <c r="E276" s="85">
        <f>+E269/'Annual FS'!E$5</f>
        <v>6.1859961761559275E-3</v>
      </c>
      <c r="F276" s="85">
        <f>+F269/'Annual FS'!F$5</f>
        <v>-1.8733979193816152E-4</v>
      </c>
      <c r="G276" s="85">
        <f>+G269/'Annual FS'!G$5</f>
        <v>1.5088755474427E-2</v>
      </c>
      <c r="H276" s="85">
        <f>+H269/'Annual FS'!H$5</f>
        <v>-3.5480794725956319E-3</v>
      </c>
      <c r="I276" s="85">
        <f>+I268/'Annual FS'!I$5</f>
        <v>0</v>
      </c>
      <c r="J276" s="85">
        <f>+J268/'Annual FS'!J$5</f>
        <v>3.6111270117484091E-3</v>
      </c>
      <c r="K276" s="85">
        <f>+K268/'Annual FS'!K$5</f>
        <v>4.4492825136993423E-4</v>
      </c>
      <c r="L276" s="85">
        <f>+L268/'Annual FS'!L$5</f>
        <v>0</v>
      </c>
      <c r="M276" s="296">
        <f>+M268/'Annual FS'!M$5</f>
        <v>0</v>
      </c>
      <c r="N276" s="296">
        <f>+N268/'Annual FS'!N$5</f>
        <v>1.8812291452328911E-4</v>
      </c>
      <c r="O276" s="85">
        <f t="shared" ref="O276:O279" si="121">AVERAGE(M276:N276)</f>
        <v>9.4061457261644557E-5</v>
      </c>
      <c r="P276" s="85">
        <f t="shared" si="120"/>
        <v>9.4061457261644557E-5</v>
      </c>
      <c r="Q276" s="85">
        <f t="shared" si="120"/>
        <v>9.4061457261644557E-5</v>
      </c>
      <c r="R276" s="85">
        <f t="shared" si="120"/>
        <v>9.4061457261644557E-5</v>
      </c>
      <c r="S276" s="85">
        <f t="shared" si="120"/>
        <v>9.4061457261644557E-5</v>
      </c>
    </row>
    <row r="277" spans="2:19" outlineLevel="1">
      <c r="B277" s="57" t="s">
        <v>179</v>
      </c>
      <c r="C277" s="18" t="s">
        <v>219</v>
      </c>
      <c r="D277" s="85">
        <f>+D270/'Annual FS'!D$5</f>
        <v>0</v>
      </c>
      <c r="E277" s="85">
        <f>+E270/'Annual FS'!E$5</f>
        <v>1.201530547457082E-3</v>
      </c>
      <c r="F277" s="85">
        <f>+F270/'Annual FS'!F$5</f>
        <v>3.0408186588283731E-2</v>
      </c>
      <c r="G277" s="85">
        <f>+G270/'Annual FS'!G$5</f>
        <v>7.8858786671219649E-2</v>
      </c>
      <c r="H277" s="85">
        <f>+H270/'Annual FS'!H$5</f>
        <v>2.0269794663849434E-2</v>
      </c>
      <c r="I277" s="85">
        <f>+I269/'Annual FS'!I$5</f>
        <v>5.4428416568325533E-2</v>
      </c>
      <c r="J277" s="85">
        <f>+J269/'Annual FS'!J$5</f>
        <v>1.6473991288660263E-2</v>
      </c>
      <c r="K277" s="85">
        <f>+K269/'Annual FS'!K$5</f>
        <v>6.0603830878863413E-3</v>
      </c>
      <c r="L277" s="85">
        <f>+L269/'Annual FS'!L$5</f>
        <v>-8.4435105899253477E-3</v>
      </c>
      <c r="M277" s="296">
        <f>+M269/'Annual FS'!M$5</f>
        <v>5.6883582210551101E-3</v>
      </c>
      <c r="N277" s="296">
        <f>+N269/'Annual FS'!N$5</f>
        <v>1.1146367190869486E-2</v>
      </c>
      <c r="O277" s="1250">
        <v>6.0000000000000001E-3</v>
      </c>
      <c r="P277" s="85">
        <f t="shared" ref="P277:R277" si="122">O277</f>
        <v>6.0000000000000001E-3</v>
      </c>
      <c r="Q277" s="85">
        <f t="shared" si="122"/>
        <v>6.0000000000000001E-3</v>
      </c>
      <c r="R277" s="85">
        <f t="shared" si="122"/>
        <v>6.0000000000000001E-3</v>
      </c>
      <c r="S277" s="85">
        <f>R277</f>
        <v>6.0000000000000001E-3</v>
      </c>
    </row>
    <row r="278" spans="2:19" outlineLevel="1">
      <c r="B278" s="57" t="s">
        <v>127</v>
      </c>
      <c r="C278" s="18" t="s">
        <v>219</v>
      </c>
      <c r="D278" s="85">
        <f>+D271/'Annual FS'!D$5</f>
        <v>0</v>
      </c>
      <c r="E278" s="85">
        <f>+E271/'Annual FS'!E$5</f>
        <v>7.1303607175478409E-4</v>
      </c>
      <c r="F278" s="85">
        <f>+F271/'Annual FS'!F$5</f>
        <v>-1.9575690520075074E-3</v>
      </c>
      <c r="G278" s="85">
        <f>+G271/'Annual FS'!G$5</f>
        <v>2.5345804548067077E-2</v>
      </c>
      <c r="H278" s="85">
        <f>+H271/'Annual FS'!H$5</f>
        <v>-4.7693621889445809E-5</v>
      </c>
      <c r="I278" s="85">
        <f>+I270/'Annual FS'!I$5</f>
        <v>2.1202086217220105E-2</v>
      </c>
      <c r="J278" s="85">
        <f>+J270/'Annual FS'!J$5</f>
        <v>8.6012402472044988E-2</v>
      </c>
      <c r="K278" s="85">
        <f>+K270/'Annual FS'!K$5</f>
        <v>2.9880518245179781E-2</v>
      </c>
      <c r="L278" s="85">
        <f>+L270/'Annual FS'!L$5</f>
        <v>7.1993441553237216E-3</v>
      </c>
      <c r="M278" s="296">
        <f>+M270/'Annual FS'!M$5</f>
        <v>3.132006971552833E-2</v>
      </c>
      <c r="N278" s="296">
        <f>+N270/'Annual FS'!N$5</f>
        <v>5.4232891218548636E-2</v>
      </c>
      <c r="O278" s="1250">
        <v>0.02</v>
      </c>
      <c r="P278" s="85">
        <f t="shared" ref="P278:R279" si="123">O278</f>
        <v>0.02</v>
      </c>
      <c r="Q278" s="85">
        <f t="shared" si="123"/>
        <v>0.02</v>
      </c>
      <c r="R278" s="85">
        <f t="shared" si="123"/>
        <v>0.02</v>
      </c>
      <c r="S278" s="85">
        <f>R278</f>
        <v>0.02</v>
      </c>
    </row>
    <row r="279" spans="2:19" outlineLevel="1">
      <c r="B279" s="57" t="s">
        <v>128</v>
      </c>
      <c r="C279" s="18" t="s">
        <v>219</v>
      </c>
      <c r="D279" s="85">
        <f>+D272/'Annual FS'!D$5</f>
        <v>0</v>
      </c>
      <c r="E279" s="85">
        <f>+E272/'Annual FS'!E$5</f>
        <v>-1.7352155270235028E-3</v>
      </c>
      <c r="F279" s="85">
        <f>+F272/'Annual FS'!F$5</f>
        <v>4.3778262562484569E-3</v>
      </c>
      <c r="G279" s="85">
        <f>+G272/'Annual FS'!G$5</f>
        <v>-1.8381402550018942E-2</v>
      </c>
      <c r="H279" s="85">
        <f>+H272/'Annual FS'!H$5</f>
        <v>-1.4621110486096966E-2</v>
      </c>
      <c r="I279" s="85">
        <f>+I271/'Annual FS'!I$5</f>
        <v>5.8071164829569836E-3</v>
      </c>
      <c r="J279" s="85">
        <f>+J271/'Annual FS'!J$5</f>
        <v>-4.1432870233945637E-2</v>
      </c>
      <c r="K279" s="85">
        <f>+K271/'Annual FS'!K$5</f>
        <v>3.6103341617586604E-4</v>
      </c>
      <c r="L279" s="85">
        <f>+L271/'Annual FS'!L$5</f>
        <v>-2.3548546400162111E-5</v>
      </c>
      <c r="M279" s="296">
        <f>+M271/'Annual FS'!M$5</f>
        <v>8.748327050067615E-4</v>
      </c>
      <c r="N279" s="296">
        <f>+N271/'Annual FS'!N$5</f>
        <v>7.6884015754104175E-4</v>
      </c>
      <c r="O279" s="85">
        <f t="shared" si="121"/>
        <v>8.2183643127390162E-4</v>
      </c>
      <c r="P279" s="85">
        <f t="shared" si="123"/>
        <v>8.2183643127390162E-4</v>
      </c>
      <c r="Q279" s="85">
        <f t="shared" si="123"/>
        <v>8.2183643127390162E-4</v>
      </c>
      <c r="R279" s="85">
        <f t="shared" si="123"/>
        <v>8.2183643127390162E-4</v>
      </c>
      <c r="S279" s="85">
        <f>R279</f>
        <v>8.2183643127390162E-4</v>
      </c>
    </row>
    <row r="280" spans="2:19" outlineLevel="1">
      <c r="B280" s="623" t="s">
        <v>129</v>
      </c>
      <c r="C280" s="191" t="s">
        <v>219</v>
      </c>
      <c r="D280" s="239">
        <f>+D273/'Annual FS'!D$5</f>
        <v>0</v>
      </c>
      <c r="E280" s="239">
        <f>+E273/'Annual FS'!E$5</f>
        <v>0</v>
      </c>
      <c r="F280" s="239">
        <f>+F273/'Annual FS'!F$5</f>
        <v>0</v>
      </c>
      <c r="G280" s="239">
        <f>+G273/'Annual FS'!G$5</f>
        <v>0</v>
      </c>
      <c r="H280" s="239">
        <f>+H273/'Annual FS'!H$5</f>
        <v>0</v>
      </c>
      <c r="I280" s="239">
        <f>+I272/'Annual FS'!I$5</f>
        <v>-2.932676539815629E-2</v>
      </c>
      <c r="J280" s="239">
        <f>+J272/'Annual FS'!J$5</f>
        <v>4.6830942373429427E-2</v>
      </c>
      <c r="K280" s="239">
        <f>+K272/'Annual FS'!K$5</f>
        <v>6.661249949737622E-3</v>
      </c>
      <c r="L280" s="239">
        <f>+L272/'Annual FS'!L$5</f>
        <v>3.3277608614626811E-3</v>
      </c>
      <c r="M280" s="261">
        <f>+M272/'Annual FS'!M$5</f>
        <v>1.2826019215067897E-2</v>
      </c>
      <c r="N280" s="261">
        <f>+N272/'Annual FS'!N$5</f>
        <v>1.471077144680983E-2</v>
      </c>
      <c r="O280" s="1320">
        <v>5.0000000000000001E-3</v>
      </c>
      <c r="P280" s="239">
        <f t="shared" si="120"/>
        <v>5.0000000000000001E-3</v>
      </c>
      <c r="Q280" s="239">
        <f t="shared" si="120"/>
        <v>5.0000000000000001E-3</v>
      </c>
      <c r="R280" s="239">
        <f t="shared" si="120"/>
        <v>5.0000000000000001E-3</v>
      </c>
      <c r="S280" s="239">
        <f t="shared" si="120"/>
        <v>5.0000000000000001E-3</v>
      </c>
    </row>
    <row r="281" spans="2:19" outlineLevel="1">
      <c r="B281" s="57"/>
      <c r="C281" s="18"/>
      <c r="D281" s="85"/>
      <c r="E281" s="85"/>
      <c r="F281" s="85"/>
      <c r="G281" s="85"/>
      <c r="H281" s="85"/>
      <c r="I281" s="85"/>
      <c r="J281" s="85"/>
      <c r="K281" s="662"/>
      <c r="L281" s="85"/>
    </row>
    <row r="282" spans="2:19" outlineLevel="1">
      <c r="B282" s="241" t="s">
        <v>303</v>
      </c>
      <c r="C282" s="191"/>
      <c r="D282" s="632"/>
      <c r="E282" s="85"/>
      <c r="F282" s="85"/>
      <c r="G282" s="85"/>
      <c r="H282" s="85"/>
      <c r="I282" s="85"/>
      <c r="J282" s="85"/>
      <c r="K282" s="287">
        <f>SUM(K283:K285)</f>
        <v>546.87720000000002</v>
      </c>
      <c r="L282" s="287">
        <f t="shared" ref="L282:S282" si="124">SUM(L283:L285)</f>
        <v>567.65853360000006</v>
      </c>
      <c r="M282" s="287">
        <f t="shared" si="124"/>
        <v>576.79783599096004</v>
      </c>
      <c r="N282" s="287">
        <f t="shared" si="124"/>
        <v>609.21387437365195</v>
      </c>
      <c r="O282" s="287">
        <f t="shared" si="124"/>
        <v>689.1427346914752</v>
      </c>
      <c r="P282" s="287">
        <f t="shared" si="124"/>
        <v>740.82843979333575</v>
      </c>
      <c r="Q282" s="287">
        <f t="shared" si="124"/>
        <v>777.86986178300253</v>
      </c>
      <c r="R282" s="287">
        <f t="shared" si="124"/>
        <v>811.31826583967154</v>
      </c>
      <c r="S282" s="287">
        <f t="shared" si="124"/>
        <v>841.33704167573933</v>
      </c>
    </row>
    <row r="283" spans="2:19" outlineLevel="1">
      <c r="B283" s="57" t="str">
        <f>+B297</f>
        <v>Cabins</v>
      </c>
      <c r="C283" s="18" t="s">
        <v>304</v>
      </c>
      <c r="D283" s="613"/>
      <c r="E283" s="85"/>
      <c r="F283" s="85"/>
      <c r="G283" s="609"/>
      <c r="H283" s="609"/>
      <c r="I283" s="609"/>
      <c r="J283" s="609"/>
      <c r="K283" s="1099">
        <v>108</v>
      </c>
      <c r="L283" s="611">
        <f t="shared" ref="L283:S283" si="125">+K283*(1+K$8)</f>
        <v>112.104</v>
      </c>
      <c r="M283" s="611">
        <f t="shared" si="125"/>
        <v>113.9088744</v>
      </c>
      <c r="N283" s="611">
        <f t="shared" si="125"/>
        <v>120.31055314128001</v>
      </c>
      <c r="O283" s="611">
        <f t="shared" si="125"/>
        <v>136.09529771341596</v>
      </c>
      <c r="P283" s="611">
        <f t="shared" si="125"/>
        <v>146.30244504192214</v>
      </c>
      <c r="Q283" s="611">
        <f t="shared" si="125"/>
        <v>153.61756729401824</v>
      </c>
      <c r="R283" s="611">
        <f t="shared" si="125"/>
        <v>160.223122687661</v>
      </c>
      <c r="S283" s="611">
        <f t="shared" si="125"/>
        <v>166.15137822710446</v>
      </c>
    </row>
    <row r="284" spans="2:19" outlineLevel="1">
      <c r="B284" s="57" t="str">
        <f>+B298</f>
        <v>Machinery &amp; equipment</v>
      </c>
      <c r="C284" s="18" t="s">
        <v>304</v>
      </c>
      <c r="D284" s="613"/>
      <c r="E284" s="85"/>
      <c r="F284" s="85"/>
      <c r="G284" s="85"/>
      <c r="H284" s="85"/>
      <c r="I284" s="85"/>
      <c r="J284" s="85"/>
      <c r="K284" s="1096">
        <v>219.43860000000001</v>
      </c>
      <c r="L284" s="55">
        <f t="shared" ref="L284:S285" si="126">+K284*(1+K$8)</f>
        <v>227.77726680000001</v>
      </c>
      <c r="M284" s="55">
        <f t="shared" si="126"/>
        <v>231.44448079548002</v>
      </c>
      <c r="N284" s="55">
        <f t="shared" si="126"/>
        <v>244.45166061618599</v>
      </c>
      <c r="O284" s="55">
        <f t="shared" si="126"/>
        <v>276.52371848902959</v>
      </c>
      <c r="P284" s="55">
        <f t="shared" si="126"/>
        <v>297.26299737570679</v>
      </c>
      <c r="Q284" s="55">
        <f t="shared" si="126"/>
        <v>312.12614724449213</v>
      </c>
      <c r="R284" s="55">
        <f t="shared" si="126"/>
        <v>325.54757157600528</v>
      </c>
      <c r="S284" s="55">
        <f t="shared" si="126"/>
        <v>337.59283172431748</v>
      </c>
    </row>
    <row r="285" spans="2:19" outlineLevel="1">
      <c r="B285" s="623" t="str">
        <f>+B299</f>
        <v>Computer equipment &amp; electronics</v>
      </c>
      <c r="C285" s="191" t="s">
        <v>304</v>
      </c>
      <c r="D285" s="614"/>
      <c r="E285" s="607"/>
      <c r="F285" s="607"/>
      <c r="G285" s="607"/>
      <c r="H285" s="607"/>
      <c r="I285" s="607"/>
      <c r="J285" s="607"/>
      <c r="K285" s="1100">
        <v>219.43860000000001</v>
      </c>
      <c r="L285" s="333">
        <f t="shared" si="126"/>
        <v>227.77726680000001</v>
      </c>
      <c r="M285" s="333">
        <f t="shared" si="126"/>
        <v>231.44448079548002</v>
      </c>
      <c r="N285" s="333">
        <f t="shared" si="126"/>
        <v>244.45166061618599</v>
      </c>
      <c r="O285" s="333">
        <f t="shared" si="126"/>
        <v>276.52371848902959</v>
      </c>
      <c r="P285" s="333">
        <f t="shared" si="126"/>
        <v>297.26299737570679</v>
      </c>
      <c r="Q285" s="333">
        <f t="shared" si="126"/>
        <v>312.12614724449213</v>
      </c>
      <c r="R285" s="333">
        <f t="shared" si="126"/>
        <v>325.54757157600528</v>
      </c>
      <c r="S285" s="333">
        <f t="shared" si="126"/>
        <v>337.59283172431748</v>
      </c>
    </row>
    <row r="286" spans="2:19" outlineLevel="1">
      <c r="B286" s="57"/>
      <c r="C286" s="18"/>
      <c r="D286" s="85"/>
      <c r="E286" s="85"/>
      <c r="F286" s="85"/>
      <c r="G286" s="85"/>
      <c r="H286" s="85"/>
      <c r="I286" s="85"/>
      <c r="J286" s="85"/>
      <c r="K286" s="85"/>
      <c r="L286" s="85"/>
    </row>
    <row r="287" spans="2:19" outlineLevel="1">
      <c r="B287" s="608" t="s">
        <v>305</v>
      </c>
      <c r="C287" s="395" t="s">
        <v>179</v>
      </c>
      <c r="D287" s="85"/>
      <c r="E287" s="85"/>
      <c r="F287" s="85"/>
      <c r="G287" s="609"/>
      <c r="H287" s="609"/>
      <c r="I287" s="609"/>
      <c r="J287" s="609"/>
      <c r="K287" s="1146">
        <v>23</v>
      </c>
      <c r="L287" s="610">
        <f t="shared" ref="L287:S287" si="127">+K287+K291+K294</f>
        <v>23</v>
      </c>
      <c r="M287" s="610">
        <f t="shared" si="127"/>
        <v>23</v>
      </c>
      <c r="N287" s="610">
        <f>+M287+M291+M294</f>
        <v>23</v>
      </c>
      <c r="O287" s="610">
        <f t="shared" si="127"/>
        <v>23</v>
      </c>
      <c r="P287" s="610">
        <f t="shared" si="127"/>
        <v>23</v>
      </c>
      <c r="Q287" s="610">
        <f t="shared" si="127"/>
        <v>23</v>
      </c>
      <c r="R287" s="610">
        <f t="shared" si="127"/>
        <v>23</v>
      </c>
      <c r="S287" s="610">
        <f t="shared" si="127"/>
        <v>23</v>
      </c>
    </row>
    <row r="288" spans="2:19" outlineLevel="1">
      <c r="B288" s="57" t="s">
        <v>306</v>
      </c>
      <c r="C288" s="18" t="s">
        <v>179</v>
      </c>
      <c r="D288" s="85"/>
      <c r="E288" s="85"/>
      <c r="F288" s="85"/>
      <c r="G288" s="85"/>
      <c r="H288" s="85"/>
      <c r="I288" s="85"/>
      <c r="J288" s="85"/>
      <c r="K288" s="1101">
        <v>30</v>
      </c>
      <c r="L288" s="605">
        <f t="shared" ref="L288:S288" si="128">+K288+K294</f>
        <v>30</v>
      </c>
      <c r="M288" s="605">
        <f t="shared" si="128"/>
        <v>30</v>
      </c>
      <c r="N288" s="605">
        <f>+M288+M294</f>
        <v>30</v>
      </c>
      <c r="O288" s="605">
        <f t="shared" si="128"/>
        <v>30</v>
      </c>
      <c r="P288" s="605">
        <f t="shared" si="128"/>
        <v>30</v>
      </c>
      <c r="Q288" s="605">
        <f t="shared" si="128"/>
        <v>30</v>
      </c>
      <c r="R288" s="605">
        <f t="shared" si="128"/>
        <v>30</v>
      </c>
      <c r="S288" s="605">
        <f t="shared" si="128"/>
        <v>30</v>
      </c>
    </row>
    <row r="289" spans="2:19" outlineLevel="1">
      <c r="B289" s="606" t="s">
        <v>307</v>
      </c>
      <c r="C289" s="330" t="s">
        <v>304</v>
      </c>
      <c r="D289" s="607"/>
      <c r="E289" s="607"/>
      <c r="F289" s="607"/>
      <c r="G289" s="607"/>
      <c r="H289" s="607"/>
      <c r="I289" s="607"/>
      <c r="J289" s="607"/>
      <c r="K289" s="1100">
        <v>375.88252307692306</v>
      </c>
      <c r="L289" s="333">
        <f t="shared" ref="L289:S289" si="129">+K289*(1+L8)</f>
        <v>381.93423169846153</v>
      </c>
      <c r="M289" s="333">
        <f t="shared" si="129"/>
        <v>403.39893551991509</v>
      </c>
      <c r="N289" s="333">
        <f t="shared" si="129"/>
        <v>456.32487586012792</v>
      </c>
      <c r="O289" s="333">
        <f t="shared" si="129"/>
        <v>490.54924154963749</v>
      </c>
      <c r="P289" s="333">
        <f t="shared" si="129"/>
        <v>515.0767036271194</v>
      </c>
      <c r="Q289" s="333">
        <f t="shared" si="129"/>
        <v>537.2250018830855</v>
      </c>
      <c r="R289" s="333">
        <f t="shared" si="129"/>
        <v>557.10232695275965</v>
      </c>
      <c r="S289" s="333">
        <f t="shared" si="129"/>
        <v>577.71511305001172</v>
      </c>
    </row>
    <row r="290" spans="2:19" outlineLevel="1">
      <c r="B290" s="57"/>
      <c r="C290" s="18"/>
      <c r="D290" s="85"/>
      <c r="E290" s="85"/>
      <c r="F290" s="85"/>
      <c r="G290" s="85"/>
      <c r="H290" s="85"/>
      <c r="I290" s="85"/>
      <c r="J290" s="55"/>
      <c r="K290" s="85"/>
      <c r="L290" s="85"/>
    </row>
    <row r="291" spans="2:19" outlineLevel="1">
      <c r="B291" s="608" t="s">
        <v>308</v>
      </c>
      <c r="C291" s="395" t="s">
        <v>179</v>
      </c>
      <c r="D291" s="85"/>
      <c r="E291" s="85"/>
      <c r="F291" s="85"/>
      <c r="G291" s="609"/>
      <c r="H291" s="609"/>
      <c r="I291" s="609"/>
      <c r="J291" s="609"/>
      <c r="K291" s="1102"/>
      <c r="L291" s="638"/>
      <c r="M291" s="638">
        <f>+MAX(N21-Drivers!M287,0)</f>
        <v>0</v>
      </c>
      <c r="N291" s="638">
        <f>+MAX(O21-Drivers!N287,0)</f>
        <v>0</v>
      </c>
      <c r="O291" s="638">
        <f>+MAX(P21-Drivers!O287,0)</f>
        <v>0</v>
      </c>
      <c r="P291" s="638">
        <f>+MAX(Q21-Drivers!P287,0)</f>
        <v>0</v>
      </c>
      <c r="Q291" s="638">
        <f>+MAX(R21-Drivers!Q287,0)</f>
        <v>0</v>
      </c>
      <c r="R291" s="638">
        <f>+MAX(S21-Drivers!R287,0)</f>
        <v>0</v>
      </c>
      <c r="S291" s="638">
        <f>+MAX(T21-Drivers!S287,0)</f>
        <v>0</v>
      </c>
    </row>
    <row r="292" spans="2:19" outlineLevel="1">
      <c r="B292" s="606" t="s">
        <v>309</v>
      </c>
      <c r="C292" s="330" t="s">
        <v>59</v>
      </c>
      <c r="D292" s="607"/>
      <c r="E292" s="607"/>
      <c r="F292" s="607"/>
      <c r="G292" s="607"/>
      <c r="H292" s="607"/>
      <c r="I292" s="607"/>
      <c r="J292" s="607"/>
      <c r="K292" s="1103"/>
      <c r="L292" s="333"/>
      <c r="M292" s="333">
        <f t="shared" ref="M292:S292" si="130">+M291*M289</f>
        <v>0</v>
      </c>
      <c r="N292" s="333">
        <f>+N291*N289</f>
        <v>0</v>
      </c>
      <c r="O292" s="333">
        <f t="shared" si="130"/>
        <v>0</v>
      </c>
      <c r="P292" s="333">
        <f t="shared" si="130"/>
        <v>0</v>
      </c>
      <c r="Q292" s="333">
        <f t="shared" si="130"/>
        <v>0</v>
      </c>
      <c r="R292" s="333">
        <f t="shared" si="130"/>
        <v>0</v>
      </c>
      <c r="S292" s="333">
        <f t="shared" si="130"/>
        <v>0</v>
      </c>
    </row>
    <row r="293" spans="2:19" outlineLevel="1">
      <c r="B293" s="57"/>
      <c r="C293" s="18"/>
      <c r="D293" s="85"/>
      <c r="E293" s="85"/>
      <c r="F293" s="85"/>
      <c r="G293" s="85"/>
      <c r="H293" s="85"/>
      <c r="I293" s="85"/>
      <c r="J293" s="85"/>
      <c r="K293" s="85"/>
      <c r="L293" s="85"/>
    </row>
    <row r="294" spans="2:19" outlineLevel="1">
      <c r="B294" s="1442" t="s">
        <v>310</v>
      </c>
      <c r="C294" s="1443"/>
      <c r="D294" s="239"/>
      <c r="E294" s="194"/>
      <c r="F294" s="361"/>
      <c r="G294" s="1433"/>
      <c r="H294" s="1433"/>
      <c r="I294" s="1433"/>
      <c r="J294" s="1433"/>
      <c r="K294" s="1444"/>
      <c r="L294" s="1445"/>
      <c r="M294" s="1445">
        <f t="shared" ref="M294:S294" si="131">+IF(M287&lt;M21,-M287+M21,0)</f>
        <v>0</v>
      </c>
      <c r="N294" s="1445">
        <f t="shared" si="131"/>
        <v>0</v>
      </c>
      <c r="O294" s="1445">
        <f t="shared" si="131"/>
        <v>0</v>
      </c>
      <c r="P294" s="1445">
        <f t="shared" si="131"/>
        <v>0</v>
      </c>
      <c r="Q294" s="1445">
        <f t="shared" si="131"/>
        <v>0</v>
      </c>
      <c r="R294" s="1445">
        <f t="shared" si="131"/>
        <v>0</v>
      </c>
      <c r="S294" s="1445">
        <f t="shared" si="131"/>
        <v>0</v>
      </c>
    </row>
    <row r="295" spans="2:19" outlineLevel="1">
      <c r="B295" s="291"/>
      <c r="C295" s="18"/>
      <c r="D295" s="85"/>
      <c r="F295" s="292"/>
      <c r="G295" s="292"/>
      <c r="H295" s="292"/>
      <c r="I295" s="292"/>
      <c r="J295" s="292"/>
      <c r="K295" s="292"/>
      <c r="L295" s="292"/>
      <c r="M295" s="292"/>
      <c r="N295" s="292"/>
      <c r="O295" s="292"/>
      <c r="P295" s="292"/>
      <c r="Q295" s="615"/>
      <c r="R295" s="292"/>
      <c r="S295" s="292"/>
    </row>
    <row r="296" spans="2:19" outlineLevel="1">
      <c r="B296" s="291" t="s">
        <v>311</v>
      </c>
      <c r="C296" s="18"/>
      <c r="D296" s="85"/>
      <c r="F296" s="137">
        <f>+SUM(F297:F299)</f>
        <v>0</v>
      </c>
      <c r="G296" s="137">
        <f t="shared" ref="G296:L296" si="132">+SUM(G297:G299)</f>
        <v>0</v>
      </c>
      <c r="H296" s="137">
        <f t="shared" si="132"/>
        <v>0</v>
      </c>
      <c r="I296" s="137">
        <f t="shared" ref="I296" si="133">+SUM(I297:I299)</f>
        <v>0</v>
      </c>
      <c r="J296" s="1104">
        <f t="shared" ref="J296" si="134">+SUM(J297:J299)</f>
        <v>0</v>
      </c>
      <c r="K296" s="1105">
        <f t="shared" si="132"/>
        <v>0</v>
      </c>
      <c r="L296" s="137">
        <f t="shared" si="132"/>
        <v>0</v>
      </c>
      <c r="M296" s="137">
        <f>+SUM(M297:M299)</f>
        <v>0</v>
      </c>
      <c r="N296" s="137">
        <f>+SUM(N297:N299)</f>
        <v>0</v>
      </c>
      <c r="O296" s="137">
        <f t="shared" ref="O296:R296" si="135">+SUM(O297:O299)</f>
        <v>0</v>
      </c>
      <c r="P296" s="137">
        <f t="shared" si="135"/>
        <v>0</v>
      </c>
      <c r="Q296" s="137">
        <f t="shared" si="135"/>
        <v>0</v>
      </c>
      <c r="R296" s="137">
        <f t="shared" si="135"/>
        <v>0</v>
      </c>
      <c r="S296" s="137">
        <f>+SUM(S297:S299)</f>
        <v>0</v>
      </c>
    </row>
    <row r="297" spans="2:19" outlineLevel="1">
      <c r="B297" s="83" t="s">
        <v>179</v>
      </c>
      <c r="C297" s="51"/>
      <c r="D297" s="85"/>
      <c r="E297" s="85"/>
      <c r="F297" s="140"/>
      <c r="G297" s="1321"/>
      <c r="H297" s="1321"/>
      <c r="I297" s="1321"/>
      <c r="J297" s="1321"/>
      <c r="K297" s="1446"/>
      <c r="L297" s="1321"/>
      <c r="M297" s="1321">
        <f t="shared" ref="M297:S297" si="136">+M294*M283</f>
        <v>0</v>
      </c>
      <c r="N297" s="1321">
        <f t="shared" si="136"/>
        <v>0</v>
      </c>
      <c r="O297" s="1321">
        <f t="shared" si="136"/>
        <v>0</v>
      </c>
      <c r="P297" s="1321">
        <f t="shared" si="136"/>
        <v>0</v>
      </c>
      <c r="Q297" s="1321">
        <f t="shared" si="136"/>
        <v>0</v>
      </c>
      <c r="R297" s="1321">
        <f t="shared" si="136"/>
        <v>0</v>
      </c>
      <c r="S297" s="1321">
        <f t="shared" si="136"/>
        <v>0</v>
      </c>
    </row>
    <row r="298" spans="2:19" outlineLevel="1">
      <c r="B298" s="57" t="str">
        <f>+B278</f>
        <v>Machinery &amp; equipment</v>
      </c>
      <c r="C298" s="18"/>
      <c r="D298" s="85"/>
      <c r="E298" s="85"/>
      <c r="F298" s="140"/>
      <c r="G298" s="140"/>
      <c r="H298" s="140"/>
      <c r="I298" s="140"/>
      <c r="J298" s="140"/>
      <c r="K298" s="1106"/>
      <c r="L298" s="140"/>
      <c r="M298" s="55">
        <f t="shared" ref="M298:S298" si="137">+M$294*M284+M292/2</f>
        <v>0</v>
      </c>
      <c r="N298" s="55">
        <f>+N$294*N284+N292/2</f>
        <v>0</v>
      </c>
      <c r="O298" s="140">
        <f t="shared" si="137"/>
        <v>0</v>
      </c>
      <c r="P298" s="140">
        <f t="shared" si="137"/>
        <v>0</v>
      </c>
      <c r="Q298" s="220">
        <f t="shared" si="137"/>
        <v>0</v>
      </c>
      <c r="R298" s="140">
        <f t="shared" si="137"/>
        <v>0</v>
      </c>
      <c r="S298" s="140">
        <f t="shared" si="137"/>
        <v>0</v>
      </c>
    </row>
    <row r="299" spans="2:19" outlineLevel="1">
      <c r="B299" s="623" t="str">
        <f>+B280</f>
        <v>Computer equipment &amp; electronics</v>
      </c>
      <c r="C299" s="191"/>
      <c r="D299" s="239"/>
      <c r="E299" s="239"/>
      <c r="F299" s="612"/>
      <c r="G299" s="612"/>
      <c r="H299" s="612"/>
      <c r="I299" s="612"/>
      <c r="J299" s="612"/>
      <c r="K299" s="1107"/>
      <c r="L299" s="612"/>
      <c r="M299" s="951">
        <f t="shared" ref="M299:S299" si="138">+M$294*M285+M292/2</f>
        <v>0</v>
      </c>
      <c r="N299" s="951">
        <f t="shared" si="138"/>
        <v>0</v>
      </c>
      <c r="O299" s="612">
        <f t="shared" si="138"/>
        <v>0</v>
      </c>
      <c r="P299" s="612">
        <f t="shared" si="138"/>
        <v>0</v>
      </c>
      <c r="Q299" s="951">
        <f t="shared" si="138"/>
        <v>0</v>
      </c>
      <c r="R299" s="612">
        <f t="shared" si="138"/>
        <v>0</v>
      </c>
      <c r="S299" s="612">
        <f t="shared" si="138"/>
        <v>0</v>
      </c>
    </row>
    <row r="300" spans="2:19" outlineLevel="1">
      <c r="B300" s="57"/>
      <c r="C300" s="18"/>
      <c r="D300" s="85"/>
      <c r="E300" s="85"/>
      <c r="F300" s="85"/>
      <c r="G300" s="85"/>
      <c r="H300" s="85"/>
      <c r="I300" s="85"/>
      <c r="J300" s="85"/>
      <c r="K300" s="85"/>
      <c r="L300" s="85"/>
    </row>
    <row r="301" spans="2:19" outlineLevel="1">
      <c r="B301" s="185" t="s">
        <v>312</v>
      </c>
      <c r="C301" s="191"/>
      <c r="D301" s="85"/>
      <c r="E301" s="85"/>
      <c r="F301" s="55"/>
      <c r="G301" s="55"/>
      <c r="H301" s="55"/>
      <c r="I301" s="55"/>
      <c r="J301" s="55"/>
      <c r="K301" s="55"/>
      <c r="L301" s="55"/>
    </row>
    <row r="302" spans="2:19" outlineLevel="1">
      <c r="B302" s="17" t="s">
        <v>313</v>
      </c>
      <c r="C302" s="18"/>
      <c r="D302" s="1322"/>
      <c r="E302" s="1322"/>
      <c r="F302" s="1323"/>
      <c r="G302" s="1274"/>
      <c r="H302" s="1323"/>
      <c r="I302" s="1323"/>
      <c r="J302" s="1271"/>
      <c r="K302" s="1324"/>
      <c r="L302" s="1271"/>
      <c r="M302" s="1447"/>
      <c r="N302" s="1448">
        <v>0</v>
      </c>
      <c r="O302" s="48">
        <f t="shared" ref="O302:S302" si="139">+N302+1</f>
        <v>1</v>
      </c>
      <c r="P302" s="48">
        <f t="shared" si="139"/>
        <v>2</v>
      </c>
      <c r="Q302" s="48">
        <f t="shared" si="139"/>
        <v>3</v>
      </c>
      <c r="R302" s="48">
        <f t="shared" si="139"/>
        <v>4</v>
      </c>
      <c r="S302" s="48">
        <f t="shared" si="139"/>
        <v>5</v>
      </c>
    </row>
    <row r="303" spans="2:19" outlineLevel="1">
      <c r="B303" s="17" t="s">
        <v>314</v>
      </c>
      <c r="C303" s="18" t="s">
        <v>59</v>
      </c>
      <c r="D303" s="1252"/>
      <c r="E303" s="1252"/>
      <c r="F303" s="1249"/>
      <c r="G303" s="134"/>
      <c r="H303" s="1249"/>
      <c r="I303" s="1249"/>
      <c r="J303" s="1249"/>
      <c r="K303" s="1249"/>
      <c r="L303" s="1249"/>
      <c r="M303" s="1253"/>
      <c r="N303" s="169">
        <v>0</v>
      </c>
      <c r="O303" s="55">
        <f t="shared" ref="O303:S303" si="140">+SUM(O266,O296)</f>
        <v>973.57864975013456</v>
      </c>
      <c r="P303" s="55">
        <f t="shared" si="140"/>
        <v>1098.7393552904714</v>
      </c>
      <c r="Q303" s="55">
        <f t="shared" si="140"/>
        <v>1140.5502993920936</v>
      </c>
      <c r="R303" s="55">
        <f t="shared" si="140"/>
        <v>1250.3443224796088</v>
      </c>
      <c r="S303" s="55">
        <f t="shared" si="140"/>
        <v>1300.7331986755371</v>
      </c>
    </row>
    <row r="304" spans="2:19" outlineLevel="1">
      <c r="B304" s="17" t="s">
        <v>292</v>
      </c>
      <c r="C304" s="18" t="s">
        <v>259</v>
      </c>
      <c r="D304" s="1252"/>
      <c r="E304" s="1252"/>
      <c r="F304" s="1254"/>
      <c r="G304" s="134"/>
      <c r="H304" s="1255"/>
      <c r="I304" s="1249"/>
      <c r="J304" s="393"/>
      <c r="K304" s="393"/>
      <c r="L304" s="134"/>
      <c r="M304" s="262"/>
      <c r="N304" s="1217"/>
      <c r="O304" s="1216">
        <f>+Control!E13</f>
        <v>15</v>
      </c>
      <c r="P304" s="472">
        <f>+O304</f>
        <v>15</v>
      </c>
      <c r="Q304" s="472">
        <f t="shared" ref="Q304:S304" si="141">+P304</f>
        <v>15</v>
      </c>
      <c r="R304" s="472">
        <f t="shared" si="141"/>
        <v>15</v>
      </c>
      <c r="S304" s="472">
        <f t="shared" si="141"/>
        <v>15</v>
      </c>
    </row>
    <row r="305" spans="1:19" outlineLevel="1">
      <c r="B305" s="17" t="s">
        <v>315</v>
      </c>
      <c r="C305" s="18" t="s">
        <v>59</v>
      </c>
      <c r="D305" s="1252"/>
      <c r="E305" s="1252"/>
      <c r="F305" s="284"/>
      <c r="G305" s="134"/>
      <c r="H305" s="284"/>
      <c r="I305" s="284"/>
      <c r="J305" s="284"/>
      <c r="K305" s="284"/>
      <c r="L305" s="284"/>
      <c r="M305" s="262"/>
      <c r="N305" s="1217"/>
      <c r="O305" s="88">
        <f ca="1">N306-IF(O$302&lt;O304,0,OFFSET(O306,0,-$O$304-1))</f>
        <v>0</v>
      </c>
      <c r="P305" s="88">
        <f t="shared" ref="P305:S305" ca="1" si="142">+O306-IF(P$302&lt;P304,0,OFFSET(P306,0,-$O$304-1))</f>
        <v>973.57864975013456</v>
      </c>
      <c r="Q305" s="88">
        <f t="shared" ca="1" si="142"/>
        <v>2072.3180050406058</v>
      </c>
      <c r="R305" s="88">
        <f t="shared" ca="1" si="142"/>
        <v>3212.8683044326995</v>
      </c>
      <c r="S305" s="88">
        <f t="shared" ca="1" si="142"/>
        <v>4463.2126269123082</v>
      </c>
    </row>
    <row r="306" spans="1:19" outlineLevel="1">
      <c r="B306" s="17" t="s">
        <v>290</v>
      </c>
      <c r="C306" s="18" t="s">
        <v>59</v>
      </c>
      <c r="D306" s="1252"/>
      <c r="E306" s="1252"/>
      <c r="F306" s="39"/>
      <c r="G306" s="134"/>
      <c r="H306" s="39"/>
      <c r="I306" s="39"/>
      <c r="J306" s="39"/>
      <c r="K306" s="39"/>
      <c r="L306" s="39"/>
      <c r="M306" s="167"/>
      <c r="N306" s="1095">
        <f>N303</f>
        <v>0</v>
      </c>
      <c r="O306" s="16">
        <f t="shared" ref="O306:S306" si="143">+N306+O303</f>
        <v>973.57864975013456</v>
      </c>
      <c r="P306" s="16">
        <f t="shared" si="143"/>
        <v>2072.3180050406058</v>
      </c>
      <c r="Q306" s="16">
        <f t="shared" si="143"/>
        <v>3212.8683044326995</v>
      </c>
      <c r="R306" s="16">
        <f t="shared" si="143"/>
        <v>4463.2126269123082</v>
      </c>
      <c r="S306" s="16">
        <f t="shared" si="143"/>
        <v>5763.9458255878453</v>
      </c>
    </row>
    <row r="307" spans="1:19" outlineLevel="1">
      <c r="B307" s="17" t="s">
        <v>291</v>
      </c>
      <c r="C307" s="18" t="s">
        <v>59</v>
      </c>
      <c r="D307" s="1252"/>
      <c r="E307" s="1252"/>
      <c r="F307" s="39"/>
      <c r="G307" s="134"/>
      <c r="H307" s="39"/>
      <c r="I307" s="39"/>
      <c r="J307" s="39"/>
      <c r="K307" s="39"/>
      <c r="L307" s="39"/>
      <c r="M307" s="167"/>
      <c r="N307" s="1095">
        <v>0</v>
      </c>
      <c r="O307" s="16">
        <f ca="1">+MIN(N309,O305/O304)</f>
        <v>0</v>
      </c>
      <c r="P307" s="16">
        <f t="shared" ref="P307:S307" ca="1" si="144">+MIN(O309,P305/P304)</f>
        <v>64.905243316675637</v>
      </c>
      <c r="Q307" s="16">
        <f t="shared" ca="1" si="144"/>
        <v>138.15453366937373</v>
      </c>
      <c r="R307" s="16">
        <f ca="1">+MIN(Q309,R305/R304)</f>
        <v>214.19122029551329</v>
      </c>
      <c r="S307" s="16">
        <f t="shared" ca="1" si="144"/>
        <v>297.54750846082055</v>
      </c>
    </row>
    <row r="308" spans="1:19" outlineLevel="1">
      <c r="B308" s="17" t="s">
        <v>130</v>
      </c>
      <c r="C308" s="18" t="s">
        <v>59</v>
      </c>
      <c r="D308" s="1252"/>
      <c r="E308" s="1252"/>
      <c r="F308" s="39"/>
      <c r="G308" s="134"/>
      <c r="H308" s="39"/>
      <c r="I308" s="39"/>
      <c r="J308" s="39"/>
      <c r="K308" s="39"/>
      <c r="L308" s="39"/>
      <c r="M308" s="167"/>
      <c r="N308" s="1095">
        <v>0</v>
      </c>
      <c r="O308" s="16">
        <f t="shared" ref="O308:S308" ca="1" si="145">+N308+O307</f>
        <v>0</v>
      </c>
      <c r="P308" s="16">
        <f t="shared" ca="1" si="145"/>
        <v>64.905243316675637</v>
      </c>
      <c r="Q308" s="16">
        <f t="shared" ca="1" si="145"/>
        <v>203.05977698604937</v>
      </c>
      <c r="R308" s="16">
        <f t="shared" ca="1" si="145"/>
        <v>417.25099728156266</v>
      </c>
      <c r="S308" s="16">
        <f t="shared" ca="1" si="145"/>
        <v>714.79850574238321</v>
      </c>
    </row>
    <row r="309" spans="1:19" outlineLevel="1">
      <c r="B309" s="185" t="s">
        <v>316</v>
      </c>
      <c r="C309" s="192" t="s">
        <v>59</v>
      </c>
      <c r="D309" s="1256"/>
      <c r="E309" s="1256"/>
      <c r="F309" s="303"/>
      <c r="G309" s="195"/>
      <c r="H309" s="303"/>
      <c r="I309" s="303"/>
      <c r="J309" s="303"/>
      <c r="K309" s="303"/>
      <c r="L309" s="303"/>
      <c r="M309" s="304"/>
      <c r="N309" s="1208">
        <f>+N306-N308</f>
        <v>0</v>
      </c>
      <c r="O309" s="221">
        <f t="shared" ref="O309:Q309" ca="1" si="146">+O306-O308</f>
        <v>973.57864975013456</v>
      </c>
      <c r="P309" s="221">
        <f t="shared" ca="1" si="146"/>
        <v>2007.4127617239301</v>
      </c>
      <c r="Q309" s="221">
        <f t="shared" ca="1" si="146"/>
        <v>3009.8085274466503</v>
      </c>
      <c r="R309" s="221">
        <f ca="1">+R306-R308</f>
        <v>4045.9616296307454</v>
      </c>
      <c r="S309" s="221">
        <f ca="1">+S306-S308</f>
        <v>5049.1473198454623</v>
      </c>
    </row>
    <row r="310" spans="1:19" outlineLevel="1">
      <c r="B310" s="25"/>
      <c r="C310" s="18"/>
      <c r="D310" s="85"/>
      <c r="E310" s="85"/>
      <c r="F310" s="55"/>
      <c r="G310" s="55"/>
      <c r="H310" s="55"/>
      <c r="I310" s="55"/>
      <c r="J310" s="55"/>
      <c r="K310" s="55"/>
      <c r="L310" s="55"/>
    </row>
    <row r="311" spans="1:19"/>
    <row r="312" spans="1:19">
      <c r="A312" s="471" t="s">
        <v>317</v>
      </c>
      <c r="B312" s="471"/>
      <c r="C312" s="471"/>
      <c r="D312" s="471">
        <v>2012</v>
      </c>
      <c r="E312" s="471">
        <v>2013</v>
      </c>
      <c r="F312" s="471">
        <v>2014</v>
      </c>
      <c r="G312" s="471">
        <v>2015</v>
      </c>
      <c r="H312" s="471">
        <v>2016</v>
      </c>
      <c r="I312" s="471">
        <v>2017</v>
      </c>
      <c r="J312" s="471">
        <v>2018</v>
      </c>
      <c r="K312" s="471">
        <v>2019</v>
      </c>
      <c r="L312" s="471">
        <v>2020</v>
      </c>
      <c r="M312" s="471">
        <v>2021</v>
      </c>
      <c r="N312" s="471">
        <v>2022</v>
      </c>
      <c r="O312" s="470">
        <v>2023</v>
      </c>
      <c r="P312" s="470">
        <v>2024</v>
      </c>
      <c r="Q312" s="470">
        <v>2025</v>
      </c>
      <c r="R312" s="470">
        <f>+Q312+1</f>
        <v>2026</v>
      </c>
      <c r="S312" s="470">
        <f>+R312+1</f>
        <v>2027</v>
      </c>
    </row>
    <row r="313" spans="1:19" outlineLevel="1"/>
    <row r="314" spans="1:19" outlineLevel="1">
      <c r="B314" s="185" t="s">
        <v>318</v>
      </c>
    </row>
    <row r="315" spans="1:19" outlineLevel="1">
      <c r="B315" s="47" t="s">
        <v>319</v>
      </c>
      <c r="C315" s="51" t="s">
        <v>59</v>
      </c>
      <c r="E315" s="58"/>
      <c r="F315" s="290">
        <v>0</v>
      </c>
      <c r="G315" s="290">
        <v>0</v>
      </c>
      <c r="H315" s="290">
        <v>0</v>
      </c>
      <c r="I315" s="290">
        <v>1</v>
      </c>
      <c r="J315" s="290">
        <v>0</v>
      </c>
      <c r="K315" s="290">
        <v>0</v>
      </c>
      <c r="L315" s="290">
        <v>0</v>
      </c>
      <c r="M315" s="290">
        <v>0</v>
      </c>
      <c r="N315" s="1449">
        <v>0</v>
      </c>
      <c r="O315" s="290">
        <v>0</v>
      </c>
      <c r="P315" s="290">
        <v>0</v>
      </c>
      <c r="Q315" s="290">
        <v>0</v>
      </c>
      <c r="R315" s="290">
        <v>0</v>
      </c>
      <c r="S315" s="290">
        <v>0</v>
      </c>
    </row>
    <row r="316" spans="1:19" outlineLevel="1">
      <c r="B316" s="186" t="s">
        <v>131</v>
      </c>
      <c r="C316" s="191" t="s">
        <v>59</v>
      </c>
      <c r="D316" s="265">
        <f>+'Annual FS'!D99</f>
        <v>206.72865598999999</v>
      </c>
      <c r="E316" s="265">
        <f>+'Annual FS'!E99</f>
        <v>604.69869375000007</v>
      </c>
      <c r="F316" s="265">
        <f>+'Annual FS'!F99</f>
        <v>972.32163301000037</v>
      </c>
      <c r="G316" s="265">
        <f>+'Annual FS'!G99</f>
        <v>309.62942621000002</v>
      </c>
      <c r="H316" s="265">
        <f>+'Annual FS'!H99</f>
        <v>0</v>
      </c>
      <c r="I316" s="265">
        <f>+'Annual FS'!I99</f>
        <v>0</v>
      </c>
      <c r="J316" s="265">
        <f>+'Annual FS'!J99</f>
        <v>0</v>
      </c>
      <c r="K316" s="265">
        <f>+'Annual FS'!K99</f>
        <v>0</v>
      </c>
      <c r="L316" s="265">
        <f>+'Annual FS'!L99</f>
        <v>798.31</v>
      </c>
      <c r="M316" s="265">
        <f>+'Annual FS'!M99</f>
        <v>638.96500000000003</v>
      </c>
      <c r="N316" s="298">
        <f>+'Annual FS'!N99</f>
        <v>0</v>
      </c>
      <c r="O316" s="375">
        <f t="shared" ref="O316:S316" si="147">+N316+O315</f>
        <v>0</v>
      </c>
      <c r="P316" s="375">
        <f t="shared" si="147"/>
        <v>0</v>
      </c>
      <c r="Q316" s="375">
        <f t="shared" si="147"/>
        <v>0</v>
      </c>
      <c r="R316" s="375">
        <f t="shared" si="147"/>
        <v>0</v>
      </c>
      <c r="S316" s="375">
        <f t="shared" si="147"/>
        <v>0</v>
      </c>
    </row>
    <row r="317" spans="1:19" outlineLevel="1"/>
    <row r="318" spans="1:19" outlineLevel="1">
      <c r="B318" s="1450" t="s">
        <v>137</v>
      </c>
      <c r="C318" s="1443" t="s">
        <v>59</v>
      </c>
      <c r="D318" s="265">
        <f>+'Annual FS'!D105</f>
        <v>10.498307</v>
      </c>
      <c r="E318" s="1451">
        <f>+'Annual FS'!E105</f>
        <v>0</v>
      </c>
      <c r="F318" s="1451">
        <f>+'Annual FS'!F105</f>
        <v>0</v>
      </c>
      <c r="G318" s="1451">
        <f>+'Annual FS'!G105</f>
        <v>0</v>
      </c>
      <c r="H318" s="1451">
        <f>+'Annual FS'!H105</f>
        <v>0</v>
      </c>
      <c r="I318" s="1451">
        <f>+'Annual FS'!I105</f>
        <v>0</v>
      </c>
      <c r="J318" s="1451">
        <f>+'Annual FS'!J105</f>
        <v>0</v>
      </c>
      <c r="K318" s="1451">
        <f>+'Annual FS'!K105</f>
        <v>0</v>
      </c>
      <c r="L318" s="1451">
        <f>+'Annual FS'!L105</f>
        <v>0</v>
      </c>
      <c r="M318" s="1452">
        <f t="shared" ref="M318:S318" si="148">+L318</f>
        <v>0</v>
      </c>
      <c r="N318" s="1453">
        <f t="shared" si="148"/>
        <v>0</v>
      </c>
      <c r="O318" s="1452">
        <f t="shared" si="148"/>
        <v>0</v>
      </c>
      <c r="P318" s="1452">
        <f t="shared" si="148"/>
        <v>0</v>
      </c>
      <c r="Q318" s="1452">
        <f t="shared" si="148"/>
        <v>0</v>
      </c>
      <c r="R318" s="1452">
        <f t="shared" si="148"/>
        <v>0</v>
      </c>
      <c r="S318" s="1452">
        <f t="shared" si="148"/>
        <v>0</v>
      </c>
    </row>
    <row r="319" spans="1:19" outlineLevel="1">
      <c r="B319" s="17"/>
      <c r="C319" s="18"/>
    </row>
    <row r="320" spans="1:19" outlineLevel="1">
      <c r="B320" s="185" t="s">
        <v>320</v>
      </c>
    </row>
    <row r="321" spans="1:19" outlineLevel="1">
      <c r="B321" s="17" t="s">
        <v>68</v>
      </c>
      <c r="C321" s="51" t="s">
        <v>59</v>
      </c>
      <c r="D321" s="68">
        <f>+'Annual FS'!D120</f>
        <v>0</v>
      </c>
      <c r="E321" s="68">
        <f>+'Annual FS'!E120</f>
        <v>0</v>
      </c>
      <c r="F321" s="68">
        <f>+'Annual FS'!F120</f>
        <v>0</v>
      </c>
      <c r="G321" s="68">
        <f>+'Annual FS'!G120</f>
        <v>1469.84</v>
      </c>
      <c r="H321" s="68">
        <f>+'Annual FS'!H120</f>
        <v>1469.8408690000001</v>
      </c>
      <c r="I321" s="68">
        <f>+'Annual FS'!I120</f>
        <v>30.439543</v>
      </c>
      <c r="J321" s="68">
        <f>+'Annual FS'!J120</f>
        <v>205.67228700000001</v>
      </c>
      <c r="K321" s="68">
        <f>+'Annual FS'!K120</f>
        <v>373.91695800000002</v>
      </c>
      <c r="L321" s="68">
        <f>+'Annual FS'!L120</f>
        <v>565.51911299999995</v>
      </c>
      <c r="M321" s="68">
        <f>+'Annual FS'!M120</f>
        <v>753.21454500000004</v>
      </c>
      <c r="N321" s="1420">
        <f>+'Annual FS'!N120</f>
        <v>753.21454500000004</v>
      </c>
      <c r="O321" s="75">
        <f t="shared" ref="O321:S321" si="149">+N321</f>
        <v>753.21454500000004</v>
      </c>
      <c r="P321" s="75">
        <f t="shared" si="149"/>
        <v>753.21454500000004</v>
      </c>
      <c r="Q321" s="75">
        <f t="shared" si="149"/>
        <v>753.21454500000004</v>
      </c>
      <c r="R321" s="75">
        <f t="shared" si="149"/>
        <v>753.21454500000004</v>
      </c>
      <c r="S321" s="75">
        <f t="shared" si="149"/>
        <v>753.21454500000004</v>
      </c>
    </row>
    <row r="322" spans="1:19" outlineLevel="1">
      <c r="B322" s="186" t="s">
        <v>151</v>
      </c>
      <c r="C322" s="191" t="s">
        <v>59</v>
      </c>
      <c r="D322" s="265">
        <f>+'Annual FS'!D123</f>
        <v>0</v>
      </c>
      <c r="E322" s="265">
        <f>+'Annual FS'!E123</f>
        <v>0</v>
      </c>
      <c r="F322" s="265">
        <f>+'Annual FS'!F123</f>
        <v>0</v>
      </c>
      <c r="G322" s="265">
        <f>+'Annual FS'!G123</f>
        <v>0</v>
      </c>
      <c r="H322" s="265">
        <f>+'Annual FS'!H123</f>
        <v>0</v>
      </c>
      <c r="I322" s="265">
        <f>+'Annual FS'!I123</f>
        <v>0</v>
      </c>
      <c r="J322" s="265">
        <f>+'Annual FS'!J123</f>
        <v>0</v>
      </c>
      <c r="K322" s="265">
        <f>+'Annual FS'!K123</f>
        <v>0</v>
      </c>
      <c r="L322" s="265">
        <f>+'Annual FS'!L123</f>
        <v>0</v>
      </c>
      <c r="M322" s="265">
        <f>+'Annual FS'!M123</f>
        <v>0</v>
      </c>
      <c r="N322" s="298">
        <f>+'Annual FS'!N123</f>
        <v>0</v>
      </c>
      <c r="O322" s="651">
        <v>0</v>
      </c>
      <c r="P322" s="651">
        <v>0</v>
      </c>
      <c r="Q322" s="651">
        <v>0</v>
      </c>
      <c r="R322" s="651">
        <v>0</v>
      </c>
      <c r="S322" s="651">
        <v>0</v>
      </c>
    </row>
    <row r="323" spans="1:19"/>
    <row r="324" spans="1:19">
      <c r="A324" s="471" t="s">
        <v>321</v>
      </c>
      <c r="B324" s="471"/>
      <c r="C324" s="471"/>
      <c r="D324" s="471">
        <v>2012</v>
      </c>
      <c r="E324" s="471">
        <v>2013</v>
      </c>
      <c r="F324" s="471">
        <v>2014</v>
      </c>
      <c r="G324" s="471">
        <v>2015</v>
      </c>
      <c r="H324" s="471">
        <v>2016</v>
      </c>
      <c r="I324" s="471">
        <v>2017</v>
      </c>
      <c r="J324" s="471">
        <v>2018</v>
      </c>
      <c r="K324" s="471">
        <v>2019</v>
      </c>
      <c r="L324" s="471">
        <v>2020</v>
      </c>
      <c r="M324" s="471">
        <v>2021</v>
      </c>
      <c r="N324" s="471">
        <v>2022</v>
      </c>
      <c r="O324" s="470">
        <v>2023</v>
      </c>
      <c r="P324" s="470">
        <v>2024</v>
      </c>
      <c r="Q324" s="470">
        <v>2025</v>
      </c>
      <c r="R324" s="470">
        <f>+Q324+1</f>
        <v>2026</v>
      </c>
      <c r="S324" s="470">
        <f>+R324+1</f>
        <v>2027</v>
      </c>
    </row>
    <row r="325" spans="1:19" outlineLevel="1"/>
    <row r="326" spans="1:19" outlineLevel="1">
      <c r="B326" s="185" t="s">
        <v>156</v>
      </c>
      <c r="C326" s="1325"/>
    </row>
    <row r="327" spans="1:19" outlineLevel="1">
      <c r="B327" s="17" t="s">
        <v>322</v>
      </c>
      <c r="C327" s="18" t="s">
        <v>59</v>
      </c>
      <c r="D327" s="68">
        <f>+'Annual FS'!D126</f>
        <v>320</v>
      </c>
      <c r="E327" s="68">
        <f>+'Annual FS'!E126</f>
        <v>4000</v>
      </c>
      <c r="F327" s="68">
        <f>+'Annual FS'!F126</f>
        <v>4000</v>
      </c>
      <c r="G327" s="68">
        <f>+'Annual FS'!G126</f>
        <v>4000</v>
      </c>
      <c r="H327" s="68">
        <f>+'Annual FS'!H126</f>
        <v>4340</v>
      </c>
      <c r="I327" s="68">
        <f>+'Annual FS'!I126</f>
        <v>4340</v>
      </c>
      <c r="J327" s="68">
        <f>+'Annual FS'!J126</f>
        <v>4761.8440000000001</v>
      </c>
      <c r="K327" s="68">
        <f>+'Annual FS'!K126</f>
        <v>4761.8440000000001</v>
      </c>
      <c r="L327" s="68">
        <f>+'Annual FS'!L126</f>
        <v>4761.8440000000001</v>
      </c>
      <c r="M327" s="68">
        <f>+'Annual FS'!M126</f>
        <v>4761.8440000000001</v>
      </c>
      <c r="N327" s="1420">
        <f>+'Annual FS'!N126</f>
        <v>4761.8440000000001</v>
      </c>
      <c r="O327" s="75">
        <f t="shared" ref="O327:S327" si="150">+N327</f>
        <v>4761.8440000000001</v>
      </c>
      <c r="P327" s="75">
        <f t="shared" si="150"/>
        <v>4761.8440000000001</v>
      </c>
      <c r="Q327" s="75">
        <f t="shared" si="150"/>
        <v>4761.8440000000001</v>
      </c>
      <c r="R327" s="75">
        <f t="shared" si="150"/>
        <v>4761.8440000000001</v>
      </c>
      <c r="S327" s="75">
        <f t="shared" si="150"/>
        <v>4761.8440000000001</v>
      </c>
    </row>
    <row r="328" spans="1:19" outlineLevel="1">
      <c r="B328" s="17" t="s">
        <v>107</v>
      </c>
      <c r="C328" s="18" t="s">
        <v>59</v>
      </c>
      <c r="D328" s="38">
        <f>+'Annual FS'!D68</f>
        <v>6090.0670461600057</v>
      </c>
      <c r="E328" s="38">
        <f>+'Annual FS'!E68</f>
        <v>6050.1746752600029</v>
      </c>
      <c r="F328" s="38">
        <f>+'Annual FS'!F68</f>
        <v>6759.5068970200064</v>
      </c>
      <c r="G328" s="38">
        <f>+'Annual FS'!G68</f>
        <v>-3054.6221226500029</v>
      </c>
      <c r="H328" s="38">
        <f>+'Annual FS'!H68</f>
        <v>-4730.4546237600007</v>
      </c>
      <c r="I328" s="38">
        <f>+'Annual FS'!I68</f>
        <v>1261.9469691300046</v>
      </c>
      <c r="J328" s="38">
        <f>+'Annual FS'!J68</f>
        <v>307.67536621999864</v>
      </c>
      <c r="K328" s="38">
        <f>+'Annual FS'!K68</f>
        <v>1540.1022638400018</v>
      </c>
      <c r="L328" s="38">
        <f>+'Annual FS'!L68</f>
        <v>-200.51657583000224</v>
      </c>
      <c r="M328" s="38">
        <f>+'Annual FS'!M68</f>
        <v>696.16518665999877</v>
      </c>
      <c r="N328" s="168">
        <f>+'Annual FS'!N68</f>
        <v>2393.434035929999</v>
      </c>
      <c r="O328" s="38">
        <f ca="1">+'Annual FS'!O68</f>
        <v>2258.4695151540691</v>
      </c>
      <c r="P328" s="38">
        <f ca="1">+'Annual FS'!P68</f>
        <v>3411.5651478162949</v>
      </c>
      <c r="Q328" s="38">
        <f ca="1">+'Annual FS'!Q68</f>
        <v>3753.5193416798156</v>
      </c>
      <c r="R328" s="38">
        <f ca="1">+'Annual FS'!R68</f>
        <v>4412.7267118565469</v>
      </c>
      <c r="S328" s="38">
        <f ca="1">+'Annual FS'!S68</f>
        <v>4579.4306398403805</v>
      </c>
    </row>
    <row r="329" spans="1:19" outlineLevel="1">
      <c r="B329" s="186" t="s">
        <v>323</v>
      </c>
      <c r="C329" s="191" t="s">
        <v>59</v>
      </c>
      <c r="D329" s="265">
        <f>+'Annual FS'!D129</f>
        <v>740.21220130999995</v>
      </c>
      <c r="E329" s="265">
        <f>+'Annual FS'!E129</f>
        <v>740.21220130999995</v>
      </c>
      <c r="F329" s="265">
        <f>+'Annual FS'!F129</f>
        <v>1345.2296688399999</v>
      </c>
      <c r="G329" s="265">
        <f>+'Annual FS'!G129</f>
        <v>1345.2296688399999</v>
      </c>
      <c r="H329" s="265">
        <f>+'Annual FS'!H129</f>
        <v>1345.2296688399999</v>
      </c>
      <c r="I329" s="265">
        <f>+'Annual FS'!I129</f>
        <v>1345.2296688399999</v>
      </c>
      <c r="J329" s="265">
        <f>+'Annual FS'!J129</f>
        <v>1345.2296688399999</v>
      </c>
      <c r="K329" s="265">
        <f>+'Annual FS'!K129</f>
        <v>1345.2296688399999</v>
      </c>
      <c r="L329" s="265">
        <f>+'Annual FS'!L129</f>
        <v>1345.2296688399999</v>
      </c>
      <c r="M329" s="265">
        <f>+'Annual FS'!M129</f>
        <v>1345.2296688399999</v>
      </c>
      <c r="N329" s="298">
        <f>+'Annual FS'!N129</f>
        <v>1345.2296688399999</v>
      </c>
      <c r="O329" s="375">
        <f t="shared" ref="O329:S329" si="151">IF(N329&lt;0.5*O327,IF(N328&gt;0,N329+MIN(0.1*N328,IF(N329-O327*0.5&lt;0,0.1*N328,N329-O327*0.5)),N329),N329)</f>
        <v>1584.5730724329999</v>
      </c>
      <c r="P329" s="375">
        <f t="shared" ca="1" si="151"/>
        <v>1810.4200239484069</v>
      </c>
      <c r="Q329" s="375">
        <f t="shared" ca="1" si="151"/>
        <v>2151.5765387300362</v>
      </c>
      <c r="R329" s="375">
        <f t="shared" ca="1" si="151"/>
        <v>2526.9284728980178</v>
      </c>
      <c r="S329" s="375">
        <f t="shared" ca="1" si="151"/>
        <v>2526.9284728980178</v>
      </c>
    </row>
    <row r="330" spans="1:19" outlineLevel="1">
      <c r="B330" s="17"/>
      <c r="C330" s="18"/>
    </row>
    <row r="331" spans="1:19" outlineLevel="1">
      <c r="B331" s="25" t="s">
        <v>190</v>
      </c>
      <c r="C331" s="18"/>
    </row>
    <row r="332" spans="1:19" outlineLevel="1">
      <c r="B332" s="47" t="s">
        <v>324</v>
      </c>
      <c r="C332" s="51" t="s">
        <v>59</v>
      </c>
      <c r="D332" s="1274"/>
      <c r="E332" s="1270"/>
      <c r="F332" s="1271"/>
      <c r="G332" s="1271"/>
      <c r="H332" s="1271"/>
      <c r="I332" s="1271"/>
      <c r="J332" s="1271"/>
      <c r="K332" s="1271"/>
      <c r="L332" s="1271"/>
      <c r="M332" s="1271"/>
      <c r="N332" s="1454"/>
      <c r="O332" s="48">
        <f t="shared" ref="O332:S332" si="152">+N328</f>
        <v>2393.434035929999</v>
      </c>
      <c r="P332" s="48">
        <f t="shared" ca="1" si="152"/>
        <v>2258.4695151540691</v>
      </c>
      <c r="Q332" s="48">
        <f t="shared" ca="1" si="152"/>
        <v>3411.5651478162949</v>
      </c>
      <c r="R332" s="48">
        <f t="shared" ca="1" si="152"/>
        <v>3753.5193416798156</v>
      </c>
      <c r="S332" s="48">
        <f t="shared" ca="1" si="152"/>
        <v>4412.7267118565469</v>
      </c>
    </row>
    <row r="333" spans="1:19" outlineLevel="1">
      <c r="B333" s="17" t="s">
        <v>325</v>
      </c>
      <c r="C333" s="18" t="s">
        <v>59</v>
      </c>
      <c r="D333" s="134"/>
      <c r="E333" s="134"/>
      <c r="F333" s="39"/>
      <c r="G333" s="39"/>
      <c r="H333" s="39"/>
      <c r="I333" s="39"/>
      <c r="J333" s="39"/>
      <c r="K333" s="1272"/>
      <c r="L333" s="1272"/>
      <c r="M333" s="1272"/>
      <c r="N333" s="1273"/>
      <c r="O333" s="38">
        <f>+'Annual FS'!N131</f>
        <v>998.04999660000146</v>
      </c>
      <c r="P333" s="38">
        <f>+'Annual FS'!O131</f>
        <v>1402.1406289370007</v>
      </c>
      <c r="Q333" s="38">
        <f ca="1">+'Annual FS'!P131</f>
        <v>2460.701043787461</v>
      </c>
      <c r="R333" s="38">
        <f ca="1">+'Annual FS'!Q131</f>
        <v>5531.1096768221269</v>
      </c>
      <c r="S333" s="38">
        <f ca="1">+'Annual FS'!R131</f>
        <v>5532.7737765659322</v>
      </c>
    </row>
    <row r="334" spans="1:19" outlineLevel="1">
      <c r="B334" s="17" t="s">
        <v>326</v>
      </c>
      <c r="C334" s="18" t="s">
        <v>59</v>
      </c>
      <c r="D334" s="134"/>
      <c r="E334" s="134"/>
      <c r="F334" s="39"/>
      <c r="G334" s="39"/>
      <c r="H334" s="39"/>
      <c r="I334" s="39"/>
      <c r="J334" s="39"/>
      <c r="K334" s="39"/>
      <c r="L334" s="39"/>
      <c r="M334" s="39"/>
      <c r="N334" s="167"/>
      <c r="O334" s="16">
        <f t="shared" ref="O334:S334" si="153">+O329-N329</f>
        <v>239.34340359299995</v>
      </c>
      <c r="P334" s="16">
        <f t="shared" ca="1" si="153"/>
        <v>225.846951515407</v>
      </c>
      <c r="Q334" s="16">
        <f t="shared" ca="1" si="153"/>
        <v>341.15651478162931</v>
      </c>
      <c r="R334" s="16">
        <f t="shared" ca="1" si="153"/>
        <v>375.35193416798165</v>
      </c>
      <c r="S334" s="16">
        <f t="shared" ca="1" si="153"/>
        <v>0</v>
      </c>
    </row>
    <row r="335" spans="1:19" outlineLevel="1">
      <c r="B335" s="17" t="s">
        <v>327</v>
      </c>
      <c r="C335" s="18" t="s">
        <v>59</v>
      </c>
      <c r="D335" s="134"/>
      <c r="E335" s="134"/>
      <c r="F335" s="39"/>
      <c r="G335" s="39"/>
      <c r="H335" s="39"/>
      <c r="I335" s="39"/>
      <c r="J335" s="39"/>
      <c r="K335" s="39"/>
      <c r="L335" s="39"/>
      <c r="M335" s="39"/>
      <c r="N335" s="167"/>
      <c r="O335" s="16">
        <f>+IF(O332+O333-O334&gt;0,O332+O333-O334,0)*Control!$E$15</f>
        <v>1576.0703144685003</v>
      </c>
      <c r="P335" s="16">
        <f ca="1">+IF(P332+P333-P334&gt;0,P332+P333-P334,0)*Control!$E$15</f>
        <v>1717.3815962878314</v>
      </c>
      <c r="Q335" s="16">
        <f ca="1">+IF(Q332+Q333-Q334&gt;0,Q332+Q333-Q334,0)*Control!$E$15</f>
        <v>2765.5548384110634</v>
      </c>
      <c r="R335" s="16">
        <f ca="1">+IF(R332+R333-R334&gt;0,R332+R333-R334,0)*Control!$E$15</f>
        <v>4454.6385421669802</v>
      </c>
      <c r="S335" s="16">
        <f ca="1">+IF(S332+S333-S334&gt;0,S332+S333-S334,0)*Control!$E$15</f>
        <v>4972.75024421124</v>
      </c>
    </row>
    <row r="336" spans="1:19" outlineLevel="1">
      <c r="B336" s="17" t="s">
        <v>328</v>
      </c>
      <c r="C336" s="18" t="s">
        <v>59</v>
      </c>
      <c r="D336" s="134"/>
      <c r="E336" s="134"/>
      <c r="F336" s="39"/>
      <c r="G336" s="39"/>
      <c r="H336" s="39"/>
      <c r="I336" s="39"/>
      <c r="J336" s="39"/>
      <c r="K336" s="39"/>
      <c r="L336" s="39"/>
      <c r="M336" s="39"/>
      <c r="N336" s="167"/>
      <c r="O336" s="16">
        <f ca="1">+'Annual FS'!O174+'Annual FS'!O181-O146</f>
        <v>1187.7695472781015</v>
      </c>
      <c r="P336" s="16">
        <f ca="1">+'Annual FS'!P174+'Annual FS'!P181-P146</f>
        <v>974.06214878820174</v>
      </c>
      <c r="Q336" s="16">
        <f ca="1">+'Annual FS'!Q174+'Annual FS'!Q181-Q146</f>
        <v>0</v>
      </c>
      <c r="R336" s="16">
        <f ca="1">+'Annual FS'!R174+'Annual FS'!R181-R146</f>
        <v>3376.5033077680282</v>
      </c>
      <c r="S336" s="16">
        <f ca="1">+'Annual FS'!S174+'Annual FS'!S181-S146</f>
        <v>4367.3397514024973</v>
      </c>
    </row>
    <row r="337" spans="1:19" outlineLevel="1">
      <c r="B337" s="17" t="s">
        <v>329</v>
      </c>
      <c r="C337" s="18" t="s">
        <v>59</v>
      </c>
      <c r="D337" s="134"/>
      <c r="E337" s="134"/>
      <c r="F337" s="39"/>
      <c r="G337" s="39"/>
      <c r="H337" s="39"/>
      <c r="I337" s="39"/>
      <c r="J337" s="39"/>
      <c r="K337" s="39"/>
      <c r="L337" s="39"/>
      <c r="M337" s="39"/>
      <c r="N337" s="167"/>
      <c r="O337" s="16">
        <f t="shared" ref="O337" ca="1" si="154">MAX(0,MIN(O336,O335))</f>
        <v>1187.7695472781015</v>
      </c>
      <c r="P337" s="16">
        <f ca="1">MAX(0,MIN(P336,P335))</f>
        <v>974.06214878820174</v>
      </c>
      <c r="Q337" s="16">
        <f ca="1">MAX(0,MIN(Q336,Q335))</f>
        <v>0</v>
      </c>
      <c r="R337" s="16">
        <f ca="1">MAX(0,MIN(R336,R335))</f>
        <v>3376.5033077680282</v>
      </c>
      <c r="S337" s="16">
        <f ca="1">MAX(0,MIN(S336,S335))</f>
        <v>4367.3397514024973</v>
      </c>
    </row>
    <row r="338" spans="1:19" outlineLevel="1">
      <c r="B338" s="17" t="s">
        <v>330</v>
      </c>
      <c r="C338" s="18" t="s">
        <v>59</v>
      </c>
      <c r="D338" s="134"/>
      <c r="E338" s="134"/>
      <c r="F338" s="39"/>
      <c r="G338" s="39"/>
      <c r="H338" s="39"/>
      <c r="I338" s="39"/>
      <c r="J338" s="39"/>
      <c r="K338" s="39"/>
      <c r="L338" s="39"/>
      <c r="M338" s="39"/>
      <c r="N338" s="167"/>
      <c r="O338" s="1221">
        <v>1750</v>
      </c>
      <c r="P338" s="16">
        <f ca="1">+P337*(Control!$E$16&lt;=Drivers!P4)</f>
        <v>974.06214878820174</v>
      </c>
      <c r="Q338" s="16">
        <f ca="1">+Q337*(Control!$E$16&lt;=Drivers!Q4)</f>
        <v>0</v>
      </c>
      <c r="R338" s="16">
        <f ca="1">+R337*(Control!$E$16&lt;=Drivers!R4)</f>
        <v>3376.5033077680282</v>
      </c>
      <c r="S338" s="16">
        <f ca="1">+S337*(Control!$E$16&lt;=Drivers!S4)</f>
        <v>4367.3397514024973</v>
      </c>
    </row>
    <row r="339" spans="1:19" outlineLevel="1">
      <c r="B339" s="185" t="s">
        <v>331</v>
      </c>
      <c r="C339" s="192" t="s">
        <v>59</v>
      </c>
      <c r="D339" s="195"/>
      <c r="E339" s="195"/>
      <c r="F339" s="303"/>
      <c r="G339" s="303"/>
      <c r="H339" s="303"/>
      <c r="I339" s="303"/>
      <c r="J339" s="303"/>
      <c r="K339" s="303"/>
      <c r="L339" s="303"/>
      <c r="M339" s="303"/>
      <c r="N339" s="304"/>
      <c r="O339" s="221">
        <f>O333+N328-(O329-N329)-O338</f>
        <v>1402.1406289370007</v>
      </c>
      <c r="P339" s="221">
        <f ca="1">P333+O328-(P329-O329)-P338</f>
        <v>2460.701043787461</v>
      </c>
      <c r="Q339" s="221">
        <f t="shared" ref="Q339:S339" ca="1" si="155">Q333+P328-(Q329-P329)-Q338</f>
        <v>5531.1096768221269</v>
      </c>
      <c r="R339" s="221">
        <f t="shared" ca="1" si="155"/>
        <v>5532.7737765659322</v>
      </c>
      <c r="S339" s="221">
        <f t="shared" ca="1" si="155"/>
        <v>5578.1607370199827</v>
      </c>
    </row>
    <row r="340" spans="1:19" outlineLevel="1">
      <c r="B340" s="25"/>
      <c r="C340" s="33"/>
      <c r="I340" s="28"/>
    </row>
    <row r="341" spans="1:19"/>
    <row r="342" spans="1:19">
      <c r="A342" s="471" t="s">
        <v>68</v>
      </c>
      <c r="B342" s="471"/>
      <c r="C342" s="471"/>
      <c r="D342" s="471">
        <v>2012</v>
      </c>
      <c r="E342" s="471">
        <v>2013</v>
      </c>
      <c r="F342" s="471">
        <v>2014</v>
      </c>
      <c r="G342" s="471">
        <v>2015</v>
      </c>
      <c r="H342" s="471">
        <v>2016</v>
      </c>
      <c r="I342" s="471">
        <v>2017</v>
      </c>
      <c r="J342" s="471">
        <v>2018</v>
      </c>
      <c r="K342" s="471">
        <v>2019</v>
      </c>
      <c r="L342" s="471">
        <v>2020</v>
      </c>
      <c r="M342" s="471">
        <v>2021</v>
      </c>
      <c r="N342" s="471">
        <v>2022</v>
      </c>
      <c r="O342" s="470">
        <v>2023</v>
      </c>
      <c r="P342" s="470">
        <v>2024</v>
      </c>
      <c r="Q342" s="470">
        <f>+P342+1</f>
        <v>2025</v>
      </c>
      <c r="R342" s="470">
        <f>+Q342+1</f>
        <v>2026</v>
      </c>
      <c r="S342" s="470">
        <f>+R342+1</f>
        <v>2027</v>
      </c>
    </row>
    <row r="343" spans="1:19" outlineLevel="1"/>
    <row r="344" spans="1:19" outlineLevel="1">
      <c r="B344" s="185" t="s">
        <v>332</v>
      </c>
    </row>
    <row r="345" spans="1:19" outlineLevel="1">
      <c r="B345" s="17" t="s">
        <v>333</v>
      </c>
      <c r="C345" s="51" t="s">
        <v>35</v>
      </c>
      <c r="D345" s="134"/>
      <c r="E345" s="134"/>
      <c r="F345" s="165"/>
      <c r="G345" s="1326"/>
      <c r="H345" s="1326"/>
      <c r="I345" s="1326"/>
      <c r="J345" s="1455"/>
      <c r="K345" s="376">
        <v>0.33</v>
      </c>
      <c r="L345" s="376">
        <v>0.32</v>
      </c>
      <c r="M345" s="376">
        <v>0.31</v>
      </c>
      <c r="N345" s="376">
        <v>0.35</v>
      </c>
      <c r="O345" s="86">
        <f t="shared" ref="O345" si="156">N345</f>
        <v>0.35</v>
      </c>
      <c r="P345" s="86">
        <f t="shared" ref="P345" si="157">O345</f>
        <v>0.35</v>
      </c>
      <c r="Q345" s="86">
        <f t="shared" ref="Q345" si="158">P345</f>
        <v>0.35</v>
      </c>
      <c r="R345" s="86">
        <f t="shared" ref="R345" si="159">Q345</f>
        <v>0.35</v>
      </c>
      <c r="S345" s="86">
        <f t="shared" ref="S345" si="160">R345</f>
        <v>0.35</v>
      </c>
    </row>
    <row r="346" spans="1:19" outlineLevel="1">
      <c r="B346" s="17" t="s">
        <v>334</v>
      </c>
      <c r="C346" s="18" t="s">
        <v>35</v>
      </c>
      <c r="D346" s="134"/>
      <c r="E346" s="134"/>
      <c r="F346" s="165"/>
      <c r="G346" s="165"/>
      <c r="H346" s="165"/>
      <c r="I346" s="165"/>
      <c r="J346" s="166"/>
      <c r="K346" s="377">
        <v>0</v>
      </c>
      <c r="L346" s="87">
        <v>0</v>
      </c>
      <c r="M346" s="87">
        <v>0</v>
      </c>
      <c r="N346" s="87">
        <v>0</v>
      </c>
      <c r="O346" s="87">
        <v>0</v>
      </c>
      <c r="P346" s="87">
        <v>0</v>
      </c>
      <c r="Q346" s="87">
        <v>0</v>
      </c>
      <c r="R346" s="87">
        <v>0</v>
      </c>
      <c r="S346" s="87">
        <v>0</v>
      </c>
    </row>
    <row r="347" spans="1:19" outlineLevel="1">
      <c r="B347" s="17" t="s">
        <v>335</v>
      </c>
      <c r="C347" s="18" t="s">
        <v>35</v>
      </c>
      <c r="D347" s="134"/>
      <c r="E347" s="134"/>
      <c r="F347" s="165"/>
      <c r="G347" s="165"/>
      <c r="H347" s="165"/>
      <c r="I347" s="165"/>
      <c r="J347" s="166"/>
      <c r="K347" s="377">
        <v>0.04</v>
      </c>
      <c r="L347" s="87">
        <v>0</v>
      </c>
      <c r="M347" s="87">
        <v>0</v>
      </c>
      <c r="N347" s="87">
        <v>0</v>
      </c>
      <c r="O347" s="87">
        <v>0</v>
      </c>
      <c r="P347" s="87">
        <v>0</v>
      </c>
      <c r="Q347" s="87">
        <v>0</v>
      </c>
      <c r="R347" s="87">
        <v>0</v>
      </c>
      <c r="S347" s="87">
        <v>0</v>
      </c>
    </row>
    <row r="348" spans="1:19" outlineLevel="1">
      <c r="B348" s="17" t="s">
        <v>336</v>
      </c>
      <c r="C348" s="18" t="s">
        <v>35</v>
      </c>
      <c r="D348" s="134"/>
      <c r="E348" s="134"/>
      <c r="F348" s="165"/>
      <c r="G348" s="165"/>
      <c r="H348" s="165"/>
      <c r="I348" s="165"/>
      <c r="J348" s="166"/>
      <c r="K348" s="377">
        <v>0</v>
      </c>
      <c r="L348" s="87">
        <f t="shared" ref="L348:S348" si="161">K348</f>
        <v>0</v>
      </c>
      <c r="M348" s="87">
        <f t="shared" si="161"/>
        <v>0</v>
      </c>
      <c r="N348" s="87">
        <f t="shared" si="161"/>
        <v>0</v>
      </c>
      <c r="O348" s="87">
        <f t="shared" si="161"/>
        <v>0</v>
      </c>
      <c r="P348" s="87">
        <f t="shared" si="161"/>
        <v>0</v>
      </c>
      <c r="Q348" s="87">
        <f t="shared" si="161"/>
        <v>0</v>
      </c>
      <c r="R348" s="87">
        <f t="shared" si="161"/>
        <v>0</v>
      </c>
      <c r="S348" s="87">
        <f t="shared" si="161"/>
        <v>0</v>
      </c>
    </row>
    <row r="349" spans="1:19" outlineLevel="1">
      <c r="B349" s="186" t="s">
        <v>337</v>
      </c>
      <c r="C349" s="191" t="s">
        <v>35</v>
      </c>
      <c r="D349" s="195"/>
      <c r="E349" s="195"/>
      <c r="F349" s="301"/>
      <c r="G349" s="301"/>
      <c r="H349" s="301"/>
      <c r="I349" s="301"/>
      <c r="J349" s="302"/>
      <c r="K349" s="1327">
        <v>1</v>
      </c>
      <c r="L349" s="1328">
        <v>1</v>
      </c>
      <c r="M349" s="1328">
        <v>1</v>
      </c>
      <c r="N349" s="1328">
        <v>1</v>
      </c>
      <c r="O349" s="1328">
        <v>1</v>
      </c>
      <c r="P349" s="1328">
        <v>1</v>
      </c>
      <c r="Q349" s="1328">
        <v>1</v>
      </c>
      <c r="R349" s="1328">
        <v>1</v>
      </c>
      <c r="S349" s="1328">
        <v>1</v>
      </c>
    </row>
    <row r="350" spans="1:19" outlineLevel="1"/>
    <row r="351" spans="1:19" outlineLevel="1">
      <c r="B351" s="25" t="s">
        <v>338</v>
      </c>
    </row>
    <row r="352" spans="1:19" outlineLevel="1">
      <c r="B352" s="47" t="s">
        <v>339</v>
      </c>
      <c r="C352" s="51" t="s">
        <v>59</v>
      </c>
      <c r="D352" s="134"/>
      <c r="E352" s="39"/>
      <c r="F352" s="39"/>
      <c r="G352" s="1271"/>
      <c r="H352" s="1271"/>
      <c r="I352" s="1271">
        <f>+'Annual FS'!I125</f>
        <v>10473.07442307</v>
      </c>
      <c r="J352" s="1454">
        <f>+'Annual FS'!J125</f>
        <v>11263.149789289997</v>
      </c>
      <c r="K352" s="48">
        <f>+'Annual FS'!K125</f>
        <v>12803.352297129997</v>
      </c>
      <c r="L352" s="48">
        <f>+'Annual FS'!L125</f>
        <v>12602.841468159999</v>
      </c>
      <c r="M352" s="48">
        <f>+'Annual FS'!M125</f>
        <v>12716.060538820002</v>
      </c>
      <c r="N352" s="48">
        <f>+'Annual FS'!N125</f>
        <v>14111.444075750002</v>
      </c>
      <c r="O352" s="48">
        <f ca="1">+'Annual FS'!O125</f>
        <v>14619.913590904069</v>
      </c>
      <c r="P352" s="48">
        <f ca="1">+'Annual FS'!P125</f>
        <v>17057.416589932163</v>
      </c>
      <c r="Q352" s="48">
        <f ca="1">+'Annual FS'!Q125</f>
        <v>20810.935931611981</v>
      </c>
      <c r="R352" s="48">
        <f ca="1">+'Annual FS'!R125</f>
        <v>21847.159335700497</v>
      </c>
      <c r="S352" s="48">
        <f ca="1">+'Annual FS'!S125</f>
        <v>22059.250224138385</v>
      </c>
    </row>
    <row r="353" spans="2:19" outlineLevel="1">
      <c r="B353" s="185" t="s">
        <v>338</v>
      </c>
      <c r="C353" s="192" t="s">
        <v>59</v>
      </c>
      <c r="D353" s="633"/>
      <c r="E353" s="633"/>
      <c r="F353" s="303"/>
      <c r="G353" s="303"/>
      <c r="H353" s="303"/>
      <c r="I353" s="303"/>
      <c r="J353" s="304"/>
      <c r="K353" s="221">
        <f t="shared" ref="K353:S353" si="162">IF(J352&lt;0,0,-J352*K345*K348)</f>
        <v>0</v>
      </c>
      <c r="L353" s="221">
        <f t="shared" si="162"/>
        <v>0</v>
      </c>
      <c r="M353" s="221">
        <f t="shared" si="162"/>
        <v>0</v>
      </c>
      <c r="N353" s="221">
        <f t="shared" si="162"/>
        <v>0</v>
      </c>
      <c r="O353" s="221">
        <f t="shared" si="162"/>
        <v>0</v>
      </c>
      <c r="P353" s="221">
        <f t="shared" ca="1" si="162"/>
        <v>0</v>
      </c>
      <c r="Q353" s="221">
        <f t="shared" ca="1" si="162"/>
        <v>0</v>
      </c>
      <c r="R353" s="221">
        <f t="shared" ca="1" si="162"/>
        <v>0</v>
      </c>
      <c r="S353" s="221">
        <f t="shared" ca="1" si="162"/>
        <v>0</v>
      </c>
    </row>
    <row r="354" spans="2:19" outlineLevel="1"/>
    <row r="355" spans="2:19" outlineLevel="1">
      <c r="B355" s="47" t="s">
        <v>340</v>
      </c>
      <c r="C355" s="51" t="s">
        <v>59</v>
      </c>
      <c r="D355" s="134"/>
      <c r="E355" s="134"/>
      <c r="F355" s="39"/>
      <c r="G355" s="1271"/>
      <c r="H355" s="1271"/>
      <c r="I355" s="1271"/>
      <c r="J355" s="1456"/>
      <c r="K355" s="48">
        <f>+'Annual FS'!K62-Drivers!K356</f>
        <v>2265.9614028400019</v>
      </c>
      <c r="L355" s="48">
        <f>+'Annual FS'!L62-Drivers!L356</f>
        <v>134.95334016999777</v>
      </c>
      <c r="M355" s="48">
        <f>+'Annual FS'!M62-Drivers!M356</f>
        <v>1353.1946156599988</v>
      </c>
      <c r="N355" s="48">
        <f>+'Annual FS'!N62-Drivers!N356</f>
        <v>3682.1340359299988</v>
      </c>
      <c r="O355" s="48">
        <f ca="1">+'Annual FS'!O62-Drivers!O356</f>
        <v>3474.5684848524138</v>
      </c>
      <c r="P355" s="48">
        <f ca="1">+'Annual FS'!P62-Drivers!P356</f>
        <v>5248.5617658712226</v>
      </c>
      <c r="Q355" s="48">
        <f ca="1">+'Annual FS'!Q62-Drivers!Q356</f>
        <v>5774.6451410458703</v>
      </c>
      <c r="R355" s="48">
        <f ca="1">+'Annual FS'!R62-Drivers!R356</f>
        <v>6788.8103259331492</v>
      </c>
      <c r="S355" s="48">
        <f ca="1">+'Annual FS'!S62-Drivers!S356</f>
        <v>7045.277907446738</v>
      </c>
    </row>
    <row r="356" spans="2:19" outlineLevel="1">
      <c r="B356" s="17" t="s">
        <v>341</v>
      </c>
      <c r="C356" s="18" t="s">
        <v>59</v>
      </c>
      <c r="D356" s="134"/>
      <c r="E356" s="134"/>
      <c r="F356" s="134"/>
      <c r="G356" s="134"/>
      <c r="H356" s="134"/>
      <c r="I356" s="134"/>
      <c r="J356" s="378"/>
      <c r="K356" s="16">
        <f>+'Annual FS'!K99*Drivers!K99</f>
        <v>0</v>
      </c>
      <c r="L356" s="16">
        <f>+'Annual FS'!L99*Drivers!L99</f>
        <v>0</v>
      </c>
      <c r="M356" s="16">
        <f>+'Annual FS'!M99*Drivers!M99</f>
        <v>0</v>
      </c>
      <c r="N356" s="16">
        <f>+'Annual FS'!N99*Drivers!N99</f>
        <v>0</v>
      </c>
      <c r="O356" s="16">
        <f>+'Annual FS'!O99*Drivers!O99</f>
        <v>0</v>
      </c>
      <c r="P356" s="16">
        <f>+'Annual FS'!P99*Drivers!P99</f>
        <v>0</v>
      </c>
      <c r="Q356" s="16">
        <f>+'Annual FS'!Q99*Drivers!Q99</f>
        <v>0</v>
      </c>
      <c r="R356" s="16">
        <f>+'Annual FS'!R99*Drivers!R99</f>
        <v>0</v>
      </c>
      <c r="S356" s="16">
        <f>+'Annual FS'!S99*Drivers!S99</f>
        <v>0</v>
      </c>
    </row>
    <row r="357" spans="2:19" outlineLevel="1">
      <c r="B357" s="17" t="s">
        <v>342</v>
      </c>
      <c r="C357" s="18" t="s">
        <v>59</v>
      </c>
      <c r="D357" s="134"/>
      <c r="E357" s="134"/>
      <c r="F357" s="134"/>
      <c r="G357" s="134"/>
      <c r="H357" s="134"/>
      <c r="I357" s="134"/>
      <c r="J357" s="378"/>
      <c r="K357" s="16"/>
      <c r="L357" s="16"/>
      <c r="M357" s="16"/>
      <c r="N357" s="16"/>
      <c r="O357" s="16"/>
      <c r="P357" s="16"/>
      <c r="Q357" s="16"/>
      <c r="R357" s="16"/>
      <c r="S357" s="16"/>
    </row>
    <row r="358" spans="2:19" outlineLevel="1">
      <c r="B358" s="1431" t="s">
        <v>343</v>
      </c>
      <c r="C358" s="1457" t="s">
        <v>59</v>
      </c>
      <c r="D358" s="633"/>
      <c r="E358" s="633"/>
      <c r="F358" s="633"/>
      <c r="G358" s="1458"/>
      <c r="H358" s="1458"/>
      <c r="I358" s="1458"/>
      <c r="J358" s="379"/>
      <c r="K358" s="1459">
        <f t="shared" ref="K358:P358" si="163">+K355-K356</f>
        <v>2265.9614028400019</v>
      </c>
      <c r="L358" s="1459">
        <f t="shared" si="163"/>
        <v>134.95334016999777</v>
      </c>
      <c r="M358" s="1459">
        <f t="shared" si="163"/>
        <v>1353.1946156599988</v>
      </c>
      <c r="N358" s="1459">
        <f>+N355-N356</f>
        <v>3682.1340359299988</v>
      </c>
      <c r="O358" s="1459">
        <f t="shared" ca="1" si="163"/>
        <v>3474.5684848524138</v>
      </c>
      <c r="P358" s="1459">
        <f t="shared" ca="1" si="163"/>
        <v>5248.5617658712226</v>
      </c>
      <c r="Q358" s="1459">
        <f ca="1">+Q355-Q356</f>
        <v>5774.6451410458703</v>
      </c>
      <c r="R358" s="1459">
        <f ca="1">+R355-R356</f>
        <v>6788.8103259331492</v>
      </c>
      <c r="S358" s="1459">
        <f ca="1">+S355-S356</f>
        <v>7045.277907446738</v>
      </c>
    </row>
    <row r="359" spans="2:19" outlineLevel="1">
      <c r="B359" s="17"/>
    </row>
    <row r="360" spans="2:19" outlineLevel="1">
      <c r="B360" s="185" t="s">
        <v>344</v>
      </c>
      <c r="C360" s="307"/>
    </row>
    <row r="361" spans="2:19" outlineLevel="1">
      <c r="B361" s="17" t="s">
        <v>345</v>
      </c>
      <c r="C361" s="51" t="s">
        <v>59</v>
      </c>
      <c r="D361" s="134"/>
      <c r="E361" s="134"/>
      <c r="F361" s="134"/>
      <c r="G361" s="1274"/>
      <c r="H361" s="1274"/>
      <c r="I361" s="1274"/>
      <c r="J361" s="1460"/>
      <c r="K361" s="48">
        <f t="shared" ref="K361:P361" si="164">+IF(K358&lt;0,-K358,0)</f>
        <v>0</v>
      </c>
      <c r="L361" s="48">
        <f t="shared" si="164"/>
        <v>0</v>
      </c>
      <c r="M361" s="48">
        <f t="shared" si="164"/>
        <v>0</v>
      </c>
      <c r="N361" s="48">
        <f t="shared" si="164"/>
        <v>0</v>
      </c>
      <c r="O361" s="48">
        <f t="shared" ca="1" si="164"/>
        <v>0</v>
      </c>
      <c r="P361" s="48">
        <f t="shared" ca="1" si="164"/>
        <v>0</v>
      </c>
      <c r="Q361" s="48">
        <f ca="1">+IF(Q358&lt;0,-Q358,0)</f>
        <v>0</v>
      </c>
      <c r="R361" s="48">
        <f ca="1">+IF(R358&lt;0,-R358,0)</f>
        <v>0</v>
      </c>
      <c r="S361" s="48">
        <f ca="1">+IF(S358&lt;0,-S358,0)</f>
        <v>0</v>
      </c>
    </row>
    <row r="362" spans="2:19" outlineLevel="1">
      <c r="B362" s="17" t="s">
        <v>346</v>
      </c>
      <c r="C362" s="18" t="s">
        <v>59</v>
      </c>
      <c r="D362" s="134"/>
      <c r="E362" s="134"/>
      <c r="F362" s="134"/>
      <c r="G362" s="134"/>
      <c r="H362" s="134"/>
      <c r="I362" s="134"/>
      <c r="J362" s="306"/>
      <c r="K362" s="16">
        <f t="shared" ref="K362:S362" si="165">+(J362-J363)+K361</f>
        <v>0</v>
      </c>
      <c r="L362" s="16">
        <f t="shared" si="165"/>
        <v>0</v>
      </c>
      <c r="M362" s="16">
        <f t="shared" si="165"/>
        <v>0</v>
      </c>
      <c r="N362" s="16">
        <f t="shared" si="165"/>
        <v>0</v>
      </c>
      <c r="O362" s="16">
        <f t="shared" ca="1" si="165"/>
        <v>0</v>
      </c>
      <c r="P362" s="16">
        <f t="shared" ca="1" si="165"/>
        <v>0</v>
      </c>
      <c r="Q362" s="16">
        <f t="shared" ca="1" si="165"/>
        <v>0</v>
      </c>
      <c r="R362" s="16">
        <f t="shared" ca="1" si="165"/>
        <v>0</v>
      </c>
      <c r="S362" s="16">
        <f t="shared" ca="1" si="165"/>
        <v>0</v>
      </c>
    </row>
    <row r="363" spans="2:19" outlineLevel="1">
      <c r="B363" s="17" t="s">
        <v>347</v>
      </c>
      <c r="C363" s="18" t="s">
        <v>59</v>
      </c>
      <c r="D363" s="134"/>
      <c r="E363" s="134"/>
      <c r="F363" s="134"/>
      <c r="G363" s="134"/>
      <c r="H363" s="134"/>
      <c r="I363" s="134"/>
      <c r="J363" s="306"/>
      <c r="K363" s="16">
        <f t="shared" ref="K363:P363" si="166">IF(AND(K362&gt;0,K358&gt;0),MIN(K362,K358),0)</f>
        <v>0</v>
      </c>
      <c r="L363" s="16">
        <f t="shared" si="166"/>
        <v>0</v>
      </c>
      <c r="M363" s="16">
        <f t="shared" si="166"/>
        <v>0</v>
      </c>
      <c r="N363" s="16">
        <f t="shared" si="166"/>
        <v>0</v>
      </c>
      <c r="O363" s="16">
        <f t="shared" ca="1" si="166"/>
        <v>0</v>
      </c>
      <c r="P363" s="16">
        <f t="shared" ca="1" si="166"/>
        <v>0</v>
      </c>
      <c r="Q363" s="16">
        <f ca="1">IF(AND(Q362&gt;0,Q358&gt;0),MIN(Q362,Q358),0)</f>
        <v>0</v>
      </c>
      <c r="R363" s="16">
        <f ca="1">IF(AND(R362&gt;0,R358&gt;0),MIN(R362,R358),0)</f>
        <v>0</v>
      </c>
      <c r="S363" s="16">
        <f ca="1">IF(AND(S362&gt;0,S358&gt;0),MIN(S362,S358),0)</f>
        <v>0</v>
      </c>
    </row>
    <row r="364" spans="2:19" outlineLevel="1">
      <c r="B364" s="308" t="s">
        <v>105</v>
      </c>
      <c r="C364" s="1457" t="s">
        <v>59</v>
      </c>
      <c r="D364" s="195"/>
      <c r="E364" s="195"/>
      <c r="F364" s="195"/>
      <c r="G364" s="195"/>
      <c r="H364" s="195"/>
      <c r="I364" s="195"/>
      <c r="J364" s="252"/>
      <c r="K364" s="1459">
        <f t="shared" ref="K364:Q364" si="167">MAX(0,MAX((K358-K363)*K345),-K353,0)</f>
        <v>747.76726293720071</v>
      </c>
      <c r="L364" s="1459">
        <f t="shared" si="167"/>
        <v>43.18506885439929</v>
      </c>
      <c r="M364" s="1459">
        <f t="shared" si="167"/>
        <v>419.49033085459962</v>
      </c>
      <c r="N364" s="1459">
        <f>MAX(0,MAX((N358-N363)*N345),-N353,0)</f>
        <v>1288.7469125754994</v>
      </c>
      <c r="O364" s="1459">
        <f ca="1">MAX(0,MAX((O358-O363)*O345),-O353,0)</f>
        <v>1216.0989696983447</v>
      </c>
      <c r="P364" s="1459">
        <f t="shared" ca="1" si="167"/>
        <v>1836.9966180549277</v>
      </c>
      <c r="Q364" s="1459">
        <f t="shared" ca="1" si="167"/>
        <v>2021.1257993660545</v>
      </c>
      <c r="R364" s="1459">
        <f ca="1">MAX(0,MAX((R358-R363)*R345),-R353,0)</f>
        <v>2376.0836140766019</v>
      </c>
      <c r="S364" s="1459">
        <f ca="1">MAX(0,MAX((S358-S363)*S345),-S353,0)</f>
        <v>2465.8472676063579</v>
      </c>
    </row>
    <row r="365" spans="2:19" outlineLevel="1"/>
    <row r="366" spans="2:19" outlineLevel="1">
      <c r="B366" s="47" t="s">
        <v>334</v>
      </c>
      <c r="C366" s="51" t="s">
        <v>59</v>
      </c>
      <c r="D366" s="134"/>
      <c r="E366" s="134"/>
      <c r="F366" s="39"/>
      <c r="G366" s="1271"/>
      <c r="H366" s="1271"/>
      <c r="I366" s="1271"/>
      <c r="J366" s="1454"/>
      <c r="K366" s="48">
        <f t="shared" ref="K366:P366" si="168">+-MAX(K358*K346,0)</f>
        <v>0</v>
      </c>
      <c r="L366" s="48">
        <f t="shared" si="168"/>
        <v>0</v>
      </c>
      <c r="M366" s="48">
        <f t="shared" si="168"/>
        <v>0</v>
      </c>
      <c r="N366" s="48">
        <f t="shared" si="168"/>
        <v>0</v>
      </c>
      <c r="O366" s="48">
        <f t="shared" ca="1" si="168"/>
        <v>0</v>
      </c>
      <c r="P366" s="48">
        <f t="shared" ca="1" si="168"/>
        <v>0</v>
      </c>
      <c r="Q366" s="48">
        <f ca="1">+-MAX(Q358*Q346,0)</f>
        <v>0</v>
      </c>
      <c r="R366" s="48">
        <f ca="1">+-MAX(R358*R346,0)</f>
        <v>0</v>
      </c>
      <c r="S366" s="48">
        <f ca="1">+-MAX(S358*S346,0)</f>
        <v>0</v>
      </c>
    </row>
    <row r="367" spans="2:19" outlineLevel="1">
      <c r="B367" s="17" t="s">
        <v>335</v>
      </c>
      <c r="C367" s="18" t="s">
        <v>59</v>
      </c>
      <c r="D367" s="134"/>
      <c r="E367" s="134"/>
      <c r="F367" s="39"/>
      <c r="G367" s="39"/>
      <c r="H367" s="39"/>
      <c r="I367" s="39"/>
      <c r="J367" s="167"/>
      <c r="K367" s="16">
        <f t="shared" ref="K367:P367" si="169">-+MAX((K355-800)*K347,0)</f>
        <v>-58.638456113600078</v>
      </c>
      <c r="L367" s="16">
        <f t="shared" si="169"/>
        <v>0</v>
      </c>
      <c r="M367" s="16">
        <f t="shared" si="169"/>
        <v>0</v>
      </c>
      <c r="N367" s="16">
        <f t="shared" si="169"/>
        <v>0</v>
      </c>
      <c r="O367" s="16">
        <f t="shared" ca="1" si="169"/>
        <v>0</v>
      </c>
      <c r="P367" s="16">
        <f t="shared" ca="1" si="169"/>
        <v>0</v>
      </c>
      <c r="Q367" s="16">
        <f ca="1">-+MAX((Q355-800)*Q347,0)</f>
        <v>0</v>
      </c>
      <c r="R367" s="16">
        <f ca="1">-+MAX((R355-800)*R347,0)</f>
        <v>0</v>
      </c>
      <c r="S367" s="16">
        <f ca="1">-+MAX((S355-800)*S347,0)</f>
        <v>0</v>
      </c>
    </row>
    <row r="368" spans="2:19" outlineLevel="1">
      <c r="B368" s="186" t="s">
        <v>105</v>
      </c>
      <c r="C368" s="191" t="s">
        <v>59</v>
      </c>
      <c r="D368" s="195"/>
      <c r="E368" s="195"/>
      <c r="F368" s="271"/>
      <c r="G368" s="271"/>
      <c r="H368" s="271"/>
      <c r="I368" s="271"/>
      <c r="J368" s="305"/>
      <c r="K368" s="187">
        <f t="shared" ref="K368:P368" si="170">+-K364</f>
        <v>-747.76726293720071</v>
      </c>
      <c r="L368" s="187">
        <f t="shared" si="170"/>
        <v>-43.18506885439929</v>
      </c>
      <c r="M368" s="187">
        <f t="shared" si="170"/>
        <v>-419.49033085459962</v>
      </c>
      <c r="N368" s="187">
        <f>+-N364</f>
        <v>-1288.7469125754994</v>
      </c>
      <c r="O368" s="187">
        <f ca="1">+-O364</f>
        <v>-1216.0989696983447</v>
      </c>
      <c r="P368" s="187">
        <f t="shared" ca="1" si="170"/>
        <v>-1836.9966180549277</v>
      </c>
      <c r="Q368" s="187">
        <f ca="1">+-Q364</f>
        <v>-2021.1257993660545</v>
      </c>
      <c r="R368" s="187">
        <f ca="1">+-R364</f>
        <v>-2376.0836140766019</v>
      </c>
      <c r="S368" s="187">
        <f ca="1">+-S364</f>
        <v>-2465.8472676063579</v>
      </c>
    </row>
    <row r="369" spans="1:19" outlineLevel="1">
      <c r="B369" s="1431" t="s">
        <v>348</v>
      </c>
      <c r="C369" s="1457" t="s">
        <v>59</v>
      </c>
      <c r="D369" s="195"/>
      <c r="E369" s="195"/>
      <c r="F369" s="303"/>
      <c r="G369" s="1461"/>
      <c r="H369" s="1461"/>
      <c r="I369" s="1461"/>
      <c r="J369" s="1462"/>
      <c r="K369" s="1459">
        <f t="shared" ref="K369:Q369" si="171">+SUM(K366:K368)</f>
        <v>-806.40571905080083</v>
      </c>
      <c r="L369" s="1459">
        <f t="shared" si="171"/>
        <v>-43.18506885439929</v>
      </c>
      <c r="M369" s="1459">
        <f t="shared" si="171"/>
        <v>-419.49033085459962</v>
      </c>
      <c r="N369" s="1459">
        <f>+SUM(N366:N368)</f>
        <v>-1288.7469125754994</v>
      </c>
      <c r="O369" s="1459">
        <f ca="1">+SUM(O366:O368)</f>
        <v>-1216.0989696983447</v>
      </c>
      <c r="P369" s="1459">
        <f t="shared" ca="1" si="171"/>
        <v>-1836.9966180549277</v>
      </c>
      <c r="Q369" s="1459">
        <f t="shared" ca="1" si="171"/>
        <v>-2021.1257993660545</v>
      </c>
      <c r="R369" s="1459">
        <f ca="1">+SUM(R366:R368)</f>
        <v>-2376.0836140766019</v>
      </c>
      <c r="S369" s="1459">
        <f ca="1">+SUM(S366:S368)</f>
        <v>-2465.8472676063579</v>
      </c>
    </row>
    <row r="370" spans="1:19" outlineLevel="1">
      <c r="B370" s="329" t="s">
        <v>349</v>
      </c>
      <c r="C370" s="330" t="s">
        <v>35</v>
      </c>
      <c r="D370" s="195"/>
      <c r="E370" s="195"/>
      <c r="F370" s="303"/>
      <c r="G370" s="1461"/>
      <c r="H370" s="1461"/>
      <c r="I370" s="1461"/>
      <c r="J370" s="1462"/>
      <c r="K370" s="485">
        <f t="shared" ref="K370:S370" si="172">-K369/K355</f>
        <v>0.35587795892732627</v>
      </c>
      <c r="L370" s="485">
        <f t="shared" si="172"/>
        <v>0.32</v>
      </c>
      <c r="M370" s="485">
        <f t="shared" si="172"/>
        <v>0.31</v>
      </c>
      <c r="N370" s="485">
        <f t="shared" si="172"/>
        <v>0.35</v>
      </c>
      <c r="O370" s="485">
        <f t="shared" ca="1" si="172"/>
        <v>0.35</v>
      </c>
      <c r="P370" s="485">
        <f t="shared" ca="1" si="172"/>
        <v>0.35</v>
      </c>
      <c r="Q370" s="485">
        <f t="shared" ca="1" si="172"/>
        <v>0.35</v>
      </c>
      <c r="R370" s="485">
        <f t="shared" ca="1" si="172"/>
        <v>0.34999999999999992</v>
      </c>
      <c r="S370" s="485">
        <f t="shared" ca="1" si="172"/>
        <v>0.34999999999999992</v>
      </c>
    </row>
    <row r="371" spans="1:19">
      <c r="F371" s="115"/>
    </row>
    <row r="372" spans="1:19">
      <c r="A372" s="471" t="s">
        <v>350</v>
      </c>
      <c r="B372" s="471"/>
      <c r="C372" s="471"/>
      <c r="D372" s="471">
        <v>2012</v>
      </c>
      <c r="E372" s="471">
        <v>2013</v>
      </c>
      <c r="F372" s="471">
        <v>2014</v>
      </c>
      <c r="G372" s="471">
        <v>2015</v>
      </c>
      <c r="H372" s="471">
        <v>2016</v>
      </c>
      <c r="I372" s="471">
        <v>2017</v>
      </c>
      <c r="J372" s="471">
        <v>2018</v>
      </c>
      <c r="K372" s="471">
        <v>2019</v>
      </c>
      <c r="L372" s="471">
        <v>2020</v>
      </c>
      <c r="M372" s="471">
        <v>2021</v>
      </c>
      <c r="N372" s="471">
        <v>2022</v>
      </c>
      <c r="O372" s="470">
        <v>2023</v>
      </c>
      <c r="P372" s="470">
        <v>2024</v>
      </c>
      <c r="Q372" s="470">
        <f>+P372+1</f>
        <v>2025</v>
      </c>
      <c r="R372" s="470">
        <f>+Q372+1</f>
        <v>2026</v>
      </c>
      <c r="S372" s="470">
        <f>+R372+1</f>
        <v>2027</v>
      </c>
    </row>
    <row r="373" spans="1:19" outlineLevel="1"/>
    <row r="374" spans="1:19" outlineLevel="1">
      <c r="B374" s="185" t="s">
        <v>332</v>
      </c>
    </row>
    <row r="375" spans="1:19" outlineLevel="1">
      <c r="B375" s="17" t="s">
        <v>333</v>
      </c>
      <c r="C375" s="51" t="s">
        <v>35</v>
      </c>
      <c r="D375" s="134"/>
      <c r="E375" s="134"/>
      <c r="F375" s="165"/>
      <c r="G375" s="1326"/>
      <c r="H375" s="1326"/>
      <c r="I375" s="1326"/>
      <c r="J375" s="1455"/>
      <c r="K375" s="1149">
        <f t="shared" ref="K375:S375" si="173">K345</f>
        <v>0.33</v>
      </c>
      <c r="L375" s="1149">
        <f t="shared" si="173"/>
        <v>0.32</v>
      </c>
      <c r="M375" s="1149">
        <f t="shared" si="173"/>
        <v>0.31</v>
      </c>
      <c r="N375" s="1149">
        <f>N345</f>
        <v>0.35</v>
      </c>
      <c r="O375" s="1149">
        <f t="shared" si="173"/>
        <v>0.35</v>
      </c>
      <c r="P375" s="1149">
        <f t="shared" si="173"/>
        <v>0.35</v>
      </c>
      <c r="Q375" s="1149">
        <f t="shared" si="173"/>
        <v>0.35</v>
      </c>
      <c r="R375" s="1149">
        <f t="shared" si="173"/>
        <v>0.35</v>
      </c>
      <c r="S375" s="1149">
        <f t="shared" si="173"/>
        <v>0.35</v>
      </c>
    </row>
    <row r="376" spans="1:19" outlineLevel="1">
      <c r="B376" s="17" t="s">
        <v>334</v>
      </c>
      <c r="C376" s="18" t="s">
        <v>35</v>
      </c>
      <c r="D376" s="134"/>
      <c r="E376" s="134"/>
      <c r="F376" s="165"/>
      <c r="G376" s="165"/>
      <c r="H376" s="165"/>
      <c r="I376" s="165"/>
      <c r="J376" s="166"/>
      <c r="K376" s="1150">
        <f t="shared" ref="K376:S376" si="174">K346</f>
        <v>0</v>
      </c>
      <c r="L376" s="1150">
        <f t="shared" si="174"/>
        <v>0</v>
      </c>
      <c r="M376" s="1150">
        <f t="shared" si="174"/>
        <v>0</v>
      </c>
      <c r="N376" s="1150">
        <f t="shared" si="174"/>
        <v>0</v>
      </c>
      <c r="O376" s="1150">
        <f t="shared" si="174"/>
        <v>0</v>
      </c>
      <c r="P376" s="1150">
        <f t="shared" si="174"/>
        <v>0</v>
      </c>
      <c r="Q376" s="1150">
        <f t="shared" si="174"/>
        <v>0</v>
      </c>
      <c r="R376" s="1150">
        <f t="shared" si="174"/>
        <v>0</v>
      </c>
      <c r="S376" s="1150">
        <f t="shared" si="174"/>
        <v>0</v>
      </c>
    </row>
    <row r="377" spans="1:19" outlineLevel="1">
      <c r="B377" s="17" t="s">
        <v>335</v>
      </c>
      <c r="C377" s="18" t="s">
        <v>35</v>
      </c>
      <c r="D377" s="134"/>
      <c r="E377" s="134"/>
      <c r="F377" s="165"/>
      <c r="G377" s="165"/>
      <c r="H377" s="165"/>
      <c r="I377" s="165"/>
      <c r="J377" s="166"/>
      <c r="K377" s="1150">
        <f t="shared" ref="K377:S377" si="175">K347</f>
        <v>0.04</v>
      </c>
      <c r="L377" s="1150">
        <f t="shared" si="175"/>
        <v>0</v>
      </c>
      <c r="M377" s="1150">
        <f t="shared" si="175"/>
        <v>0</v>
      </c>
      <c r="N377" s="1150">
        <f t="shared" si="175"/>
        <v>0</v>
      </c>
      <c r="O377" s="1150">
        <f t="shared" si="175"/>
        <v>0</v>
      </c>
      <c r="P377" s="1150">
        <f t="shared" si="175"/>
        <v>0</v>
      </c>
      <c r="Q377" s="1150">
        <f t="shared" si="175"/>
        <v>0</v>
      </c>
      <c r="R377" s="1150">
        <f t="shared" si="175"/>
        <v>0</v>
      </c>
      <c r="S377" s="1150">
        <f t="shared" si="175"/>
        <v>0</v>
      </c>
    </row>
    <row r="378" spans="1:19" outlineLevel="1">
      <c r="B378" s="17" t="s">
        <v>336</v>
      </c>
      <c r="C378" s="18" t="s">
        <v>35</v>
      </c>
      <c r="D378" s="134"/>
      <c r="E378" s="134"/>
      <c r="F378" s="165"/>
      <c r="G378" s="165"/>
      <c r="H378" s="165"/>
      <c r="I378" s="165"/>
      <c r="J378" s="166"/>
      <c r="K378" s="1150">
        <f t="shared" ref="K378:S378" si="176">K348</f>
        <v>0</v>
      </c>
      <c r="L378" s="1150">
        <f t="shared" si="176"/>
        <v>0</v>
      </c>
      <c r="M378" s="1150">
        <f t="shared" si="176"/>
        <v>0</v>
      </c>
      <c r="N378" s="1150">
        <f t="shared" si="176"/>
        <v>0</v>
      </c>
      <c r="O378" s="1150">
        <f t="shared" si="176"/>
        <v>0</v>
      </c>
      <c r="P378" s="1150">
        <f t="shared" si="176"/>
        <v>0</v>
      </c>
      <c r="Q378" s="1150">
        <f t="shared" si="176"/>
        <v>0</v>
      </c>
      <c r="R378" s="1150">
        <f t="shared" si="176"/>
        <v>0</v>
      </c>
      <c r="S378" s="1150">
        <f t="shared" si="176"/>
        <v>0</v>
      </c>
    </row>
    <row r="379" spans="1:19" outlineLevel="1">
      <c r="B379" s="186" t="s">
        <v>337</v>
      </c>
      <c r="C379" s="191" t="s">
        <v>35</v>
      </c>
      <c r="D379" s="195"/>
      <c r="E379" s="195"/>
      <c r="F379" s="301"/>
      <c r="G379" s="301"/>
      <c r="H379" s="301"/>
      <c r="I379" s="301"/>
      <c r="J379" s="302"/>
      <c r="K379" s="1329">
        <f t="shared" ref="K379:S379" si="177">K349</f>
        <v>1</v>
      </c>
      <c r="L379" s="1329">
        <f t="shared" si="177"/>
        <v>1</v>
      </c>
      <c r="M379" s="1329">
        <f t="shared" si="177"/>
        <v>1</v>
      </c>
      <c r="N379" s="1329">
        <f t="shared" si="177"/>
        <v>1</v>
      </c>
      <c r="O379" s="1329">
        <f t="shared" si="177"/>
        <v>1</v>
      </c>
      <c r="P379" s="1329">
        <f t="shared" si="177"/>
        <v>1</v>
      </c>
      <c r="Q379" s="1329">
        <f t="shared" si="177"/>
        <v>1</v>
      </c>
      <c r="R379" s="1329">
        <f t="shared" si="177"/>
        <v>1</v>
      </c>
      <c r="S379" s="1329">
        <f t="shared" si="177"/>
        <v>1</v>
      </c>
    </row>
    <row r="380" spans="1:19" outlineLevel="1"/>
    <row r="381" spans="1:19" outlineLevel="1">
      <c r="B381" s="25" t="s">
        <v>338</v>
      </c>
    </row>
    <row r="382" spans="1:19" outlineLevel="1">
      <c r="B382" s="47" t="s">
        <v>339</v>
      </c>
      <c r="C382" s="51" t="s">
        <v>59</v>
      </c>
      <c r="D382" s="134"/>
      <c r="E382" s="39"/>
      <c r="F382" s="39"/>
      <c r="G382" s="1271"/>
      <c r="H382" s="1271"/>
      <c r="I382" s="1454">
        <f>+'Annual FS'!I125</f>
        <v>10473.07442307</v>
      </c>
      <c r="J382" s="48">
        <f>+'Annual FS'!J125</f>
        <v>11263.149789289997</v>
      </c>
      <c r="K382" s="48">
        <f>+'Annual FS'!K125</f>
        <v>12803.352297129997</v>
      </c>
      <c r="L382" s="48">
        <f>+'Annual FS'!L125</f>
        <v>12602.841468159999</v>
      </c>
      <c r="M382" s="48">
        <f>+'Annual FS'!M125</f>
        <v>12716.060538820002</v>
      </c>
      <c r="N382" s="48">
        <f>+'Annual FS'!N125</f>
        <v>14111.444075750002</v>
      </c>
      <c r="O382" s="48">
        <f ca="1">+'Annual FS'!O125</f>
        <v>14619.913590904069</v>
      </c>
      <c r="P382" s="48">
        <f ca="1">+'Annual FS'!P125</f>
        <v>17057.416589932163</v>
      </c>
      <c r="Q382" s="48">
        <f ca="1">+'Annual FS'!Q125</f>
        <v>20810.935931611981</v>
      </c>
      <c r="R382" s="48">
        <f ca="1">+'Annual FS'!R125</f>
        <v>21847.159335700497</v>
      </c>
      <c r="S382" s="48">
        <f ca="1">+'Annual FS'!S125</f>
        <v>22059.250224138385</v>
      </c>
    </row>
    <row r="383" spans="1:19" outlineLevel="1">
      <c r="B383" s="185" t="s">
        <v>338</v>
      </c>
      <c r="C383" s="192" t="s">
        <v>59</v>
      </c>
      <c r="D383" s="633"/>
      <c r="E383" s="633"/>
      <c r="F383" s="303"/>
      <c r="G383" s="303"/>
      <c r="H383" s="303"/>
      <c r="I383" s="304"/>
      <c r="J383" s="221">
        <f t="shared" ref="J383:S383" si="178">IF(I382&lt;0,0,-I382*J375*J378)</f>
        <v>0</v>
      </c>
      <c r="K383" s="221">
        <f t="shared" si="178"/>
        <v>0</v>
      </c>
      <c r="L383" s="221">
        <f t="shared" si="178"/>
        <v>0</v>
      </c>
      <c r="M383" s="221">
        <f t="shared" si="178"/>
        <v>0</v>
      </c>
      <c r="N383" s="221">
        <f t="shared" si="178"/>
        <v>0</v>
      </c>
      <c r="O383" s="221">
        <f t="shared" si="178"/>
        <v>0</v>
      </c>
      <c r="P383" s="221">
        <f t="shared" ca="1" si="178"/>
        <v>0</v>
      </c>
      <c r="Q383" s="221">
        <f t="shared" ca="1" si="178"/>
        <v>0</v>
      </c>
      <c r="R383" s="221">
        <f t="shared" ca="1" si="178"/>
        <v>0</v>
      </c>
      <c r="S383" s="221">
        <f t="shared" ca="1" si="178"/>
        <v>0</v>
      </c>
    </row>
    <row r="384" spans="1:19" outlineLevel="1"/>
    <row r="385" spans="2:19" outlineLevel="1">
      <c r="B385" s="47" t="s">
        <v>94</v>
      </c>
      <c r="C385" s="51" t="s">
        <v>59</v>
      </c>
      <c r="D385" s="134"/>
      <c r="E385" s="134"/>
      <c r="F385" s="39"/>
      <c r="G385" s="1271"/>
      <c r="H385" s="1271"/>
      <c r="I385" s="1456"/>
      <c r="J385" s="68">
        <f>+'Annual FS'!J51</f>
        <v>1336.4700295699986</v>
      </c>
      <c r="K385" s="68">
        <f>+'Annual FS'!K51</f>
        <v>3492.7347811400023</v>
      </c>
      <c r="L385" s="68">
        <f>+'Annual FS'!L51</f>
        <v>943.95534832999829</v>
      </c>
      <c r="M385" s="68">
        <f>+'Annual FS'!M51</f>
        <v>2050.5677301199985</v>
      </c>
      <c r="N385" s="68">
        <f>+'Annual FS'!N51</f>
        <v>4949.1582441799992</v>
      </c>
      <c r="O385" s="68">
        <f ca="1">+'Annual FS'!O51</f>
        <v>5065.2048878513006</v>
      </c>
      <c r="P385" s="68">
        <f ca="1">+'Annual FS'!P51</f>
        <v>5973.2862701825261</v>
      </c>
      <c r="Q385" s="68">
        <f ca="1">+'Annual FS'!Q51</f>
        <v>6112.5469972068449</v>
      </c>
      <c r="R385" s="68">
        <f ca="1">+'Annual FS'!R51</f>
        <v>6924.946895681468</v>
      </c>
      <c r="S385" s="68">
        <f ca="1">+'Annual FS'!S51</f>
        <v>7159.6920750813215</v>
      </c>
    </row>
    <row r="386" spans="2:19" outlineLevel="1">
      <c r="B386" s="17" t="s">
        <v>341</v>
      </c>
      <c r="C386" s="18" t="s">
        <v>59</v>
      </c>
      <c r="D386" s="134"/>
      <c r="E386" s="134"/>
      <c r="F386" s="134"/>
      <c r="G386" s="134"/>
      <c r="H386" s="134"/>
      <c r="I386" s="378"/>
      <c r="J386" s="38">
        <f>+'Annual FS'!J129*Drivers!J117</f>
        <v>0</v>
      </c>
      <c r="K386" s="38">
        <f>+'Annual FS'!K129*Drivers!K117</f>
        <v>0</v>
      </c>
      <c r="L386" s="38">
        <f>+'Annual FS'!L129*Drivers!L117</f>
        <v>0</v>
      </c>
      <c r="M386" s="38">
        <f>+'Annual FS'!M129*Drivers!M117</f>
        <v>0</v>
      </c>
      <c r="N386" s="38">
        <f>+'Annual FS'!N129*Drivers!N117</f>
        <v>0</v>
      </c>
      <c r="O386" s="38">
        <f>+'Annual FS'!O129*Drivers!O117</f>
        <v>0</v>
      </c>
      <c r="P386" s="38">
        <f ca="1">+'Annual FS'!P129*Drivers!P117</f>
        <v>0</v>
      </c>
      <c r="Q386" s="38">
        <f ca="1">+'Annual FS'!Q129*Drivers!Q117</f>
        <v>0</v>
      </c>
      <c r="R386" s="38">
        <f ca="1">+'Annual FS'!R129*Drivers!R117</f>
        <v>0</v>
      </c>
      <c r="S386" s="38">
        <f ca="1">+'Annual FS'!S129*Drivers!S117</f>
        <v>0</v>
      </c>
    </row>
    <row r="387" spans="2:19" outlineLevel="1">
      <c r="B387" s="17" t="s">
        <v>342</v>
      </c>
      <c r="C387" s="18" t="s">
        <v>59</v>
      </c>
      <c r="D387" s="134"/>
      <c r="E387" s="134"/>
      <c r="F387" s="134"/>
      <c r="G387" s="134"/>
      <c r="H387" s="134"/>
      <c r="I387" s="378"/>
      <c r="J387" s="16"/>
      <c r="K387" s="16"/>
      <c r="L387" s="16"/>
      <c r="M387" s="16"/>
      <c r="N387" s="16"/>
      <c r="O387" s="16"/>
      <c r="P387" s="16"/>
      <c r="Q387" s="16"/>
      <c r="R387" s="16"/>
      <c r="S387" s="16"/>
    </row>
    <row r="388" spans="2:19" outlineLevel="1">
      <c r="B388" s="17" t="s">
        <v>351</v>
      </c>
      <c r="C388" s="18" t="s">
        <v>59</v>
      </c>
      <c r="D388" s="134"/>
      <c r="E388" s="134"/>
      <c r="F388" s="134"/>
      <c r="G388" s="134"/>
      <c r="H388" s="134"/>
      <c r="I388" s="378"/>
      <c r="J388" s="38">
        <f>-Valuation!I36</f>
        <v>420</v>
      </c>
      <c r="K388" s="38">
        <f>-Valuation!J36</f>
        <v>433.35599999999999</v>
      </c>
      <c r="L388" s="38">
        <f>-Valuation!K36</f>
        <v>449.82352800000001</v>
      </c>
      <c r="M388" s="38">
        <f>-Valuation!L36</f>
        <v>461.63634366880802</v>
      </c>
      <c r="N388" s="38">
        <f>-Valuation!M36</f>
        <v>487.58030618299506</v>
      </c>
      <c r="O388" s="38">
        <f>-Valuation!N36</f>
        <v>551.55084235420395</v>
      </c>
      <c r="P388" s="38">
        <f>-Valuation!O36</f>
        <v>598.84632708607694</v>
      </c>
      <c r="Q388" s="38">
        <f>-Valuation!P36</f>
        <v>635.07652987478457</v>
      </c>
      <c r="R388" s="38">
        <f>-Valuation!Q36</f>
        <v>669.00866886599431</v>
      </c>
      <c r="S388" s="38">
        <f>-Valuation!R36</f>
        <v>700.6996095101764</v>
      </c>
    </row>
    <row r="389" spans="2:19" outlineLevel="1">
      <c r="B389" s="1431" t="s">
        <v>343</v>
      </c>
      <c r="C389" s="1457" t="s">
        <v>59</v>
      </c>
      <c r="D389" s="633"/>
      <c r="E389" s="633"/>
      <c r="F389" s="633"/>
      <c r="G389" s="1458"/>
      <c r="H389" s="1458"/>
      <c r="I389" s="379"/>
      <c r="J389" s="1459">
        <f>+J385-J386+J387-J388</f>
        <v>916.47002956999859</v>
      </c>
      <c r="K389" s="1459">
        <f>+K385-K386+K387-K388</f>
        <v>3059.3787811400025</v>
      </c>
      <c r="L389" s="1459">
        <f t="shared" ref="L389:S389" si="179">+L385-L386+L387-L388</f>
        <v>494.13182032999828</v>
      </c>
      <c r="M389" s="1459">
        <f t="shared" si="179"/>
        <v>1588.9313864511905</v>
      </c>
      <c r="N389" s="1459">
        <f>+N385-N386+N387-N388</f>
        <v>4461.5779379970045</v>
      </c>
      <c r="O389" s="1459">
        <f t="shared" ca="1" si="179"/>
        <v>4513.6540454970964</v>
      </c>
      <c r="P389" s="1459">
        <f t="shared" ca="1" si="179"/>
        <v>5374.4399430964495</v>
      </c>
      <c r="Q389" s="1459">
        <f t="shared" ca="1" si="179"/>
        <v>5477.4704673320603</v>
      </c>
      <c r="R389" s="1459">
        <f t="shared" ca="1" si="179"/>
        <v>6255.9382268154741</v>
      </c>
      <c r="S389" s="1459">
        <f t="shared" ca="1" si="179"/>
        <v>6458.9924655711447</v>
      </c>
    </row>
    <row r="390" spans="2:19" outlineLevel="1">
      <c r="B390" s="17"/>
    </row>
    <row r="391" spans="2:19" outlineLevel="1">
      <c r="B391" s="185" t="s">
        <v>344</v>
      </c>
      <c r="C391" s="307"/>
    </row>
    <row r="392" spans="2:19" outlineLevel="1">
      <c r="B392" s="17" t="s">
        <v>345</v>
      </c>
      <c r="C392" s="51" t="s">
        <v>59</v>
      </c>
      <c r="D392" s="134"/>
      <c r="E392" s="134"/>
      <c r="F392" s="134"/>
      <c r="G392" s="1274"/>
      <c r="H392" s="1274"/>
      <c r="I392" s="1460"/>
      <c r="J392" s="48">
        <f t="shared" ref="J392:P392" si="180">+IF(J389&lt;0,-J389,0)</f>
        <v>0</v>
      </c>
      <c r="K392" s="48">
        <f t="shared" si="180"/>
        <v>0</v>
      </c>
      <c r="L392" s="48">
        <f t="shared" si="180"/>
        <v>0</v>
      </c>
      <c r="M392" s="48">
        <f t="shared" si="180"/>
        <v>0</v>
      </c>
      <c r="N392" s="48">
        <f t="shared" si="180"/>
        <v>0</v>
      </c>
      <c r="O392" s="48">
        <f t="shared" ca="1" si="180"/>
        <v>0</v>
      </c>
      <c r="P392" s="48">
        <f t="shared" ca="1" si="180"/>
        <v>0</v>
      </c>
      <c r="Q392" s="48">
        <f ca="1">+IF(Q389&lt;0,-Q389,0)</f>
        <v>0</v>
      </c>
      <c r="R392" s="48">
        <f ca="1">+IF(R389&lt;0,-R389,0)</f>
        <v>0</v>
      </c>
      <c r="S392" s="48">
        <f ca="1">+IF(S389&lt;0,-S389,0)</f>
        <v>0</v>
      </c>
    </row>
    <row r="393" spans="2:19" outlineLevel="1">
      <c r="B393" s="17" t="s">
        <v>346</v>
      </c>
      <c r="C393" s="18" t="s">
        <v>59</v>
      </c>
      <c r="D393" s="134"/>
      <c r="E393" s="134"/>
      <c r="F393" s="134"/>
      <c r="G393" s="134"/>
      <c r="H393" s="134"/>
      <c r="I393" s="306"/>
      <c r="J393" s="16">
        <f t="shared" ref="J393:S393" si="181">+(I393-I394)+J392</f>
        <v>0</v>
      </c>
      <c r="K393" s="16">
        <f t="shared" si="181"/>
        <v>0</v>
      </c>
      <c r="L393" s="16">
        <f t="shared" si="181"/>
        <v>0</v>
      </c>
      <c r="M393" s="16">
        <f t="shared" si="181"/>
        <v>0</v>
      </c>
      <c r="N393" s="16">
        <f t="shared" si="181"/>
        <v>0</v>
      </c>
      <c r="O393" s="16">
        <f t="shared" ca="1" si="181"/>
        <v>0</v>
      </c>
      <c r="P393" s="16">
        <f t="shared" ca="1" si="181"/>
        <v>0</v>
      </c>
      <c r="Q393" s="16">
        <f t="shared" ca="1" si="181"/>
        <v>0</v>
      </c>
      <c r="R393" s="16">
        <f t="shared" ca="1" si="181"/>
        <v>0</v>
      </c>
      <c r="S393" s="16">
        <f t="shared" ca="1" si="181"/>
        <v>0</v>
      </c>
    </row>
    <row r="394" spans="2:19" outlineLevel="1">
      <c r="B394" s="17" t="s">
        <v>347</v>
      </c>
      <c r="C394" s="18" t="s">
        <v>59</v>
      </c>
      <c r="D394" s="134"/>
      <c r="E394" s="134"/>
      <c r="F394" s="134"/>
      <c r="G394" s="134"/>
      <c r="H394" s="134"/>
      <c r="I394" s="306"/>
      <c r="J394" s="16">
        <f t="shared" ref="J394:P394" si="182">IF(AND(J393&gt;0,J389&gt;0),MIN(J393,J389),0)</f>
        <v>0</v>
      </c>
      <c r="K394" s="16">
        <f t="shared" si="182"/>
        <v>0</v>
      </c>
      <c r="L394" s="16">
        <f t="shared" si="182"/>
        <v>0</v>
      </c>
      <c r="M394" s="16">
        <f t="shared" si="182"/>
        <v>0</v>
      </c>
      <c r="N394" s="16">
        <f t="shared" si="182"/>
        <v>0</v>
      </c>
      <c r="O394" s="16">
        <f t="shared" ca="1" si="182"/>
        <v>0</v>
      </c>
      <c r="P394" s="16">
        <f t="shared" ca="1" si="182"/>
        <v>0</v>
      </c>
      <c r="Q394" s="16">
        <f ca="1">IF(AND(Q393&gt;0,Q389&gt;0),MIN(Q393,Q389),0)</f>
        <v>0</v>
      </c>
      <c r="R394" s="16">
        <f ca="1">IF(AND(R393&gt;0,R389&gt;0),MIN(R393,R389),0)</f>
        <v>0</v>
      </c>
      <c r="S394" s="16">
        <f ca="1">IF(AND(S393&gt;0,S389&gt;0),MIN(S393,S389),0)</f>
        <v>0</v>
      </c>
    </row>
    <row r="395" spans="2:19" outlineLevel="1">
      <c r="B395" s="308" t="s">
        <v>105</v>
      </c>
      <c r="C395" s="1457" t="s">
        <v>59</v>
      </c>
      <c r="D395" s="195"/>
      <c r="E395" s="195"/>
      <c r="F395" s="195"/>
      <c r="G395" s="195"/>
      <c r="H395" s="195"/>
      <c r="I395" s="252"/>
      <c r="J395" s="1459">
        <f t="shared" ref="J395:Q395" si="183">MAX(0,MAX((J389-J394)*J375),-J383,0)</f>
        <v>0</v>
      </c>
      <c r="K395" s="1459">
        <f>MAX(0,MAX((K389-K394)*K375),-K383,0)</f>
        <v>1009.5949977762009</v>
      </c>
      <c r="L395" s="1459">
        <f>MAX(0,MAX((L389-L394)*L375),-L383,0)</f>
        <v>158.12218250559945</v>
      </c>
      <c r="M395" s="1459">
        <f>MAX(0,MAX((M389-M394)*M375),-M383,0)</f>
        <v>492.56872979986906</v>
      </c>
      <c r="N395" s="1459">
        <f t="shared" si="183"/>
        <v>1561.5522782989515</v>
      </c>
      <c r="O395" s="1459">
        <f t="shared" ca="1" si="183"/>
        <v>1579.7789159239837</v>
      </c>
      <c r="P395" s="1459">
        <f t="shared" ca="1" si="183"/>
        <v>1881.0539800837571</v>
      </c>
      <c r="Q395" s="1459">
        <f t="shared" ca="1" si="183"/>
        <v>1917.114663566221</v>
      </c>
      <c r="R395" s="1459">
        <f ca="1">MAX(0,MAX((R389-R394)*R375),-R383,0)</f>
        <v>2189.5783793854157</v>
      </c>
      <c r="S395" s="1459">
        <f ca="1">MAX(0,MAX((S389-S394)*S375),-S383,0)</f>
        <v>2260.6473629499005</v>
      </c>
    </row>
    <row r="396" spans="2:19" outlineLevel="1"/>
    <row r="397" spans="2:19" outlineLevel="1">
      <c r="B397" s="47" t="s">
        <v>334</v>
      </c>
      <c r="C397" s="51" t="s">
        <v>59</v>
      </c>
      <c r="D397" s="134"/>
      <c r="E397" s="134"/>
      <c r="F397" s="39"/>
      <c r="G397" s="1271"/>
      <c r="H397" s="1271"/>
      <c r="I397" s="1454"/>
      <c r="J397" s="48">
        <f t="shared" ref="J397:P397" si="184">+-MAX(J389*J376,0)</f>
        <v>0</v>
      </c>
      <c r="K397" s="48">
        <f t="shared" si="184"/>
        <v>0</v>
      </c>
      <c r="L397" s="48">
        <f t="shared" si="184"/>
        <v>0</v>
      </c>
      <c r="M397" s="48">
        <f t="shared" si="184"/>
        <v>0</v>
      </c>
      <c r="N397" s="48">
        <f t="shared" si="184"/>
        <v>0</v>
      </c>
      <c r="O397" s="48">
        <f t="shared" ca="1" si="184"/>
        <v>0</v>
      </c>
      <c r="P397" s="48">
        <f t="shared" ca="1" si="184"/>
        <v>0</v>
      </c>
      <c r="Q397" s="48">
        <f ca="1">+-MAX(Q389*Q376,0)</f>
        <v>0</v>
      </c>
      <c r="R397" s="48">
        <f ca="1">+-MAX(R389*R376,0)</f>
        <v>0</v>
      </c>
      <c r="S397" s="48">
        <f ca="1">+-MAX(S389*S376,0)</f>
        <v>0</v>
      </c>
    </row>
    <row r="398" spans="2:19" outlineLevel="1">
      <c r="B398" s="17" t="s">
        <v>335</v>
      </c>
      <c r="C398" s="18" t="s">
        <v>59</v>
      </c>
      <c r="D398" s="134"/>
      <c r="E398" s="134"/>
      <c r="F398" s="39"/>
      <c r="G398" s="39"/>
      <c r="H398" s="39"/>
      <c r="I398" s="167"/>
      <c r="J398" s="16">
        <f>-+MAX((J389-800)*J377,0)</f>
        <v>0</v>
      </c>
      <c r="K398" s="16">
        <f t="shared" ref="K398:S398" si="185">-+MAX((K389-800)*K377,0)</f>
        <v>-90.375151245600108</v>
      </c>
      <c r="L398" s="16">
        <f t="shared" si="185"/>
        <v>0</v>
      </c>
      <c r="M398" s="16">
        <f t="shared" si="185"/>
        <v>0</v>
      </c>
      <c r="N398" s="16">
        <f t="shared" si="185"/>
        <v>0</v>
      </c>
      <c r="O398" s="16">
        <f t="shared" ca="1" si="185"/>
        <v>0</v>
      </c>
      <c r="P398" s="16">
        <f t="shared" ca="1" si="185"/>
        <v>0</v>
      </c>
      <c r="Q398" s="16">
        <f t="shared" ca="1" si="185"/>
        <v>0</v>
      </c>
      <c r="R398" s="16">
        <f t="shared" ca="1" si="185"/>
        <v>0</v>
      </c>
      <c r="S398" s="16">
        <f t="shared" ca="1" si="185"/>
        <v>0</v>
      </c>
    </row>
    <row r="399" spans="2:19" outlineLevel="1">
      <c r="B399" s="186" t="s">
        <v>105</v>
      </c>
      <c r="C399" s="191" t="s">
        <v>59</v>
      </c>
      <c r="D399" s="195"/>
      <c r="E399" s="195"/>
      <c r="F399" s="271"/>
      <c r="G399" s="271"/>
      <c r="H399" s="271"/>
      <c r="I399" s="305"/>
      <c r="J399" s="187">
        <f t="shared" ref="J399:P399" si="186">+-J395</f>
        <v>0</v>
      </c>
      <c r="K399" s="187">
        <f>+-K395</f>
        <v>-1009.5949977762009</v>
      </c>
      <c r="L399" s="187">
        <f t="shared" si="186"/>
        <v>-158.12218250559945</v>
      </c>
      <c r="M399" s="187">
        <f>+-M395</f>
        <v>-492.56872979986906</v>
      </c>
      <c r="N399" s="187">
        <f t="shared" si="186"/>
        <v>-1561.5522782989515</v>
      </c>
      <c r="O399" s="187">
        <f t="shared" ca="1" si="186"/>
        <v>-1579.7789159239837</v>
      </c>
      <c r="P399" s="187">
        <f t="shared" ca="1" si="186"/>
        <v>-1881.0539800837571</v>
      </c>
      <c r="Q399" s="187">
        <f ca="1">+-Q395</f>
        <v>-1917.114663566221</v>
      </c>
      <c r="R399" s="187">
        <f ca="1">+-R395</f>
        <v>-2189.5783793854157</v>
      </c>
      <c r="S399" s="187">
        <f ca="1">+-S395</f>
        <v>-2260.6473629499005</v>
      </c>
    </row>
    <row r="400" spans="2:19" outlineLevel="1">
      <c r="B400" s="1431" t="s">
        <v>348</v>
      </c>
      <c r="C400" s="1457" t="s">
        <v>59</v>
      </c>
      <c r="D400" s="195"/>
      <c r="E400" s="195"/>
      <c r="F400" s="303"/>
      <c r="G400" s="1461"/>
      <c r="H400" s="1461"/>
      <c r="I400" s="1462"/>
      <c r="J400" s="1459">
        <f t="shared" ref="J400:Q400" si="187">+SUM(J397:J399)</f>
        <v>0</v>
      </c>
      <c r="K400" s="1459">
        <f t="shared" si="187"/>
        <v>-1099.970149021801</v>
      </c>
      <c r="L400" s="1459">
        <f t="shared" si="187"/>
        <v>-158.12218250559945</v>
      </c>
      <c r="M400" s="1459">
        <f>+SUM(M397:M399)</f>
        <v>-492.56872979986906</v>
      </c>
      <c r="N400" s="1459">
        <f t="shared" si="187"/>
        <v>-1561.5522782989515</v>
      </c>
      <c r="O400" s="1459">
        <f t="shared" ca="1" si="187"/>
        <v>-1579.7789159239837</v>
      </c>
      <c r="P400" s="1459">
        <f t="shared" ca="1" si="187"/>
        <v>-1881.0539800837571</v>
      </c>
      <c r="Q400" s="1459">
        <f t="shared" ca="1" si="187"/>
        <v>-1917.114663566221</v>
      </c>
      <c r="R400" s="1459">
        <f ca="1">+SUM(R397:R399)</f>
        <v>-2189.5783793854157</v>
      </c>
      <c r="S400" s="1459">
        <f ca="1">+SUM(S397:S399)</f>
        <v>-2260.6473629499005</v>
      </c>
    </row>
    <row r="401" spans="1:19" outlineLevel="1">
      <c r="B401" s="329" t="s">
        <v>349</v>
      </c>
      <c r="C401" s="330" t="s">
        <v>35</v>
      </c>
      <c r="D401" s="195"/>
      <c r="E401" s="195"/>
      <c r="F401" s="303"/>
      <c r="G401" s="1461"/>
      <c r="H401" s="1461"/>
      <c r="I401" s="1462"/>
      <c r="J401" s="485">
        <f>-J400/J389</f>
        <v>0</v>
      </c>
      <c r="K401" s="485">
        <f t="shared" ref="K401:S401" si="188">-K400/K389</f>
        <v>0.3595403602204249</v>
      </c>
      <c r="L401" s="485">
        <f t="shared" si="188"/>
        <v>0.32</v>
      </c>
      <c r="M401" s="485">
        <f t="shared" si="188"/>
        <v>0.31</v>
      </c>
      <c r="N401" s="485">
        <f>-N400/N389</f>
        <v>0.35</v>
      </c>
      <c r="O401" s="485">
        <f ca="1">-O400/O389</f>
        <v>0.35</v>
      </c>
      <c r="P401" s="485">
        <f t="shared" ca="1" si="188"/>
        <v>0.35</v>
      </c>
      <c r="Q401" s="485">
        <f t="shared" ca="1" si="188"/>
        <v>0.35</v>
      </c>
      <c r="R401" s="485">
        <f t="shared" ca="1" si="188"/>
        <v>0.35</v>
      </c>
      <c r="S401" s="485">
        <f t="shared" ca="1" si="188"/>
        <v>0.35</v>
      </c>
    </row>
    <row r="402" spans="1:19"/>
    <row r="403" spans="1:19">
      <c r="A403" t="s">
        <v>352</v>
      </c>
    </row>
    <row r="404" spans="1:19"/>
    <row r="405" spans="1:19"/>
    <row r="406" spans="1:19"/>
    <row r="407" spans="1:19"/>
    <row r="408" spans="1:19"/>
    <row r="409" spans="1:19"/>
    <row r="410" spans="1:19"/>
    <row r="411" spans="1:19"/>
  </sheetData>
  <mergeCells count="1">
    <mergeCell ref="K1:L1"/>
  </mergeCells>
  <conditionalFormatting sqref="O2">
    <cfRule type="cellIs" dxfId="2" priority="2" operator="lessThan">
      <formula>1</formula>
    </cfRule>
  </conditionalFormatting>
  <conditionalFormatting sqref="T3 V3:DP3">
    <cfRule type="cellIs" dxfId="1" priority="3" operator="lessThan">
      <formula>1</formula>
    </cfRule>
  </conditionalFormatting>
  <pageMargins left="0.7" right="0.7" top="0.75" bottom="0.75" header="0.3" footer="0.3"/>
  <pageSetup orientation="portrait" r:id="rId1"/>
  <ignoredErrors>
    <ignoredError sqref="E46 S13"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theme="1"/>
    <pageSetUpPr fitToPage="1"/>
  </sheetPr>
  <dimension ref="A1:W75"/>
  <sheetViews>
    <sheetView showGridLines="0" zoomScaleNormal="100" workbookViewId="0">
      <pane xSplit="3" ySplit="3" topLeftCell="D4" activePane="bottomRight" state="frozen"/>
      <selection pane="topRight" activeCell="G27" sqref="G27"/>
      <selection pane="bottomLeft" activeCell="G27" sqref="G27"/>
      <selection pane="bottomRight" activeCell="D4" sqref="D4"/>
    </sheetView>
  </sheetViews>
  <sheetFormatPr baseColWidth="10" defaultColWidth="8.81640625" defaultRowHeight="14.5" outlineLevelRow="1"/>
  <cols>
    <col min="1" max="1" width="1.7265625" style="130" customWidth="1"/>
    <col min="2" max="2" width="30.7265625" customWidth="1"/>
    <col min="4" max="7" width="12.7265625" customWidth="1"/>
    <col min="8" max="16" width="10.7265625" customWidth="1"/>
    <col min="17" max="18" width="10.453125" bestFit="1" customWidth="1"/>
    <col min="22" max="22" width="2.7265625" customWidth="1"/>
  </cols>
  <sheetData>
    <row r="1" spans="1:20" ht="18">
      <c r="B1" s="12" t="s">
        <v>58</v>
      </c>
      <c r="J1" s="28"/>
      <c r="K1" s="866" t="str">
        <f>+Cover!D38</f>
        <v>Base</v>
      </c>
      <c r="L1" s="866"/>
    </row>
    <row r="2" spans="1:20">
      <c r="J2" s="28"/>
      <c r="K2" s="108"/>
      <c r="L2" s="108"/>
      <c r="M2" s="108"/>
      <c r="N2" s="108"/>
      <c r="O2" s="1160"/>
      <c r="P2" s="108"/>
      <c r="Q2" s="108"/>
      <c r="R2" s="108"/>
      <c r="S2" s="108"/>
    </row>
    <row r="3" spans="1:20">
      <c r="A3" s="471" t="s">
        <v>353</v>
      </c>
      <c r="B3" s="471"/>
      <c r="C3" s="471"/>
      <c r="D3" s="471">
        <v>2012</v>
      </c>
      <c r="E3" s="471">
        <v>2013</v>
      </c>
      <c r="F3" s="471">
        <v>2014</v>
      </c>
      <c r="G3" s="471">
        <v>2015</v>
      </c>
      <c r="H3" s="471">
        <v>2016</v>
      </c>
      <c r="I3" s="471">
        <v>2017</v>
      </c>
      <c r="J3" s="471">
        <v>2018</v>
      </c>
      <c r="K3" s="471">
        <v>2019</v>
      </c>
      <c r="L3" s="471">
        <v>2020</v>
      </c>
      <c r="M3" s="471">
        <v>2021</v>
      </c>
      <c r="N3" s="471">
        <v>2022</v>
      </c>
      <c r="O3" s="470">
        <v>2023</v>
      </c>
      <c r="P3" s="470">
        <v>2024</v>
      </c>
      <c r="Q3" s="470">
        <v>2025</v>
      </c>
      <c r="R3" s="470">
        <v>2026</v>
      </c>
      <c r="S3" s="470">
        <v>2027</v>
      </c>
    </row>
    <row r="4" spans="1:20">
      <c r="B4" s="70"/>
      <c r="D4" s="73"/>
      <c r="E4" s="73"/>
      <c r="F4" s="73"/>
      <c r="G4" s="73"/>
      <c r="H4" s="73"/>
      <c r="I4" s="73"/>
      <c r="J4" s="73"/>
      <c r="K4" s="73"/>
      <c r="L4" s="73"/>
    </row>
    <row r="5" spans="1:20">
      <c r="A5"/>
      <c r="B5" s="25" t="s">
        <v>354</v>
      </c>
      <c r="C5" s="17"/>
      <c r="D5" s="17"/>
      <c r="E5" s="17"/>
      <c r="F5" s="17"/>
      <c r="G5" s="17"/>
      <c r="H5" s="17"/>
      <c r="I5" s="17"/>
      <c r="J5" s="17"/>
      <c r="K5" s="17"/>
      <c r="L5" s="17"/>
    </row>
    <row r="6" spans="1:20">
      <c r="A6"/>
      <c r="B6" s="47" t="s">
        <v>12</v>
      </c>
      <c r="C6" s="51" t="s">
        <v>35</v>
      </c>
      <c r="D6" s="1330"/>
      <c r="E6" s="1330"/>
      <c r="F6" s="347"/>
      <c r="G6" s="347"/>
      <c r="H6" s="347"/>
      <c r="I6" s="347"/>
      <c r="J6" s="347"/>
      <c r="K6" s="347"/>
      <c r="L6" s="347"/>
      <c r="M6" s="347"/>
      <c r="N6" s="347"/>
      <c r="O6" s="1463"/>
      <c r="P6" s="135"/>
      <c r="Q6" s="135"/>
      <c r="R6" s="135"/>
      <c r="S6" s="135"/>
    </row>
    <row r="7" spans="1:20">
      <c r="A7"/>
      <c r="B7" s="17" t="s">
        <v>7</v>
      </c>
      <c r="C7" s="18" t="s">
        <v>35</v>
      </c>
      <c r="D7" s="253"/>
      <c r="E7" s="253"/>
      <c r="F7" s="254"/>
      <c r="G7" s="254"/>
      <c r="H7" s="254"/>
      <c r="I7" s="254"/>
      <c r="J7" s="254"/>
      <c r="K7" s="254"/>
      <c r="L7" s="254"/>
      <c r="M7" s="254"/>
      <c r="N7" s="254"/>
      <c r="O7" s="624"/>
      <c r="P7" s="46">
        <v>1.4999999999999999E-2</v>
      </c>
      <c r="Q7" s="46">
        <v>1.4999999999999999E-2</v>
      </c>
      <c r="R7" s="46">
        <v>1.4999999999999999E-2</v>
      </c>
      <c r="S7" s="46">
        <v>1.4999999999999999E-2</v>
      </c>
    </row>
    <row r="8" spans="1:20">
      <c r="A8"/>
      <c r="B8" s="17" t="s">
        <v>16</v>
      </c>
      <c r="C8" s="18" t="s">
        <v>35</v>
      </c>
      <c r="D8" s="253"/>
      <c r="E8" s="253"/>
      <c r="F8" s="254"/>
      <c r="G8" s="254"/>
      <c r="H8" s="254"/>
      <c r="I8" s="254"/>
      <c r="J8" s="254"/>
      <c r="K8" s="254"/>
      <c r="L8" s="254"/>
      <c r="M8" s="254"/>
      <c r="N8" s="254"/>
      <c r="O8" s="624"/>
      <c r="P8" s="111"/>
      <c r="Q8" s="111"/>
      <c r="R8" s="111"/>
      <c r="S8" s="111"/>
    </row>
    <row r="9" spans="1:20">
      <c r="A9"/>
      <c r="B9" s="185" t="s">
        <v>17</v>
      </c>
      <c r="C9" s="192" t="s">
        <v>35</v>
      </c>
      <c r="D9" s="188"/>
      <c r="E9" s="188"/>
      <c r="F9" s="255"/>
      <c r="G9" s="255"/>
      <c r="H9" s="255"/>
      <c r="I9" s="255"/>
      <c r="J9" s="255"/>
      <c r="K9" s="255"/>
      <c r="L9" s="255"/>
      <c r="M9" s="255"/>
      <c r="N9" s="255"/>
      <c r="O9" s="625"/>
      <c r="P9" s="280">
        <f>+INDEX(P6:P8,Cover!$C$43)</f>
        <v>1.4999999999999999E-2</v>
      </c>
      <c r="Q9" s="280">
        <f>+INDEX(Q6:Q8,Cover!$C$43)</f>
        <v>1.4999999999999999E-2</v>
      </c>
      <c r="R9" s="280">
        <v>0.01</v>
      </c>
      <c r="S9" s="280">
        <v>0.01</v>
      </c>
    </row>
    <row r="10" spans="1:20">
      <c r="A10"/>
    </row>
    <row r="11" spans="1:20">
      <c r="A11"/>
      <c r="B11" s="47" t="s">
        <v>355</v>
      </c>
      <c r="C11" s="51" t="s">
        <v>199</v>
      </c>
      <c r="D11" s="1331">
        <f>D14/Drivers!D11*1000000</f>
        <v>2643.404919350548</v>
      </c>
      <c r="E11" s="1331">
        <f>E14/Drivers!E11*1000000</f>
        <v>3221.6016245562528</v>
      </c>
      <c r="F11" s="1331">
        <f>F14/Drivers!F11*1000000</f>
        <v>3354.5453477379633</v>
      </c>
      <c r="G11" s="1331">
        <f>G14/Drivers!G11*1000000</f>
        <v>1990.328655038827</v>
      </c>
      <c r="H11" s="1331">
        <f>H14/Drivers!H11*1000000</f>
        <v>1554.2910488197867</v>
      </c>
      <c r="I11" s="1331">
        <f>I14/Drivers!I11*1000000</f>
        <v>1520.7921819490671</v>
      </c>
      <c r="J11" s="1331">
        <f>J14/Drivers!J11*1000000</f>
        <v>1395.9205810555015</v>
      </c>
      <c r="K11" s="1331">
        <f>K14/Drivers!K11*1000000</f>
        <v>1277.308267449702</v>
      </c>
      <c r="L11" s="1331">
        <f>L14/Drivers!L11*1000000</f>
        <v>1468.1856215660757</v>
      </c>
      <c r="M11" s="1331">
        <f>M14/Drivers!M11*1000000</f>
        <v>1369.4435912937211</v>
      </c>
      <c r="N11" s="1464">
        <f>N14/Drivers!N11*1000000</f>
        <v>1392.0643648187722</v>
      </c>
      <c r="O11" s="1465">
        <v>1520</v>
      </c>
      <c r="P11" s="1331">
        <f>O11*(1+P12)</f>
        <v>1542.8</v>
      </c>
      <c r="Q11" s="1331">
        <f>P11*(1+Q12)</f>
        <v>1565.9419999999998</v>
      </c>
      <c r="R11" s="1331">
        <f>Q11*(1+R12)</f>
        <v>1581.6014199999997</v>
      </c>
      <c r="S11" s="1331">
        <f>R11*(1+S12)</f>
        <v>1597.4174341999997</v>
      </c>
    </row>
    <row r="12" spans="1:20">
      <c r="A12"/>
      <c r="B12" s="186" t="s">
        <v>356</v>
      </c>
      <c r="C12" s="191" t="s">
        <v>35</v>
      </c>
      <c r="D12" s="231"/>
      <c r="E12" s="231">
        <f t="shared" ref="E12:L12" si="0">+E11/D11-1</f>
        <v>0.21873179586416169</v>
      </c>
      <c r="F12" s="231">
        <f t="shared" si="0"/>
        <v>4.1266344717597603E-2</v>
      </c>
      <c r="G12" s="231">
        <f t="shared" si="0"/>
        <v>-0.40667707581268941</v>
      </c>
      <c r="H12" s="239">
        <f t="shared" si="0"/>
        <v>-0.21907819350092916</v>
      </c>
      <c r="I12" s="239">
        <f t="shared" si="0"/>
        <v>-2.155250581682E-2</v>
      </c>
      <c r="J12" s="239">
        <f t="shared" si="0"/>
        <v>-8.2109575769602205E-2</v>
      </c>
      <c r="K12" s="231">
        <f t="shared" si="0"/>
        <v>-8.4970674704224813E-2</v>
      </c>
      <c r="L12" s="231">
        <f t="shared" si="0"/>
        <v>0.14943718676266227</v>
      </c>
      <c r="M12" s="231">
        <f t="shared" ref="M12:O12" si="1">+M11/L11-1</f>
        <v>-6.7254459396645649E-2</v>
      </c>
      <c r="N12" s="371">
        <f t="shared" si="1"/>
        <v>1.6518222195396337E-2</v>
      </c>
      <c r="O12" s="231">
        <f t="shared" si="1"/>
        <v>9.1903534358401151E-2</v>
      </c>
      <c r="P12" s="231">
        <f>P9</f>
        <v>1.4999999999999999E-2</v>
      </c>
      <c r="Q12" s="231">
        <f>Q9</f>
        <v>1.4999999999999999E-2</v>
      </c>
      <c r="R12" s="231">
        <f>R9</f>
        <v>0.01</v>
      </c>
      <c r="S12" s="231">
        <f>S9</f>
        <v>0.01</v>
      </c>
    </row>
    <row r="13" spans="1:20">
      <c r="A13"/>
      <c r="B13" s="17"/>
      <c r="C13" s="18"/>
      <c r="D13" s="69"/>
      <c r="E13" s="69"/>
      <c r="F13" s="69"/>
      <c r="G13" s="214"/>
      <c r="H13" s="69"/>
      <c r="I13" s="69"/>
      <c r="J13" s="69"/>
      <c r="K13" s="69"/>
      <c r="L13" s="69"/>
    </row>
    <row r="14" spans="1:20">
      <c r="A14"/>
      <c r="B14" s="153" t="s">
        <v>357</v>
      </c>
      <c r="C14" s="154" t="s">
        <v>59</v>
      </c>
      <c r="D14" s="1332">
        <v>4.752275735211609</v>
      </c>
      <c r="E14" s="1332">
        <f t="shared" ref="E14:N14" si="2">IFERROR(E59/E50,"na")</f>
        <v>6.021492065935762</v>
      </c>
      <c r="F14" s="1332">
        <f t="shared" si="2"/>
        <v>6.7101870344198495</v>
      </c>
      <c r="G14" s="1332">
        <f t="shared" si="2"/>
        <v>5.4602412399302587</v>
      </c>
      <c r="H14" s="1332">
        <f t="shared" si="2"/>
        <v>4.7421075917046487</v>
      </c>
      <c r="I14" s="1332">
        <f t="shared" si="2"/>
        <v>4.4883484239872304</v>
      </c>
      <c r="J14" s="1332">
        <f t="shared" si="2"/>
        <v>4.1269418658939152</v>
      </c>
      <c r="K14" s="1332">
        <f t="shared" si="2"/>
        <v>4.1909661828263127</v>
      </c>
      <c r="L14" s="1332">
        <f t="shared" si="2"/>
        <v>5.4225393309268517</v>
      </c>
      <c r="M14" s="1332">
        <f t="shared" si="2"/>
        <v>5.1259473479823914</v>
      </c>
      <c r="N14" s="1466">
        <f t="shared" si="2"/>
        <v>5.923846189930642</v>
      </c>
      <c r="O14" s="1333">
        <f>O11*Drivers!O11/1000000</f>
        <v>7.4707999999999997</v>
      </c>
      <c r="P14" s="1333">
        <f>P11*Drivers!P11/1000000</f>
        <v>7.3020723999999992</v>
      </c>
      <c r="Q14" s="1333">
        <f>Q11*Drivers!Q11/1000000</f>
        <v>7.218992619999999</v>
      </c>
      <c r="R14" s="1333">
        <f>R11*Drivers!R11/1000000</f>
        <v>7.6834196983599989</v>
      </c>
      <c r="S14" s="1333">
        <f>S11*Drivers!S11/1000000</f>
        <v>7.760253895343598</v>
      </c>
      <c r="T14" s="286"/>
    </row>
    <row r="15" spans="1:20">
      <c r="A15"/>
      <c r="B15" s="186" t="s">
        <v>356</v>
      </c>
      <c r="C15" s="191" t="s">
        <v>35</v>
      </c>
      <c r="D15" s="231"/>
      <c r="E15" s="231">
        <f>+E14/D14-1</f>
        <v>0.26707548160978867</v>
      </c>
      <c r="F15" s="231">
        <f>+F14/E14-1</f>
        <v>0.11437281008474787</v>
      </c>
      <c r="G15" s="239">
        <f t="shared" ref="G15:L15" si="3">+G14/F14-1</f>
        <v>-0.18627585014814108</v>
      </c>
      <c r="H15" s="238">
        <f t="shared" si="3"/>
        <v>-0.13152049821058498</v>
      </c>
      <c r="I15" s="239">
        <f t="shared" si="3"/>
        <v>-5.3511895883872063E-2</v>
      </c>
      <c r="J15" s="239">
        <f t="shared" si="3"/>
        <v>-8.0521056734775387E-2</v>
      </c>
      <c r="K15" s="231">
        <f t="shared" si="3"/>
        <v>1.5513743351102338E-2</v>
      </c>
      <c r="L15" s="231">
        <f t="shared" si="3"/>
        <v>0.29386377612572101</v>
      </c>
      <c r="M15" s="231">
        <f t="shared" ref="M15:S15" si="4">+M14/L14-1</f>
        <v>-5.4696142313414131E-2</v>
      </c>
      <c r="N15" s="1240">
        <f t="shared" si="4"/>
        <v>0.15565880563761736</v>
      </c>
      <c r="O15" s="231">
        <f t="shared" si="4"/>
        <v>0.26114010399170562</v>
      </c>
      <c r="P15" s="231">
        <f t="shared" si="4"/>
        <v>-2.2584944048830158E-2</v>
      </c>
      <c r="Q15" s="231">
        <f t="shared" si="4"/>
        <v>-1.1377561800126834E-2</v>
      </c>
      <c r="R15" s="231">
        <f t="shared" si="4"/>
        <v>6.4334056399132367E-2</v>
      </c>
      <c r="S15" s="231">
        <f t="shared" si="4"/>
        <v>9.9999999999997868E-3</v>
      </c>
    </row>
    <row r="16" spans="1:20">
      <c r="A16"/>
      <c r="B16" s="17"/>
      <c r="C16" s="18"/>
      <c r="D16" s="69"/>
      <c r="E16" s="69"/>
      <c r="F16" s="69"/>
      <c r="G16" s="69"/>
      <c r="H16" s="69"/>
      <c r="I16" s="69"/>
      <c r="J16" s="69"/>
      <c r="K16" s="69"/>
      <c r="L16" s="69"/>
    </row>
    <row r="17" spans="1:19">
      <c r="A17" s="471" t="s">
        <v>358</v>
      </c>
      <c r="B17" s="471"/>
      <c r="C17" s="471"/>
      <c r="D17" s="471">
        <v>2012</v>
      </c>
      <c r="E17" s="471">
        <v>2013</v>
      </c>
      <c r="F17" s="471">
        <v>2014</v>
      </c>
      <c r="G17" s="471">
        <v>2015</v>
      </c>
      <c r="H17" s="471">
        <v>2016</v>
      </c>
      <c r="I17" s="471">
        <v>2017</v>
      </c>
      <c r="J17" s="471">
        <v>2018</v>
      </c>
      <c r="K17" s="471">
        <v>2019</v>
      </c>
      <c r="L17" s="471">
        <v>2020</v>
      </c>
      <c r="M17" s="471">
        <v>2021</v>
      </c>
      <c r="N17" s="471">
        <v>2022</v>
      </c>
      <c r="O17" s="470">
        <v>2023</v>
      </c>
      <c r="P17" s="470">
        <v>2024</v>
      </c>
      <c r="Q17" s="470">
        <v>2025</v>
      </c>
      <c r="R17" s="470">
        <v>2026</v>
      </c>
      <c r="S17" s="470">
        <v>2027</v>
      </c>
    </row>
    <row r="18" spans="1:19">
      <c r="I18" s="327"/>
      <c r="J18" s="327"/>
      <c r="K18" s="339"/>
      <c r="L18" s="339"/>
      <c r="M18" s="339"/>
      <c r="N18" s="339"/>
      <c r="O18" s="339"/>
      <c r="P18" s="339"/>
      <c r="Q18" s="339"/>
      <c r="R18" s="339"/>
      <c r="S18" s="339"/>
    </row>
    <row r="19" spans="1:19" hidden="1" outlineLevel="1">
      <c r="B19" s="153" t="s">
        <v>359</v>
      </c>
      <c r="C19" s="154" t="s">
        <v>296</v>
      </c>
      <c r="D19" s="1334">
        <f t="shared" ref="D19:R19" si="5">D21+D23</f>
        <v>1110</v>
      </c>
      <c r="E19" s="1334">
        <f t="shared" si="5"/>
        <v>1118</v>
      </c>
      <c r="F19" s="1334">
        <f t="shared" si="5"/>
        <v>1091</v>
      </c>
      <c r="G19" s="341">
        <f t="shared" si="5"/>
        <v>775</v>
      </c>
      <c r="H19" s="341">
        <f t="shared" si="5"/>
        <v>175</v>
      </c>
      <c r="I19" s="341">
        <f t="shared" si="5"/>
        <v>599</v>
      </c>
      <c r="J19" s="1467">
        <f t="shared" si="5"/>
        <v>650</v>
      </c>
      <c r="K19" s="1335">
        <f>+K36/K43</f>
        <v>880.70987654320993</v>
      </c>
      <c r="L19" s="1335">
        <f t="shared" si="5"/>
        <v>926.06537037037049</v>
      </c>
      <c r="M19" s="1334">
        <f t="shared" si="5"/>
        <v>965.22658518518529</v>
      </c>
      <c r="N19" s="1334">
        <f t="shared" si="5"/>
        <v>995.69465074074094</v>
      </c>
      <c r="O19" s="1334">
        <f t="shared" si="5"/>
        <v>1017.9887908555557</v>
      </c>
      <c r="P19" s="1334">
        <f t="shared" si="5"/>
        <v>1039.1816531576669</v>
      </c>
      <c r="Q19" s="1334">
        <f t="shared" si="5"/>
        <v>1059.9652862208202</v>
      </c>
      <c r="R19" s="1334">
        <f t="shared" si="5"/>
        <v>1081.1645919452367</v>
      </c>
      <c r="S19" s="1334">
        <f>S21+S23</f>
        <v>1102.7878837841415</v>
      </c>
    </row>
    <row r="20" spans="1:19" hidden="1" outlineLevel="1">
      <c r="B20" s="217" t="s">
        <v>360</v>
      </c>
      <c r="C20" s="18" t="s">
        <v>35</v>
      </c>
      <c r="D20" s="295"/>
      <c r="E20" s="295">
        <f t="shared" ref="E20:S20" si="6">+E19/D19-1</f>
        <v>7.2072072072071336E-3</v>
      </c>
      <c r="F20" s="295">
        <f t="shared" si="6"/>
        <v>-2.415026833631484E-2</v>
      </c>
      <c r="G20" s="212">
        <f t="shared" si="6"/>
        <v>-0.28964252978918426</v>
      </c>
      <c r="H20" s="616">
        <f t="shared" si="6"/>
        <v>-0.77419354838709675</v>
      </c>
      <c r="I20" s="616">
        <f t="shared" si="6"/>
        <v>2.422857142857143</v>
      </c>
      <c r="J20" s="617">
        <f t="shared" si="6"/>
        <v>8.5141903171953359E-2</v>
      </c>
      <c r="K20" s="295">
        <f t="shared" si="6"/>
        <v>0.35493827160493829</v>
      </c>
      <c r="L20" s="295">
        <f t="shared" si="6"/>
        <v>5.1498790958472096E-2</v>
      </c>
      <c r="M20" s="295">
        <f t="shared" si="6"/>
        <v>4.2287743465833971E-2</v>
      </c>
      <c r="N20" s="295">
        <f t="shared" si="6"/>
        <v>3.1565713194389611E-2</v>
      </c>
      <c r="O20" s="295">
        <f t="shared" si="6"/>
        <v>2.239053920620071E-2</v>
      </c>
      <c r="P20" s="295">
        <f t="shared" si="6"/>
        <v>2.0818365086613388E-2</v>
      </c>
      <c r="Q20" s="295">
        <f t="shared" si="6"/>
        <v>2.0000000000000018E-2</v>
      </c>
      <c r="R20" s="295">
        <f t="shared" si="6"/>
        <v>2.0000000000000018E-2</v>
      </c>
      <c r="S20" s="295">
        <f t="shared" si="6"/>
        <v>2.0000000000000018E-2</v>
      </c>
    </row>
    <row r="21" spans="1:19" hidden="1" outlineLevel="1">
      <c r="B21" s="47" t="s">
        <v>361</v>
      </c>
      <c r="C21" s="51" t="s">
        <v>296</v>
      </c>
      <c r="D21" s="290">
        <v>131</v>
      </c>
      <c r="E21" s="290">
        <v>115</v>
      </c>
      <c r="F21" s="290">
        <v>113</v>
      </c>
      <c r="G21" s="290">
        <v>25</v>
      </c>
      <c r="H21" s="1336">
        <v>25</v>
      </c>
      <c r="I21" s="1336">
        <v>49</v>
      </c>
      <c r="J21" s="1468">
        <v>50</v>
      </c>
      <c r="K21" s="1336">
        <v>66</v>
      </c>
      <c r="L21" s="1337">
        <f t="shared" ref="L21:S21" si="7">K21*(1+L22)</f>
        <v>70.62</v>
      </c>
      <c r="M21" s="1337">
        <f t="shared" si="7"/>
        <v>75.563400000000016</v>
      </c>
      <c r="N21" s="1337">
        <f t="shared" si="7"/>
        <v>79.341570000000019</v>
      </c>
      <c r="O21" s="1337">
        <f t="shared" si="7"/>
        <v>83.308648500000018</v>
      </c>
      <c r="P21" s="1337">
        <f t="shared" si="7"/>
        <v>85.807907955000019</v>
      </c>
      <c r="Q21" s="1337">
        <f t="shared" si="7"/>
        <v>87.524066114100023</v>
      </c>
      <c r="R21" s="1337">
        <f t="shared" si="7"/>
        <v>89.274547436382022</v>
      </c>
      <c r="S21" s="1337">
        <f t="shared" si="7"/>
        <v>91.060038385109664</v>
      </c>
    </row>
    <row r="22" spans="1:19" hidden="1" outlineLevel="1">
      <c r="B22" s="217" t="s">
        <v>360</v>
      </c>
      <c r="C22" s="18" t="s">
        <v>35</v>
      </c>
      <c r="D22" s="295"/>
      <c r="E22" s="295">
        <f t="shared" ref="E22:J22" si="8">+E21/D21-1</f>
        <v>-0.12213740458015265</v>
      </c>
      <c r="F22" s="295">
        <f t="shared" si="8"/>
        <v>-1.7391304347826098E-2</v>
      </c>
      <c r="G22" s="212">
        <f t="shared" si="8"/>
        <v>-0.77876106194690264</v>
      </c>
      <c r="H22" s="616">
        <f t="shared" si="8"/>
        <v>0</v>
      </c>
      <c r="I22" s="616">
        <f t="shared" si="8"/>
        <v>0.96</v>
      </c>
      <c r="J22" s="667">
        <f t="shared" si="8"/>
        <v>2.0408163265306145E-2</v>
      </c>
      <c r="K22" s="620">
        <f>+K21/J21-1</f>
        <v>0.32000000000000006</v>
      </c>
      <c r="L22" s="340">
        <v>7.0000000000000007E-2</v>
      </c>
      <c r="M22" s="340">
        <v>7.0000000000000007E-2</v>
      </c>
      <c r="N22" s="340">
        <v>0.05</v>
      </c>
      <c r="O22" s="340">
        <v>0.05</v>
      </c>
      <c r="P22" s="340">
        <v>0.03</v>
      </c>
      <c r="Q22" s="340">
        <v>0.02</v>
      </c>
      <c r="R22" s="340">
        <v>0.02</v>
      </c>
      <c r="S22" s="340">
        <v>0.02</v>
      </c>
    </row>
    <row r="23" spans="1:19" hidden="1" outlineLevel="1">
      <c r="B23" s="47" t="s">
        <v>362</v>
      </c>
      <c r="C23" s="51" t="s">
        <v>296</v>
      </c>
      <c r="D23" s="290">
        <v>979</v>
      </c>
      <c r="E23" s="290">
        <v>1003</v>
      </c>
      <c r="F23" s="290">
        <v>978</v>
      </c>
      <c r="G23" s="290">
        <v>750</v>
      </c>
      <c r="H23" s="1336">
        <v>150</v>
      </c>
      <c r="I23" s="1336">
        <v>550</v>
      </c>
      <c r="J23" s="1468">
        <v>600</v>
      </c>
      <c r="K23" s="1337">
        <f>+K19-K21</f>
        <v>814.70987654320993</v>
      </c>
      <c r="L23" s="1337">
        <f t="shared" ref="L23:S23" si="9">K23*(1+L24)</f>
        <v>855.44537037037048</v>
      </c>
      <c r="M23" s="1337">
        <f t="shared" si="9"/>
        <v>889.66318518518528</v>
      </c>
      <c r="N23" s="1337">
        <f t="shared" si="9"/>
        <v>916.35308074074089</v>
      </c>
      <c r="O23" s="1337">
        <f t="shared" si="9"/>
        <v>934.68014235555574</v>
      </c>
      <c r="P23" s="1337">
        <f t="shared" si="9"/>
        <v>953.3737452026669</v>
      </c>
      <c r="Q23" s="1337">
        <f t="shared" si="9"/>
        <v>972.44122010672027</v>
      </c>
      <c r="R23" s="1337">
        <f t="shared" si="9"/>
        <v>991.89004450885466</v>
      </c>
      <c r="S23" s="1337">
        <f t="shared" si="9"/>
        <v>1011.7278453990318</v>
      </c>
    </row>
    <row r="24" spans="1:19" hidden="1" outlineLevel="1">
      <c r="B24" s="294" t="s">
        <v>360</v>
      </c>
      <c r="C24" s="191" t="s">
        <v>35</v>
      </c>
      <c r="D24" s="212"/>
      <c r="E24" s="212">
        <f t="shared" ref="E24:J24" si="10">+E23/D23-1</f>
        <v>2.4514811031664863E-2</v>
      </c>
      <c r="F24" s="212">
        <f t="shared" si="10"/>
        <v>-2.4925224327018936E-2</v>
      </c>
      <c r="G24" s="212">
        <f t="shared" si="10"/>
        <v>-0.23312883435582821</v>
      </c>
      <c r="H24" s="343">
        <f t="shared" si="10"/>
        <v>-0.8</v>
      </c>
      <c r="I24" s="343">
        <f t="shared" si="10"/>
        <v>2.6666666666666665</v>
      </c>
      <c r="J24" s="668">
        <f t="shared" si="10"/>
        <v>9.0909090909090828E-2</v>
      </c>
      <c r="K24" s="669">
        <f>+K23/J23-1</f>
        <v>0.35784979423868313</v>
      </c>
      <c r="L24" s="339">
        <v>0.05</v>
      </c>
      <c r="M24" s="339">
        <v>0.04</v>
      </c>
      <c r="N24" s="339">
        <v>0.03</v>
      </c>
      <c r="O24" s="339">
        <v>0.02</v>
      </c>
      <c r="P24" s="339">
        <v>0.02</v>
      </c>
      <c r="Q24" s="339">
        <v>0.02</v>
      </c>
      <c r="R24" s="339">
        <v>0.02</v>
      </c>
      <c r="S24" s="339">
        <v>0.02</v>
      </c>
    </row>
    <row r="25" spans="1:19" hidden="1" outlineLevel="1">
      <c r="B25" s="17" t="s">
        <v>363</v>
      </c>
      <c r="C25" s="18" t="s">
        <v>35</v>
      </c>
      <c r="D25" s="32">
        <f>+D21/D19</f>
        <v>0.11801801801801802</v>
      </c>
      <c r="E25" s="32">
        <f>+E21/E19</f>
        <v>0.10286225402504472</v>
      </c>
      <c r="F25" s="32">
        <f>+F21/F19</f>
        <v>0.10357470210815765</v>
      </c>
      <c r="G25" s="42">
        <f t="shared" ref="G25:L25" si="11">+G21/G19</f>
        <v>3.2258064516129031E-2</v>
      </c>
      <c r="H25" s="42">
        <f t="shared" si="11"/>
        <v>0.14285714285714285</v>
      </c>
      <c r="I25" s="42">
        <f t="shared" si="11"/>
        <v>8.1803005008347252E-2</v>
      </c>
      <c r="J25" s="622">
        <f t="shared" si="11"/>
        <v>7.6923076923076927E-2</v>
      </c>
      <c r="K25" s="32">
        <f t="shared" si="11"/>
        <v>7.4939547923602592E-2</v>
      </c>
      <c r="L25" s="32">
        <f t="shared" si="11"/>
        <v>7.6258115527801512E-2</v>
      </c>
      <c r="M25" s="32">
        <f t="shared" ref="M25:R25" si="12">+M21/M19</f>
        <v>7.8285659719476819E-2</v>
      </c>
      <c r="N25" s="32">
        <f t="shared" si="12"/>
        <v>7.9684640206688209E-2</v>
      </c>
      <c r="O25" s="32">
        <f t="shared" si="12"/>
        <v>8.1836508661342261E-2</v>
      </c>
      <c r="P25" s="32">
        <f t="shared" si="12"/>
        <v>8.2572577849371498E-2</v>
      </c>
      <c r="Q25" s="32">
        <f t="shared" si="12"/>
        <v>8.2572577849371498E-2</v>
      </c>
      <c r="R25" s="32">
        <f t="shared" si="12"/>
        <v>8.2572577849371498E-2</v>
      </c>
      <c r="S25" s="32">
        <f>+S21/S19</f>
        <v>8.2572577849371484E-2</v>
      </c>
    </row>
    <row r="26" spans="1:19" hidden="1" outlineLevel="1">
      <c r="B26" s="186" t="s">
        <v>364</v>
      </c>
      <c r="C26" s="191" t="s">
        <v>35</v>
      </c>
      <c r="D26" s="230">
        <f>+D23/D19</f>
        <v>0.88198198198198197</v>
      </c>
      <c r="E26" s="230">
        <f>+E23/E19</f>
        <v>0.89713774597495533</v>
      </c>
      <c r="F26" s="230">
        <f>+F23/F19</f>
        <v>0.89642529789184233</v>
      </c>
      <c r="G26" s="256">
        <f t="shared" ref="G26:L26" si="13">+G23/G19</f>
        <v>0.967741935483871</v>
      </c>
      <c r="H26" s="256">
        <f t="shared" si="13"/>
        <v>0.8571428571428571</v>
      </c>
      <c r="I26" s="256">
        <f t="shared" si="13"/>
        <v>0.91819699499165275</v>
      </c>
      <c r="J26" s="367">
        <f t="shared" si="13"/>
        <v>0.92307692307692313</v>
      </c>
      <c r="K26" s="230">
        <f t="shared" si="13"/>
        <v>0.92506045207639742</v>
      </c>
      <c r="L26" s="230">
        <f t="shared" si="13"/>
        <v>0.92374188447219852</v>
      </c>
      <c r="M26" s="230">
        <f t="shared" ref="M26:R26" si="14">+M23/M19</f>
        <v>0.92171434028052324</v>
      </c>
      <c r="N26" s="230">
        <f t="shared" si="14"/>
        <v>0.9203153597933118</v>
      </c>
      <c r="O26" s="230">
        <f t="shared" si="14"/>
        <v>0.91816349133865771</v>
      </c>
      <c r="P26" s="230">
        <f t="shared" si="14"/>
        <v>0.91742742215062856</v>
      </c>
      <c r="Q26" s="230">
        <f t="shared" si="14"/>
        <v>0.91742742215062856</v>
      </c>
      <c r="R26" s="230">
        <f t="shared" si="14"/>
        <v>0.91742742215062856</v>
      </c>
      <c r="S26" s="230">
        <f>+S23/S19</f>
        <v>0.91742742215062845</v>
      </c>
    </row>
    <row r="27" spans="1:19" hidden="1" outlineLevel="1">
      <c r="B27" s="17"/>
      <c r="C27" s="18"/>
      <c r="D27" s="17"/>
      <c r="E27" s="32"/>
      <c r="F27" s="17"/>
      <c r="K27" s="645"/>
      <c r="L27" s="645"/>
      <c r="M27" s="645"/>
      <c r="N27" s="645"/>
      <c r="O27" s="645"/>
      <c r="P27" s="645"/>
      <c r="Q27" s="645"/>
      <c r="R27" s="645"/>
      <c r="S27" s="645"/>
    </row>
    <row r="28" spans="1:19" ht="14.15" hidden="1" customHeight="1" outlineLevel="1">
      <c r="B28" s="243" t="s">
        <v>365</v>
      </c>
      <c r="C28" s="244" t="s">
        <v>35</v>
      </c>
      <c r="D28" s="245" t="e">
        <f>+D19/#REF!-1</f>
        <v>#REF!</v>
      </c>
      <c r="E28" s="245">
        <f t="shared" ref="E28:L28" si="15">+E19/D19-1</f>
        <v>7.2072072072071336E-3</v>
      </c>
      <c r="F28" s="245">
        <f t="shared" si="15"/>
        <v>-2.415026833631484E-2</v>
      </c>
      <c r="G28" s="250">
        <f t="shared" si="15"/>
        <v>-0.28964252978918426</v>
      </c>
      <c r="H28" s="245">
        <f t="shared" si="15"/>
        <v>-0.77419354838709675</v>
      </c>
      <c r="I28" s="245">
        <f t="shared" si="15"/>
        <v>2.422857142857143</v>
      </c>
      <c r="J28" s="245">
        <f t="shared" si="15"/>
        <v>8.5141903171953359E-2</v>
      </c>
      <c r="K28" s="245">
        <f t="shared" si="15"/>
        <v>0.35493827160493829</v>
      </c>
      <c r="L28" s="245">
        <f t="shared" si="15"/>
        <v>5.1498790958472096E-2</v>
      </c>
    </row>
    <row r="29" spans="1:19" hidden="1" outlineLevel="1">
      <c r="B29" s="1338" t="s">
        <v>366</v>
      </c>
      <c r="C29" s="246" t="s">
        <v>35</v>
      </c>
      <c r="D29" s="1339" t="e">
        <f>+D21/#REF!-1</f>
        <v>#REF!</v>
      </c>
      <c r="E29" s="1339">
        <f t="shared" ref="E29:L29" si="16">+E21/D21-1</f>
        <v>-0.12213740458015265</v>
      </c>
      <c r="F29" s="1339">
        <f t="shared" si="16"/>
        <v>-1.7391304347826098E-2</v>
      </c>
      <c r="G29" s="1340">
        <f t="shared" si="16"/>
        <v>-0.77876106194690264</v>
      </c>
      <c r="H29" s="1469">
        <f t="shared" si="16"/>
        <v>0</v>
      </c>
      <c r="I29" s="1339">
        <f t="shared" si="16"/>
        <v>0.96</v>
      </c>
      <c r="J29" s="1339">
        <f t="shared" si="16"/>
        <v>2.0408163265306145E-2</v>
      </c>
      <c r="K29" s="1339">
        <f t="shared" si="16"/>
        <v>0.32000000000000006</v>
      </c>
      <c r="L29" s="1339">
        <f t="shared" si="16"/>
        <v>7.0000000000000062E-2</v>
      </c>
    </row>
    <row r="30" spans="1:19" hidden="1" outlineLevel="1">
      <c r="B30" s="247" t="s">
        <v>367</v>
      </c>
      <c r="C30" s="248" t="s">
        <v>35</v>
      </c>
      <c r="D30" s="249" t="e">
        <f>+D23/#REF!-1</f>
        <v>#REF!</v>
      </c>
      <c r="E30" s="249">
        <f>+E23/D23-1</f>
        <v>2.4514811031664863E-2</v>
      </c>
      <c r="F30" s="249">
        <f>+F23/E23-1</f>
        <v>-2.4925224327018936E-2</v>
      </c>
      <c r="G30" s="251">
        <f t="shared" ref="G30:L30" si="17">+G23/F23-1</f>
        <v>-0.23312883435582821</v>
      </c>
      <c r="H30" s="1341">
        <f t="shared" si="17"/>
        <v>-0.8</v>
      </c>
      <c r="I30" s="249">
        <f t="shared" si="17"/>
        <v>2.6666666666666665</v>
      </c>
      <c r="J30" s="249">
        <f t="shared" si="17"/>
        <v>9.0909090909090828E-2</v>
      </c>
      <c r="K30" s="249">
        <f t="shared" si="17"/>
        <v>0.35784979423868313</v>
      </c>
      <c r="L30" s="249">
        <f t="shared" si="17"/>
        <v>5.0000000000000044E-2</v>
      </c>
    </row>
    <row r="31" spans="1:19" hidden="1" outlineLevel="1">
      <c r="G31" s="134"/>
    </row>
    <row r="32" spans="1:19" hidden="1" outlineLevel="1">
      <c r="B32" s="25" t="s">
        <v>368</v>
      </c>
      <c r="G32" s="134"/>
    </row>
    <row r="33" spans="2:19" hidden="1" outlineLevel="1">
      <c r="B33" s="47" t="s">
        <v>362</v>
      </c>
      <c r="C33" s="51" t="s">
        <v>296</v>
      </c>
      <c r="D33" s="290">
        <v>979</v>
      </c>
      <c r="E33" s="290">
        <v>1003</v>
      </c>
      <c r="F33" s="290">
        <v>960</v>
      </c>
      <c r="G33" s="1274"/>
      <c r="H33" s="1274"/>
      <c r="I33" s="1274"/>
      <c r="J33" s="1274"/>
      <c r="K33" s="1274"/>
      <c r="L33" s="1274"/>
    </row>
    <row r="34" spans="2:19" hidden="1" outlineLevel="1">
      <c r="B34" s="186" t="s">
        <v>369</v>
      </c>
      <c r="C34" s="191" t="s">
        <v>35</v>
      </c>
      <c r="D34" s="230">
        <f>+D23/D33-1</f>
        <v>0</v>
      </c>
      <c r="E34" s="230">
        <f>+E23/E33-1</f>
        <v>0</v>
      </c>
      <c r="F34" s="230">
        <f>+F23/F33-1</f>
        <v>1.8750000000000044E-2</v>
      </c>
      <c r="G34" s="195"/>
      <c r="H34" s="195"/>
      <c r="I34" s="195"/>
      <c r="J34" s="195"/>
      <c r="K34" s="195"/>
      <c r="L34" s="195"/>
    </row>
    <row r="35" spans="2:19" hidden="1" outlineLevel="1">
      <c r="E35" s="82"/>
      <c r="G35" s="134"/>
    </row>
    <row r="36" spans="2:19" collapsed="1">
      <c r="B36" s="25" t="s">
        <v>370</v>
      </c>
      <c r="C36" s="33" t="s">
        <v>296</v>
      </c>
      <c r="D36" s="129">
        <v>557</v>
      </c>
      <c r="E36" s="129">
        <v>566</v>
      </c>
      <c r="F36" s="129">
        <v>560</v>
      </c>
      <c r="G36" s="129">
        <v>281</v>
      </c>
      <c r="H36" s="665">
        <v>95</v>
      </c>
      <c r="I36" s="665">
        <v>290</v>
      </c>
      <c r="J36" s="664">
        <v>324</v>
      </c>
      <c r="K36" s="665">
        <v>439</v>
      </c>
      <c r="L36" s="1090">
        <f>+L47</f>
        <v>215.85565951939608</v>
      </c>
      <c r="M36" s="1090">
        <f>+M47</f>
        <v>267.34326572006984</v>
      </c>
      <c r="N36" s="1090">
        <f>+N47</f>
        <v>466.62481962439188</v>
      </c>
      <c r="O36" s="137">
        <f>IFERROR(N36*(1+O37),"na")</f>
        <v>398.26428354941851</v>
      </c>
      <c r="P36" s="137">
        <f t="shared" ref="P36:S36" si="18">IFERROR(O36*(1+P37),"na")</f>
        <v>426.14278339787785</v>
      </c>
      <c r="Q36" s="137">
        <f t="shared" si="18"/>
        <v>447.44992256777175</v>
      </c>
      <c r="R36" s="137">
        <f t="shared" si="18"/>
        <v>460.87342024480489</v>
      </c>
      <c r="S36" s="137">
        <f t="shared" si="18"/>
        <v>474.69962285214905</v>
      </c>
    </row>
    <row r="37" spans="2:19">
      <c r="B37" s="1342" t="s">
        <v>360</v>
      </c>
      <c r="C37" s="51" t="s">
        <v>35</v>
      </c>
      <c r="D37" s="1343"/>
      <c r="E37" s="1343">
        <f t="shared" ref="E37:L37" si="19">+E36/D36-1</f>
        <v>1.6157989228007263E-2</v>
      </c>
      <c r="F37" s="1343">
        <f t="shared" si="19"/>
        <v>-1.0600706713780883E-2</v>
      </c>
      <c r="G37" s="1417">
        <f t="shared" si="19"/>
        <v>-0.49821428571428572</v>
      </c>
      <c r="H37" s="1343">
        <f t="shared" si="19"/>
        <v>-0.66192170818505336</v>
      </c>
      <c r="I37" s="1343">
        <f t="shared" si="19"/>
        <v>2.0526315789473686</v>
      </c>
      <c r="J37" s="1470">
        <f t="shared" si="19"/>
        <v>0.11724137931034484</v>
      </c>
      <c r="K37" s="1343">
        <f t="shared" si="19"/>
        <v>0.35493827160493829</v>
      </c>
      <c r="L37" s="1343">
        <f t="shared" si="19"/>
        <v>-0.50830145895353973</v>
      </c>
      <c r="M37" s="1343">
        <f>+M36/L36-1</f>
        <v>0.23852794184461601</v>
      </c>
      <c r="N37" s="1343">
        <v>0.22</v>
      </c>
      <c r="O37" s="1089">
        <v>-0.14649999999999999</v>
      </c>
      <c r="P37" s="1089">
        <v>7.0000000000000007E-2</v>
      </c>
      <c r="Q37" s="1089">
        <v>0.05</v>
      </c>
      <c r="R37" s="1089">
        <v>0.03</v>
      </c>
      <c r="S37" s="1343">
        <f t="shared" ref="S37" si="20">R37</f>
        <v>0.03</v>
      </c>
    </row>
    <row r="38" spans="2:19" hidden="1" outlineLevel="1">
      <c r="B38" s="47" t="s">
        <v>361</v>
      </c>
      <c r="C38" s="51" t="s">
        <v>296</v>
      </c>
      <c r="D38" s="58"/>
      <c r="E38" s="290"/>
      <c r="F38" s="290"/>
      <c r="G38" s="290"/>
      <c r="H38" s="1336"/>
      <c r="I38" s="1336"/>
      <c r="J38" s="1471"/>
      <c r="K38" s="345">
        <f t="shared" ref="K38:Q38" si="21">+K21*K44</f>
        <v>32.89846153846154</v>
      </c>
      <c r="L38" s="345">
        <f t="shared" si="21"/>
        <v>35.20135384615385</v>
      </c>
      <c r="M38" s="345">
        <f t="shared" si="21"/>
        <v>37.665448615384619</v>
      </c>
      <c r="N38" s="345">
        <f t="shared" si="21"/>
        <v>39.548721046153858</v>
      </c>
      <c r="O38" s="345">
        <f t="shared" si="21"/>
        <v>41.526157098461546</v>
      </c>
      <c r="P38" s="345">
        <f t="shared" si="21"/>
        <v>42.771941811415395</v>
      </c>
      <c r="Q38" s="345">
        <f t="shared" si="21"/>
        <v>43.627380647643704</v>
      </c>
      <c r="R38" s="345">
        <f>+R21*R44</f>
        <v>44.499928260596576</v>
      </c>
      <c r="S38" s="345">
        <f>+S21*S44</f>
        <v>45.389926825808509</v>
      </c>
    </row>
    <row r="39" spans="2:19" hidden="1" outlineLevel="1">
      <c r="B39" s="186" t="s">
        <v>362</v>
      </c>
      <c r="C39" s="191" t="s">
        <v>296</v>
      </c>
      <c r="D39" s="194"/>
      <c r="E39" s="232"/>
      <c r="F39" s="232"/>
      <c r="G39" s="232"/>
      <c r="H39" s="595"/>
      <c r="I39" s="595"/>
      <c r="J39" s="666"/>
      <c r="K39" s="233">
        <f t="shared" ref="K39:Q39" si="22">+K23*K45</f>
        <v>406.1015384615385</v>
      </c>
      <c r="L39" s="233">
        <f t="shared" si="22"/>
        <v>426.40661538461546</v>
      </c>
      <c r="M39" s="233">
        <f t="shared" si="22"/>
        <v>443.46288000000004</v>
      </c>
      <c r="N39" s="233">
        <f>+N23*N45</f>
        <v>456.76676640000005</v>
      </c>
      <c r="O39" s="233">
        <f t="shared" si="22"/>
        <v>465.9021017280001</v>
      </c>
      <c r="P39" s="233">
        <f t="shared" si="22"/>
        <v>475.2201437625601</v>
      </c>
      <c r="Q39" s="233">
        <f t="shared" si="22"/>
        <v>484.72454663781133</v>
      </c>
      <c r="R39" s="233">
        <f>+R23*R45</f>
        <v>494.41903757056753</v>
      </c>
      <c r="S39" s="233">
        <f>+S23*S45</f>
        <v>504.30741832197896</v>
      </c>
    </row>
    <row r="40" spans="2:19" hidden="1" outlineLevel="1">
      <c r="B40" s="1344" t="s">
        <v>363</v>
      </c>
      <c r="C40" s="1345" t="s">
        <v>35</v>
      </c>
      <c r="D40" s="1346"/>
      <c r="E40" s="1343">
        <f t="shared" ref="E40:Q40" si="23">+E38/E36</f>
        <v>0</v>
      </c>
      <c r="F40" s="1343">
        <f t="shared" si="23"/>
        <v>0</v>
      </c>
      <c r="G40" s="342">
        <f t="shared" si="23"/>
        <v>0</v>
      </c>
      <c r="H40" s="1343">
        <f t="shared" si="23"/>
        <v>0</v>
      </c>
      <c r="I40" s="1343">
        <f t="shared" si="23"/>
        <v>0</v>
      </c>
      <c r="J40" s="1470">
        <f t="shared" si="23"/>
        <v>0</v>
      </c>
      <c r="K40" s="1343">
        <f t="shared" si="23"/>
        <v>7.4939547923602592E-2</v>
      </c>
      <c r="L40" s="1343">
        <f t="shared" si="23"/>
        <v>0.1630782066336823</v>
      </c>
      <c r="M40" s="1343">
        <f t="shared" si="23"/>
        <v>0.14088796481907051</v>
      </c>
      <c r="N40" s="1343">
        <f t="shared" si="23"/>
        <v>8.4754859542165953E-2</v>
      </c>
      <c r="O40" s="1343">
        <f t="shared" si="23"/>
        <v>0.10426784126452751</v>
      </c>
      <c r="P40" s="1343">
        <f t="shared" si="23"/>
        <v>0.10036997803968536</v>
      </c>
      <c r="Q40" s="1343">
        <f t="shared" si="23"/>
        <v>9.7502264381408632E-2</v>
      </c>
      <c r="R40" s="1343">
        <f>+R38/R36</f>
        <v>9.6555640455375541E-2</v>
      </c>
      <c r="S40" s="1343">
        <f>+S38/S36</f>
        <v>9.561820705289617E-2</v>
      </c>
    </row>
    <row r="41" spans="2:19" hidden="1" outlineLevel="1">
      <c r="B41" s="189" t="s">
        <v>364</v>
      </c>
      <c r="C41" s="193" t="s">
        <v>35</v>
      </c>
      <c r="D41" s="203"/>
      <c r="E41" s="212">
        <f t="shared" ref="E41:Q41" si="24">+E39/E36</f>
        <v>0</v>
      </c>
      <c r="F41" s="212">
        <f t="shared" si="24"/>
        <v>0</v>
      </c>
      <c r="G41" s="343">
        <f t="shared" si="24"/>
        <v>0</v>
      </c>
      <c r="H41" s="212">
        <f t="shared" si="24"/>
        <v>0</v>
      </c>
      <c r="I41" s="212">
        <f t="shared" si="24"/>
        <v>0</v>
      </c>
      <c r="J41" s="621">
        <f t="shared" si="24"/>
        <v>0</v>
      </c>
      <c r="K41" s="212">
        <f t="shared" si="24"/>
        <v>0.92506045207639753</v>
      </c>
      <c r="L41" s="212">
        <f t="shared" si="24"/>
        <v>1.975424764558003</v>
      </c>
      <c r="M41" s="212">
        <f t="shared" si="24"/>
        <v>1.6587770737578322</v>
      </c>
      <c r="N41" s="212">
        <f t="shared" si="24"/>
        <v>0.97887370579145994</v>
      </c>
      <c r="O41" s="212">
        <f t="shared" si="24"/>
        <v>1.1698314937402334</v>
      </c>
      <c r="P41" s="212">
        <f t="shared" si="24"/>
        <v>1.1151664706682598</v>
      </c>
      <c r="Q41" s="212">
        <f t="shared" si="24"/>
        <v>1.0833045715063094</v>
      </c>
      <c r="R41" s="212">
        <f>+R39/R36</f>
        <v>1.0727870513945976</v>
      </c>
      <c r="S41" s="212">
        <f>+S39/S36</f>
        <v>1.062371643128631</v>
      </c>
    </row>
    <row r="42" spans="2:19" collapsed="1">
      <c r="B42" s="17"/>
      <c r="C42" s="18"/>
      <c r="E42" s="32"/>
      <c r="F42" s="32"/>
    </row>
    <row r="43" spans="2:19" hidden="1" outlineLevel="1">
      <c r="B43" s="25" t="s">
        <v>371</v>
      </c>
      <c r="C43" s="192" t="s">
        <v>35</v>
      </c>
      <c r="D43" s="118"/>
      <c r="E43" s="118">
        <f t="shared" ref="E43:J43" si="25">+E36/E19</f>
        <v>0.50626118067978532</v>
      </c>
      <c r="F43" s="118">
        <f t="shared" si="25"/>
        <v>0.51329055912007338</v>
      </c>
      <c r="G43" s="118">
        <f t="shared" si="25"/>
        <v>0.36258064516129035</v>
      </c>
      <c r="H43" s="596">
        <f t="shared" si="25"/>
        <v>0.54285714285714282</v>
      </c>
      <c r="I43" s="596">
        <f t="shared" si="25"/>
        <v>0.48414023372287146</v>
      </c>
      <c r="J43" s="349">
        <f t="shared" si="25"/>
        <v>0.49846153846153846</v>
      </c>
      <c r="K43" s="344">
        <f>+J43</f>
        <v>0.49846153846153846</v>
      </c>
      <c r="L43" s="344">
        <f>+K43</f>
        <v>0.49846153846153846</v>
      </c>
      <c r="M43" s="344">
        <f>+L43</f>
        <v>0.49846153846153846</v>
      </c>
      <c r="N43" s="344">
        <f t="shared" ref="N43:S43" si="26">M43</f>
        <v>0.49846153846153846</v>
      </c>
      <c r="O43" s="344">
        <f t="shared" si="26"/>
        <v>0.49846153846153846</v>
      </c>
      <c r="P43" s="344">
        <f t="shared" si="26"/>
        <v>0.49846153846153846</v>
      </c>
      <c r="Q43" s="344">
        <f t="shared" si="26"/>
        <v>0.49846153846153846</v>
      </c>
      <c r="R43" s="344">
        <f t="shared" si="26"/>
        <v>0.49846153846153846</v>
      </c>
      <c r="S43" s="344">
        <f t="shared" si="26"/>
        <v>0.49846153846153846</v>
      </c>
    </row>
    <row r="44" spans="2:19" hidden="1" outlineLevel="1">
      <c r="B44" s="47" t="s">
        <v>361</v>
      </c>
      <c r="C44" s="18" t="s">
        <v>35</v>
      </c>
      <c r="D44" s="58"/>
      <c r="E44" s="1300">
        <f>+E38/E21</f>
        <v>0</v>
      </c>
      <c r="F44" s="1300">
        <f>+F38/F21</f>
        <v>0</v>
      </c>
      <c r="G44" s="266">
        <f>+G38/G21</f>
        <v>0</v>
      </c>
      <c r="H44" s="1347">
        <f>H38/H21</f>
        <v>0</v>
      </c>
      <c r="I44" s="1347">
        <f>I38/I21</f>
        <v>0</v>
      </c>
      <c r="J44" s="1472">
        <f t="shared" ref="J44:Q45" si="27">+J43</f>
        <v>0.49846153846153846</v>
      </c>
      <c r="K44" s="266">
        <f t="shared" si="27"/>
        <v>0.49846153846153846</v>
      </c>
      <c r="L44" s="266">
        <f t="shared" si="27"/>
        <v>0.49846153846153846</v>
      </c>
      <c r="M44" s="266">
        <f t="shared" si="27"/>
        <v>0.49846153846153846</v>
      </c>
      <c r="N44" s="266">
        <f t="shared" si="27"/>
        <v>0.49846153846153846</v>
      </c>
      <c r="O44" s="266">
        <f t="shared" si="27"/>
        <v>0.49846153846153846</v>
      </c>
      <c r="P44" s="266">
        <f t="shared" si="27"/>
        <v>0.49846153846153846</v>
      </c>
      <c r="Q44" s="266">
        <f t="shared" si="27"/>
        <v>0.49846153846153846</v>
      </c>
      <c r="R44" s="266">
        <f>+R43</f>
        <v>0.49846153846153846</v>
      </c>
      <c r="S44" s="266">
        <f>+S43</f>
        <v>0.49846153846153846</v>
      </c>
    </row>
    <row r="45" spans="2:19" hidden="1" outlineLevel="1">
      <c r="B45" s="186" t="s">
        <v>362</v>
      </c>
      <c r="C45" s="191" t="s">
        <v>35</v>
      </c>
      <c r="D45" s="194"/>
      <c r="E45" s="216">
        <f>+E39/E23</f>
        <v>0</v>
      </c>
      <c r="F45" s="216">
        <f>+F39/F23</f>
        <v>0</v>
      </c>
      <c r="G45" s="234">
        <f>+G39/G23</f>
        <v>0</v>
      </c>
      <c r="H45" s="597">
        <f>H39/H23</f>
        <v>0</v>
      </c>
      <c r="I45" s="597">
        <f>I39/I23</f>
        <v>0</v>
      </c>
      <c r="J45" s="348">
        <f t="shared" si="27"/>
        <v>0.49846153846153846</v>
      </c>
      <c r="K45" s="234">
        <f t="shared" si="27"/>
        <v>0.49846153846153846</v>
      </c>
      <c r="L45" s="234">
        <f t="shared" si="27"/>
        <v>0.49846153846153846</v>
      </c>
      <c r="M45" s="234">
        <f t="shared" si="27"/>
        <v>0.49846153846153846</v>
      </c>
      <c r="N45" s="234">
        <f t="shared" si="27"/>
        <v>0.49846153846153846</v>
      </c>
      <c r="O45" s="234">
        <f t="shared" si="27"/>
        <v>0.49846153846153846</v>
      </c>
      <c r="P45" s="234">
        <f t="shared" si="27"/>
        <v>0.49846153846153846</v>
      </c>
      <c r="Q45" s="234">
        <f t="shared" si="27"/>
        <v>0.49846153846153846</v>
      </c>
      <c r="R45" s="234">
        <f>+R44</f>
        <v>0.49846153846153846</v>
      </c>
      <c r="S45" s="234">
        <f>+S44</f>
        <v>0.49846153846153846</v>
      </c>
    </row>
    <row r="46" spans="2:19" hidden="1" outlineLevel="1">
      <c r="B46" s="17"/>
      <c r="C46" s="18"/>
      <c r="E46" s="32"/>
      <c r="F46" s="32"/>
    </row>
    <row r="47" spans="2:19" collapsed="1">
      <c r="B47" s="47" t="s">
        <v>372</v>
      </c>
      <c r="C47" s="58"/>
      <c r="D47" s="345">
        <f t="shared" ref="D47:S47" si="28">+D36</f>
        <v>557</v>
      </c>
      <c r="E47" s="345">
        <f t="shared" si="28"/>
        <v>566</v>
      </c>
      <c r="F47" s="345">
        <f t="shared" si="28"/>
        <v>560</v>
      </c>
      <c r="G47" s="345">
        <f t="shared" si="28"/>
        <v>281</v>
      </c>
      <c r="H47" s="345">
        <f t="shared" si="28"/>
        <v>95</v>
      </c>
      <c r="I47" s="345">
        <f>+I36</f>
        <v>290</v>
      </c>
      <c r="J47" s="1471">
        <f t="shared" si="28"/>
        <v>324</v>
      </c>
      <c r="K47" s="1337">
        <f t="shared" si="28"/>
        <v>439</v>
      </c>
      <c r="L47" s="1348">
        <f>+L50/L48</f>
        <v>215.85565951939608</v>
      </c>
      <c r="M47" s="345">
        <f>+M50/M48</f>
        <v>267.34326572006984</v>
      </c>
      <c r="N47" s="345">
        <f>+N50/N48</f>
        <v>466.62481962439188</v>
      </c>
      <c r="O47" s="345">
        <f>+O36</f>
        <v>398.26428354941851</v>
      </c>
      <c r="P47" s="345">
        <f t="shared" si="28"/>
        <v>426.14278339787785</v>
      </c>
      <c r="Q47" s="345">
        <f t="shared" si="28"/>
        <v>447.44992256777175</v>
      </c>
      <c r="R47" s="345">
        <f t="shared" si="28"/>
        <v>460.87342024480489</v>
      </c>
      <c r="S47" s="345">
        <f t="shared" si="28"/>
        <v>474.69962285214905</v>
      </c>
    </row>
    <row r="48" spans="2:19">
      <c r="B48" s="186" t="s">
        <v>373</v>
      </c>
      <c r="C48" s="235" t="s">
        <v>296</v>
      </c>
      <c r="D48" s="236">
        <f>+D50/D47</f>
        <v>12.111310592459605</v>
      </c>
      <c r="E48" s="236">
        <f>+E50/E47</f>
        <v>9.8462897526501774</v>
      </c>
      <c r="F48" s="236">
        <f>+F50/F47</f>
        <v>9.680357142857142</v>
      </c>
      <c r="G48" s="293">
        <f>+G50/G47</f>
        <v>9.185053380782918</v>
      </c>
      <c r="H48" s="293">
        <f>H50/H47</f>
        <v>11.547368421052632</v>
      </c>
      <c r="I48" s="293">
        <f>I50/I47</f>
        <v>9.7206896551724142</v>
      </c>
      <c r="J48" s="400">
        <f>J50/J47</f>
        <v>9.8919753086419746</v>
      </c>
      <c r="K48" s="293">
        <f>K50/K47</f>
        <v>10.977220956719817</v>
      </c>
      <c r="L48" s="1088">
        <f>AVERAGE(I48:K48)</f>
        <v>10.196628640178069</v>
      </c>
      <c r="M48" s="293">
        <f>+L48</f>
        <v>10.196628640178069</v>
      </c>
      <c r="N48" s="293">
        <f t="shared" ref="N48:S48" si="29">+M48</f>
        <v>10.196628640178069</v>
      </c>
      <c r="O48" s="293">
        <f>+N48</f>
        <v>10.196628640178069</v>
      </c>
      <c r="P48" s="293">
        <f t="shared" si="29"/>
        <v>10.196628640178069</v>
      </c>
      <c r="Q48" s="293">
        <f t="shared" si="29"/>
        <v>10.196628640178069</v>
      </c>
      <c r="R48" s="293">
        <f t="shared" si="29"/>
        <v>10.196628640178069</v>
      </c>
      <c r="S48" s="293">
        <f t="shared" si="29"/>
        <v>10.196628640178069</v>
      </c>
    </row>
    <row r="49" spans="1:23">
      <c r="B49" s="17"/>
      <c r="D49" s="257"/>
      <c r="E49" s="257"/>
      <c r="F49" s="257"/>
      <c r="G49" s="257"/>
      <c r="H49" s="328"/>
      <c r="J49" s="1094"/>
      <c r="K49" s="1094"/>
      <c r="L49" s="1094"/>
      <c r="M49" s="1094"/>
      <c r="N49" s="1094"/>
      <c r="O49" s="1094"/>
      <c r="P49" s="1094"/>
      <c r="Q49" s="1094"/>
      <c r="R49" s="1094"/>
      <c r="S49" s="1094"/>
    </row>
    <row r="50" spans="1:23">
      <c r="B50" s="153" t="s">
        <v>374</v>
      </c>
      <c r="C50" s="1349" t="s">
        <v>296</v>
      </c>
      <c r="D50" s="1350">
        <v>6746</v>
      </c>
      <c r="E50" s="1350">
        <v>5573</v>
      </c>
      <c r="F50" s="1350">
        <v>5421</v>
      </c>
      <c r="G50" s="328">
        <v>2581</v>
      </c>
      <c r="H50" s="328">
        <v>1097</v>
      </c>
      <c r="I50" s="328">
        <v>2819</v>
      </c>
      <c r="J50" s="328">
        <v>3205</v>
      </c>
      <c r="K50" s="328">
        <f>'Reporte de Seguimiento_PyG19-12'!$O$6</f>
        <v>4819</v>
      </c>
      <c r="L50" s="328">
        <v>2201</v>
      </c>
      <c r="M50" s="328">
        <v>2726</v>
      </c>
      <c r="N50" s="1473">
        <v>4758</v>
      </c>
      <c r="O50" s="1351">
        <f>+O47*O48</f>
        <v>4060.9530000000004</v>
      </c>
      <c r="P50" s="1351">
        <f t="shared" ref="P50:Q50" si="30">+P47*P48</f>
        <v>4345.2197100000003</v>
      </c>
      <c r="Q50" s="1351">
        <f t="shared" si="30"/>
        <v>4562.4806955000013</v>
      </c>
      <c r="R50" s="1351">
        <f>+R47*R48</f>
        <v>4699.3551163650009</v>
      </c>
      <c r="S50" s="1351">
        <f>+S47*S48</f>
        <v>4840.3357698559512</v>
      </c>
      <c r="T50" s="42"/>
      <c r="U50" s="281"/>
      <c r="W50" s="282"/>
    </row>
    <row r="51" spans="1:23">
      <c r="B51" s="186" t="s">
        <v>375</v>
      </c>
      <c r="C51" s="235" t="s">
        <v>35</v>
      </c>
      <c r="D51" s="127"/>
      <c r="E51" s="127">
        <f t="shared" ref="E51:L51" si="31">+E50/D50-1</f>
        <v>-0.17388081826267421</v>
      </c>
      <c r="F51" s="127">
        <f t="shared" si="31"/>
        <v>-2.7274358514265185E-2</v>
      </c>
      <c r="G51" s="127">
        <f t="shared" si="31"/>
        <v>-0.52388858144253825</v>
      </c>
      <c r="H51" s="373">
        <f t="shared" si="31"/>
        <v>-0.5749709414955444</v>
      </c>
      <c r="I51" s="373">
        <f t="shared" si="31"/>
        <v>1.5697356426618048</v>
      </c>
      <c r="J51" s="373">
        <f>+J50/I50-1</f>
        <v>0.1369279886484569</v>
      </c>
      <c r="K51" s="373">
        <f t="shared" si="31"/>
        <v>0.50358814352574099</v>
      </c>
      <c r="L51" s="373">
        <f t="shared" si="31"/>
        <v>-0.543266237808674</v>
      </c>
      <c r="M51" s="373">
        <f t="shared" ref="M51:S51" si="32">+M50/L50-1</f>
        <v>0.23852794184461601</v>
      </c>
      <c r="N51" s="1241">
        <f t="shared" si="32"/>
        <v>0.74541452677916364</v>
      </c>
      <c r="O51" s="127">
        <f t="shared" si="32"/>
        <v>-0.14649999999999996</v>
      </c>
      <c r="P51" s="127">
        <f t="shared" si="32"/>
        <v>7.0000000000000062E-2</v>
      </c>
      <c r="Q51" s="127">
        <f t="shared" si="32"/>
        <v>5.0000000000000266E-2</v>
      </c>
      <c r="R51" s="127">
        <f t="shared" si="32"/>
        <v>2.9999999999999805E-2</v>
      </c>
      <c r="S51" s="127">
        <f t="shared" si="32"/>
        <v>3.0000000000000027E-2</v>
      </c>
      <c r="T51" s="283"/>
      <c r="U51" s="283"/>
      <c r="V51" s="283"/>
      <c r="W51" s="145"/>
    </row>
    <row r="52" spans="1:23">
      <c r="B52" s="1474" t="s">
        <v>376</v>
      </c>
      <c r="C52" s="1475"/>
      <c r="D52" s="1476">
        <f t="shared" ref="D52:P52" si="33">+D50/12</f>
        <v>562.16666666666663</v>
      </c>
      <c r="E52" s="1476">
        <f t="shared" si="33"/>
        <v>464.41666666666669</v>
      </c>
      <c r="F52" s="1476">
        <f t="shared" si="33"/>
        <v>451.75</v>
      </c>
      <c r="G52" s="1476">
        <f t="shared" si="33"/>
        <v>215.08333333333334</v>
      </c>
      <c r="H52" s="1477">
        <f t="shared" si="33"/>
        <v>91.416666666666671</v>
      </c>
      <c r="I52" s="1477">
        <f t="shared" si="33"/>
        <v>234.91666666666666</v>
      </c>
      <c r="J52" s="1477">
        <f t="shared" si="33"/>
        <v>267.08333333333331</v>
      </c>
      <c r="K52" s="1477">
        <f t="shared" si="33"/>
        <v>401.58333333333331</v>
      </c>
      <c r="L52" s="1477">
        <f t="shared" si="33"/>
        <v>183.41666666666666</v>
      </c>
      <c r="M52" s="1477">
        <f>+M50/12</f>
        <v>227.16666666666666</v>
      </c>
      <c r="N52" s="1478">
        <f>+N50/12</f>
        <v>396.5</v>
      </c>
      <c r="O52" s="1476">
        <f>+O50/12</f>
        <v>338.41275000000002</v>
      </c>
      <c r="P52" s="1476">
        <f t="shared" si="33"/>
        <v>362.10164250000003</v>
      </c>
      <c r="Q52" s="1476">
        <f>+Q50/12</f>
        <v>380.20672462500011</v>
      </c>
      <c r="R52" s="1476">
        <f>+R50/12</f>
        <v>391.61292636375009</v>
      </c>
      <c r="S52" s="1476">
        <f>+S50/12</f>
        <v>403.36131415466258</v>
      </c>
      <c r="T52" s="283"/>
      <c r="U52" s="283"/>
      <c r="V52" s="283"/>
      <c r="W52" s="145"/>
    </row>
    <row r="53" spans="1:23">
      <c r="B53" s="17"/>
      <c r="C53" s="124"/>
      <c r="D53" s="127"/>
      <c r="E53" s="127"/>
      <c r="F53" s="127"/>
      <c r="O53" s="283"/>
      <c r="P53" s="283"/>
      <c r="Q53" s="283"/>
      <c r="R53" s="283"/>
      <c r="S53" s="283"/>
      <c r="T53" s="283"/>
      <c r="U53" s="283"/>
      <c r="W53" s="145"/>
    </row>
    <row r="54" spans="1:23">
      <c r="B54" s="47" t="s">
        <v>377</v>
      </c>
      <c r="C54" s="1352" t="s">
        <v>296</v>
      </c>
      <c r="D54" s="346">
        <v>26.083333333333332</v>
      </c>
      <c r="E54" s="346">
        <v>23.75</v>
      </c>
      <c r="F54" s="346">
        <f>+AVERAGE(23,21,19,21,23,21,21,24,22,25,28,25,16,12,12)</f>
        <v>20.866666666666667</v>
      </c>
      <c r="G54" s="346">
        <v>11.6</v>
      </c>
      <c r="H54" s="1353">
        <v>4.5</v>
      </c>
      <c r="I54" s="1353">
        <v>11.416666666666666</v>
      </c>
      <c r="J54" s="1353">
        <v>12.916666666666666</v>
      </c>
      <c r="K54" s="1333">
        <f t="shared" ref="K54:S54" si="34">ROUNDUP(K50/K55/12,0)</f>
        <v>18</v>
      </c>
      <c r="L54" s="1333">
        <f t="shared" si="34"/>
        <v>10</v>
      </c>
      <c r="M54" s="1333">
        <f t="shared" si="34"/>
        <v>11</v>
      </c>
      <c r="N54" s="1479">
        <f t="shared" si="34"/>
        <v>18</v>
      </c>
      <c r="O54" s="1333">
        <f t="shared" si="34"/>
        <v>16</v>
      </c>
      <c r="P54" s="1333">
        <f t="shared" si="34"/>
        <v>17</v>
      </c>
      <c r="Q54" s="1333">
        <f t="shared" si="34"/>
        <v>17</v>
      </c>
      <c r="R54" s="1333">
        <f t="shared" si="34"/>
        <v>18</v>
      </c>
      <c r="S54" s="1333">
        <f t="shared" si="34"/>
        <v>18</v>
      </c>
      <c r="U54" s="283"/>
    </row>
    <row r="55" spans="1:23">
      <c r="B55" s="186" t="s">
        <v>378</v>
      </c>
      <c r="C55" s="235" t="s">
        <v>296</v>
      </c>
      <c r="D55" s="237">
        <f>+D50/12/D54</f>
        <v>21.552715654952078</v>
      </c>
      <c r="E55" s="237">
        <f>+E50/12/E54</f>
        <v>19.554385964912282</v>
      </c>
      <c r="F55" s="237">
        <f>+F50/12/F54</f>
        <v>21.649361022364218</v>
      </c>
      <c r="G55" s="237">
        <f>+G50/12/G54</f>
        <v>18.541666666666668</v>
      </c>
      <c r="H55" s="237">
        <f>H50/H54/12</f>
        <v>20.314814814814813</v>
      </c>
      <c r="I55" s="237">
        <f>I50/I54/12</f>
        <v>20.576642335766426</v>
      </c>
      <c r="J55" s="237">
        <f>J50/J54/12</f>
        <v>20.677419354838712</v>
      </c>
      <c r="K55" s="1242">
        <f>(20+20+18+23+23+22+22+20+23+21+23+21+22)/12</f>
        <v>23.166666666666668</v>
      </c>
      <c r="L55" s="1242">
        <f>(22+21+21.5+19+8+20+12+17+20+21+21+22+20)/12</f>
        <v>20.375</v>
      </c>
      <c r="M55" s="1242">
        <f>(20+20+18+22+20+19+18+20+21+21+22+21+21)/12</f>
        <v>21.916666666666668</v>
      </c>
      <c r="N55" s="1243">
        <f>(21+23+19+21+21+19+21+19+19+18+23+22+23)/12</f>
        <v>22.416666666666668</v>
      </c>
      <c r="O55" s="237">
        <f t="shared" ref="O55:S55" si="35">N55:N55</f>
        <v>22.416666666666668</v>
      </c>
      <c r="P55" s="237">
        <f t="shared" si="35"/>
        <v>22.416666666666668</v>
      </c>
      <c r="Q55" s="237">
        <f t="shared" si="35"/>
        <v>22.416666666666668</v>
      </c>
      <c r="R55" s="237">
        <f t="shared" si="35"/>
        <v>22.416666666666668</v>
      </c>
      <c r="S55" s="237">
        <f t="shared" si="35"/>
        <v>22.416666666666668</v>
      </c>
    </row>
    <row r="56" spans="1:23">
      <c r="B56" s="17"/>
      <c r="E56" s="17"/>
    </row>
    <row r="57" spans="1:23">
      <c r="A57" s="471" t="s">
        <v>58</v>
      </c>
      <c r="B57" s="471"/>
      <c r="C57" s="471"/>
      <c r="D57" s="471">
        <v>2012</v>
      </c>
      <c r="E57" s="471">
        <v>2013</v>
      </c>
      <c r="F57" s="471">
        <v>2014</v>
      </c>
      <c r="G57" s="471">
        <v>2015</v>
      </c>
      <c r="H57" s="471">
        <v>2016</v>
      </c>
      <c r="I57" s="471">
        <v>2017</v>
      </c>
      <c r="J57" s="471">
        <v>2018</v>
      </c>
      <c r="K57" s="471">
        <v>2019</v>
      </c>
      <c r="L57" s="471">
        <v>2020</v>
      </c>
      <c r="M57" s="471">
        <v>2021</v>
      </c>
      <c r="N57" s="471">
        <v>2022</v>
      </c>
      <c r="O57" s="470">
        <v>2023</v>
      </c>
      <c r="P57" s="470">
        <v>2024</v>
      </c>
      <c r="Q57" s="470">
        <v>2025</v>
      </c>
      <c r="R57" s="470">
        <v>2026</v>
      </c>
      <c r="S57" s="470">
        <v>2027</v>
      </c>
    </row>
    <row r="58" spans="1:23">
      <c r="A58"/>
      <c r="E58" s="338"/>
      <c r="F58" s="338"/>
      <c r="G58" s="338"/>
      <c r="H58" s="338"/>
      <c r="I58" s="338"/>
      <c r="J58" s="338"/>
      <c r="K58" s="338"/>
      <c r="L58" s="338"/>
      <c r="M58" s="338"/>
      <c r="N58" s="338"/>
      <c r="O58" s="338"/>
      <c r="P58" s="338"/>
      <c r="Q58" s="338"/>
      <c r="R58" s="338"/>
      <c r="S58" s="338"/>
    </row>
    <row r="59" spans="1:23">
      <c r="A59"/>
      <c r="B59" s="153" t="s">
        <v>379</v>
      </c>
      <c r="C59" s="154" t="s">
        <v>203</v>
      </c>
      <c r="D59" s="1205">
        <f>+'Annual FS'!D7</f>
        <v>34990.834606559998</v>
      </c>
      <c r="E59" s="1205">
        <f>+'Annual FS'!E7</f>
        <v>33557.775283460003</v>
      </c>
      <c r="F59" s="1205">
        <f>+'Annual FS'!F7</f>
        <v>36375.923913590006</v>
      </c>
      <c r="G59" s="1205">
        <f>+'Annual FS'!G7</f>
        <v>14092.882640259997</v>
      </c>
      <c r="H59" s="1205">
        <f>+'Annual FS'!H7</f>
        <v>5202.0920280999999</v>
      </c>
      <c r="I59" s="1205">
        <f>+'Annual FS'!I7</f>
        <v>12652.654207220003</v>
      </c>
      <c r="J59" s="1422">
        <f>+'Annual FS'!J7</f>
        <v>13226.848680189998</v>
      </c>
      <c r="K59" s="1354">
        <f>+TGTbase2021!HK12</f>
        <v>20196.26603504</v>
      </c>
      <c r="L59" s="1354">
        <f>+TGTbase2021!HL12</f>
        <v>11935.00906737</v>
      </c>
      <c r="M59" s="1354">
        <f>+TGTbase2021!HM12</f>
        <v>13973.332470599998</v>
      </c>
      <c r="N59" s="1480">
        <f>+TGTbase2021!HN12</f>
        <v>28185.660171689997</v>
      </c>
      <c r="O59" s="175">
        <f>+O50*(O14*92.67%)</f>
        <v>28114.750662013081</v>
      </c>
      <c r="P59" s="175">
        <f t="shared" ref="P59:S59" si="36">+P50*P14</f>
        <v>31729.108916327004</v>
      </c>
      <c r="Q59" s="175">
        <f t="shared" si="36"/>
        <v>32936.51446970697</v>
      </c>
      <c r="R59" s="175">
        <f t="shared" si="36"/>
        <v>36107.117670667692</v>
      </c>
      <c r="S59" s="175">
        <f t="shared" si="36"/>
        <v>37562.2345127956</v>
      </c>
    </row>
    <row r="60" spans="1:23">
      <c r="A60"/>
      <c r="B60" s="186" t="s">
        <v>375</v>
      </c>
      <c r="C60" s="191" t="s">
        <v>35</v>
      </c>
      <c r="D60" s="231" t="str">
        <f>+IFERROR(D59/#REF!-1," ")</f>
        <v xml:space="preserve"> </v>
      </c>
      <c r="E60" s="231">
        <f t="shared" ref="E60:L60" si="37">+IFERROR(E59/D59-1," ")</f>
        <v>-4.0955276980770505E-2</v>
      </c>
      <c r="F60" s="231">
        <f t="shared" si="37"/>
        <v>8.397900654394741E-2</v>
      </c>
      <c r="G60" s="231">
        <f t="shared" si="37"/>
        <v>-0.61257664069956697</v>
      </c>
      <c r="H60" s="239">
        <f t="shared" si="37"/>
        <v>-0.63087097502402623</v>
      </c>
      <c r="I60" s="239">
        <f t="shared" si="37"/>
        <v>1.4322242165026116</v>
      </c>
      <c r="J60" s="261">
        <f t="shared" si="37"/>
        <v>4.5381345571140486E-2</v>
      </c>
      <c r="K60" s="231">
        <f t="shared" si="37"/>
        <v>0.52691442409015976</v>
      </c>
      <c r="L60" s="231">
        <f t="shared" si="37"/>
        <v>-0.40904872976702389</v>
      </c>
      <c r="M60" s="231">
        <f t="shared" ref="M60:S60" si="38">+IFERROR(M59/L59-1," ")</f>
        <v>0.17078524127834327</v>
      </c>
      <c r="N60" s="1240">
        <f t="shared" si="38"/>
        <v>1.0171036673601552</v>
      </c>
      <c r="O60" s="231">
        <f t="shared" si="38"/>
        <v>-2.5158009159614858E-3</v>
      </c>
      <c r="P60" s="231">
        <f t="shared" si="38"/>
        <v>0.12855736470028245</v>
      </c>
      <c r="Q60" s="231">
        <f t="shared" si="38"/>
        <v>3.8053560109867046E-2</v>
      </c>
      <c r="R60" s="231">
        <f t="shared" si="38"/>
        <v>9.6264078091106153E-2</v>
      </c>
      <c r="S60" s="231">
        <f t="shared" si="38"/>
        <v>4.0300000000000002E-2</v>
      </c>
    </row>
    <row r="61" spans="1:23">
      <c r="A61"/>
      <c r="B61" s="17"/>
      <c r="C61" s="18"/>
      <c r="D61" s="74"/>
      <c r="E61" s="74"/>
      <c r="F61" s="74"/>
      <c r="G61" s="74"/>
      <c r="H61" s="74"/>
      <c r="I61" s="74"/>
      <c r="J61" s="74"/>
      <c r="K61" s="74"/>
      <c r="L61" s="74"/>
      <c r="M61" s="74"/>
      <c r="N61" s="74"/>
      <c r="O61" s="74"/>
      <c r="P61" s="74"/>
      <c r="Q61" s="74"/>
      <c r="R61" s="74"/>
      <c r="S61" s="74"/>
    </row>
    <row r="62" spans="1:23">
      <c r="A62"/>
      <c r="B62" s="153" t="s">
        <v>63</v>
      </c>
      <c r="C62" s="154" t="s">
        <v>59</v>
      </c>
      <c r="D62" s="1205">
        <f>+'Annual FS'!D9</f>
        <v>345.03067221999999</v>
      </c>
      <c r="E62" s="1205">
        <f>+'Annual FS'!E9</f>
        <v>2556.5280076899999</v>
      </c>
      <c r="F62" s="1205">
        <f>+'Annual FS'!F9</f>
        <v>2400.0345414399999</v>
      </c>
      <c r="G62" s="1205">
        <f>+'Annual FS'!G9</f>
        <v>1904.7522473800002</v>
      </c>
      <c r="H62" s="1205">
        <f>+'Annual FS'!H9</f>
        <v>631.07198678999998</v>
      </c>
      <c r="I62" s="1205">
        <f>+'Annual FS'!I9</f>
        <v>976.16075323000007</v>
      </c>
      <c r="J62" s="1422">
        <f>+'Annual FS'!J9</f>
        <v>923.68516527000043</v>
      </c>
      <c r="K62" s="1354">
        <f>+TGTbase2021!HK14</f>
        <v>1033.08492417</v>
      </c>
      <c r="L62" s="1354">
        <f>+TGTbase2021!HL14</f>
        <v>684.87816261</v>
      </c>
      <c r="M62" s="1354">
        <f>+TGTbase2021!HM14</f>
        <v>1136.51955522</v>
      </c>
      <c r="N62" s="1480">
        <f>+TGTbase2021!HN14</f>
        <v>2005.9143868500003</v>
      </c>
      <c r="O62" s="175">
        <f>+O64*O59</f>
        <v>2389.7538062711119</v>
      </c>
      <c r="P62" s="175">
        <f t="shared" ref="P62" si="39">+P64*P59</f>
        <v>2696.9742578877954</v>
      </c>
      <c r="Q62" s="175">
        <f>+Q64*Q59</f>
        <v>2799.6037299250925</v>
      </c>
      <c r="R62" s="175">
        <f>+R64*R59</f>
        <v>3069.1050020067541</v>
      </c>
      <c r="S62" s="175">
        <f>+S64*S59</f>
        <v>3192.7899335876264</v>
      </c>
    </row>
    <row r="63" spans="1:23">
      <c r="A63"/>
      <c r="B63" s="186" t="s">
        <v>380</v>
      </c>
      <c r="C63" s="191" t="s">
        <v>35</v>
      </c>
      <c r="D63" s="238" t="str">
        <f>+IFERROR(D62/#REF!-1," ")</f>
        <v xml:space="preserve"> </v>
      </c>
      <c r="E63" s="239">
        <f t="shared" ref="E63:L63" si="40">+IFERROR(E62/D62-1," ")</f>
        <v>6.409567361767464</v>
      </c>
      <c r="F63" s="239">
        <f t="shared" si="40"/>
        <v>-6.1213280581816409E-2</v>
      </c>
      <c r="G63" s="239">
        <f t="shared" si="40"/>
        <v>-0.206364652469891</v>
      </c>
      <c r="H63" s="239">
        <f t="shared" si="40"/>
        <v>-0.66868552712929263</v>
      </c>
      <c r="I63" s="239">
        <f t="shared" si="40"/>
        <v>0.54682948009675214</v>
      </c>
      <c r="J63" s="261">
        <f t="shared" si="40"/>
        <v>-5.3757117141171817E-2</v>
      </c>
      <c r="K63" s="239">
        <f t="shared" si="40"/>
        <v>0.11843836299787402</v>
      </c>
      <c r="L63" s="239">
        <f t="shared" si="40"/>
        <v>-0.33705531211749695</v>
      </c>
      <c r="M63" s="239">
        <f t="shared" ref="M63:S63" si="41">+IFERROR(M62/L62-1," ")</f>
        <v>0.65944779271227061</v>
      </c>
      <c r="N63" s="261">
        <f t="shared" si="41"/>
        <v>0.76496249240666025</v>
      </c>
      <c r="O63" s="239">
        <f t="shared" si="41"/>
        <v>0.19135383939484885</v>
      </c>
      <c r="P63" s="239">
        <f t="shared" si="41"/>
        <v>0.12855736470028245</v>
      </c>
      <c r="Q63" s="239">
        <f t="shared" si="41"/>
        <v>3.8053560109867046E-2</v>
      </c>
      <c r="R63" s="239">
        <f t="shared" si="41"/>
        <v>9.6264078091106375E-2</v>
      </c>
      <c r="S63" s="239">
        <f t="shared" si="41"/>
        <v>4.0300000000000002E-2</v>
      </c>
    </row>
    <row r="64" spans="1:23">
      <c r="A64"/>
      <c r="B64" s="1450" t="s">
        <v>381</v>
      </c>
      <c r="C64" s="1443" t="s">
        <v>35</v>
      </c>
      <c r="D64" s="1481">
        <f t="shared" ref="D64:I64" si="42">+D62/D59</f>
        <v>9.8606013860359446E-3</v>
      </c>
      <c r="E64" s="1481">
        <f t="shared" si="42"/>
        <v>7.6182881198029379E-2</v>
      </c>
      <c r="F64" s="1481">
        <f t="shared" si="42"/>
        <v>6.5978655199005115E-2</v>
      </c>
      <c r="G64" s="1481">
        <f t="shared" si="42"/>
        <v>0.13515703607284563</v>
      </c>
      <c r="H64" s="1481">
        <f t="shared" si="42"/>
        <v>0.12131119237821159</v>
      </c>
      <c r="I64" s="1481">
        <f t="shared" si="42"/>
        <v>7.7150670305442481E-2</v>
      </c>
      <c r="J64" s="372">
        <f t="shared" ref="J64:N64" si="43">+J62/J59</f>
        <v>6.9834106944416344E-2</v>
      </c>
      <c r="K64" s="1481">
        <f t="shared" si="43"/>
        <v>5.1152273513213997E-2</v>
      </c>
      <c r="L64" s="1481">
        <f t="shared" si="43"/>
        <v>5.7383966676861506E-2</v>
      </c>
      <c r="M64" s="1482">
        <f t="shared" si="43"/>
        <v>8.1334896855223771E-2</v>
      </c>
      <c r="N64" s="1483">
        <f t="shared" si="43"/>
        <v>7.1167905049276226E-2</v>
      </c>
      <c r="O64" s="1484">
        <v>8.5000000000000006E-2</v>
      </c>
      <c r="P64" s="1481">
        <f t="shared" ref="P64:S64" si="44">+O64</f>
        <v>8.5000000000000006E-2</v>
      </c>
      <c r="Q64" s="1481">
        <f t="shared" si="44"/>
        <v>8.5000000000000006E-2</v>
      </c>
      <c r="R64" s="1481">
        <f t="shared" si="44"/>
        <v>8.5000000000000006E-2</v>
      </c>
      <c r="S64" s="1481">
        <f t="shared" si="44"/>
        <v>8.5000000000000006E-2</v>
      </c>
    </row>
    <row r="65" spans="1:19">
      <c r="A65"/>
      <c r="B65" s="17"/>
      <c r="C65" s="18"/>
      <c r="D65" s="74"/>
      <c r="E65" s="74"/>
      <c r="F65" s="74"/>
      <c r="G65" s="74"/>
      <c r="H65" s="74"/>
      <c r="I65" s="74"/>
      <c r="J65" s="74"/>
      <c r="K65" s="74"/>
      <c r="L65" s="74"/>
    </row>
    <row r="66" spans="1:19">
      <c r="A66"/>
      <c r="B66" s="153" t="s">
        <v>382</v>
      </c>
      <c r="C66" s="1355" t="s">
        <v>59</v>
      </c>
      <c r="D66" s="1205">
        <f>+'Annual FS'!D10</f>
        <v>945.50181947999999</v>
      </c>
      <c r="E66" s="1205">
        <f>+'Annual FS'!E10</f>
        <v>640.97686670000007</v>
      </c>
      <c r="F66" s="1205">
        <f>+'Annual FS'!F10</f>
        <v>607.02293759999998</v>
      </c>
      <c r="G66" s="1205">
        <f>+'Annual FS'!G10</f>
        <v>855.14835819999985</v>
      </c>
      <c r="H66" s="1205">
        <f>+'Annual FS'!H10</f>
        <v>318.86278400000009</v>
      </c>
      <c r="I66" s="1205">
        <f>+'Annual FS'!I10</f>
        <v>0</v>
      </c>
      <c r="J66" s="1422">
        <f>+'Annual FS'!J10</f>
        <v>0</v>
      </c>
      <c r="K66" s="175">
        <f>+J66*(1+Drivers!K9)</f>
        <v>0</v>
      </c>
      <c r="L66" s="175">
        <f>+K66*(1+Drivers!L9)</f>
        <v>0</v>
      </c>
      <c r="M66" s="175">
        <f>+L66*(1+Drivers!M9)</f>
        <v>0</v>
      </c>
      <c r="N66" s="1485">
        <f>+M66*(1+Drivers!N9)</f>
        <v>0</v>
      </c>
      <c r="O66" s="175">
        <f>+N66*(1+Drivers!O9)</f>
        <v>0</v>
      </c>
      <c r="P66" s="175">
        <f>+O66*(1+Drivers!P9)</f>
        <v>0</v>
      </c>
      <c r="Q66" s="175">
        <f>+P66*(1+Drivers!Q9)</f>
        <v>0</v>
      </c>
      <c r="R66" s="175">
        <f>+Q66*(1+Drivers!R9)</f>
        <v>0</v>
      </c>
      <c r="S66" s="175">
        <f>+R66*(1+Drivers!S9)</f>
        <v>0</v>
      </c>
    </row>
    <row r="67" spans="1:19">
      <c r="A67"/>
      <c r="B67" s="186" t="s">
        <v>375</v>
      </c>
      <c r="C67" s="240" t="s">
        <v>35</v>
      </c>
      <c r="D67" s="238" t="str">
        <f>+IFERROR(D66/#REF!-1," ")</f>
        <v xml:space="preserve"> </v>
      </c>
      <c r="E67" s="239">
        <f t="shared" ref="E67:L67" si="45">+IFERROR(E66/D66-1," ")</f>
        <v>-0.32207759573374517</v>
      </c>
      <c r="F67" s="239">
        <f t="shared" si="45"/>
        <v>-5.2972159938950991E-2</v>
      </c>
      <c r="G67" s="239">
        <f t="shared" si="45"/>
        <v>0.40875789897004355</v>
      </c>
      <c r="H67" s="239">
        <f t="shared" si="45"/>
        <v>-0.62712577187053986</v>
      </c>
      <c r="I67" s="239">
        <f t="shared" si="45"/>
        <v>-1</v>
      </c>
      <c r="J67" s="261" t="str">
        <f t="shared" si="45"/>
        <v xml:space="preserve"> </v>
      </c>
      <c r="K67" s="239" t="str">
        <f t="shared" si="45"/>
        <v xml:space="preserve"> </v>
      </c>
      <c r="L67" s="239" t="str">
        <f t="shared" si="45"/>
        <v xml:space="preserve"> </v>
      </c>
      <c r="M67" s="239" t="str">
        <f t="shared" ref="M67:S67" si="46">+IFERROR(M66/L66-1," ")</f>
        <v xml:space="preserve"> </v>
      </c>
      <c r="N67" s="261" t="str">
        <f t="shared" si="46"/>
        <v xml:space="preserve"> </v>
      </c>
      <c r="O67" s="239" t="str">
        <f t="shared" si="46"/>
        <v xml:space="preserve"> </v>
      </c>
      <c r="P67" s="239" t="str">
        <f t="shared" si="46"/>
        <v xml:space="preserve"> </v>
      </c>
      <c r="Q67" s="239" t="str">
        <f t="shared" si="46"/>
        <v xml:space="preserve"> </v>
      </c>
      <c r="R67" s="239" t="str">
        <f t="shared" si="46"/>
        <v xml:space="preserve"> </v>
      </c>
      <c r="S67" s="239" t="str">
        <f t="shared" si="46"/>
        <v xml:space="preserve"> </v>
      </c>
    </row>
    <row r="68" spans="1:19">
      <c r="A68"/>
      <c r="B68" s="17"/>
      <c r="C68" s="24"/>
      <c r="D68" s="163"/>
      <c r="E68" s="163"/>
      <c r="F68" s="163"/>
      <c r="G68" s="163"/>
      <c r="H68" s="163"/>
      <c r="I68" s="163"/>
      <c r="J68" s="163"/>
      <c r="K68" s="163"/>
      <c r="L68" s="163"/>
    </row>
    <row r="69" spans="1:19">
      <c r="A69"/>
      <c r="B69" s="1356" t="s">
        <v>383</v>
      </c>
      <c r="C69" s="1355" t="s">
        <v>59</v>
      </c>
      <c r="D69" s="1357">
        <f t="shared" ref="D69:I69" si="47">+D59+D62+D66</f>
        <v>36281.367098259994</v>
      </c>
      <c r="E69" s="1357">
        <f t="shared" si="47"/>
        <v>36755.280157850008</v>
      </c>
      <c r="F69" s="1357">
        <f t="shared" si="47"/>
        <v>39382.981392630005</v>
      </c>
      <c r="G69" s="1357">
        <f t="shared" si="47"/>
        <v>16852.783245839997</v>
      </c>
      <c r="H69" s="1357">
        <f t="shared" si="47"/>
        <v>6152.0267988899996</v>
      </c>
      <c r="I69" s="1357">
        <f t="shared" si="47"/>
        <v>13628.814960450003</v>
      </c>
      <c r="J69" s="1486">
        <f t="shared" ref="J69" si="48">+J59+J62+J66</f>
        <v>14150.533845459999</v>
      </c>
      <c r="K69" s="1357">
        <f t="shared" ref="K69:S69" si="49">+K59+K62</f>
        <v>21229.350959210002</v>
      </c>
      <c r="L69" s="1357">
        <f t="shared" si="49"/>
        <v>12619.88722998</v>
      </c>
      <c r="M69" s="1357">
        <f>+M59+M62</f>
        <v>15109.852025819999</v>
      </c>
      <c r="N69" s="1486">
        <f>+N59+N62</f>
        <v>30191.574558539996</v>
      </c>
      <c r="O69" s="1357">
        <f>+O59+O62</f>
        <v>30504.504468284191</v>
      </c>
      <c r="P69" s="1357">
        <f t="shared" si="49"/>
        <v>34426.0831742148</v>
      </c>
      <c r="Q69" s="1357">
        <f t="shared" si="49"/>
        <v>35736.118199632059</v>
      </c>
      <c r="R69" s="1357">
        <f t="shared" si="49"/>
        <v>39176.222672674448</v>
      </c>
      <c r="S69" s="1357">
        <f t="shared" si="49"/>
        <v>40755.024446383228</v>
      </c>
    </row>
    <row r="70" spans="1:19">
      <c r="A70"/>
      <c r="B70" s="241" t="s">
        <v>360</v>
      </c>
      <c r="C70" s="240" t="s">
        <v>35</v>
      </c>
      <c r="D70" s="242"/>
      <c r="E70" s="242">
        <f t="shared" ref="E70:L70" si="50">+E69/D69-1</f>
        <v>1.306216103452007E-2</v>
      </c>
      <c r="F70" s="242">
        <f t="shared" si="50"/>
        <v>7.1491802633390833E-2</v>
      </c>
      <c r="G70" s="242">
        <f t="shared" si="50"/>
        <v>-0.57207954680155915</v>
      </c>
      <c r="H70" s="242">
        <f t="shared" si="50"/>
        <v>-0.63495484934759427</v>
      </c>
      <c r="I70" s="242">
        <f t="shared" si="50"/>
        <v>1.215337384893874</v>
      </c>
      <c r="J70" s="260">
        <f t="shared" si="50"/>
        <v>3.8280575862537747E-2</v>
      </c>
      <c r="K70" s="242">
        <f t="shared" si="50"/>
        <v>0.50025088742649393</v>
      </c>
      <c r="L70" s="242">
        <f t="shared" si="50"/>
        <v>-0.4055453106301834</v>
      </c>
      <c r="M70" s="242">
        <f t="shared" ref="M70:S70" si="51">+M69/L69-1</f>
        <v>0.19730483723537562</v>
      </c>
      <c r="N70" s="260">
        <f>+N69/M69-1</f>
        <v>0.9981383343098309</v>
      </c>
      <c r="O70" s="242">
        <f t="shared" si="51"/>
        <v>1.0364809199912228E-2</v>
      </c>
      <c r="P70" s="242">
        <f t="shared" si="51"/>
        <v>0.12855736470028245</v>
      </c>
      <c r="Q70" s="242">
        <f t="shared" si="51"/>
        <v>3.8053560109866824E-2</v>
      </c>
      <c r="R70" s="242">
        <f t="shared" si="51"/>
        <v>9.6264078091106375E-2</v>
      </c>
      <c r="S70" s="242">
        <f t="shared" si="51"/>
        <v>4.0300000000000002E-2</v>
      </c>
    </row>
    <row r="71" spans="1:19">
      <c r="A71"/>
      <c r="B71" s="17"/>
      <c r="C71" s="18"/>
      <c r="D71" s="143"/>
      <c r="E71" s="143"/>
      <c r="F71" s="143"/>
      <c r="G71" s="143"/>
      <c r="H71" s="143"/>
      <c r="I71" s="143"/>
      <c r="J71" s="143"/>
      <c r="K71" s="143"/>
      <c r="L71" s="143"/>
      <c r="M71" s="143"/>
      <c r="N71" s="143"/>
      <c r="O71" s="143"/>
      <c r="P71" s="143"/>
      <c r="Q71" s="143"/>
      <c r="R71" s="143"/>
      <c r="S71" s="143"/>
    </row>
    <row r="72" spans="1:19">
      <c r="A72"/>
      <c r="B72" s="243" t="s">
        <v>384</v>
      </c>
      <c r="C72" s="246"/>
      <c r="D72" s="258">
        <f>+SUM(D73:D74)</f>
        <v>35335.865278779995</v>
      </c>
      <c r="E72" s="258">
        <f>+SUM(E73:E74)</f>
        <v>36114.303291150005</v>
      </c>
      <c r="F72" s="258">
        <f>+SUM(F73:F74)</f>
        <v>38775.958455030006</v>
      </c>
      <c r="G72" s="258">
        <f>+SUM(G73:G74)</f>
        <v>15997.634887639997</v>
      </c>
      <c r="H72" s="258">
        <f t="shared" ref="H72:Q72" si="52">+SUM(H73:H74)</f>
        <v>5833.1640148899996</v>
      </c>
      <c r="I72" s="258">
        <f t="shared" si="52"/>
        <v>13628.814960450003</v>
      </c>
      <c r="J72" s="258">
        <f t="shared" ref="J72" si="53">+SUM(J73:J74)</f>
        <v>14150.533845459999</v>
      </c>
      <c r="K72" s="258">
        <f t="shared" si="52"/>
        <v>21229.350959210002</v>
      </c>
      <c r="L72" s="258">
        <f t="shared" si="52"/>
        <v>12619.88722998</v>
      </c>
      <c r="M72" s="258">
        <f t="shared" si="52"/>
        <v>15109.852025819999</v>
      </c>
      <c r="N72" s="258">
        <f t="shared" si="52"/>
        <v>30191.574558539996</v>
      </c>
      <c r="O72" s="258">
        <f t="shared" si="52"/>
        <v>30504.504468284191</v>
      </c>
      <c r="P72" s="258">
        <f t="shared" si="52"/>
        <v>34426.0831742148</v>
      </c>
      <c r="Q72" s="258">
        <f t="shared" si="52"/>
        <v>35736.118199632059</v>
      </c>
      <c r="R72" s="258">
        <f>+SUM(R73:R74)</f>
        <v>39176.222672674448</v>
      </c>
      <c r="S72" s="258">
        <f>+SUM(S73:S74)</f>
        <v>40755.024446383228</v>
      </c>
    </row>
    <row r="73" spans="1:19">
      <c r="A73"/>
      <c r="B73" s="1338" t="s">
        <v>61</v>
      </c>
      <c r="C73" s="1358"/>
      <c r="D73" s="1359">
        <f t="shared" ref="D73:R73" si="54">+D59</f>
        <v>34990.834606559998</v>
      </c>
      <c r="E73" s="1359">
        <f t="shared" si="54"/>
        <v>33557.775283460003</v>
      </c>
      <c r="F73" s="1359">
        <f t="shared" si="54"/>
        <v>36375.923913590006</v>
      </c>
      <c r="G73" s="1359">
        <f t="shared" si="54"/>
        <v>14092.882640259997</v>
      </c>
      <c r="H73" s="1359">
        <f t="shared" si="54"/>
        <v>5202.0920280999999</v>
      </c>
      <c r="I73" s="1359">
        <f t="shared" si="54"/>
        <v>12652.654207220003</v>
      </c>
      <c r="J73" s="1487">
        <f t="shared" ref="J73" si="55">+J59</f>
        <v>13226.848680189998</v>
      </c>
      <c r="K73" s="1359">
        <f t="shared" si="54"/>
        <v>20196.26603504</v>
      </c>
      <c r="L73" s="1359">
        <f t="shared" si="54"/>
        <v>11935.00906737</v>
      </c>
      <c r="M73" s="1359">
        <f t="shared" si="54"/>
        <v>13973.332470599998</v>
      </c>
      <c r="N73" s="1359">
        <f t="shared" si="54"/>
        <v>28185.660171689997</v>
      </c>
      <c r="O73" s="1359">
        <f t="shared" si="54"/>
        <v>28114.750662013081</v>
      </c>
      <c r="P73" s="1359">
        <f t="shared" si="54"/>
        <v>31729.108916327004</v>
      </c>
      <c r="Q73" s="1359">
        <f t="shared" si="54"/>
        <v>32936.51446970697</v>
      </c>
      <c r="R73" s="1359">
        <f t="shared" si="54"/>
        <v>36107.117670667692</v>
      </c>
      <c r="S73" s="1359">
        <f>+S59</f>
        <v>37562.2345127956</v>
      </c>
    </row>
    <row r="74" spans="1:19">
      <c r="A74"/>
      <c r="B74" s="247" t="s">
        <v>385</v>
      </c>
      <c r="C74" s="244" t="s">
        <v>203</v>
      </c>
      <c r="D74" s="259">
        <f t="shared" ref="D74:R74" si="56">+D62</f>
        <v>345.03067221999999</v>
      </c>
      <c r="E74" s="259">
        <f t="shared" si="56"/>
        <v>2556.5280076899999</v>
      </c>
      <c r="F74" s="259">
        <f t="shared" si="56"/>
        <v>2400.0345414399999</v>
      </c>
      <c r="G74" s="259">
        <f t="shared" si="56"/>
        <v>1904.7522473800002</v>
      </c>
      <c r="H74" s="259">
        <f t="shared" si="56"/>
        <v>631.07198678999998</v>
      </c>
      <c r="I74" s="259">
        <f t="shared" si="56"/>
        <v>976.16075323000007</v>
      </c>
      <c r="J74" s="374">
        <f t="shared" ref="J74" si="57">+J62</f>
        <v>923.68516527000043</v>
      </c>
      <c r="K74" s="259">
        <f t="shared" si="56"/>
        <v>1033.08492417</v>
      </c>
      <c r="L74" s="259">
        <f t="shared" si="56"/>
        <v>684.87816261</v>
      </c>
      <c r="M74" s="259">
        <f t="shared" si="56"/>
        <v>1136.51955522</v>
      </c>
      <c r="N74" s="259">
        <f t="shared" si="56"/>
        <v>2005.9143868500003</v>
      </c>
      <c r="O74" s="259">
        <f t="shared" si="56"/>
        <v>2389.7538062711119</v>
      </c>
      <c r="P74" s="259">
        <f t="shared" si="56"/>
        <v>2696.9742578877954</v>
      </c>
      <c r="Q74" s="259">
        <f t="shared" si="56"/>
        <v>2799.6037299250925</v>
      </c>
      <c r="R74" s="259">
        <f t="shared" si="56"/>
        <v>3069.1050020067541</v>
      </c>
      <c r="S74" s="259">
        <f>+S62</f>
        <v>3192.7899335876264</v>
      </c>
    </row>
    <row r="75" spans="1:19">
      <c r="A75"/>
      <c r="B75" s="106"/>
      <c r="C75" s="106"/>
      <c r="D75" s="107"/>
      <c r="E75" s="107"/>
      <c r="F75" s="107"/>
      <c r="G75" s="107"/>
      <c r="H75" s="107"/>
      <c r="I75" s="107"/>
      <c r="J75" s="107"/>
      <c r="K75" s="107"/>
      <c r="L75" s="107"/>
    </row>
  </sheetData>
  <pageMargins left="0.7" right="0.7" top="0.75" bottom="0.75" header="0.3" footer="0.3"/>
  <pageSetup scale="5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Y180"/>
  <sheetViews>
    <sheetView showGridLines="0" zoomScaleNormal="100" workbookViewId="0">
      <pane xSplit="3" ySplit="3" topLeftCell="D4" activePane="bottomRight" state="frozen"/>
      <selection pane="topRight" activeCell="D1" sqref="D1"/>
      <selection pane="bottomLeft" activeCell="A4" sqref="A4"/>
      <selection pane="bottomRight" activeCell="F24" sqref="F24"/>
    </sheetView>
  </sheetViews>
  <sheetFormatPr baseColWidth="10" defaultColWidth="9.1796875" defaultRowHeight="14.5"/>
  <cols>
    <col min="1" max="1" width="1.7265625" style="130" customWidth="1"/>
    <col min="2" max="2" width="20.7265625" customWidth="1"/>
    <col min="4" max="15" width="12.7265625" customWidth="1"/>
  </cols>
  <sheetData>
    <row r="1" spans="1:17" ht="18">
      <c r="B1" s="12" t="s">
        <v>58</v>
      </c>
    </row>
    <row r="2" spans="1:17">
      <c r="O2" s="1585"/>
      <c r="P2" s="1585"/>
    </row>
    <row r="3" spans="1:17">
      <c r="A3" s="13" t="s">
        <v>386</v>
      </c>
      <c r="B3" s="13"/>
      <c r="C3" s="119"/>
      <c r="D3" s="20">
        <v>2009</v>
      </c>
      <c r="E3" s="20">
        <v>2010</v>
      </c>
      <c r="F3" s="20">
        <v>2011</v>
      </c>
      <c r="G3" s="20">
        <v>2012</v>
      </c>
      <c r="H3" s="20">
        <v>2013</v>
      </c>
      <c r="I3" s="20">
        <v>2014</v>
      </c>
      <c r="J3" s="20">
        <v>2015</v>
      </c>
      <c r="K3" s="21">
        <v>2016</v>
      </c>
      <c r="L3" s="21">
        <v>2017</v>
      </c>
      <c r="M3" s="21">
        <v>2018</v>
      </c>
      <c r="N3" s="21">
        <v>2019</v>
      </c>
      <c r="O3" s="21">
        <v>2020</v>
      </c>
    </row>
    <row r="5" spans="1:17">
      <c r="B5" s="47" t="s">
        <v>387</v>
      </c>
      <c r="C5" s="51" t="s">
        <v>388</v>
      </c>
      <c r="D5" s="1360">
        <v>670.4969046979005</v>
      </c>
      <c r="E5" s="1360">
        <v>785.75502499999993</v>
      </c>
      <c r="F5" s="1360">
        <v>914.94405140168965</v>
      </c>
      <c r="G5" s="1360">
        <v>943.98915</v>
      </c>
      <c r="H5" s="1360">
        <v>1005.5</v>
      </c>
      <c r="I5" s="1360">
        <v>989.91666666666663</v>
      </c>
      <c r="J5" s="926">
        <v>1029</v>
      </c>
      <c r="K5" s="926">
        <v>1094</v>
      </c>
      <c r="L5" s="926">
        <v>1130</v>
      </c>
      <c r="M5" s="926">
        <v>1146</v>
      </c>
      <c r="N5" s="926">
        <v>1131</v>
      </c>
      <c r="O5" s="926">
        <v>1100</v>
      </c>
      <c r="Q5" s="220"/>
    </row>
    <row r="6" spans="1:17">
      <c r="B6" s="186" t="s">
        <v>389</v>
      </c>
      <c r="C6" s="191" t="s">
        <v>35</v>
      </c>
      <c r="D6" s="931"/>
      <c r="E6" s="1361">
        <f t="shared" ref="E6:O6" si="0">+E5/D5-1</f>
        <v>0.17189955612700425</v>
      </c>
      <c r="F6" s="1361">
        <f t="shared" si="0"/>
        <v>0.16441387237923144</v>
      </c>
      <c r="G6" s="1361">
        <f t="shared" si="0"/>
        <v>3.1745218250026852E-2</v>
      </c>
      <c r="H6" s="1361">
        <f t="shared" si="0"/>
        <v>6.5160547660955581E-2</v>
      </c>
      <c r="I6" s="1361">
        <f t="shared" si="0"/>
        <v>-1.5498093817338021E-2</v>
      </c>
      <c r="J6" s="1362">
        <f t="shared" si="0"/>
        <v>3.9481437831467403E-2</v>
      </c>
      <c r="K6" s="1362">
        <f t="shared" si="0"/>
        <v>6.31681243926141E-2</v>
      </c>
      <c r="L6" s="1362">
        <f t="shared" si="0"/>
        <v>3.2906764168190161E-2</v>
      </c>
      <c r="M6" s="1362">
        <f t="shared" si="0"/>
        <v>1.4159292035398341E-2</v>
      </c>
      <c r="N6" s="1362">
        <f t="shared" si="0"/>
        <v>-1.308900523560208E-2</v>
      </c>
      <c r="O6" s="1362">
        <f t="shared" si="0"/>
        <v>-2.7409372236958496E-2</v>
      </c>
    </row>
    <row r="7" spans="1:17">
      <c r="B7" s="117" t="s">
        <v>390</v>
      </c>
      <c r="C7" s="18"/>
      <c r="D7" s="102"/>
      <c r="E7" s="196"/>
      <c r="F7" s="196"/>
      <c r="G7" s="196"/>
      <c r="H7" s="196"/>
      <c r="I7" s="196"/>
      <c r="J7" s="127"/>
      <c r="K7" s="127"/>
      <c r="L7" s="127"/>
      <c r="M7" s="127"/>
      <c r="N7" s="127"/>
      <c r="O7" s="127"/>
    </row>
    <row r="8" spans="1:17">
      <c r="B8" s="17"/>
    </row>
    <row r="9" spans="1:17">
      <c r="B9" s="47" t="s">
        <v>157</v>
      </c>
      <c r="C9" s="51" t="s">
        <v>391</v>
      </c>
      <c r="D9" s="1360">
        <v>1988</v>
      </c>
      <c r="E9" s="1360">
        <v>2058</v>
      </c>
      <c r="F9" s="1360">
        <v>2259</v>
      </c>
      <c r="G9" s="1360">
        <v>2377</v>
      </c>
      <c r="H9" s="1360">
        <v>2445</v>
      </c>
      <c r="I9" s="1274"/>
      <c r="J9" s="1274"/>
      <c r="K9" s="1274"/>
      <c r="L9" s="1274"/>
      <c r="M9" s="1274"/>
      <c r="N9" s="1274"/>
      <c r="O9" s="1274"/>
    </row>
    <row r="10" spans="1:17">
      <c r="B10" s="186" t="s">
        <v>392</v>
      </c>
      <c r="C10" s="191" t="s">
        <v>259</v>
      </c>
      <c r="D10" s="1363">
        <v>8.1220164530934547</v>
      </c>
      <c r="E10" s="1363">
        <v>7.1789522017185021</v>
      </c>
      <c r="F10" s="1363">
        <v>6.7619827026876189</v>
      </c>
      <c r="G10" s="1363">
        <v>7</v>
      </c>
      <c r="H10" s="1363">
        <v>6.6</v>
      </c>
      <c r="I10" s="195"/>
      <c r="J10" s="195"/>
      <c r="K10" s="195"/>
      <c r="L10" s="195"/>
      <c r="M10" s="195"/>
      <c r="N10" s="195"/>
      <c r="O10" s="195"/>
    </row>
    <row r="11" spans="1:17">
      <c r="B11" s="17"/>
      <c r="C11" s="18"/>
      <c r="D11" s="103"/>
      <c r="E11" s="103"/>
      <c r="F11" s="103"/>
      <c r="G11" s="103"/>
      <c r="H11" s="103"/>
    </row>
    <row r="12" spans="1:17">
      <c r="A12" s="13" t="s">
        <v>353</v>
      </c>
      <c r="B12" s="119"/>
      <c r="C12" s="119"/>
      <c r="D12" s="20">
        <v>2009</v>
      </c>
      <c r="E12" s="20">
        <v>2010</v>
      </c>
      <c r="F12" s="20">
        <v>2011</v>
      </c>
      <c r="G12" s="20">
        <v>2012</v>
      </c>
      <c r="H12" s="20">
        <v>2013</v>
      </c>
      <c r="I12" s="20">
        <v>2014</v>
      </c>
      <c r="J12" s="20">
        <v>2015</v>
      </c>
      <c r="K12" s="21">
        <v>2016</v>
      </c>
      <c r="L12" s="21">
        <v>2017</v>
      </c>
      <c r="M12" s="21">
        <v>2018</v>
      </c>
      <c r="N12" s="21">
        <v>2019</v>
      </c>
      <c r="O12" s="21">
        <v>2020</v>
      </c>
    </row>
    <row r="13" spans="1:17">
      <c r="B13" s="70"/>
      <c r="D13" s="73"/>
      <c r="E13" s="73"/>
      <c r="F13" s="73"/>
      <c r="G13" s="73"/>
      <c r="H13" s="73"/>
      <c r="I13" s="73"/>
      <c r="J13" s="73"/>
      <c r="K13" s="73"/>
      <c r="L13" s="73"/>
      <c r="M13" s="73"/>
      <c r="N13" s="73"/>
      <c r="O13" s="73"/>
    </row>
    <row r="14" spans="1:17">
      <c r="B14" s="25" t="s">
        <v>393</v>
      </c>
      <c r="H14" s="17"/>
    </row>
    <row r="15" spans="1:17">
      <c r="B15" s="47" t="s">
        <v>394</v>
      </c>
      <c r="C15" s="51" t="s">
        <v>199</v>
      </c>
      <c r="D15" s="1360">
        <v>2138.8580162632475</v>
      </c>
      <c r="E15" s="1360">
        <v>2065.4581822456375</v>
      </c>
      <c r="F15" s="1360">
        <v>2311.6711285504871</v>
      </c>
      <c r="G15" s="1360">
        <v>2643.3986924010087</v>
      </c>
      <c r="H15" s="1360">
        <v>2750.9768861593357</v>
      </c>
      <c r="I15" s="1360">
        <v>2510.6268553931172</v>
      </c>
      <c r="J15" s="1360">
        <v>2319.61</v>
      </c>
      <c r="K15" s="1274"/>
      <c r="L15" s="1274"/>
      <c r="M15" s="1274"/>
      <c r="N15" s="1274"/>
      <c r="O15" s="1274"/>
    </row>
    <row r="16" spans="1:17">
      <c r="B16" s="17" t="s">
        <v>395</v>
      </c>
      <c r="C16" s="18" t="s">
        <v>199</v>
      </c>
      <c r="D16" s="67">
        <v>2301.875</v>
      </c>
      <c r="E16" s="67">
        <v>2161.3235294117649</v>
      </c>
      <c r="F16" s="67">
        <v>2423.1700723346544</v>
      </c>
      <c r="G16" s="67">
        <v>2794.3567988455643</v>
      </c>
      <c r="H16" s="67">
        <v>2434.2543320463324</v>
      </c>
      <c r="I16" s="67">
        <v>2707.1538461538462</v>
      </c>
      <c r="J16" s="67">
        <v>2544.33</v>
      </c>
      <c r="K16" s="134"/>
      <c r="L16" s="134"/>
      <c r="M16" s="134"/>
      <c r="N16" s="134"/>
      <c r="O16" s="134"/>
    </row>
    <row r="17" spans="2:15">
      <c r="B17" s="17" t="s">
        <v>396</v>
      </c>
      <c r="C17" s="18" t="s">
        <v>397</v>
      </c>
      <c r="E17" s="102"/>
      <c r="F17" s="67">
        <v>7.6880952380952383</v>
      </c>
      <c r="G17" s="67">
        <v>12.434234234234234</v>
      </c>
      <c r="H17" s="67">
        <v>10.1</v>
      </c>
      <c r="I17" s="67">
        <v>17.733333333333334</v>
      </c>
      <c r="J17" s="67">
        <f>840/30</f>
        <v>28</v>
      </c>
      <c r="K17" s="134"/>
      <c r="L17" s="134"/>
      <c r="M17" s="134"/>
      <c r="N17" s="134"/>
      <c r="O17" s="134"/>
    </row>
    <row r="18" spans="2:15">
      <c r="B18" s="186" t="s">
        <v>398</v>
      </c>
      <c r="C18" s="191" t="s">
        <v>397</v>
      </c>
      <c r="D18" s="194"/>
      <c r="E18" s="1364">
        <v>20.961631009570247</v>
      </c>
      <c r="F18" s="1364">
        <v>17.231224766936016</v>
      </c>
      <c r="G18" s="1364">
        <v>24.813900696648197</v>
      </c>
      <c r="H18" s="1364">
        <v>29.23232162336318</v>
      </c>
      <c r="I18" s="1364">
        <v>30.85393738894296</v>
      </c>
      <c r="J18" s="1364">
        <f>1141/30</f>
        <v>38.033333333333331</v>
      </c>
      <c r="K18" s="195"/>
      <c r="L18" s="195"/>
      <c r="M18" s="195"/>
      <c r="N18" s="195"/>
      <c r="O18" s="195"/>
    </row>
    <row r="19" spans="2:15">
      <c r="B19" s="17"/>
      <c r="C19" s="18"/>
      <c r="E19" s="136"/>
      <c r="F19" s="136"/>
      <c r="G19" s="136"/>
      <c r="H19" s="136"/>
      <c r="I19" s="136"/>
    </row>
    <row r="20" spans="2:15">
      <c r="B20" s="25" t="s">
        <v>399</v>
      </c>
      <c r="C20" s="18"/>
      <c r="E20" s="102"/>
      <c r="F20" s="102"/>
      <c r="G20" s="102"/>
      <c r="H20" s="102"/>
      <c r="I20" s="66"/>
    </row>
    <row r="21" spans="2:15">
      <c r="B21" s="47" t="s">
        <v>394</v>
      </c>
      <c r="C21" s="51" t="s">
        <v>35</v>
      </c>
      <c r="D21" s="76"/>
      <c r="E21" s="76">
        <f t="shared" ref="E21:J24" si="1">+IFERROR(E15/D15-1," ")</f>
        <v>-3.4317300849097565E-2</v>
      </c>
      <c r="F21" s="76">
        <f t="shared" si="1"/>
        <v>0.11920500178665372</v>
      </c>
      <c r="G21" s="76">
        <f t="shared" si="1"/>
        <v>0.14350119260196337</v>
      </c>
      <c r="H21" s="76">
        <f t="shared" si="1"/>
        <v>4.0696923270629792E-2</v>
      </c>
      <c r="I21" s="76">
        <f t="shared" si="1"/>
        <v>-8.7368974990470916E-2</v>
      </c>
      <c r="J21" s="76">
        <f t="shared" si="1"/>
        <v>-7.608333153243807E-2</v>
      </c>
      <c r="K21" s="1274"/>
      <c r="L21" s="1274"/>
      <c r="M21" s="1274"/>
      <c r="N21" s="1274"/>
      <c r="O21" s="1274"/>
    </row>
    <row r="22" spans="2:15">
      <c r="B22" s="17" t="s">
        <v>395</v>
      </c>
      <c r="C22" s="18" t="s">
        <v>35</v>
      </c>
      <c r="E22" s="32">
        <f t="shared" si="1"/>
        <v>-6.105955822459308E-2</v>
      </c>
      <c r="F22" s="32">
        <f t="shared" si="1"/>
        <v>0.12115101666160766</v>
      </c>
      <c r="G22" s="32">
        <f t="shared" si="1"/>
        <v>0.1531822841280317</v>
      </c>
      <c r="H22" s="32">
        <f t="shared" si="1"/>
        <v>-0.12886774765055109</v>
      </c>
      <c r="I22" s="32">
        <f t="shared" si="1"/>
        <v>0.11210805317869288</v>
      </c>
      <c r="J22" s="32">
        <f t="shared" si="1"/>
        <v>-6.0145767624243507E-2</v>
      </c>
      <c r="K22" s="134"/>
      <c r="L22" s="134"/>
      <c r="M22" s="134"/>
      <c r="N22" s="134"/>
      <c r="O22" s="134"/>
    </row>
    <row r="23" spans="2:15">
      <c r="B23" s="17" t="s">
        <v>396</v>
      </c>
      <c r="C23" s="18" t="s">
        <v>35</v>
      </c>
      <c r="E23" s="32" t="str">
        <f t="shared" si="1"/>
        <v xml:space="preserve"> </v>
      </c>
      <c r="F23" s="32" t="str">
        <f t="shared" si="1"/>
        <v xml:space="preserve"> </v>
      </c>
      <c r="G23" s="32">
        <f t="shared" si="1"/>
        <v>0.6173361345241184</v>
      </c>
      <c r="H23" s="32">
        <f t="shared" si="1"/>
        <v>-0.18772641646138244</v>
      </c>
      <c r="I23" s="32">
        <f t="shared" si="1"/>
        <v>0.75577557755775593</v>
      </c>
      <c r="J23" s="32">
        <f t="shared" si="1"/>
        <v>0.57894736842105265</v>
      </c>
      <c r="K23" s="134"/>
      <c r="L23" s="134"/>
      <c r="M23" s="134"/>
      <c r="N23" s="134"/>
      <c r="O23" s="134"/>
    </row>
    <row r="24" spans="2:15">
      <c r="B24" s="186" t="s">
        <v>398</v>
      </c>
      <c r="C24" s="191" t="s">
        <v>35</v>
      </c>
      <c r="D24" s="194"/>
      <c r="E24" s="230" t="str">
        <f t="shared" si="1"/>
        <v xml:space="preserve"> </v>
      </c>
      <c r="F24" s="230">
        <f t="shared" si="1"/>
        <v>-0.17796354877781584</v>
      </c>
      <c r="G24" s="230">
        <f t="shared" si="1"/>
        <v>0.44005437989887586</v>
      </c>
      <c r="H24" s="230">
        <f t="shared" si="1"/>
        <v>0.17806232807693201</v>
      </c>
      <c r="I24" s="230">
        <f t="shared" si="1"/>
        <v>5.5473382732753818E-2</v>
      </c>
      <c r="J24" s="230">
        <f t="shared" si="1"/>
        <v>0.2326897813360842</v>
      </c>
      <c r="K24" s="195"/>
      <c r="L24" s="195"/>
      <c r="M24" s="195"/>
      <c r="N24" s="195"/>
      <c r="O24" s="195"/>
    </row>
    <row r="25" spans="2:15">
      <c r="B25" s="17"/>
      <c r="F25" s="66"/>
      <c r="G25" s="66"/>
      <c r="H25" s="66"/>
      <c r="I25" s="66"/>
    </row>
    <row r="26" spans="2:15">
      <c r="B26" s="25" t="s">
        <v>400</v>
      </c>
      <c r="F26" s="66"/>
      <c r="G26" s="66"/>
      <c r="H26" s="66"/>
      <c r="I26" s="66"/>
    </row>
    <row r="27" spans="2:15">
      <c r="B27" s="47" t="s">
        <v>394</v>
      </c>
      <c r="C27" s="51" t="s">
        <v>199</v>
      </c>
      <c r="D27" s="58"/>
      <c r="E27" s="1360">
        <v>2174.7613409049063</v>
      </c>
      <c r="F27" s="1360">
        <v>2364.1802122724025</v>
      </c>
      <c r="G27" s="1360">
        <v>2754.6922653976335</v>
      </c>
      <c r="H27" s="1360">
        <v>2968.9863852385638</v>
      </c>
      <c r="I27" s="1365"/>
      <c r="J27" s="1366"/>
      <c r="K27" s="1274"/>
      <c r="L27" s="1274"/>
      <c r="M27" s="1274"/>
      <c r="N27" s="1274"/>
      <c r="O27" s="1274"/>
    </row>
    <row r="28" spans="2:15">
      <c r="B28" s="17" t="s">
        <v>401</v>
      </c>
      <c r="C28" s="18" t="s">
        <v>402</v>
      </c>
      <c r="E28" s="67">
        <v>11.942861125090607</v>
      </c>
      <c r="F28" s="67">
        <v>8.0024950509671147</v>
      </c>
      <c r="G28" s="67">
        <v>28.999294520733219</v>
      </c>
      <c r="H28" s="67">
        <v>14.598486100951312</v>
      </c>
      <c r="I28" s="151"/>
      <c r="J28" s="152"/>
      <c r="K28" s="134"/>
      <c r="L28" s="134"/>
      <c r="M28" s="134"/>
      <c r="N28" s="134"/>
      <c r="O28" s="134"/>
    </row>
    <row r="29" spans="2:15">
      <c r="B29" s="186" t="s">
        <v>403</v>
      </c>
      <c r="C29" s="191" t="s">
        <v>296</v>
      </c>
      <c r="D29" s="194"/>
      <c r="E29" s="1367">
        <v>21</v>
      </c>
      <c r="F29" s="1367">
        <v>29</v>
      </c>
      <c r="G29" s="1367">
        <v>19</v>
      </c>
      <c r="H29" s="1367">
        <v>22</v>
      </c>
      <c r="I29" s="1368"/>
      <c r="J29" s="1369"/>
      <c r="K29" s="195"/>
      <c r="L29" s="195"/>
      <c r="M29" s="195"/>
      <c r="N29" s="195"/>
      <c r="O29" s="195"/>
    </row>
    <row r="31" spans="2:15">
      <c r="B31" s="185" t="s">
        <v>399</v>
      </c>
      <c r="C31" s="191"/>
      <c r="D31" s="194"/>
      <c r="E31" s="230"/>
      <c r="F31" s="230"/>
      <c r="G31" s="230"/>
      <c r="H31" s="230"/>
      <c r="I31" s="230"/>
    </row>
    <row r="32" spans="2:15">
      <c r="B32" s="17" t="s">
        <v>404</v>
      </c>
      <c r="C32" s="18" t="s">
        <v>35</v>
      </c>
      <c r="E32" s="102"/>
      <c r="F32" s="110">
        <f t="shared" ref="F32:J34" si="2">+F27/E27-1</f>
        <v>8.7098693454188414E-2</v>
      </c>
      <c r="G32" s="32">
        <f t="shared" si="2"/>
        <v>0.1651786319410391</v>
      </c>
      <c r="H32" s="32">
        <f t="shared" si="2"/>
        <v>7.7792399003232093E-2</v>
      </c>
      <c r="I32" s="32">
        <f t="shared" si="2"/>
        <v>-1</v>
      </c>
      <c r="J32" s="76" t="e">
        <f t="shared" si="2"/>
        <v>#DIV/0!</v>
      </c>
      <c r="K32" s="1274"/>
      <c r="L32" s="1274"/>
      <c r="M32" s="1274"/>
      <c r="N32" s="1274"/>
      <c r="O32" s="1274"/>
    </row>
    <row r="33" spans="1:15">
      <c r="B33" s="17" t="s">
        <v>405</v>
      </c>
      <c r="C33" s="18" t="s">
        <v>35</v>
      </c>
      <c r="E33" s="102"/>
      <c r="F33" s="110">
        <f t="shared" si="2"/>
        <v>-0.32993484834594844</v>
      </c>
      <c r="G33" s="32">
        <f t="shared" si="2"/>
        <v>2.6237816251106092</v>
      </c>
      <c r="H33" s="32">
        <f t="shared" si="2"/>
        <v>-0.49659168120403629</v>
      </c>
      <c r="I33" s="32">
        <f t="shared" si="2"/>
        <v>-1</v>
      </c>
      <c r="J33" s="32" t="e">
        <f t="shared" si="2"/>
        <v>#DIV/0!</v>
      </c>
      <c r="K33" s="134"/>
      <c r="L33" s="134"/>
      <c r="M33" s="134"/>
      <c r="N33" s="134"/>
      <c r="O33" s="134"/>
    </row>
    <row r="34" spans="1:15">
      <c r="B34" s="186" t="s">
        <v>406</v>
      </c>
      <c r="C34" s="191" t="s">
        <v>35</v>
      </c>
      <c r="D34" s="194"/>
      <c r="E34" s="931"/>
      <c r="F34" s="216">
        <f t="shared" si="2"/>
        <v>0.38095238095238093</v>
      </c>
      <c r="G34" s="230">
        <f t="shared" si="2"/>
        <v>-0.34482758620689657</v>
      </c>
      <c r="H34" s="230">
        <f t="shared" si="2"/>
        <v>0.15789473684210531</v>
      </c>
      <c r="I34" s="230">
        <f t="shared" si="2"/>
        <v>-1</v>
      </c>
      <c r="J34" s="230" t="e">
        <f t="shared" si="2"/>
        <v>#DIV/0!</v>
      </c>
      <c r="K34" s="195"/>
      <c r="L34" s="195"/>
      <c r="M34" s="195"/>
      <c r="N34" s="195"/>
      <c r="O34" s="195"/>
    </row>
    <row r="35" spans="1:15">
      <c r="B35" s="17"/>
      <c r="F35" s="66"/>
      <c r="G35" s="66"/>
      <c r="H35" s="66"/>
      <c r="I35" s="66"/>
    </row>
    <row r="36" spans="1:15">
      <c r="A36"/>
      <c r="B36" s="25" t="s">
        <v>354</v>
      </c>
      <c r="C36" s="17"/>
      <c r="D36" s="17"/>
      <c r="E36" s="17"/>
      <c r="F36" s="17"/>
      <c r="G36" s="17"/>
      <c r="H36" s="17"/>
      <c r="I36" s="17"/>
      <c r="J36" s="17"/>
      <c r="K36" s="17"/>
      <c r="L36" s="17"/>
      <c r="M36" s="17"/>
      <c r="N36" s="17"/>
      <c r="O36" s="17"/>
    </row>
    <row r="37" spans="1:15">
      <c r="A37"/>
      <c r="B37" s="47" t="s">
        <v>12</v>
      </c>
      <c r="C37" s="51" t="s">
        <v>35</v>
      </c>
      <c r="D37" s="47"/>
      <c r="E37" s="59"/>
      <c r="F37" s="47"/>
      <c r="G37" s="47"/>
      <c r="H37" s="47"/>
      <c r="I37" s="135"/>
      <c r="J37" s="135"/>
      <c r="K37" s="135">
        <v>0.02</v>
      </c>
      <c r="L37" s="135">
        <f>+K37-(15%*K37)</f>
        <v>1.7000000000000001E-2</v>
      </c>
      <c r="M37" s="135">
        <f>+L37-(15%*L37)</f>
        <v>1.4450000000000001E-2</v>
      </c>
      <c r="N37" s="135">
        <f>+M37-(15%*M37)</f>
        <v>1.2282500000000002E-2</v>
      </c>
      <c r="O37" s="135">
        <f>+N37-(15%*N37)</f>
        <v>1.0440125000000001E-2</v>
      </c>
    </row>
    <row r="38" spans="1:15">
      <c r="A38"/>
      <c r="B38" s="17" t="s">
        <v>7</v>
      </c>
      <c r="C38" s="18" t="s">
        <v>35</v>
      </c>
      <c r="D38" s="17"/>
      <c r="E38" s="60"/>
      <c r="F38" s="17"/>
      <c r="G38" s="17"/>
      <c r="H38" s="17"/>
      <c r="I38" s="111"/>
      <c r="J38" s="111"/>
      <c r="K38" s="111">
        <v>0.01</v>
      </c>
      <c r="L38" s="111">
        <f t="shared" ref="L38:O39" si="3">+K38-(15%*K38)</f>
        <v>8.5000000000000006E-3</v>
      </c>
      <c r="M38" s="111">
        <f t="shared" si="3"/>
        <v>7.2250000000000005E-3</v>
      </c>
      <c r="N38" s="111">
        <f t="shared" si="3"/>
        <v>6.1412500000000009E-3</v>
      </c>
      <c r="O38" s="111">
        <f t="shared" si="3"/>
        <v>5.2200625000000007E-3</v>
      </c>
    </row>
    <row r="39" spans="1:15">
      <c r="A39"/>
      <c r="B39" s="17" t="s">
        <v>16</v>
      </c>
      <c r="C39" s="18" t="s">
        <v>35</v>
      </c>
      <c r="D39" s="17"/>
      <c r="E39" s="60"/>
      <c r="F39" s="17"/>
      <c r="G39" s="17"/>
      <c r="H39" s="17"/>
      <c r="I39" s="111"/>
      <c r="J39" s="111"/>
      <c r="K39" s="111">
        <v>0</v>
      </c>
      <c r="L39" s="111">
        <f>+K39-(15%*K39)</f>
        <v>0</v>
      </c>
      <c r="M39" s="111">
        <f t="shared" si="3"/>
        <v>0</v>
      </c>
      <c r="N39" s="111">
        <f t="shared" si="3"/>
        <v>0</v>
      </c>
      <c r="O39" s="111">
        <f t="shared" si="3"/>
        <v>0</v>
      </c>
    </row>
    <row r="40" spans="1:15">
      <c r="A40"/>
      <c r="B40" s="185" t="s">
        <v>17</v>
      </c>
      <c r="C40" s="192" t="s">
        <v>35</v>
      </c>
      <c r="D40" s="185"/>
      <c r="E40" s="185"/>
      <c r="F40" s="185"/>
      <c r="G40" s="185"/>
      <c r="H40" s="185"/>
      <c r="I40" s="1370">
        <f>+INDEX(I37:I39,Cover!$C$43)</f>
        <v>0</v>
      </c>
      <c r="J40" s="1370">
        <f>+INDEX(J37:J39,Cover!$C$43)</f>
        <v>0</v>
      </c>
      <c r="K40" s="1370">
        <f>+INDEX(K37:K39,Cover!$C$43)</f>
        <v>0.01</v>
      </c>
      <c r="L40" s="1370">
        <f>+INDEX(L37:L39,Cover!$C$43)</f>
        <v>8.5000000000000006E-3</v>
      </c>
      <c r="M40" s="1370">
        <f>+INDEX(M37:M39,Cover!$C$43)</f>
        <v>7.2250000000000005E-3</v>
      </c>
      <c r="N40" s="1370">
        <f>+INDEX(N37:N39,Cover!$C$43)</f>
        <v>6.1412500000000009E-3</v>
      </c>
      <c r="O40" s="1370">
        <f>+INDEX(O37:O39,Cover!$C$43)</f>
        <v>5.2200625000000007E-3</v>
      </c>
    </row>
    <row r="41" spans="1:15">
      <c r="A41"/>
    </row>
    <row r="42" spans="1:15">
      <c r="A42"/>
      <c r="B42" s="47" t="s">
        <v>355</v>
      </c>
      <c r="C42" s="51" t="s">
        <v>199</v>
      </c>
      <c r="D42" s="63"/>
      <c r="E42" s="63"/>
      <c r="F42" s="63"/>
      <c r="G42" s="63"/>
      <c r="H42" s="63"/>
      <c r="I42" s="63">
        <f>+I15</f>
        <v>2510.6268553931172</v>
      </c>
      <c r="J42" s="63">
        <v>2475.1910080119064</v>
      </c>
      <c r="K42" s="64">
        <f>+J42*(1+K40)</f>
        <v>2499.9429180920256</v>
      </c>
      <c r="L42" s="64">
        <f>+K42*(1+L40)</f>
        <v>2521.1924328958075</v>
      </c>
      <c r="M42" s="64">
        <f>+L42*(1+M40)</f>
        <v>2539.4080482234799</v>
      </c>
      <c r="N42" s="64">
        <f>+M42*(1+N40)</f>
        <v>2555.0031878996324</v>
      </c>
      <c r="O42" s="64">
        <f>+N42*(1+O40)</f>
        <v>2568.340464228168</v>
      </c>
    </row>
    <row r="43" spans="1:15">
      <c r="A43"/>
      <c r="B43" s="186" t="s">
        <v>356</v>
      </c>
      <c r="C43" s="191" t="s">
        <v>35</v>
      </c>
      <c r="D43" s="231"/>
      <c r="E43" s="231"/>
      <c r="F43" s="231"/>
      <c r="G43" s="231"/>
      <c r="H43" s="231"/>
      <c r="I43" s="231"/>
      <c r="J43" s="231">
        <f t="shared" ref="J43:O43" si="4">+J42/I42-1</f>
        <v>-1.4114342521705514E-2</v>
      </c>
      <c r="K43" s="231">
        <f t="shared" si="4"/>
        <v>1.0000000000000009E-2</v>
      </c>
      <c r="L43" s="231">
        <f t="shared" si="4"/>
        <v>8.499999999999952E-3</v>
      </c>
      <c r="M43" s="231">
        <f t="shared" si="4"/>
        <v>7.2250000000000369E-3</v>
      </c>
      <c r="N43" s="231">
        <f t="shared" si="4"/>
        <v>6.141249999999987E-3</v>
      </c>
      <c r="O43" s="231">
        <f t="shared" si="4"/>
        <v>5.2200625000000667E-3</v>
      </c>
    </row>
    <row r="44" spans="1:15">
      <c r="A44"/>
      <c r="B44" s="17"/>
      <c r="C44" s="18"/>
      <c r="D44" s="69"/>
      <c r="E44" s="69"/>
      <c r="F44" s="69"/>
      <c r="G44" s="69"/>
      <c r="H44" s="69"/>
      <c r="I44" s="69"/>
      <c r="J44" s="214"/>
      <c r="K44" s="69"/>
      <c r="L44" s="69"/>
      <c r="M44" s="69"/>
      <c r="N44" s="69"/>
      <c r="O44" s="69"/>
    </row>
    <row r="45" spans="1:15">
      <c r="A45"/>
      <c r="B45" s="153" t="s">
        <v>357</v>
      </c>
      <c r="C45" s="154" t="s">
        <v>59</v>
      </c>
      <c r="D45" s="155"/>
      <c r="E45" s="155"/>
      <c r="F45" s="155"/>
      <c r="G45" s="155"/>
      <c r="H45" s="155"/>
      <c r="I45" s="156">
        <f>+I42*Drivers!F11/1000000</f>
        <v>5.0220742386700143</v>
      </c>
      <c r="J45" s="156">
        <f>+J42*2100/1000000</f>
        <v>5.1979011168250029</v>
      </c>
      <c r="K45" s="157">
        <f>+J45*(1+K40)</f>
        <v>5.2498801279932525</v>
      </c>
      <c r="L45" s="155">
        <f>+K45*(1+L40)</f>
        <v>5.2945041090811946</v>
      </c>
      <c r="M45" s="155">
        <f>+L45*(1+M40)</f>
        <v>5.3327569012693061</v>
      </c>
      <c r="N45" s="155">
        <f>+M45*(1+N40)</f>
        <v>5.365506694589226</v>
      </c>
      <c r="O45" s="155">
        <f>+N45*(1+O40)</f>
        <v>5.3935149748791504</v>
      </c>
    </row>
    <row r="46" spans="1:15">
      <c r="A46"/>
      <c r="B46" s="186" t="s">
        <v>356</v>
      </c>
      <c r="C46" s="191" t="s">
        <v>35</v>
      </c>
      <c r="D46" s="231"/>
      <c r="E46" s="231"/>
      <c r="F46" s="231"/>
      <c r="G46" s="231"/>
      <c r="H46" s="231"/>
      <c r="I46" s="231"/>
      <c r="J46" s="231">
        <f t="shared" ref="J46:O46" si="5">+J45/I45-1</f>
        <v>3.5010808243558067E-2</v>
      </c>
      <c r="K46" s="231">
        <f t="shared" si="5"/>
        <v>1.0000000000000009E-2</v>
      </c>
      <c r="L46" s="231">
        <f t="shared" si="5"/>
        <v>8.499999999999952E-3</v>
      </c>
      <c r="M46" s="231">
        <f t="shared" si="5"/>
        <v>7.2250000000000369E-3</v>
      </c>
      <c r="N46" s="231">
        <f t="shared" si="5"/>
        <v>6.141249999999987E-3</v>
      </c>
      <c r="O46" s="231">
        <f t="shared" si="5"/>
        <v>5.2200625000000667E-3</v>
      </c>
    </row>
    <row r="47" spans="1:15">
      <c r="A47"/>
      <c r="B47" s="17"/>
      <c r="C47" s="18"/>
      <c r="D47" s="69"/>
      <c r="E47" s="69"/>
      <c r="F47" s="69"/>
      <c r="G47" s="69"/>
      <c r="H47" s="69"/>
      <c r="I47" s="69"/>
      <c r="J47" s="69"/>
      <c r="K47" s="69"/>
      <c r="L47" s="69"/>
      <c r="M47" s="69"/>
      <c r="N47" s="69"/>
      <c r="O47" s="69"/>
    </row>
    <row r="48" spans="1:15">
      <c r="A48"/>
      <c r="B48" s="153" t="s">
        <v>407</v>
      </c>
      <c r="C48" s="154" t="s">
        <v>59</v>
      </c>
      <c r="D48" s="1371"/>
      <c r="E48" s="1371"/>
      <c r="F48" s="1371"/>
      <c r="G48" s="1371"/>
      <c r="H48" s="1371"/>
      <c r="I48" s="1371"/>
      <c r="J48" s="156">
        <f>+J45</f>
        <v>5.1979011168250029</v>
      </c>
      <c r="K48" s="162">
        <f>+K42*Drivers!G11/1000</f>
        <v>6858.3102515656565</v>
      </c>
      <c r="L48" s="162">
        <f>+L42*Drivers!H11/1000</f>
        <v>7692.1023158834014</v>
      </c>
      <c r="M48" s="162">
        <f>+M42*Drivers!I11/1000</f>
        <v>7494.6125094467807</v>
      </c>
      <c r="N48" s="162">
        <f>+N42*Drivers!J11/1000</f>
        <v>7553.6887748029903</v>
      </c>
      <c r="O48" s="162">
        <f>+O42*Drivers!K11/1000</f>
        <v>8426.9618430137834</v>
      </c>
    </row>
    <row r="49" spans="1:15">
      <c r="B49" s="186" t="s">
        <v>356</v>
      </c>
      <c r="C49" s="191" t="s">
        <v>35</v>
      </c>
      <c r="D49" s="194"/>
      <c r="E49" s="194"/>
      <c r="F49" s="194"/>
      <c r="G49" s="194"/>
      <c r="H49" s="194"/>
      <c r="I49" s="194"/>
      <c r="J49" s="231"/>
      <c r="K49" s="231"/>
      <c r="L49" s="231">
        <f>+L48/K48-1</f>
        <v>0.12157397868190656</v>
      </c>
      <c r="M49" s="231">
        <f>+M48/L48-1</f>
        <v>-2.5674360314841937E-2</v>
      </c>
      <c r="N49" s="231">
        <f>+N48/M48-1</f>
        <v>7.8824976316982376E-3</v>
      </c>
      <c r="O49" s="231">
        <f>+O48/N48-1</f>
        <v>0.11560882295333497</v>
      </c>
    </row>
    <row r="50" spans="1:15">
      <c r="B50" s="17"/>
      <c r="C50" s="18"/>
    </row>
    <row r="51" spans="1:15">
      <c r="A51" s="13" t="s">
        <v>358</v>
      </c>
      <c r="B51" s="13"/>
      <c r="C51" s="119"/>
      <c r="D51" s="20">
        <v>2009</v>
      </c>
      <c r="E51" s="20">
        <v>2010</v>
      </c>
      <c r="F51" s="20">
        <v>2011</v>
      </c>
      <c r="G51" s="20">
        <v>2012</v>
      </c>
      <c r="H51" s="20">
        <v>2013</v>
      </c>
      <c r="I51" s="20">
        <v>2014</v>
      </c>
      <c r="J51" s="20">
        <v>2015</v>
      </c>
      <c r="K51" s="21">
        <v>2016</v>
      </c>
      <c r="L51" s="21">
        <v>2017</v>
      </c>
      <c r="M51" s="21">
        <v>2018</v>
      </c>
      <c r="N51" s="21">
        <v>2019</v>
      </c>
      <c r="O51" s="21">
        <v>2020</v>
      </c>
    </row>
    <row r="53" spans="1:15">
      <c r="B53" s="25" t="s">
        <v>408</v>
      </c>
    </row>
    <row r="54" spans="1:15">
      <c r="B54" s="47" t="s">
        <v>12</v>
      </c>
      <c r="C54" s="51" t="s">
        <v>35</v>
      </c>
      <c r="D54" s="58"/>
      <c r="E54" s="58"/>
      <c r="F54" s="58"/>
      <c r="G54" s="58"/>
      <c r="H54" s="58"/>
      <c r="I54" s="59"/>
      <c r="J54" s="59"/>
      <c r="K54" s="1488">
        <v>2.5</v>
      </c>
      <c r="L54" s="135">
        <f>+L55+2%</f>
        <v>0.27</v>
      </c>
      <c r="M54" s="135">
        <f>+M55+2%</f>
        <v>0.03</v>
      </c>
      <c r="N54" s="135">
        <f>+N55+2%</f>
        <v>0.03</v>
      </c>
      <c r="O54" s="135">
        <f>+O55+2%</f>
        <v>0.03</v>
      </c>
    </row>
    <row r="55" spans="1:15">
      <c r="B55" s="17" t="s">
        <v>7</v>
      </c>
      <c r="C55" s="18" t="s">
        <v>35</v>
      </c>
      <c r="I55" s="60"/>
      <c r="J55" s="60"/>
      <c r="K55" s="206">
        <v>2</v>
      </c>
      <c r="L55" s="60">
        <v>0.25</v>
      </c>
      <c r="M55" s="60">
        <v>0.01</v>
      </c>
      <c r="N55" s="60">
        <v>0.01</v>
      </c>
      <c r="O55" s="60">
        <v>0.01</v>
      </c>
    </row>
    <row r="56" spans="1:15">
      <c r="B56" s="17" t="s">
        <v>16</v>
      </c>
      <c r="C56" s="18" t="s">
        <v>35</v>
      </c>
      <c r="I56" s="60"/>
      <c r="J56" s="60"/>
      <c r="K56" s="206">
        <v>1</v>
      </c>
      <c r="L56" s="60">
        <f>+L55-1%</f>
        <v>0.24</v>
      </c>
      <c r="M56" s="60">
        <f>+M55-1%</f>
        <v>0</v>
      </c>
      <c r="N56" s="60">
        <f>+N55-1%</f>
        <v>0</v>
      </c>
      <c r="O56" s="60">
        <f>+O55-1%</f>
        <v>0</v>
      </c>
    </row>
    <row r="57" spans="1:15">
      <c r="B57" s="185" t="s">
        <v>17</v>
      </c>
      <c r="C57" s="192" t="s">
        <v>35</v>
      </c>
      <c r="D57" s="194"/>
      <c r="E57" s="194"/>
      <c r="F57" s="194"/>
      <c r="G57" s="194"/>
      <c r="H57" s="194"/>
      <c r="I57" s="1278"/>
      <c r="J57" s="1278"/>
      <c r="K57" s="1372">
        <f>+INDEX(K54:K56,Cover!$C$43)</f>
        <v>2</v>
      </c>
      <c r="L57" s="1278">
        <f>+INDEX(L54:L56,Cover!$C$43)</f>
        <v>0.25</v>
      </c>
      <c r="M57" s="1278">
        <f>+INDEX(M54:M56,Cover!$C$43)</f>
        <v>0.01</v>
      </c>
      <c r="N57" s="1278">
        <f>+INDEX(N54:N56,Cover!$C$43)</f>
        <v>0.01</v>
      </c>
      <c r="O57" s="1278">
        <f>+INDEX(O54:O56,Cover!$C$43)</f>
        <v>0.01</v>
      </c>
    </row>
    <row r="58" spans="1:15">
      <c r="B58" s="25"/>
      <c r="C58" s="33"/>
      <c r="I58" s="121"/>
      <c r="J58" s="121"/>
      <c r="K58" s="121"/>
      <c r="L58" s="121"/>
      <c r="M58" s="121"/>
      <c r="N58" s="121"/>
      <c r="O58" s="121"/>
    </row>
    <row r="59" spans="1:15">
      <c r="B59" s="198" t="s">
        <v>409</v>
      </c>
      <c r="C59" s="176"/>
      <c r="D59" s="176"/>
      <c r="E59" s="176"/>
      <c r="F59" s="176"/>
      <c r="G59" s="176"/>
      <c r="H59" s="176"/>
      <c r="I59" s="176"/>
      <c r="J59" s="176"/>
      <c r="K59" s="176"/>
      <c r="L59" s="176"/>
      <c r="M59" s="176"/>
      <c r="N59" s="176"/>
      <c r="O59" s="176"/>
    </row>
    <row r="60" spans="1:15">
      <c r="B60" s="1344" t="s">
        <v>12</v>
      </c>
      <c r="C60" s="1345" t="s">
        <v>35</v>
      </c>
      <c r="D60" s="1346"/>
      <c r="E60" s="1346"/>
      <c r="F60" s="1346"/>
      <c r="G60" s="1346"/>
      <c r="H60" s="1346"/>
      <c r="I60" s="1373"/>
      <c r="J60" s="1373"/>
      <c r="K60" s="1489">
        <f>+J61*(1+K54)</f>
        <v>105</v>
      </c>
      <c r="L60" s="1374">
        <f t="shared" ref="L60:O62" si="6">+K60*(1+L54)</f>
        <v>133.35</v>
      </c>
      <c r="M60" s="1374">
        <f t="shared" si="6"/>
        <v>137.35050000000001</v>
      </c>
      <c r="N60" s="1374">
        <f t="shared" si="6"/>
        <v>141.47101500000002</v>
      </c>
      <c r="O60" s="1374">
        <f t="shared" si="6"/>
        <v>145.71514545000002</v>
      </c>
    </row>
    <row r="61" spans="1:15">
      <c r="B61" s="117" t="s">
        <v>7</v>
      </c>
      <c r="C61" s="200">
        <v>0</v>
      </c>
      <c r="D61" s="207">
        <f t="shared" ref="D61:I61" si="7">+D76</f>
        <v>75</v>
      </c>
      <c r="E61" s="202">
        <f t="shared" si="7"/>
        <v>112</v>
      </c>
      <c r="F61" s="202">
        <f t="shared" si="7"/>
        <v>126</v>
      </c>
      <c r="G61" s="202">
        <f t="shared" si="7"/>
        <v>131</v>
      </c>
      <c r="H61" s="202">
        <f t="shared" si="7"/>
        <v>115</v>
      </c>
      <c r="I61" s="202">
        <f t="shared" si="7"/>
        <v>113</v>
      </c>
      <c r="J61" s="202">
        <f>+J76</f>
        <v>30</v>
      </c>
      <c r="K61" s="207">
        <f>+J61*(1+K55)</f>
        <v>90</v>
      </c>
      <c r="L61" s="202">
        <f t="shared" si="6"/>
        <v>112.5</v>
      </c>
      <c r="M61" s="202">
        <f t="shared" si="6"/>
        <v>113.625</v>
      </c>
      <c r="N61" s="202">
        <f t="shared" si="6"/>
        <v>114.76125</v>
      </c>
      <c r="O61" s="202">
        <f t="shared" si="6"/>
        <v>115.90886250000001</v>
      </c>
    </row>
    <row r="62" spans="1:15">
      <c r="B62" s="189" t="s">
        <v>16</v>
      </c>
      <c r="C62" s="193" t="s">
        <v>35</v>
      </c>
      <c r="D62" s="203"/>
      <c r="E62" s="203"/>
      <c r="F62" s="203"/>
      <c r="G62" s="203"/>
      <c r="H62" s="203"/>
      <c r="I62" s="204"/>
      <c r="J62" s="204"/>
      <c r="K62" s="1375">
        <f>+J61*(1+K56)</f>
        <v>60</v>
      </c>
      <c r="L62" s="205">
        <f t="shared" si="6"/>
        <v>74.400000000000006</v>
      </c>
      <c r="M62" s="205">
        <f t="shared" si="6"/>
        <v>74.400000000000006</v>
      </c>
      <c r="N62" s="205">
        <f t="shared" si="6"/>
        <v>74.400000000000006</v>
      </c>
      <c r="O62" s="205">
        <f t="shared" si="6"/>
        <v>74.400000000000006</v>
      </c>
    </row>
    <row r="63" spans="1:15">
      <c r="B63" s="25"/>
      <c r="C63" s="33"/>
      <c r="I63" s="123"/>
      <c r="J63" s="123"/>
      <c r="K63" s="123"/>
      <c r="L63" s="123"/>
      <c r="M63" s="123"/>
      <c r="N63" s="123"/>
      <c r="O63" s="123"/>
    </row>
    <row r="64" spans="1:15">
      <c r="B64" s="25" t="s">
        <v>410</v>
      </c>
    </row>
    <row r="65" spans="2:25">
      <c r="B65" s="47" t="s">
        <v>12</v>
      </c>
      <c r="C65" s="51" t="s">
        <v>35</v>
      </c>
      <c r="D65" s="58"/>
      <c r="E65" s="58"/>
      <c r="F65" s="58"/>
      <c r="G65" s="58"/>
      <c r="H65" s="58"/>
      <c r="I65" s="59"/>
      <c r="J65" s="59"/>
      <c r="K65" s="1490">
        <v>0.3</v>
      </c>
      <c r="L65" s="59">
        <f>+L66+1%</f>
        <v>4.2906764168190163E-2</v>
      </c>
      <c r="M65" s="59">
        <f>+M66+1%</f>
        <v>2.4159292035398343E-2</v>
      </c>
      <c r="N65" s="59">
        <f>+N66+1%</f>
        <v>-3.0890052356020801E-3</v>
      </c>
      <c r="O65" s="59">
        <f>+O66+1%</f>
        <v>-1.7409372236958494E-2</v>
      </c>
    </row>
    <row r="66" spans="2:25">
      <c r="B66" s="17" t="s">
        <v>7</v>
      </c>
      <c r="C66" s="18" t="s">
        <v>35</v>
      </c>
      <c r="I66" s="60"/>
      <c r="J66" s="60"/>
      <c r="K66" s="206">
        <v>0.2</v>
      </c>
      <c r="L66" s="210">
        <f>+L6</f>
        <v>3.2906764168190161E-2</v>
      </c>
      <c r="M66" s="60">
        <f>+M6</f>
        <v>1.4159292035398341E-2</v>
      </c>
      <c r="N66" s="60">
        <f>+N6</f>
        <v>-1.308900523560208E-2</v>
      </c>
      <c r="O66" s="60">
        <f>+O6</f>
        <v>-2.7409372236958496E-2</v>
      </c>
      <c r="Y66" t="s">
        <v>411</v>
      </c>
    </row>
    <row r="67" spans="2:25">
      <c r="B67" s="17" t="s">
        <v>16</v>
      </c>
      <c r="C67" s="18" t="s">
        <v>35</v>
      </c>
      <c r="I67" s="60"/>
      <c r="J67" s="60"/>
      <c r="K67" s="206">
        <v>0.1</v>
      </c>
      <c r="L67" s="60">
        <f>+L66-1%</f>
        <v>2.2906764168190159E-2</v>
      </c>
      <c r="M67" s="60">
        <f>+M66-1%</f>
        <v>4.1592920353983407E-3</v>
      </c>
      <c r="N67" s="60">
        <f>+N66-1%</f>
        <v>-2.3089005235602082E-2</v>
      </c>
      <c r="O67" s="60">
        <f>+O66-1%</f>
        <v>-3.7409372236958498E-2</v>
      </c>
    </row>
    <row r="68" spans="2:25">
      <c r="B68" s="185" t="s">
        <v>17</v>
      </c>
      <c r="C68" s="192" t="s">
        <v>35</v>
      </c>
      <c r="D68" s="194"/>
      <c r="E68" s="194"/>
      <c r="F68" s="194"/>
      <c r="G68" s="194"/>
      <c r="H68" s="194"/>
      <c r="I68" s="1279"/>
      <c r="J68" s="1278"/>
      <c r="K68" s="1376">
        <f>+INDEX(K65:K67,Cover!$C$43)</f>
        <v>0.2</v>
      </c>
      <c r="L68" s="1279">
        <f>+INDEX(L65:L67,Cover!$C$43)</f>
        <v>3.2906764168190161E-2</v>
      </c>
      <c r="M68" s="1279">
        <f>+INDEX(M65:M67,Cover!$C$43)</f>
        <v>1.4159292035398341E-2</v>
      </c>
      <c r="N68" s="1279">
        <f>+INDEX(N65:N67,Cover!$C$43)</f>
        <v>-1.308900523560208E-2</v>
      </c>
      <c r="O68" s="1279">
        <f>+INDEX(O65:O67,Cover!$C$43)</f>
        <v>-2.7409372236958496E-2</v>
      </c>
    </row>
    <row r="69" spans="2:25">
      <c r="B69" s="117" t="s">
        <v>412</v>
      </c>
      <c r="C69" s="33"/>
      <c r="I69" s="123"/>
      <c r="J69" s="121"/>
      <c r="K69" s="123"/>
      <c r="L69" s="123"/>
      <c r="M69" s="123"/>
      <c r="N69" s="123"/>
      <c r="O69" s="123"/>
    </row>
    <row r="70" spans="2:25">
      <c r="B70" s="25" t="s">
        <v>410</v>
      </c>
    </row>
    <row r="71" spans="2:25">
      <c r="B71" s="47" t="s">
        <v>12</v>
      </c>
      <c r="C71" s="51" t="s">
        <v>35</v>
      </c>
      <c r="D71" s="58"/>
      <c r="E71" s="58"/>
      <c r="F71" s="58"/>
      <c r="G71" s="58"/>
      <c r="H71" s="58"/>
      <c r="I71" s="59"/>
      <c r="J71" s="59"/>
      <c r="K71" s="1491">
        <f>+J$77*(1+K65)</f>
        <v>975</v>
      </c>
      <c r="L71" s="1374">
        <f>+K$77*(1+L65)</f>
        <v>938.6160877513712</v>
      </c>
      <c r="M71" s="1374">
        <f>+L$77*(1+M65)</f>
        <v>952.07495429616108</v>
      </c>
      <c r="N71" s="1374">
        <f>+M$77*(1+N65)</f>
        <v>939.86654478976254</v>
      </c>
      <c r="O71" s="1374">
        <f>+N$77*(1+O65)</f>
        <v>914.24040219378435</v>
      </c>
    </row>
    <row r="72" spans="2:25">
      <c r="B72" s="17" t="s">
        <v>7</v>
      </c>
      <c r="C72" s="18" t="s">
        <v>35</v>
      </c>
      <c r="E72" s="202">
        <f t="shared" ref="E72:J72" si="8">+E77</f>
        <v>757</v>
      </c>
      <c r="F72" s="202">
        <f t="shared" si="8"/>
        <v>948</v>
      </c>
      <c r="G72" s="202">
        <f t="shared" si="8"/>
        <v>1019</v>
      </c>
      <c r="H72" s="202">
        <f t="shared" si="8"/>
        <v>962</v>
      </c>
      <c r="I72" s="202">
        <f t="shared" si="8"/>
        <v>920</v>
      </c>
      <c r="J72" s="209">
        <f t="shared" si="8"/>
        <v>750</v>
      </c>
      <c r="K72" s="202">
        <f t="shared" ref="K72:O73" si="9">+J$77*(1+K66)</f>
        <v>900</v>
      </c>
      <c r="L72" s="202">
        <f t="shared" si="9"/>
        <v>929.6160877513712</v>
      </c>
      <c r="M72" s="202">
        <f t="shared" si="9"/>
        <v>942.7787934186473</v>
      </c>
      <c r="N72" s="202">
        <f t="shared" si="9"/>
        <v>930.438756855576</v>
      </c>
      <c r="O72" s="202">
        <f t="shared" si="9"/>
        <v>904.93601462522861</v>
      </c>
    </row>
    <row r="73" spans="2:25">
      <c r="B73" s="186" t="s">
        <v>16</v>
      </c>
      <c r="C73" s="191" t="s">
        <v>35</v>
      </c>
      <c r="D73" s="194"/>
      <c r="E73" s="194"/>
      <c r="F73" s="194"/>
      <c r="G73" s="194"/>
      <c r="H73" s="194"/>
      <c r="I73" s="201"/>
      <c r="J73" s="201"/>
      <c r="K73" s="1375">
        <f t="shared" si="9"/>
        <v>825.00000000000011</v>
      </c>
      <c r="L73" s="205">
        <f t="shared" si="9"/>
        <v>920.61608775137108</v>
      </c>
      <c r="M73" s="205">
        <f t="shared" si="9"/>
        <v>933.48263254113363</v>
      </c>
      <c r="N73" s="205">
        <f t="shared" si="9"/>
        <v>921.01096892138958</v>
      </c>
      <c r="O73" s="205">
        <f t="shared" si="9"/>
        <v>895.63162705667287</v>
      </c>
    </row>
    <row r="74" spans="2:25">
      <c r="B74" s="25"/>
      <c r="C74" s="33"/>
      <c r="I74" s="123"/>
      <c r="J74" s="121"/>
      <c r="K74" s="123"/>
      <c r="L74" s="123"/>
      <c r="M74" s="123"/>
      <c r="N74" s="123"/>
      <c r="O74" s="123"/>
    </row>
    <row r="75" spans="2:25">
      <c r="B75" s="25" t="s">
        <v>359</v>
      </c>
      <c r="C75" s="192" t="s">
        <v>296</v>
      </c>
      <c r="D75" s="116">
        <f>+SUM(D76:D77)</f>
        <v>714</v>
      </c>
      <c r="E75" s="116">
        <f t="shared" ref="E75:O75" si="10">+SUM(E76:E77)</f>
        <v>869</v>
      </c>
      <c r="F75" s="116">
        <f t="shared" si="10"/>
        <v>1074</v>
      </c>
      <c r="G75" s="116">
        <f t="shared" si="10"/>
        <v>1150</v>
      </c>
      <c r="H75" s="116">
        <f t="shared" si="10"/>
        <v>1077</v>
      </c>
      <c r="I75" s="116">
        <f t="shared" si="10"/>
        <v>1033</v>
      </c>
      <c r="J75" s="116">
        <f t="shared" si="10"/>
        <v>780</v>
      </c>
      <c r="K75" s="132">
        <f t="shared" si="10"/>
        <v>990</v>
      </c>
      <c r="L75" s="116">
        <f t="shared" si="10"/>
        <v>1042.1160877513712</v>
      </c>
      <c r="M75" s="116">
        <f t="shared" si="10"/>
        <v>1056.4037934186472</v>
      </c>
      <c r="N75" s="116">
        <f t="shared" si="10"/>
        <v>1045.200006855576</v>
      </c>
      <c r="O75" s="116">
        <f t="shared" si="10"/>
        <v>1020.8448771252287</v>
      </c>
    </row>
    <row r="76" spans="2:25">
      <c r="B76" s="47" t="s">
        <v>361</v>
      </c>
      <c r="C76" s="18" t="s">
        <v>296</v>
      </c>
      <c r="D76" s="290">
        <v>75</v>
      </c>
      <c r="E76" s="290">
        <v>112</v>
      </c>
      <c r="F76" s="290">
        <v>126</v>
      </c>
      <c r="G76" s="290">
        <v>131</v>
      </c>
      <c r="H76" s="290">
        <v>115</v>
      </c>
      <c r="I76" s="290">
        <v>113</v>
      </c>
      <c r="J76" s="1377">
        <v>30</v>
      </c>
      <c r="K76" s="1491">
        <f>+J76*(1+K57)</f>
        <v>90</v>
      </c>
      <c r="L76" s="1337">
        <f>+K76*(1+L57)</f>
        <v>112.5</v>
      </c>
      <c r="M76" s="1337">
        <f>+L76*(1+M57)</f>
        <v>113.625</v>
      </c>
      <c r="N76" s="1337">
        <f>+M76*(1+N57)</f>
        <v>114.76125</v>
      </c>
      <c r="O76" s="1337">
        <f>+N76*(1+O57)</f>
        <v>115.90886250000001</v>
      </c>
    </row>
    <row r="77" spans="2:25">
      <c r="B77" s="186" t="s">
        <v>362</v>
      </c>
      <c r="C77" s="191" t="s">
        <v>296</v>
      </c>
      <c r="D77" s="232">
        <v>639</v>
      </c>
      <c r="E77" s="232">
        <v>757</v>
      </c>
      <c r="F77" s="232">
        <v>948</v>
      </c>
      <c r="G77" s="232">
        <v>1019</v>
      </c>
      <c r="H77" s="232">
        <v>962</v>
      </c>
      <c r="I77" s="232">
        <v>920</v>
      </c>
      <c r="J77" s="232">
        <v>750</v>
      </c>
      <c r="K77" s="208">
        <f>+J77*(1+K68)</f>
        <v>900</v>
      </c>
      <c r="L77" s="1378">
        <f>+K77*(1+L68)</f>
        <v>929.6160877513712</v>
      </c>
      <c r="M77" s="1378">
        <f>+L77*(1+M68)</f>
        <v>942.7787934186473</v>
      </c>
      <c r="N77" s="1378">
        <f>+M77*(1+N68)</f>
        <v>930.438756855576</v>
      </c>
      <c r="O77" s="1378">
        <f>+N77*(1+O68)</f>
        <v>904.93601462522861</v>
      </c>
      <c r="Q77" s="197"/>
    </row>
    <row r="78" spans="2:25">
      <c r="B78" s="47" t="s">
        <v>363</v>
      </c>
      <c r="C78" s="51" t="s">
        <v>35</v>
      </c>
      <c r="D78" s="76">
        <f t="shared" ref="D78:I78" si="11">+D76/D75</f>
        <v>0.10504201680672269</v>
      </c>
      <c r="E78" s="76">
        <f t="shared" si="11"/>
        <v>0.12888377445339472</v>
      </c>
      <c r="F78" s="76">
        <f t="shared" si="11"/>
        <v>0.11731843575418995</v>
      </c>
      <c r="G78" s="76">
        <f t="shared" si="11"/>
        <v>0.11391304347826087</v>
      </c>
      <c r="H78" s="76">
        <f t="shared" si="11"/>
        <v>0.10677808727948004</v>
      </c>
      <c r="I78" s="76">
        <f t="shared" si="11"/>
        <v>0.10939012584704744</v>
      </c>
      <c r="J78" s="76">
        <f t="shared" ref="J78:O78" si="12">+J76/J75</f>
        <v>3.8461538461538464E-2</v>
      </c>
      <c r="K78" s="1492">
        <f t="shared" si="12"/>
        <v>9.0909090909090912E-2</v>
      </c>
      <c r="L78" s="76">
        <f t="shared" si="12"/>
        <v>0.10795342411683441</v>
      </c>
      <c r="M78" s="76">
        <f t="shared" si="12"/>
        <v>0.10755830365990651</v>
      </c>
      <c r="N78" s="76">
        <f t="shared" si="12"/>
        <v>0.10979836322930442</v>
      </c>
      <c r="O78" s="76">
        <f t="shared" si="12"/>
        <v>0.11354209155303552</v>
      </c>
      <c r="Q78" s="197"/>
    </row>
    <row r="79" spans="2:25">
      <c r="B79" s="186" t="s">
        <v>364</v>
      </c>
      <c r="C79" s="191" t="s">
        <v>35</v>
      </c>
      <c r="D79" s="230">
        <f t="shared" ref="D79:I79" si="13">+D77/D75</f>
        <v>0.89495798319327735</v>
      </c>
      <c r="E79" s="230">
        <f t="shared" si="13"/>
        <v>0.87111622554660528</v>
      </c>
      <c r="F79" s="230">
        <f t="shared" si="13"/>
        <v>0.88268156424581001</v>
      </c>
      <c r="G79" s="230">
        <f t="shared" si="13"/>
        <v>0.88608695652173908</v>
      </c>
      <c r="H79" s="230">
        <f t="shared" si="13"/>
        <v>0.89322191272051998</v>
      </c>
      <c r="I79" s="230">
        <f t="shared" si="13"/>
        <v>0.89060987415295256</v>
      </c>
      <c r="J79" s="230">
        <f t="shared" ref="J79:O79" si="14">+J77/J75</f>
        <v>0.96153846153846156</v>
      </c>
      <c r="K79" s="1379">
        <f t="shared" si="14"/>
        <v>0.90909090909090906</v>
      </c>
      <c r="L79" s="230">
        <f t="shared" si="14"/>
        <v>0.8920465758831656</v>
      </c>
      <c r="M79" s="230">
        <f t="shared" si="14"/>
        <v>0.89244169634009363</v>
      </c>
      <c r="N79" s="230">
        <f t="shared" si="14"/>
        <v>0.89020163677069553</v>
      </c>
      <c r="O79" s="230">
        <f t="shared" si="14"/>
        <v>0.88645790844696448</v>
      </c>
    </row>
    <row r="80" spans="2:25">
      <c r="B80" s="17"/>
      <c r="C80" s="18"/>
      <c r="D80" s="17"/>
      <c r="E80" s="17"/>
      <c r="F80" s="17"/>
      <c r="G80" s="17"/>
      <c r="H80" s="32"/>
      <c r="I80" s="17"/>
    </row>
    <row r="81" spans="2:15">
      <c r="B81" s="198" t="s">
        <v>365</v>
      </c>
      <c r="C81" s="1380" t="s">
        <v>35</v>
      </c>
      <c r="D81" s="117"/>
      <c r="E81" s="199">
        <f t="shared" ref="E81:O81" si="15">+E75/D75-1</f>
        <v>0.21708683473389345</v>
      </c>
      <c r="F81" s="199">
        <f t="shared" si="15"/>
        <v>0.2359033371691599</v>
      </c>
      <c r="G81" s="199">
        <f t="shared" si="15"/>
        <v>7.0763500931098733E-2</v>
      </c>
      <c r="H81" s="199">
        <f t="shared" si="15"/>
        <v>-6.3478260869565206E-2</v>
      </c>
      <c r="I81" s="199">
        <f t="shared" si="15"/>
        <v>-4.0854224698235853E-2</v>
      </c>
      <c r="J81" s="199">
        <f t="shared" si="15"/>
        <v>-0.24491771539206197</v>
      </c>
      <c r="K81" s="199">
        <f t="shared" si="15"/>
        <v>0.26923076923076916</v>
      </c>
      <c r="L81" s="199">
        <f t="shared" si="15"/>
        <v>5.2642512880172854E-2</v>
      </c>
      <c r="M81" s="199">
        <f t="shared" si="15"/>
        <v>1.3710282218275083E-2</v>
      </c>
      <c r="N81" s="199">
        <f t="shared" si="15"/>
        <v>-1.0605590999265946E-2</v>
      </c>
      <c r="O81" s="199">
        <f t="shared" si="15"/>
        <v>-2.3301884395904637E-2</v>
      </c>
    </row>
    <row r="82" spans="2:15">
      <c r="B82" s="1344" t="s">
        <v>366</v>
      </c>
      <c r="C82" s="200" t="s">
        <v>35</v>
      </c>
      <c r="D82" s="1344"/>
      <c r="E82" s="1381">
        <f t="shared" ref="E82:O82" si="16">+E76/D76-1</f>
        <v>0.4933333333333334</v>
      </c>
      <c r="F82" s="1381">
        <f t="shared" si="16"/>
        <v>0.125</v>
      </c>
      <c r="G82" s="1381">
        <f t="shared" si="16"/>
        <v>3.9682539682539764E-2</v>
      </c>
      <c r="H82" s="1381">
        <f t="shared" si="16"/>
        <v>-0.12213740458015265</v>
      </c>
      <c r="I82" s="1381">
        <f t="shared" si="16"/>
        <v>-1.7391304347826098E-2</v>
      </c>
      <c r="J82" s="1381">
        <f t="shared" si="16"/>
        <v>-0.73451327433628322</v>
      </c>
      <c r="K82" s="1381">
        <f t="shared" si="16"/>
        <v>2</v>
      </c>
      <c r="L82" s="1381">
        <f t="shared" si="16"/>
        <v>0.25</v>
      </c>
      <c r="M82" s="1381">
        <f t="shared" si="16"/>
        <v>1.0000000000000009E-2</v>
      </c>
      <c r="N82" s="1381">
        <f t="shared" si="16"/>
        <v>1.0000000000000009E-2</v>
      </c>
      <c r="O82" s="1381">
        <f t="shared" si="16"/>
        <v>1.0000000000000009E-2</v>
      </c>
    </row>
    <row r="83" spans="2:15">
      <c r="B83" s="189" t="s">
        <v>367</v>
      </c>
      <c r="C83" s="193" t="s">
        <v>35</v>
      </c>
      <c r="D83" s="189"/>
      <c r="E83" s="1361">
        <f t="shared" ref="E83:O83" si="17">+E77/D77-1</f>
        <v>0.18466353677621283</v>
      </c>
      <c r="F83" s="1361">
        <f t="shared" si="17"/>
        <v>0.25231175693527086</v>
      </c>
      <c r="G83" s="1361">
        <f t="shared" si="17"/>
        <v>7.4894514767932518E-2</v>
      </c>
      <c r="H83" s="1361">
        <f t="shared" si="17"/>
        <v>-5.5937193326790924E-2</v>
      </c>
      <c r="I83" s="1361">
        <f t="shared" si="17"/>
        <v>-4.3659043659043606E-2</v>
      </c>
      <c r="J83" s="1361">
        <f t="shared" si="17"/>
        <v>-0.18478260869565222</v>
      </c>
      <c r="K83" s="1361">
        <f t="shared" si="17"/>
        <v>0.19999999999999996</v>
      </c>
      <c r="L83" s="1361">
        <f t="shared" si="17"/>
        <v>3.2906764168190161E-2</v>
      </c>
      <c r="M83" s="1361">
        <f t="shared" si="17"/>
        <v>1.4159292035398341E-2</v>
      </c>
      <c r="N83" s="1361">
        <f t="shared" si="17"/>
        <v>-1.308900523560208E-2</v>
      </c>
      <c r="O83" s="1361">
        <f t="shared" si="17"/>
        <v>-2.7409372236958496E-2</v>
      </c>
    </row>
    <row r="85" spans="2:15">
      <c r="B85" s="25" t="s">
        <v>368</v>
      </c>
    </row>
    <row r="86" spans="2:15">
      <c r="B86" s="47" t="s">
        <v>362</v>
      </c>
      <c r="C86" s="51" t="s">
        <v>296</v>
      </c>
      <c r="D86" s="290">
        <v>606</v>
      </c>
      <c r="E86" s="290">
        <v>639</v>
      </c>
      <c r="F86" s="290">
        <v>733</v>
      </c>
      <c r="G86" s="290">
        <v>979</v>
      </c>
      <c r="H86" s="290">
        <v>1003</v>
      </c>
      <c r="I86" s="290">
        <v>960</v>
      </c>
      <c r="J86" s="1274"/>
      <c r="K86" s="1274"/>
      <c r="L86" s="1274"/>
      <c r="M86" s="1274"/>
      <c r="N86" s="1274"/>
      <c r="O86" s="1274"/>
    </row>
    <row r="87" spans="2:15">
      <c r="B87" s="186" t="s">
        <v>369</v>
      </c>
      <c r="C87" s="191" t="s">
        <v>35</v>
      </c>
      <c r="D87" s="230">
        <f t="shared" ref="D87:I87" si="18">+D77/D86-1</f>
        <v>5.4455445544554504E-2</v>
      </c>
      <c r="E87" s="230">
        <f t="shared" si="18"/>
        <v>0.18466353677621283</v>
      </c>
      <c r="F87" s="230">
        <f t="shared" si="18"/>
        <v>0.29331514324693053</v>
      </c>
      <c r="G87" s="230">
        <f t="shared" si="18"/>
        <v>4.0858018386108252E-2</v>
      </c>
      <c r="H87" s="230">
        <f t="shared" si="18"/>
        <v>-4.0877367896311023E-2</v>
      </c>
      <c r="I87" s="230">
        <f t="shared" si="18"/>
        <v>-4.166666666666663E-2</v>
      </c>
      <c r="J87" s="195"/>
      <c r="K87" s="195"/>
      <c r="L87" s="195"/>
      <c r="M87" s="195"/>
      <c r="N87" s="195"/>
      <c r="O87" s="195"/>
    </row>
    <row r="88" spans="2:15">
      <c r="H88" s="82"/>
    </row>
    <row r="89" spans="2:15">
      <c r="B89" s="25" t="s">
        <v>370</v>
      </c>
      <c r="C89" s="192" t="s">
        <v>296</v>
      </c>
      <c r="D89" s="129">
        <v>143</v>
      </c>
      <c r="E89" s="129">
        <v>296</v>
      </c>
      <c r="F89" s="129">
        <v>258</v>
      </c>
      <c r="G89" s="129">
        <v>323</v>
      </c>
      <c r="H89" s="129">
        <f>+SUM(H90:H91)</f>
        <v>404</v>
      </c>
      <c r="I89" s="129">
        <f>+SUM(I90:I91)</f>
        <v>413</v>
      </c>
      <c r="J89" s="213">
        <f>+SUM(J90:J91)</f>
        <v>305</v>
      </c>
      <c r="K89" s="137">
        <f t="shared" ref="K89:O91" si="19">+K75*K95</f>
        <v>383.58661388658936</v>
      </c>
      <c r="L89" s="137">
        <f t="shared" si="19"/>
        <v>403.77957714877607</v>
      </c>
      <c r="M89" s="137">
        <f t="shared" si="19"/>
        <v>409.3155091054615</v>
      </c>
      <c r="N89" s="137">
        <f t="shared" si="19"/>
        <v>404.9744762262327</v>
      </c>
      <c r="O89" s="137">
        <f t="shared" si="19"/>
        <v>395.53780779791703</v>
      </c>
    </row>
    <row r="90" spans="2:15">
      <c r="B90" s="47" t="s">
        <v>361</v>
      </c>
      <c r="C90" s="18" t="s">
        <v>296</v>
      </c>
      <c r="D90" s="58"/>
      <c r="E90" s="58"/>
      <c r="F90" s="58"/>
      <c r="G90" s="58"/>
      <c r="H90" s="290">
        <v>29</v>
      </c>
      <c r="I90" s="290">
        <v>24</v>
      </c>
      <c r="J90" s="1382">
        <v>2</v>
      </c>
      <c r="K90" s="345">
        <f t="shared" si="19"/>
        <v>20.905348210850327</v>
      </c>
      <c r="L90" s="345">
        <f t="shared" si="19"/>
        <v>26.131685263562908</v>
      </c>
      <c r="M90" s="345">
        <f t="shared" si="19"/>
        <v>26.393002116198538</v>
      </c>
      <c r="N90" s="345">
        <f t="shared" si="19"/>
        <v>26.656932137360524</v>
      </c>
      <c r="O90" s="345">
        <f t="shared" si="19"/>
        <v>26.92350145873413</v>
      </c>
    </row>
    <row r="91" spans="2:15">
      <c r="B91" s="186" t="s">
        <v>362</v>
      </c>
      <c r="C91" s="191" t="s">
        <v>296</v>
      </c>
      <c r="D91" s="194"/>
      <c r="E91" s="194"/>
      <c r="F91" s="194"/>
      <c r="G91" s="194"/>
      <c r="H91" s="232">
        <v>375</v>
      </c>
      <c r="I91" s="232">
        <v>389</v>
      </c>
      <c r="J91" s="211">
        <v>303</v>
      </c>
      <c r="K91" s="233">
        <f t="shared" si="19"/>
        <v>365.6875395462352</v>
      </c>
      <c r="L91" s="233">
        <f t="shared" si="19"/>
        <v>377.72113316932888</v>
      </c>
      <c r="M91" s="233">
        <f t="shared" si="19"/>
        <v>383.06939700181499</v>
      </c>
      <c r="N91" s="233">
        <f t="shared" si="19"/>
        <v>378.0553996588593</v>
      </c>
      <c r="O91" s="233">
        <f t="shared" si="19"/>
        <v>367.6931384834175</v>
      </c>
    </row>
    <row r="92" spans="2:15">
      <c r="B92" s="1344" t="s">
        <v>363</v>
      </c>
      <c r="C92" s="1345" t="s">
        <v>35</v>
      </c>
      <c r="D92" s="1346"/>
      <c r="E92" s="1346"/>
      <c r="F92" s="1346"/>
      <c r="G92" s="1346"/>
      <c r="H92" s="1343">
        <f>+H90/H89</f>
        <v>7.1782178217821777E-2</v>
      </c>
      <c r="I92" s="1343">
        <f>+I90/I89</f>
        <v>5.8111380145278453E-2</v>
      </c>
      <c r="J92" s="1343">
        <v>4.8611111111111112E-2</v>
      </c>
      <c r="K92" s="1343">
        <f>+K90/K89</f>
        <v>5.4499681308042648E-2</v>
      </c>
      <c r="L92" s="1343">
        <f>+L90/L89</f>
        <v>6.4717699315273838E-2</v>
      </c>
      <c r="M92" s="1343">
        <f>+M90/M89</f>
        <v>6.4480825986484414E-2</v>
      </c>
      <c r="N92" s="1343">
        <f>+N90/N89</f>
        <v>6.5823733845559798E-2</v>
      </c>
      <c r="O92" s="1343">
        <f>+O90/O89</f>
        <v>6.8068085851579405E-2</v>
      </c>
    </row>
    <row r="93" spans="2:15">
      <c r="B93" s="189" t="s">
        <v>364</v>
      </c>
      <c r="C93" s="193" t="s">
        <v>35</v>
      </c>
      <c r="D93" s="203"/>
      <c r="E93" s="203"/>
      <c r="F93" s="203"/>
      <c r="G93" s="203"/>
      <c r="H93" s="212">
        <f>+H91/H89</f>
        <v>0.92821782178217827</v>
      </c>
      <c r="I93" s="212">
        <f>+I91/I89</f>
        <v>0.9418886198547215</v>
      </c>
      <c r="J93" s="212">
        <v>0.95138888888888895</v>
      </c>
      <c r="K93" s="212">
        <f>+K91/K89</f>
        <v>0.95333759392957806</v>
      </c>
      <c r="L93" s="212">
        <f>+L91/L89</f>
        <v>0.93546368995813345</v>
      </c>
      <c r="M93" s="212">
        <f>+M91/M89</f>
        <v>0.9358780414624257</v>
      </c>
      <c r="N93" s="212">
        <f>+N91/N89</f>
        <v>0.93352895516226198</v>
      </c>
      <c r="O93" s="212">
        <f>+O91/O89</f>
        <v>0.92960301451454275</v>
      </c>
    </row>
    <row r="94" spans="2:15">
      <c r="B94" s="17"/>
      <c r="C94" s="18"/>
      <c r="H94" s="32"/>
      <c r="I94" s="32"/>
    </row>
    <row r="95" spans="2:15">
      <c r="B95" s="25" t="s">
        <v>371</v>
      </c>
      <c r="C95" s="192" t="s">
        <v>35</v>
      </c>
      <c r="H95" s="118">
        <f t="shared" ref="H95:I97" si="20">+H89/H75</f>
        <v>0.37511606313834728</v>
      </c>
      <c r="I95" s="118">
        <f t="shared" si="20"/>
        <v>0.39980638915779282</v>
      </c>
      <c r="J95" s="160">
        <f>+AVERAGE(H95:I95)</f>
        <v>0.38746122614807005</v>
      </c>
      <c r="K95" s="161">
        <f t="shared" ref="K95:O97" si="21">+J95</f>
        <v>0.38746122614807005</v>
      </c>
      <c r="L95" s="118">
        <f t="shared" si="21"/>
        <v>0.38746122614807005</v>
      </c>
      <c r="M95" s="118">
        <f t="shared" si="21"/>
        <v>0.38746122614807005</v>
      </c>
      <c r="N95" s="118">
        <f t="shared" si="21"/>
        <v>0.38746122614807005</v>
      </c>
      <c r="O95" s="118">
        <f t="shared" si="21"/>
        <v>0.38746122614807005</v>
      </c>
    </row>
    <row r="96" spans="2:15">
      <c r="B96" s="47" t="s">
        <v>361</v>
      </c>
      <c r="C96" s="18" t="s">
        <v>35</v>
      </c>
      <c r="D96" s="58"/>
      <c r="E96" s="58"/>
      <c r="F96" s="58"/>
      <c r="G96" s="58"/>
      <c r="H96" s="1300">
        <f t="shared" si="20"/>
        <v>0.25217391304347825</v>
      </c>
      <c r="I96" s="1300">
        <f t="shared" si="20"/>
        <v>0.21238938053097345</v>
      </c>
      <c r="J96" s="1383">
        <f>+AVERAGE(H96:I96)</f>
        <v>0.23228164678722585</v>
      </c>
      <c r="K96" s="266">
        <f t="shared" si="21"/>
        <v>0.23228164678722585</v>
      </c>
      <c r="L96" s="1300">
        <f t="shared" si="21"/>
        <v>0.23228164678722585</v>
      </c>
      <c r="M96" s="1300">
        <f t="shared" si="21"/>
        <v>0.23228164678722585</v>
      </c>
      <c r="N96" s="1300">
        <f t="shared" si="21"/>
        <v>0.23228164678722585</v>
      </c>
      <c r="O96" s="1300">
        <f t="shared" si="21"/>
        <v>0.23228164678722585</v>
      </c>
    </row>
    <row r="97" spans="1:15">
      <c r="B97" s="186" t="s">
        <v>362</v>
      </c>
      <c r="C97" s="191" t="s">
        <v>35</v>
      </c>
      <c r="D97" s="194"/>
      <c r="E97" s="194"/>
      <c r="F97" s="194"/>
      <c r="G97" s="194"/>
      <c r="H97" s="216">
        <f t="shared" si="20"/>
        <v>0.38981288981288981</v>
      </c>
      <c r="I97" s="216">
        <f t="shared" si="20"/>
        <v>0.42282608695652174</v>
      </c>
      <c r="J97" s="1384">
        <f>+AVERAGE(H97:I97)</f>
        <v>0.40631948838470577</v>
      </c>
      <c r="K97" s="234">
        <f t="shared" si="21"/>
        <v>0.40631948838470577</v>
      </c>
      <c r="L97" s="216">
        <f t="shared" si="21"/>
        <v>0.40631948838470577</v>
      </c>
      <c r="M97" s="216">
        <f t="shared" si="21"/>
        <v>0.40631948838470577</v>
      </c>
      <c r="N97" s="216">
        <f t="shared" si="21"/>
        <v>0.40631948838470577</v>
      </c>
      <c r="O97" s="216">
        <f t="shared" si="21"/>
        <v>0.40631948838470577</v>
      </c>
    </row>
    <row r="98" spans="1:15">
      <c r="B98" s="17"/>
      <c r="C98" s="18"/>
      <c r="H98" s="32"/>
      <c r="I98" s="32"/>
    </row>
    <row r="99" spans="1:15">
      <c r="B99" s="47" t="s">
        <v>413</v>
      </c>
      <c r="C99" s="51" t="s">
        <v>304</v>
      </c>
      <c r="D99" s="1385" t="e">
        <f>+Revenue!D151/Revenue!D89</f>
        <v>#REF!</v>
      </c>
      <c r="E99" s="1385" t="e">
        <f>+Revenue!E151/Revenue!E89</f>
        <v>#REF!</v>
      </c>
      <c r="F99" s="1385" t="e">
        <f>+Revenue!F151/Revenue!F89</f>
        <v>#REF!</v>
      </c>
      <c r="G99" s="1385">
        <f>+Revenue!G151/Revenue!G89</f>
        <v>112.32621392650155</v>
      </c>
      <c r="H99" s="1385">
        <f>+Revenue!H151/Revenue!H89</f>
        <v>90.978416232301981</v>
      </c>
      <c r="I99" s="1385" t="e">
        <f>+Revenue!I151/Revenue!I89</f>
        <v>#REF!</v>
      </c>
      <c r="J99" s="1385" t="e">
        <f>+Revenue!J151/Revenue!J89</f>
        <v>#REF!</v>
      </c>
      <c r="K99" s="1385">
        <f>+Revenue!K151/Revenue!K89</f>
        <v>108.2768745923666</v>
      </c>
      <c r="L99" s="1385">
        <f>+Revenue!L151/Revenue!L89</f>
        <v>115.70651818701423</v>
      </c>
      <c r="M99" s="1385">
        <f>+Revenue!M151/Revenue!M89</f>
        <v>116.25969270319916</v>
      </c>
      <c r="N99" s="1385">
        <f>+Revenue!N151/Revenue!N89</f>
        <v>118.70492528437097</v>
      </c>
      <c r="O99" s="1385">
        <f>+Revenue!O151/Revenue!O89</f>
        <v>121.78683409527149</v>
      </c>
    </row>
    <row r="100" spans="1:15">
      <c r="B100" s="186" t="s">
        <v>375</v>
      </c>
      <c r="C100" s="191" t="s">
        <v>35</v>
      </c>
      <c r="D100" s="1386"/>
      <c r="E100" s="230" t="e">
        <f t="shared" ref="E100:O100" si="22">+E99/D99-1</f>
        <v>#REF!</v>
      </c>
      <c r="F100" s="230" t="e">
        <f t="shared" si="22"/>
        <v>#REF!</v>
      </c>
      <c r="G100" s="230" t="e">
        <f t="shared" si="22"/>
        <v>#REF!</v>
      </c>
      <c r="H100" s="230">
        <f t="shared" si="22"/>
        <v>-0.19005178709368842</v>
      </c>
      <c r="I100" s="230" t="e">
        <f t="shared" si="22"/>
        <v>#REF!</v>
      </c>
      <c r="J100" s="230" t="e">
        <f t="shared" si="22"/>
        <v>#REF!</v>
      </c>
      <c r="K100" s="230" t="e">
        <f t="shared" si="22"/>
        <v>#REF!</v>
      </c>
      <c r="L100" s="230">
        <f t="shared" si="22"/>
        <v>6.8617085805424693E-2</v>
      </c>
      <c r="M100" s="230">
        <f t="shared" si="22"/>
        <v>4.7808414327259463E-3</v>
      </c>
      <c r="N100" s="230">
        <f t="shared" si="22"/>
        <v>2.1032505112621225E-2</v>
      </c>
      <c r="O100" s="230">
        <f t="shared" si="22"/>
        <v>2.5962771161495146E-2</v>
      </c>
    </row>
    <row r="101" spans="1:15">
      <c r="B101" s="17"/>
      <c r="H101" s="17"/>
    </row>
    <row r="102" spans="1:15">
      <c r="B102" s="47" t="s">
        <v>372</v>
      </c>
      <c r="C102" s="58"/>
      <c r="D102" s="58"/>
      <c r="E102" s="58"/>
      <c r="F102" s="345">
        <f t="shared" ref="F102:O102" si="23">+F89</f>
        <v>258</v>
      </c>
      <c r="G102" s="345">
        <f t="shared" si="23"/>
        <v>323</v>
      </c>
      <c r="H102" s="345">
        <f t="shared" si="23"/>
        <v>404</v>
      </c>
      <c r="I102" s="345">
        <v>280</v>
      </c>
      <c r="J102" s="345">
        <f t="shared" si="23"/>
        <v>305</v>
      </c>
      <c r="K102" s="345">
        <f t="shared" si="23"/>
        <v>383.58661388658936</v>
      </c>
      <c r="L102" s="345">
        <f t="shared" si="23"/>
        <v>403.77957714877607</v>
      </c>
      <c r="M102" s="345">
        <f t="shared" si="23"/>
        <v>409.3155091054615</v>
      </c>
      <c r="N102" s="345">
        <f t="shared" si="23"/>
        <v>404.9744762262327</v>
      </c>
      <c r="O102" s="345">
        <f t="shared" si="23"/>
        <v>395.53780779791703</v>
      </c>
    </row>
    <row r="103" spans="1:15">
      <c r="B103" s="186" t="s">
        <v>373</v>
      </c>
      <c r="C103" s="235" t="s">
        <v>296</v>
      </c>
      <c r="D103" s="194"/>
      <c r="E103" s="194"/>
      <c r="F103" s="236">
        <f>+F105/F102</f>
        <v>24.019379844961239</v>
      </c>
      <c r="G103" s="236">
        <f>+G105/G102</f>
        <v>20.88544891640867</v>
      </c>
      <c r="H103" s="236">
        <f>+H105/H102</f>
        <v>13.794554455445544</v>
      </c>
      <c r="I103" s="236">
        <f>+I105/I102</f>
        <v>19.117857142857144</v>
      </c>
      <c r="J103" s="236">
        <f>+J105/J102</f>
        <v>13.78688524590164</v>
      </c>
      <c r="K103" s="293">
        <f>+AVERAGE(I103:J103)</f>
        <v>16.452371194379392</v>
      </c>
      <c r="L103" s="236">
        <f>+K103</f>
        <v>16.452371194379392</v>
      </c>
      <c r="M103" s="236">
        <f>+L103</f>
        <v>16.452371194379392</v>
      </c>
      <c r="N103" s="236">
        <f>+M103</f>
        <v>16.452371194379392</v>
      </c>
      <c r="O103" s="236">
        <f>+N103</f>
        <v>16.452371194379392</v>
      </c>
    </row>
    <row r="104" spans="1:15">
      <c r="B104" s="17"/>
      <c r="H104" s="78"/>
    </row>
    <row r="105" spans="1:15">
      <c r="B105" s="153" t="s">
        <v>414</v>
      </c>
      <c r="C105" s="1349" t="s">
        <v>296</v>
      </c>
      <c r="D105" s="1387"/>
      <c r="E105" s="1387"/>
      <c r="F105" s="1350">
        <v>6197</v>
      </c>
      <c r="G105" s="1350">
        <v>6746</v>
      </c>
      <c r="H105" s="1350">
        <v>5573</v>
      </c>
      <c r="I105" s="1350">
        <v>5353</v>
      </c>
      <c r="J105" s="328">
        <v>4205</v>
      </c>
      <c r="K105" s="1351">
        <f>+K102*K103</f>
        <v>6310.9093568572525</v>
      </c>
      <c r="L105" s="1351">
        <f>+L102*L103</f>
        <v>6643.1314839612151</v>
      </c>
      <c r="M105" s="1351">
        <f>+M102*M103</f>
        <v>6734.210691419431</v>
      </c>
      <c r="N105" s="1351">
        <f>+N102*N103</f>
        <v>6662.7904071233525</v>
      </c>
      <c r="O105" s="1351">
        <f>+O102*O103</f>
        <v>6507.5348353024228</v>
      </c>
    </row>
    <row r="106" spans="1:15">
      <c r="B106" s="186" t="s">
        <v>375</v>
      </c>
      <c r="C106" s="235" t="s">
        <v>35</v>
      </c>
      <c r="D106" s="1388"/>
      <c r="E106" s="1388"/>
      <c r="F106" s="1389"/>
      <c r="G106" s="1362">
        <f t="shared" ref="G106:O106" si="24">+G105/F105-1</f>
        <v>8.859125383249955E-2</v>
      </c>
      <c r="H106" s="1362">
        <f t="shared" si="24"/>
        <v>-0.17388081826267421</v>
      </c>
      <c r="I106" s="1362">
        <f t="shared" si="24"/>
        <v>-3.9476045218015399E-2</v>
      </c>
      <c r="J106" s="1362">
        <f t="shared" si="24"/>
        <v>-0.21445918176723333</v>
      </c>
      <c r="K106" s="1362">
        <f t="shared" si="24"/>
        <v>0.5008107864107616</v>
      </c>
      <c r="L106" s="1362">
        <f t="shared" si="24"/>
        <v>5.2642512880173076E-2</v>
      </c>
      <c r="M106" s="1362">
        <f t="shared" si="24"/>
        <v>1.3710282218274861E-2</v>
      </c>
      <c r="N106" s="1362">
        <f t="shared" si="24"/>
        <v>-1.0605590999265946E-2</v>
      </c>
      <c r="O106" s="1362">
        <f t="shared" si="24"/>
        <v>-2.3301884395904415E-2</v>
      </c>
    </row>
    <row r="107" spans="1:15">
      <c r="B107" s="17"/>
      <c r="C107" s="124"/>
      <c r="D107" s="125"/>
      <c r="E107" s="125"/>
      <c r="F107" s="126"/>
      <c r="G107" s="127"/>
      <c r="H107" s="127"/>
      <c r="I107" s="127"/>
    </row>
    <row r="108" spans="1:15">
      <c r="B108" s="47" t="s">
        <v>415</v>
      </c>
      <c r="C108" s="1352" t="s">
        <v>296</v>
      </c>
      <c r="D108" s="58"/>
      <c r="E108" s="58"/>
      <c r="F108" s="346">
        <v>24</v>
      </c>
      <c r="G108" s="346">
        <v>26.083333333333332</v>
      </c>
      <c r="H108" s="346">
        <v>23.75</v>
      </c>
      <c r="I108" s="346">
        <f>+AVERAGE(23,21,19,21,23,21,21,24,22,25,28,25,16,12,12)</f>
        <v>20.866666666666667</v>
      </c>
      <c r="J108" s="346">
        <f t="shared" ref="J108:O108" si="25">++ROUNDUP(J105/J109/12,0)</f>
        <v>19</v>
      </c>
      <c r="K108" s="1333">
        <f t="shared" si="25"/>
        <v>27</v>
      </c>
      <c r="L108" s="1333">
        <f t="shared" si="25"/>
        <v>29</v>
      </c>
      <c r="M108" s="1333">
        <f t="shared" si="25"/>
        <v>29</v>
      </c>
      <c r="N108" s="1333">
        <f t="shared" si="25"/>
        <v>29</v>
      </c>
      <c r="O108" s="1333">
        <f t="shared" si="25"/>
        <v>28</v>
      </c>
    </row>
    <row r="109" spans="1:15">
      <c r="B109" s="186" t="s">
        <v>378</v>
      </c>
      <c r="C109" s="235" t="s">
        <v>296</v>
      </c>
      <c r="D109" s="194"/>
      <c r="E109" s="194"/>
      <c r="F109" s="237">
        <f>+F105/12/F108</f>
        <v>21.517361111111111</v>
      </c>
      <c r="G109" s="237">
        <f>+G105/12/G108</f>
        <v>21.552715654952078</v>
      </c>
      <c r="H109" s="237">
        <f>+H105/12/H108</f>
        <v>19.554385964912282</v>
      </c>
      <c r="I109" s="237">
        <f>+I105/12/I108</f>
        <v>21.377795527156547</v>
      </c>
      <c r="J109" s="1390">
        <v>19</v>
      </c>
      <c r="K109" s="237">
        <f>+AVERAGE(I109:J109)</f>
        <v>20.188897763578275</v>
      </c>
      <c r="L109" s="237">
        <f>+AVERAGE(J109:K109)</f>
        <v>19.594448881789138</v>
      </c>
      <c r="M109" s="237">
        <f>+AVERAGE(K109:L109)</f>
        <v>19.891673322683708</v>
      </c>
      <c r="N109" s="237">
        <f>+AVERAGE(L109:M109)</f>
        <v>19.743061102236425</v>
      </c>
      <c r="O109" s="237">
        <f>+AVERAGE(M109:N109)</f>
        <v>19.817367212460066</v>
      </c>
    </row>
    <row r="110" spans="1:15">
      <c r="B110" s="17"/>
      <c r="H110" s="17"/>
    </row>
    <row r="111" spans="1:15">
      <c r="A111" s="13" t="s">
        <v>58</v>
      </c>
      <c r="B111" s="14"/>
      <c r="C111" s="15"/>
      <c r="D111" s="20">
        <v>2009</v>
      </c>
      <c r="E111" s="20">
        <v>2010</v>
      </c>
      <c r="F111" s="20">
        <v>2011</v>
      </c>
      <c r="G111" s="20">
        <v>2012</v>
      </c>
      <c r="H111" s="20">
        <v>2013</v>
      </c>
      <c r="I111" s="20">
        <v>2014</v>
      </c>
      <c r="J111" s="20">
        <v>2015</v>
      </c>
      <c r="K111" s="21">
        <v>2016</v>
      </c>
      <c r="L111" s="21">
        <v>2017</v>
      </c>
      <c r="M111" s="21">
        <v>2018</v>
      </c>
      <c r="N111" s="21">
        <v>2019</v>
      </c>
      <c r="O111" s="21">
        <v>2020</v>
      </c>
    </row>
    <row r="112" spans="1:15">
      <c r="A112"/>
    </row>
    <row r="113" spans="1:15">
      <c r="A113"/>
      <c r="B113" s="153" t="s">
        <v>379</v>
      </c>
      <c r="C113" s="154" t="s">
        <v>203</v>
      </c>
      <c r="D113" s="1205" t="e">
        <f>+'Annual FS'!#REF!</f>
        <v>#REF!</v>
      </c>
      <c r="E113" s="1205" t="e">
        <f>+'Annual FS'!#REF!</f>
        <v>#REF!</v>
      </c>
      <c r="F113" s="1205" t="e">
        <f>+'Annual FS'!#REF!</f>
        <v>#REF!</v>
      </c>
      <c r="G113" s="1205">
        <f>+'Annual FS'!D7</f>
        <v>34990.834606559998</v>
      </c>
      <c r="H113" s="1205">
        <f>+'Annual FS'!E7</f>
        <v>33557.775283460003</v>
      </c>
      <c r="I113" s="1205">
        <f>+'Annual FS'!F7</f>
        <v>36375.923913590006</v>
      </c>
      <c r="J113" s="1422">
        <f>+'Annual FS'!G7</f>
        <v>14092.882640259997</v>
      </c>
      <c r="K113" s="175">
        <f>+K105*K45</f>
        <v>33131.517622131571</v>
      </c>
      <c r="L113" s="175">
        <f>+L105*L45</f>
        <v>35172.086938999309</v>
      </c>
      <c r="M113" s="175">
        <f>+M105*M45</f>
        <v>35911.908539268516</v>
      </c>
      <c r="N113" s="175">
        <f>+N105*N45</f>
        <v>35749.24653406522</v>
      </c>
      <c r="O113" s="175">
        <f>+O105*O45</f>
        <v>35098.486583751343</v>
      </c>
    </row>
    <row r="114" spans="1:15">
      <c r="A114"/>
      <c r="B114" s="186" t="s">
        <v>375</v>
      </c>
      <c r="C114" s="191" t="s">
        <v>35</v>
      </c>
      <c r="D114" s="1264" t="str">
        <f t="shared" ref="D114:O114" si="26">+IFERROR(D113/C113-1," ")</f>
        <v xml:space="preserve"> </v>
      </c>
      <c r="E114" s="1264" t="str">
        <f t="shared" si="26"/>
        <v xml:space="preserve"> </v>
      </c>
      <c r="F114" s="1264" t="str">
        <f t="shared" si="26"/>
        <v xml:space="preserve"> </v>
      </c>
      <c r="G114" s="1264" t="str">
        <f t="shared" si="26"/>
        <v xml:space="preserve"> </v>
      </c>
      <c r="H114" s="1264">
        <f t="shared" si="26"/>
        <v>-4.0955276980770505E-2</v>
      </c>
      <c r="I114" s="1264">
        <f t="shared" si="26"/>
        <v>8.397900654394741E-2</v>
      </c>
      <c r="J114" s="1391">
        <f t="shared" si="26"/>
        <v>-0.61257664069956697</v>
      </c>
      <c r="K114" s="1264">
        <f t="shared" si="26"/>
        <v>1.350939723820785</v>
      </c>
      <c r="L114" s="1264">
        <f t="shared" si="26"/>
        <v>6.1589974239654399E-2</v>
      </c>
      <c r="M114" s="1264">
        <f t="shared" si="26"/>
        <v>2.1034339007301783E-2</v>
      </c>
      <c r="N114" s="1264">
        <f t="shared" si="26"/>
        <v>-4.5294725849902573E-3</v>
      </c>
      <c r="O114" s="1264">
        <f t="shared" si="26"/>
        <v>-1.8203459188818827E-2</v>
      </c>
    </row>
    <row r="115" spans="1:15">
      <c r="A115"/>
      <c r="B115" s="17"/>
      <c r="C115" s="18"/>
      <c r="D115" s="74"/>
      <c r="E115" s="74"/>
      <c r="F115" s="74"/>
      <c r="G115" s="74"/>
      <c r="H115" s="74"/>
      <c r="I115" s="74"/>
      <c r="J115" s="74"/>
      <c r="K115" s="74"/>
      <c r="L115" s="74"/>
      <c r="M115" s="74"/>
      <c r="N115" s="74"/>
      <c r="O115" s="74"/>
    </row>
    <row r="116" spans="1:15">
      <c r="A116"/>
      <c r="B116" s="153" t="s">
        <v>63</v>
      </c>
      <c r="C116" s="154" t="s">
        <v>59</v>
      </c>
      <c r="D116" s="1205" t="e">
        <f>+'Annual FS'!#REF!</f>
        <v>#REF!</v>
      </c>
      <c r="E116" s="1205" t="e">
        <f>+'Annual FS'!#REF!</f>
        <v>#REF!</v>
      </c>
      <c r="F116" s="1205" t="e">
        <f>+'Annual FS'!#REF!</f>
        <v>#REF!</v>
      </c>
      <c r="G116" s="1205">
        <f>+'Annual FS'!D9</f>
        <v>345.03067221999999</v>
      </c>
      <c r="H116" s="1205">
        <f>+'Annual FS'!E9</f>
        <v>2556.5280076899999</v>
      </c>
      <c r="I116" s="1205">
        <f>+'Annual FS'!F9</f>
        <v>2400.0345414399999</v>
      </c>
      <c r="J116" s="1422">
        <f>+'Annual FS'!G9</f>
        <v>1904.7522473800002</v>
      </c>
      <c r="K116" s="175">
        <f>+J116*(1+K114)</f>
        <v>4477.957722402557</v>
      </c>
      <c r="L116" s="175">
        <f>+K116*(1+L114)</f>
        <v>4753.7550231715923</v>
      </c>
      <c r="M116" s="175">
        <f>+L116*(1+M114)</f>
        <v>4853.7471178866472</v>
      </c>
      <c r="N116" s="175">
        <f>+M116*(1+N114)</f>
        <v>4831.7622033817042</v>
      </c>
      <c r="O116" s="175">
        <f>+N116*(1+O114)</f>
        <v>4743.8074173023679</v>
      </c>
    </row>
    <row r="117" spans="1:15">
      <c r="A117"/>
      <c r="B117" s="186" t="s">
        <v>380</v>
      </c>
      <c r="C117" s="191" t="s">
        <v>35</v>
      </c>
      <c r="D117" s="238" t="str">
        <f>+IFERROR(D116/C157-1," ")</f>
        <v xml:space="preserve"> </v>
      </c>
      <c r="E117" s="238" t="str">
        <f t="shared" ref="E117:O117" si="27">+IFERROR(E116/D116-1," ")</f>
        <v xml:space="preserve"> </v>
      </c>
      <c r="F117" s="238" t="str">
        <f t="shared" si="27"/>
        <v xml:space="preserve"> </v>
      </c>
      <c r="G117" s="238" t="str">
        <f t="shared" si="27"/>
        <v xml:space="preserve"> </v>
      </c>
      <c r="H117" s="238">
        <f t="shared" si="27"/>
        <v>6.409567361767464</v>
      </c>
      <c r="I117" s="238">
        <f t="shared" si="27"/>
        <v>-6.1213280581816409E-2</v>
      </c>
      <c r="J117" s="1392">
        <f t="shared" si="27"/>
        <v>-0.206364652469891</v>
      </c>
      <c r="K117" s="238">
        <f t="shared" si="27"/>
        <v>1.350939723820785</v>
      </c>
      <c r="L117" s="238">
        <f t="shared" si="27"/>
        <v>6.1589974239654399E-2</v>
      </c>
      <c r="M117" s="238">
        <f t="shared" si="27"/>
        <v>2.1034339007301783E-2</v>
      </c>
      <c r="N117" s="238">
        <f t="shared" si="27"/>
        <v>-4.5294725849902573E-3</v>
      </c>
      <c r="O117" s="238">
        <f t="shared" si="27"/>
        <v>-1.8203459188818827E-2</v>
      </c>
    </row>
    <row r="118" spans="1:15">
      <c r="A118"/>
      <c r="B118" s="17"/>
      <c r="C118" s="18"/>
      <c r="D118" s="163"/>
      <c r="E118" s="163"/>
      <c r="F118" s="163"/>
      <c r="G118" s="163"/>
      <c r="H118" s="163"/>
      <c r="I118" s="163"/>
      <c r="J118" s="163"/>
      <c r="K118" s="163"/>
      <c r="L118" s="163"/>
      <c r="M118" s="163"/>
      <c r="N118" s="163"/>
      <c r="O118" s="163"/>
    </row>
    <row r="119" spans="1:15">
      <c r="A119"/>
      <c r="B119" s="1450" t="s">
        <v>381</v>
      </c>
      <c r="C119" s="1443" t="s">
        <v>35</v>
      </c>
      <c r="D119" s="1481" t="e">
        <f>+D116/D113</f>
        <v>#REF!</v>
      </c>
      <c r="E119" s="1481" t="e">
        <f t="shared" ref="E119:O119" si="28">+E116/E113</f>
        <v>#REF!</v>
      </c>
      <c r="F119" s="1481" t="e">
        <f t="shared" si="28"/>
        <v>#REF!</v>
      </c>
      <c r="G119" s="1481">
        <f t="shared" si="28"/>
        <v>9.8606013860359446E-3</v>
      </c>
      <c r="H119" s="1481">
        <f t="shared" si="28"/>
        <v>7.6182881198029379E-2</v>
      </c>
      <c r="I119" s="1481">
        <f t="shared" si="28"/>
        <v>6.5978655199005115E-2</v>
      </c>
      <c r="J119" s="1493">
        <f t="shared" si="28"/>
        <v>0.13515703607284563</v>
      </c>
      <c r="K119" s="1481">
        <f t="shared" si="28"/>
        <v>0.13515703607284563</v>
      </c>
      <c r="L119" s="1481">
        <f t="shared" si="28"/>
        <v>0.13515703607284563</v>
      </c>
      <c r="M119" s="1481">
        <f t="shared" si="28"/>
        <v>0.13515703607284563</v>
      </c>
      <c r="N119" s="1481">
        <f t="shared" si="28"/>
        <v>0.13515703607284563</v>
      </c>
      <c r="O119" s="1481">
        <f t="shared" si="28"/>
        <v>0.1351570360728456</v>
      </c>
    </row>
    <row r="120" spans="1:15">
      <c r="A120"/>
      <c r="B120" s="17"/>
      <c r="C120" s="18"/>
      <c r="D120" s="74"/>
      <c r="E120" s="74"/>
      <c r="F120" s="74"/>
      <c r="G120" s="74"/>
      <c r="H120" s="74"/>
      <c r="I120" s="74"/>
      <c r="J120" s="74"/>
      <c r="K120" s="74"/>
      <c r="L120" s="74"/>
      <c r="M120" s="74"/>
      <c r="N120" s="74"/>
      <c r="O120" s="74"/>
    </row>
    <row r="121" spans="1:15">
      <c r="A121"/>
      <c r="B121" s="47" t="s">
        <v>416</v>
      </c>
      <c r="C121" s="51"/>
      <c r="D121" s="173">
        <v>1</v>
      </c>
      <c r="E121" s="74"/>
      <c r="F121" s="74"/>
      <c r="G121" s="74"/>
      <c r="H121" s="74"/>
      <c r="I121" s="74"/>
      <c r="J121" s="143">
        <f>+I119*J113</f>
        <v>929.8294444817592</v>
      </c>
      <c r="K121" s="74"/>
      <c r="L121" s="74"/>
      <c r="M121" s="74"/>
      <c r="N121" s="74"/>
      <c r="O121" s="74"/>
    </row>
    <row r="122" spans="1:15">
      <c r="A122"/>
      <c r="B122" s="186" t="s">
        <v>417</v>
      </c>
      <c r="C122" s="191"/>
      <c r="D122" s="1393">
        <v>2</v>
      </c>
      <c r="E122" s="74"/>
      <c r="F122" s="74"/>
      <c r="G122" s="74"/>
      <c r="H122" s="74"/>
      <c r="I122" s="74"/>
      <c r="J122" s="74"/>
      <c r="K122" s="74"/>
      <c r="L122" s="74"/>
      <c r="M122" s="74"/>
      <c r="N122" s="74"/>
      <c r="O122" s="74"/>
    </row>
    <row r="123" spans="1:15">
      <c r="A123"/>
      <c r="B123" s="17"/>
      <c r="C123" s="18"/>
      <c r="D123" s="218"/>
      <c r="E123" s="74"/>
      <c r="F123" s="74"/>
      <c r="G123" s="74"/>
      <c r="H123" s="74"/>
      <c r="I123" s="74"/>
      <c r="J123" s="74"/>
      <c r="K123" s="74"/>
      <c r="L123" s="74"/>
      <c r="M123" s="74"/>
      <c r="N123" s="74"/>
      <c r="O123" s="74"/>
    </row>
    <row r="124" spans="1:15">
      <c r="A124"/>
      <c r="B124" s="47" t="s">
        <v>416</v>
      </c>
      <c r="C124" s="51"/>
      <c r="D124" s="1394"/>
      <c r="E124" s="1394"/>
      <c r="F124" s="1394"/>
      <c r="G124" s="1394"/>
      <c r="H124" s="1394"/>
      <c r="I124" s="1394"/>
      <c r="J124" s="1494"/>
      <c r="K124" s="1395">
        <v>0.5</v>
      </c>
      <c r="L124" s="1395">
        <v>1</v>
      </c>
      <c r="M124" s="1395">
        <v>1</v>
      </c>
      <c r="N124" s="1395">
        <v>1</v>
      </c>
      <c r="O124" s="1395">
        <v>1</v>
      </c>
    </row>
    <row r="125" spans="1:15">
      <c r="A125"/>
      <c r="B125" s="17" t="s">
        <v>418</v>
      </c>
      <c r="C125" s="33" t="s">
        <v>419</v>
      </c>
      <c r="D125" s="74"/>
      <c r="E125" s="74"/>
      <c r="F125" s="74"/>
      <c r="G125" s="74"/>
      <c r="H125" s="74"/>
      <c r="I125" s="74"/>
      <c r="J125" s="219"/>
      <c r="K125" s="143">
        <f>+K124*$D$122</f>
        <v>1</v>
      </c>
      <c r="L125" s="143">
        <f>+L124*$D$122</f>
        <v>2</v>
      </c>
      <c r="M125" s="143">
        <f>+M124*$D$122</f>
        <v>2</v>
      </c>
      <c r="N125" s="143">
        <f>+N124*$D$122</f>
        <v>2</v>
      </c>
      <c r="O125" s="143">
        <f>+O124*$D$122</f>
        <v>2</v>
      </c>
    </row>
    <row r="126" spans="1:15">
      <c r="A126"/>
      <c r="B126" s="186" t="s">
        <v>420</v>
      </c>
      <c r="C126" s="192" t="s">
        <v>59</v>
      </c>
      <c r="D126" s="1264"/>
      <c r="E126" s="1264"/>
      <c r="F126" s="1264"/>
      <c r="G126" s="1264"/>
      <c r="H126" s="1264"/>
      <c r="I126" s="1264"/>
      <c r="J126" s="1391"/>
      <c r="K126" s="936">
        <f>+K125*Drivers!H11</f>
        <v>3050.9778688524607</v>
      </c>
      <c r="L126" s="936">
        <f>+L125*Drivers!I11</f>
        <v>5902.6453150684983</v>
      </c>
      <c r="M126" s="936">
        <f>+M125*Drivers!J11</f>
        <v>5912.8605479452108</v>
      </c>
      <c r="N126" s="936">
        <f>+N125*Drivers!K11</f>
        <v>6562.1843835616519</v>
      </c>
      <c r="O126" s="936">
        <f>+O125*Drivers!L11</f>
        <v>7386.721748633895</v>
      </c>
    </row>
    <row r="127" spans="1:15">
      <c r="A127"/>
      <c r="B127" s="17"/>
      <c r="C127" s="18"/>
      <c r="D127" s="74"/>
      <c r="E127" s="74"/>
      <c r="F127" s="74"/>
      <c r="G127" s="74"/>
      <c r="H127" s="74"/>
      <c r="I127" s="74"/>
      <c r="J127" s="74"/>
      <c r="K127" s="74"/>
      <c r="L127" s="74"/>
      <c r="M127" s="74"/>
      <c r="N127" s="74"/>
      <c r="O127" s="74"/>
    </row>
    <row r="128" spans="1:15">
      <c r="A128"/>
      <c r="B128" s="153" t="s">
        <v>421</v>
      </c>
      <c r="C128" s="154" t="s">
        <v>59</v>
      </c>
      <c r="D128" s="75">
        <v>0</v>
      </c>
      <c r="E128" s="75">
        <v>0</v>
      </c>
      <c r="F128" s="75">
        <v>0</v>
      </c>
      <c r="G128" s="75">
        <v>0</v>
      </c>
      <c r="H128" s="75">
        <v>0</v>
      </c>
      <c r="I128" s="1205" t="e">
        <f>+'Annual FS'!#REF!</f>
        <v>#REF!</v>
      </c>
      <c r="J128" s="1205" t="e">
        <f>+'Annual FS'!#REF!</f>
        <v>#REF!</v>
      </c>
      <c r="K128" s="175">
        <f>+K126</f>
        <v>3050.9778688524607</v>
      </c>
      <c r="L128" s="175">
        <f>+L126</f>
        <v>5902.6453150684983</v>
      </c>
      <c r="M128" s="175">
        <f>+M126</f>
        <v>5912.8605479452108</v>
      </c>
      <c r="N128" s="175">
        <f>+N126</f>
        <v>6562.1843835616519</v>
      </c>
      <c r="O128" s="175">
        <f>+O126</f>
        <v>7386.721748633895</v>
      </c>
    </row>
    <row r="129" spans="2:15" customFormat="1">
      <c r="B129" s="186" t="s">
        <v>380</v>
      </c>
      <c r="C129" s="191" t="s">
        <v>35</v>
      </c>
      <c r="D129" s="238" t="str">
        <f>+IFERROR(D128/#REF!-1," ")</f>
        <v xml:space="preserve"> </v>
      </c>
      <c r="E129" s="238" t="str">
        <f t="shared" ref="E129:O129" si="29">+IFERROR(E128/D128-1," ")</f>
        <v xml:space="preserve"> </v>
      </c>
      <c r="F129" s="238" t="str">
        <f t="shared" si="29"/>
        <v xml:space="preserve"> </v>
      </c>
      <c r="G129" s="238" t="str">
        <f t="shared" si="29"/>
        <v xml:space="preserve"> </v>
      </c>
      <c r="H129" s="238" t="str">
        <f t="shared" si="29"/>
        <v xml:space="preserve"> </v>
      </c>
      <c r="I129" s="238" t="str">
        <f t="shared" si="29"/>
        <v xml:space="preserve"> </v>
      </c>
      <c r="J129" s="239" t="str">
        <f t="shared" si="29"/>
        <v xml:space="preserve"> </v>
      </c>
      <c r="K129" s="239" t="str">
        <f t="shared" si="29"/>
        <v xml:space="preserve"> </v>
      </c>
      <c r="L129" s="239">
        <f t="shared" si="29"/>
        <v>0.93467326503047099</v>
      </c>
      <c r="M129" s="239">
        <f t="shared" si="29"/>
        <v>1.7306194649091555E-3</v>
      </c>
      <c r="N129" s="239">
        <f t="shared" si="29"/>
        <v>0.1098155165932484</v>
      </c>
      <c r="O129" s="239">
        <f t="shared" si="29"/>
        <v>0.12564983195804724</v>
      </c>
    </row>
    <row r="130" spans="2:15" customFormat="1">
      <c r="B130" s="17"/>
      <c r="C130" s="18"/>
      <c r="D130" s="74"/>
      <c r="E130" s="74"/>
      <c r="F130" s="74"/>
      <c r="G130" s="74"/>
      <c r="H130" s="74"/>
      <c r="I130" s="74"/>
      <c r="J130" s="74"/>
      <c r="K130" s="74"/>
      <c r="L130" s="74"/>
      <c r="M130" s="74"/>
      <c r="N130" s="74"/>
      <c r="O130" s="74"/>
    </row>
    <row r="131" spans="2:15" customFormat="1"/>
    <row r="132" spans="2:15" customFormat="1">
      <c r="B132" s="185" t="s">
        <v>422</v>
      </c>
      <c r="C132" s="18"/>
      <c r="D132" s="74"/>
      <c r="E132" s="74"/>
      <c r="F132" s="74"/>
      <c r="G132" s="74"/>
      <c r="H132" s="74"/>
      <c r="K132" s="32"/>
      <c r="L132" s="32"/>
      <c r="M132" s="32"/>
      <c r="N132" s="32"/>
      <c r="O132" s="74"/>
    </row>
    <row r="133" spans="2:15" customFormat="1" ht="15">
      <c r="B133" s="49" t="s">
        <v>423</v>
      </c>
      <c r="C133" s="1495">
        <v>1000</v>
      </c>
      <c r="D133" s="1496"/>
      <c r="E133" s="47" t="s">
        <v>424</v>
      </c>
      <c r="F133" s="1394"/>
      <c r="G133" s="1394"/>
      <c r="H133" s="1394"/>
      <c r="I133" s="1396"/>
      <c r="J133" s="926">
        <v>621</v>
      </c>
      <c r="K133" s="926">
        <v>1200</v>
      </c>
      <c r="L133" s="926">
        <v>1380</v>
      </c>
      <c r="M133" s="926">
        <v>1586.9999999999998</v>
      </c>
      <c r="N133" s="926">
        <v>1745.6999999999996</v>
      </c>
      <c r="O133" s="1333">
        <f>+N133*(1+O135)</f>
        <v>1920.2699999999993</v>
      </c>
    </row>
    <row r="134" spans="2:15" customFormat="1" ht="15">
      <c r="B134" s="49" t="s">
        <v>425</v>
      </c>
      <c r="C134" s="181">
        <v>10</v>
      </c>
      <c r="D134" s="183"/>
      <c r="E134" s="17" t="s">
        <v>426</v>
      </c>
      <c r="F134" s="74"/>
      <c r="G134" s="74"/>
      <c r="H134" s="74"/>
      <c r="I134" s="178"/>
      <c r="J134" s="143">
        <v>270000</v>
      </c>
      <c r="K134" s="143">
        <v>521739.13043478259</v>
      </c>
      <c r="L134" s="143">
        <v>600000</v>
      </c>
      <c r="M134" s="143">
        <v>689999.99999999988</v>
      </c>
      <c r="N134" s="143">
        <v>758999.99999999988</v>
      </c>
      <c r="O134" s="143">
        <f>+O133/2.3*1000</f>
        <v>834899.99999999977</v>
      </c>
    </row>
    <row r="135" spans="2:15" customFormat="1" ht="15">
      <c r="B135" s="1397" t="s">
        <v>415</v>
      </c>
      <c r="C135" s="1398">
        <v>5</v>
      </c>
      <c r="D135" s="1399"/>
      <c r="E135" s="186" t="s">
        <v>375</v>
      </c>
      <c r="F135" s="1264"/>
      <c r="G135" s="1264"/>
      <c r="H135" s="1264"/>
      <c r="I135" s="1400"/>
      <c r="J135" s="194"/>
      <c r="K135" s="230">
        <f>+K133/J133-1</f>
        <v>0.93236714975845403</v>
      </c>
      <c r="L135" s="230">
        <f>+L133/K133-1</f>
        <v>0.14999999999999991</v>
      </c>
      <c r="M135" s="230">
        <f>+M133/L133-1</f>
        <v>0.14999999999999991</v>
      </c>
      <c r="N135" s="230">
        <f>+N133/M133-1</f>
        <v>9.9999999999999867E-2</v>
      </c>
      <c r="O135" s="1264">
        <f>+N135</f>
        <v>9.9999999999999867E-2</v>
      </c>
    </row>
    <row r="136" spans="2:15" customFormat="1" ht="15">
      <c r="B136" s="17"/>
      <c r="C136" s="182"/>
      <c r="D136" s="74"/>
      <c r="E136" s="74"/>
      <c r="F136" s="74"/>
      <c r="G136" s="74"/>
      <c r="H136" s="74"/>
      <c r="I136" s="178"/>
      <c r="J136" s="177"/>
    </row>
    <row r="137" spans="2:15" customFormat="1" ht="15">
      <c r="B137" s="1450" t="s">
        <v>356</v>
      </c>
      <c r="C137" s="1497"/>
      <c r="D137" s="1498"/>
      <c r="E137" s="1498"/>
      <c r="F137" s="1498"/>
      <c r="G137" s="1498"/>
      <c r="H137" s="1498"/>
      <c r="I137" s="1499"/>
      <c r="J137" s="1500"/>
      <c r="K137" s="1501"/>
      <c r="L137" s="1501">
        <f>+L135</f>
        <v>0.14999999999999991</v>
      </c>
      <c r="M137" s="1501">
        <v>0.1</v>
      </c>
      <c r="N137" s="1501">
        <v>0.05</v>
      </c>
      <c r="O137" s="1501">
        <v>0.05</v>
      </c>
    </row>
    <row r="138" spans="2:15" customFormat="1" ht="15">
      <c r="B138" s="17"/>
      <c r="C138" s="18"/>
      <c r="D138" s="74"/>
      <c r="E138" s="74"/>
      <c r="F138" s="74"/>
      <c r="G138" s="74"/>
      <c r="H138" s="74"/>
      <c r="I138" s="179"/>
      <c r="J138" s="177"/>
      <c r="K138" s="177"/>
      <c r="L138" s="177"/>
      <c r="M138" s="177"/>
      <c r="N138" s="177"/>
      <c r="O138" s="177"/>
    </row>
    <row r="139" spans="2:15" customFormat="1">
      <c r="B139" s="47" t="s">
        <v>357</v>
      </c>
      <c r="C139" s="51"/>
      <c r="D139" s="1394"/>
      <c r="E139" s="1394"/>
      <c r="F139" s="1394"/>
      <c r="G139" s="1394"/>
      <c r="H139" s="1394"/>
      <c r="I139" s="58"/>
      <c r="J139" s="924">
        <f>+$C$133*Drivers!$G$11/1000</f>
        <v>2743.3867397260287</v>
      </c>
      <c r="K139" s="924">
        <f>+$C$133*Drivers!$G$11/1000</f>
        <v>2743.3867397260287</v>
      </c>
      <c r="L139" s="924">
        <f>+$C$133*Drivers!$G$11/1000</f>
        <v>2743.3867397260287</v>
      </c>
      <c r="M139" s="924">
        <f>+$C$133*Drivers!$G$11/1000</f>
        <v>2743.3867397260287</v>
      </c>
      <c r="N139" s="924">
        <f>+$C$133*Drivers!$G$11/1000</f>
        <v>2743.3867397260287</v>
      </c>
      <c r="O139" s="924">
        <f>+$C$133*Drivers!$G$11/1000</f>
        <v>2743.3867397260287</v>
      </c>
    </row>
    <row r="140" spans="2:15" customFormat="1">
      <c r="B140" s="17" t="s">
        <v>427</v>
      </c>
      <c r="C140" s="18"/>
      <c r="D140" s="74"/>
      <c r="E140" s="74"/>
      <c r="F140" s="74"/>
      <c r="G140" s="74"/>
      <c r="H140" s="74"/>
      <c r="J140" s="102">
        <v>10</v>
      </c>
      <c r="K140" s="102">
        <v>10</v>
      </c>
      <c r="L140" s="102">
        <f>K140*(1+L137)</f>
        <v>11.5</v>
      </c>
      <c r="M140" s="102">
        <f>L140*(1+M137)</f>
        <v>12.65</v>
      </c>
      <c r="N140" s="102">
        <f>M140*(1+N137)</f>
        <v>13.282500000000001</v>
      </c>
      <c r="O140" s="102">
        <f>N140*(1+O137)</f>
        <v>13.946625000000001</v>
      </c>
    </row>
    <row r="141" spans="2:15" customFormat="1">
      <c r="B141" s="17" t="s">
        <v>428</v>
      </c>
      <c r="C141" s="18"/>
      <c r="D141" s="74"/>
      <c r="E141" s="74"/>
      <c r="F141" s="74"/>
      <c r="G141" s="74"/>
      <c r="H141" s="74"/>
      <c r="J141" s="102">
        <f t="shared" ref="J141:O141" si="30">+J139*J140</f>
        <v>27433.867397260288</v>
      </c>
      <c r="K141" s="102">
        <f t="shared" si="30"/>
        <v>27433.867397260288</v>
      </c>
      <c r="L141" s="102">
        <f t="shared" si="30"/>
        <v>31548.94750684933</v>
      </c>
      <c r="M141" s="102">
        <f t="shared" si="30"/>
        <v>34703.842257534263</v>
      </c>
      <c r="N141" s="102">
        <f t="shared" si="30"/>
        <v>36439.034370410976</v>
      </c>
      <c r="O141" s="102">
        <f t="shared" si="30"/>
        <v>38260.986088931531</v>
      </c>
    </row>
    <row r="142" spans="2:15" customFormat="1">
      <c r="B142" s="17" t="s">
        <v>179</v>
      </c>
      <c r="C142" s="18"/>
      <c r="D142" s="74"/>
      <c r="E142" s="74"/>
      <c r="F142" s="74"/>
      <c r="G142" s="74"/>
      <c r="H142" s="74"/>
      <c r="J142" s="113">
        <v>2.25</v>
      </c>
      <c r="K142" s="180">
        <v>4.5</v>
      </c>
      <c r="L142" s="113">
        <v>5</v>
      </c>
      <c r="M142" s="113">
        <f>+L142</f>
        <v>5</v>
      </c>
      <c r="N142" s="113">
        <f>+M142</f>
        <v>5</v>
      </c>
      <c r="O142" s="113">
        <f>+N142</f>
        <v>5</v>
      </c>
    </row>
    <row r="143" spans="2:15" customFormat="1">
      <c r="B143" s="17" t="s">
        <v>429</v>
      </c>
      <c r="C143" s="18"/>
      <c r="D143" s="74"/>
      <c r="E143" s="74"/>
      <c r="F143" s="74"/>
      <c r="G143" s="74"/>
      <c r="H143" s="74"/>
      <c r="J143" s="102">
        <f t="shared" ref="J143:O143" si="31">+J141*J142</f>
        <v>61726.201643835651</v>
      </c>
      <c r="K143" s="102">
        <f t="shared" si="31"/>
        <v>123452.4032876713</v>
      </c>
      <c r="L143" s="102">
        <f t="shared" si="31"/>
        <v>157744.73753424664</v>
      </c>
      <c r="M143" s="102">
        <f t="shared" si="31"/>
        <v>173519.21128767132</v>
      </c>
      <c r="N143" s="102">
        <f t="shared" si="31"/>
        <v>182195.17185205489</v>
      </c>
      <c r="O143" s="102">
        <f t="shared" si="31"/>
        <v>191304.93044465766</v>
      </c>
    </row>
    <row r="144" spans="2:15" customFormat="1">
      <c r="B144" s="185" t="s">
        <v>58</v>
      </c>
      <c r="C144" s="191"/>
      <c r="D144" s="1264"/>
      <c r="E144" s="1264"/>
      <c r="F144" s="1264"/>
      <c r="G144" s="1264"/>
      <c r="H144" s="1264"/>
      <c r="I144" s="194"/>
      <c r="J144" s="933">
        <f t="shared" ref="J144:O144" si="32">+J143*12</f>
        <v>740714.41972602787</v>
      </c>
      <c r="K144" s="933">
        <f t="shared" si="32"/>
        <v>1481428.8394520557</v>
      </c>
      <c r="L144" s="933">
        <f t="shared" si="32"/>
        <v>1892936.8504109597</v>
      </c>
      <c r="M144" s="933">
        <f t="shared" si="32"/>
        <v>2082230.5354520557</v>
      </c>
      <c r="N144" s="933">
        <f t="shared" si="32"/>
        <v>2186342.0622246587</v>
      </c>
      <c r="O144" s="933">
        <f t="shared" si="32"/>
        <v>2295659.1653358918</v>
      </c>
    </row>
    <row r="145" spans="1:15">
      <c r="A145"/>
      <c r="B145" s="17"/>
      <c r="C145" s="18"/>
      <c r="D145" s="74"/>
      <c r="E145" s="74"/>
      <c r="F145" s="74"/>
      <c r="G145" s="74"/>
      <c r="H145" s="74"/>
    </row>
    <row r="146" spans="1:15">
      <c r="A146"/>
      <c r="B146" s="1431" t="s">
        <v>422</v>
      </c>
      <c r="C146" s="1443"/>
      <c r="D146" s="1498"/>
      <c r="E146" s="1498"/>
      <c r="F146" s="1498"/>
      <c r="G146" s="1498"/>
      <c r="H146" s="1498"/>
      <c r="I146" s="1498"/>
      <c r="J146" s="1502">
        <f t="shared" ref="J146:O146" si="33">+J144/1000</f>
        <v>740.71441972602793</v>
      </c>
      <c r="K146" s="1502">
        <f t="shared" si="33"/>
        <v>1481.4288394520559</v>
      </c>
      <c r="L146" s="1502">
        <f t="shared" si="33"/>
        <v>1892.9368504109598</v>
      </c>
      <c r="M146" s="1502">
        <f t="shared" si="33"/>
        <v>2082.2305354520558</v>
      </c>
      <c r="N146" s="1502">
        <f t="shared" si="33"/>
        <v>2186.3420622246585</v>
      </c>
      <c r="O146" s="1502">
        <f t="shared" si="33"/>
        <v>2295.6591653358919</v>
      </c>
    </row>
    <row r="147" spans="1:15">
      <c r="A147"/>
      <c r="B147" s="25"/>
      <c r="C147" s="18"/>
      <c r="D147" s="74"/>
      <c r="E147" s="74"/>
      <c r="F147" s="74"/>
      <c r="G147" s="74"/>
      <c r="H147" s="74"/>
      <c r="I147" s="74"/>
      <c r="J147" s="143"/>
      <c r="K147" s="143"/>
      <c r="L147" s="143"/>
      <c r="M147" s="143"/>
      <c r="N147" s="143"/>
      <c r="O147" s="74"/>
    </row>
    <row r="148" spans="1:15">
      <c r="A148"/>
      <c r="B148" s="153" t="s">
        <v>64</v>
      </c>
      <c r="C148" s="1355" t="s">
        <v>59</v>
      </c>
      <c r="D148" s="1205" t="e">
        <f>+'Annual FS'!#REF!</f>
        <v>#REF!</v>
      </c>
      <c r="E148" s="1205" t="e">
        <f>+'Annual FS'!#REF!</f>
        <v>#REF!</v>
      </c>
      <c r="F148" s="1205" t="e">
        <f>+'Annual FS'!#REF!</f>
        <v>#REF!</v>
      </c>
      <c r="G148" s="1205">
        <f>+'Annual FS'!D10</f>
        <v>945.50181947999999</v>
      </c>
      <c r="H148" s="1205">
        <f>+'Annual FS'!E10</f>
        <v>640.97686670000007</v>
      </c>
      <c r="I148" s="1205">
        <f>+'Annual FS'!F10</f>
        <v>607.02293759999998</v>
      </c>
      <c r="J148" s="1205">
        <f>+'Annual FS'!G10</f>
        <v>855.14835819999985</v>
      </c>
      <c r="K148" s="175">
        <f>+J148*(1+Drivers!H9)</f>
        <v>873.10647372219978</v>
      </c>
      <c r="L148" s="175">
        <f>+K148*(1+Drivers!I9)</f>
        <v>891.44170967036587</v>
      </c>
      <c r="M148" s="175">
        <f>+L148*(1+Drivers!J9)</f>
        <v>908.37910215410272</v>
      </c>
      <c r="N148" s="175">
        <f>+M148*(1+Drivers!K9)</f>
        <v>929.27182150364706</v>
      </c>
      <c r="O148" s="175">
        <f>+N148*(1+Drivers!L9)</f>
        <v>942.28162700469818</v>
      </c>
    </row>
    <row r="149" spans="1:15">
      <c r="A149"/>
      <c r="B149" s="186" t="s">
        <v>375</v>
      </c>
      <c r="C149" s="240" t="s">
        <v>35</v>
      </c>
      <c r="D149" s="238" t="str">
        <f t="shared" ref="D149:O149" si="34">+IFERROR(D148/C148-1," ")</f>
        <v xml:space="preserve"> </v>
      </c>
      <c r="E149" s="238" t="str">
        <f t="shared" si="34"/>
        <v xml:space="preserve"> </v>
      </c>
      <c r="F149" s="238" t="str">
        <f t="shared" si="34"/>
        <v xml:space="preserve"> </v>
      </c>
      <c r="G149" s="238" t="str">
        <f t="shared" si="34"/>
        <v xml:space="preserve"> </v>
      </c>
      <c r="H149" s="239">
        <f t="shared" si="34"/>
        <v>-0.32207759573374517</v>
      </c>
      <c r="I149" s="239">
        <f t="shared" si="34"/>
        <v>-5.2972159938950991E-2</v>
      </c>
      <c r="J149" s="239">
        <f t="shared" si="34"/>
        <v>0.40875789897004355</v>
      </c>
      <c r="K149" s="239">
        <f t="shared" si="34"/>
        <v>2.0999999999999908E-2</v>
      </c>
      <c r="L149" s="239">
        <f t="shared" si="34"/>
        <v>2.0999999999999908E-2</v>
      </c>
      <c r="M149" s="239">
        <f t="shared" si="34"/>
        <v>1.8999999999999906E-2</v>
      </c>
      <c r="N149" s="239">
        <f t="shared" si="34"/>
        <v>2.2999999999999909E-2</v>
      </c>
      <c r="O149" s="239">
        <f t="shared" si="34"/>
        <v>1.4000000000000012E-2</v>
      </c>
    </row>
    <row r="150" spans="1:15">
      <c r="A150"/>
      <c r="B150" s="17"/>
      <c r="C150" s="24"/>
      <c r="D150" s="163"/>
      <c r="E150" s="163"/>
      <c r="F150" s="163"/>
      <c r="G150" s="163"/>
      <c r="H150" s="163"/>
      <c r="I150" s="163"/>
      <c r="J150" s="163"/>
      <c r="K150" s="163"/>
      <c r="L150" s="163"/>
      <c r="M150" s="163"/>
      <c r="N150" s="163"/>
      <c r="O150" s="163"/>
    </row>
    <row r="151" spans="1:15">
      <c r="A151"/>
      <c r="B151" s="1356" t="s">
        <v>383</v>
      </c>
      <c r="C151" s="1355" t="str">
        <f>+'Annual FS'!C5</f>
        <v>COP MM</v>
      </c>
      <c r="D151" s="1357" t="e">
        <f>+'Annual FS'!#REF!</f>
        <v>#REF!</v>
      </c>
      <c r="E151" s="1357" t="e">
        <f>+'Annual FS'!#REF!</f>
        <v>#REF!</v>
      </c>
      <c r="F151" s="1357" t="e">
        <f>+'Annual FS'!#REF!</f>
        <v>#REF!</v>
      </c>
      <c r="G151" s="1357">
        <f>+'Annual FS'!D5</f>
        <v>36281.367098260002</v>
      </c>
      <c r="H151" s="1357">
        <f>+'Annual FS'!E5</f>
        <v>36755.28015785</v>
      </c>
      <c r="I151" s="1357" t="e">
        <f>+I113+I157+I148</f>
        <v>#REF!</v>
      </c>
      <c r="J151" s="1357" t="e">
        <f>+J113+J157+J148</f>
        <v>#REF!</v>
      </c>
      <c r="K151" s="1357">
        <f>+K113+K116+K128+K148</f>
        <v>41533.559687108784</v>
      </c>
      <c r="L151" s="1357">
        <f>+L113+L116+L128+L148</f>
        <v>46719.92898690977</v>
      </c>
      <c r="M151" s="1357">
        <f>+M113+M116+M128+M148</f>
        <v>47586.895307254475</v>
      </c>
      <c r="N151" s="1357">
        <f>+N113+N116+N128+N148</f>
        <v>48072.464942512219</v>
      </c>
      <c r="O151" s="1357">
        <f>+O113+O116+O128+O148</f>
        <v>48171.297376692302</v>
      </c>
    </row>
    <row r="152" spans="1:15">
      <c r="A152"/>
      <c r="B152" s="241" t="s">
        <v>360</v>
      </c>
      <c r="C152" s="240" t="s">
        <v>35</v>
      </c>
      <c r="D152" s="1401"/>
      <c r="E152" s="242" t="e">
        <f t="shared" ref="E152:O152" si="35">+E151/D151-1</f>
        <v>#REF!</v>
      </c>
      <c r="F152" s="242" t="e">
        <f t="shared" si="35"/>
        <v>#REF!</v>
      </c>
      <c r="G152" s="242" t="e">
        <f t="shared" si="35"/>
        <v>#REF!</v>
      </c>
      <c r="H152" s="242">
        <f t="shared" si="35"/>
        <v>1.3062161034519848E-2</v>
      </c>
      <c r="I152" s="242" t="e">
        <f t="shared" si="35"/>
        <v>#REF!</v>
      </c>
      <c r="J152" s="242" t="e">
        <f t="shared" si="35"/>
        <v>#REF!</v>
      </c>
      <c r="K152" s="242" t="e">
        <f t="shared" si="35"/>
        <v>#REF!</v>
      </c>
      <c r="L152" s="242">
        <f t="shared" si="35"/>
        <v>0.12487177450890963</v>
      </c>
      <c r="M152" s="242">
        <f t="shared" si="35"/>
        <v>1.8556670336284498E-2</v>
      </c>
      <c r="N152" s="242">
        <f t="shared" si="35"/>
        <v>1.0203851966440913E-2</v>
      </c>
      <c r="O152" s="242">
        <f t="shared" si="35"/>
        <v>2.05590527338817E-3</v>
      </c>
    </row>
    <row r="153" spans="1:15">
      <c r="A153"/>
      <c r="B153" s="17"/>
      <c r="C153" s="18"/>
      <c r="D153" s="74"/>
      <c r="E153" s="74"/>
      <c r="F153" s="74"/>
      <c r="G153" s="74"/>
      <c r="H153" s="74"/>
      <c r="I153" s="74"/>
      <c r="J153" s="74"/>
      <c r="K153" s="74"/>
      <c r="L153" s="74"/>
      <c r="M153" s="74"/>
      <c r="N153" s="74"/>
      <c r="O153" s="74"/>
    </row>
    <row r="154" spans="1:15">
      <c r="A154"/>
      <c r="B154" s="150" t="s">
        <v>430</v>
      </c>
    </row>
    <row r="155" spans="1:15">
      <c r="A155"/>
      <c r="B155" s="25"/>
    </row>
    <row r="156" spans="1:15">
      <c r="A156"/>
      <c r="B156" s="25" t="s">
        <v>431</v>
      </c>
      <c r="C156" s="18"/>
      <c r="D156" s="163"/>
      <c r="E156" s="163"/>
      <c r="F156" s="163"/>
      <c r="G156" s="163"/>
      <c r="H156" s="163"/>
      <c r="I156" s="163"/>
      <c r="J156" s="163"/>
      <c r="K156" s="163"/>
      <c r="L156" s="163"/>
      <c r="M156" s="163"/>
      <c r="N156" s="163"/>
      <c r="O156" s="163"/>
    </row>
    <row r="157" spans="1:15">
      <c r="A157"/>
      <c r="B157" s="1450" t="s">
        <v>432</v>
      </c>
      <c r="C157" s="1457" t="s">
        <v>203</v>
      </c>
      <c r="D157" s="1459" t="e">
        <f t="shared" ref="D157:O157" si="36">+D128+D116</f>
        <v>#REF!</v>
      </c>
      <c r="E157" s="1459" t="e">
        <f t="shared" si="36"/>
        <v>#REF!</v>
      </c>
      <c r="F157" s="1459" t="e">
        <f t="shared" si="36"/>
        <v>#REF!</v>
      </c>
      <c r="G157" s="1459">
        <f t="shared" si="36"/>
        <v>345.03067221999999</v>
      </c>
      <c r="H157" s="1459">
        <f t="shared" si="36"/>
        <v>2556.5280076899999</v>
      </c>
      <c r="I157" s="1459" t="e">
        <f t="shared" si="36"/>
        <v>#REF!</v>
      </c>
      <c r="J157" s="1459" t="e">
        <f t="shared" si="36"/>
        <v>#REF!</v>
      </c>
      <c r="K157" s="1459">
        <f t="shared" si="36"/>
        <v>7528.9355912550182</v>
      </c>
      <c r="L157" s="1459">
        <f t="shared" si="36"/>
        <v>10656.400338240092</v>
      </c>
      <c r="M157" s="1459">
        <f t="shared" si="36"/>
        <v>10766.607665831858</v>
      </c>
      <c r="N157" s="1459">
        <f t="shared" si="36"/>
        <v>11393.946586943355</v>
      </c>
      <c r="O157" s="1459">
        <f t="shared" si="36"/>
        <v>12130.529165936263</v>
      </c>
    </row>
    <row r="158" spans="1:15">
      <c r="A158"/>
      <c r="B158" s="106"/>
      <c r="C158" s="106"/>
      <c r="D158" s="107"/>
      <c r="E158" s="107"/>
      <c r="F158" s="107"/>
      <c r="G158" s="107"/>
      <c r="H158" s="107"/>
      <c r="I158" s="107"/>
      <c r="J158" s="107"/>
      <c r="K158" s="107"/>
      <c r="L158" s="107"/>
      <c r="M158" s="107"/>
      <c r="N158" s="107"/>
      <c r="O158" s="107"/>
    </row>
    <row r="159" spans="1:15">
      <c r="A159" s="13" t="s">
        <v>433</v>
      </c>
      <c r="B159" s="119"/>
      <c r="C159" s="119"/>
      <c r="D159" s="20">
        <v>2009</v>
      </c>
      <c r="E159" s="20">
        <v>2010</v>
      </c>
      <c r="F159" s="20">
        <v>2011</v>
      </c>
      <c r="G159" s="20">
        <v>2012</v>
      </c>
      <c r="H159" s="20">
        <v>2013</v>
      </c>
      <c r="I159" s="20">
        <v>2014</v>
      </c>
      <c r="J159" s="21">
        <v>2015</v>
      </c>
      <c r="K159" s="21">
        <v>2016</v>
      </c>
      <c r="L159" s="21">
        <v>2017</v>
      </c>
      <c r="M159" s="21">
        <v>2018</v>
      </c>
      <c r="N159" s="21">
        <v>2019</v>
      </c>
      <c r="O159" s="21">
        <v>2020</v>
      </c>
    </row>
    <row r="161" spans="2:15">
      <c r="B161" s="25" t="s">
        <v>302</v>
      </c>
      <c r="C161" s="18"/>
      <c r="E161" s="133" t="s">
        <v>434</v>
      </c>
      <c r="F161" s="133" t="s">
        <v>35</v>
      </c>
      <c r="G161" s="17"/>
      <c r="I161" s="17"/>
      <c r="J161" s="97" t="e">
        <f t="shared" ref="J161:O161" si="37">+SUM(J162:J169)</f>
        <v>#REF!</v>
      </c>
      <c r="K161" s="97" t="e">
        <f t="shared" si="37"/>
        <v>#REF!</v>
      </c>
      <c r="L161" s="97" t="e">
        <f t="shared" si="37"/>
        <v>#REF!</v>
      </c>
      <c r="M161" s="97">
        <f t="shared" si="37"/>
        <v>0</v>
      </c>
      <c r="N161" s="97">
        <f t="shared" si="37"/>
        <v>0</v>
      </c>
      <c r="O161" s="97">
        <f t="shared" si="37"/>
        <v>0</v>
      </c>
    </row>
    <row r="162" spans="2:15">
      <c r="B162" s="47" t="e">
        <f>+#REF!</f>
        <v>#REF!</v>
      </c>
      <c r="C162" s="51" t="s">
        <v>304</v>
      </c>
      <c r="D162" s="47"/>
      <c r="E162" s="924" t="e">
        <f t="shared" ref="E162:E169" si="38">+SUM(J162:L162)</f>
        <v>#REF!</v>
      </c>
      <c r="F162" s="1300" t="e">
        <f t="shared" ref="F162:F169" si="39">+E162/$E$170</f>
        <v>#REF!</v>
      </c>
      <c r="G162" s="47"/>
      <c r="H162" s="47"/>
      <c r="I162" s="47"/>
      <c r="J162" s="924" t="e">
        <f>+#REF!</f>
        <v>#REF!</v>
      </c>
      <c r="K162" s="924" t="e">
        <f>+#REF!</f>
        <v>#REF!</v>
      </c>
      <c r="L162" s="924" t="e">
        <f>+#REF!</f>
        <v>#REF!</v>
      </c>
      <c r="M162" s="47"/>
      <c r="N162" s="47"/>
      <c r="O162" s="47"/>
    </row>
    <row r="163" spans="2:15">
      <c r="B163" s="17" t="e">
        <f>+#REF!</f>
        <v>#REF!</v>
      </c>
      <c r="C163" s="18" t="s">
        <v>304</v>
      </c>
      <c r="D163" s="17"/>
      <c r="E163" s="102" t="e">
        <f t="shared" si="38"/>
        <v>#REF!</v>
      </c>
      <c r="F163" s="110" t="e">
        <f t="shared" si="39"/>
        <v>#REF!</v>
      </c>
      <c r="G163" s="17"/>
      <c r="H163" s="17"/>
      <c r="I163" s="17"/>
      <c r="J163" s="102" t="e">
        <f>+#REF!</f>
        <v>#REF!</v>
      </c>
      <c r="K163" s="102" t="e">
        <f>+#REF!</f>
        <v>#REF!</v>
      </c>
      <c r="L163" s="102" t="e">
        <f>+#REF!</f>
        <v>#REF!</v>
      </c>
      <c r="M163" s="17"/>
      <c r="N163" s="17"/>
      <c r="O163" s="17"/>
    </row>
    <row r="164" spans="2:15">
      <c r="B164" s="17" t="e">
        <f>+#REF!</f>
        <v>#REF!</v>
      </c>
      <c r="C164" s="18" t="s">
        <v>304</v>
      </c>
      <c r="D164" s="17"/>
      <c r="E164" s="102" t="e">
        <f t="shared" si="38"/>
        <v>#REF!</v>
      </c>
      <c r="F164" s="110" t="e">
        <f t="shared" si="39"/>
        <v>#REF!</v>
      </c>
      <c r="G164" s="17"/>
      <c r="H164" s="17"/>
      <c r="I164" s="17"/>
      <c r="J164" s="102" t="e">
        <f>+#REF!</f>
        <v>#REF!</v>
      </c>
      <c r="K164" s="102" t="e">
        <f>+#REF!</f>
        <v>#REF!</v>
      </c>
      <c r="L164" s="102" t="e">
        <f>+#REF!</f>
        <v>#REF!</v>
      </c>
      <c r="M164" s="17"/>
      <c r="N164" s="17"/>
      <c r="O164" s="17"/>
    </row>
    <row r="165" spans="2:15">
      <c r="B165" s="17" t="e">
        <f>+#REF!</f>
        <v>#REF!</v>
      </c>
      <c r="C165" s="18" t="s">
        <v>304</v>
      </c>
      <c r="D165" s="17"/>
      <c r="E165" s="102" t="e">
        <f t="shared" si="38"/>
        <v>#REF!</v>
      </c>
      <c r="F165" s="110" t="e">
        <f t="shared" si="39"/>
        <v>#REF!</v>
      </c>
      <c r="G165" s="17"/>
      <c r="H165" s="17"/>
      <c r="I165" s="17"/>
      <c r="J165" s="102" t="e">
        <f>+#REF!</f>
        <v>#REF!</v>
      </c>
      <c r="K165" s="102" t="e">
        <f>+#REF!</f>
        <v>#REF!</v>
      </c>
      <c r="L165" s="102" t="e">
        <f>+#REF!</f>
        <v>#REF!</v>
      </c>
      <c r="M165" s="17"/>
      <c r="N165" s="17"/>
      <c r="O165" s="17"/>
    </row>
    <row r="166" spans="2:15">
      <c r="B166" s="17" t="e">
        <f>+#REF!</f>
        <v>#REF!</v>
      </c>
      <c r="C166" s="18" t="s">
        <v>304</v>
      </c>
      <c r="D166" s="17"/>
      <c r="E166" s="102" t="e">
        <f t="shared" si="38"/>
        <v>#REF!</v>
      </c>
      <c r="F166" s="110" t="e">
        <f t="shared" si="39"/>
        <v>#REF!</v>
      </c>
      <c r="G166" s="17"/>
      <c r="H166" s="17"/>
      <c r="I166" s="17"/>
      <c r="J166" s="102" t="e">
        <f>+#REF!</f>
        <v>#REF!</v>
      </c>
      <c r="K166" s="102" t="e">
        <f>+#REF!</f>
        <v>#REF!</v>
      </c>
      <c r="L166" s="102" t="e">
        <f>+#REF!</f>
        <v>#REF!</v>
      </c>
      <c r="M166" s="17"/>
      <c r="N166" s="17"/>
      <c r="O166" s="17"/>
    </row>
    <row r="167" spans="2:15">
      <c r="B167" s="17" t="e">
        <f>+#REF!</f>
        <v>#REF!</v>
      </c>
      <c r="C167" s="18" t="s">
        <v>304</v>
      </c>
      <c r="D167" s="17"/>
      <c r="E167" s="102" t="e">
        <f t="shared" si="38"/>
        <v>#REF!</v>
      </c>
      <c r="F167" s="110" t="e">
        <f t="shared" si="39"/>
        <v>#REF!</v>
      </c>
      <c r="G167" s="17"/>
      <c r="H167" s="17"/>
      <c r="I167" s="17"/>
      <c r="J167" s="102" t="e">
        <f>+#REF!</f>
        <v>#REF!</v>
      </c>
      <c r="K167" s="102" t="e">
        <f>+#REF!</f>
        <v>#REF!</v>
      </c>
      <c r="L167" s="102" t="e">
        <f>+#REF!</f>
        <v>#REF!</v>
      </c>
      <c r="M167" s="17"/>
      <c r="N167" s="17"/>
      <c r="O167" s="17"/>
    </row>
    <row r="168" spans="2:15">
      <c r="B168" s="17" t="e">
        <f>+#REF!</f>
        <v>#REF!</v>
      </c>
      <c r="C168" s="18" t="s">
        <v>304</v>
      </c>
      <c r="D168" s="17"/>
      <c r="E168" s="102" t="e">
        <f t="shared" si="38"/>
        <v>#REF!</v>
      </c>
      <c r="F168" s="110" t="e">
        <f t="shared" si="39"/>
        <v>#REF!</v>
      </c>
      <c r="G168" s="17"/>
      <c r="H168" s="17"/>
      <c r="I168" s="17"/>
      <c r="J168" s="102" t="e">
        <f>+#REF!</f>
        <v>#REF!</v>
      </c>
      <c r="K168" s="102" t="e">
        <f>+#REF!</f>
        <v>#REF!</v>
      </c>
      <c r="L168" s="102" t="e">
        <f>+#REF!</f>
        <v>#REF!</v>
      </c>
      <c r="M168" s="17"/>
      <c r="N168" s="17"/>
      <c r="O168" s="17"/>
    </row>
    <row r="169" spans="2:15">
      <c r="B169" s="186" t="e">
        <f>+#REF!</f>
        <v>#REF!</v>
      </c>
      <c r="C169" s="191" t="s">
        <v>304</v>
      </c>
      <c r="D169" s="186"/>
      <c r="E169" s="931" t="e">
        <f t="shared" si="38"/>
        <v>#REF!</v>
      </c>
      <c r="F169" s="216" t="e">
        <f t="shared" si="39"/>
        <v>#REF!</v>
      </c>
      <c r="G169" s="186"/>
      <c r="H169" s="186"/>
      <c r="I169" s="186"/>
      <c r="J169" s="931" t="e">
        <f>+#REF!</f>
        <v>#REF!</v>
      </c>
      <c r="K169" s="931" t="e">
        <f>+#REF!</f>
        <v>#REF!</v>
      </c>
      <c r="L169" s="931" t="e">
        <f>+#REF!</f>
        <v>#REF!</v>
      </c>
      <c r="M169" s="186"/>
      <c r="N169" s="186"/>
      <c r="O169" s="186"/>
    </row>
    <row r="170" spans="2:15">
      <c r="B170" s="17"/>
      <c r="D170" s="25" t="s">
        <v>302</v>
      </c>
      <c r="E170" s="97" t="e">
        <f>+SUM(J161:L161)</f>
        <v>#REF!</v>
      </c>
      <c r="F170" s="147" t="e">
        <f>+SUM(F162:F169)</f>
        <v>#REF!</v>
      </c>
    </row>
    <row r="171" spans="2:15">
      <c r="B171" s="17"/>
      <c r="D171" s="25"/>
      <c r="E171" s="97"/>
      <c r="F171" s="111"/>
    </row>
    <row r="172" spans="2:15">
      <c r="B172" s="25" t="s">
        <v>435</v>
      </c>
      <c r="D172" s="25"/>
      <c r="E172" s="97"/>
      <c r="F172" s="111"/>
    </row>
    <row r="173" spans="2:15">
      <c r="B173" s="47" t="s">
        <v>434</v>
      </c>
      <c r="C173" s="51" t="s">
        <v>304</v>
      </c>
      <c r="D173" s="924">
        <v>8294842.5609999988</v>
      </c>
      <c r="E173" s="1053">
        <v>6063366.9729999993</v>
      </c>
      <c r="F173" s="1053">
        <v>16110307.803026984</v>
      </c>
      <c r="G173" s="1053">
        <v>5562827.0300333695</v>
      </c>
      <c r="H173" s="1053">
        <v>8376571.6524324333</v>
      </c>
    </row>
    <row r="174" spans="2:15">
      <c r="B174" s="17" t="s">
        <v>436</v>
      </c>
      <c r="C174" s="18" t="s">
        <v>296</v>
      </c>
      <c r="D174" s="66">
        <v>26</v>
      </c>
      <c r="E174" s="77">
        <v>22</v>
      </c>
      <c r="F174" s="77">
        <v>32</v>
      </c>
      <c r="G174" s="77">
        <v>19</v>
      </c>
      <c r="H174" s="77">
        <v>22</v>
      </c>
    </row>
    <row r="175" spans="2:15">
      <c r="B175" s="186" t="s">
        <v>437</v>
      </c>
      <c r="C175" s="191" t="s">
        <v>304</v>
      </c>
      <c r="D175" s="931">
        <f>+D173/D174</f>
        <v>319032.40619230765</v>
      </c>
      <c r="E175" s="931">
        <f>+E173/E174</f>
        <v>275607.58968181815</v>
      </c>
      <c r="F175" s="931">
        <f>+F173/F174</f>
        <v>503447.11884459323</v>
      </c>
      <c r="G175" s="931">
        <f>+G173/G174</f>
        <v>292780.3700017563</v>
      </c>
      <c r="H175" s="931">
        <f>+H173/H174</f>
        <v>380753.256928747</v>
      </c>
    </row>
    <row r="176" spans="2:15">
      <c r="B176" s="17"/>
      <c r="C176" s="18"/>
      <c r="D176" s="102"/>
      <c r="E176" s="102"/>
      <c r="F176" s="102"/>
      <c r="G176" s="102"/>
      <c r="H176" s="102"/>
    </row>
    <row r="177" spans="2:15">
      <c r="B177" s="153" t="s">
        <v>438</v>
      </c>
      <c r="C177" s="154" t="s">
        <v>304</v>
      </c>
      <c r="D177" s="1402"/>
      <c r="E177" s="1402"/>
      <c r="F177" s="1402"/>
      <c r="G177" s="1402"/>
      <c r="H177" s="1402"/>
      <c r="I177" s="1402"/>
      <c r="J177" s="1403" t="e">
        <f t="shared" ref="J177:O177" si="40">+J161</f>
        <v>#REF!</v>
      </c>
      <c r="K177" s="1403" t="e">
        <f t="shared" si="40"/>
        <v>#REF!</v>
      </c>
      <c r="L177" s="1403" t="e">
        <f t="shared" si="40"/>
        <v>#REF!</v>
      </c>
      <c r="M177" s="1403">
        <f t="shared" si="40"/>
        <v>0</v>
      </c>
      <c r="N177" s="1403">
        <f t="shared" si="40"/>
        <v>0</v>
      </c>
      <c r="O177" s="1403">
        <f t="shared" si="40"/>
        <v>0</v>
      </c>
    </row>
    <row r="178" spans="2:15">
      <c r="B178" s="25" t="s">
        <v>379</v>
      </c>
      <c r="C178" s="33" t="s">
        <v>304</v>
      </c>
      <c r="D178" s="158"/>
      <c r="E178" s="158"/>
      <c r="F178" s="158"/>
      <c r="G178" s="158"/>
      <c r="H178" s="158"/>
      <c r="I178" s="158"/>
      <c r="J178" s="159">
        <f t="shared" ref="J178:O178" si="41">+J113</f>
        <v>14092.882640259997</v>
      </c>
      <c r="K178" s="159">
        <f t="shared" si="41"/>
        <v>33131.517622131571</v>
      </c>
      <c r="L178" s="159">
        <f t="shared" si="41"/>
        <v>35172.086938999309</v>
      </c>
      <c r="M178" s="159">
        <f t="shared" si="41"/>
        <v>35911.908539268516</v>
      </c>
      <c r="N178" s="159">
        <f t="shared" si="41"/>
        <v>35749.24653406522</v>
      </c>
      <c r="O178" s="159">
        <f t="shared" si="41"/>
        <v>35098.486583751343</v>
      </c>
    </row>
    <row r="179" spans="2:15">
      <c r="B179" s="17" t="s">
        <v>439</v>
      </c>
      <c r="C179" s="18" t="s">
        <v>35</v>
      </c>
      <c r="D179" s="74"/>
      <c r="E179" s="74"/>
      <c r="F179" s="74"/>
      <c r="G179" s="74"/>
      <c r="H179" s="74"/>
      <c r="I179" s="74"/>
      <c r="J179" s="74" t="e">
        <f>+J177/J113</f>
        <v>#REF!</v>
      </c>
      <c r="K179" s="74" t="e">
        <f>+K177/K113</f>
        <v>#REF!</v>
      </c>
      <c r="L179" s="74" t="e">
        <f>+L177/L113</f>
        <v>#REF!</v>
      </c>
      <c r="M179" s="74"/>
      <c r="N179" s="74"/>
      <c r="O179" s="74"/>
    </row>
    <row r="180" spans="2:15">
      <c r="B180" s="1431" t="s">
        <v>435</v>
      </c>
      <c r="C180" s="1457" t="s">
        <v>304</v>
      </c>
      <c r="D180" s="1498"/>
      <c r="E180" s="1498"/>
      <c r="F180" s="1498"/>
      <c r="G180" s="1498"/>
      <c r="H180" s="1498"/>
      <c r="I180" s="1498"/>
      <c r="J180" s="1503" t="e">
        <f t="shared" ref="J180:O180" si="42">+J113-J177</f>
        <v>#REF!</v>
      </c>
      <c r="K180" s="1503" t="e">
        <f t="shared" si="42"/>
        <v>#REF!</v>
      </c>
      <c r="L180" s="1503" t="e">
        <f t="shared" si="42"/>
        <v>#REF!</v>
      </c>
      <c r="M180" s="1503">
        <f t="shared" si="42"/>
        <v>35911.908539268516</v>
      </c>
      <c r="N180" s="1503">
        <f t="shared" si="42"/>
        <v>35749.24653406522</v>
      </c>
      <c r="O180" s="1503">
        <f t="shared" si="42"/>
        <v>35098.486583751343</v>
      </c>
    </row>
  </sheetData>
  <mergeCells count="1">
    <mergeCell ref="O2:P2"/>
  </mergeCells>
  <pageMargins left="0.7" right="0.7" top="0.75" bottom="0.75" header="0.3" footer="0.3"/>
  <pageSetup scale="19"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AB067"/>
  </sheetPr>
  <dimension ref="A1:W182"/>
  <sheetViews>
    <sheetView showGridLines="0" topLeftCell="A7" zoomScale="79" zoomScaleNormal="90" workbookViewId="0">
      <selection activeCell="N36" sqref="N36"/>
    </sheetView>
  </sheetViews>
  <sheetFormatPr baseColWidth="10" defaultColWidth="0" defaultRowHeight="13"/>
  <cols>
    <col min="1" max="1" width="1.81640625" style="184" bestFit="1" customWidth="1"/>
    <col min="2" max="2" width="29.453125" style="184" bestFit="1" customWidth="1"/>
    <col min="3" max="3" width="1.26953125" style="413" customWidth="1"/>
    <col min="4" max="4" width="18.453125" style="184" bestFit="1" customWidth="1"/>
    <col min="5" max="18" width="11.7265625" style="184" customWidth="1"/>
    <col min="19" max="19" width="1.7265625" style="184" customWidth="1"/>
    <col min="20" max="20" width="11.7265625" style="184" hidden="1" customWidth="1"/>
    <col min="21" max="16384" width="11.453125" style="184" hidden="1"/>
  </cols>
  <sheetData>
    <row r="1" spans="1:19">
      <c r="B1" s="223" t="s">
        <v>440</v>
      </c>
      <c r="C1" s="184"/>
    </row>
    <row r="2" spans="1:19">
      <c r="B2" s="223" t="str">
        <f>+Cover!B26</f>
        <v>TGT Gamas</v>
      </c>
      <c r="C2" s="184"/>
      <c r="D2" s="489"/>
      <c r="E2" s="489"/>
      <c r="F2" s="489"/>
      <c r="G2" s="489"/>
      <c r="H2" s="489"/>
      <c r="I2" s="489"/>
      <c r="J2" s="489"/>
      <c r="K2" s="489"/>
      <c r="L2" s="489"/>
      <c r="M2" s="489"/>
      <c r="N2" s="489"/>
      <c r="O2" s="489"/>
      <c r="P2" s="489"/>
      <c r="Q2" s="489"/>
      <c r="R2" s="489"/>
    </row>
    <row r="3" spans="1:19">
      <c r="A3" s="490"/>
      <c r="B3" s="491" t="s">
        <v>23</v>
      </c>
      <c r="C3" s="490"/>
      <c r="D3" s="471">
        <f>E3-1</f>
        <v>2013</v>
      </c>
      <c r="E3" s="471">
        <f>F3-1</f>
        <v>2014</v>
      </c>
      <c r="F3" s="471">
        <f>G3-1</f>
        <v>2015</v>
      </c>
      <c r="G3" s="471">
        <f>H3-1</f>
        <v>2016</v>
      </c>
      <c r="H3" s="471">
        <f>I3-1</f>
        <v>2017</v>
      </c>
      <c r="I3" s="492">
        <f>+'Drivers Revenue'!J3</f>
        <v>2018</v>
      </c>
      <c r="J3" s="470">
        <f t="shared" ref="J3:R3" si="0">I3+1</f>
        <v>2019</v>
      </c>
      <c r="K3" s="470">
        <f t="shared" si="0"/>
        <v>2020</v>
      </c>
      <c r="L3" s="470">
        <f t="shared" si="0"/>
        <v>2021</v>
      </c>
      <c r="M3" s="470">
        <f t="shared" si="0"/>
        <v>2022</v>
      </c>
      <c r="N3" s="470">
        <f t="shared" si="0"/>
        <v>2023</v>
      </c>
      <c r="O3" s="470">
        <f t="shared" si="0"/>
        <v>2024</v>
      </c>
      <c r="P3" s="470">
        <f t="shared" si="0"/>
        <v>2025</v>
      </c>
      <c r="Q3" s="470">
        <f t="shared" si="0"/>
        <v>2026</v>
      </c>
      <c r="R3" s="470">
        <f t="shared" si="0"/>
        <v>2027</v>
      </c>
    </row>
    <row r="4" spans="1:19">
      <c r="A4" s="490"/>
      <c r="B4" s="493"/>
      <c r="C4" s="493"/>
      <c r="D4" s="490"/>
      <c r="E4" s="490"/>
      <c r="F4" s="490"/>
      <c r="G4" s="490"/>
      <c r="H4" s="490"/>
      <c r="I4" s="490"/>
      <c r="J4" s="490"/>
      <c r="K4" s="490"/>
      <c r="L4" s="490"/>
      <c r="M4" s="490"/>
      <c r="N4" s="490"/>
      <c r="O4" s="490"/>
      <c r="P4" s="490"/>
      <c r="Q4" s="490"/>
      <c r="R4" s="490"/>
      <c r="S4" s="490"/>
    </row>
    <row r="5" spans="1:19">
      <c r="A5" s="184" t="s">
        <v>48</v>
      </c>
      <c r="B5" s="494" t="s">
        <v>441</v>
      </c>
      <c r="C5" s="495"/>
      <c r="D5" s="495"/>
      <c r="E5" s="495"/>
      <c r="F5" s="495"/>
      <c r="G5" s="495"/>
      <c r="H5" s="495"/>
      <c r="I5" s="495"/>
      <c r="J5" s="495"/>
      <c r="K5" s="495"/>
      <c r="L5" s="495"/>
      <c r="M5" s="495"/>
      <c r="N5" s="495"/>
      <c r="O5" s="495"/>
      <c r="P5" s="495"/>
      <c r="Q5" s="495"/>
      <c r="R5" s="495"/>
    </row>
    <row r="6" spans="1:19">
      <c r="A6" s="490"/>
      <c r="B6" s="493"/>
      <c r="C6" s="493"/>
      <c r="D6" s="490"/>
      <c r="E6" s="490"/>
      <c r="F6" s="490"/>
      <c r="G6" s="490"/>
      <c r="H6" s="490"/>
      <c r="I6" s="490"/>
      <c r="J6" s="490"/>
      <c r="K6" s="490"/>
      <c r="L6" s="490"/>
      <c r="M6" s="490"/>
      <c r="N6" s="490"/>
      <c r="O6" s="490"/>
      <c r="P6" s="490"/>
      <c r="Q6" s="490"/>
      <c r="R6" s="490"/>
      <c r="S6" s="490"/>
    </row>
    <row r="7" spans="1:19" ht="14.5">
      <c r="A7" s="490"/>
      <c r="B7" s="338"/>
      <c r="C7" s="493"/>
      <c r="D7" s="470" t="s">
        <v>442</v>
      </c>
      <c r="E7" s="496"/>
      <c r="F7" s="496"/>
      <c r="G7" s="496"/>
      <c r="H7" s="490"/>
      <c r="I7" s="470" t="s">
        <v>443</v>
      </c>
      <c r="J7" s="496"/>
      <c r="K7" s="496"/>
      <c r="L7" s="496"/>
      <c r="M7" s="470"/>
      <c r="N7" s="490"/>
      <c r="O7" s="470" t="s">
        <v>444</v>
      </c>
      <c r="P7" s="496"/>
      <c r="Q7" s="496"/>
      <c r="R7" s="490"/>
      <c r="S7" s="490"/>
    </row>
    <row r="8" spans="1:19">
      <c r="A8" s="490"/>
      <c r="C8" s="493"/>
      <c r="D8" s="490"/>
      <c r="E8" s="490"/>
      <c r="F8" s="490"/>
      <c r="G8" s="490"/>
      <c r="S8" s="490"/>
    </row>
    <row r="9" spans="1:19">
      <c r="D9" s="497" t="s">
        <v>445</v>
      </c>
      <c r="E9" s="498">
        <f>WACC!C9</f>
        <v>6.1000000000000004E-3</v>
      </c>
      <c r="F9" s="499" t="s">
        <v>446</v>
      </c>
      <c r="G9" s="500">
        <f>WACC!C12</f>
        <v>1.07</v>
      </c>
      <c r="J9" s="501" t="s">
        <v>447</v>
      </c>
      <c r="K9" s="501"/>
      <c r="L9" s="501"/>
      <c r="M9" s="501"/>
      <c r="O9" s="223" t="s">
        <v>444</v>
      </c>
      <c r="P9" s="502">
        <v>2015</v>
      </c>
      <c r="Q9" s="503">
        <v>2021</v>
      </c>
    </row>
    <row r="10" spans="1:19">
      <c r="D10" s="504" t="s">
        <v>448</v>
      </c>
      <c r="E10" s="505">
        <f>WACC!C11</f>
        <v>5.1700000000000003E-2</v>
      </c>
      <c r="F10" s="184" t="s">
        <v>449</v>
      </c>
      <c r="G10" s="506">
        <f>WACC!C13</f>
        <v>1.07</v>
      </c>
      <c r="I10" s="507">
        <f ca="1">E22</f>
        <v>25459.504886457355</v>
      </c>
      <c r="J10" s="508">
        <v>0.01</v>
      </c>
      <c r="K10" s="508">
        <v>0.02</v>
      </c>
      <c r="L10" s="508">
        <v>0.03</v>
      </c>
      <c r="M10" s="508">
        <v>0.04</v>
      </c>
      <c r="O10" s="499" t="s">
        <v>58</v>
      </c>
      <c r="P10" s="509">
        <f>+'Annual FS'!G5</f>
        <v>16852.783245839997</v>
      </c>
      <c r="Q10" s="509">
        <f>+'Annual FS'!M5</f>
        <v>15109.852025819999</v>
      </c>
    </row>
    <row r="11" spans="1:19">
      <c r="C11" s="184"/>
      <c r="D11" s="504" t="s">
        <v>450</v>
      </c>
      <c r="E11" s="505">
        <f>WACC!C16</f>
        <v>3.7199999999999997E-2</v>
      </c>
      <c r="F11" s="184" t="s">
        <v>451</v>
      </c>
      <c r="G11" s="506">
        <f>WACC!C45</f>
        <v>0</v>
      </c>
      <c r="I11" s="510">
        <f>I12-0.01</f>
        <v>0.11109991510015998</v>
      </c>
      <c r="J11" s="511">
        <f t="dataTable" ref="J11:M15" dt2D="1" dtr="1" r1="E14" r2="G14" ca="1"/>
        <v>33040.646954436328</v>
      </c>
      <c r="K11" s="511">
        <v>35616.14380233072</v>
      </c>
      <c r="L11" s="511">
        <v>38826.782338034172</v>
      </c>
      <c r="M11" s="511">
        <v>42940.555154891284</v>
      </c>
      <c r="O11" s="184" t="s">
        <v>89</v>
      </c>
      <c r="P11" s="511">
        <f>+'Annual FS'!G43</f>
        <v>-2402.4764779000034</v>
      </c>
      <c r="Q11" s="511">
        <f>+'Annual FS'!M43</f>
        <v>2880.6430227699984</v>
      </c>
    </row>
    <row r="12" spans="1:19">
      <c r="D12" s="504" t="s">
        <v>106</v>
      </c>
      <c r="E12" s="512">
        <f>WACC!C39</f>
        <v>0.3</v>
      </c>
      <c r="F12" s="184" t="s">
        <v>452</v>
      </c>
      <c r="G12" s="512">
        <f>WACC!C24</f>
        <v>0.14918264423076907</v>
      </c>
      <c r="I12" s="510">
        <f>I13-0.01</f>
        <v>0.12109991510015998</v>
      </c>
      <c r="J12" s="511">
        <v>29733.043262817591</v>
      </c>
      <c r="K12" s="513">
        <v>31752.382302397207</v>
      </c>
      <c r="L12" s="514">
        <v>34215.045364257072</v>
      </c>
      <c r="M12" s="511">
        <v>37285.024243604152</v>
      </c>
      <c r="O12" s="184" t="s">
        <v>159</v>
      </c>
      <c r="P12" s="511">
        <f>+'Annual FS'!G68</f>
        <v>-3054.6221226500029</v>
      </c>
      <c r="Q12" s="511">
        <f>+'Annual FS'!M68</f>
        <v>696.16518665999877</v>
      </c>
    </row>
    <row r="13" spans="1:19" ht="13.5" thickBot="1">
      <c r="D13" s="504"/>
      <c r="E13" s="505"/>
      <c r="F13" s="184" t="s">
        <v>453</v>
      </c>
      <c r="G13" s="505">
        <f ca="1">WACC!C34</f>
        <v>9.3670121991765873E-2</v>
      </c>
      <c r="I13" s="474">
        <v>0.13109991510015997</v>
      </c>
      <c r="J13" s="511">
        <v>26984.339374750503</v>
      </c>
      <c r="K13" s="515">
        <v>28596.962722163371</v>
      </c>
      <c r="L13" s="516">
        <v>30528.6018364669</v>
      </c>
      <c r="M13" s="511">
        <v>32884.311404004053</v>
      </c>
      <c r="O13" s="184" t="s">
        <v>454</v>
      </c>
      <c r="P13" s="511">
        <f>+'Annual FS'!G109+'Annual FS'!G119</f>
        <v>8835.6429530299993</v>
      </c>
      <c r="Q13" s="511">
        <f>+'Annual FS'!M109+'Annual FS'!M119</f>
        <v>5713.4003596399998</v>
      </c>
    </row>
    <row r="14" spans="1:19" ht="13.5" thickBot="1">
      <c r="D14" s="517" t="s">
        <v>455</v>
      </c>
      <c r="E14" s="518">
        <v>0.03</v>
      </c>
      <c r="F14" s="517" t="s">
        <v>456</v>
      </c>
      <c r="G14" s="519">
        <f ca="1">+WACC!C54</f>
        <v>0.14918264423076907</v>
      </c>
      <c r="I14" s="510">
        <f>I13+0.01</f>
        <v>0.14109991510015998</v>
      </c>
      <c r="J14" s="511">
        <v>24666.07467829754</v>
      </c>
      <c r="K14" s="520">
        <v>25973.842790112816</v>
      </c>
      <c r="L14" s="521">
        <v>27517.032884138644</v>
      </c>
      <c r="M14" s="511">
        <v>29365.50317399788</v>
      </c>
      <c r="O14" s="184" t="s">
        <v>457</v>
      </c>
      <c r="P14" s="511"/>
      <c r="Q14" s="511"/>
    </row>
    <row r="15" spans="1:19">
      <c r="I15" s="510">
        <f>I14+0.01</f>
        <v>0.15109991510015999</v>
      </c>
      <c r="J15" s="511">
        <v>22686.236489380848</v>
      </c>
      <c r="K15" s="511">
        <v>23760.723291772811</v>
      </c>
      <c r="L15" s="511">
        <v>25012.664686350618</v>
      </c>
      <c r="M15" s="511">
        <v>26489.978241375007</v>
      </c>
      <c r="O15" s="184" t="s">
        <v>90</v>
      </c>
      <c r="P15" s="522">
        <f>+P11/P10</f>
        <v>-0.142556659208979</v>
      </c>
      <c r="Q15" s="522">
        <f>+Q11/Q10</f>
        <v>0.19064667329948046</v>
      </c>
    </row>
    <row r="16" spans="1:19">
      <c r="D16" s="1504" t="s">
        <v>458</v>
      </c>
      <c r="E16" s="1404">
        <f ca="1">SUM(M48:R48)</f>
        <v>9993.7258309962945</v>
      </c>
      <c r="F16" s="1505">
        <f ca="1">E16/$E$18</f>
        <v>0.39869292486322327</v>
      </c>
      <c r="H16" s="523"/>
      <c r="O16" s="524" t="s">
        <v>108</v>
      </c>
      <c r="P16" s="525">
        <f>+'Annual FS'!G69</f>
        <v>-0.18125327301079583</v>
      </c>
      <c r="Q16" s="525">
        <f>+'Annual FS'!L69</f>
        <v>-1.5888935628018287E-2</v>
      </c>
    </row>
    <row r="17" spans="1:18">
      <c r="D17" s="526" t="s">
        <v>459</v>
      </c>
      <c r="E17" s="527">
        <f ca="1">SUM(I49:R49)</f>
        <v>15072.497339191063</v>
      </c>
      <c r="F17" s="528">
        <f ca="1">E17/$E$18</f>
        <v>0.60130707513677673</v>
      </c>
      <c r="J17" s="501" t="s">
        <v>460</v>
      </c>
      <c r="K17" s="501"/>
      <c r="L17" s="501"/>
      <c r="M17" s="501"/>
    </row>
    <row r="18" spans="1:18" ht="13.5" thickBot="1">
      <c r="D18" s="529" t="s">
        <v>461</v>
      </c>
      <c r="E18" s="530">
        <f ca="1">E16+E17</f>
        <v>25066.223170187357</v>
      </c>
      <c r="F18" s="531">
        <f ca="1">E18/$E$18</f>
        <v>1</v>
      </c>
      <c r="I18" s="583">
        <f ca="1">+E24</f>
        <v>6.5867981894443837</v>
      </c>
      <c r="J18" s="508">
        <v>0.01</v>
      </c>
      <c r="K18" s="508">
        <v>0.02</v>
      </c>
      <c r="L18" s="508">
        <v>0.03</v>
      </c>
      <c r="M18" s="508">
        <v>0.04</v>
      </c>
      <c r="O18" s="532" t="s">
        <v>110</v>
      </c>
      <c r="P18" s="533" t="str">
        <f>CONCATENATE(D3,"-",H3)</f>
        <v>2013-2017</v>
      </c>
      <c r="Q18" s="534" t="str">
        <f>CONCATENATE(H3,"-",M3)</f>
        <v>2017-2022</v>
      </c>
    </row>
    <row r="19" spans="1:18">
      <c r="C19" s="184"/>
      <c r="D19" s="526" t="s">
        <v>462</v>
      </c>
      <c r="E19" s="535">
        <f>+'Annual FS'!K109+'Annual FS'!K119-'Annual FS'!K75</f>
        <v>4867.7182837300006</v>
      </c>
      <c r="F19" s="536"/>
      <c r="G19" s="598">
        <f ca="1">E22*58.99%</f>
        <v>15018.561932521194</v>
      </c>
      <c r="I19" s="510">
        <f>+I11</f>
        <v>0.11109991510015998</v>
      </c>
      <c r="J19" s="588">
        <f>+(J11+$E$19)/$H$35</f>
        <v>12.064710399759518</v>
      </c>
      <c r="K19" s="584">
        <f>+(K11+$E$19)/$H$35</f>
        <v>12.884387624301377</v>
      </c>
      <c r="L19" s="584">
        <f>+(L11+$E$19)/$H$35</f>
        <v>13.906204943202038</v>
      </c>
      <c r="M19" s="588">
        <f>+(M11+$E$19)/$H$35</f>
        <v>15.215453637361362</v>
      </c>
      <c r="O19" s="184" t="s">
        <v>58</v>
      </c>
      <c r="P19" s="522"/>
      <c r="Q19" s="522"/>
    </row>
    <row r="20" spans="1:18" ht="12.75" customHeight="1">
      <c r="C20" s="184"/>
      <c r="D20" s="526" t="s">
        <v>463</v>
      </c>
      <c r="E20" s="602">
        <f>+D64</f>
        <v>0</v>
      </c>
      <c r="F20" s="536"/>
      <c r="G20" s="1159">
        <v>11896</v>
      </c>
      <c r="I20" s="510">
        <f>+I12</f>
        <v>0.12109991510015998</v>
      </c>
      <c r="J20" s="584">
        <f>+(J12+$E$19)/$H$35</f>
        <v>11.012032965482327</v>
      </c>
      <c r="K20" s="589">
        <f t="shared" ref="K20:M23" si="1">+(K12+$E$19)/$H$35</f>
        <v>11.65470749281668</v>
      </c>
      <c r="L20" s="590">
        <f t="shared" si="1"/>
        <v>12.438474254238796</v>
      </c>
      <c r="M20" s="584">
        <f t="shared" si="1"/>
        <v>13.415525252877227</v>
      </c>
      <c r="O20" s="184" t="s">
        <v>89</v>
      </c>
      <c r="P20" s="522"/>
      <c r="Q20" s="522"/>
    </row>
    <row r="21" spans="1:18" ht="12.75" customHeight="1">
      <c r="C21" s="184"/>
      <c r="D21" s="526" t="s">
        <v>464</v>
      </c>
      <c r="E21" s="537">
        <f>+Control!E22*Control!E20</f>
        <v>5261</v>
      </c>
      <c r="F21" s="536"/>
      <c r="G21" s="1145">
        <f ca="1">G19/G20-1</f>
        <v>0.26248839378960942</v>
      </c>
      <c r="I21" s="510">
        <f>+I13</f>
        <v>0.13109991510015997</v>
      </c>
      <c r="J21" s="584">
        <f>+(J13+$E$19)/$H$35</f>
        <v>10.137230895388457</v>
      </c>
      <c r="K21" s="591">
        <f t="shared" si="1"/>
        <v>10.650464150059086</v>
      </c>
      <c r="L21" s="592">
        <f t="shared" si="1"/>
        <v>11.265227312872996</v>
      </c>
      <c r="M21" s="584">
        <f t="shared" si="1"/>
        <v>12.014955071897122</v>
      </c>
      <c r="O21" s="524" t="s">
        <v>159</v>
      </c>
      <c r="P21" s="525"/>
      <c r="Q21" s="525"/>
    </row>
    <row r="22" spans="1:18" ht="12.75" customHeight="1" thickBot="1">
      <c r="C22" s="184"/>
      <c r="D22" s="538" t="s">
        <v>465</v>
      </c>
      <c r="E22" s="539">
        <f ca="1">E18-E19+E20+E21</f>
        <v>25459.504886457355</v>
      </c>
      <c r="F22" s="540"/>
      <c r="I22" s="510">
        <f>+I14</f>
        <v>0.14109991510015998</v>
      </c>
      <c r="J22" s="584">
        <f>+(J14+$E$19)/$H$35</f>
        <v>9.39942033518704</v>
      </c>
      <c r="K22" s="593">
        <f t="shared" si="1"/>
        <v>9.8156304101919734</v>
      </c>
      <c r="L22" s="594">
        <f t="shared" si="1"/>
        <v>10.306765848484481</v>
      </c>
      <c r="M22" s="584">
        <f t="shared" si="1"/>
        <v>10.89505971422096</v>
      </c>
    </row>
    <row r="23" spans="1:18">
      <c r="C23" s="184"/>
      <c r="D23" s="526"/>
      <c r="E23" s="541">
        <v>2019</v>
      </c>
      <c r="F23" s="1151">
        <f>E23+1</f>
        <v>2020</v>
      </c>
      <c r="G23" s="1506">
        <f>F23+1</f>
        <v>2021</v>
      </c>
      <c r="I23" s="510">
        <f>+I15</f>
        <v>0.15109991510015999</v>
      </c>
      <c r="J23" s="588">
        <f>+(J15+$E$19)/$H$35</f>
        <v>8.7693173424149986</v>
      </c>
      <c r="K23" s="584">
        <f t="shared" si="1"/>
        <v>9.1112833443192702</v>
      </c>
      <c r="L23" s="584">
        <f t="shared" si="1"/>
        <v>9.5097260170158293</v>
      </c>
      <c r="M23" s="588">
        <f t="shared" si="1"/>
        <v>9.9798955982950499</v>
      </c>
      <c r="O23" s="532" t="s">
        <v>466</v>
      </c>
      <c r="P23" s="533" t="str">
        <f>P18</f>
        <v>2013-2017</v>
      </c>
      <c r="Q23" s="534" t="str">
        <f>CONCATENATE(I3,"-",M3)</f>
        <v>2018-2022</v>
      </c>
    </row>
    <row r="24" spans="1:18">
      <c r="C24" s="184"/>
      <c r="D24" s="526" t="s">
        <v>460</v>
      </c>
      <c r="E24" s="584">
        <f ca="1">$E$18/J37</f>
        <v>6.5867981894443837</v>
      </c>
      <c r="F24" s="584">
        <f ca="1">$E$18/K37</f>
        <v>16.084818142546229</v>
      </c>
      <c r="G24" s="585">
        <f ca="1">$E$18/L37</f>
        <v>10.362196759002336</v>
      </c>
      <c r="O24" s="184" t="s">
        <v>467</v>
      </c>
      <c r="P24" s="522">
        <f>+AVERAGE('Annual FS'!E25:I25)</f>
        <v>0.31903763712445665</v>
      </c>
      <c r="Q24" s="522">
        <f>+AVERAGE('Annual FS'!J25:N25)</f>
        <v>0.33694176753143279</v>
      </c>
    </row>
    <row r="25" spans="1:18">
      <c r="C25" s="184"/>
      <c r="D25" s="542" t="s">
        <v>468</v>
      </c>
      <c r="E25" s="586">
        <f ca="1">$E$18/J34</f>
        <v>1.1807343153518686</v>
      </c>
      <c r="F25" s="586">
        <f ca="1">$E$18/K34</f>
        <v>1.9862477939295407</v>
      </c>
      <c r="G25" s="587">
        <f ca="1">$E$18/L34</f>
        <v>1.6589324056485613</v>
      </c>
      <c r="H25" s="598"/>
      <c r="O25" s="184" t="s">
        <v>90</v>
      </c>
      <c r="P25" s="522">
        <f>+AVERAGE('Annual FS'!E44:I44)</f>
        <v>6.2105248325609853E-2</v>
      </c>
      <c r="Q25" s="522">
        <f>+AVERAGE('Annual FS'!J44:N44)</f>
        <v>0.17768616598976744</v>
      </c>
    </row>
    <row r="26" spans="1:18">
      <c r="C26" s="184"/>
      <c r="H26" s="618"/>
      <c r="I26" s="619"/>
      <c r="O26" s="524" t="s">
        <v>108</v>
      </c>
      <c r="P26" s="525">
        <f>+AVERAGE('Annual FS'!E69:I69)</f>
        <v>-0.10426865301008177</v>
      </c>
      <c r="Q26" s="525">
        <f>+AVERAGE('Annual FS'!J69:N69)</f>
        <v>4.0749694890074593E-2</v>
      </c>
    </row>
    <row r="27" spans="1:18">
      <c r="C27" s="184"/>
    </row>
    <row r="28" spans="1:18">
      <c r="C28" s="184"/>
      <c r="E28" s="413"/>
      <c r="F28" s="543"/>
      <c r="M28" s="1161">
        <f>+(O34/L34)^(1/3)-1</f>
        <v>0.31585833016233811</v>
      </c>
    </row>
    <row r="29" spans="1:18">
      <c r="A29" s="184" t="s">
        <v>48</v>
      </c>
      <c r="B29" s="494" t="s">
        <v>469</v>
      </c>
      <c r="C29" s="495"/>
      <c r="D29" s="495"/>
      <c r="E29" s="495"/>
      <c r="F29" s="495"/>
      <c r="G29" s="495"/>
      <c r="H29" s="495"/>
      <c r="I29" s="495"/>
      <c r="J29" s="495"/>
      <c r="K29" s="495"/>
      <c r="L29" s="495"/>
      <c r="M29" s="495"/>
      <c r="N29" s="495"/>
      <c r="O29" s="495"/>
      <c r="P29" s="495"/>
      <c r="Q29" s="495"/>
      <c r="R29" s="495"/>
    </row>
    <row r="30" spans="1:18">
      <c r="C30" s="184"/>
      <c r="F30" s="544"/>
      <c r="I30" s="545"/>
      <c r="J30" s="545"/>
      <c r="K30" s="545"/>
      <c r="L30" s="546"/>
      <c r="M30" s="546"/>
      <c r="N30" s="417"/>
    </row>
    <row r="31" spans="1:18">
      <c r="B31" s="547" t="s">
        <v>470</v>
      </c>
      <c r="C31" s="548"/>
      <c r="D31" s="549">
        <f t="shared" ref="D31:R31" si="2">D3</f>
        <v>2013</v>
      </c>
      <c r="E31" s="549">
        <f t="shared" si="2"/>
        <v>2014</v>
      </c>
      <c r="F31" s="549">
        <f t="shared" si="2"/>
        <v>2015</v>
      </c>
      <c r="G31" s="549">
        <f t="shared" si="2"/>
        <v>2016</v>
      </c>
      <c r="H31" s="549">
        <f t="shared" si="2"/>
        <v>2017</v>
      </c>
      <c r="I31" s="549">
        <f t="shared" si="2"/>
        <v>2018</v>
      </c>
      <c r="J31" s="549">
        <f t="shared" si="2"/>
        <v>2019</v>
      </c>
      <c r="K31" s="549">
        <f t="shared" si="2"/>
        <v>2020</v>
      </c>
      <c r="L31" s="549">
        <f t="shared" si="2"/>
        <v>2021</v>
      </c>
      <c r="M31" s="550">
        <f t="shared" si="2"/>
        <v>2022</v>
      </c>
      <c r="N31" s="550">
        <f t="shared" si="2"/>
        <v>2023</v>
      </c>
      <c r="O31" s="550">
        <f t="shared" si="2"/>
        <v>2024</v>
      </c>
      <c r="P31" s="550">
        <f t="shared" si="2"/>
        <v>2025</v>
      </c>
      <c r="Q31" s="550">
        <f t="shared" si="2"/>
        <v>2026</v>
      </c>
      <c r="R31" s="550">
        <f t="shared" si="2"/>
        <v>2027</v>
      </c>
    </row>
    <row r="32" spans="1:18">
      <c r="B32" s="551"/>
      <c r="C32" s="552"/>
      <c r="D32" s="553"/>
      <c r="E32" s="553"/>
      <c r="F32" s="553"/>
      <c r="G32" s="553"/>
      <c r="H32" s="553"/>
      <c r="I32" s="551"/>
      <c r="J32" s="551"/>
      <c r="K32" s="551"/>
      <c r="L32" s="551"/>
      <c r="M32" s="551"/>
      <c r="N32" s="551"/>
      <c r="O32" s="551"/>
      <c r="P32" s="551"/>
      <c r="Q32" s="551"/>
      <c r="R32" s="551"/>
    </row>
    <row r="33" spans="2:23">
      <c r="B33" s="554" t="s">
        <v>471</v>
      </c>
      <c r="C33" s="555"/>
      <c r="G33" s="555"/>
      <c r="H33" s="555"/>
      <c r="I33" s="627"/>
      <c r="J33" s="557"/>
      <c r="K33" s="627"/>
      <c r="L33" s="627"/>
      <c r="M33" s="556">
        <v>1</v>
      </c>
      <c r="N33" s="556">
        <f t="shared" ref="N33:R33" si="3">M33+1</f>
        <v>2</v>
      </c>
      <c r="O33" s="556">
        <f t="shared" si="3"/>
        <v>3</v>
      </c>
      <c r="P33" s="556">
        <f t="shared" si="3"/>
        <v>4</v>
      </c>
      <c r="Q33" s="556">
        <f t="shared" si="3"/>
        <v>5</v>
      </c>
      <c r="R33" s="556">
        <f t="shared" si="3"/>
        <v>6</v>
      </c>
    </row>
    <row r="34" spans="2:23">
      <c r="B34" s="1405" t="s">
        <v>58</v>
      </c>
      <c r="C34" s="1406"/>
      <c r="D34" s="1200">
        <f>+'Annual FS'!E5</f>
        <v>36755.28015785</v>
      </c>
      <c r="E34" s="1200">
        <f>+'Annual FS'!F5</f>
        <v>39382.981392630005</v>
      </c>
      <c r="F34" s="1200">
        <f>+'Annual FS'!G5</f>
        <v>16852.783245839997</v>
      </c>
      <c r="G34" s="1200">
        <f>+'Annual FS'!H5</f>
        <v>6152.0267988899996</v>
      </c>
      <c r="H34" s="1200">
        <f>+'Annual FS'!I5</f>
        <v>13628.814960450003</v>
      </c>
      <c r="I34" s="1200">
        <f>+'Annual FS'!J5</f>
        <v>14150.533845459999</v>
      </c>
      <c r="J34" s="1200">
        <f>+'Annual FS'!K5</f>
        <v>21229.350959210002</v>
      </c>
      <c r="K34" s="1200">
        <f>+'Annual FS'!L5</f>
        <v>12619.88722998</v>
      </c>
      <c r="L34" s="1507">
        <f>+'Annual FS'!M5</f>
        <v>15109.852025819999</v>
      </c>
      <c r="M34" s="1200">
        <f>+'Annual FS'!N5</f>
        <v>30191.574558539996</v>
      </c>
      <c r="N34" s="1200">
        <f>+'Annual FS'!O5</f>
        <v>30504.504468284191</v>
      </c>
      <c r="O34" s="1200">
        <f>+'Annual FS'!P5</f>
        <v>34426.0831742148</v>
      </c>
      <c r="P34" s="1200">
        <f>+'Annual FS'!Q5</f>
        <v>35736.118199632059</v>
      </c>
      <c r="Q34" s="1200">
        <f>+'Annual FS'!R5</f>
        <v>39176.222672674448</v>
      </c>
      <c r="R34" s="1200">
        <f>+'Annual FS'!S5</f>
        <v>40755.024446383228</v>
      </c>
    </row>
    <row r="35" spans="2:23">
      <c r="B35" s="490" t="s">
        <v>89</v>
      </c>
      <c r="D35" s="558">
        <f>+'Annual FS'!E43</f>
        <v>9648.7294075400023</v>
      </c>
      <c r="E35" s="558">
        <f>+'Annual FS'!F43</f>
        <v>10736.332828470007</v>
      </c>
      <c r="F35" s="558">
        <f>+'Annual FS'!G43</f>
        <v>-2402.4764779000034</v>
      </c>
      <c r="G35" s="558">
        <f>+'Annual FS'!H43</f>
        <v>-1923.0661363100007</v>
      </c>
      <c r="H35" s="558">
        <f>+'Annual FS'!I43</f>
        <v>3142.0866296900044</v>
      </c>
      <c r="I35" s="558">
        <f>+'Annual FS'!J43</f>
        <v>2036.5649709299987</v>
      </c>
      <c r="J35" s="558">
        <f>+'Annual FS'!K43</f>
        <v>4238.8806948900019</v>
      </c>
      <c r="K35" s="558">
        <f>+'Annual FS'!L43</f>
        <v>2008.2013068499987</v>
      </c>
      <c r="L35" s="1201">
        <f>+'Annual FS'!M43</f>
        <v>2880.6430227699984</v>
      </c>
      <c r="M35" s="558">
        <f>+'Annual FS'!N43</f>
        <v>5889.2312605899988</v>
      </c>
      <c r="N35" s="558">
        <f>+'Annual FS'!O43</f>
        <v>6169.6067269178002</v>
      </c>
      <c r="O35" s="558">
        <f>+'Annual FS'!P43</f>
        <v>7142.5933525657019</v>
      </c>
      <c r="P35" s="558">
        <f>+'Annual FS'!Q43</f>
        <v>7355.1033699427189</v>
      </c>
      <c r="Q35" s="558">
        <f>+'Annual FS'!R43</f>
        <v>8243.5399550434813</v>
      </c>
      <c r="R35" s="558">
        <f>+'Annual FS'!S43</f>
        <v>8561.6414226086417</v>
      </c>
    </row>
    <row r="36" spans="2:23">
      <c r="B36" s="490" t="s">
        <v>472</v>
      </c>
      <c r="D36" s="558"/>
      <c r="E36" s="558"/>
      <c r="F36" s="558"/>
      <c r="G36" s="558"/>
      <c r="H36" s="558"/>
      <c r="I36" s="558">
        <f>-Control!E21*12*Control!E20</f>
        <v>-420</v>
      </c>
      <c r="J36" s="558">
        <f>+I36*(1+Drivers!K$75)*(1+Drivers!J$8)</f>
        <v>-433.35599999999999</v>
      </c>
      <c r="K36" s="558">
        <f>+J36*(1+Drivers!L$75)*(1+Drivers!K$8)</f>
        <v>-449.82352800000001</v>
      </c>
      <c r="L36" s="1201">
        <f>+K36*(1+Drivers!M$75)*(1+Drivers!L$8)</f>
        <v>-461.63634366880802</v>
      </c>
      <c r="M36" s="558">
        <f>+L36*(1+Drivers!N$75)*(1+Drivers!M$8)</f>
        <v>-487.58030618299506</v>
      </c>
      <c r="N36" s="558">
        <f>+M36*(1+Drivers!O$75)*(1+Drivers!N$8)</f>
        <v>-551.55084235420395</v>
      </c>
      <c r="O36" s="558">
        <f>+N36*(1+Drivers!P$75)*(1+Drivers!O$8)</f>
        <v>-598.84632708607694</v>
      </c>
      <c r="P36" s="558">
        <f>+O36*(1+Drivers!Q$75)*(1+Drivers!P$8)</f>
        <v>-635.07652987478457</v>
      </c>
      <c r="Q36" s="558">
        <f>+P36*(1+Drivers!R$75)*(1+Drivers!Q$8)</f>
        <v>-669.00866886599431</v>
      </c>
      <c r="R36" s="558">
        <f>+Q36*(1+Drivers!S$75)*(1+Drivers!R$8)</f>
        <v>-700.6996095101764</v>
      </c>
    </row>
    <row r="37" spans="2:23">
      <c r="B37" s="490" t="s">
        <v>473</v>
      </c>
      <c r="D37" s="558"/>
      <c r="E37" s="558"/>
      <c r="F37" s="558"/>
      <c r="G37" s="558"/>
      <c r="H37" s="1148">
        <f>+H35+I36</f>
        <v>2722.0866296900044</v>
      </c>
      <c r="I37" s="1203">
        <f>+I35+I36</f>
        <v>1616.5649709299987</v>
      </c>
      <c r="J37" s="1203">
        <f t="shared" ref="J37:R37" si="4">+J35+J36</f>
        <v>3805.5246948900021</v>
      </c>
      <c r="K37" s="1203">
        <f t="shared" si="4"/>
        <v>1558.3777788499988</v>
      </c>
      <c r="L37" s="1204">
        <f t="shared" si="4"/>
        <v>2419.0066791011905</v>
      </c>
      <c r="M37" s="1148">
        <f t="shared" si="4"/>
        <v>5401.6509544070041</v>
      </c>
      <c r="N37" s="1148">
        <f t="shared" si="4"/>
        <v>5618.055884563596</v>
      </c>
      <c r="O37" s="1148">
        <f t="shared" si="4"/>
        <v>6543.7470254796253</v>
      </c>
      <c r="P37" s="1148">
        <f t="shared" si="4"/>
        <v>6720.0268400679342</v>
      </c>
      <c r="Q37" s="1148">
        <f t="shared" si="4"/>
        <v>7574.5312861774873</v>
      </c>
      <c r="R37" s="1148">
        <f t="shared" si="4"/>
        <v>7860.941813098465</v>
      </c>
    </row>
    <row r="38" spans="2:23">
      <c r="B38" s="1405" t="s">
        <v>314</v>
      </c>
      <c r="C38" s="1406"/>
      <c r="D38" s="1200">
        <f>+'Annual FS'!E157+'Annual FS'!E164</f>
        <v>-591.06097059999752</v>
      </c>
      <c r="E38" s="1200">
        <f>+'Annual FS'!F157+'Annual FS'!F164</f>
        <v>-2441.6610971800019</v>
      </c>
      <c r="F38" s="1200">
        <f>+'Annual FS'!G157+'Annual FS'!G164</f>
        <v>-10365.360326509999</v>
      </c>
      <c r="G38" s="1200">
        <f>+'Annual FS'!H157+'Annual FS'!H164</f>
        <v>1019.7993267200015</v>
      </c>
      <c r="H38" s="1200">
        <f>+'Annual FS'!I157+'Annual FS'!I164</f>
        <v>-551.85108839000111</v>
      </c>
      <c r="I38" s="558">
        <f>+'Annual FS'!J157+'Annual FS'!J164</f>
        <v>-1530.2217169100024</v>
      </c>
      <c r="J38" s="558">
        <f>+'Annual FS'!K157+'Annual FS'!K164</f>
        <v>-563.70806602999733</v>
      </c>
      <c r="K38" s="558">
        <f>+'Annual FS'!L157+'Annual FS'!L164</f>
        <v>-377.9734494800017</v>
      </c>
      <c r="L38" s="1201">
        <f>+'Annual FS'!M157+'Annual FS'!M164</f>
        <v>-613.10679143999664</v>
      </c>
      <c r="M38" s="1200">
        <f>+'Annual FS'!N157+'Annual FS'!N164</f>
        <v>-2982.4025238300019</v>
      </c>
      <c r="N38" s="1200">
        <f ca="1">+'Annual FS'!O157+'Annual FS'!O164</f>
        <v>-973.57864975013729</v>
      </c>
      <c r="O38" s="1200">
        <f ca="1">+'Annual FS'!P157+'Annual FS'!P164</f>
        <v>-1098.7393552904675</v>
      </c>
      <c r="P38" s="1200">
        <f ca="1">+'Annual FS'!Q157+'Annual FS'!Q164</f>
        <v>-1140.5502993920973</v>
      </c>
      <c r="Q38" s="1200">
        <f ca="1">+'Annual FS'!R157+'Annual FS'!R164</f>
        <v>-1250.3443224796056</v>
      </c>
      <c r="R38" s="1200">
        <f ca="1">+'Annual FS'!S157+'Annual FS'!S164</f>
        <v>-1300.7331986755376</v>
      </c>
    </row>
    <row r="39" spans="2:23">
      <c r="B39" s="490" t="s">
        <v>474</v>
      </c>
      <c r="D39" s="558">
        <f>+'Annual FS'!E138</f>
        <v>-1496.3642324599987</v>
      </c>
      <c r="E39" s="558">
        <f>+'Annual FS'!F138</f>
        <v>-1336.1863092700032</v>
      </c>
      <c r="F39" s="558">
        <f>+'Annual FS'!G138</f>
        <v>371.45135744000163</v>
      </c>
      <c r="G39" s="558">
        <f>+'Annual FS'!H138</f>
        <v>489.80863679999976</v>
      </c>
      <c r="H39" s="558">
        <f>+'Annual FS'!I138</f>
        <v>-1435.9132804999999</v>
      </c>
      <c r="I39" s="558">
        <f>+'Annual FS'!J138</f>
        <v>413.32609101000003</v>
      </c>
      <c r="J39" s="558">
        <f>+'Annual FS'!K138</f>
        <v>-105.31682810000055</v>
      </c>
      <c r="K39" s="558">
        <f>+'Annual FS'!L138</f>
        <v>250.49139425000081</v>
      </c>
      <c r="L39" s="1201">
        <f>+'Annual FS'!M138</f>
        <v>-525.42289547000087</v>
      </c>
      <c r="M39" s="558">
        <f>+'Annual FS'!N138</f>
        <v>891.64580378000039</v>
      </c>
      <c r="N39" s="558">
        <f>+'Annual FS'!O138</f>
        <v>-1550.2967887323291</v>
      </c>
      <c r="O39" s="558">
        <f>+'Annual FS'!P138</f>
        <v>-727.54967563890023</v>
      </c>
      <c r="P39" s="558">
        <f>+'Annual FS'!Q138</f>
        <v>-227.71355878943518</v>
      </c>
      <c r="Q39" s="558">
        <f>+'Annual FS'!R138</f>
        <v>-642.54484690575862</v>
      </c>
      <c r="R39" s="558">
        <f>+'Annual FS'!S138</f>
        <v>-282.62113098449748</v>
      </c>
    </row>
    <row r="40" spans="2:23">
      <c r="B40" s="490" t="s">
        <v>475</v>
      </c>
      <c r="D40" s="558">
        <f>Drivers!E400</f>
        <v>0</v>
      </c>
      <c r="E40" s="558">
        <f>Drivers!F400</f>
        <v>0</v>
      </c>
      <c r="F40" s="558">
        <f>Drivers!G400</f>
        <v>0</v>
      </c>
      <c r="G40" s="558">
        <f>Drivers!H400</f>
        <v>0</v>
      </c>
      <c r="H40" s="558">
        <f>Drivers!I400</f>
        <v>0</v>
      </c>
      <c r="I40" s="1199">
        <f>Drivers!J400</f>
        <v>0</v>
      </c>
      <c r="J40" s="1199">
        <f>Drivers!K400</f>
        <v>-1099.970149021801</v>
      </c>
      <c r="K40" s="1199">
        <f>Drivers!L400</f>
        <v>-158.12218250559945</v>
      </c>
      <c r="L40" s="1202">
        <f>Drivers!M400</f>
        <v>-492.56872979986906</v>
      </c>
      <c r="M40" s="558">
        <f>Drivers!N400</f>
        <v>-1561.5522782989515</v>
      </c>
      <c r="N40" s="558">
        <f ca="1">Drivers!O400</f>
        <v>-1579.7789159239837</v>
      </c>
      <c r="O40" s="558">
        <f ca="1">Drivers!P400</f>
        <v>-1881.0539800837571</v>
      </c>
      <c r="P40" s="558">
        <f ca="1">Drivers!Q400</f>
        <v>-1917.114663566221</v>
      </c>
      <c r="Q40" s="558">
        <f ca="1">Drivers!R400</f>
        <v>-2189.5783793854157</v>
      </c>
      <c r="R40" s="558">
        <f ca="1">Drivers!S400</f>
        <v>-2260.6473629499005</v>
      </c>
    </row>
    <row r="41" spans="2:23">
      <c r="B41" s="1508" t="s">
        <v>476</v>
      </c>
      <c r="C41" s="1509"/>
      <c r="D41" s="1510">
        <f>SUM(D38:D40)+D35</f>
        <v>7561.3042044800059</v>
      </c>
      <c r="E41" s="1510">
        <f>SUM(E38:E40)+E35</f>
        <v>6958.4854220200023</v>
      </c>
      <c r="F41" s="1510">
        <f>SUM(F38:F40)+F35</f>
        <v>-12396.385446970002</v>
      </c>
      <c r="G41" s="1510">
        <f>SUM(G38:G40)+G35</f>
        <v>-413.45817278999948</v>
      </c>
      <c r="H41" s="1510">
        <f>SUM(H38:H40)+H35</f>
        <v>1154.3222608000033</v>
      </c>
      <c r="I41" s="1198">
        <f>SUM(I38:I40)+I37</f>
        <v>499.66934502999629</v>
      </c>
      <c r="J41" s="565">
        <f t="shared" ref="J41:R41" si="5">SUM(J38:J40)+J37</f>
        <v>2036.5296517382033</v>
      </c>
      <c r="K41" s="565">
        <f>SUM(K38:K40)+K37</f>
        <v>1272.7735411143985</v>
      </c>
      <c r="L41" s="565">
        <f t="shared" si="5"/>
        <v>787.90826239132389</v>
      </c>
      <c r="M41" s="1510">
        <f>SUM(M38:M40)+M37</f>
        <v>1749.341956058051</v>
      </c>
      <c r="N41" s="1510">
        <f t="shared" ca="1" si="5"/>
        <v>1514.4015301571462</v>
      </c>
      <c r="O41" s="1510">
        <f t="shared" ca="1" si="5"/>
        <v>2836.4040144665005</v>
      </c>
      <c r="P41" s="1510">
        <f t="shared" ca="1" si="5"/>
        <v>3434.6483183201808</v>
      </c>
      <c r="Q41" s="1510">
        <f t="shared" ca="1" si="5"/>
        <v>3492.0637374067073</v>
      </c>
      <c r="R41" s="1510">
        <f t="shared" ca="1" si="5"/>
        <v>4016.9401204885294</v>
      </c>
    </row>
    <row r="42" spans="2:23">
      <c r="B42" s="490"/>
      <c r="D42" s="523"/>
      <c r="E42" s="523"/>
      <c r="F42" s="523"/>
      <c r="G42" s="523"/>
      <c r="H42" s="523"/>
      <c r="I42" s="559"/>
      <c r="J42" s="578"/>
      <c r="K42" s="560"/>
      <c r="L42" s="560"/>
      <c r="M42" s="627"/>
      <c r="N42" s="560"/>
      <c r="O42" s="560"/>
      <c r="P42" s="560"/>
      <c r="Q42" s="560"/>
      <c r="R42" s="560"/>
    </row>
    <row r="43" spans="2:23">
      <c r="B43" s="1405" t="s">
        <v>477</v>
      </c>
      <c r="C43" s="1406"/>
      <c r="D43" s="1407"/>
      <c r="E43" s="1407"/>
      <c r="F43" s="1407"/>
      <c r="G43" s="1407"/>
      <c r="H43" s="1407"/>
      <c r="I43" s="1511"/>
      <c r="J43" s="1407"/>
      <c r="K43" s="1407"/>
      <c r="L43" s="1407"/>
      <c r="M43" s="1407"/>
      <c r="N43" s="1407"/>
      <c r="O43" s="1407"/>
      <c r="P43" s="1407"/>
      <c r="Q43" s="1407"/>
      <c r="R43" s="1408">
        <f ca="1">R41*(1+E14)/(G14-E14)</f>
        <v>34715.191551649026</v>
      </c>
    </row>
    <row r="44" spans="2:23">
      <c r="B44" s="561" t="s">
        <v>478</v>
      </c>
      <c r="C44" s="562"/>
      <c r="D44" s="563"/>
      <c r="E44" s="563"/>
      <c r="F44" s="563"/>
      <c r="G44" s="563"/>
      <c r="H44" s="563"/>
      <c r="I44" s="564"/>
      <c r="J44" s="565">
        <f t="shared" ref="J44:Q44" si="6">J41+J43</f>
        <v>2036.5296517382033</v>
      </c>
      <c r="K44" s="565">
        <f t="shared" si="6"/>
        <v>1272.7735411143985</v>
      </c>
      <c r="L44" s="565">
        <f t="shared" si="6"/>
        <v>787.90826239132389</v>
      </c>
      <c r="M44" s="565">
        <f>M41+M43</f>
        <v>1749.341956058051</v>
      </c>
      <c r="N44" s="565">
        <f ca="1">N41+N43</f>
        <v>1514.4015301571462</v>
      </c>
      <c r="O44" s="565">
        <f t="shared" ca="1" si="6"/>
        <v>2836.4040144665005</v>
      </c>
      <c r="P44" s="565">
        <f t="shared" ca="1" si="6"/>
        <v>3434.6483183201808</v>
      </c>
      <c r="Q44" s="565">
        <f t="shared" ca="1" si="6"/>
        <v>3492.0637374067073</v>
      </c>
      <c r="R44" s="565">
        <f ca="1">R41+R43</f>
        <v>38732.131672137555</v>
      </c>
    </row>
    <row r="45" spans="2:23">
      <c r="C45" s="184"/>
      <c r="I45" s="523"/>
      <c r="J45" s="545"/>
      <c r="K45" s="545"/>
      <c r="L45" s="545"/>
      <c r="M45" s="545"/>
      <c r="N45" s="545"/>
      <c r="O45" s="545"/>
      <c r="P45" s="545"/>
      <c r="Q45" s="545"/>
      <c r="R45" s="545"/>
      <c r="S45" s="545"/>
    </row>
    <row r="46" spans="2:23">
      <c r="B46" s="223" t="s">
        <v>479</v>
      </c>
      <c r="C46" s="184"/>
      <c r="J46" s="566"/>
      <c r="K46" s="566"/>
      <c r="L46" s="566"/>
      <c r="M46" s="566"/>
      <c r="N46" s="566"/>
      <c r="O46" s="566"/>
      <c r="P46" s="566"/>
      <c r="Q46" s="566"/>
      <c r="R46" s="566"/>
      <c r="S46" s="545"/>
    </row>
    <row r="47" spans="2:23">
      <c r="B47" s="567" t="s">
        <v>480</v>
      </c>
      <c r="C47" s="567"/>
      <c r="G47" s="567"/>
      <c r="H47" s="568"/>
      <c r="I47" s="568"/>
      <c r="J47" s="569"/>
      <c r="K47" s="569"/>
      <c r="L47" s="569"/>
      <c r="M47" s="569">
        <f ca="1">(1+$G$14)^M33</f>
        <v>1.1491826442307691</v>
      </c>
      <c r="N47" s="569">
        <f t="shared" ref="N47:R47" ca="1" si="7">(1+$G$14)^N33</f>
        <v>1.3206207498012223</v>
      </c>
      <c r="O47" s="569">
        <f t="shared" ca="1" si="7"/>
        <v>1.5176344452825896</v>
      </c>
      <c r="P47" s="569">
        <f t="shared" ca="1" si="7"/>
        <v>1.7440391648055427</v>
      </c>
      <c r="Q47" s="569">
        <f t="shared" ca="1" si="7"/>
        <v>2.0042195390532558</v>
      </c>
      <c r="R47" s="569">
        <f t="shared" ca="1" si="7"/>
        <v>2.3032143095081934</v>
      </c>
    </row>
    <row r="48" spans="2:23">
      <c r="B48" s="570" t="s">
        <v>481</v>
      </c>
      <c r="C48" s="570"/>
      <c r="D48" s="571"/>
      <c r="E48" s="571"/>
      <c r="F48" s="571"/>
      <c r="G48" s="571"/>
      <c r="H48" s="571"/>
      <c r="I48" s="572"/>
      <c r="J48" s="573"/>
      <c r="K48" s="573"/>
      <c r="L48" s="573"/>
      <c r="M48" s="573">
        <f ca="1">M41/M47</f>
        <v>1522.2488477704185</v>
      </c>
      <c r="N48" s="573">
        <f ca="1">N41/N47</f>
        <v>1146.7346173268074</v>
      </c>
      <c r="O48" s="573">
        <f ca="1">O41/O47</f>
        <v>1868.9639150476389</v>
      </c>
      <c r="P48" s="573">
        <f ca="1">P41/P47</f>
        <v>1969.3642136202475</v>
      </c>
      <c r="Q48" s="573">
        <f t="shared" ref="Q48" ca="1" si="8">Q41/Q47</f>
        <v>1742.3558993224228</v>
      </c>
      <c r="R48" s="573">
        <f ca="1">R41/R47</f>
        <v>1744.0583379087589</v>
      </c>
      <c r="S48" s="574"/>
      <c r="T48" s="574"/>
      <c r="U48" s="574"/>
      <c r="V48" s="574"/>
      <c r="W48" s="574"/>
    </row>
    <row r="49" spans="2:23">
      <c r="B49" s="532" t="s">
        <v>482</v>
      </c>
      <c r="C49" s="532"/>
      <c r="D49" s="575"/>
      <c r="E49" s="575"/>
      <c r="F49" s="575"/>
      <c r="G49" s="575"/>
      <c r="H49" s="575"/>
      <c r="I49" s="663"/>
      <c r="J49" s="576"/>
      <c r="K49" s="576"/>
      <c r="L49" s="576"/>
      <c r="M49" s="576"/>
      <c r="N49" s="576"/>
      <c r="O49" s="576"/>
      <c r="P49" s="576"/>
      <c r="Q49" s="576"/>
      <c r="R49" s="577">
        <f ca="1">R43/R47</f>
        <v>15072.497339191063</v>
      </c>
      <c r="S49" s="574"/>
      <c r="T49" s="574"/>
      <c r="U49" s="574"/>
      <c r="V49" s="574"/>
      <c r="W49" s="574"/>
    </row>
    <row r="50" spans="2:23">
      <c r="C50" s="184"/>
      <c r="I50" s="545"/>
      <c r="J50" s="545"/>
      <c r="K50" s="545"/>
      <c r="L50" s="545"/>
      <c r="M50" s="545"/>
      <c r="N50" s="545"/>
      <c r="O50" s="545"/>
      <c r="P50" s="545"/>
      <c r="Q50" s="545"/>
      <c r="R50" s="545"/>
    </row>
    <row r="51" spans="2:23">
      <c r="B51" s="554" t="s">
        <v>483</v>
      </c>
      <c r="H51" s="578"/>
      <c r="I51" s="578"/>
      <c r="J51" s="545"/>
      <c r="K51" s="545"/>
      <c r="L51" s="545"/>
      <c r="M51" s="627">
        <v>1</v>
      </c>
      <c r="N51" s="556">
        <f>M51+1</f>
        <v>2</v>
      </c>
      <c r="O51" s="556">
        <f>N51+1</f>
        <v>3</v>
      </c>
      <c r="P51" s="556">
        <f t="shared" ref="P51:R51" si="9">O51+1</f>
        <v>4</v>
      </c>
      <c r="Q51" s="556">
        <f t="shared" si="9"/>
        <v>5</v>
      </c>
      <c r="R51" s="556">
        <f t="shared" si="9"/>
        <v>6</v>
      </c>
      <c r="S51" s="545"/>
    </row>
    <row r="52" spans="2:23">
      <c r="B52" s="184" t="str">
        <f>B47</f>
        <v>Discount Factor</v>
      </c>
      <c r="I52" s="1154"/>
      <c r="J52" s="1155"/>
      <c r="K52" s="579"/>
      <c r="L52" s="579"/>
      <c r="M52" s="569">
        <f ca="1">(1+$G$14)^M51</f>
        <v>1.1491826442307691</v>
      </c>
      <c r="N52" s="569">
        <f t="shared" ref="N52:R52" ca="1" si="10">(1+$G$14)^N51</f>
        <v>1.3206207498012223</v>
      </c>
      <c r="O52" s="569">
        <f t="shared" ca="1" si="10"/>
        <v>1.5176344452825896</v>
      </c>
      <c r="P52" s="569">
        <f t="shared" ca="1" si="10"/>
        <v>1.7440391648055427</v>
      </c>
      <c r="Q52" s="569">
        <f ca="1">(1+$G$14)^Q51</f>
        <v>2.0042195390532558</v>
      </c>
      <c r="R52" s="569">
        <f t="shared" ca="1" si="10"/>
        <v>2.3032143095081934</v>
      </c>
    </row>
    <row r="53" spans="2:23">
      <c r="B53" s="184" t="str">
        <f>B48</f>
        <v>Discounted FCF</v>
      </c>
      <c r="I53" s="1154"/>
      <c r="J53" s="1155"/>
      <c r="K53" s="579"/>
      <c r="L53" s="579"/>
      <c r="M53" s="573">
        <f ca="1">M41/M52</f>
        <v>1522.2488477704185</v>
      </c>
      <c r="N53" s="573">
        <f t="shared" ref="N53:Q53" ca="1" si="11">N41/N52</f>
        <v>1146.7346173268074</v>
      </c>
      <c r="O53" s="573">
        <f ca="1">O41/O52</f>
        <v>1868.9639150476389</v>
      </c>
      <c r="P53" s="573">
        <f t="shared" ca="1" si="11"/>
        <v>1969.3642136202475</v>
      </c>
      <c r="Q53" s="573">
        <f t="shared" ca="1" si="11"/>
        <v>1742.3558993224228</v>
      </c>
      <c r="R53" s="573">
        <f ca="1">R41/R52</f>
        <v>1744.0583379087589</v>
      </c>
    </row>
    <row r="54" spans="2:23">
      <c r="B54" s="184" t="str">
        <f>B49</f>
        <v>Discounted Terminal Value</v>
      </c>
      <c r="I54" s="1154"/>
      <c r="J54" s="1155"/>
      <c r="K54" s="579"/>
      <c r="L54" s="579"/>
      <c r="M54" s="579"/>
      <c r="N54" s="579"/>
      <c r="O54" s="579"/>
      <c r="P54" s="579"/>
      <c r="Q54" s="579"/>
      <c r="R54" s="577">
        <f ca="1">R43/R52</f>
        <v>15072.497339191063</v>
      </c>
    </row>
    <row r="55" spans="2:23">
      <c r="B55" s="184" t="s">
        <v>484</v>
      </c>
      <c r="D55" s="545">
        <f ca="1">SUM(M53:R53)</f>
        <v>9993.7258309962945</v>
      </c>
      <c r="I55" s="1154"/>
      <c r="J55" s="1155"/>
      <c r="K55" s="579"/>
      <c r="L55" s="579"/>
      <c r="M55" s="579"/>
      <c r="N55" s="579"/>
      <c r="O55" s="579"/>
      <c r="P55" s="579"/>
      <c r="Q55" s="579"/>
      <c r="R55" s="579"/>
    </row>
    <row r="56" spans="2:23">
      <c r="B56" s="184" t="s">
        <v>485</v>
      </c>
      <c r="D56" s="545">
        <f ca="1">SUM(M54:R54)</f>
        <v>15072.497339191063</v>
      </c>
      <c r="I56" s="1154"/>
      <c r="J56" s="1155"/>
      <c r="K56" s="579"/>
      <c r="L56" s="579"/>
      <c r="M56" s="579"/>
      <c r="N56" s="579"/>
      <c r="O56" s="579"/>
      <c r="P56" s="579"/>
      <c r="Q56" s="579"/>
      <c r="R56" s="579"/>
    </row>
    <row r="57" spans="2:23">
      <c r="B57" s="223" t="s">
        <v>486</v>
      </c>
      <c r="D57" s="574">
        <f ca="1">SUM(D55:D56)</f>
        <v>25066.223170187357</v>
      </c>
      <c r="I57" s="1154"/>
      <c r="J57" s="1155"/>
      <c r="K57" s="579"/>
      <c r="L57" s="579"/>
      <c r="M57" s="579"/>
      <c r="N57" s="579"/>
      <c r="O57" s="579"/>
      <c r="P57" s="579"/>
      <c r="Q57" s="579"/>
      <c r="R57" s="579"/>
    </row>
    <row r="58" spans="2:23">
      <c r="B58" s="184" t="s">
        <v>462</v>
      </c>
      <c r="D58" s="523">
        <f>-'Annual FS'!M109-'Annual FS'!M119+'Annual FS'!M75</f>
        <v>-4965.6655330100002</v>
      </c>
      <c r="I58" s="1154"/>
      <c r="J58" s="1155"/>
      <c r="K58" s="579"/>
      <c r="L58" s="579"/>
      <c r="M58" s="579"/>
      <c r="N58" s="579"/>
      <c r="O58" s="579"/>
      <c r="P58" s="579"/>
      <c r="Q58" s="579"/>
      <c r="R58" s="579"/>
    </row>
    <row r="59" spans="2:23">
      <c r="B59" s="184" t="str">
        <f>D21</f>
        <v>Non Op. Assets</v>
      </c>
      <c r="D59" s="523">
        <f>E21</f>
        <v>5261</v>
      </c>
      <c r="I59" s="1154"/>
      <c r="J59" s="1155"/>
      <c r="K59" s="579"/>
      <c r="L59" s="579"/>
      <c r="M59" s="579"/>
      <c r="N59" s="579"/>
      <c r="O59" s="579"/>
      <c r="P59" s="579"/>
      <c r="Q59" s="579"/>
      <c r="R59" s="579"/>
    </row>
    <row r="60" spans="2:23">
      <c r="B60" s="223" t="s">
        <v>447</v>
      </c>
      <c r="D60" s="1156">
        <f ca="1">SUM(D57:D59)</f>
        <v>25361.557637177357</v>
      </c>
      <c r="I60" s="1154"/>
      <c r="J60" s="1155"/>
      <c r="K60" s="579"/>
      <c r="L60" s="579"/>
      <c r="M60" s="579"/>
      <c r="N60" s="579"/>
      <c r="O60" s="579"/>
      <c r="P60" s="579"/>
      <c r="Q60" s="579"/>
      <c r="R60" s="579"/>
    </row>
    <row r="61" spans="2:23">
      <c r="B61" s="184" t="s">
        <v>487</v>
      </c>
      <c r="D61" s="1157">
        <v>0.58989999999999998</v>
      </c>
      <c r="I61" s="1154"/>
      <c r="J61" s="1155"/>
      <c r="K61" s="579"/>
      <c r="L61" s="579"/>
      <c r="M61" s="579"/>
      <c r="N61" s="579"/>
      <c r="O61" s="579"/>
      <c r="P61" s="579"/>
      <c r="Q61" s="579"/>
      <c r="R61" s="579"/>
    </row>
    <row r="62" spans="2:23">
      <c r="B62" s="223" t="s">
        <v>488</v>
      </c>
      <c r="C62" s="1158"/>
      <c r="D62" s="1156">
        <f ca="1">D60*D61</f>
        <v>14960.782850170923</v>
      </c>
      <c r="L62" s="579"/>
      <c r="M62" s="579"/>
      <c r="N62" s="579"/>
      <c r="O62" s="579"/>
      <c r="P62" s="579"/>
      <c r="Q62" s="579"/>
      <c r="R62" s="579"/>
    </row>
    <row r="63" spans="2:23">
      <c r="L63" s="579"/>
      <c r="M63" s="579"/>
      <c r="N63" s="579"/>
      <c r="O63" s="579"/>
      <c r="P63" s="579"/>
      <c r="Q63" s="579"/>
      <c r="R63" s="579"/>
    </row>
    <row r="64" spans="2:23">
      <c r="B64" s="599"/>
      <c r="C64" s="600"/>
      <c r="D64" s="601"/>
      <c r="O64" s="581"/>
      <c r="P64" s="580"/>
    </row>
    <row r="66" spans="15:16">
      <c r="O66" s="581"/>
      <c r="P66" s="581"/>
    </row>
    <row r="67" spans="15:16">
      <c r="O67" s="581"/>
      <c r="P67" s="581"/>
    </row>
    <row r="68" spans="15:16">
      <c r="O68" s="581"/>
      <c r="P68" s="581"/>
    </row>
    <row r="69" spans="15:16">
      <c r="O69" s="581"/>
      <c r="P69" s="581"/>
    </row>
    <row r="70" spans="15:16">
      <c r="O70" s="580"/>
      <c r="P70" s="580"/>
    </row>
    <row r="71" spans="15:16">
      <c r="O71" s="581"/>
      <c r="P71" s="581"/>
    </row>
    <row r="154" spans="11:18">
      <c r="K154" s="490"/>
      <c r="L154" s="490"/>
      <c r="M154" s="490"/>
      <c r="N154" s="490"/>
      <c r="O154" s="490"/>
      <c r="P154" s="490"/>
      <c r="Q154" s="490"/>
      <c r="R154" s="490"/>
    </row>
    <row r="155" spans="11:18">
      <c r="K155" s="490"/>
      <c r="L155" s="490"/>
      <c r="M155" s="490"/>
      <c r="N155" s="490"/>
      <c r="O155" s="490"/>
      <c r="P155" s="490"/>
      <c r="Q155" s="490"/>
      <c r="R155" s="490"/>
    </row>
    <row r="156" spans="11:18">
      <c r="K156" s="490"/>
      <c r="L156" s="490"/>
      <c r="M156" s="490"/>
      <c r="N156" s="490"/>
      <c r="O156" s="490"/>
      <c r="P156" s="490"/>
      <c r="Q156" s="490"/>
      <c r="R156" s="490"/>
    </row>
    <row r="157" spans="11:18">
      <c r="K157" s="490"/>
      <c r="L157" s="490"/>
      <c r="M157" s="490"/>
      <c r="N157" s="490"/>
      <c r="O157" s="490"/>
      <c r="P157" s="490"/>
      <c r="Q157" s="490"/>
      <c r="R157" s="490"/>
    </row>
    <row r="158" spans="11:18">
      <c r="K158" s="490"/>
      <c r="L158" s="490"/>
      <c r="M158" s="490"/>
      <c r="N158" s="490"/>
      <c r="O158" s="490"/>
      <c r="P158" s="490"/>
      <c r="Q158" s="490"/>
      <c r="R158" s="490"/>
    </row>
    <row r="159" spans="11:18">
      <c r="K159" s="490"/>
      <c r="L159" s="490"/>
      <c r="M159" s="490"/>
      <c r="N159" s="490"/>
      <c r="O159" s="490"/>
      <c r="P159" s="490"/>
      <c r="Q159" s="490"/>
      <c r="R159" s="490"/>
    </row>
    <row r="160" spans="11:18">
      <c r="K160" s="490"/>
      <c r="L160" s="490"/>
      <c r="M160" s="490"/>
      <c r="N160" s="490"/>
      <c r="O160" s="490"/>
      <c r="P160" s="490"/>
      <c r="Q160" s="490"/>
      <c r="R160" s="490"/>
    </row>
    <row r="172" spans="8:9">
      <c r="H172" s="1152"/>
      <c r="I172" s="1153"/>
    </row>
    <row r="173" spans="8:9">
      <c r="H173" s="1152"/>
      <c r="I173" s="1153"/>
    </row>
    <row r="174" spans="8:9">
      <c r="H174" s="1152"/>
      <c r="I174" s="1153"/>
    </row>
    <row r="175" spans="8:9">
      <c r="H175" s="1152"/>
      <c r="I175" s="1153"/>
    </row>
    <row r="176" spans="8:9">
      <c r="H176" s="1152"/>
      <c r="I176" s="1153"/>
    </row>
    <row r="177" spans="8:9">
      <c r="H177" s="1152"/>
      <c r="I177" s="1153"/>
    </row>
    <row r="178" spans="8:9">
      <c r="H178" s="1152"/>
      <c r="I178" s="1153"/>
    </row>
    <row r="179" spans="8:9">
      <c r="H179" s="1152"/>
      <c r="I179" s="1153"/>
    </row>
    <row r="180" spans="8:9">
      <c r="H180" s="1152"/>
      <c r="I180" s="1153"/>
    </row>
    <row r="181" spans="8:9">
      <c r="H181" s="1152"/>
      <c r="I181" s="1153"/>
    </row>
    <row r="182" spans="8:9">
      <c r="H182" s="1152"/>
      <c r="I182" s="1153"/>
    </row>
  </sheetData>
  <conditionalFormatting sqref="J11:M15">
    <cfRule type="cellIs" dxfId="0" priority="1" operator="lessThan">
      <formula>0.25</formula>
    </cfRule>
  </conditionalFormatting>
  <pageMargins left="0.25" right="0.25" top="0.75" bottom="0.75" header="0.3" footer="0.3"/>
  <pageSetup scale="62"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P115"/>
  <sheetViews>
    <sheetView showGridLines="0" zoomScaleNormal="100" workbookViewId="0">
      <selection activeCell="D12" sqref="D12"/>
    </sheetView>
  </sheetViews>
  <sheetFormatPr baseColWidth="10" defaultColWidth="0" defaultRowHeight="0" customHeight="1" zeroHeight="1"/>
  <cols>
    <col min="1" max="1" width="3.81640625" style="184" customWidth="1"/>
    <col min="2" max="2" width="30.453125" style="184" customWidth="1"/>
    <col min="3" max="3" width="10.1796875" style="184" customWidth="1"/>
    <col min="4" max="4" width="9.7265625" style="184" customWidth="1"/>
    <col min="5" max="5" width="8.81640625" style="184" customWidth="1"/>
    <col min="6" max="8" width="9.453125" style="184" customWidth="1"/>
    <col min="9" max="12" width="8.26953125" style="184" customWidth="1"/>
    <col min="13" max="13" width="3.81640625" style="184" customWidth="1"/>
    <col min="14" max="14" width="9.1796875" style="184" hidden="1" customWidth="1"/>
    <col min="15" max="16" width="12.1796875" style="413" hidden="1" customWidth="1"/>
    <col min="17" max="16384" width="9.1796875" style="184" hidden="1"/>
  </cols>
  <sheetData>
    <row r="1" spans="1:13" s="184" customFormat="1" ht="13"/>
    <row r="2" spans="1:13" s="184" customFormat="1" ht="16.5" customHeight="1">
      <c r="C2" s="1600" t="s">
        <v>489</v>
      </c>
      <c r="D2" s="1600"/>
      <c r="E2" s="1600"/>
      <c r="F2" s="1600"/>
      <c r="G2" s="1600"/>
      <c r="H2" s="401"/>
      <c r="I2" s="402"/>
      <c r="J2" s="402"/>
      <c r="K2" s="402"/>
    </row>
    <row r="3" spans="1:13" s="184" customFormat="1" ht="16.5" customHeight="1">
      <c r="C3" s="1601" t="str">
        <f>+Cover!B26</f>
        <v>TGT Gamas</v>
      </c>
      <c r="D3" s="1601"/>
      <c r="E3" s="1601"/>
      <c r="F3" s="1601"/>
      <c r="G3" s="1601"/>
      <c r="H3" s="402"/>
      <c r="I3" s="402"/>
      <c r="J3" s="402"/>
      <c r="K3" s="402"/>
    </row>
    <row r="4" spans="1:13" s="184" customFormat="1" ht="10.5" customHeight="1">
      <c r="C4" s="1601"/>
      <c r="D4" s="1601"/>
      <c r="E4" s="1601"/>
      <c r="F4" s="1601"/>
      <c r="G4" s="1601"/>
      <c r="H4" s="402"/>
      <c r="I4" s="402"/>
      <c r="J4" s="402"/>
      <c r="K4" s="402"/>
    </row>
    <row r="5" spans="1:13" s="184" customFormat="1" ht="13"/>
    <row r="6" spans="1:13" s="184" customFormat="1" ht="13">
      <c r="B6" s="403" t="s">
        <v>490</v>
      </c>
      <c r="C6" s="403"/>
      <c r="D6" s="403"/>
      <c r="E6" s="403"/>
      <c r="F6" s="403"/>
      <c r="G6" s="403"/>
      <c r="H6" s="403"/>
      <c r="I6" s="403"/>
      <c r="J6" s="403"/>
      <c r="K6" s="403"/>
      <c r="L6" s="403"/>
    </row>
    <row r="7" spans="1:13" s="184" customFormat="1" ht="13"/>
    <row r="8" spans="1:13" s="184" customFormat="1" ht="13">
      <c r="B8" s="404" t="s">
        <v>491</v>
      </c>
      <c r="C8" s="405" t="s">
        <v>434</v>
      </c>
      <c r="D8" s="405" t="s">
        <v>492</v>
      </c>
      <c r="E8" s="1592" t="s">
        <v>493</v>
      </c>
      <c r="F8" s="1592"/>
      <c r="G8" s="1592"/>
      <c r="H8" s="1592"/>
      <c r="I8" s="1592"/>
      <c r="J8" s="1592"/>
      <c r="K8" s="1592"/>
      <c r="L8" s="1593"/>
    </row>
    <row r="9" spans="1:13" s="184" customFormat="1" ht="30" customHeight="1">
      <c r="A9" s="406"/>
      <c r="B9" s="407" t="s">
        <v>494</v>
      </c>
      <c r="C9" s="670">
        <v>6.1000000000000004E-3</v>
      </c>
      <c r="D9" s="671">
        <v>44594</v>
      </c>
      <c r="E9" s="1602" t="s">
        <v>495</v>
      </c>
      <c r="F9" s="1603"/>
      <c r="G9" s="1603"/>
      <c r="H9" s="1603"/>
      <c r="I9" s="1603"/>
      <c r="J9" s="1603"/>
      <c r="K9" s="1603"/>
      <c r="L9" s="1604"/>
      <c r="M9" s="406"/>
    </row>
    <row r="10" spans="1:13" s="184" customFormat="1" ht="7.5" customHeight="1">
      <c r="A10" s="408"/>
      <c r="M10" s="408"/>
    </row>
    <row r="11" spans="1:13" s="184" customFormat="1" ht="30" customHeight="1">
      <c r="A11" s="406"/>
      <c r="B11" s="409" t="s">
        <v>496</v>
      </c>
      <c r="C11" s="648">
        <v>5.1700000000000003E-2</v>
      </c>
      <c r="D11" s="649">
        <v>44594</v>
      </c>
      <c r="E11" s="1594" t="s">
        <v>497</v>
      </c>
      <c r="F11" s="1595"/>
      <c r="G11" s="1595"/>
      <c r="H11" s="1595"/>
      <c r="I11" s="1595"/>
      <c r="J11" s="1595"/>
      <c r="K11" s="1595"/>
      <c r="L11" s="1596"/>
      <c r="M11" s="406"/>
    </row>
    <row r="12" spans="1:13" s="184" customFormat="1" ht="30" customHeight="1">
      <c r="A12" s="406"/>
      <c r="B12" s="409" t="s">
        <v>498</v>
      </c>
      <c r="C12" s="1147">
        <v>1.07</v>
      </c>
      <c r="D12" s="649">
        <v>44594</v>
      </c>
      <c r="E12" s="1594" t="s">
        <v>499</v>
      </c>
      <c r="F12" s="1595"/>
      <c r="G12" s="1595"/>
      <c r="H12" s="1595"/>
      <c r="I12" s="1595"/>
      <c r="J12" s="1595"/>
      <c r="K12" s="1595"/>
      <c r="L12" s="1596"/>
      <c r="M12" s="406"/>
    </row>
    <row r="13" spans="1:13" s="184" customFormat="1" ht="30" customHeight="1">
      <c r="A13" s="406"/>
      <c r="B13" s="409" t="s">
        <v>500</v>
      </c>
      <c r="C13" s="429">
        <f>C12*(1+((1-C39)*C45))</f>
        <v>1.07</v>
      </c>
      <c r="D13" s="649"/>
      <c r="E13" s="1594" t="s">
        <v>501</v>
      </c>
      <c r="F13" s="1595"/>
      <c r="G13" s="1595"/>
      <c r="H13" s="1595"/>
      <c r="I13" s="1595"/>
      <c r="J13" s="1595"/>
      <c r="K13" s="1595"/>
      <c r="L13" s="1596"/>
      <c r="M13" s="406"/>
    </row>
    <row r="14" spans="1:13" s="184" customFormat="1" ht="30" customHeight="1">
      <c r="A14" s="406"/>
      <c r="B14" s="407" t="s">
        <v>502</v>
      </c>
      <c r="C14" s="410">
        <f>C11*C13</f>
        <v>5.5319000000000007E-2</v>
      </c>
      <c r="D14" s="411"/>
      <c r="E14" s="1597"/>
      <c r="F14" s="1598"/>
      <c r="G14" s="1598"/>
      <c r="H14" s="1598"/>
      <c r="I14" s="1598"/>
      <c r="J14" s="1598"/>
      <c r="K14" s="1598"/>
      <c r="L14" s="1599"/>
      <c r="M14" s="406"/>
    </row>
    <row r="15" spans="1:13" s="184" customFormat="1" ht="7.5" customHeight="1">
      <c r="A15" s="408"/>
      <c r="E15" s="412"/>
      <c r="F15" s="412"/>
      <c r="G15" s="412"/>
      <c r="H15" s="412"/>
      <c r="I15" s="412"/>
      <c r="J15" s="412"/>
      <c r="K15" s="412"/>
      <c r="L15" s="412"/>
      <c r="M15" s="408"/>
    </row>
    <row r="16" spans="1:13" s="184" customFormat="1" ht="30" customHeight="1">
      <c r="A16" s="406"/>
      <c r="B16" s="407" t="s">
        <v>503</v>
      </c>
      <c r="C16" s="646">
        <v>3.7199999999999997E-2</v>
      </c>
      <c r="D16" s="647">
        <v>44594</v>
      </c>
      <c r="E16" s="1597" t="s">
        <v>504</v>
      </c>
      <c r="F16" s="1598"/>
      <c r="G16" s="1598"/>
      <c r="H16" s="1598"/>
      <c r="I16" s="1598"/>
      <c r="J16" s="1598"/>
      <c r="K16" s="1598"/>
      <c r="L16" s="1599"/>
      <c r="M16" s="406"/>
    </row>
    <row r="17" spans="1:16" ht="7.5" customHeight="1">
      <c r="A17" s="408"/>
      <c r="E17" s="412"/>
      <c r="F17" s="412"/>
      <c r="G17" s="412"/>
      <c r="H17" s="412"/>
      <c r="I17" s="412"/>
      <c r="J17" s="412"/>
      <c r="K17" s="412"/>
      <c r="L17" s="412"/>
      <c r="M17" s="408"/>
    </row>
    <row r="18" spans="1:16" ht="30" customHeight="1">
      <c r="A18" s="408"/>
      <c r="B18" s="409" t="s">
        <v>505</v>
      </c>
      <c r="C18" s="672">
        <v>0.04</v>
      </c>
      <c r="D18" s="649">
        <v>44594</v>
      </c>
      <c r="E18" s="1594" t="s">
        <v>506</v>
      </c>
      <c r="F18" s="1595"/>
      <c r="G18" s="1595"/>
      <c r="H18" s="1595"/>
      <c r="I18" s="1595"/>
      <c r="J18" s="1595"/>
      <c r="K18" s="1595"/>
      <c r="L18" s="1596"/>
      <c r="M18" s="408"/>
    </row>
    <row r="19" spans="1:16" ht="30" customHeight="1">
      <c r="A19" s="408"/>
      <c r="B19" s="409" t="s">
        <v>507</v>
      </c>
      <c r="C19" s="672">
        <v>0.05</v>
      </c>
      <c r="D19" s="649">
        <v>44594</v>
      </c>
      <c r="E19" s="1594" t="s">
        <v>508</v>
      </c>
      <c r="F19" s="1595"/>
      <c r="G19" s="1595"/>
      <c r="H19" s="1595"/>
      <c r="I19" s="1595"/>
      <c r="J19" s="1595"/>
      <c r="K19" s="1595"/>
      <c r="L19" s="1596"/>
      <c r="M19" s="408"/>
    </row>
    <row r="20" spans="1:16" ht="30" customHeight="1">
      <c r="A20" s="408"/>
      <c r="B20" s="407" t="s">
        <v>509</v>
      </c>
      <c r="C20" s="410">
        <f>(1+C19)/(1+C18)-1</f>
        <v>9.6153846153845812E-3</v>
      </c>
      <c r="D20" s="411"/>
      <c r="E20" s="1597"/>
      <c r="F20" s="1598"/>
      <c r="G20" s="1598"/>
      <c r="H20" s="1598"/>
      <c r="I20" s="1598"/>
      <c r="J20" s="1598"/>
      <c r="K20" s="1598"/>
      <c r="L20" s="1599"/>
      <c r="M20" s="408"/>
    </row>
    <row r="21" spans="1:16" ht="7.5" customHeight="1">
      <c r="A21" s="408"/>
      <c r="E21" s="412"/>
      <c r="F21" s="412"/>
      <c r="G21" s="412"/>
      <c r="H21" s="412"/>
      <c r="I21" s="412"/>
      <c r="J21" s="412"/>
      <c r="K21" s="412"/>
      <c r="L21" s="412"/>
      <c r="M21" s="408"/>
    </row>
    <row r="22" spans="1:16" ht="30" customHeight="1">
      <c r="A22" s="408"/>
      <c r="B22" s="407" t="s">
        <v>510</v>
      </c>
      <c r="C22" s="646">
        <v>0.04</v>
      </c>
      <c r="D22" s="647"/>
      <c r="E22" s="1597"/>
      <c r="F22" s="1598"/>
      <c r="G22" s="1598"/>
      <c r="H22" s="1598"/>
      <c r="I22" s="1598"/>
      <c r="J22" s="1598"/>
      <c r="K22" s="1598"/>
      <c r="L22" s="1599"/>
      <c r="M22" s="408"/>
    </row>
    <row r="23" spans="1:16" ht="7.5" customHeight="1">
      <c r="A23" s="408"/>
      <c r="E23" s="412"/>
      <c r="F23" s="412"/>
      <c r="G23" s="412"/>
      <c r="H23" s="412"/>
      <c r="I23" s="412"/>
      <c r="J23" s="412"/>
      <c r="K23" s="412"/>
      <c r="L23" s="412"/>
      <c r="M23" s="408"/>
    </row>
    <row r="24" spans="1:16" ht="30" customHeight="1">
      <c r="A24" s="406"/>
      <c r="B24" s="414" t="s">
        <v>490</v>
      </c>
      <c r="C24" s="427">
        <f>(1+C9+C14+C16)*(1+C20)-1+C22</f>
        <v>0.14918264423076907</v>
      </c>
      <c r="D24" s="415"/>
      <c r="E24" s="416"/>
      <c r="F24" s="416"/>
      <c r="G24" s="416"/>
      <c r="H24" s="416"/>
      <c r="I24" s="416"/>
      <c r="J24" s="416"/>
      <c r="K24" s="416"/>
      <c r="L24" s="416"/>
      <c r="M24" s="406"/>
    </row>
    <row r="25" spans="1:16" ht="13">
      <c r="E25" s="417"/>
      <c r="F25" s="417"/>
    </row>
    <row r="26" spans="1:16" ht="13">
      <c r="B26" s="403" t="s">
        <v>511</v>
      </c>
      <c r="C26" s="403"/>
      <c r="D26" s="403"/>
      <c r="E26" s="403"/>
      <c r="F26" s="403"/>
      <c r="G26" s="403"/>
      <c r="H26" s="403"/>
      <c r="I26" s="403"/>
      <c r="J26" s="403"/>
      <c r="K26" s="403"/>
      <c r="L26" s="403"/>
    </row>
    <row r="27" spans="1:16" ht="14.5">
      <c r="C27"/>
      <c r="D27"/>
    </row>
    <row r="28" spans="1:16" ht="13">
      <c r="B28" s="404" t="s">
        <v>512</v>
      </c>
      <c r="C28" s="405" t="s">
        <v>434</v>
      </c>
      <c r="D28" s="405" t="s">
        <v>492</v>
      </c>
      <c r="E28" s="1592" t="s">
        <v>493</v>
      </c>
      <c r="F28" s="1592"/>
      <c r="G28" s="1592"/>
      <c r="H28" s="1592"/>
      <c r="I28" s="1592"/>
      <c r="J28" s="1592"/>
      <c r="K28" s="1592"/>
      <c r="L28" s="1593"/>
    </row>
    <row r="29" spans="1:16" ht="30" customHeight="1">
      <c r="A29" s="406"/>
      <c r="B29" s="418" t="s">
        <v>513</v>
      </c>
      <c r="C29" s="419">
        <f ca="1">VLOOKUP(B29,B30:C32,2,FALSE)</f>
        <v>0.13381445998823696</v>
      </c>
      <c r="D29" s="484">
        <v>2020</v>
      </c>
      <c r="E29" s="1586"/>
      <c r="F29" s="1587"/>
      <c r="G29" s="1587"/>
      <c r="H29" s="1587"/>
      <c r="I29" s="1587"/>
      <c r="J29" s="1587"/>
      <c r="K29" s="1587"/>
      <c r="L29" s="1588"/>
      <c r="M29" s="406"/>
    </row>
    <row r="30" spans="1:16" s="408" customFormat="1" ht="23.25" customHeight="1">
      <c r="A30" s="421"/>
      <c r="B30" s="422" t="s">
        <v>514</v>
      </c>
      <c r="C30" s="483" t="e">
        <f>+Drivers!N179/AVERAGE(Drivers!N180,Drivers!N183)</f>
        <v>#DIV/0!</v>
      </c>
      <c r="D30" s="424"/>
      <c r="E30" s="1589" t="s">
        <v>515</v>
      </c>
      <c r="F30" s="1590"/>
      <c r="G30" s="1590"/>
      <c r="H30" s="1590"/>
      <c r="I30" s="1590"/>
      <c r="J30" s="1590"/>
      <c r="K30" s="1590"/>
      <c r="L30" s="1591"/>
      <c r="M30" s="421"/>
      <c r="O30" s="425"/>
      <c r="P30" s="425"/>
    </row>
    <row r="31" spans="1:16" s="408" customFormat="1" ht="23.25" customHeight="1">
      <c r="A31" s="421"/>
      <c r="B31" s="422" t="s">
        <v>513</v>
      </c>
      <c r="C31" s="483">
        <f ca="1">+AVERAGE(Drivers!N185:S185)</f>
        <v>0.13381445998823696</v>
      </c>
      <c r="D31" s="426"/>
      <c r="E31" s="1589" t="s">
        <v>516</v>
      </c>
      <c r="F31" s="1590"/>
      <c r="G31" s="1590"/>
      <c r="H31" s="1590"/>
      <c r="I31" s="1590"/>
      <c r="J31" s="1590"/>
      <c r="K31" s="1590"/>
      <c r="L31" s="1591"/>
      <c r="M31" s="421"/>
      <c r="O31" s="425"/>
      <c r="P31" s="425"/>
    </row>
    <row r="32" spans="1:16" s="408" customFormat="1" ht="23.25" customHeight="1">
      <c r="A32" s="421"/>
      <c r="B32" s="422" t="s">
        <v>517</v>
      </c>
      <c r="C32" s="423">
        <v>0.08</v>
      </c>
      <c r="D32" s="426"/>
      <c r="E32" s="1589"/>
      <c r="F32" s="1590"/>
      <c r="G32" s="1590"/>
      <c r="H32" s="1590"/>
      <c r="I32" s="1590"/>
      <c r="J32" s="1590"/>
      <c r="K32" s="1590"/>
      <c r="L32" s="1591"/>
      <c r="M32" s="421"/>
      <c r="O32" s="425"/>
      <c r="P32" s="425"/>
    </row>
    <row r="33" spans="1:16" ht="7.5" customHeight="1">
      <c r="A33" s="408"/>
      <c r="E33" s="412"/>
      <c r="F33" s="412"/>
      <c r="G33" s="412"/>
      <c r="H33" s="412"/>
      <c r="I33" s="412"/>
      <c r="J33" s="412"/>
      <c r="K33" s="412"/>
      <c r="L33" s="412"/>
      <c r="M33" s="408"/>
    </row>
    <row r="34" spans="1:16" ht="30" customHeight="1">
      <c r="A34" s="406"/>
      <c r="B34" s="414" t="s">
        <v>518</v>
      </c>
      <c r="C34" s="427">
        <f ca="1">C29*(1-C39)</f>
        <v>9.3670121991765873E-2</v>
      </c>
      <c r="D34" s="415"/>
      <c r="E34" s="416"/>
      <c r="F34" s="416"/>
      <c r="G34" s="416"/>
      <c r="H34" s="416"/>
      <c r="I34" s="416"/>
      <c r="J34" s="416"/>
      <c r="K34" s="416"/>
      <c r="L34" s="416"/>
      <c r="M34" s="406"/>
    </row>
    <row r="35" spans="1:16" ht="13"/>
    <row r="36" spans="1:16" ht="13">
      <c r="B36" s="403" t="s">
        <v>519</v>
      </c>
      <c r="C36" s="403"/>
      <c r="D36" s="403"/>
      <c r="E36" s="403"/>
      <c r="F36" s="403"/>
      <c r="G36" s="403"/>
      <c r="H36" s="403"/>
      <c r="I36" s="403"/>
      <c r="J36" s="403"/>
      <c r="K36" s="403"/>
      <c r="L36" s="403"/>
    </row>
    <row r="37" spans="1:16" ht="13"/>
    <row r="38" spans="1:16" ht="13">
      <c r="B38" s="404" t="s">
        <v>520</v>
      </c>
      <c r="C38" s="405" t="s">
        <v>434</v>
      </c>
      <c r="D38" s="405" t="s">
        <v>492</v>
      </c>
      <c r="E38" s="1592" t="s">
        <v>493</v>
      </c>
      <c r="F38" s="1592"/>
      <c r="G38" s="1592"/>
      <c r="H38" s="1592"/>
      <c r="I38" s="1592"/>
      <c r="J38" s="1592"/>
      <c r="K38" s="1592"/>
      <c r="L38" s="1593"/>
    </row>
    <row r="39" spans="1:16" ht="30" customHeight="1">
      <c r="A39" s="406"/>
      <c r="B39" s="418" t="s">
        <v>517</v>
      </c>
      <c r="C39" s="419">
        <f>VLOOKUP(B39,B40:C42,2,FALSE)</f>
        <v>0.3</v>
      </c>
      <c r="D39" s="420"/>
      <c r="E39" s="1586"/>
      <c r="F39" s="1587"/>
      <c r="G39" s="1587"/>
      <c r="H39" s="1587"/>
      <c r="I39" s="1587"/>
      <c r="J39" s="1587"/>
      <c r="K39" s="1587"/>
      <c r="L39" s="1588"/>
      <c r="M39" s="406"/>
    </row>
    <row r="40" spans="1:16" s="408" customFormat="1" ht="23.25" customHeight="1">
      <c r="A40" s="421"/>
      <c r="B40" s="422" t="s">
        <v>521</v>
      </c>
      <c r="C40" s="428"/>
      <c r="D40" s="426"/>
      <c r="E40" s="1589" t="s">
        <v>522</v>
      </c>
      <c r="F40" s="1590"/>
      <c r="G40" s="1590"/>
      <c r="H40" s="1590"/>
      <c r="I40" s="1590"/>
      <c r="J40" s="1590"/>
      <c r="K40" s="1590"/>
      <c r="L40" s="1591"/>
      <c r="M40" s="421"/>
      <c r="O40" s="425"/>
      <c r="P40" s="425"/>
    </row>
    <row r="41" spans="1:16" s="408" customFormat="1" ht="23.25" customHeight="1">
      <c r="A41" s="421"/>
      <c r="B41" s="422" t="s">
        <v>513</v>
      </c>
      <c r="C41" s="423">
        <f ca="1">+AVERAGE(Drivers!J370:S370)</f>
        <v>0.342875328769703</v>
      </c>
      <c r="D41" s="426"/>
      <c r="E41" s="1589" t="s">
        <v>523</v>
      </c>
      <c r="F41" s="1590"/>
      <c r="G41" s="1590"/>
      <c r="H41" s="1590"/>
      <c r="I41" s="1590"/>
      <c r="J41" s="1590"/>
      <c r="K41" s="1590"/>
      <c r="L41" s="1591"/>
      <c r="M41" s="421"/>
      <c r="O41" s="425"/>
      <c r="P41" s="425"/>
    </row>
    <row r="42" spans="1:16" s="408" customFormat="1" ht="23.25" customHeight="1">
      <c r="A42" s="421"/>
      <c r="B42" s="422" t="s">
        <v>517</v>
      </c>
      <c r="C42" s="423">
        <v>0.3</v>
      </c>
      <c r="D42" s="426"/>
      <c r="E42" s="1589" t="s">
        <v>524</v>
      </c>
      <c r="F42" s="1590"/>
      <c r="G42" s="1590"/>
      <c r="H42" s="1590"/>
      <c r="I42" s="1590"/>
      <c r="J42" s="1590"/>
      <c r="K42" s="1590"/>
      <c r="L42" s="1591"/>
      <c r="M42" s="421"/>
      <c r="O42" s="425"/>
      <c r="P42" s="425"/>
    </row>
    <row r="43" spans="1:16" ht="13"/>
    <row r="44" spans="1:16" ht="13">
      <c r="B44" s="404" t="s">
        <v>525</v>
      </c>
      <c r="C44" s="405" t="s">
        <v>434</v>
      </c>
      <c r="D44" s="405" t="s">
        <v>492</v>
      </c>
      <c r="E44" s="1592" t="s">
        <v>493</v>
      </c>
      <c r="F44" s="1592"/>
      <c r="G44" s="1592"/>
      <c r="H44" s="1592"/>
      <c r="I44" s="1592"/>
      <c r="J44" s="1592"/>
      <c r="K44" s="1592"/>
      <c r="L44" s="1593"/>
    </row>
    <row r="45" spans="1:16" ht="30" customHeight="1">
      <c r="A45" s="406"/>
      <c r="B45" s="418" t="s">
        <v>514</v>
      </c>
      <c r="C45" s="429">
        <f>VLOOKUP(B45,B46:C48,2,FALSE)</f>
        <v>0</v>
      </c>
      <c r="D45" s="420"/>
      <c r="E45" s="1586"/>
      <c r="F45" s="1587"/>
      <c r="G45" s="1587"/>
      <c r="H45" s="1587"/>
      <c r="I45" s="1587"/>
      <c r="J45" s="1587"/>
      <c r="K45" s="1587"/>
      <c r="L45" s="1588"/>
      <c r="M45" s="406"/>
    </row>
    <row r="46" spans="1:16" s="408" customFormat="1" ht="23.25" customHeight="1">
      <c r="A46" s="421"/>
      <c r="B46" s="422" t="s">
        <v>514</v>
      </c>
      <c r="C46" s="487">
        <f>+'Annual FS'!M124</f>
        <v>0</v>
      </c>
      <c r="D46" s="426"/>
      <c r="E46" s="1589" t="s">
        <v>526</v>
      </c>
      <c r="F46" s="1590"/>
      <c r="G46" s="1590"/>
      <c r="H46" s="1590"/>
      <c r="I46" s="1590"/>
      <c r="J46" s="1590"/>
      <c r="K46" s="1590"/>
      <c r="L46" s="1591"/>
      <c r="M46" s="421"/>
      <c r="O46" s="425"/>
      <c r="P46" s="425"/>
    </row>
    <row r="47" spans="1:16" s="408" customFormat="1" ht="23.25" customHeight="1">
      <c r="A47" s="421"/>
      <c r="B47" s="422" t="s">
        <v>513</v>
      </c>
      <c r="C47" s="488" t="e">
        <f>+AVERAGE('Annual FS'!J124:S124)</f>
        <v>#DIV/0!</v>
      </c>
      <c r="D47" s="426"/>
      <c r="E47" s="1589" t="s">
        <v>527</v>
      </c>
      <c r="F47" s="1590"/>
      <c r="G47" s="1590"/>
      <c r="H47" s="1590"/>
      <c r="I47" s="1590"/>
      <c r="J47" s="1590"/>
      <c r="K47" s="1590"/>
      <c r="L47" s="1591"/>
      <c r="M47" s="421"/>
      <c r="O47" s="425"/>
      <c r="P47" s="425"/>
    </row>
    <row r="48" spans="1:16" s="408" customFormat="1" ht="23.25" customHeight="1">
      <c r="A48" s="421"/>
      <c r="B48" s="422" t="s">
        <v>517</v>
      </c>
      <c r="C48" s="430"/>
      <c r="D48" s="426"/>
      <c r="E48" s="1589"/>
      <c r="F48" s="1590"/>
      <c r="G48" s="1590"/>
      <c r="H48" s="1590"/>
      <c r="I48" s="1590"/>
      <c r="J48" s="1590"/>
      <c r="K48" s="1590"/>
      <c r="L48" s="1591"/>
      <c r="M48" s="421"/>
      <c r="O48" s="425"/>
      <c r="P48" s="425"/>
    </row>
    <row r="49" spans="1:15" ht="13">
      <c r="C49" s="431"/>
    </row>
    <row r="50" spans="1:15" ht="13">
      <c r="B50" s="403" t="s">
        <v>528</v>
      </c>
      <c r="C50" s="403"/>
      <c r="D50" s="403"/>
      <c r="E50" s="403"/>
      <c r="F50" s="403"/>
      <c r="G50" s="403"/>
      <c r="H50" s="403"/>
      <c r="I50" s="403"/>
      <c r="J50" s="403"/>
      <c r="K50" s="403"/>
      <c r="L50" s="403"/>
    </row>
    <row r="51" spans="1:15" ht="13"/>
    <row r="52" spans="1:15" ht="13">
      <c r="A52" s="406"/>
      <c r="B52" s="432" t="s">
        <v>529</v>
      </c>
      <c r="C52" s="433">
        <f>1-C53</f>
        <v>1</v>
      </c>
      <c r="D52" s="434"/>
      <c r="E52" s="435"/>
      <c r="K52" s="435"/>
      <c r="L52" s="435"/>
      <c r="M52" s="406"/>
    </row>
    <row r="53" spans="1:15" ht="13">
      <c r="A53" s="406"/>
      <c r="B53" s="436" t="s">
        <v>530</v>
      </c>
      <c r="C53" s="437">
        <f>C45/(1+C45)</f>
        <v>0</v>
      </c>
      <c r="D53" s="415"/>
      <c r="E53" s="416"/>
      <c r="K53" s="416"/>
      <c r="L53" s="416"/>
      <c r="M53" s="406"/>
      <c r="O53" s="438"/>
    </row>
    <row r="54" spans="1:15" ht="13">
      <c r="A54" s="406"/>
      <c r="B54" s="439" t="s">
        <v>531</v>
      </c>
      <c r="C54" s="440">
        <f ca="1">(C24*C52)+(C34*C53)</f>
        <v>0.14918264423076907</v>
      </c>
      <c r="M54" s="406"/>
      <c r="O54" s="438"/>
    </row>
    <row r="55" spans="1:15" ht="13.5" customHeight="1">
      <c r="O55" s="438"/>
    </row>
    <row r="56" spans="1:15" ht="13" hidden="1">
      <c r="O56" s="438"/>
    </row>
    <row r="57" spans="1:15" ht="13" hidden="1">
      <c r="A57" s="89"/>
      <c r="M57" s="89"/>
    </row>
    <row r="58" spans="1:15" ht="13" hidden="1">
      <c r="A58" s="441"/>
      <c r="M58" s="441"/>
    </row>
    <row r="59" spans="1:15" ht="13" hidden="1"/>
    <row r="60" spans="1:15" ht="13" hidden="1">
      <c r="A60" s="89"/>
      <c r="M60" s="89"/>
    </row>
    <row r="61" spans="1:15" ht="13" hidden="1">
      <c r="A61" s="89"/>
      <c r="M61" s="89"/>
    </row>
    <row r="62" spans="1:15" ht="13" hidden="1"/>
    <row r="63" spans="1:15" ht="13" hidden="1"/>
    <row r="64" spans="1:15" ht="13" hidden="1">
      <c r="A64" s="89"/>
      <c r="M64" s="89"/>
    </row>
    <row r="65" spans="1:16" ht="13" hidden="1">
      <c r="A65" s="89"/>
      <c r="M65" s="89"/>
      <c r="O65" s="184"/>
      <c r="P65" s="184"/>
    </row>
    <row r="66" spans="1:16" ht="13" hidden="1">
      <c r="A66" s="89"/>
      <c r="M66" s="89"/>
      <c r="O66" s="184"/>
      <c r="P66" s="184"/>
    </row>
    <row r="67" spans="1:16" ht="13" hidden="1">
      <c r="O67" s="184"/>
      <c r="P67" s="184"/>
    </row>
    <row r="68" spans="1:16" ht="13" hidden="1">
      <c r="O68" s="184"/>
      <c r="P68" s="184"/>
    </row>
    <row r="69" spans="1:16" ht="13" hidden="1">
      <c r="O69" s="184"/>
      <c r="P69" s="184"/>
    </row>
    <row r="70" spans="1:16" ht="13" hidden="1">
      <c r="O70" s="184"/>
      <c r="P70" s="184"/>
    </row>
    <row r="71" spans="1:16" ht="13" hidden="1">
      <c r="O71" s="184"/>
      <c r="P71" s="184"/>
    </row>
    <row r="72" spans="1:16" ht="13" hidden="1">
      <c r="O72" s="184"/>
      <c r="P72" s="184"/>
    </row>
    <row r="73" spans="1:16" ht="13" hidden="1">
      <c r="O73" s="184"/>
      <c r="P73" s="184"/>
    </row>
    <row r="74" spans="1:16" ht="13" hidden="1">
      <c r="O74" s="184"/>
      <c r="P74" s="184"/>
    </row>
    <row r="75" spans="1:16" ht="13" hidden="1">
      <c r="O75" s="184"/>
      <c r="P75" s="184"/>
    </row>
    <row r="76" spans="1:16" ht="13" hidden="1">
      <c r="O76" s="184"/>
      <c r="P76" s="184"/>
    </row>
    <row r="77" spans="1:16" ht="13" hidden="1">
      <c r="O77" s="184"/>
      <c r="P77" s="184"/>
    </row>
    <row r="78" spans="1:16" ht="13" hidden="1">
      <c r="O78" s="184"/>
      <c r="P78" s="184"/>
    </row>
    <row r="79" spans="1:16" ht="13" hidden="1">
      <c r="O79" s="184"/>
      <c r="P79" s="184"/>
    </row>
    <row r="80" spans="1:16" ht="13" hidden="1">
      <c r="O80" s="184"/>
      <c r="P80" s="184"/>
    </row>
    <row r="81" spans="1:16" ht="13" hidden="1">
      <c r="O81" s="184"/>
      <c r="P81" s="184"/>
    </row>
    <row r="82" spans="1:16" ht="13" hidden="1">
      <c r="O82" s="184"/>
      <c r="P82" s="184"/>
    </row>
    <row r="83" spans="1:16" ht="13" hidden="1">
      <c r="A83" s="406"/>
      <c r="M83" s="406"/>
      <c r="O83" s="184"/>
      <c r="P83" s="184"/>
    </row>
    <row r="84" spans="1:16" ht="13" hidden="1">
      <c r="O84" s="184"/>
      <c r="P84" s="184"/>
    </row>
    <row r="85" spans="1:16" ht="13" hidden="1">
      <c r="A85" s="406"/>
      <c r="M85" s="406"/>
      <c r="O85" s="184"/>
      <c r="P85" s="184"/>
    </row>
    <row r="86" spans="1:16" ht="13" hidden="1">
      <c r="O86" s="184"/>
      <c r="P86" s="184"/>
    </row>
    <row r="87" spans="1:16" ht="13" hidden="1">
      <c r="O87" s="184"/>
      <c r="P87" s="184"/>
    </row>
    <row r="88" spans="1:16" ht="13" hidden="1">
      <c r="O88" s="184"/>
      <c r="P88" s="184"/>
    </row>
    <row r="89" spans="1:16" ht="13" hidden="1">
      <c r="O89" s="184"/>
      <c r="P89" s="184"/>
    </row>
    <row r="90" spans="1:16" ht="13" hidden="1">
      <c r="O90" s="184"/>
      <c r="P90" s="184"/>
    </row>
    <row r="91" spans="1:16" ht="13" hidden="1">
      <c r="O91" s="184"/>
      <c r="P91" s="184"/>
    </row>
    <row r="92" spans="1:16" ht="13" hidden="1">
      <c r="O92" s="184"/>
      <c r="P92" s="184"/>
    </row>
    <row r="93" spans="1:16" ht="13" hidden="1">
      <c r="O93" s="184"/>
      <c r="P93" s="184"/>
    </row>
    <row r="94" spans="1:16" ht="13" hidden="1">
      <c r="O94" s="184"/>
      <c r="P94" s="184"/>
    </row>
    <row r="95" spans="1:16" ht="13" hidden="1">
      <c r="O95" s="184"/>
      <c r="P95" s="184"/>
    </row>
    <row r="96" spans="1:16" ht="13" hidden="1">
      <c r="O96" s="184"/>
      <c r="P96" s="184"/>
    </row>
    <row r="97" spans="1:16" ht="13" hidden="1">
      <c r="O97" s="184"/>
      <c r="P97" s="184"/>
    </row>
    <row r="98" spans="1:16" ht="13" hidden="1">
      <c r="O98" s="184"/>
      <c r="P98" s="184"/>
    </row>
    <row r="99" spans="1:16" ht="13" hidden="1">
      <c r="O99" s="184"/>
      <c r="P99" s="184"/>
    </row>
    <row r="100" spans="1:16" ht="13" hidden="1">
      <c r="O100" s="184"/>
      <c r="P100" s="184"/>
    </row>
    <row r="101" spans="1:16" ht="13" hidden="1">
      <c r="O101" s="184"/>
      <c r="P101" s="184"/>
    </row>
    <row r="102" spans="1:16" ht="13" hidden="1">
      <c r="O102" s="184"/>
      <c r="P102" s="184"/>
    </row>
    <row r="103" spans="1:16" ht="13" hidden="1">
      <c r="O103" s="184"/>
      <c r="P103" s="184"/>
    </row>
    <row r="104" spans="1:16" ht="13" hidden="1">
      <c r="O104" s="184"/>
      <c r="P104" s="184"/>
    </row>
    <row r="105" spans="1:16" ht="13" hidden="1">
      <c r="A105" s="406"/>
      <c r="M105" s="406"/>
      <c r="O105" s="184"/>
      <c r="P105" s="184"/>
    </row>
    <row r="106" spans="1:16" ht="13" hidden="1">
      <c r="O106" s="184"/>
      <c r="P106" s="184"/>
    </row>
    <row r="107" spans="1:16" ht="13" hidden="1">
      <c r="A107" s="406"/>
      <c r="M107" s="406"/>
      <c r="O107" s="184"/>
      <c r="P107" s="184"/>
    </row>
    <row r="108" spans="1:16" ht="13" hidden="1">
      <c r="O108" s="184"/>
      <c r="P108" s="184"/>
    </row>
    <row r="109" spans="1:16" ht="12.75" hidden="1" customHeight="1">
      <c r="O109" s="184"/>
      <c r="P109" s="184"/>
    </row>
    <row r="110" spans="1:16" ht="12.75" hidden="1" customHeight="1">
      <c r="O110" s="184"/>
      <c r="P110" s="184"/>
    </row>
    <row r="111" spans="1:16" ht="12.75" hidden="1" customHeight="1">
      <c r="O111" s="184"/>
      <c r="P111" s="184"/>
    </row>
    <row r="112" spans="1:16" ht="12.75" hidden="1" customHeight="1">
      <c r="O112" s="184"/>
      <c r="P112" s="184"/>
    </row>
    <row r="113" s="184" customFormat="1" ht="12.75" hidden="1" customHeight="1"/>
    <row r="114" s="184" customFormat="1" ht="12.75" hidden="1" customHeight="1"/>
    <row r="115" s="184" customFormat="1" ht="12.75" hidden="1" customHeight="1"/>
  </sheetData>
  <mergeCells count="28">
    <mergeCell ref="E12:L12"/>
    <mergeCell ref="C2:G2"/>
    <mergeCell ref="C3:G4"/>
    <mergeCell ref="E8:L8"/>
    <mergeCell ref="E9:L9"/>
    <mergeCell ref="E11:L11"/>
    <mergeCell ref="E32:L32"/>
    <mergeCell ref="E13:L13"/>
    <mergeCell ref="E14:L14"/>
    <mergeCell ref="E16:L16"/>
    <mergeCell ref="E28:L28"/>
    <mergeCell ref="E29:L29"/>
    <mergeCell ref="E30:L30"/>
    <mergeCell ref="E31:L31"/>
    <mergeCell ref="E18:L18"/>
    <mergeCell ref="E19:L19"/>
    <mergeCell ref="E20:L20"/>
    <mergeCell ref="E22:L22"/>
    <mergeCell ref="E45:L45"/>
    <mergeCell ref="E46:L46"/>
    <mergeCell ref="E47:L47"/>
    <mergeCell ref="E48:L48"/>
    <mergeCell ref="E38:L38"/>
    <mergeCell ref="E39:L39"/>
    <mergeCell ref="E40:L40"/>
    <mergeCell ref="E41:L41"/>
    <mergeCell ref="E42:L42"/>
    <mergeCell ref="E44:L44"/>
  </mergeCells>
  <dataValidations count="3">
    <dataValidation type="list" allowBlank="1" showInputMessage="1" showErrorMessage="1" sqref="B45" xr:uid="{00000000-0002-0000-0800-000000000000}">
      <formula1>$B$46:$B$48</formula1>
    </dataValidation>
    <dataValidation type="list" allowBlank="1" showInputMessage="1" showErrorMessage="1" sqref="B39" xr:uid="{00000000-0002-0000-0800-000001000000}">
      <formula1>$B$40:$B$42</formula1>
    </dataValidation>
    <dataValidation type="list" allowBlank="1" showInputMessage="1" showErrorMessage="1" sqref="B29" xr:uid="{00000000-0002-0000-0800-000002000000}">
      <formula1>$B$30:$B$32</formula1>
    </dataValidation>
  </dataValidations>
  <pageMargins left="0.25" right="0.25" top="0.75" bottom="0.75" header="0.3" footer="0.3"/>
  <pageSetup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D2E5B51929A740AEDA2D39CB72EF84" ma:contentTypeVersion="5" ma:contentTypeDescription="Create a new document." ma:contentTypeScope="" ma:versionID="31fffa8c7322d123868f90b52f135e98">
  <xsd:schema xmlns:xsd="http://www.w3.org/2001/XMLSchema" xmlns:xs="http://www.w3.org/2001/XMLSchema" xmlns:p="http://schemas.microsoft.com/office/2006/metadata/properties" xmlns:ns2="049a816c-21a2-4aa2-bddc-7df9761d8d74" xmlns:ns3="5339a09c-26e5-4715-a07f-09b5d4446d72" targetNamespace="http://schemas.microsoft.com/office/2006/metadata/properties" ma:root="true" ma:fieldsID="ed9a99810e453327a88dec336a033bcb" ns2:_="" ns3:_="">
    <xsd:import namespace="049a816c-21a2-4aa2-bddc-7df9761d8d74"/>
    <xsd:import namespace="5339a09c-26e5-4715-a07f-09b5d4446d7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9a816c-21a2-4aa2-bddc-7df9761d8d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39a09c-26e5-4715-a07f-09b5d4446d7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B0FE48-BDBA-42BD-AE7F-632187DE8DC7}">
  <ds:schemaRefs>
    <ds:schemaRef ds:uri="http://schemas.microsoft.com/sharepoint/v3/contenttype/forms"/>
  </ds:schemaRefs>
</ds:datastoreItem>
</file>

<file path=customXml/itemProps2.xml><?xml version="1.0" encoding="utf-8"?>
<ds:datastoreItem xmlns:ds="http://schemas.openxmlformats.org/officeDocument/2006/customXml" ds:itemID="{C56C6B45-D62C-4EE8-A415-85219E70170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053AD24-6AEC-4295-A1A8-128F2D40C9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9a816c-21a2-4aa2-bddc-7df9761d8d74"/>
    <ds:schemaRef ds:uri="5339a09c-26e5-4715-a07f-09b5d4446d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vt:i4>
      </vt:variant>
    </vt:vector>
  </HeadingPairs>
  <TitlesOfParts>
    <vt:vector size="19" baseType="lpstr">
      <vt:lpstr>Cover</vt:lpstr>
      <vt:lpstr>Disclaimer</vt:lpstr>
      <vt:lpstr>Control</vt:lpstr>
      <vt:lpstr>Annual FS</vt:lpstr>
      <vt:lpstr>Drivers</vt:lpstr>
      <vt:lpstr>Drivers Revenue</vt:lpstr>
      <vt:lpstr>Valuation</vt:lpstr>
      <vt:lpstr>WACC</vt:lpstr>
      <vt:lpstr>TGTbase2021</vt:lpstr>
      <vt:lpstr>TGTbase</vt:lpstr>
      <vt:lpstr>Leasing</vt:lpstr>
      <vt:lpstr>Creditos bancarios</vt:lpstr>
      <vt:lpstr>Reporte de Seguimiento_PyG20-06</vt:lpstr>
      <vt:lpstr>Reporte de Seguimiento_BG 20-06</vt:lpstr>
      <vt:lpstr>Reporte de Seguimiento_PyG19-12</vt:lpstr>
      <vt:lpstr>Control!Área_de_impresión</vt:lpstr>
      <vt:lpstr>Cover!Área_de_impresión</vt:lpstr>
      <vt:lpstr>Disclaimer!Área_de_impresión</vt:lpstr>
      <vt:lpstr>WACC!Área_de_impresión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Antonio Echavarria</dc:creator>
  <cp:keywords/>
  <dc:description/>
  <cp:lastModifiedBy>Jineth Viviana Buitrago Gonzalez</cp:lastModifiedBy>
  <cp:revision/>
  <cp:lastPrinted>2024-03-07T18:40:21Z</cp:lastPrinted>
  <dcterms:created xsi:type="dcterms:W3CDTF">2013-12-02T23:56:31Z</dcterms:created>
  <dcterms:modified xsi:type="dcterms:W3CDTF">2024-03-07T18:43:57Z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0x01010021D2E5B51929A740AEDA2D39CB72EF84</vt:lpwstr>
  </property>
</Properties>
</file>